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trlProps/ctrlProp1983.xml" ContentType="application/vnd.ms-excel.controlproperties+xml"/>
  <Override PartName="/xl/ctrlProps/ctrlProp1984.xml" ContentType="application/vnd.ms-excel.controlproperties+xml"/>
  <Override PartName="/xl/ctrlProps/ctrlProp1985.xml" ContentType="application/vnd.ms-excel.controlproperties+xml"/>
  <Override PartName="/xl/ctrlProps/ctrlProp1986.xml" ContentType="application/vnd.ms-excel.controlproperties+xml"/>
  <Override PartName="/xl/ctrlProps/ctrlProp1987.xml" ContentType="application/vnd.ms-excel.controlproperties+xml"/>
  <Override PartName="/xl/ctrlProps/ctrlProp1988.xml" ContentType="application/vnd.ms-excel.controlproperties+xml"/>
  <Override PartName="/xl/ctrlProps/ctrlProp1989.xml" ContentType="application/vnd.ms-excel.controlproperties+xml"/>
  <Override PartName="/xl/ctrlProps/ctrlProp1990.xml" ContentType="application/vnd.ms-excel.controlproperties+xml"/>
  <Override PartName="/xl/ctrlProps/ctrlProp1991.xml" ContentType="application/vnd.ms-excel.controlproperties+xml"/>
  <Override PartName="/xl/ctrlProps/ctrlProp1992.xml" ContentType="application/vnd.ms-excel.controlproperties+xml"/>
  <Override PartName="/xl/ctrlProps/ctrlProp1993.xml" ContentType="application/vnd.ms-excel.controlproperties+xml"/>
  <Override PartName="/xl/ctrlProps/ctrlProp1994.xml" ContentType="application/vnd.ms-excel.controlproperties+xml"/>
  <Override PartName="/xl/ctrlProps/ctrlProp1995.xml" ContentType="application/vnd.ms-excel.controlproperties+xml"/>
  <Override PartName="/xl/ctrlProps/ctrlProp1996.xml" ContentType="application/vnd.ms-excel.controlproperties+xml"/>
  <Override PartName="/xl/ctrlProps/ctrlProp1997.xml" ContentType="application/vnd.ms-excel.controlproperties+xml"/>
  <Override PartName="/xl/ctrlProps/ctrlProp1998.xml" ContentType="application/vnd.ms-excel.controlproperties+xml"/>
  <Override PartName="/xl/ctrlProps/ctrlProp1999.xml" ContentType="application/vnd.ms-excel.controlproperties+xml"/>
  <Override PartName="/xl/ctrlProps/ctrlProp2000.xml" ContentType="application/vnd.ms-excel.controlproperties+xml"/>
  <Override PartName="/xl/ctrlProps/ctrlProp2001.xml" ContentType="application/vnd.ms-excel.controlproperties+xml"/>
  <Override PartName="/xl/ctrlProps/ctrlProp2002.xml" ContentType="application/vnd.ms-excel.controlproperties+xml"/>
  <Override PartName="/xl/ctrlProps/ctrlProp2003.xml" ContentType="application/vnd.ms-excel.controlproperties+xml"/>
  <Override PartName="/xl/ctrlProps/ctrlProp2004.xml" ContentType="application/vnd.ms-excel.controlproperties+xml"/>
  <Override PartName="/xl/ctrlProps/ctrlProp2005.xml" ContentType="application/vnd.ms-excel.controlproperties+xml"/>
  <Override PartName="/xl/ctrlProps/ctrlProp2006.xml" ContentType="application/vnd.ms-excel.controlproperties+xml"/>
  <Override PartName="/xl/ctrlProps/ctrlProp2007.xml" ContentType="application/vnd.ms-excel.controlproperties+xml"/>
  <Override PartName="/xl/ctrlProps/ctrlProp2008.xml" ContentType="application/vnd.ms-excel.controlproperties+xml"/>
  <Override PartName="/xl/ctrlProps/ctrlProp2009.xml" ContentType="application/vnd.ms-excel.controlproperties+xml"/>
  <Override PartName="/xl/ctrlProps/ctrlProp2010.xml" ContentType="application/vnd.ms-excel.controlproperties+xml"/>
  <Override PartName="/xl/ctrlProps/ctrlProp2011.xml" ContentType="application/vnd.ms-excel.controlproperties+xml"/>
  <Override PartName="/xl/ctrlProps/ctrlProp2012.xml" ContentType="application/vnd.ms-excel.controlproperties+xml"/>
  <Override PartName="/xl/ctrlProps/ctrlProp2013.xml" ContentType="application/vnd.ms-excel.controlproperties+xml"/>
  <Override PartName="/xl/ctrlProps/ctrlProp2014.xml" ContentType="application/vnd.ms-excel.controlproperties+xml"/>
  <Override PartName="/xl/ctrlProps/ctrlProp2015.xml" ContentType="application/vnd.ms-excel.controlproperties+xml"/>
  <Override PartName="/xl/ctrlProps/ctrlProp2016.xml" ContentType="application/vnd.ms-excel.controlproperties+xml"/>
  <Override PartName="/xl/ctrlProps/ctrlProp2017.xml" ContentType="application/vnd.ms-excel.controlproperties+xml"/>
  <Override PartName="/xl/ctrlProps/ctrlProp2018.xml" ContentType="application/vnd.ms-excel.controlproperties+xml"/>
  <Override PartName="/xl/ctrlProps/ctrlProp2019.xml" ContentType="application/vnd.ms-excel.controlproperties+xml"/>
  <Override PartName="/xl/ctrlProps/ctrlProp2020.xml" ContentType="application/vnd.ms-excel.controlproperties+xml"/>
  <Override PartName="/xl/ctrlProps/ctrlProp2021.xml" ContentType="application/vnd.ms-excel.controlproperties+xml"/>
  <Override PartName="/xl/ctrlProps/ctrlProp2022.xml" ContentType="application/vnd.ms-excel.controlproperties+xml"/>
  <Override PartName="/xl/ctrlProps/ctrlProp2023.xml" ContentType="application/vnd.ms-excel.controlproperties+xml"/>
  <Override PartName="/xl/ctrlProps/ctrlProp2024.xml" ContentType="application/vnd.ms-excel.controlproperties+xml"/>
  <Override PartName="/xl/ctrlProps/ctrlProp2025.xml" ContentType="application/vnd.ms-excel.controlproperties+xml"/>
  <Override PartName="/xl/ctrlProps/ctrlProp2026.xml" ContentType="application/vnd.ms-excel.controlproperties+xml"/>
  <Override PartName="/xl/ctrlProps/ctrlProp2027.xml" ContentType="application/vnd.ms-excel.controlproperties+xml"/>
  <Override PartName="/xl/ctrlProps/ctrlProp2028.xml" ContentType="application/vnd.ms-excel.controlproperties+xml"/>
  <Override PartName="/xl/ctrlProps/ctrlProp2029.xml" ContentType="application/vnd.ms-excel.controlproperties+xml"/>
  <Override PartName="/xl/ctrlProps/ctrlProp2030.xml" ContentType="application/vnd.ms-excel.controlproperties+xml"/>
  <Override PartName="/xl/ctrlProps/ctrlProp2031.xml" ContentType="application/vnd.ms-excel.controlproperties+xml"/>
  <Override PartName="/xl/ctrlProps/ctrlProp2032.xml" ContentType="application/vnd.ms-excel.controlproperties+xml"/>
  <Override PartName="/xl/ctrlProps/ctrlProp2033.xml" ContentType="application/vnd.ms-excel.controlproperties+xml"/>
  <Override PartName="/xl/ctrlProps/ctrlProp2034.xml" ContentType="application/vnd.ms-excel.controlproperties+xml"/>
  <Override PartName="/xl/ctrlProps/ctrlProp2035.xml" ContentType="application/vnd.ms-excel.controlproperties+xml"/>
  <Override PartName="/xl/ctrlProps/ctrlProp2036.xml" ContentType="application/vnd.ms-excel.controlproperties+xml"/>
  <Override PartName="/xl/ctrlProps/ctrlProp2037.xml" ContentType="application/vnd.ms-excel.controlproperties+xml"/>
  <Override PartName="/xl/ctrlProps/ctrlProp2038.xml" ContentType="application/vnd.ms-excel.controlproperties+xml"/>
  <Override PartName="/xl/ctrlProps/ctrlProp2039.xml" ContentType="application/vnd.ms-excel.controlproperties+xml"/>
  <Override PartName="/xl/ctrlProps/ctrlProp2040.xml" ContentType="application/vnd.ms-excel.controlproperties+xml"/>
  <Override PartName="/xl/ctrlProps/ctrlProp2041.xml" ContentType="application/vnd.ms-excel.controlproperties+xml"/>
  <Override PartName="/xl/ctrlProps/ctrlProp2042.xml" ContentType="application/vnd.ms-excel.controlproperties+xml"/>
  <Override PartName="/xl/ctrlProps/ctrlProp2043.xml" ContentType="application/vnd.ms-excel.controlproperties+xml"/>
  <Override PartName="/xl/ctrlProps/ctrlProp2044.xml" ContentType="application/vnd.ms-excel.controlproperties+xml"/>
  <Override PartName="/xl/ctrlProps/ctrlProp2045.xml" ContentType="application/vnd.ms-excel.controlproperties+xml"/>
  <Override PartName="/xl/ctrlProps/ctrlProp2046.xml" ContentType="application/vnd.ms-excel.controlproperties+xml"/>
  <Override PartName="/xl/ctrlProps/ctrlProp2047.xml" ContentType="application/vnd.ms-excel.controlproperties+xml"/>
  <Override PartName="/xl/ctrlProps/ctrlProp2048.xml" ContentType="application/vnd.ms-excel.controlproperties+xml"/>
  <Override PartName="/xl/ctrlProps/ctrlProp2049.xml" ContentType="application/vnd.ms-excel.controlproperties+xml"/>
  <Override PartName="/xl/ctrlProps/ctrlProp2050.xml" ContentType="application/vnd.ms-excel.controlproperties+xml"/>
  <Override PartName="/xl/ctrlProps/ctrlProp2051.xml" ContentType="application/vnd.ms-excel.controlproperties+xml"/>
  <Override PartName="/xl/ctrlProps/ctrlProp2052.xml" ContentType="application/vnd.ms-excel.controlproperties+xml"/>
  <Override PartName="/xl/ctrlProps/ctrlProp2053.xml" ContentType="application/vnd.ms-excel.controlproperties+xml"/>
  <Override PartName="/xl/ctrlProps/ctrlProp2054.xml" ContentType="application/vnd.ms-excel.controlproperties+xml"/>
  <Override PartName="/xl/ctrlProps/ctrlProp2055.xml" ContentType="application/vnd.ms-excel.controlproperties+xml"/>
  <Override PartName="/xl/ctrlProps/ctrlProp2056.xml" ContentType="application/vnd.ms-excel.controlproperties+xml"/>
  <Override PartName="/xl/ctrlProps/ctrlProp2057.xml" ContentType="application/vnd.ms-excel.controlproperties+xml"/>
  <Override PartName="/xl/ctrlProps/ctrlProp2058.xml" ContentType="application/vnd.ms-excel.controlproperties+xml"/>
  <Override PartName="/xl/ctrlProps/ctrlProp2059.xml" ContentType="application/vnd.ms-excel.controlproperties+xml"/>
  <Override PartName="/xl/ctrlProps/ctrlProp2060.xml" ContentType="application/vnd.ms-excel.controlproperties+xml"/>
  <Override PartName="/xl/ctrlProps/ctrlProp2061.xml" ContentType="application/vnd.ms-excel.controlproperties+xml"/>
  <Override PartName="/xl/ctrlProps/ctrlProp2062.xml" ContentType="application/vnd.ms-excel.controlproperties+xml"/>
  <Override PartName="/xl/ctrlProps/ctrlProp2063.xml" ContentType="application/vnd.ms-excel.controlproperties+xml"/>
  <Override PartName="/xl/ctrlProps/ctrlProp2064.xml" ContentType="application/vnd.ms-excel.controlproperties+xml"/>
  <Override PartName="/xl/ctrlProps/ctrlProp2065.xml" ContentType="application/vnd.ms-excel.controlproperties+xml"/>
  <Override PartName="/xl/ctrlProps/ctrlProp2066.xml" ContentType="application/vnd.ms-excel.controlproperties+xml"/>
  <Override PartName="/xl/ctrlProps/ctrlProp2067.xml" ContentType="application/vnd.ms-excel.controlproperties+xml"/>
  <Override PartName="/xl/ctrlProps/ctrlProp2068.xml" ContentType="application/vnd.ms-excel.controlproperties+xml"/>
  <Override PartName="/xl/ctrlProps/ctrlProp2069.xml" ContentType="application/vnd.ms-excel.controlproperties+xml"/>
  <Override PartName="/xl/ctrlProps/ctrlProp2070.xml" ContentType="application/vnd.ms-excel.controlproperties+xml"/>
  <Override PartName="/xl/ctrlProps/ctrlProp2071.xml" ContentType="application/vnd.ms-excel.controlproperties+xml"/>
  <Override PartName="/xl/ctrlProps/ctrlProp2072.xml" ContentType="application/vnd.ms-excel.controlproperties+xml"/>
  <Override PartName="/xl/ctrlProps/ctrlProp2073.xml" ContentType="application/vnd.ms-excel.controlproperties+xml"/>
  <Override PartName="/xl/ctrlProps/ctrlProp2074.xml" ContentType="application/vnd.ms-excel.controlproperties+xml"/>
  <Override PartName="/xl/ctrlProps/ctrlProp2075.xml" ContentType="application/vnd.ms-excel.controlproperties+xml"/>
  <Override PartName="/xl/ctrlProps/ctrlProp2076.xml" ContentType="application/vnd.ms-excel.controlproperties+xml"/>
  <Override PartName="/xl/ctrlProps/ctrlProp2077.xml" ContentType="application/vnd.ms-excel.controlproperties+xml"/>
  <Override PartName="/xl/ctrlProps/ctrlProp2078.xml" ContentType="application/vnd.ms-excel.controlproperties+xml"/>
  <Override PartName="/xl/ctrlProps/ctrlProp2079.xml" ContentType="application/vnd.ms-excel.controlproperties+xml"/>
  <Override PartName="/xl/ctrlProps/ctrlProp2080.xml" ContentType="application/vnd.ms-excel.controlproperties+xml"/>
  <Override PartName="/xl/ctrlProps/ctrlProp2081.xml" ContentType="application/vnd.ms-excel.controlproperties+xml"/>
  <Override PartName="/xl/ctrlProps/ctrlProp2082.xml" ContentType="application/vnd.ms-excel.controlproperties+xml"/>
  <Override PartName="/xl/ctrlProps/ctrlProp2083.xml" ContentType="application/vnd.ms-excel.controlproperties+xml"/>
  <Override PartName="/xl/ctrlProps/ctrlProp2084.xml" ContentType="application/vnd.ms-excel.controlproperties+xml"/>
  <Override PartName="/xl/ctrlProps/ctrlProp2085.xml" ContentType="application/vnd.ms-excel.controlproperties+xml"/>
  <Override PartName="/xl/ctrlProps/ctrlProp2086.xml" ContentType="application/vnd.ms-excel.controlproperties+xml"/>
  <Override PartName="/xl/ctrlProps/ctrlProp2087.xml" ContentType="application/vnd.ms-excel.controlproperties+xml"/>
  <Override PartName="/xl/ctrlProps/ctrlProp2088.xml" ContentType="application/vnd.ms-excel.controlproperties+xml"/>
  <Override PartName="/xl/ctrlProps/ctrlProp2089.xml" ContentType="application/vnd.ms-excel.controlproperties+xml"/>
  <Override PartName="/xl/ctrlProps/ctrlProp2090.xml" ContentType="application/vnd.ms-excel.controlproperties+xml"/>
  <Override PartName="/xl/ctrlProps/ctrlProp2091.xml" ContentType="application/vnd.ms-excel.controlproperties+xml"/>
  <Override PartName="/xl/ctrlProps/ctrlProp2092.xml" ContentType="application/vnd.ms-excel.controlproperties+xml"/>
  <Override PartName="/xl/ctrlProps/ctrlProp2093.xml" ContentType="application/vnd.ms-excel.controlproperties+xml"/>
  <Override PartName="/xl/ctrlProps/ctrlProp2094.xml" ContentType="application/vnd.ms-excel.controlproperties+xml"/>
  <Override PartName="/xl/ctrlProps/ctrlProp2095.xml" ContentType="application/vnd.ms-excel.controlproperties+xml"/>
  <Override PartName="/xl/ctrlProps/ctrlProp2096.xml" ContentType="application/vnd.ms-excel.controlproperties+xml"/>
  <Override PartName="/xl/ctrlProps/ctrlProp2097.xml" ContentType="application/vnd.ms-excel.controlproperties+xml"/>
  <Override PartName="/xl/ctrlProps/ctrlProp2098.xml" ContentType="application/vnd.ms-excel.controlproperties+xml"/>
  <Override PartName="/xl/ctrlProps/ctrlProp2099.xml" ContentType="application/vnd.ms-excel.controlproperties+xml"/>
  <Override PartName="/xl/ctrlProps/ctrlProp2100.xml" ContentType="application/vnd.ms-excel.controlproperties+xml"/>
  <Override PartName="/xl/ctrlProps/ctrlProp2101.xml" ContentType="application/vnd.ms-excel.controlproperties+xml"/>
  <Override PartName="/xl/ctrlProps/ctrlProp2102.xml" ContentType="application/vnd.ms-excel.controlproperties+xml"/>
  <Override PartName="/xl/ctrlProps/ctrlProp2103.xml" ContentType="application/vnd.ms-excel.controlproperties+xml"/>
  <Override PartName="/xl/ctrlProps/ctrlProp2104.xml" ContentType="application/vnd.ms-excel.controlproperties+xml"/>
  <Override PartName="/xl/ctrlProps/ctrlProp2105.xml" ContentType="application/vnd.ms-excel.controlproperties+xml"/>
  <Override PartName="/xl/ctrlProps/ctrlProp2106.xml" ContentType="application/vnd.ms-excel.controlproperties+xml"/>
  <Override PartName="/xl/ctrlProps/ctrlProp2107.xml" ContentType="application/vnd.ms-excel.controlproperties+xml"/>
  <Override PartName="/xl/ctrlProps/ctrlProp2108.xml" ContentType="application/vnd.ms-excel.controlproperties+xml"/>
  <Override PartName="/xl/ctrlProps/ctrlProp2109.xml" ContentType="application/vnd.ms-excel.controlproperties+xml"/>
  <Override PartName="/xl/ctrlProps/ctrlProp2110.xml" ContentType="application/vnd.ms-excel.controlproperties+xml"/>
  <Override PartName="/xl/ctrlProps/ctrlProp2111.xml" ContentType="application/vnd.ms-excel.controlproperties+xml"/>
  <Override PartName="/xl/ctrlProps/ctrlProp2112.xml" ContentType="application/vnd.ms-excel.controlproperties+xml"/>
  <Override PartName="/xl/ctrlProps/ctrlProp2113.xml" ContentType="application/vnd.ms-excel.controlproperties+xml"/>
  <Override PartName="/xl/ctrlProps/ctrlProp2114.xml" ContentType="application/vnd.ms-excel.controlproperties+xml"/>
  <Override PartName="/xl/ctrlProps/ctrlProp2115.xml" ContentType="application/vnd.ms-excel.controlproperties+xml"/>
  <Override PartName="/xl/ctrlProps/ctrlProp2116.xml" ContentType="application/vnd.ms-excel.controlproperties+xml"/>
  <Override PartName="/xl/ctrlProps/ctrlProp2117.xml" ContentType="application/vnd.ms-excel.controlproperties+xml"/>
  <Override PartName="/xl/ctrlProps/ctrlProp2118.xml" ContentType="application/vnd.ms-excel.controlproperties+xml"/>
  <Override PartName="/xl/ctrlProps/ctrlProp2119.xml" ContentType="application/vnd.ms-excel.controlproperties+xml"/>
  <Override PartName="/xl/ctrlProps/ctrlProp2120.xml" ContentType="application/vnd.ms-excel.controlproperties+xml"/>
  <Override PartName="/xl/ctrlProps/ctrlProp2121.xml" ContentType="application/vnd.ms-excel.controlproperties+xml"/>
  <Override PartName="/xl/ctrlProps/ctrlProp2122.xml" ContentType="application/vnd.ms-excel.controlproperties+xml"/>
  <Override PartName="/xl/ctrlProps/ctrlProp2123.xml" ContentType="application/vnd.ms-excel.controlproperties+xml"/>
  <Override PartName="/xl/ctrlProps/ctrlProp2124.xml" ContentType="application/vnd.ms-excel.controlproperties+xml"/>
  <Override PartName="/xl/ctrlProps/ctrlProp2125.xml" ContentType="application/vnd.ms-excel.controlproperties+xml"/>
  <Override PartName="/xl/ctrlProps/ctrlProp2126.xml" ContentType="application/vnd.ms-excel.controlproperties+xml"/>
  <Override PartName="/xl/ctrlProps/ctrlProp2127.xml" ContentType="application/vnd.ms-excel.controlproperties+xml"/>
  <Override PartName="/xl/ctrlProps/ctrlProp2128.xml" ContentType="application/vnd.ms-excel.controlproperties+xml"/>
  <Override PartName="/xl/ctrlProps/ctrlProp2129.xml" ContentType="application/vnd.ms-excel.controlproperties+xml"/>
  <Override PartName="/xl/ctrlProps/ctrlProp2130.xml" ContentType="application/vnd.ms-excel.controlproperties+xml"/>
  <Override PartName="/xl/ctrlProps/ctrlProp2131.xml" ContentType="application/vnd.ms-excel.controlproperties+xml"/>
  <Override PartName="/xl/ctrlProps/ctrlProp2132.xml" ContentType="application/vnd.ms-excel.controlproperties+xml"/>
  <Override PartName="/xl/ctrlProps/ctrlProp2133.xml" ContentType="application/vnd.ms-excel.controlproperties+xml"/>
  <Override PartName="/xl/ctrlProps/ctrlProp2134.xml" ContentType="application/vnd.ms-excel.controlproperties+xml"/>
  <Override PartName="/xl/ctrlProps/ctrlProp2135.xml" ContentType="application/vnd.ms-excel.controlproperties+xml"/>
  <Override PartName="/xl/ctrlProps/ctrlProp2136.xml" ContentType="application/vnd.ms-excel.controlproperties+xml"/>
  <Override PartName="/xl/ctrlProps/ctrlProp2137.xml" ContentType="application/vnd.ms-excel.controlproperties+xml"/>
  <Override PartName="/xl/ctrlProps/ctrlProp2138.xml" ContentType="application/vnd.ms-excel.controlproperties+xml"/>
  <Override PartName="/xl/ctrlProps/ctrlProp2139.xml" ContentType="application/vnd.ms-excel.controlproperties+xml"/>
  <Override PartName="/xl/ctrlProps/ctrlProp2140.xml" ContentType="application/vnd.ms-excel.controlproperties+xml"/>
  <Override PartName="/xl/ctrlProps/ctrlProp2141.xml" ContentType="application/vnd.ms-excel.controlproperties+xml"/>
  <Override PartName="/xl/ctrlProps/ctrlProp2142.xml" ContentType="application/vnd.ms-excel.controlproperties+xml"/>
  <Override PartName="/xl/ctrlProps/ctrlProp2143.xml" ContentType="application/vnd.ms-excel.controlproperties+xml"/>
  <Override PartName="/xl/ctrlProps/ctrlProp2144.xml" ContentType="application/vnd.ms-excel.controlproperties+xml"/>
  <Override PartName="/xl/ctrlProps/ctrlProp2145.xml" ContentType="application/vnd.ms-excel.controlproperties+xml"/>
  <Override PartName="/xl/ctrlProps/ctrlProp2146.xml" ContentType="application/vnd.ms-excel.controlproperties+xml"/>
  <Override PartName="/xl/ctrlProps/ctrlProp2147.xml" ContentType="application/vnd.ms-excel.controlproperties+xml"/>
  <Override PartName="/xl/ctrlProps/ctrlProp2148.xml" ContentType="application/vnd.ms-excel.controlproperties+xml"/>
  <Override PartName="/xl/ctrlProps/ctrlProp2149.xml" ContentType="application/vnd.ms-excel.controlproperties+xml"/>
  <Override PartName="/xl/ctrlProps/ctrlProp2150.xml" ContentType="application/vnd.ms-excel.controlproperties+xml"/>
  <Override PartName="/xl/ctrlProps/ctrlProp2151.xml" ContentType="application/vnd.ms-excel.controlproperties+xml"/>
  <Override PartName="/xl/ctrlProps/ctrlProp2152.xml" ContentType="application/vnd.ms-excel.controlproperties+xml"/>
  <Override PartName="/xl/ctrlProps/ctrlProp2153.xml" ContentType="application/vnd.ms-excel.controlproperties+xml"/>
  <Override PartName="/xl/ctrlProps/ctrlProp2154.xml" ContentType="application/vnd.ms-excel.controlproperties+xml"/>
  <Override PartName="/xl/ctrlProps/ctrlProp2155.xml" ContentType="application/vnd.ms-excel.controlproperties+xml"/>
  <Override PartName="/xl/ctrlProps/ctrlProp2156.xml" ContentType="application/vnd.ms-excel.controlproperties+xml"/>
  <Override PartName="/xl/ctrlProps/ctrlProp2157.xml" ContentType="application/vnd.ms-excel.controlproperties+xml"/>
  <Override PartName="/xl/ctrlProps/ctrlProp2158.xml" ContentType="application/vnd.ms-excel.controlproperties+xml"/>
  <Override PartName="/xl/ctrlProps/ctrlProp2159.xml" ContentType="application/vnd.ms-excel.controlproperties+xml"/>
  <Override PartName="/xl/ctrlProps/ctrlProp2160.xml" ContentType="application/vnd.ms-excel.controlproperties+xml"/>
  <Override PartName="/xl/ctrlProps/ctrlProp2161.xml" ContentType="application/vnd.ms-excel.controlproperties+xml"/>
  <Override PartName="/xl/ctrlProps/ctrlProp2162.xml" ContentType="application/vnd.ms-excel.controlproperties+xml"/>
  <Override PartName="/xl/ctrlProps/ctrlProp2163.xml" ContentType="application/vnd.ms-excel.controlproperties+xml"/>
  <Override PartName="/xl/ctrlProps/ctrlProp2164.xml" ContentType="application/vnd.ms-excel.controlproperties+xml"/>
  <Override PartName="/xl/ctrlProps/ctrlProp2165.xml" ContentType="application/vnd.ms-excel.controlproperties+xml"/>
  <Override PartName="/xl/ctrlProps/ctrlProp2166.xml" ContentType="application/vnd.ms-excel.controlproperties+xml"/>
  <Override PartName="/xl/ctrlProps/ctrlProp2167.xml" ContentType="application/vnd.ms-excel.controlproperties+xml"/>
  <Override PartName="/xl/ctrlProps/ctrlProp2168.xml" ContentType="application/vnd.ms-excel.controlproperties+xml"/>
  <Override PartName="/xl/ctrlProps/ctrlProp2169.xml" ContentType="application/vnd.ms-excel.controlproperties+xml"/>
  <Override PartName="/xl/ctrlProps/ctrlProp2170.xml" ContentType="application/vnd.ms-excel.controlproperties+xml"/>
  <Override PartName="/xl/ctrlProps/ctrlProp2171.xml" ContentType="application/vnd.ms-excel.controlproperties+xml"/>
  <Override PartName="/xl/ctrlProps/ctrlProp2172.xml" ContentType="application/vnd.ms-excel.controlproperties+xml"/>
  <Override PartName="/xl/ctrlProps/ctrlProp2173.xml" ContentType="application/vnd.ms-excel.controlproperties+xml"/>
  <Override PartName="/xl/ctrlProps/ctrlProp2174.xml" ContentType="application/vnd.ms-excel.controlproperties+xml"/>
  <Override PartName="/xl/ctrlProps/ctrlProp2175.xml" ContentType="application/vnd.ms-excel.controlproperties+xml"/>
  <Override PartName="/xl/ctrlProps/ctrlProp2176.xml" ContentType="application/vnd.ms-excel.controlproperties+xml"/>
  <Override PartName="/xl/ctrlProps/ctrlProp2177.xml" ContentType="application/vnd.ms-excel.controlproperties+xml"/>
  <Override PartName="/xl/ctrlProps/ctrlProp2178.xml" ContentType="application/vnd.ms-excel.controlproperties+xml"/>
  <Override PartName="/xl/ctrlProps/ctrlProp2179.xml" ContentType="application/vnd.ms-excel.controlproperties+xml"/>
  <Override PartName="/xl/ctrlProps/ctrlProp2180.xml" ContentType="application/vnd.ms-excel.controlproperties+xml"/>
  <Override PartName="/xl/ctrlProps/ctrlProp2181.xml" ContentType="application/vnd.ms-excel.controlproperties+xml"/>
  <Override PartName="/xl/ctrlProps/ctrlProp2182.xml" ContentType="application/vnd.ms-excel.controlproperties+xml"/>
  <Override PartName="/xl/ctrlProps/ctrlProp2183.xml" ContentType="application/vnd.ms-excel.controlproperties+xml"/>
  <Override PartName="/xl/ctrlProps/ctrlProp2184.xml" ContentType="application/vnd.ms-excel.controlproperties+xml"/>
  <Override PartName="/xl/ctrlProps/ctrlProp2185.xml" ContentType="application/vnd.ms-excel.controlproperties+xml"/>
  <Override PartName="/xl/ctrlProps/ctrlProp2186.xml" ContentType="application/vnd.ms-excel.controlproperties+xml"/>
  <Override PartName="/xl/ctrlProps/ctrlProp2187.xml" ContentType="application/vnd.ms-excel.controlproperties+xml"/>
  <Override PartName="/xl/ctrlProps/ctrlProp2188.xml" ContentType="application/vnd.ms-excel.controlproperties+xml"/>
  <Override PartName="/xl/ctrlProps/ctrlProp2189.xml" ContentType="application/vnd.ms-excel.controlproperties+xml"/>
  <Override PartName="/xl/ctrlProps/ctrlProp2190.xml" ContentType="application/vnd.ms-excel.controlproperties+xml"/>
  <Override PartName="/xl/ctrlProps/ctrlProp2191.xml" ContentType="application/vnd.ms-excel.controlproperties+xml"/>
  <Override PartName="/xl/ctrlProps/ctrlProp2192.xml" ContentType="application/vnd.ms-excel.controlproperties+xml"/>
  <Override PartName="/xl/ctrlProps/ctrlProp2193.xml" ContentType="application/vnd.ms-excel.controlproperties+xml"/>
  <Override PartName="/xl/ctrlProps/ctrlProp2194.xml" ContentType="application/vnd.ms-excel.controlproperties+xml"/>
  <Override PartName="/xl/ctrlProps/ctrlProp2195.xml" ContentType="application/vnd.ms-excel.controlproperties+xml"/>
  <Override PartName="/xl/ctrlProps/ctrlProp2196.xml" ContentType="application/vnd.ms-excel.controlproperties+xml"/>
  <Override PartName="/xl/ctrlProps/ctrlProp2197.xml" ContentType="application/vnd.ms-excel.controlproperties+xml"/>
  <Override PartName="/xl/ctrlProps/ctrlProp2198.xml" ContentType="application/vnd.ms-excel.controlproperties+xml"/>
  <Override PartName="/xl/ctrlProps/ctrlProp2199.xml" ContentType="application/vnd.ms-excel.controlproperties+xml"/>
  <Override PartName="/xl/ctrlProps/ctrlProp2200.xml" ContentType="application/vnd.ms-excel.controlproperties+xml"/>
  <Override PartName="/xl/ctrlProps/ctrlProp2201.xml" ContentType="application/vnd.ms-excel.controlproperties+xml"/>
  <Override PartName="/xl/ctrlProps/ctrlProp2202.xml" ContentType="application/vnd.ms-excel.controlproperties+xml"/>
  <Override PartName="/xl/ctrlProps/ctrlProp2203.xml" ContentType="application/vnd.ms-excel.controlproperties+xml"/>
  <Override PartName="/xl/ctrlProps/ctrlProp2204.xml" ContentType="application/vnd.ms-excel.controlproperties+xml"/>
  <Override PartName="/xl/ctrlProps/ctrlProp2205.xml" ContentType="application/vnd.ms-excel.controlproperties+xml"/>
  <Override PartName="/xl/ctrlProps/ctrlProp2206.xml" ContentType="application/vnd.ms-excel.controlproperties+xml"/>
  <Override PartName="/xl/ctrlProps/ctrlProp2207.xml" ContentType="application/vnd.ms-excel.controlproperties+xml"/>
  <Override PartName="/xl/ctrlProps/ctrlProp2208.xml" ContentType="application/vnd.ms-excel.controlproperties+xml"/>
  <Override PartName="/xl/ctrlProps/ctrlProp2209.xml" ContentType="application/vnd.ms-excel.controlproperties+xml"/>
  <Override PartName="/xl/ctrlProps/ctrlProp2210.xml" ContentType="application/vnd.ms-excel.controlproperties+xml"/>
  <Override PartName="/xl/ctrlProps/ctrlProp2211.xml" ContentType="application/vnd.ms-excel.controlproperties+xml"/>
  <Override PartName="/xl/ctrlProps/ctrlProp2212.xml" ContentType="application/vnd.ms-excel.controlproperties+xml"/>
  <Override PartName="/xl/ctrlProps/ctrlProp2213.xml" ContentType="application/vnd.ms-excel.controlproperties+xml"/>
  <Override PartName="/xl/ctrlProps/ctrlProp2214.xml" ContentType="application/vnd.ms-excel.controlproperties+xml"/>
  <Override PartName="/xl/ctrlProps/ctrlProp2215.xml" ContentType="application/vnd.ms-excel.controlproperties+xml"/>
  <Override PartName="/xl/ctrlProps/ctrlProp2216.xml" ContentType="application/vnd.ms-excel.controlproperties+xml"/>
  <Override PartName="/xl/ctrlProps/ctrlProp2217.xml" ContentType="application/vnd.ms-excel.controlproperties+xml"/>
  <Override PartName="/xl/ctrlProps/ctrlProp2218.xml" ContentType="application/vnd.ms-excel.controlproperties+xml"/>
  <Override PartName="/xl/ctrlProps/ctrlProp2219.xml" ContentType="application/vnd.ms-excel.controlproperties+xml"/>
  <Override PartName="/xl/ctrlProps/ctrlProp2220.xml" ContentType="application/vnd.ms-excel.controlproperties+xml"/>
  <Override PartName="/xl/ctrlProps/ctrlProp2221.xml" ContentType="application/vnd.ms-excel.controlproperties+xml"/>
  <Override PartName="/xl/ctrlProps/ctrlProp2222.xml" ContentType="application/vnd.ms-excel.controlproperties+xml"/>
  <Override PartName="/xl/ctrlProps/ctrlProp2223.xml" ContentType="application/vnd.ms-excel.controlproperties+xml"/>
  <Override PartName="/xl/ctrlProps/ctrlProp2224.xml" ContentType="application/vnd.ms-excel.controlproperties+xml"/>
  <Override PartName="/xl/ctrlProps/ctrlProp2225.xml" ContentType="application/vnd.ms-excel.controlproperties+xml"/>
  <Override PartName="/xl/ctrlProps/ctrlProp2226.xml" ContentType="application/vnd.ms-excel.controlproperties+xml"/>
  <Override PartName="/xl/ctrlProps/ctrlProp2227.xml" ContentType="application/vnd.ms-excel.controlproperties+xml"/>
  <Override PartName="/xl/ctrlProps/ctrlProp2228.xml" ContentType="application/vnd.ms-excel.controlproperties+xml"/>
  <Override PartName="/xl/ctrlProps/ctrlProp2229.xml" ContentType="application/vnd.ms-excel.controlproperties+xml"/>
  <Override PartName="/xl/ctrlProps/ctrlProp2230.xml" ContentType="application/vnd.ms-excel.controlproperties+xml"/>
  <Override PartName="/xl/ctrlProps/ctrlProp2231.xml" ContentType="application/vnd.ms-excel.controlproperties+xml"/>
  <Override PartName="/xl/ctrlProps/ctrlProp2232.xml" ContentType="application/vnd.ms-excel.controlproperties+xml"/>
  <Override PartName="/xl/ctrlProps/ctrlProp2233.xml" ContentType="application/vnd.ms-excel.controlproperties+xml"/>
  <Override PartName="/xl/ctrlProps/ctrlProp2234.xml" ContentType="application/vnd.ms-excel.controlproperties+xml"/>
  <Override PartName="/xl/ctrlProps/ctrlProp2235.xml" ContentType="application/vnd.ms-excel.controlproperties+xml"/>
  <Override PartName="/xl/ctrlProps/ctrlProp2236.xml" ContentType="application/vnd.ms-excel.controlproperties+xml"/>
  <Override PartName="/xl/ctrlProps/ctrlProp2237.xml" ContentType="application/vnd.ms-excel.controlproperties+xml"/>
  <Override PartName="/xl/ctrlProps/ctrlProp2238.xml" ContentType="application/vnd.ms-excel.controlproperties+xml"/>
  <Override PartName="/xl/ctrlProps/ctrlProp2239.xml" ContentType="application/vnd.ms-excel.controlproperties+xml"/>
  <Override PartName="/xl/ctrlProps/ctrlProp2240.xml" ContentType="application/vnd.ms-excel.controlproperties+xml"/>
  <Override PartName="/xl/ctrlProps/ctrlProp2241.xml" ContentType="application/vnd.ms-excel.controlproperties+xml"/>
  <Override PartName="/xl/ctrlProps/ctrlProp2242.xml" ContentType="application/vnd.ms-excel.controlproperties+xml"/>
  <Override PartName="/xl/ctrlProps/ctrlProp2243.xml" ContentType="application/vnd.ms-excel.controlproperties+xml"/>
  <Override PartName="/xl/ctrlProps/ctrlProp2244.xml" ContentType="application/vnd.ms-excel.controlproperties+xml"/>
  <Override PartName="/xl/ctrlProps/ctrlProp2245.xml" ContentType="application/vnd.ms-excel.controlproperties+xml"/>
  <Override PartName="/xl/ctrlProps/ctrlProp2246.xml" ContentType="application/vnd.ms-excel.controlproperties+xml"/>
  <Override PartName="/xl/ctrlProps/ctrlProp2247.xml" ContentType="application/vnd.ms-excel.controlproperties+xml"/>
  <Override PartName="/xl/ctrlProps/ctrlProp2248.xml" ContentType="application/vnd.ms-excel.controlproperties+xml"/>
  <Override PartName="/xl/ctrlProps/ctrlProp2249.xml" ContentType="application/vnd.ms-excel.controlproperties+xml"/>
  <Override PartName="/xl/ctrlProps/ctrlProp2250.xml" ContentType="application/vnd.ms-excel.controlproperties+xml"/>
  <Override PartName="/xl/ctrlProps/ctrlProp2251.xml" ContentType="application/vnd.ms-excel.controlproperties+xml"/>
  <Override PartName="/xl/ctrlProps/ctrlProp2252.xml" ContentType="application/vnd.ms-excel.controlproperties+xml"/>
  <Override PartName="/xl/ctrlProps/ctrlProp2253.xml" ContentType="application/vnd.ms-excel.controlproperties+xml"/>
  <Override PartName="/xl/ctrlProps/ctrlProp2254.xml" ContentType="application/vnd.ms-excel.controlproperties+xml"/>
  <Override PartName="/xl/ctrlProps/ctrlProp2255.xml" ContentType="application/vnd.ms-excel.controlproperties+xml"/>
  <Override PartName="/xl/ctrlProps/ctrlProp2256.xml" ContentType="application/vnd.ms-excel.controlproperties+xml"/>
  <Override PartName="/xl/ctrlProps/ctrlProp2257.xml" ContentType="application/vnd.ms-excel.controlproperties+xml"/>
  <Override PartName="/xl/ctrlProps/ctrlProp2258.xml" ContentType="application/vnd.ms-excel.controlproperties+xml"/>
  <Override PartName="/xl/ctrlProps/ctrlProp2259.xml" ContentType="application/vnd.ms-excel.controlproperties+xml"/>
  <Override PartName="/xl/ctrlProps/ctrlProp2260.xml" ContentType="application/vnd.ms-excel.controlproperties+xml"/>
  <Override PartName="/xl/ctrlProps/ctrlProp2261.xml" ContentType="application/vnd.ms-excel.controlproperties+xml"/>
  <Override PartName="/xl/ctrlProps/ctrlProp2262.xml" ContentType="application/vnd.ms-excel.controlproperties+xml"/>
  <Override PartName="/xl/ctrlProps/ctrlProp2263.xml" ContentType="application/vnd.ms-excel.controlproperties+xml"/>
  <Override PartName="/xl/ctrlProps/ctrlProp2264.xml" ContentType="application/vnd.ms-excel.controlproperties+xml"/>
  <Override PartName="/xl/ctrlProps/ctrlProp2265.xml" ContentType="application/vnd.ms-excel.controlproperties+xml"/>
  <Override PartName="/xl/ctrlProps/ctrlProp2266.xml" ContentType="application/vnd.ms-excel.controlproperties+xml"/>
  <Override PartName="/xl/ctrlProps/ctrlProp2267.xml" ContentType="application/vnd.ms-excel.controlproperties+xml"/>
  <Override PartName="/xl/ctrlProps/ctrlProp2268.xml" ContentType="application/vnd.ms-excel.controlproperties+xml"/>
  <Override PartName="/xl/ctrlProps/ctrlProp2269.xml" ContentType="application/vnd.ms-excel.controlproperties+xml"/>
  <Override PartName="/xl/ctrlProps/ctrlProp2270.xml" ContentType="application/vnd.ms-excel.controlproperties+xml"/>
  <Override PartName="/xl/ctrlProps/ctrlProp2271.xml" ContentType="application/vnd.ms-excel.controlproperties+xml"/>
  <Override PartName="/xl/ctrlProps/ctrlProp2272.xml" ContentType="application/vnd.ms-excel.controlproperties+xml"/>
  <Override PartName="/xl/ctrlProps/ctrlProp2273.xml" ContentType="application/vnd.ms-excel.controlproperties+xml"/>
  <Override PartName="/xl/ctrlProps/ctrlProp2274.xml" ContentType="application/vnd.ms-excel.controlproperties+xml"/>
  <Override PartName="/xl/ctrlProps/ctrlProp2275.xml" ContentType="application/vnd.ms-excel.controlproperties+xml"/>
  <Override PartName="/xl/ctrlProps/ctrlProp2276.xml" ContentType="application/vnd.ms-excel.controlproperties+xml"/>
  <Override PartName="/xl/ctrlProps/ctrlProp2277.xml" ContentType="application/vnd.ms-excel.controlproperties+xml"/>
  <Override PartName="/xl/ctrlProps/ctrlProp2278.xml" ContentType="application/vnd.ms-excel.controlproperties+xml"/>
  <Override PartName="/xl/ctrlProps/ctrlProp2279.xml" ContentType="application/vnd.ms-excel.controlproperties+xml"/>
  <Override PartName="/xl/ctrlProps/ctrlProp2280.xml" ContentType="application/vnd.ms-excel.controlproperties+xml"/>
  <Override PartName="/xl/ctrlProps/ctrlProp2281.xml" ContentType="application/vnd.ms-excel.controlproperties+xml"/>
  <Override PartName="/xl/ctrlProps/ctrlProp2282.xml" ContentType="application/vnd.ms-excel.controlproperties+xml"/>
  <Override PartName="/xl/ctrlProps/ctrlProp2283.xml" ContentType="application/vnd.ms-excel.controlproperties+xml"/>
  <Override PartName="/xl/ctrlProps/ctrlProp2284.xml" ContentType="application/vnd.ms-excel.controlproperties+xml"/>
  <Override PartName="/xl/ctrlProps/ctrlProp2285.xml" ContentType="application/vnd.ms-excel.controlproperties+xml"/>
  <Override PartName="/xl/ctrlProps/ctrlProp2286.xml" ContentType="application/vnd.ms-excel.controlproperties+xml"/>
  <Override PartName="/xl/ctrlProps/ctrlProp2287.xml" ContentType="application/vnd.ms-excel.controlproperties+xml"/>
  <Override PartName="/xl/ctrlProps/ctrlProp2288.xml" ContentType="application/vnd.ms-excel.controlproperties+xml"/>
  <Override PartName="/xl/ctrlProps/ctrlProp2289.xml" ContentType="application/vnd.ms-excel.controlproperties+xml"/>
  <Override PartName="/xl/ctrlProps/ctrlProp2290.xml" ContentType="application/vnd.ms-excel.controlproperties+xml"/>
  <Override PartName="/xl/ctrlProps/ctrlProp2291.xml" ContentType="application/vnd.ms-excel.controlproperties+xml"/>
  <Override PartName="/xl/ctrlProps/ctrlProp2292.xml" ContentType="application/vnd.ms-excel.controlproperties+xml"/>
  <Override PartName="/xl/ctrlProps/ctrlProp2293.xml" ContentType="application/vnd.ms-excel.controlproperties+xml"/>
  <Override PartName="/xl/ctrlProps/ctrlProp2294.xml" ContentType="application/vnd.ms-excel.controlproperties+xml"/>
  <Override PartName="/xl/ctrlProps/ctrlProp2295.xml" ContentType="application/vnd.ms-excel.controlproperties+xml"/>
  <Override PartName="/xl/ctrlProps/ctrlProp2296.xml" ContentType="application/vnd.ms-excel.controlproperties+xml"/>
  <Override PartName="/xl/ctrlProps/ctrlProp2297.xml" ContentType="application/vnd.ms-excel.controlproperties+xml"/>
  <Override PartName="/xl/ctrlProps/ctrlProp2298.xml" ContentType="application/vnd.ms-excel.controlproperties+xml"/>
  <Override PartName="/xl/ctrlProps/ctrlProp2299.xml" ContentType="application/vnd.ms-excel.controlproperties+xml"/>
  <Override PartName="/xl/ctrlProps/ctrlProp2300.xml" ContentType="application/vnd.ms-excel.controlproperties+xml"/>
  <Override PartName="/xl/ctrlProps/ctrlProp2301.xml" ContentType="application/vnd.ms-excel.controlproperties+xml"/>
  <Override PartName="/xl/ctrlProps/ctrlProp2302.xml" ContentType="application/vnd.ms-excel.controlproperties+xml"/>
  <Override PartName="/xl/ctrlProps/ctrlProp2303.xml" ContentType="application/vnd.ms-excel.controlproperties+xml"/>
  <Override PartName="/xl/ctrlProps/ctrlProp2304.xml" ContentType="application/vnd.ms-excel.controlproperties+xml"/>
  <Override PartName="/xl/ctrlProps/ctrlProp2305.xml" ContentType="application/vnd.ms-excel.controlproperties+xml"/>
  <Override PartName="/xl/ctrlProps/ctrlProp2306.xml" ContentType="application/vnd.ms-excel.controlproperties+xml"/>
  <Override PartName="/xl/ctrlProps/ctrlProp2307.xml" ContentType="application/vnd.ms-excel.controlproperties+xml"/>
  <Override PartName="/xl/ctrlProps/ctrlProp2308.xml" ContentType="application/vnd.ms-excel.controlproperties+xml"/>
  <Override PartName="/xl/ctrlProps/ctrlProp2309.xml" ContentType="application/vnd.ms-excel.controlproperties+xml"/>
  <Override PartName="/xl/ctrlProps/ctrlProp2310.xml" ContentType="application/vnd.ms-excel.controlproperties+xml"/>
  <Override PartName="/xl/ctrlProps/ctrlProp2311.xml" ContentType="application/vnd.ms-excel.controlproperties+xml"/>
  <Override PartName="/xl/ctrlProps/ctrlProp2312.xml" ContentType="application/vnd.ms-excel.controlproperties+xml"/>
  <Override PartName="/xl/ctrlProps/ctrlProp2313.xml" ContentType="application/vnd.ms-excel.controlproperties+xml"/>
  <Override PartName="/xl/ctrlProps/ctrlProp2314.xml" ContentType="application/vnd.ms-excel.controlproperties+xml"/>
  <Override PartName="/xl/ctrlProps/ctrlProp2315.xml" ContentType="application/vnd.ms-excel.controlproperties+xml"/>
  <Override PartName="/xl/ctrlProps/ctrlProp2316.xml" ContentType="application/vnd.ms-excel.controlproperties+xml"/>
  <Override PartName="/xl/ctrlProps/ctrlProp2317.xml" ContentType="application/vnd.ms-excel.controlproperties+xml"/>
  <Override PartName="/xl/ctrlProps/ctrlProp2318.xml" ContentType="application/vnd.ms-excel.controlproperties+xml"/>
  <Override PartName="/xl/ctrlProps/ctrlProp2319.xml" ContentType="application/vnd.ms-excel.controlproperties+xml"/>
  <Override PartName="/xl/ctrlProps/ctrlProp2320.xml" ContentType="application/vnd.ms-excel.controlproperties+xml"/>
  <Override PartName="/xl/ctrlProps/ctrlProp2321.xml" ContentType="application/vnd.ms-excel.controlproperties+xml"/>
  <Override PartName="/xl/ctrlProps/ctrlProp2322.xml" ContentType="application/vnd.ms-excel.controlproperties+xml"/>
  <Override PartName="/xl/ctrlProps/ctrlProp2323.xml" ContentType="application/vnd.ms-excel.controlproperties+xml"/>
  <Override PartName="/xl/ctrlProps/ctrlProp2324.xml" ContentType="application/vnd.ms-excel.controlproperties+xml"/>
  <Override PartName="/xl/ctrlProps/ctrlProp2325.xml" ContentType="application/vnd.ms-excel.controlproperties+xml"/>
  <Override PartName="/xl/ctrlProps/ctrlProp2326.xml" ContentType="application/vnd.ms-excel.controlproperties+xml"/>
  <Override PartName="/xl/ctrlProps/ctrlProp2327.xml" ContentType="application/vnd.ms-excel.controlproperties+xml"/>
  <Override PartName="/xl/ctrlProps/ctrlProp2328.xml" ContentType="application/vnd.ms-excel.controlproperties+xml"/>
  <Override PartName="/xl/ctrlProps/ctrlProp2329.xml" ContentType="application/vnd.ms-excel.controlproperties+xml"/>
  <Override PartName="/xl/ctrlProps/ctrlProp2330.xml" ContentType="application/vnd.ms-excel.controlproperties+xml"/>
  <Override PartName="/xl/ctrlProps/ctrlProp2331.xml" ContentType="application/vnd.ms-excel.controlproperties+xml"/>
  <Override PartName="/xl/ctrlProps/ctrlProp2332.xml" ContentType="application/vnd.ms-excel.controlproperties+xml"/>
  <Override PartName="/xl/ctrlProps/ctrlProp2333.xml" ContentType="application/vnd.ms-excel.controlproperties+xml"/>
  <Override PartName="/xl/ctrlProps/ctrlProp2334.xml" ContentType="application/vnd.ms-excel.controlproperties+xml"/>
  <Override PartName="/xl/ctrlProps/ctrlProp2335.xml" ContentType="application/vnd.ms-excel.controlproperties+xml"/>
  <Override PartName="/xl/ctrlProps/ctrlProp2336.xml" ContentType="application/vnd.ms-excel.controlproperties+xml"/>
  <Override PartName="/xl/ctrlProps/ctrlProp2337.xml" ContentType="application/vnd.ms-excel.controlproperties+xml"/>
  <Override PartName="/xl/ctrlProps/ctrlProp2338.xml" ContentType="application/vnd.ms-excel.controlproperties+xml"/>
  <Override PartName="/xl/ctrlProps/ctrlProp2339.xml" ContentType="application/vnd.ms-excel.controlproperties+xml"/>
  <Override PartName="/xl/ctrlProps/ctrlProp2340.xml" ContentType="application/vnd.ms-excel.controlproperties+xml"/>
  <Override PartName="/xl/ctrlProps/ctrlProp2341.xml" ContentType="application/vnd.ms-excel.controlproperties+xml"/>
  <Override PartName="/xl/ctrlProps/ctrlProp2342.xml" ContentType="application/vnd.ms-excel.controlproperties+xml"/>
  <Override PartName="/xl/ctrlProps/ctrlProp2343.xml" ContentType="application/vnd.ms-excel.controlproperties+xml"/>
  <Override PartName="/xl/ctrlProps/ctrlProp2344.xml" ContentType="application/vnd.ms-excel.controlproperties+xml"/>
  <Override PartName="/xl/ctrlProps/ctrlProp2345.xml" ContentType="application/vnd.ms-excel.controlproperties+xml"/>
  <Override PartName="/xl/ctrlProps/ctrlProp2346.xml" ContentType="application/vnd.ms-excel.controlproperties+xml"/>
  <Override PartName="/xl/ctrlProps/ctrlProp2347.xml" ContentType="application/vnd.ms-excel.controlproperties+xml"/>
  <Override PartName="/xl/ctrlProps/ctrlProp2348.xml" ContentType="application/vnd.ms-excel.controlproperties+xml"/>
  <Override PartName="/xl/ctrlProps/ctrlProp2349.xml" ContentType="application/vnd.ms-excel.controlproperties+xml"/>
  <Override PartName="/xl/ctrlProps/ctrlProp2350.xml" ContentType="application/vnd.ms-excel.controlproperties+xml"/>
  <Override PartName="/xl/ctrlProps/ctrlProp2351.xml" ContentType="application/vnd.ms-excel.controlproperties+xml"/>
  <Override PartName="/xl/ctrlProps/ctrlProp2352.xml" ContentType="application/vnd.ms-excel.controlproperties+xml"/>
  <Override PartName="/xl/ctrlProps/ctrlProp2353.xml" ContentType="application/vnd.ms-excel.controlproperties+xml"/>
  <Override PartName="/xl/ctrlProps/ctrlProp2354.xml" ContentType="application/vnd.ms-excel.controlproperties+xml"/>
  <Override PartName="/xl/ctrlProps/ctrlProp2355.xml" ContentType="application/vnd.ms-excel.controlproperties+xml"/>
  <Override PartName="/xl/ctrlProps/ctrlProp2356.xml" ContentType="application/vnd.ms-excel.controlproperties+xml"/>
  <Override PartName="/xl/ctrlProps/ctrlProp2357.xml" ContentType="application/vnd.ms-excel.controlproperties+xml"/>
  <Override PartName="/xl/ctrlProps/ctrlProp2358.xml" ContentType="application/vnd.ms-excel.controlproperties+xml"/>
  <Override PartName="/xl/ctrlProps/ctrlProp2359.xml" ContentType="application/vnd.ms-excel.controlproperties+xml"/>
  <Override PartName="/xl/ctrlProps/ctrlProp2360.xml" ContentType="application/vnd.ms-excel.controlproperties+xml"/>
  <Override PartName="/xl/ctrlProps/ctrlProp2361.xml" ContentType="application/vnd.ms-excel.controlproperties+xml"/>
  <Override PartName="/xl/ctrlProps/ctrlProp2362.xml" ContentType="application/vnd.ms-excel.controlproperties+xml"/>
  <Override PartName="/xl/ctrlProps/ctrlProp2363.xml" ContentType="application/vnd.ms-excel.controlproperties+xml"/>
  <Override PartName="/xl/ctrlProps/ctrlProp2364.xml" ContentType="application/vnd.ms-excel.controlproperties+xml"/>
  <Override PartName="/xl/ctrlProps/ctrlProp2365.xml" ContentType="application/vnd.ms-excel.controlproperties+xml"/>
  <Override PartName="/xl/ctrlProps/ctrlProp2366.xml" ContentType="application/vnd.ms-excel.controlproperties+xml"/>
  <Override PartName="/xl/ctrlProps/ctrlProp2367.xml" ContentType="application/vnd.ms-excel.controlproperties+xml"/>
  <Override PartName="/xl/ctrlProps/ctrlProp2368.xml" ContentType="application/vnd.ms-excel.controlproperties+xml"/>
  <Override PartName="/xl/ctrlProps/ctrlProp2369.xml" ContentType="application/vnd.ms-excel.controlproperties+xml"/>
  <Override PartName="/xl/ctrlProps/ctrlProp2370.xml" ContentType="application/vnd.ms-excel.controlproperties+xml"/>
  <Override PartName="/xl/ctrlProps/ctrlProp2371.xml" ContentType="application/vnd.ms-excel.controlproperties+xml"/>
  <Override PartName="/xl/ctrlProps/ctrlProp2372.xml" ContentType="application/vnd.ms-excel.controlproperties+xml"/>
  <Override PartName="/xl/ctrlProps/ctrlProp2373.xml" ContentType="application/vnd.ms-excel.controlproperties+xml"/>
  <Override PartName="/xl/ctrlProps/ctrlProp2374.xml" ContentType="application/vnd.ms-excel.controlproperties+xml"/>
  <Override PartName="/xl/ctrlProps/ctrlProp2375.xml" ContentType="application/vnd.ms-excel.controlproperties+xml"/>
  <Override PartName="/xl/ctrlProps/ctrlProp2376.xml" ContentType="application/vnd.ms-excel.controlproperties+xml"/>
  <Override PartName="/xl/ctrlProps/ctrlProp2377.xml" ContentType="application/vnd.ms-excel.controlproperties+xml"/>
  <Override PartName="/xl/ctrlProps/ctrlProp2378.xml" ContentType="application/vnd.ms-excel.controlproperties+xml"/>
  <Override PartName="/xl/ctrlProps/ctrlProp2379.xml" ContentType="application/vnd.ms-excel.controlproperties+xml"/>
  <Override PartName="/xl/ctrlProps/ctrlProp2380.xml" ContentType="application/vnd.ms-excel.controlproperties+xml"/>
  <Override PartName="/xl/ctrlProps/ctrlProp2381.xml" ContentType="application/vnd.ms-excel.controlproperties+xml"/>
  <Override PartName="/xl/ctrlProps/ctrlProp2382.xml" ContentType="application/vnd.ms-excel.controlproperties+xml"/>
  <Override PartName="/xl/ctrlProps/ctrlProp2383.xml" ContentType="application/vnd.ms-excel.controlproperties+xml"/>
  <Override PartName="/xl/ctrlProps/ctrlProp2384.xml" ContentType="application/vnd.ms-excel.controlproperties+xml"/>
  <Override PartName="/xl/ctrlProps/ctrlProp2385.xml" ContentType="application/vnd.ms-excel.controlproperties+xml"/>
  <Override PartName="/xl/ctrlProps/ctrlProp2386.xml" ContentType="application/vnd.ms-excel.controlproperties+xml"/>
  <Override PartName="/xl/ctrlProps/ctrlProp2387.xml" ContentType="application/vnd.ms-excel.controlproperties+xml"/>
  <Override PartName="/xl/ctrlProps/ctrlProp2388.xml" ContentType="application/vnd.ms-excel.controlproperties+xml"/>
  <Override PartName="/xl/ctrlProps/ctrlProp2389.xml" ContentType="application/vnd.ms-excel.controlproperties+xml"/>
  <Override PartName="/xl/ctrlProps/ctrlProp2390.xml" ContentType="application/vnd.ms-excel.controlproperties+xml"/>
  <Override PartName="/xl/ctrlProps/ctrlProp2391.xml" ContentType="application/vnd.ms-excel.controlproperties+xml"/>
  <Override PartName="/xl/ctrlProps/ctrlProp2392.xml" ContentType="application/vnd.ms-excel.controlproperties+xml"/>
  <Override PartName="/xl/ctrlProps/ctrlProp2393.xml" ContentType="application/vnd.ms-excel.controlproperties+xml"/>
  <Override PartName="/xl/ctrlProps/ctrlProp2394.xml" ContentType="application/vnd.ms-excel.controlproperties+xml"/>
  <Override PartName="/xl/ctrlProps/ctrlProp2395.xml" ContentType="application/vnd.ms-excel.controlproperties+xml"/>
  <Override PartName="/xl/ctrlProps/ctrlProp2396.xml" ContentType="application/vnd.ms-excel.controlproperties+xml"/>
  <Override PartName="/xl/ctrlProps/ctrlProp2397.xml" ContentType="application/vnd.ms-excel.controlproperties+xml"/>
  <Override PartName="/xl/ctrlProps/ctrlProp2398.xml" ContentType="application/vnd.ms-excel.controlproperties+xml"/>
  <Override PartName="/xl/ctrlProps/ctrlProp2399.xml" ContentType="application/vnd.ms-excel.controlproperties+xml"/>
  <Override PartName="/xl/ctrlProps/ctrlProp2400.xml" ContentType="application/vnd.ms-excel.controlproperties+xml"/>
  <Override PartName="/xl/ctrlProps/ctrlProp2401.xml" ContentType="application/vnd.ms-excel.controlproperties+xml"/>
  <Override PartName="/xl/ctrlProps/ctrlProp2402.xml" ContentType="application/vnd.ms-excel.controlproperties+xml"/>
  <Override PartName="/xl/ctrlProps/ctrlProp2403.xml" ContentType="application/vnd.ms-excel.controlproperties+xml"/>
  <Override PartName="/xl/ctrlProps/ctrlProp2404.xml" ContentType="application/vnd.ms-excel.controlproperties+xml"/>
  <Override PartName="/xl/ctrlProps/ctrlProp2405.xml" ContentType="application/vnd.ms-excel.controlproperties+xml"/>
  <Override PartName="/xl/ctrlProps/ctrlProp2406.xml" ContentType="application/vnd.ms-excel.controlproperties+xml"/>
  <Override PartName="/xl/ctrlProps/ctrlProp2407.xml" ContentType="application/vnd.ms-excel.controlproperties+xml"/>
  <Override PartName="/xl/ctrlProps/ctrlProp2408.xml" ContentType="application/vnd.ms-excel.controlproperties+xml"/>
  <Override PartName="/xl/ctrlProps/ctrlProp2409.xml" ContentType="application/vnd.ms-excel.controlproperties+xml"/>
  <Override PartName="/xl/ctrlProps/ctrlProp2410.xml" ContentType="application/vnd.ms-excel.controlproperties+xml"/>
  <Override PartName="/xl/ctrlProps/ctrlProp2411.xml" ContentType="application/vnd.ms-excel.controlproperties+xml"/>
  <Override PartName="/xl/ctrlProps/ctrlProp2412.xml" ContentType="application/vnd.ms-excel.controlproperties+xml"/>
  <Override PartName="/xl/ctrlProps/ctrlProp2413.xml" ContentType="application/vnd.ms-excel.controlproperties+xml"/>
  <Override PartName="/xl/ctrlProps/ctrlProp2414.xml" ContentType="application/vnd.ms-excel.controlproperties+xml"/>
  <Override PartName="/xl/ctrlProps/ctrlProp2415.xml" ContentType="application/vnd.ms-excel.controlproperties+xml"/>
  <Override PartName="/xl/ctrlProps/ctrlProp2416.xml" ContentType="application/vnd.ms-excel.controlproperties+xml"/>
  <Override PartName="/xl/ctrlProps/ctrlProp2417.xml" ContentType="application/vnd.ms-excel.controlproperties+xml"/>
  <Override PartName="/xl/ctrlProps/ctrlProp2418.xml" ContentType="application/vnd.ms-excel.controlproperties+xml"/>
  <Override PartName="/xl/ctrlProps/ctrlProp2419.xml" ContentType="application/vnd.ms-excel.controlproperties+xml"/>
  <Override PartName="/xl/ctrlProps/ctrlProp2420.xml" ContentType="application/vnd.ms-excel.controlproperties+xml"/>
  <Override PartName="/xl/ctrlProps/ctrlProp2421.xml" ContentType="application/vnd.ms-excel.controlproperties+xml"/>
  <Override PartName="/xl/ctrlProps/ctrlProp2422.xml" ContentType="application/vnd.ms-excel.controlproperties+xml"/>
  <Override PartName="/xl/ctrlProps/ctrlProp2423.xml" ContentType="application/vnd.ms-excel.controlproperties+xml"/>
  <Override PartName="/xl/ctrlProps/ctrlProp2424.xml" ContentType="application/vnd.ms-excel.controlproperties+xml"/>
  <Override PartName="/xl/ctrlProps/ctrlProp2425.xml" ContentType="application/vnd.ms-excel.controlproperties+xml"/>
  <Override PartName="/xl/ctrlProps/ctrlProp2426.xml" ContentType="application/vnd.ms-excel.controlproperties+xml"/>
  <Override PartName="/xl/ctrlProps/ctrlProp2427.xml" ContentType="application/vnd.ms-excel.controlproperties+xml"/>
  <Override PartName="/xl/ctrlProps/ctrlProp2428.xml" ContentType="application/vnd.ms-excel.controlproperties+xml"/>
  <Override PartName="/xl/ctrlProps/ctrlProp2429.xml" ContentType="application/vnd.ms-excel.controlproperties+xml"/>
  <Override PartName="/xl/ctrlProps/ctrlProp2430.xml" ContentType="application/vnd.ms-excel.controlproperties+xml"/>
  <Override PartName="/xl/ctrlProps/ctrlProp2431.xml" ContentType="application/vnd.ms-excel.controlproperties+xml"/>
  <Override PartName="/xl/ctrlProps/ctrlProp2432.xml" ContentType="application/vnd.ms-excel.controlproperties+xml"/>
  <Override PartName="/xl/ctrlProps/ctrlProp2433.xml" ContentType="application/vnd.ms-excel.controlproperties+xml"/>
  <Override PartName="/xl/ctrlProps/ctrlProp2434.xml" ContentType="application/vnd.ms-excel.controlproperties+xml"/>
  <Override PartName="/xl/ctrlProps/ctrlProp2435.xml" ContentType="application/vnd.ms-excel.controlproperties+xml"/>
  <Override PartName="/xl/ctrlProps/ctrlProp2436.xml" ContentType="application/vnd.ms-excel.controlproperties+xml"/>
  <Override PartName="/xl/ctrlProps/ctrlProp2437.xml" ContentType="application/vnd.ms-excel.controlproperties+xml"/>
  <Override PartName="/xl/ctrlProps/ctrlProp2438.xml" ContentType="application/vnd.ms-excel.controlproperties+xml"/>
  <Override PartName="/xl/ctrlProps/ctrlProp2439.xml" ContentType="application/vnd.ms-excel.controlproperties+xml"/>
  <Override PartName="/xl/ctrlProps/ctrlProp2440.xml" ContentType="application/vnd.ms-excel.controlproperties+xml"/>
  <Override PartName="/xl/ctrlProps/ctrlProp2441.xml" ContentType="application/vnd.ms-excel.controlproperties+xml"/>
  <Override PartName="/xl/ctrlProps/ctrlProp2442.xml" ContentType="application/vnd.ms-excel.controlproperties+xml"/>
  <Override PartName="/xl/ctrlProps/ctrlProp2443.xml" ContentType="application/vnd.ms-excel.controlproperties+xml"/>
  <Override PartName="/xl/ctrlProps/ctrlProp2444.xml" ContentType="application/vnd.ms-excel.controlproperties+xml"/>
  <Override PartName="/xl/ctrlProps/ctrlProp2445.xml" ContentType="application/vnd.ms-excel.controlproperties+xml"/>
  <Override PartName="/xl/ctrlProps/ctrlProp2446.xml" ContentType="application/vnd.ms-excel.controlproperties+xml"/>
  <Override PartName="/xl/ctrlProps/ctrlProp2447.xml" ContentType="application/vnd.ms-excel.controlproperties+xml"/>
  <Override PartName="/xl/ctrlProps/ctrlProp2448.xml" ContentType="application/vnd.ms-excel.controlproperties+xml"/>
  <Override PartName="/xl/ctrlProps/ctrlProp2449.xml" ContentType="application/vnd.ms-excel.controlproperties+xml"/>
  <Override PartName="/xl/ctrlProps/ctrlProp2450.xml" ContentType="application/vnd.ms-excel.controlproperties+xml"/>
  <Override PartName="/xl/ctrlProps/ctrlProp2451.xml" ContentType="application/vnd.ms-excel.controlproperties+xml"/>
  <Override PartName="/xl/ctrlProps/ctrlProp2452.xml" ContentType="application/vnd.ms-excel.controlproperties+xml"/>
  <Override PartName="/xl/ctrlProps/ctrlProp2453.xml" ContentType="application/vnd.ms-excel.controlproperties+xml"/>
  <Override PartName="/xl/ctrlProps/ctrlProp2454.xml" ContentType="application/vnd.ms-excel.controlproperties+xml"/>
  <Override PartName="/xl/ctrlProps/ctrlProp2455.xml" ContentType="application/vnd.ms-excel.controlproperties+xml"/>
  <Override PartName="/xl/ctrlProps/ctrlProp2456.xml" ContentType="application/vnd.ms-excel.controlproperties+xml"/>
  <Override PartName="/xl/ctrlProps/ctrlProp2457.xml" ContentType="application/vnd.ms-excel.controlproperties+xml"/>
  <Override PartName="/xl/ctrlProps/ctrlProp2458.xml" ContentType="application/vnd.ms-excel.controlproperties+xml"/>
  <Override PartName="/xl/ctrlProps/ctrlProp2459.xml" ContentType="application/vnd.ms-excel.controlproperties+xml"/>
  <Override PartName="/xl/ctrlProps/ctrlProp2460.xml" ContentType="application/vnd.ms-excel.controlproperties+xml"/>
  <Override PartName="/xl/ctrlProps/ctrlProp2461.xml" ContentType="application/vnd.ms-excel.controlproperties+xml"/>
  <Override PartName="/xl/ctrlProps/ctrlProp2462.xml" ContentType="application/vnd.ms-excel.controlproperties+xml"/>
  <Override PartName="/xl/ctrlProps/ctrlProp2463.xml" ContentType="application/vnd.ms-excel.controlproperties+xml"/>
  <Override PartName="/xl/ctrlProps/ctrlProp2464.xml" ContentType="application/vnd.ms-excel.controlproperties+xml"/>
  <Override PartName="/xl/ctrlProps/ctrlProp2465.xml" ContentType="application/vnd.ms-excel.controlproperties+xml"/>
  <Override PartName="/xl/ctrlProps/ctrlProp2466.xml" ContentType="application/vnd.ms-excel.controlproperties+xml"/>
  <Override PartName="/xl/ctrlProps/ctrlProp2467.xml" ContentType="application/vnd.ms-excel.controlproperties+xml"/>
  <Override PartName="/xl/ctrlProps/ctrlProp2468.xml" ContentType="application/vnd.ms-excel.controlproperties+xml"/>
  <Override PartName="/xl/ctrlProps/ctrlProp2469.xml" ContentType="application/vnd.ms-excel.controlproperties+xml"/>
  <Override PartName="/xl/ctrlProps/ctrlProp2470.xml" ContentType="application/vnd.ms-excel.controlproperties+xml"/>
  <Override PartName="/xl/ctrlProps/ctrlProp2471.xml" ContentType="application/vnd.ms-excel.controlproperties+xml"/>
  <Override PartName="/xl/ctrlProps/ctrlProp2472.xml" ContentType="application/vnd.ms-excel.controlproperties+xml"/>
  <Override PartName="/xl/ctrlProps/ctrlProp2473.xml" ContentType="application/vnd.ms-excel.controlproperties+xml"/>
  <Override PartName="/xl/ctrlProps/ctrlProp2474.xml" ContentType="application/vnd.ms-excel.controlproperties+xml"/>
  <Override PartName="/xl/ctrlProps/ctrlProp2475.xml" ContentType="application/vnd.ms-excel.controlproperties+xml"/>
  <Override PartName="/xl/ctrlProps/ctrlProp2476.xml" ContentType="application/vnd.ms-excel.controlproperties+xml"/>
  <Override PartName="/xl/ctrlProps/ctrlProp2477.xml" ContentType="application/vnd.ms-excel.controlproperties+xml"/>
  <Override PartName="/xl/ctrlProps/ctrlProp2478.xml" ContentType="application/vnd.ms-excel.controlproperties+xml"/>
  <Override PartName="/xl/ctrlProps/ctrlProp2479.xml" ContentType="application/vnd.ms-excel.controlproperties+xml"/>
  <Override PartName="/xl/ctrlProps/ctrlProp2480.xml" ContentType="application/vnd.ms-excel.controlproperties+xml"/>
  <Override PartName="/xl/ctrlProps/ctrlProp2481.xml" ContentType="application/vnd.ms-excel.controlproperties+xml"/>
  <Override PartName="/xl/ctrlProps/ctrlProp2482.xml" ContentType="application/vnd.ms-excel.controlproperties+xml"/>
  <Override PartName="/xl/ctrlProps/ctrlProp2483.xml" ContentType="application/vnd.ms-excel.controlproperties+xml"/>
  <Override PartName="/xl/ctrlProps/ctrlProp2484.xml" ContentType="application/vnd.ms-excel.controlproperties+xml"/>
  <Override PartName="/xl/ctrlProps/ctrlProp2485.xml" ContentType="application/vnd.ms-excel.controlproperties+xml"/>
  <Override PartName="/xl/ctrlProps/ctrlProp2486.xml" ContentType="application/vnd.ms-excel.controlproperties+xml"/>
  <Override PartName="/xl/ctrlProps/ctrlProp2487.xml" ContentType="application/vnd.ms-excel.controlproperties+xml"/>
  <Override PartName="/xl/ctrlProps/ctrlProp2488.xml" ContentType="application/vnd.ms-excel.controlproperties+xml"/>
  <Override PartName="/xl/ctrlProps/ctrlProp2489.xml" ContentType="application/vnd.ms-excel.controlproperties+xml"/>
  <Override PartName="/xl/ctrlProps/ctrlProp2490.xml" ContentType="application/vnd.ms-excel.controlproperties+xml"/>
  <Override PartName="/xl/ctrlProps/ctrlProp2491.xml" ContentType="application/vnd.ms-excel.controlproperties+xml"/>
  <Override PartName="/xl/ctrlProps/ctrlProp2492.xml" ContentType="application/vnd.ms-excel.controlproperties+xml"/>
  <Override PartName="/xl/ctrlProps/ctrlProp2493.xml" ContentType="application/vnd.ms-excel.controlproperties+xml"/>
  <Override PartName="/xl/ctrlProps/ctrlProp2494.xml" ContentType="application/vnd.ms-excel.controlproperties+xml"/>
  <Override PartName="/xl/ctrlProps/ctrlProp2495.xml" ContentType="application/vnd.ms-excel.controlproperties+xml"/>
  <Override PartName="/xl/ctrlProps/ctrlProp2496.xml" ContentType="application/vnd.ms-excel.controlproperties+xml"/>
  <Override PartName="/xl/ctrlProps/ctrlProp2497.xml" ContentType="application/vnd.ms-excel.controlproperties+xml"/>
  <Override PartName="/xl/ctrlProps/ctrlProp2498.xml" ContentType="application/vnd.ms-excel.controlproperties+xml"/>
  <Override PartName="/xl/ctrlProps/ctrlProp2499.xml" ContentType="application/vnd.ms-excel.controlproperties+xml"/>
  <Override PartName="/xl/ctrlProps/ctrlProp2500.xml" ContentType="application/vnd.ms-excel.controlproperties+xml"/>
  <Override PartName="/xl/ctrlProps/ctrlProp2501.xml" ContentType="application/vnd.ms-excel.controlproperties+xml"/>
  <Override PartName="/xl/ctrlProps/ctrlProp2502.xml" ContentType="application/vnd.ms-excel.controlproperties+xml"/>
  <Override PartName="/xl/ctrlProps/ctrlProp2503.xml" ContentType="application/vnd.ms-excel.controlproperties+xml"/>
  <Override PartName="/xl/ctrlProps/ctrlProp2504.xml" ContentType="application/vnd.ms-excel.controlproperties+xml"/>
  <Override PartName="/xl/ctrlProps/ctrlProp2505.xml" ContentType="application/vnd.ms-excel.controlproperties+xml"/>
  <Override PartName="/xl/ctrlProps/ctrlProp2506.xml" ContentType="application/vnd.ms-excel.controlproperties+xml"/>
  <Override PartName="/xl/ctrlProps/ctrlProp2507.xml" ContentType="application/vnd.ms-excel.controlproperties+xml"/>
  <Override PartName="/xl/ctrlProps/ctrlProp2508.xml" ContentType="application/vnd.ms-excel.controlproperties+xml"/>
  <Override PartName="/xl/ctrlProps/ctrlProp2509.xml" ContentType="application/vnd.ms-excel.controlproperties+xml"/>
  <Override PartName="/xl/ctrlProps/ctrlProp2510.xml" ContentType="application/vnd.ms-excel.controlproperties+xml"/>
  <Override PartName="/xl/ctrlProps/ctrlProp2511.xml" ContentType="application/vnd.ms-excel.controlproperties+xml"/>
  <Override PartName="/xl/ctrlProps/ctrlProp2512.xml" ContentType="application/vnd.ms-excel.controlproperties+xml"/>
  <Override PartName="/xl/ctrlProps/ctrlProp2513.xml" ContentType="application/vnd.ms-excel.controlproperties+xml"/>
  <Override PartName="/xl/ctrlProps/ctrlProp2514.xml" ContentType="application/vnd.ms-excel.controlproperties+xml"/>
  <Override PartName="/xl/ctrlProps/ctrlProp2515.xml" ContentType="application/vnd.ms-excel.controlproperties+xml"/>
  <Override PartName="/xl/ctrlProps/ctrlProp2516.xml" ContentType="application/vnd.ms-excel.controlproperties+xml"/>
  <Override PartName="/xl/ctrlProps/ctrlProp2517.xml" ContentType="application/vnd.ms-excel.controlproperties+xml"/>
  <Override PartName="/xl/ctrlProps/ctrlProp2518.xml" ContentType="application/vnd.ms-excel.controlproperties+xml"/>
  <Override PartName="/xl/ctrlProps/ctrlProp2519.xml" ContentType="application/vnd.ms-excel.controlproperties+xml"/>
  <Override PartName="/xl/ctrlProps/ctrlProp2520.xml" ContentType="application/vnd.ms-excel.controlproperties+xml"/>
  <Override PartName="/xl/ctrlProps/ctrlProp2521.xml" ContentType="application/vnd.ms-excel.controlproperties+xml"/>
  <Override PartName="/xl/ctrlProps/ctrlProp2522.xml" ContentType="application/vnd.ms-excel.controlproperties+xml"/>
  <Override PartName="/xl/ctrlProps/ctrlProp2523.xml" ContentType="application/vnd.ms-excel.controlproperties+xml"/>
  <Override PartName="/xl/ctrlProps/ctrlProp2524.xml" ContentType="application/vnd.ms-excel.controlproperties+xml"/>
  <Override PartName="/xl/ctrlProps/ctrlProp2525.xml" ContentType="application/vnd.ms-excel.controlproperties+xml"/>
  <Override PartName="/xl/ctrlProps/ctrlProp2526.xml" ContentType="application/vnd.ms-excel.controlproperties+xml"/>
  <Override PartName="/xl/ctrlProps/ctrlProp2527.xml" ContentType="application/vnd.ms-excel.controlproperties+xml"/>
  <Override PartName="/xl/ctrlProps/ctrlProp2528.xml" ContentType="application/vnd.ms-excel.controlproperties+xml"/>
  <Override PartName="/xl/ctrlProps/ctrlProp2529.xml" ContentType="application/vnd.ms-excel.controlproperties+xml"/>
  <Override PartName="/xl/ctrlProps/ctrlProp2530.xml" ContentType="application/vnd.ms-excel.controlproperties+xml"/>
  <Override PartName="/xl/ctrlProps/ctrlProp2531.xml" ContentType="application/vnd.ms-excel.controlproperties+xml"/>
  <Override PartName="/xl/ctrlProps/ctrlProp2532.xml" ContentType="application/vnd.ms-excel.controlproperties+xml"/>
  <Override PartName="/xl/ctrlProps/ctrlProp2533.xml" ContentType="application/vnd.ms-excel.controlproperties+xml"/>
  <Override PartName="/xl/ctrlProps/ctrlProp2534.xml" ContentType="application/vnd.ms-excel.controlproperties+xml"/>
  <Override PartName="/xl/ctrlProps/ctrlProp2535.xml" ContentType="application/vnd.ms-excel.controlproperties+xml"/>
  <Override PartName="/xl/ctrlProps/ctrlProp2536.xml" ContentType="application/vnd.ms-excel.controlproperties+xml"/>
  <Override PartName="/xl/ctrlProps/ctrlProp2537.xml" ContentType="application/vnd.ms-excel.controlproperties+xml"/>
  <Override PartName="/xl/ctrlProps/ctrlProp2538.xml" ContentType="application/vnd.ms-excel.controlproperties+xml"/>
  <Override PartName="/xl/ctrlProps/ctrlProp2539.xml" ContentType="application/vnd.ms-excel.controlproperties+xml"/>
  <Override PartName="/xl/ctrlProps/ctrlProp2540.xml" ContentType="application/vnd.ms-excel.controlproperties+xml"/>
  <Override PartName="/xl/ctrlProps/ctrlProp2541.xml" ContentType="application/vnd.ms-excel.controlproperties+xml"/>
  <Override PartName="/xl/ctrlProps/ctrlProp2542.xml" ContentType="application/vnd.ms-excel.controlproperties+xml"/>
  <Override PartName="/xl/ctrlProps/ctrlProp2543.xml" ContentType="application/vnd.ms-excel.controlproperties+xml"/>
  <Override PartName="/xl/ctrlProps/ctrlProp2544.xml" ContentType="application/vnd.ms-excel.controlproperties+xml"/>
  <Override PartName="/xl/ctrlProps/ctrlProp2545.xml" ContentType="application/vnd.ms-excel.controlproperties+xml"/>
  <Override PartName="/xl/ctrlProps/ctrlProp2546.xml" ContentType="application/vnd.ms-excel.controlproperties+xml"/>
  <Override PartName="/xl/ctrlProps/ctrlProp2547.xml" ContentType="application/vnd.ms-excel.controlproperties+xml"/>
  <Override PartName="/xl/ctrlProps/ctrlProp2548.xml" ContentType="application/vnd.ms-excel.controlproperties+xml"/>
  <Override PartName="/xl/ctrlProps/ctrlProp2549.xml" ContentType="application/vnd.ms-excel.controlproperties+xml"/>
  <Override PartName="/xl/ctrlProps/ctrlProp2550.xml" ContentType="application/vnd.ms-excel.controlproperties+xml"/>
  <Override PartName="/xl/ctrlProps/ctrlProp2551.xml" ContentType="application/vnd.ms-excel.controlproperties+xml"/>
  <Override PartName="/xl/ctrlProps/ctrlProp2552.xml" ContentType="application/vnd.ms-excel.controlproperties+xml"/>
  <Override PartName="/xl/ctrlProps/ctrlProp2553.xml" ContentType="application/vnd.ms-excel.controlproperties+xml"/>
  <Override PartName="/xl/ctrlProps/ctrlProp2554.xml" ContentType="application/vnd.ms-excel.controlproperties+xml"/>
  <Override PartName="/xl/ctrlProps/ctrlProp2555.xml" ContentType="application/vnd.ms-excel.controlproperties+xml"/>
  <Override PartName="/xl/ctrlProps/ctrlProp2556.xml" ContentType="application/vnd.ms-excel.controlproperties+xml"/>
  <Override PartName="/xl/ctrlProps/ctrlProp2557.xml" ContentType="application/vnd.ms-excel.controlproperties+xml"/>
  <Override PartName="/xl/ctrlProps/ctrlProp2558.xml" ContentType="application/vnd.ms-excel.controlproperties+xml"/>
  <Override PartName="/xl/ctrlProps/ctrlProp2559.xml" ContentType="application/vnd.ms-excel.controlproperties+xml"/>
  <Override PartName="/xl/ctrlProps/ctrlProp2560.xml" ContentType="application/vnd.ms-excel.controlproperties+xml"/>
  <Override PartName="/xl/ctrlProps/ctrlProp2561.xml" ContentType="application/vnd.ms-excel.controlproperties+xml"/>
  <Override PartName="/xl/ctrlProps/ctrlProp2562.xml" ContentType="application/vnd.ms-excel.controlproperties+xml"/>
  <Override PartName="/xl/ctrlProps/ctrlProp2563.xml" ContentType="application/vnd.ms-excel.controlproperties+xml"/>
  <Override PartName="/xl/ctrlProps/ctrlProp2564.xml" ContentType="application/vnd.ms-excel.controlproperties+xml"/>
  <Override PartName="/xl/ctrlProps/ctrlProp2565.xml" ContentType="application/vnd.ms-excel.controlproperties+xml"/>
  <Override PartName="/xl/ctrlProps/ctrlProp2566.xml" ContentType="application/vnd.ms-excel.controlproperties+xml"/>
  <Override PartName="/xl/ctrlProps/ctrlProp2567.xml" ContentType="application/vnd.ms-excel.controlproperties+xml"/>
  <Override PartName="/xl/ctrlProps/ctrlProp2568.xml" ContentType="application/vnd.ms-excel.controlproperties+xml"/>
  <Override PartName="/xl/ctrlProps/ctrlProp2569.xml" ContentType="application/vnd.ms-excel.controlproperties+xml"/>
  <Override PartName="/xl/ctrlProps/ctrlProp2570.xml" ContentType="application/vnd.ms-excel.controlproperties+xml"/>
  <Override PartName="/xl/ctrlProps/ctrlProp2571.xml" ContentType="application/vnd.ms-excel.controlproperties+xml"/>
  <Override PartName="/xl/ctrlProps/ctrlProp2572.xml" ContentType="application/vnd.ms-excel.controlproperties+xml"/>
  <Override PartName="/xl/ctrlProps/ctrlProp2573.xml" ContentType="application/vnd.ms-excel.controlproperties+xml"/>
  <Override PartName="/xl/ctrlProps/ctrlProp2574.xml" ContentType="application/vnd.ms-excel.controlproperties+xml"/>
  <Override PartName="/xl/ctrlProps/ctrlProp2575.xml" ContentType="application/vnd.ms-excel.controlproperties+xml"/>
  <Override PartName="/xl/ctrlProps/ctrlProp2576.xml" ContentType="application/vnd.ms-excel.controlproperties+xml"/>
  <Override PartName="/xl/ctrlProps/ctrlProp2577.xml" ContentType="application/vnd.ms-excel.controlproperties+xml"/>
  <Override PartName="/xl/ctrlProps/ctrlProp2578.xml" ContentType="application/vnd.ms-excel.controlproperties+xml"/>
  <Override PartName="/xl/ctrlProps/ctrlProp2579.xml" ContentType="application/vnd.ms-excel.controlproperties+xml"/>
  <Override PartName="/xl/ctrlProps/ctrlProp2580.xml" ContentType="application/vnd.ms-excel.controlproperties+xml"/>
  <Override PartName="/xl/ctrlProps/ctrlProp2581.xml" ContentType="application/vnd.ms-excel.controlproperties+xml"/>
  <Override PartName="/xl/ctrlProps/ctrlProp2582.xml" ContentType="application/vnd.ms-excel.controlproperties+xml"/>
  <Override PartName="/xl/ctrlProps/ctrlProp2583.xml" ContentType="application/vnd.ms-excel.controlproperties+xml"/>
  <Override PartName="/xl/ctrlProps/ctrlProp2584.xml" ContentType="application/vnd.ms-excel.controlproperties+xml"/>
  <Override PartName="/xl/ctrlProps/ctrlProp2585.xml" ContentType="application/vnd.ms-excel.controlproperties+xml"/>
  <Override PartName="/xl/ctrlProps/ctrlProp2586.xml" ContentType="application/vnd.ms-excel.controlproperties+xml"/>
  <Override PartName="/xl/ctrlProps/ctrlProp2587.xml" ContentType="application/vnd.ms-excel.controlproperties+xml"/>
  <Override PartName="/xl/ctrlProps/ctrlProp2588.xml" ContentType="application/vnd.ms-excel.controlproperties+xml"/>
  <Override PartName="/xl/ctrlProps/ctrlProp2589.xml" ContentType="application/vnd.ms-excel.controlproperties+xml"/>
  <Override PartName="/xl/ctrlProps/ctrlProp2590.xml" ContentType="application/vnd.ms-excel.controlproperties+xml"/>
  <Override PartName="/xl/ctrlProps/ctrlProp2591.xml" ContentType="application/vnd.ms-excel.controlproperties+xml"/>
  <Override PartName="/xl/ctrlProps/ctrlProp2592.xml" ContentType="application/vnd.ms-excel.controlproperties+xml"/>
  <Override PartName="/xl/ctrlProps/ctrlProp2593.xml" ContentType="application/vnd.ms-excel.controlproperties+xml"/>
  <Override PartName="/xl/ctrlProps/ctrlProp2594.xml" ContentType="application/vnd.ms-excel.controlproperties+xml"/>
  <Override PartName="/xl/ctrlProps/ctrlProp2595.xml" ContentType="application/vnd.ms-excel.controlproperties+xml"/>
  <Override PartName="/xl/ctrlProps/ctrlProp2596.xml" ContentType="application/vnd.ms-excel.controlproperties+xml"/>
  <Override PartName="/xl/ctrlProps/ctrlProp2597.xml" ContentType="application/vnd.ms-excel.controlproperties+xml"/>
  <Override PartName="/xl/ctrlProps/ctrlProp2598.xml" ContentType="application/vnd.ms-excel.controlproperties+xml"/>
  <Override PartName="/xl/ctrlProps/ctrlProp2599.xml" ContentType="application/vnd.ms-excel.controlproperties+xml"/>
  <Override PartName="/xl/ctrlProps/ctrlProp2600.xml" ContentType="application/vnd.ms-excel.controlproperties+xml"/>
  <Override PartName="/xl/ctrlProps/ctrlProp2601.xml" ContentType="application/vnd.ms-excel.controlproperties+xml"/>
  <Override PartName="/xl/ctrlProps/ctrlProp2602.xml" ContentType="application/vnd.ms-excel.controlproperties+xml"/>
  <Override PartName="/xl/ctrlProps/ctrlProp2603.xml" ContentType="application/vnd.ms-excel.controlproperties+xml"/>
  <Override PartName="/xl/ctrlProps/ctrlProp2604.xml" ContentType="application/vnd.ms-excel.controlproperties+xml"/>
  <Override PartName="/xl/ctrlProps/ctrlProp2605.xml" ContentType="application/vnd.ms-excel.controlproperties+xml"/>
  <Override PartName="/xl/ctrlProps/ctrlProp2606.xml" ContentType="application/vnd.ms-excel.controlproperties+xml"/>
  <Override PartName="/xl/ctrlProps/ctrlProp2607.xml" ContentType="application/vnd.ms-excel.controlproperties+xml"/>
  <Override PartName="/xl/ctrlProps/ctrlProp2608.xml" ContentType="application/vnd.ms-excel.controlproperties+xml"/>
  <Override PartName="/xl/ctrlProps/ctrlProp2609.xml" ContentType="application/vnd.ms-excel.controlproperties+xml"/>
  <Override PartName="/xl/ctrlProps/ctrlProp2610.xml" ContentType="application/vnd.ms-excel.controlproperties+xml"/>
  <Override PartName="/xl/ctrlProps/ctrlProp2611.xml" ContentType="application/vnd.ms-excel.controlproperties+xml"/>
  <Override PartName="/xl/ctrlProps/ctrlProp2612.xml" ContentType="application/vnd.ms-excel.controlproperties+xml"/>
  <Override PartName="/xl/ctrlProps/ctrlProp2613.xml" ContentType="application/vnd.ms-excel.controlproperties+xml"/>
  <Override PartName="/xl/ctrlProps/ctrlProp2614.xml" ContentType="application/vnd.ms-excel.controlproperties+xml"/>
  <Override PartName="/xl/ctrlProps/ctrlProp2615.xml" ContentType="application/vnd.ms-excel.controlproperties+xml"/>
  <Override PartName="/xl/ctrlProps/ctrlProp2616.xml" ContentType="application/vnd.ms-excel.controlproperties+xml"/>
  <Override PartName="/xl/ctrlProps/ctrlProp2617.xml" ContentType="application/vnd.ms-excel.controlproperties+xml"/>
  <Override PartName="/xl/ctrlProps/ctrlProp2618.xml" ContentType="application/vnd.ms-excel.controlproperties+xml"/>
  <Override PartName="/xl/ctrlProps/ctrlProp2619.xml" ContentType="application/vnd.ms-excel.controlproperties+xml"/>
  <Override PartName="/xl/ctrlProps/ctrlProp2620.xml" ContentType="application/vnd.ms-excel.controlproperties+xml"/>
  <Override PartName="/xl/ctrlProps/ctrlProp2621.xml" ContentType="application/vnd.ms-excel.controlproperties+xml"/>
  <Override PartName="/xl/ctrlProps/ctrlProp2622.xml" ContentType="application/vnd.ms-excel.controlproperties+xml"/>
  <Override PartName="/xl/ctrlProps/ctrlProp2623.xml" ContentType="application/vnd.ms-excel.controlproperties+xml"/>
  <Override PartName="/xl/ctrlProps/ctrlProp2624.xml" ContentType="application/vnd.ms-excel.controlproperties+xml"/>
  <Override PartName="/xl/ctrlProps/ctrlProp2625.xml" ContentType="application/vnd.ms-excel.controlproperties+xml"/>
  <Override PartName="/xl/ctrlProps/ctrlProp2626.xml" ContentType="application/vnd.ms-excel.controlproperties+xml"/>
  <Override PartName="/xl/ctrlProps/ctrlProp2627.xml" ContentType="application/vnd.ms-excel.controlproperties+xml"/>
  <Override PartName="/xl/ctrlProps/ctrlProp2628.xml" ContentType="application/vnd.ms-excel.controlproperties+xml"/>
  <Override PartName="/xl/ctrlProps/ctrlProp2629.xml" ContentType="application/vnd.ms-excel.controlproperties+xml"/>
  <Override PartName="/xl/ctrlProps/ctrlProp2630.xml" ContentType="application/vnd.ms-excel.controlproperties+xml"/>
  <Override PartName="/xl/ctrlProps/ctrlProp2631.xml" ContentType="application/vnd.ms-excel.controlproperties+xml"/>
  <Override PartName="/xl/ctrlProps/ctrlProp2632.xml" ContentType="application/vnd.ms-excel.controlproperties+xml"/>
  <Override PartName="/xl/ctrlProps/ctrlProp2633.xml" ContentType="application/vnd.ms-excel.controlproperties+xml"/>
  <Override PartName="/xl/ctrlProps/ctrlProp2634.xml" ContentType="application/vnd.ms-excel.controlproperties+xml"/>
  <Override PartName="/xl/ctrlProps/ctrlProp2635.xml" ContentType="application/vnd.ms-excel.controlproperties+xml"/>
  <Override PartName="/xl/ctrlProps/ctrlProp2636.xml" ContentType="application/vnd.ms-excel.controlproperties+xml"/>
  <Override PartName="/xl/ctrlProps/ctrlProp2637.xml" ContentType="application/vnd.ms-excel.controlproperties+xml"/>
  <Override PartName="/xl/ctrlProps/ctrlProp2638.xml" ContentType="application/vnd.ms-excel.controlproperties+xml"/>
  <Override PartName="/xl/ctrlProps/ctrlProp2639.xml" ContentType="application/vnd.ms-excel.controlproperties+xml"/>
  <Override PartName="/xl/ctrlProps/ctrlProp2640.xml" ContentType="application/vnd.ms-excel.controlproperties+xml"/>
  <Override PartName="/xl/ctrlProps/ctrlProp2641.xml" ContentType="application/vnd.ms-excel.controlproperties+xml"/>
  <Override PartName="/xl/ctrlProps/ctrlProp2642.xml" ContentType="application/vnd.ms-excel.controlproperties+xml"/>
  <Override PartName="/xl/ctrlProps/ctrlProp2643.xml" ContentType="application/vnd.ms-excel.controlproperties+xml"/>
  <Override PartName="/xl/ctrlProps/ctrlProp2644.xml" ContentType="application/vnd.ms-excel.controlproperties+xml"/>
  <Override PartName="/xl/ctrlProps/ctrlProp2645.xml" ContentType="application/vnd.ms-excel.controlproperties+xml"/>
  <Override PartName="/xl/ctrlProps/ctrlProp2646.xml" ContentType="application/vnd.ms-excel.controlproperties+xml"/>
  <Override PartName="/xl/ctrlProps/ctrlProp2647.xml" ContentType="application/vnd.ms-excel.controlproperties+xml"/>
  <Override PartName="/xl/ctrlProps/ctrlProp2648.xml" ContentType="application/vnd.ms-excel.controlproperties+xml"/>
  <Override PartName="/xl/ctrlProps/ctrlProp2649.xml" ContentType="application/vnd.ms-excel.controlproperties+xml"/>
  <Override PartName="/xl/ctrlProps/ctrlProp2650.xml" ContentType="application/vnd.ms-excel.controlproperties+xml"/>
  <Override PartName="/xl/ctrlProps/ctrlProp2651.xml" ContentType="application/vnd.ms-excel.controlproperties+xml"/>
  <Override PartName="/xl/ctrlProps/ctrlProp2652.xml" ContentType="application/vnd.ms-excel.controlproperties+xml"/>
  <Override PartName="/xl/ctrlProps/ctrlProp2653.xml" ContentType="application/vnd.ms-excel.controlproperties+xml"/>
  <Override PartName="/xl/ctrlProps/ctrlProp2654.xml" ContentType="application/vnd.ms-excel.controlproperties+xml"/>
  <Override PartName="/xl/ctrlProps/ctrlProp2655.xml" ContentType="application/vnd.ms-excel.controlproperties+xml"/>
  <Override PartName="/xl/ctrlProps/ctrlProp2656.xml" ContentType="application/vnd.ms-excel.controlproperties+xml"/>
  <Override PartName="/xl/ctrlProps/ctrlProp2657.xml" ContentType="application/vnd.ms-excel.controlproperties+xml"/>
  <Override PartName="/xl/ctrlProps/ctrlProp2658.xml" ContentType="application/vnd.ms-excel.controlproperties+xml"/>
  <Override PartName="/xl/ctrlProps/ctrlProp2659.xml" ContentType="application/vnd.ms-excel.controlproperties+xml"/>
  <Override PartName="/xl/ctrlProps/ctrlProp2660.xml" ContentType="application/vnd.ms-excel.controlproperties+xml"/>
  <Override PartName="/xl/ctrlProps/ctrlProp2661.xml" ContentType="application/vnd.ms-excel.controlproperties+xml"/>
  <Override PartName="/xl/ctrlProps/ctrlProp2662.xml" ContentType="application/vnd.ms-excel.controlproperties+xml"/>
  <Override PartName="/xl/ctrlProps/ctrlProp2663.xml" ContentType="application/vnd.ms-excel.controlproperties+xml"/>
  <Override PartName="/xl/ctrlProps/ctrlProp2664.xml" ContentType="application/vnd.ms-excel.controlproperties+xml"/>
  <Override PartName="/xl/ctrlProps/ctrlProp2665.xml" ContentType="application/vnd.ms-excel.controlproperties+xml"/>
  <Override PartName="/xl/ctrlProps/ctrlProp2666.xml" ContentType="application/vnd.ms-excel.controlproperties+xml"/>
  <Override PartName="/xl/ctrlProps/ctrlProp2667.xml" ContentType="application/vnd.ms-excel.controlproperties+xml"/>
  <Override PartName="/xl/ctrlProps/ctrlProp2668.xml" ContentType="application/vnd.ms-excel.controlproperties+xml"/>
  <Override PartName="/xl/ctrlProps/ctrlProp2669.xml" ContentType="application/vnd.ms-excel.controlproperties+xml"/>
  <Override PartName="/xl/ctrlProps/ctrlProp2670.xml" ContentType="application/vnd.ms-excel.controlproperties+xml"/>
  <Override PartName="/xl/ctrlProps/ctrlProp2671.xml" ContentType="application/vnd.ms-excel.controlproperties+xml"/>
  <Override PartName="/xl/ctrlProps/ctrlProp2672.xml" ContentType="application/vnd.ms-excel.controlproperties+xml"/>
  <Override PartName="/xl/ctrlProps/ctrlProp2673.xml" ContentType="application/vnd.ms-excel.controlproperties+xml"/>
  <Override PartName="/xl/ctrlProps/ctrlProp2674.xml" ContentType="application/vnd.ms-excel.controlproperties+xml"/>
  <Override PartName="/xl/ctrlProps/ctrlProp2675.xml" ContentType="application/vnd.ms-excel.controlproperties+xml"/>
  <Override PartName="/xl/ctrlProps/ctrlProp2676.xml" ContentType="application/vnd.ms-excel.controlproperties+xml"/>
  <Override PartName="/xl/ctrlProps/ctrlProp2677.xml" ContentType="application/vnd.ms-excel.controlproperties+xml"/>
  <Override PartName="/xl/ctrlProps/ctrlProp2678.xml" ContentType="application/vnd.ms-excel.controlproperties+xml"/>
  <Override PartName="/xl/ctrlProps/ctrlProp2679.xml" ContentType="application/vnd.ms-excel.controlproperties+xml"/>
  <Override PartName="/xl/ctrlProps/ctrlProp2680.xml" ContentType="application/vnd.ms-excel.controlproperties+xml"/>
  <Override PartName="/xl/ctrlProps/ctrlProp2681.xml" ContentType="application/vnd.ms-excel.controlproperties+xml"/>
  <Override PartName="/xl/ctrlProps/ctrlProp2682.xml" ContentType="application/vnd.ms-excel.controlproperties+xml"/>
  <Override PartName="/xl/ctrlProps/ctrlProp2683.xml" ContentType="application/vnd.ms-excel.controlproperties+xml"/>
  <Override PartName="/xl/ctrlProps/ctrlProp2684.xml" ContentType="application/vnd.ms-excel.controlproperties+xml"/>
  <Override PartName="/xl/ctrlProps/ctrlProp2685.xml" ContentType="application/vnd.ms-excel.controlproperties+xml"/>
  <Override PartName="/xl/ctrlProps/ctrlProp2686.xml" ContentType="application/vnd.ms-excel.controlproperties+xml"/>
  <Override PartName="/xl/ctrlProps/ctrlProp2687.xml" ContentType="application/vnd.ms-excel.controlproperties+xml"/>
  <Override PartName="/xl/ctrlProps/ctrlProp2688.xml" ContentType="application/vnd.ms-excel.controlproperties+xml"/>
  <Override PartName="/xl/ctrlProps/ctrlProp2689.xml" ContentType="application/vnd.ms-excel.controlproperties+xml"/>
  <Override PartName="/xl/ctrlProps/ctrlProp2690.xml" ContentType="application/vnd.ms-excel.controlproperties+xml"/>
  <Override PartName="/xl/ctrlProps/ctrlProp2691.xml" ContentType="application/vnd.ms-excel.controlproperties+xml"/>
  <Override PartName="/xl/ctrlProps/ctrlProp2692.xml" ContentType="application/vnd.ms-excel.controlproperties+xml"/>
  <Override PartName="/xl/ctrlProps/ctrlProp2693.xml" ContentType="application/vnd.ms-excel.controlproperties+xml"/>
  <Override PartName="/xl/ctrlProps/ctrlProp2694.xml" ContentType="application/vnd.ms-excel.controlproperties+xml"/>
  <Override PartName="/xl/ctrlProps/ctrlProp2695.xml" ContentType="application/vnd.ms-excel.controlproperties+xml"/>
  <Override PartName="/xl/ctrlProps/ctrlProp2696.xml" ContentType="application/vnd.ms-excel.controlproperties+xml"/>
  <Override PartName="/xl/ctrlProps/ctrlProp2697.xml" ContentType="application/vnd.ms-excel.controlproperties+xml"/>
  <Override PartName="/xl/ctrlProps/ctrlProp2698.xml" ContentType="application/vnd.ms-excel.controlproperties+xml"/>
  <Override PartName="/xl/ctrlProps/ctrlProp2699.xml" ContentType="application/vnd.ms-excel.controlproperties+xml"/>
  <Override PartName="/xl/ctrlProps/ctrlProp2700.xml" ContentType="application/vnd.ms-excel.controlproperties+xml"/>
  <Override PartName="/xl/ctrlProps/ctrlProp2701.xml" ContentType="application/vnd.ms-excel.controlproperties+xml"/>
  <Override PartName="/xl/ctrlProps/ctrlProp2702.xml" ContentType="application/vnd.ms-excel.controlproperties+xml"/>
  <Override PartName="/xl/ctrlProps/ctrlProp2703.xml" ContentType="application/vnd.ms-excel.controlproperties+xml"/>
  <Override PartName="/xl/ctrlProps/ctrlProp2704.xml" ContentType="application/vnd.ms-excel.controlproperties+xml"/>
  <Override PartName="/xl/ctrlProps/ctrlProp2705.xml" ContentType="application/vnd.ms-excel.controlproperties+xml"/>
  <Override PartName="/xl/ctrlProps/ctrlProp2706.xml" ContentType="application/vnd.ms-excel.controlproperties+xml"/>
  <Override PartName="/xl/ctrlProps/ctrlProp2707.xml" ContentType="application/vnd.ms-excel.controlproperties+xml"/>
  <Override PartName="/xl/ctrlProps/ctrlProp2708.xml" ContentType="application/vnd.ms-excel.controlproperties+xml"/>
  <Override PartName="/xl/ctrlProps/ctrlProp2709.xml" ContentType="application/vnd.ms-excel.controlproperties+xml"/>
  <Override PartName="/xl/ctrlProps/ctrlProp2710.xml" ContentType="application/vnd.ms-excel.controlproperties+xml"/>
  <Override PartName="/xl/ctrlProps/ctrlProp2711.xml" ContentType="application/vnd.ms-excel.controlproperties+xml"/>
  <Override PartName="/xl/ctrlProps/ctrlProp2712.xml" ContentType="application/vnd.ms-excel.controlproperties+xml"/>
  <Override PartName="/xl/ctrlProps/ctrlProp2713.xml" ContentType="application/vnd.ms-excel.controlproperties+xml"/>
  <Override PartName="/xl/ctrlProps/ctrlProp2714.xml" ContentType="application/vnd.ms-excel.controlproperties+xml"/>
  <Override PartName="/xl/ctrlProps/ctrlProp2715.xml" ContentType="application/vnd.ms-excel.controlproperties+xml"/>
  <Override PartName="/xl/ctrlProps/ctrlProp2716.xml" ContentType="application/vnd.ms-excel.controlproperties+xml"/>
  <Override PartName="/xl/ctrlProps/ctrlProp2717.xml" ContentType="application/vnd.ms-excel.controlproperties+xml"/>
  <Override PartName="/xl/ctrlProps/ctrlProp2718.xml" ContentType="application/vnd.ms-excel.controlproperties+xml"/>
  <Override PartName="/xl/ctrlProps/ctrlProp2719.xml" ContentType="application/vnd.ms-excel.controlproperties+xml"/>
  <Override PartName="/xl/ctrlProps/ctrlProp2720.xml" ContentType="application/vnd.ms-excel.controlproperties+xml"/>
  <Override PartName="/xl/ctrlProps/ctrlProp2721.xml" ContentType="application/vnd.ms-excel.controlproperties+xml"/>
  <Override PartName="/xl/ctrlProps/ctrlProp2722.xml" ContentType="application/vnd.ms-excel.controlproperties+xml"/>
  <Override PartName="/xl/ctrlProps/ctrlProp2723.xml" ContentType="application/vnd.ms-excel.controlproperties+xml"/>
  <Override PartName="/xl/ctrlProps/ctrlProp2724.xml" ContentType="application/vnd.ms-excel.controlproperties+xml"/>
  <Override PartName="/xl/ctrlProps/ctrlProp2725.xml" ContentType="application/vnd.ms-excel.controlproperties+xml"/>
  <Override PartName="/xl/ctrlProps/ctrlProp2726.xml" ContentType="application/vnd.ms-excel.controlproperties+xml"/>
  <Override PartName="/xl/ctrlProps/ctrlProp2727.xml" ContentType="application/vnd.ms-excel.controlproperties+xml"/>
  <Override PartName="/xl/ctrlProps/ctrlProp2728.xml" ContentType="application/vnd.ms-excel.controlproperties+xml"/>
  <Override PartName="/xl/ctrlProps/ctrlProp2729.xml" ContentType="application/vnd.ms-excel.controlproperties+xml"/>
  <Override PartName="/xl/ctrlProps/ctrlProp2730.xml" ContentType="application/vnd.ms-excel.controlproperties+xml"/>
  <Override PartName="/xl/ctrlProps/ctrlProp2731.xml" ContentType="application/vnd.ms-excel.controlproperties+xml"/>
  <Override PartName="/xl/ctrlProps/ctrlProp2732.xml" ContentType="application/vnd.ms-excel.controlproperties+xml"/>
  <Override PartName="/xl/ctrlProps/ctrlProp2733.xml" ContentType="application/vnd.ms-excel.controlproperties+xml"/>
  <Override PartName="/xl/ctrlProps/ctrlProp2734.xml" ContentType="application/vnd.ms-excel.controlproperties+xml"/>
  <Override PartName="/xl/ctrlProps/ctrlProp2735.xml" ContentType="application/vnd.ms-excel.controlproperties+xml"/>
  <Override PartName="/xl/ctrlProps/ctrlProp2736.xml" ContentType="application/vnd.ms-excel.controlproperties+xml"/>
  <Override PartName="/xl/ctrlProps/ctrlProp2737.xml" ContentType="application/vnd.ms-excel.controlproperties+xml"/>
  <Override PartName="/xl/ctrlProps/ctrlProp2738.xml" ContentType="application/vnd.ms-excel.controlproperties+xml"/>
  <Override PartName="/xl/ctrlProps/ctrlProp2739.xml" ContentType="application/vnd.ms-excel.controlproperties+xml"/>
  <Override PartName="/xl/ctrlProps/ctrlProp2740.xml" ContentType="application/vnd.ms-excel.controlproperties+xml"/>
  <Override PartName="/xl/ctrlProps/ctrlProp2741.xml" ContentType="application/vnd.ms-excel.controlproperties+xml"/>
  <Override PartName="/xl/ctrlProps/ctrlProp2742.xml" ContentType="application/vnd.ms-excel.controlproperties+xml"/>
  <Override PartName="/xl/ctrlProps/ctrlProp2743.xml" ContentType="application/vnd.ms-excel.controlproperties+xml"/>
  <Override PartName="/xl/ctrlProps/ctrlProp2744.xml" ContentType="application/vnd.ms-excel.controlproperties+xml"/>
  <Override PartName="/xl/ctrlProps/ctrlProp2745.xml" ContentType="application/vnd.ms-excel.controlproperties+xml"/>
  <Override PartName="/xl/ctrlProps/ctrlProp2746.xml" ContentType="application/vnd.ms-excel.controlproperties+xml"/>
  <Override PartName="/xl/ctrlProps/ctrlProp2747.xml" ContentType="application/vnd.ms-excel.controlproperties+xml"/>
  <Override PartName="/xl/ctrlProps/ctrlProp2748.xml" ContentType="application/vnd.ms-excel.controlproperties+xml"/>
  <Override PartName="/xl/ctrlProps/ctrlProp2749.xml" ContentType="application/vnd.ms-excel.controlproperties+xml"/>
  <Override PartName="/xl/ctrlProps/ctrlProp2750.xml" ContentType="application/vnd.ms-excel.controlproperties+xml"/>
  <Override PartName="/xl/ctrlProps/ctrlProp2751.xml" ContentType="application/vnd.ms-excel.controlproperties+xml"/>
  <Override PartName="/xl/ctrlProps/ctrlProp2752.xml" ContentType="application/vnd.ms-excel.controlproperties+xml"/>
  <Override PartName="/xl/ctrlProps/ctrlProp2753.xml" ContentType="application/vnd.ms-excel.controlproperties+xml"/>
  <Override PartName="/xl/ctrlProps/ctrlProp2754.xml" ContentType="application/vnd.ms-excel.controlproperties+xml"/>
  <Override PartName="/xl/ctrlProps/ctrlProp2755.xml" ContentType="application/vnd.ms-excel.controlproperties+xml"/>
  <Override PartName="/xl/ctrlProps/ctrlProp2756.xml" ContentType="application/vnd.ms-excel.controlproperties+xml"/>
  <Override PartName="/xl/ctrlProps/ctrlProp2757.xml" ContentType="application/vnd.ms-excel.controlproperties+xml"/>
  <Override PartName="/xl/ctrlProps/ctrlProp2758.xml" ContentType="application/vnd.ms-excel.controlproperties+xml"/>
  <Override PartName="/xl/ctrlProps/ctrlProp2759.xml" ContentType="application/vnd.ms-excel.controlproperties+xml"/>
  <Override PartName="/xl/ctrlProps/ctrlProp2760.xml" ContentType="application/vnd.ms-excel.controlproperties+xml"/>
  <Override PartName="/xl/ctrlProps/ctrlProp2761.xml" ContentType="application/vnd.ms-excel.controlproperties+xml"/>
  <Override PartName="/xl/ctrlProps/ctrlProp2762.xml" ContentType="application/vnd.ms-excel.controlproperties+xml"/>
  <Override PartName="/xl/ctrlProps/ctrlProp2763.xml" ContentType="application/vnd.ms-excel.controlproperties+xml"/>
  <Override PartName="/xl/ctrlProps/ctrlProp2764.xml" ContentType="application/vnd.ms-excel.controlproperties+xml"/>
  <Override PartName="/xl/ctrlProps/ctrlProp2765.xml" ContentType="application/vnd.ms-excel.controlproperties+xml"/>
  <Override PartName="/xl/ctrlProps/ctrlProp2766.xml" ContentType="application/vnd.ms-excel.controlproperties+xml"/>
  <Override PartName="/xl/ctrlProps/ctrlProp2767.xml" ContentType="application/vnd.ms-excel.controlproperties+xml"/>
  <Override PartName="/xl/ctrlProps/ctrlProp2768.xml" ContentType="application/vnd.ms-excel.controlproperties+xml"/>
  <Override PartName="/xl/ctrlProps/ctrlProp2769.xml" ContentType="application/vnd.ms-excel.controlproperties+xml"/>
  <Override PartName="/xl/ctrlProps/ctrlProp2770.xml" ContentType="application/vnd.ms-excel.controlproperties+xml"/>
  <Override PartName="/xl/ctrlProps/ctrlProp2771.xml" ContentType="application/vnd.ms-excel.controlproperties+xml"/>
  <Override PartName="/xl/ctrlProps/ctrlProp2772.xml" ContentType="application/vnd.ms-excel.controlproperties+xml"/>
  <Override PartName="/xl/ctrlProps/ctrlProp2773.xml" ContentType="application/vnd.ms-excel.controlproperties+xml"/>
  <Override PartName="/xl/ctrlProps/ctrlProp2774.xml" ContentType="application/vnd.ms-excel.controlproperties+xml"/>
  <Override PartName="/xl/ctrlProps/ctrlProp2775.xml" ContentType="application/vnd.ms-excel.controlproperties+xml"/>
  <Override PartName="/xl/ctrlProps/ctrlProp2776.xml" ContentType="application/vnd.ms-excel.controlproperties+xml"/>
  <Override PartName="/xl/ctrlProps/ctrlProp2777.xml" ContentType="application/vnd.ms-excel.controlproperties+xml"/>
  <Override PartName="/xl/ctrlProps/ctrlProp2778.xml" ContentType="application/vnd.ms-excel.controlproperties+xml"/>
  <Override PartName="/xl/ctrlProps/ctrlProp2779.xml" ContentType="application/vnd.ms-excel.controlproperties+xml"/>
  <Override PartName="/xl/ctrlProps/ctrlProp2780.xml" ContentType="application/vnd.ms-excel.controlproperties+xml"/>
  <Override PartName="/xl/ctrlProps/ctrlProp2781.xml" ContentType="application/vnd.ms-excel.controlproperties+xml"/>
  <Override PartName="/xl/ctrlProps/ctrlProp2782.xml" ContentType="application/vnd.ms-excel.controlproperties+xml"/>
  <Override PartName="/xl/ctrlProps/ctrlProp2783.xml" ContentType="application/vnd.ms-excel.controlproperties+xml"/>
  <Override PartName="/xl/ctrlProps/ctrlProp2784.xml" ContentType="application/vnd.ms-excel.controlproperties+xml"/>
  <Override PartName="/xl/ctrlProps/ctrlProp2785.xml" ContentType="application/vnd.ms-excel.controlproperties+xml"/>
  <Override PartName="/xl/ctrlProps/ctrlProp2786.xml" ContentType="application/vnd.ms-excel.controlproperties+xml"/>
  <Override PartName="/xl/ctrlProps/ctrlProp2787.xml" ContentType="application/vnd.ms-excel.controlproperties+xml"/>
  <Override PartName="/xl/ctrlProps/ctrlProp2788.xml" ContentType="application/vnd.ms-excel.controlproperties+xml"/>
  <Override PartName="/xl/ctrlProps/ctrlProp2789.xml" ContentType="application/vnd.ms-excel.controlproperties+xml"/>
  <Override PartName="/xl/ctrlProps/ctrlProp2790.xml" ContentType="application/vnd.ms-excel.controlproperties+xml"/>
  <Override PartName="/xl/ctrlProps/ctrlProp2791.xml" ContentType="application/vnd.ms-excel.controlproperties+xml"/>
  <Override PartName="/xl/ctrlProps/ctrlProp2792.xml" ContentType="application/vnd.ms-excel.controlproperties+xml"/>
  <Override PartName="/xl/ctrlProps/ctrlProp2793.xml" ContentType="application/vnd.ms-excel.controlproperties+xml"/>
  <Override PartName="/xl/ctrlProps/ctrlProp2794.xml" ContentType="application/vnd.ms-excel.controlproperties+xml"/>
  <Override PartName="/xl/ctrlProps/ctrlProp2795.xml" ContentType="application/vnd.ms-excel.controlproperties+xml"/>
  <Override PartName="/xl/ctrlProps/ctrlProp2796.xml" ContentType="application/vnd.ms-excel.controlproperties+xml"/>
  <Override PartName="/xl/ctrlProps/ctrlProp2797.xml" ContentType="application/vnd.ms-excel.controlproperties+xml"/>
  <Override PartName="/xl/ctrlProps/ctrlProp2798.xml" ContentType="application/vnd.ms-excel.controlproperties+xml"/>
  <Override PartName="/xl/ctrlProps/ctrlProp2799.xml" ContentType="application/vnd.ms-excel.controlproperties+xml"/>
  <Override PartName="/xl/ctrlProps/ctrlProp2800.xml" ContentType="application/vnd.ms-excel.controlproperties+xml"/>
  <Override PartName="/xl/ctrlProps/ctrlProp2801.xml" ContentType="application/vnd.ms-excel.controlproperties+xml"/>
  <Override PartName="/xl/ctrlProps/ctrlProp2802.xml" ContentType="application/vnd.ms-excel.controlproperties+xml"/>
  <Override PartName="/xl/ctrlProps/ctrlProp2803.xml" ContentType="application/vnd.ms-excel.controlproperties+xml"/>
  <Override PartName="/xl/ctrlProps/ctrlProp2804.xml" ContentType="application/vnd.ms-excel.controlproperties+xml"/>
  <Override PartName="/xl/ctrlProps/ctrlProp2805.xml" ContentType="application/vnd.ms-excel.controlproperties+xml"/>
  <Override PartName="/xl/ctrlProps/ctrlProp2806.xml" ContentType="application/vnd.ms-excel.controlproperties+xml"/>
  <Override PartName="/xl/ctrlProps/ctrlProp2807.xml" ContentType="application/vnd.ms-excel.controlproperties+xml"/>
  <Override PartName="/xl/ctrlProps/ctrlProp2808.xml" ContentType="application/vnd.ms-excel.controlproperties+xml"/>
  <Override PartName="/xl/ctrlProps/ctrlProp2809.xml" ContentType="application/vnd.ms-excel.controlproperties+xml"/>
  <Override PartName="/xl/ctrlProps/ctrlProp2810.xml" ContentType="application/vnd.ms-excel.controlproperties+xml"/>
  <Override PartName="/xl/ctrlProps/ctrlProp2811.xml" ContentType="application/vnd.ms-excel.controlproperties+xml"/>
  <Override PartName="/xl/ctrlProps/ctrlProp2812.xml" ContentType="application/vnd.ms-excel.controlproperties+xml"/>
  <Override PartName="/xl/ctrlProps/ctrlProp2813.xml" ContentType="application/vnd.ms-excel.controlproperties+xml"/>
  <Override PartName="/xl/ctrlProps/ctrlProp2814.xml" ContentType="application/vnd.ms-excel.controlproperties+xml"/>
  <Override PartName="/xl/ctrlProps/ctrlProp2815.xml" ContentType="application/vnd.ms-excel.controlproperties+xml"/>
  <Override PartName="/xl/ctrlProps/ctrlProp2816.xml" ContentType="application/vnd.ms-excel.controlproperties+xml"/>
  <Override PartName="/xl/ctrlProps/ctrlProp2817.xml" ContentType="application/vnd.ms-excel.controlproperties+xml"/>
  <Override PartName="/xl/ctrlProps/ctrlProp2818.xml" ContentType="application/vnd.ms-excel.controlproperties+xml"/>
  <Override PartName="/xl/ctrlProps/ctrlProp2819.xml" ContentType="application/vnd.ms-excel.controlproperties+xml"/>
  <Override PartName="/xl/ctrlProps/ctrlProp2820.xml" ContentType="application/vnd.ms-excel.controlproperties+xml"/>
  <Override PartName="/xl/ctrlProps/ctrlProp2821.xml" ContentType="application/vnd.ms-excel.controlproperties+xml"/>
  <Override PartName="/xl/ctrlProps/ctrlProp2822.xml" ContentType="application/vnd.ms-excel.controlproperties+xml"/>
  <Override PartName="/xl/ctrlProps/ctrlProp2823.xml" ContentType="application/vnd.ms-excel.controlproperties+xml"/>
  <Override PartName="/xl/ctrlProps/ctrlProp2824.xml" ContentType="application/vnd.ms-excel.controlproperties+xml"/>
  <Override PartName="/xl/ctrlProps/ctrlProp2825.xml" ContentType="application/vnd.ms-excel.controlproperties+xml"/>
  <Override PartName="/xl/ctrlProps/ctrlProp2826.xml" ContentType="application/vnd.ms-excel.controlproperties+xml"/>
  <Override PartName="/xl/ctrlProps/ctrlProp2827.xml" ContentType="application/vnd.ms-excel.controlproperties+xml"/>
  <Override PartName="/xl/ctrlProps/ctrlProp2828.xml" ContentType="application/vnd.ms-excel.controlproperties+xml"/>
  <Override PartName="/xl/ctrlProps/ctrlProp2829.xml" ContentType="application/vnd.ms-excel.controlproperties+xml"/>
  <Override PartName="/xl/ctrlProps/ctrlProp2830.xml" ContentType="application/vnd.ms-excel.controlproperties+xml"/>
  <Override PartName="/xl/ctrlProps/ctrlProp2831.xml" ContentType="application/vnd.ms-excel.controlproperties+xml"/>
  <Override PartName="/xl/ctrlProps/ctrlProp2832.xml" ContentType="application/vnd.ms-excel.controlproperties+xml"/>
  <Override PartName="/xl/ctrlProps/ctrlProp2833.xml" ContentType="application/vnd.ms-excel.controlproperties+xml"/>
  <Override PartName="/xl/ctrlProps/ctrlProp2834.xml" ContentType="application/vnd.ms-excel.controlproperties+xml"/>
  <Override PartName="/xl/ctrlProps/ctrlProp2835.xml" ContentType="application/vnd.ms-excel.controlproperties+xml"/>
  <Override PartName="/xl/ctrlProps/ctrlProp2836.xml" ContentType="application/vnd.ms-excel.controlproperties+xml"/>
  <Override PartName="/xl/ctrlProps/ctrlProp2837.xml" ContentType="application/vnd.ms-excel.controlproperties+xml"/>
  <Override PartName="/xl/ctrlProps/ctrlProp2838.xml" ContentType="application/vnd.ms-excel.controlproperties+xml"/>
  <Override PartName="/xl/ctrlProps/ctrlProp2839.xml" ContentType="application/vnd.ms-excel.controlproperties+xml"/>
  <Override PartName="/xl/ctrlProps/ctrlProp2840.xml" ContentType="application/vnd.ms-excel.controlproperties+xml"/>
  <Override PartName="/xl/ctrlProps/ctrlProp2841.xml" ContentType="application/vnd.ms-excel.controlproperties+xml"/>
  <Override PartName="/xl/ctrlProps/ctrlProp2842.xml" ContentType="application/vnd.ms-excel.controlproperties+xml"/>
  <Override PartName="/xl/ctrlProps/ctrlProp2843.xml" ContentType="application/vnd.ms-excel.controlproperties+xml"/>
  <Override PartName="/xl/ctrlProps/ctrlProp2844.xml" ContentType="application/vnd.ms-excel.controlproperties+xml"/>
  <Override PartName="/xl/ctrlProps/ctrlProp2845.xml" ContentType="application/vnd.ms-excel.controlproperties+xml"/>
  <Override PartName="/xl/ctrlProps/ctrlProp2846.xml" ContentType="application/vnd.ms-excel.controlproperties+xml"/>
  <Override PartName="/xl/ctrlProps/ctrlProp2847.xml" ContentType="application/vnd.ms-excel.controlproperties+xml"/>
  <Override PartName="/xl/ctrlProps/ctrlProp2848.xml" ContentType="application/vnd.ms-excel.controlproperties+xml"/>
  <Override PartName="/xl/ctrlProps/ctrlProp2849.xml" ContentType="application/vnd.ms-excel.controlproperties+xml"/>
  <Override PartName="/xl/ctrlProps/ctrlProp2850.xml" ContentType="application/vnd.ms-excel.controlproperties+xml"/>
  <Override PartName="/xl/ctrlProps/ctrlProp2851.xml" ContentType="application/vnd.ms-excel.controlproperties+xml"/>
  <Override PartName="/xl/ctrlProps/ctrlProp2852.xml" ContentType="application/vnd.ms-excel.controlproperties+xml"/>
  <Override PartName="/xl/ctrlProps/ctrlProp2853.xml" ContentType="application/vnd.ms-excel.controlproperties+xml"/>
  <Override PartName="/xl/ctrlProps/ctrlProp2854.xml" ContentType="application/vnd.ms-excel.controlproperties+xml"/>
  <Override PartName="/xl/ctrlProps/ctrlProp2855.xml" ContentType="application/vnd.ms-excel.controlproperties+xml"/>
  <Override PartName="/xl/ctrlProps/ctrlProp2856.xml" ContentType="application/vnd.ms-excel.controlproperties+xml"/>
  <Override PartName="/xl/ctrlProps/ctrlProp2857.xml" ContentType="application/vnd.ms-excel.controlproperties+xml"/>
  <Override PartName="/xl/ctrlProps/ctrlProp2858.xml" ContentType="application/vnd.ms-excel.controlproperties+xml"/>
  <Override PartName="/xl/ctrlProps/ctrlProp2859.xml" ContentType="application/vnd.ms-excel.controlproperties+xml"/>
  <Override PartName="/xl/ctrlProps/ctrlProp2860.xml" ContentType="application/vnd.ms-excel.controlproperties+xml"/>
  <Override PartName="/xl/ctrlProps/ctrlProp2861.xml" ContentType="application/vnd.ms-excel.controlproperties+xml"/>
  <Override PartName="/xl/ctrlProps/ctrlProp2862.xml" ContentType="application/vnd.ms-excel.controlproperties+xml"/>
  <Override PartName="/xl/ctrlProps/ctrlProp2863.xml" ContentType="application/vnd.ms-excel.controlproperties+xml"/>
  <Override PartName="/xl/ctrlProps/ctrlProp2864.xml" ContentType="application/vnd.ms-excel.controlproperties+xml"/>
  <Override PartName="/xl/ctrlProps/ctrlProp2865.xml" ContentType="application/vnd.ms-excel.controlproperties+xml"/>
  <Override PartName="/xl/ctrlProps/ctrlProp2866.xml" ContentType="application/vnd.ms-excel.controlproperties+xml"/>
  <Override PartName="/xl/ctrlProps/ctrlProp2867.xml" ContentType="application/vnd.ms-excel.controlproperties+xml"/>
  <Override PartName="/xl/ctrlProps/ctrlProp2868.xml" ContentType="application/vnd.ms-excel.controlproperties+xml"/>
  <Override PartName="/xl/ctrlProps/ctrlProp2869.xml" ContentType="application/vnd.ms-excel.controlproperties+xml"/>
  <Override PartName="/xl/ctrlProps/ctrlProp2870.xml" ContentType="application/vnd.ms-excel.controlproperties+xml"/>
  <Override PartName="/xl/ctrlProps/ctrlProp2871.xml" ContentType="application/vnd.ms-excel.controlproperties+xml"/>
  <Override PartName="/xl/ctrlProps/ctrlProp2872.xml" ContentType="application/vnd.ms-excel.controlproperties+xml"/>
  <Override PartName="/xl/ctrlProps/ctrlProp2873.xml" ContentType="application/vnd.ms-excel.controlproperties+xml"/>
  <Override PartName="/xl/ctrlProps/ctrlProp2874.xml" ContentType="application/vnd.ms-excel.controlproperties+xml"/>
  <Override PartName="/xl/ctrlProps/ctrlProp2875.xml" ContentType="application/vnd.ms-excel.controlproperties+xml"/>
  <Override PartName="/xl/ctrlProps/ctrlProp2876.xml" ContentType="application/vnd.ms-excel.controlproperties+xml"/>
  <Override PartName="/xl/ctrlProps/ctrlProp2877.xml" ContentType="application/vnd.ms-excel.controlproperties+xml"/>
  <Override PartName="/xl/ctrlProps/ctrlProp2878.xml" ContentType="application/vnd.ms-excel.controlproperties+xml"/>
  <Override PartName="/xl/ctrlProps/ctrlProp2879.xml" ContentType="application/vnd.ms-excel.controlproperties+xml"/>
  <Override PartName="/xl/ctrlProps/ctrlProp2880.xml" ContentType="application/vnd.ms-excel.controlproperties+xml"/>
  <Override PartName="/xl/ctrlProps/ctrlProp2881.xml" ContentType="application/vnd.ms-excel.controlproperties+xml"/>
  <Override PartName="/xl/ctrlProps/ctrlProp2882.xml" ContentType="application/vnd.ms-excel.controlproperties+xml"/>
  <Override PartName="/xl/ctrlProps/ctrlProp2883.xml" ContentType="application/vnd.ms-excel.controlproperties+xml"/>
  <Override PartName="/xl/ctrlProps/ctrlProp2884.xml" ContentType="application/vnd.ms-excel.controlproperties+xml"/>
  <Override PartName="/xl/ctrlProps/ctrlProp2885.xml" ContentType="application/vnd.ms-excel.controlproperties+xml"/>
  <Override PartName="/xl/ctrlProps/ctrlProp2886.xml" ContentType="application/vnd.ms-excel.controlproperties+xml"/>
  <Override PartName="/xl/ctrlProps/ctrlProp2887.xml" ContentType="application/vnd.ms-excel.controlproperties+xml"/>
  <Override PartName="/xl/ctrlProps/ctrlProp2888.xml" ContentType="application/vnd.ms-excel.controlproperties+xml"/>
  <Override PartName="/xl/ctrlProps/ctrlProp2889.xml" ContentType="application/vnd.ms-excel.controlproperties+xml"/>
  <Override PartName="/xl/ctrlProps/ctrlProp2890.xml" ContentType="application/vnd.ms-excel.controlproperties+xml"/>
  <Override PartName="/xl/ctrlProps/ctrlProp2891.xml" ContentType="application/vnd.ms-excel.controlproperties+xml"/>
  <Override PartName="/xl/ctrlProps/ctrlProp2892.xml" ContentType="application/vnd.ms-excel.controlproperties+xml"/>
  <Override PartName="/xl/ctrlProps/ctrlProp2893.xml" ContentType="application/vnd.ms-excel.controlproperties+xml"/>
  <Override PartName="/xl/ctrlProps/ctrlProp2894.xml" ContentType="application/vnd.ms-excel.controlproperties+xml"/>
  <Override PartName="/xl/ctrlProps/ctrlProp2895.xml" ContentType="application/vnd.ms-excel.controlproperties+xml"/>
  <Override PartName="/xl/ctrlProps/ctrlProp2896.xml" ContentType="application/vnd.ms-excel.controlproperties+xml"/>
  <Override PartName="/xl/ctrlProps/ctrlProp2897.xml" ContentType="application/vnd.ms-excel.controlproperties+xml"/>
  <Override PartName="/xl/ctrlProps/ctrlProp2898.xml" ContentType="application/vnd.ms-excel.controlproperties+xml"/>
  <Override PartName="/xl/ctrlProps/ctrlProp2899.xml" ContentType="application/vnd.ms-excel.controlproperties+xml"/>
  <Override PartName="/xl/ctrlProps/ctrlProp2900.xml" ContentType="application/vnd.ms-excel.controlproperties+xml"/>
  <Override PartName="/xl/ctrlProps/ctrlProp2901.xml" ContentType="application/vnd.ms-excel.controlproperties+xml"/>
  <Override PartName="/xl/ctrlProps/ctrlProp2902.xml" ContentType="application/vnd.ms-excel.controlproperties+xml"/>
  <Override PartName="/xl/ctrlProps/ctrlProp2903.xml" ContentType="application/vnd.ms-excel.controlproperties+xml"/>
  <Override PartName="/xl/ctrlProps/ctrlProp2904.xml" ContentType="application/vnd.ms-excel.controlproperties+xml"/>
  <Override PartName="/xl/ctrlProps/ctrlProp2905.xml" ContentType="application/vnd.ms-excel.controlproperties+xml"/>
  <Override PartName="/xl/ctrlProps/ctrlProp2906.xml" ContentType="application/vnd.ms-excel.controlproperties+xml"/>
  <Override PartName="/xl/ctrlProps/ctrlProp2907.xml" ContentType="application/vnd.ms-excel.controlproperties+xml"/>
  <Override PartName="/xl/ctrlProps/ctrlProp2908.xml" ContentType="application/vnd.ms-excel.controlproperties+xml"/>
  <Override PartName="/xl/ctrlProps/ctrlProp2909.xml" ContentType="application/vnd.ms-excel.controlproperties+xml"/>
  <Override PartName="/xl/ctrlProps/ctrlProp2910.xml" ContentType="application/vnd.ms-excel.controlproperties+xml"/>
  <Override PartName="/xl/ctrlProps/ctrlProp2911.xml" ContentType="application/vnd.ms-excel.controlproperties+xml"/>
  <Override PartName="/xl/ctrlProps/ctrlProp2912.xml" ContentType="application/vnd.ms-excel.controlproperties+xml"/>
  <Override PartName="/xl/ctrlProps/ctrlProp2913.xml" ContentType="application/vnd.ms-excel.controlproperties+xml"/>
  <Override PartName="/xl/ctrlProps/ctrlProp2914.xml" ContentType="application/vnd.ms-excel.controlproperties+xml"/>
  <Override PartName="/xl/ctrlProps/ctrlProp2915.xml" ContentType="application/vnd.ms-excel.controlproperties+xml"/>
  <Override PartName="/xl/ctrlProps/ctrlProp2916.xml" ContentType="application/vnd.ms-excel.controlproperties+xml"/>
  <Override PartName="/xl/ctrlProps/ctrlProp2917.xml" ContentType="application/vnd.ms-excel.controlproperties+xml"/>
  <Override PartName="/xl/ctrlProps/ctrlProp2918.xml" ContentType="application/vnd.ms-excel.controlproperties+xml"/>
  <Override PartName="/xl/ctrlProps/ctrlProp2919.xml" ContentType="application/vnd.ms-excel.controlproperties+xml"/>
  <Override PartName="/xl/ctrlProps/ctrlProp2920.xml" ContentType="application/vnd.ms-excel.controlproperties+xml"/>
  <Override PartName="/xl/ctrlProps/ctrlProp2921.xml" ContentType="application/vnd.ms-excel.controlproperties+xml"/>
  <Override PartName="/xl/ctrlProps/ctrlProp2922.xml" ContentType="application/vnd.ms-excel.controlproperties+xml"/>
  <Override PartName="/xl/ctrlProps/ctrlProp2923.xml" ContentType="application/vnd.ms-excel.controlproperties+xml"/>
  <Override PartName="/xl/ctrlProps/ctrlProp2924.xml" ContentType="application/vnd.ms-excel.controlproperties+xml"/>
  <Override PartName="/xl/ctrlProps/ctrlProp2925.xml" ContentType="application/vnd.ms-excel.controlproperties+xml"/>
  <Override PartName="/xl/ctrlProps/ctrlProp2926.xml" ContentType="application/vnd.ms-excel.controlproperties+xml"/>
  <Override PartName="/xl/ctrlProps/ctrlProp2927.xml" ContentType="application/vnd.ms-excel.controlproperties+xml"/>
  <Override PartName="/xl/ctrlProps/ctrlProp2928.xml" ContentType="application/vnd.ms-excel.controlproperties+xml"/>
  <Override PartName="/xl/ctrlProps/ctrlProp2929.xml" ContentType="application/vnd.ms-excel.controlproperties+xml"/>
  <Override PartName="/xl/ctrlProps/ctrlProp2930.xml" ContentType="application/vnd.ms-excel.controlproperties+xml"/>
  <Override PartName="/xl/ctrlProps/ctrlProp2931.xml" ContentType="application/vnd.ms-excel.controlproperties+xml"/>
  <Override PartName="/xl/ctrlProps/ctrlProp2932.xml" ContentType="application/vnd.ms-excel.controlproperties+xml"/>
  <Override PartName="/xl/ctrlProps/ctrlProp2933.xml" ContentType="application/vnd.ms-excel.controlproperties+xml"/>
  <Override PartName="/xl/ctrlProps/ctrlProp2934.xml" ContentType="application/vnd.ms-excel.controlproperties+xml"/>
  <Override PartName="/xl/ctrlProps/ctrlProp2935.xml" ContentType="application/vnd.ms-excel.controlproperties+xml"/>
  <Override PartName="/xl/ctrlProps/ctrlProp2936.xml" ContentType="application/vnd.ms-excel.controlproperties+xml"/>
  <Override PartName="/xl/ctrlProps/ctrlProp2937.xml" ContentType="application/vnd.ms-excel.controlproperties+xml"/>
  <Override PartName="/xl/ctrlProps/ctrlProp2938.xml" ContentType="application/vnd.ms-excel.controlproperties+xml"/>
  <Override PartName="/xl/ctrlProps/ctrlProp2939.xml" ContentType="application/vnd.ms-excel.controlproperties+xml"/>
  <Override PartName="/xl/ctrlProps/ctrlProp2940.xml" ContentType="application/vnd.ms-excel.controlproperties+xml"/>
  <Override PartName="/xl/ctrlProps/ctrlProp2941.xml" ContentType="application/vnd.ms-excel.controlproperties+xml"/>
  <Override PartName="/xl/ctrlProps/ctrlProp2942.xml" ContentType="application/vnd.ms-excel.controlproperties+xml"/>
  <Override PartName="/xl/ctrlProps/ctrlProp2943.xml" ContentType="application/vnd.ms-excel.controlproperties+xml"/>
  <Override PartName="/xl/ctrlProps/ctrlProp2944.xml" ContentType="application/vnd.ms-excel.controlproperties+xml"/>
  <Override PartName="/xl/ctrlProps/ctrlProp2945.xml" ContentType="application/vnd.ms-excel.controlproperties+xml"/>
  <Override PartName="/xl/ctrlProps/ctrlProp2946.xml" ContentType="application/vnd.ms-excel.controlproperties+xml"/>
  <Override PartName="/xl/ctrlProps/ctrlProp2947.xml" ContentType="application/vnd.ms-excel.controlproperties+xml"/>
  <Override PartName="/xl/ctrlProps/ctrlProp2948.xml" ContentType="application/vnd.ms-excel.controlproperties+xml"/>
  <Override PartName="/xl/ctrlProps/ctrlProp2949.xml" ContentType="application/vnd.ms-excel.controlproperties+xml"/>
  <Override PartName="/xl/ctrlProps/ctrlProp2950.xml" ContentType="application/vnd.ms-excel.controlproperties+xml"/>
  <Override PartName="/xl/ctrlProps/ctrlProp2951.xml" ContentType="application/vnd.ms-excel.controlproperties+xml"/>
  <Override PartName="/xl/ctrlProps/ctrlProp2952.xml" ContentType="application/vnd.ms-excel.controlproperties+xml"/>
  <Override PartName="/xl/ctrlProps/ctrlProp2953.xml" ContentType="application/vnd.ms-excel.controlproperties+xml"/>
  <Override PartName="/xl/ctrlProps/ctrlProp2954.xml" ContentType="application/vnd.ms-excel.controlproperties+xml"/>
  <Override PartName="/xl/ctrlProps/ctrlProp2955.xml" ContentType="application/vnd.ms-excel.controlproperties+xml"/>
  <Override PartName="/xl/ctrlProps/ctrlProp2956.xml" ContentType="application/vnd.ms-excel.controlproperties+xml"/>
  <Override PartName="/xl/ctrlProps/ctrlProp2957.xml" ContentType="application/vnd.ms-excel.controlproperties+xml"/>
  <Override PartName="/xl/ctrlProps/ctrlProp2958.xml" ContentType="application/vnd.ms-excel.controlproperties+xml"/>
  <Override PartName="/xl/ctrlProps/ctrlProp2959.xml" ContentType="application/vnd.ms-excel.controlproperties+xml"/>
  <Override PartName="/xl/ctrlProps/ctrlProp2960.xml" ContentType="application/vnd.ms-excel.controlproperties+xml"/>
  <Override PartName="/xl/ctrlProps/ctrlProp2961.xml" ContentType="application/vnd.ms-excel.controlproperties+xml"/>
  <Override PartName="/xl/ctrlProps/ctrlProp2962.xml" ContentType="application/vnd.ms-excel.controlproperties+xml"/>
  <Override PartName="/xl/ctrlProps/ctrlProp2963.xml" ContentType="application/vnd.ms-excel.controlproperties+xml"/>
  <Override PartName="/xl/ctrlProps/ctrlProp2964.xml" ContentType="application/vnd.ms-excel.controlproperties+xml"/>
  <Override PartName="/xl/ctrlProps/ctrlProp2965.xml" ContentType="application/vnd.ms-excel.controlproperties+xml"/>
  <Override PartName="/xl/ctrlProps/ctrlProp2966.xml" ContentType="application/vnd.ms-excel.controlproperties+xml"/>
  <Override PartName="/xl/ctrlProps/ctrlProp2967.xml" ContentType="application/vnd.ms-excel.controlproperties+xml"/>
  <Override PartName="/xl/ctrlProps/ctrlProp2968.xml" ContentType="application/vnd.ms-excel.controlproperties+xml"/>
  <Override PartName="/xl/ctrlProps/ctrlProp2969.xml" ContentType="application/vnd.ms-excel.controlproperties+xml"/>
  <Override PartName="/xl/ctrlProps/ctrlProp2970.xml" ContentType="application/vnd.ms-excel.controlproperties+xml"/>
  <Override PartName="/xl/ctrlProps/ctrlProp2971.xml" ContentType="application/vnd.ms-excel.controlproperties+xml"/>
  <Override PartName="/xl/ctrlProps/ctrlProp2972.xml" ContentType="application/vnd.ms-excel.controlproperties+xml"/>
  <Override PartName="/xl/ctrlProps/ctrlProp2973.xml" ContentType="application/vnd.ms-excel.controlproperties+xml"/>
  <Override PartName="/xl/ctrlProps/ctrlProp2974.xml" ContentType="application/vnd.ms-excel.controlproperties+xml"/>
  <Override PartName="/xl/ctrlProps/ctrlProp2975.xml" ContentType="application/vnd.ms-excel.controlproperties+xml"/>
  <Override PartName="/xl/ctrlProps/ctrlProp2976.xml" ContentType="application/vnd.ms-excel.controlproperties+xml"/>
  <Override PartName="/xl/ctrlProps/ctrlProp2977.xml" ContentType="application/vnd.ms-excel.controlproperties+xml"/>
  <Override PartName="/xl/ctrlProps/ctrlProp2978.xml" ContentType="application/vnd.ms-excel.controlproperties+xml"/>
  <Override PartName="/xl/ctrlProps/ctrlProp2979.xml" ContentType="application/vnd.ms-excel.controlproperties+xml"/>
  <Override PartName="/xl/ctrlProps/ctrlProp2980.xml" ContentType="application/vnd.ms-excel.controlproperties+xml"/>
  <Override PartName="/xl/ctrlProps/ctrlProp2981.xml" ContentType="application/vnd.ms-excel.controlproperties+xml"/>
  <Override PartName="/xl/ctrlProps/ctrlProp2982.xml" ContentType="application/vnd.ms-excel.controlproperties+xml"/>
  <Override PartName="/xl/ctrlProps/ctrlProp2983.xml" ContentType="application/vnd.ms-excel.controlproperties+xml"/>
  <Override PartName="/xl/ctrlProps/ctrlProp2984.xml" ContentType="application/vnd.ms-excel.controlproperties+xml"/>
  <Override PartName="/xl/ctrlProps/ctrlProp2985.xml" ContentType="application/vnd.ms-excel.controlproperties+xml"/>
  <Override PartName="/xl/ctrlProps/ctrlProp2986.xml" ContentType="application/vnd.ms-excel.controlproperties+xml"/>
  <Override PartName="/xl/ctrlProps/ctrlProp2987.xml" ContentType="application/vnd.ms-excel.controlproperties+xml"/>
  <Override PartName="/xl/ctrlProps/ctrlProp2988.xml" ContentType="application/vnd.ms-excel.controlproperties+xml"/>
  <Override PartName="/xl/ctrlProps/ctrlProp2989.xml" ContentType="application/vnd.ms-excel.controlproperties+xml"/>
  <Override PartName="/xl/ctrlProps/ctrlProp2990.xml" ContentType="application/vnd.ms-excel.controlproperties+xml"/>
  <Override PartName="/xl/ctrlProps/ctrlProp2991.xml" ContentType="application/vnd.ms-excel.controlproperties+xml"/>
  <Override PartName="/xl/ctrlProps/ctrlProp2992.xml" ContentType="application/vnd.ms-excel.controlproperties+xml"/>
  <Override PartName="/xl/ctrlProps/ctrlProp2993.xml" ContentType="application/vnd.ms-excel.controlproperties+xml"/>
  <Override PartName="/xl/ctrlProps/ctrlProp2994.xml" ContentType="application/vnd.ms-excel.controlproperties+xml"/>
  <Override PartName="/xl/ctrlProps/ctrlProp2995.xml" ContentType="application/vnd.ms-excel.controlproperties+xml"/>
  <Override PartName="/xl/ctrlProps/ctrlProp2996.xml" ContentType="application/vnd.ms-excel.controlproperties+xml"/>
  <Override PartName="/xl/ctrlProps/ctrlProp2997.xml" ContentType="application/vnd.ms-excel.controlproperties+xml"/>
  <Override PartName="/xl/ctrlProps/ctrlProp2998.xml" ContentType="application/vnd.ms-excel.controlproperties+xml"/>
  <Override PartName="/xl/ctrlProps/ctrlProp2999.xml" ContentType="application/vnd.ms-excel.controlproperties+xml"/>
  <Override PartName="/xl/ctrlProps/ctrlProp3000.xml" ContentType="application/vnd.ms-excel.controlproperties+xml"/>
  <Override PartName="/xl/ctrlProps/ctrlProp3001.xml" ContentType="application/vnd.ms-excel.controlproperties+xml"/>
  <Override PartName="/xl/ctrlProps/ctrlProp3002.xml" ContentType="application/vnd.ms-excel.controlproperties+xml"/>
  <Override PartName="/xl/ctrlProps/ctrlProp3003.xml" ContentType="application/vnd.ms-excel.controlproperties+xml"/>
  <Override PartName="/xl/ctrlProps/ctrlProp3004.xml" ContentType="application/vnd.ms-excel.controlproperties+xml"/>
  <Override PartName="/xl/ctrlProps/ctrlProp3005.xml" ContentType="application/vnd.ms-excel.controlproperties+xml"/>
  <Override PartName="/xl/ctrlProps/ctrlProp3006.xml" ContentType="application/vnd.ms-excel.controlproperties+xml"/>
  <Override PartName="/xl/ctrlProps/ctrlProp3007.xml" ContentType="application/vnd.ms-excel.controlproperties+xml"/>
  <Override PartName="/xl/ctrlProps/ctrlProp3008.xml" ContentType="application/vnd.ms-excel.controlproperties+xml"/>
  <Override PartName="/xl/ctrlProps/ctrlProp3009.xml" ContentType="application/vnd.ms-excel.controlproperties+xml"/>
  <Override PartName="/xl/ctrlProps/ctrlProp3010.xml" ContentType="application/vnd.ms-excel.controlproperties+xml"/>
  <Override PartName="/xl/ctrlProps/ctrlProp3011.xml" ContentType="application/vnd.ms-excel.controlproperties+xml"/>
  <Override PartName="/xl/ctrlProps/ctrlProp3012.xml" ContentType="application/vnd.ms-excel.controlproperties+xml"/>
  <Override PartName="/xl/ctrlProps/ctrlProp3013.xml" ContentType="application/vnd.ms-excel.controlproperties+xml"/>
  <Override PartName="/xl/ctrlProps/ctrlProp3014.xml" ContentType="application/vnd.ms-excel.controlproperties+xml"/>
  <Override PartName="/xl/ctrlProps/ctrlProp3015.xml" ContentType="application/vnd.ms-excel.controlproperties+xml"/>
  <Override PartName="/xl/ctrlProps/ctrlProp3016.xml" ContentType="application/vnd.ms-excel.controlproperties+xml"/>
  <Override PartName="/xl/ctrlProps/ctrlProp3017.xml" ContentType="application/vnd.ms-excel.controlproperties+xml"/>
  <Override PartName="/xl/ctrlProps/ctrlProp3018.xml" ContentType="application/vnd.ms-excel.controlproperties+xml"/>
  <Override PartName="/xl/ctrlProps/ctrlProp3019.xml" ContentType="application/vnd.ms-excel.controlproperties+xml"/>
  <Override PartName="/xl/ctrlProps/ctrlProp3020.xml" ContentType="application/vnd.ms-excel.controlproperties+xml"/>
  <Override PartName="/xl/ctrlProps/ctrlProp3021.xml" ContentType="application/vnd.ms-excel.controlproperties+xml"/>
  <Override PartName="/xl/ctrlProps/ctrlProp3022.xml" ContentType="application/vnd.ms-excel.controlproperties+xml"/>
  <Override PartName="/xl/ctrlProps/ctrlProp3023.xml" ContentType="application/vnd.ms-excel.controlproperties+xml"/>
  <Override PartName="/xl/ctrlProps/ctrlProp3024.xml" ContentType="application/vnd.ms-excel.controlproperties+xml"/>
  <Override PartName="/xl/ctrlProps/ctrlProp3025.xml" ContentType="application/vnd.ms-excel.controlproperties+xml"/>
  <Override PartName="/xl/ctrlProps/ctrlProp3026.xml" ContentType="application/vnd.ms-excel.controlproperties+xml"/>
  <Override PartName="/xl/ctrlProps/ctrlProp3027.xml" ContentType="application/vnd.ms-excel.controlproperties+xml"/>
  <Override PartName="/xl/ctrlProps/ctrlProp3028.xml" ContentType="application/vnd.ms-excel.controlproperties+xml"/>
  <Override PartName="/xl/ctrlProps/ctrlProp3029.xml" ContentType="application/vnd.ms-excel.controlproperties+xml"/>
  <Override PartName="/xl/ctrlProps/ctrlProp3030.xml" ContentType="application/vnd.ms-excel.controlproperties+xml"/>
  <Override PartName="/xl/ctrlProps/ctrlProp3031.xml" ContentType="application/vnd.ms-excel.controlproperties+xml"/>
  <Override PartName="/xl/ctrlProps/ctrlProp3032.xml" ContentType="application/vnd.ms-excel.controlproperties+xml"/>
  <Override PartName="/xl/ctrlProps/ctrlProp3033.xml" ContentType="application/vnd.ms-excel.controlproperties+xml"/>
  <Override PartName="/xl/ctrlProps/ctrlProp3034.xml" ContentType="application/vnd.ms-excel.controlproperties+xml"/>
  <Override PartName="/xl/ctrlProps/ctrlProp3035.xml" ContentType="application/vnd.ms-excel.controlproperties+xml"/>
  <Override PartName="/xl/ctrlProps/ctrlProp3036.xml" ContentType="application/vnd.ms-excel.controlproperties+xml"/>
  <Override PartName="/xl/ctrlProps/ctrlProp3037.xml" ContentType="application/vnd.ms-excel.controlproperties+xml"/>
  <Override PartName="/xl/ctrlProps/ctrlProp3038.xml" ContentType="application/vnd.ms-excel.controlproperties+xml"/>
  <Override PartName="/xl/ctrlProps/ctrlProp3039.xml" ContentType="application/vnd.ms-excel.controlproperties+xml"/>
  <Override PartName="/xl/ctrlProps/ctrlProp3040.xml" ContentType="application/vnd.ms-excel.controlproperties+xml"/>
  <Override PartName="/xl/ctrlProps/ctrlProp3041.xml" ContentType="application/vnd.ms-excel.controlproperties+xml"/>
  <Override PartName="/xl/ctrlProps/ctrlProp3042.xml" ContentType="application/vnd.ms-excel.controlproperties+xml"/>
  <Override PartName="/xl/ctrlProps/ctrlProp3043.xml" ContentType="application/vnd.ms-excel.controlproperties+xml"/>
  <Override PartName="/xl/ctrlProps/ctrlProp3044.xml" ContentType="application/vnd.ms-excel.controlproperties+xml"/>
  <Override PartName="/xl/ctrlProps/ctrlProp3045.xml" ContentType="application/vnd.ms-excel.controlproperties+xml"/>
  <Override PartName="/xl/ctrlProps/ctrlProp3046.xml" ContentType="application/vnd.ms-excel.controlproperties+xml"/>
  <Override PartName="/xl/ctrlProps/ctrlProp3047.xml" ContentType="application/vnd.ms-excel.controlproperties+xml"/>
  <Override PartName="/xl/ctrlProps/ctrlProp3048.xml" ContentType="application/vnd.ms-excel.controlproperties+xml"/>
  <Override PartName="/xl/ctrlProps/ctrlProp3049.xml" ContentType="application/vnd.ms-excel.controlproperties+xml"/>
  <Override PartName="/xl/ctrlProps/ctrlProp3050.xml" ContentType="application/vnd.ms-excel.controlproperties+xml"/>
  <Override PartName="/xl/ctrlProps/ctrlProp3051.xml" ContentType="application/vnd.ms-excel.controlproperties+xml"/>
  <Override PartName="/xl/ctrlProps/ctrlProp3052.xml" ContentType="application/vnd.ms-excel.controlproperties+xml"/>
  <Override PartName="/xl/ctrlProps/ctrlProp3053.xml" ContentType="application/vnd.ms-excel.controlproperties+xml"/>
  <Override PartName="/xl/ctrlProps/ctrlProp3054.xml" ContentType="application/vnd.ms-excel.controlproperties+xml"/>
  <Override PartName="/xl/ctrlProps/ctrlProp3055.xml" ContentType="application/vnd.ms-excel.controlproperties+xml"/>
  <Override PartName="/xl/ctrlProps/ctrlProp3056.xml" ContentType="application/vnd.ms-excel.controlproperties+xml"/>
  <Override PartName="/xl/ctrlProps/ctrlProp3057.xml" ContentType="application/vnd.ms-excel.controlproperties+xml"/>
  <Override PartName="/xl/ctrlProps/ctrlProp3058.xml" ContentType="application/vnd.ms-excel.controlproperties+xml"/>
  <Override PartName="/xl/ctrlProps/ctrlProp3059.xml" ContentType="application/vnd.ms-excel.controlproperties+xml"/>
  <Override PartName="/xl/ctrlProps/ctrlProp3060.xml" ContentType="application/vnd.ms-excel.controlproperties+xml"/>
  <Override PartName="/xl/ctrlProps/ctrlProp3061.xml" ContentType="application/vnd.ms-excel.controlproperties+xml"/>
  <Override PartName="/xl/ctrlProps/ctrlProp3062.xml" ContentType="application/vnd.ms-excel.controlproperties+xml"/>
  <Override PartName="/xl/ctrlProps/ctrlProp3063.xml" ContentType="application/vnd.ms-excel.controlproperties+xml"/>
  <Override PartName="/xl/ctrlProps/ctrlProp3064.xml" ContentType="application/vnd.ms-excel.controlproperties+xml"/>
  <Override PartName="/xl/ctrlProps/ctrlProp3065.xml" ContentType="application/vnd.ms-excel.controlproperties+xml"/>
  <Override PartName="/xl/ctrlProps/ctrlProp3066.xml" ContentType="application/vnd.ms-excel.controlproperties+xml"/>
  <Override PartName="/xl/ctrlProps/ctrlProp3067.xml" ContentType="application/vnd.ms-excel.controlproperties+xml"/>
  <Override PartName="/xl/ctrlProps/ctrlProp3068.xml" ContentType="application/vnd.ms-excel.controlproperties+xml"/>
  <Override PartName="/xl/ctrlProps/ctrlProp3069.xml" ContentType="application/vnd.ms-excel.controlproperties+xml"/>
  <Override PartName="/xl/ctrlProps/ctrlProp3070.xml" ContentType="application/vnd.ms-excel.controlproperties+xml"/>
  <Override PartName="/xl/ctrlProps/ctrlProp3071.xml" ContentType="application/vnd.ms-excel.controlproperties+xml"/>
  <Override PartName="/xl/ctrlProps/ctrlProp3072.xml" ContentType="application/vnd.ms-excel.controlproperties+xml"/>
  <Override PartName="/xl/ctrlProps/ctrlProp3073.xml" ContentType="application/vnd.ms-excel.controlproperties+xml"/>
  <Override PartName="/xl/ctrlProps/ctrlProp3074.xml" ContentType="application/vnd.ms-excel.controlproperties+xml"/>
  <Override PartName="/xl/ctrlProps/ctrlProp3075.xml" ContentType="application/vnd.ms-excel.controlproperties+xml"/>
  <Override PartName="/xl/ctrlProps/ctrlProp3076.xml" ContentType="application/vnd.ms-excel.controlproperties+xml"/>
  <Override PartName="/xl/ctrlProps/ctrlProp3077.xml" ContentType="application/vnd.ms-excel.controlproperties+xml"/>
  <Override PartName="/xl/ctrlProps/ctrlProp3078.xml" ContentType="application/vnd.ms-excel.controlproperties+xml"/>
  <Override PartName="/xl/ctrlProps/ctrlProp3079.xml" ContentType="application/vnd.ms-excel.controlproperties+xml"/>
  <Override PartName="/xl/ctrlProps/ctrlProp3080.xml" ContentType="application/vnd.ms-excel.controlproperties+xml"/>
  <Override PartName="/xl/ctrlProps/ctrlProp3081.xml" ContentType="application/vnd.ms-excel.controlproperties+xml"/>
  <Override PartName="/xl/ctrlProps/ctrlProp3082.xml" ContentType="application/vnd.ms-excel.controlproperties+xml"/>
  <Override PartName="/xl/ctrlProps/ctrlProp3083.xml" ContentType="application/vnd.ms-excel.controlproperties+xml"/>
  <Override PartName="/xl/ctrlProps/ctrlProp3084.xml" ContentType="application/vnd.ms-excel.controlproperties+xml"/>
  <Override PartName="/xl/ctrlProps/ctrlProp3085.xml" ContentType="application/vnd.ms-excel.controlproperties+xml"/>
  <Override PartName="/xl/ctrlProps/ctrlProp3086.xml" ContentType="application/vnd.ms-excel.controlproperties+xml"/>
  <Override PartName="/xl/ctrlProps/ctrlProp3087.xml" ContentType="application/vnd.ms-excel.controlproperties+xml"/>
  <Override PartName="/xl/ctrlProps/ctrlProp3088.xml" ContentType="application/vnd.ms-excel.controlproperties+xml"/>
  <Override PartName="/xl/ctrlProps/ctrlProp3089.xml" ContentType="application/vnd.ms-excel.controlproperties+xml"/>
  <Override PartName="/xl/ctrlProps/ctrlProp3090.xml" ContentType="application/vnd.ms-excel.controlproperties+xml"/>
  <Override PartName="/xl/ctrlProps/ctrlProp3091.xml" ContentType="application/vnd.ms-excel.controlproperties+xml"/>
  <Override PartName="/xl/ctrlProps/ctrlProp3092.xml" ContentType="application/vnd.ms-excel.controlproperties+xml"/>
  <Override PartName="/xl/ctrlProps/ctrlProp3093.xml" ContentType="application/vnd.ms-excel.controlproperties+xml"/>
  <Override PartName="/xl/ctrlProps/ctrlProp3094.xml" ContentType="application/vnd.ms-excel.controlproperties+xml"/>
  <Override PartName="/xl/ctrlProps/ctrlProp3095.xml" ContentType="application/vnd.ms-excel.controlproperties+xml"/>
  <Override PartName="/xl/ctrlProps/ctrlProp3096.xml" ContentType="application/vnd.ms-excel.controlproperties+xml"/>
  <Override PartName="/xl/ctrlProps/ctrlProp3097.xml" ContentType="application/vnd.ms-excel.controlproperties+xml"/>
  <Override PartName="/xl/ctrlProps/ctrlProp3098.xml" ContentType="application/vnd.ms-excel.controlproperties+xml"/>
  <Override PartName="/xl/ctrlProps/ctrlProp3099.xml" ContentType="application/vnd.ms-excel.controlproperties+xml"/>
  <Override PartName="/xl/ctrlProps/ctrlProp3100.xml" ContentType="application/vnd.ms-excel.controlproperties+xml"/>
  <Override PartName="/xl/ctrlProps/ctrlProp3101.xml" ContentType="application/vnd.ms-excel.controlproperties+xml"/>
  <Override PartName="/xl/ctrlProps/ctrlProp3102.xml" ContentType="application/vnd.ms-excel.controlproperties+xml"/>
  <Override PartName="/xl/ctrlProps/ctrlProp3103.xml" ContentType="application/vnd.ms-excel.controlproperties+xml"/>
  <Override PartName="/xl/ctrlProps/ctrlProp3104.xml" ContentType="application/vnd.ms-excel.controlproperties+xml"/>
  <Override PartName="/xl/ctrlProps/ctrlProp3105.xml" ContentType="application/vnd.ms-excel.controlproperties+xml"/>
  <Override PartName="/xl/ctrlProps/ctrlProp3106.xml" ContentType="application/vnd.ms-excel.controlproperties+xml"/>
  <Override PartName="/xl/ctrlProps/ctrlProp3107.xml" ContentType="application/vnd.ms-excel.controlproperties+xml"/>
  <Override PartName="/xl/ctrlProps/ctrlProp3108.xml" ContentType="application/vnd.ms-excel.controlproperties+xml"/>
  <Override PartName="/xl/ctrlProps/ctrlProp3109.xml" ContentType="application/vnd.ms-excel.controlproperties+xml"/>
  <Override PartName="/xl/ctrlProps/ctrlProp3110.xml" ContentType="application/vnd.ms-excel.controlproperties+xml"/>
  <Override PartName="/xl/ctrlProps/ctrlProp3111.xml" ContentType="application/vnd.ms-excel.controlproperties+xml"/>
  <Override PartName="/xl/ctrlProps/ctrlProp3112.xml" ContentType="application/vnd.ms-excel.controlproperties+xml"/>
  <Override PartName="/xl/ctrlProps/ctrlProp3113.xml" ContentType="application/vnd.ms-excel.controlproperties+xml"/>
  <Override PartName="/xl/ctrlProps/ctrlProp3114.xml" ContentType="application/vnd.ms-excel.controlproperties+xml"/>
  <Override PartName="/xl/ctrlProps/ctrlProp3115.xml" ContentType="application/vnd.ms-excel.controlproperties+xml"/>
  <Override PartName="/xl/ctrlProps/ctrlProp3116.xml" ContentType="application/vnd.ms-excel.controlproperties+xml"/>
  <Override PartName="/xl/ctrlProps/ctrlProp3117.xml" ContentType="application/vnd.ms-excel.controlproperties+xml"/>
  <Override PartName="/xl/ctrlProps/ctrlProp3118.xml" ContentType="application/vnd.ms-excel.controlproperties+xml"/>
  <Override PartName="/xl/ctrlProps/ctrlProp3119.xml" ContentType="application/vnd.ms-excel.controlproperties+xml"/>
  <Override PartName="/xl/ctrlProps/ctrlProp3120.xml" ContentType="application/vnd.ms-excel.controlproperties+xml"/>
  <Override PartName="/xl/ctrlProps/ctrlProp3121.xml" ContentType="application/vnd.ms-excel.controlproperties+xml"/>
  <Override PartName="/xl/ctrlProps/ctrlProp3122.xml" ContentType="application/vnd.ms-excel.controlproperties+xml"/>
  <Override PartName="/xl/ctrlProps/ctrlProp3123.xml" ContentType="application/vnd.ms-excel.controlproperties+xml"/>
  <Override PartName="/xl/ctrlProps/ctrlProp3124.xml" ContentType="application/vnd.ms-excel.controlproperties+xml"/>
  <Override PartName="/xl/ctrlProps/ctrlProp3125.xml" ContentType="application/vnd.ms-excel.controlproperties+xml"/>
  <Override PartName="/xl/ctrlProps/ctrlProp3126.xml" ContentType="application/vnd.ms-excel.controlproperties+xml"/>
  <Override PartName="/xl/ctrlProps/ctrlProp3127.xml" ContentType="application/vnd.ms-excel.controlproperties+xml"/>
  <Override PartName="/xl/ctrlProps/ctrlProp3128.xml" ContentType="application/vnd.ms-excel.controlproperties+xml"/>
  <Override PartName="/xl/ctrlProps/ctrlProp3129.xml" ContentType="application/vnd.ms-excel.controlproperties+xml"/>
  <Override PartName="/xl/ctrlProps/ctrlProp3130.xml" ContentType="application/vnd.ms-excel.controlproperties+xml"/>
  <Override PartName="/xl/ctrlProps/ctrlProp3131.xml" ContentType="application/vnd.ms-excel.controlproperties+xml"/>
  <Override PartName="/xl/ctrlProps/ctrlProp3132.xml" ContentType="application/vnd.ms-excel.controlproperties+xml"/>
  <Override PartName="/xl/ctrlProps/ctrlProp3133.xml" ContentType="application/vnd.ms-excel.controlproperties+xml"/>
  <Override PartName="/xl/ctrlProps/ctrlProp3134.xml" ContentType="application/vnd.ms-excel.controlproperties+xml"/>
  <Override PartName="/xl/ctrlProps/ctrlProp3135.xml" ContentType="application/vnd.ms-excel.controlproperties+xml"/>
  <Override PartName="/xl/ctrlProps/ctrlProp3136.xml" ContentType="application/vnd.ms-excel.controlproperties+xml"/>
  <Override PartName="/xl/ctrlProps/ctrlProp3137.xml" ContentType="application/vnd.ms-excel.controlproperties+xml"/>
  <Override PartName="/xl/ctrlProps/ctrlProp3138.xml" ContentType="application/vnd.ms-excel.controlproperties+xml"/>
  <Override PartName="/xl/ctrlProps/ctrlProp3139.xml" ContentType="application/vnd.ms-excel.controlproperties+xml"/>
  <Override PartName="/xl/ctrlProps/ctrlProp3140.xml" ContentType="application/vnd.ms-excel.controlproperties+xml"/>
  <Override PartName="/xl/ctrlProps/ctrlProp3141.xml" ContentType="application/vnd.ms-excel.controlproperties+xml"/>
  <Override PartName="/xl/ctrlProps/ctrlProp3142.xml" ContentType="application/vnd.ms-excel.controlproperties+xml"/>
  <Override PartName="/xl/ctrlProps/ctrlProp3143.xml" ContentType="application/vnd.ms-excel.controlproperties+xml"/>
  <Override PartName="/xl/ctrlProps/ctrlProp3144.xml" ContentType="application/vnd.ms-excel.controlproperties+xml"/>
  <Override PartName="/xl/ctrlProps/ctrlProp3145.xml" ContentType="application/vnd.ms-excel.controlproperties+xml"/>
  <Override PartName="/xl/ctrlProps/ctrlProp3146.xml" ContentType="application/vnd.ms-excel.controlproperties+xml"/>
  <Override PartName="/xl/ctrlProps/ctrlProp3147.xml" ContentType="application/vnd.ms-excel.controlproperties+xml"/>
  <Override PartName="/xl/ctrlProps/ctrlProp3148.xml" ContentType="application/vnd.ms-excel.controlproperties+xml"/>
  <Override PartName="/xl/ctrlProps/ctrlProp3149.xml" ContentType="application/vnd.ms-excel.controlproperties+xml"/>
  <Override PartName="/xl/ctrlProps/ctrlProp3150.xml" ContentType="application/vnd.ms-excel.controlproperties+xml"/>
  <Override PartName="/xl/ctrlProps/ctrlProp3151.xml" ContentType="application/vnd.ms-excel.controlproperties+xml"/>
  <Override PartName="/xl/ctrlProps/ctrlProp3152.xml" ContentType="application/vnd.ms-excel.controlproperties+xml"/>
  <Override PartName="/xl/ctrlProps/ctrlProp3153.xml" ContentType="application/vnd.ms-excel.controlproperties+xml"/>
  <Override PartName="/xl/ctrlProps/ctrlProp3154.xml" ContentType="application/vnd.ms-excel.controlproperties+xml"/>
  <Override PartName="/xl/ctrlProps/ctrlProp3155.xml" ContentType="application/vnd.ms-excel.controlproperties+xml"/>
  <Override PartName="/xl/ctrlProps/ctrlProp3156.xml" ContentType="application/vnd.ms-excel.controlproperties+xml"/>
  <Override PartName="/xl/ctrlProps/ctrlProp3157.xml" ContentType="application/vnd.ms-excel.controlproperties+xml"/>
  <Override PartName="/xl/ctrlProps/ctrlProp3158.xml" ContentType="application/vnd.ms-excel.controlproperties+xml"/>
  <Override PartName="/xl/ctrlProps/ctrlProp3159.xml" ContentType="application/vnd.ms-excel.controlproperties+xml"/>
  <Override PartName="/xl/ctrlProps/ctrlProp3160.xml" ContentType="application/vnd.ms-excel.controlproperties+xml"/>
  <Override PartName="/xl/ctrlProps/ctrlProp3161.xml" ContentType="application/vnd.ms-excel.controlproperties+xml"/>
  <Override PartName="/xl/ctrlProps/ctrlProp3162.xml" ContentType="application/vnd.ms-excel.controlproperties+xml"/>
  <Override PartName="/xl/ctrlProps/ctrlProp3163.xml" ContentType="application/vnd.ms-excel.controlproperties+xml"/>
  <Override PartName="/xl/ctrlProps/ctrlProp3164.xml" ContentType="application/vnd.ms-excel.controlproperties+xml"/>
  <Override PartName="/xl/ctrlProps/ctrlProp3165.xml" ContentType="application/vnd.ms-excel.controlproperties+xml"/>
  <Override PartName="/xl/ctrlProps/ctrlProp3166.xml" ContentType="application/vnd.ms-excel.controlproperties+xml"/>
  <Override PartName="/xl/ctrlProps/ctrlProp3167.xml" ContentType="application/vnd.ms-excel.controlproperties+xml"/>
  <Override PartName="/xl/ctrlProps/ctrlProp3168.xml" ContentType="application/vnd.ms-excel.controlproperties+xml"/>
  <Override PartName="/xl/ctrlProps/ctrlProp3169.xml" ContentType="application/vnd.ms-excel.controlproperties+xml"/>
  <Override PartName="/xl/ctrlProps/ctrlProp3170.xml" ContentType="application/vnd.ms-excel.controlproperties+xml"/>
  <Override PartName="/xl/ctrlProps/ctrlProp3171.xml" ContentType="application/vnd.ms-excel.controlproperties+xml"/>
  <Override PartName="/xl/ctrlProps/ctrlProp3172.xml" ContentType="application/vnd.ms-excel.controlproperties+xml"/>
  <Override PartName="/xl/ctrlProps/ctrlProp3173.xml" ContentType="application/vnd.ms-excel.controlproperties+xml"/>
  <Override PartName="/xl/ctrlProps/ctrlProp3174.xml" ContentType="application/vnd.ms-excel.controlproperties+xml"/>
  <Override PartName="/xl/ctrlProps/ctrlProp3175.xml" ContentType="application/vnd.ms-excel.controlproperties+xml"/>
  <Override PartName="/xl/ctrlProps/ctrlProp3176.xml" ContentType="application/vnd.ms-excel.controlproperties+xml"/>
  <Override PartName="/xl/ctrlProps/ctrlProp3177.xml" ContentType="application/vnd.ms-excel.controlproperties+xml"/>
  <Override PartName="/xl/ctrlProps/ctrlProp3178.xml" ContentType="application/vnd.ms-excel.controlproperties+xml"/>
  <Override PartName="/xl/ctrlProps/ctrlProp3179.xml" ContentType="application/vnd.ms-excel.controlproperties+xml"/>
  <Override PartName="/xl/ctrlProps/ctrlProp3180.xml" ContentType="application/vnd.ms-excel.controlproperties+xml"/>
  <Override PartName="/xl/ctrlProps/ctrlProp3181.xml" ContentType="application/vnd.ms-excel.controlproperties+xml"/>
  <Override PartName="/xl/ctrlProps/ctrlProp3182.xml" ContentType="application/vnd.ms-excel.controlproperties+xml"/>
  <Override PartName="/xl/ctrlProps/ctrlProp3183.xml" ContentType="application/vnd.ms-excel.controlproperties+xml"/>
  <Override PartName="/xl/ctrlProps/ctrlProp3184.xml" ContentType="application/vnd.ms-excel.controlproperties+xml"/>
  <Override PartName="/xl/ctrlProps/ctrlProp3185.xml" ContentType="application/vnd.ms-excel.controlproperties+xml"/>
  <Override PartName="/xl/ctrlProps/ctrlProp3186.xml" ContentType="application/vnd.ms-excel.controlproperties+xml"/>
  <Override PartName="/xl/ctrlProps/ctrlProp3187.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tables/table147.xml" ContentType="application/vnd.openxmlformats-officedocument.spreadsheetml.table+xml"/>
  <Override PartName="/xl/tables/table148.xml" ContentType="application/vnd.openxmlformats-officedocument.spreadsheetml.table+xml"/>
  <Override PartName="/xl/tables/table149.xml" ContentType="application/vnd.openxmlformats-officedocument.spreadsheetml.table+xml"/>
  <Override PartName="/xl/tables/table150.xml" ContentType="application/vnd.openxmlformats-officedocument.spreadsheetml.table+xml"/>
  <Override PartName="/xl/tables/table151.xml" ContentType="application/vnd.openxmlformats-officedocument.spreadsheetml.table+xml"/>
  <Override PartName="/xl/tables/table152.xml" ContentType="application/vnd.openxmlformats-officedocument.spreadsheetml.table+xml"/>
  <Override PartName="/xl/tables/table153.xml" ContentType="application/vnd.openxmlformats-officedocument.spreadsheetml.table+xml"/>
  <Override PartName="/xl/tables/table154.xml" ContentType="application/vnd.openxmlformats-officedocument.spreadsheetml.table+xml"/>
  <Override PartName="/xl/tables/table155.xml" ContentType="application/vnd.openxmlformats-officedocument.spreadsheetml.table+xml"/>
  <Override PartName="/xl/tables/table156.xml" ContentType="application/vnd.openxmlformats-officedocument.spreadsheetml.table+xml"/>
  <Override PartName="/xl/tables/table157.xml" ContentType="application/vnd.openxmlformats-officedocument.spreadsheetml.table+xml"/>
  <Override PartName="/xl/tables/table158.xml" ContentType="application/vnd.openxmlformats-officedocument.spreadsheetml.table+xml"/>
  <Override PartName="/xl/tables/table159.xml" ContentType="application/vnd.openxmlformats-officedocument.spreadsheetml.table+xml"/>
  <Override PartName="/xl/tables/table160.xml" ContentType="application/vnd.openxmlformats-officedocument.spreadsheetml.table+xml"/>
  <Override PartName="/xl/tables/table161.xml" ContentType="application/vnd.openxmlformats-officedocument.spreadsheetml.table+xml"/>
  <Override PartName="/xl/tables/table162.xml" ContentType="application/vnd.openxmlformats-officedocument.spreadsheetml.table+xml"/>
  <Override PartName="/xl/tables/table163.xml" ContentType="application/vnd.openxmlformats-officedocument.spreadsheetml.table+xml"/>
  <Override PartName="/xl/tables/table164.xml" ContentType="application/vnd.openxmlformats-officedocument.spreadsheetml.table+xml"/>
  <Override PartName="/xl/tables/table165.xml" ContentType="application/vnd.openxmlformats-officedocument.spreadsheetml.table+xml"/>
  <Override PartName="/xl/tables/table166.xml" ContentType="application/vnd.openxmlformats-officedocument.spreadsheetml.table+xml"/>
  <Override PartName="/xl/tables/table167.xml" ContentType="application/vnd.openxmlformats-officedocument.spreadsheetml.table+xml"/>
  <Override PartName="/xl/tables/table168.xml" ContentType="application/vnd.openxmlformats-officedocument.spreadsheetml.table+xml"/>
  <Override PartName="/xl/tables/table169.xml" ContentType="application/vnd.openxmlformats-officedocument.spreadsheetml.table+xml"/>
  <Override PartName="/xl/tables/table170.xml" ContentType="application/vnd.openxmlformats-officedocument.spreadsheetml.table+xml"/>
  <Override PartName="/xl/tables/table171.xml" ContentType="application/vnd.openxmlformats-officedocument.spreadsheetml.table+xml"/>
  <Override PartName="/xl/tables/table172.xml" ContentType="application/vnd.openxmlformats-officedocument.spreadsheetml.table+xml"/>
  <Override PartName="/xl/tables/table173.xml" ContentType="application/vnd.openxmlformats-officedocument.spreadsheetml.table+xml"/>
  <Override PartName="/xl/tables/table174.xml" ContentType="application/vnd.openxmlformats-officedocument.spreadsheetml.table+xml"/>
  <Override PartName="/xl/tables/table175.xml" ContentType="application/vnd.openxmlformats-officedocument.spreadsheetml.table+xml"/>
  <Override PartName="/xl/tables/table176.xml" ContentType="application/vnd.openxmlformats-officedocument.spreadsheetml.table+xml"/>
  <Override PartName="/xl/tables/table177.xml" ContentType="application/vnd.openxmlformats-officedocument.spreadsheetml.table+xml"/>
  <Override PartName="/xl/tables/table178.xml" ContentType="application/vnd.openxmlformats-officedocument.spreadsheetml.table+xml"/>
  <Override PartName="/xl/tables/table179.xml" ContentType="application/vnd.openxmlformats-officedocument.spreadsheetml.table+xml"/>
  <Override PartName="/xl/tables/table180.xml" ContentType="application/vnd.openxmlformats-officedocument.spreadsheetml.table+xml"/>
  <Override PartName="/xl/tables/table181.xml" ContentType="application/vnd.openxmlformats-officedocument.spreadsheetml.table+xml"/>
  <Override PartName="/xl/tables/table182.xml" ContentType="application/vnd.openxmlformats-officedocument.spreadsheetml.table+xml"/>
  <Override PartName="/xl/tables/table183.xml" ContentType="application/vnd.openxmlformats-officedocument.spreadsheetml.table+xml"/>
  <Override PartName="/xl/tables/table184.xml" ContentType="application/vnd.openxmlformats-officedocument.spreadsheetml.table+xml"/>
  <Override PartName="/xl/tables/table185.xml" ContentType="application/vnd.openxmlformats-officedocument.spreadsheetml.table+xml"/>
  <Override PartName="/xl/tables/table186.xml" ContentType="application/vnd.openxmlformats-officedocument.spreadsheetml.table+xml"/>
  <Override PartName="/xl/tables/table187.xml" ContentType="application/vnd.openxmlformats-officedocument.spreadsheetml.table+xml"/>
  <Override PartName="/xl/tables/table188.xml" ContentType="application/vnd.openxmlformats-officedocument.spreadsheetml.table+xml"/>
  <Override PartName="/xl/tables/table189.xml" ContentType="application/vnd.openxmlformats-officedocument.spreadsheetml.table+xml"/>
  <Override PartName="/xl/tables/table190.xml" ContentType="application/vnd.openxmlformats-officedocument.spreadsheetml.table+xml"/>
  <Override PartName="/xl/tables/table191.xml" ContentType="application/vnd.openxmlformats-officedocument.spreadsheetml.table+xml"/>
  <Override PartName="/xl/tables/table192.xml" ContentType="application/vnd.openxmlformats-officedocument.spreadsheetml.table+xml"/>
  <Override PartName="/xl/tables/table193.xml" ContentType="application/vnd.openxmlformats-officedocument.spreadsheetml.table+xml"/>
  <Override PartName="/xl/tables/table194.xml" ContentType="application/vnd.openxmlformats-officedocument.spreadsheetml.table+xml"/>
  <Override PartName="/xl/tables/table195.xml" ContentType="application/vnd.openxmlformats-officedocument.spreadsheetml.table+xml"/>
  <Override PartName="/xl/tables/table196.xml" ContentType="application/vnd.openxmlformats-officedocument.spreadsheetml.table+xml"/>
  <Override PartName="/xl/tables/table197.xml" ContentType="application/vnd.openxmlformats-officedocument.spreadsheetml.table+xml"/>
  <Override PartName="/xl/tables/table198.xml" ContentType="application/vnd.openxmlformats-officedocument.spreadsheetml.table+xml"/>
  <Override PartName="/xl/tables/table199.xml" ContentType="application/vnd.openxmlformats-officedocument.spreadsheetml.table+xml"/>
  <Override PartName="/xl/tables/table200.xml" ContentType="application/vnd.openxmlformats-officedocument.spreadsheetml.table+xml"/>
  <Override PartName="/xl/tables/table201.xml" ContentType="application/vnd.openxmlformats-officedocument.spreadsheetml.table+xml"/>
  <Override PartName="/xl/tables/table202.xml" ContentType="application/vnd.openxmlformats-officedocument.spreadsheetml.table+xml"/>
  <Override PartName="/xl/tables/table203.xml" ContentType="application/vnd.openxmlformats-officedocument.spreadsheetml.table+xml"/>
  <Override PartName="/xl/tables/table204.xml" ContentType="application/vnd.openxmlformats-officedocument.spreadsheetml.table+xml"/>
  <Override PartName="/xl/tables/table205.xml" ContentType="application/vnd.openxmlformats-officedocument.spreadsheetml.table+xml"/>
  <Override PartName="/xl/tables/table206.xml" ContentType="application/vnd.openxmlformats-officedocument.spreadsheetml.table+xml"/>
  <Override PartName="/xl/tables/table207.xml" ContentType="application/vnd.openxmlformats-officedocument.spreadsheetml.table+xml"/>
  <Override PartName="/xl/tables/table208.xml" ContentType="application/vnd.openxmlformats-officedocument.spreadsheetml.table+xml"/>
  <Override PartName="/xl/tables/table209.xml" ContentType="application/vnd.openxmlformats-officedocument.spreadsheetml.table+xml"/>
  <Override PartName="/xl/tables/table210.xml" ContentType="application/vnd.openxmlformats-officedocument.spreadsheetml.table+xml"/>
  <Override PartName="/xl/tables/table211.xml" ContentType="application/vnd.openxmlformats-officedocument.spreadsheetml.table+xml"/>
  <Override PartName="/xl/tables/table212.xml" ContentType="application/vnd.openxmlformats-officedocument.spreadsheetml.table+xml"/>
  <Override PartName="/xl/tables/table213.xml" ContentType="application/vnd.openxmlformats-officedocument.spreadsheetml.table+xml"/>
  <Override PartName="/xl/tables/table214.xml" ContentType="application/vnd.openxmlformats-officedocument.spreadsheetml.table+xml"/>
  <Override PartName="/xl/tables/table215.xml" ContentType="application/vnd.openxmlformats-officedocument.spreadsheetml.table+xml"/>
  <Override PartName="/xl/tables/table216.xml" ContentType="application/vnd.openxmlformats-officedocument.spreadsheetml.table+xml"/>
  <Override PartName="/xl/tables/table217.xml" ContentType="application/vnd.openxmlformats-officedocument.spreadsheetml.table+xml"/>
  <Override PartName="/xl/tables/table218.xml" ContentType="application/vnd.openxmlformats-officedocument.spreadsheetml.table+xml"/>
  <Override PartName="/xl/tables/table219.xml" ContentType="application/vnd.openxmlformats-officedocument.spreadsheetml.table+xml"/>
  <Override PartName="/xl/tables/table220.xml" ContentType="application/vnd.openxmlformats-officedocument.spreadsheetml.table+xml"/>
  <Override PartName="/xl/tables/table221.xml" ContentType="application/vnd.openxmlformats-officedocument.spreadsheetml.table+xml"/>
  <Override PartName="/xl/tables/table222.xml" ContentType="application/vnd.openxmlformats-officedocument.spreadsheetml.table+xml"/>
  <Override PartName="/xl/tables/table223.xml" ContentType="application/vnd.openxmlformats-officedocument.spreadsheetml.table+xml"/>
  <Override PartName="/xl/tables/table224.xml" ContentType="application/vnd.openxmlformats-officedocument.spreadsheetml.table+xml"/>
  <Override PartName="/xl/tables/table225.xml" ContentType="application/vnd.openxmlformats-officedocument.spreadsheetml.table+xml"/>
  <Override PartName="/xl/tables/table226.xml" ContentType="application/vnd.openxmlformats-officedocument.spreadsheetml.table+xml"/>
  <Override PartName="/xl/tables/table227.xml" ContentType="application/vnd.openxmlformats-officedocument.spreadsheetml.table+xml"/>
  <Override PartName="/xl/tables/table228.xml" ContentType="application/vnd.openxmlformats-officedocument.spreadsheetml.table+xml"/>
  <Override PartName="/xl/tables/table229.xml" ContentType="application/vnd.openxmlformats-officedocument.spreadsheetml.table+xml"/>
  <Override PartName="/xl/tables/table230.xml" ContentType="application/vnd.openxmlformats-officedocument.spreadsheetml.table+xml"/>
  <Override PartName="/xl/tables/table231.xml" ContentType="application/vnd.openxmlformats-officedocument.spreadsheetml.table+xml"/>
  <Override PartName="/xl/tables/table232.xml" ContentType="application/vnd.openxmlformats-officedocument.spreadsheetml.table+xml"/>
  <Override PartName="/xl/tables/table233.xml" ContentType="application/vnd.openxmlformats-officedocument.spreadsheetml.table+xml"/>
  <Override PartName="/xl/tables/table234.xml" ContentType="application/vnd.openxmlformats-officedocument.spreadsheetml.table+xml"/>
  <Override PartName="/xl/tables/table235.xml" ContentType="application/vnd.openxmlformats-officedocument.spreadsheetml.table+xml"/>
  <Override PartName="/xl/tables/table236.xml" ContentType="application/vnd.openxmlformats-officedocument.spreadsheetml.table+xml"/>
  <Override PartName="/xl/tables/table237.xml" ContentType="application/vnd.openxmlformats-officedocument.spreadsheetml.table+xml"/>
  <Override PartName="/xl/tables/table238.xml" ContentType="application/vnd.openxmlformats-officedocument.spreadsheetml.table+xml"/>
  <Override PartName="/xl/tables/table239.xml" ContentType="application/vnd.openxmlformats-officedocument.spreadsheetml.table+xml"/>
  <Override PartName="/xl/tables/table240.xml" ContentType="application/vnd.openxmlformats-officedocument.spreadsheetml.table+xml"/>
  <Override PartName="/xl/tables/table241.xml" ContentType="application/vnd.openxmlformats-officedocument.spreadsheetml.table+xml"/>
  <Override PartName="/xl/tables/table242.xml" ContentType="application/vnd.openxmlformats-officedocument.spreadsheetml.table+xml"/>
  <Override PartName="/xl/tables/table243.xml" ContentType="application/vnd.openxmlformats-officedocument.spreadsheetml.table+xml"/>
  <Override PartName="/xl/tables/table244.xml" ContentType="application/vnd.openxmlformats-officedocument.spreadsheetml.table+xml"/>
  <Override PartName="/xl/tables/table245.xml" ContentType="application/vnd.openxmlformats-officedocument.spreadsheetml.table+xml"/>
  <Override PartName="/xl/tables/table246.xml" ContentType="application/vnd.openxmlformats-officedocument.spreadsheetml.table+xml"/>
  <Override PartName="/xl/tables/table247.xml" ContentType="application/vnd.openxmlformats-officedocument.spreadsheetml.table+xml"/>
  <Override PartName="/xl/tables/table248.xml" ContentType="application/vnd.openxmlformats-officedocument.spreadsheetml.table+xml"/>
  <Override PartName="/xl/tables/table249.xml" ContentType="application/vnd.openxmlformats-officedocument.spreadsheetml.table+xml"/>
  <Override PartName="/xl/tables/table250.xml" ContentType="application/vnd.openxmlformats-officedocument.spreadsheetml.table+xml"/>
  <Override PartName="/xl/tables/table251.xml" ContentType="application/vnd.openxmlformats-officedocument.spreadsheetml.table+xml"/>
  <Override PartName="/xl/tables/table252.xml" ContentType="application/vnd.openxmlformats-officedocument.spreadsheetml.table+xml"/>
  <Override PartName="/xl/tables/table253.xml" ContentType="application/vnd.openxmlformats-officedocument.spreadsheetml.table+xml"/>
  <Override PartName="/xl/tables/table254.xml" ContentType="application/vnd.openxmlformats-officedocument.spreadsheetml.table+xml"/>
  <Override PartName="/xl/tables/table255.xml" ContentType="application/vnd.openxmlformats-officedocument.spreadsheetml.table+xml"/>
  <Override PartName="/xl/tables/table256.xml" ContentType="application/vnd.openxmlformats-officedocument.spreadsheetml.table+xml"/>
  <Override PartName="/xl/tables/table257.xml" ContentType="application/vnd.openxmlformats-officedocument.spreadsheetml.table+xml"/>
  <Override PartName="/xl/tables/table258.xml" ContentType="application/vnd.openxmlformats-officedocument.spreadsheetml.table+xml"/>
  <Override PartName="/xl/tables/table259.xml" ContentType="application/vnd.openxmlformats-officedocument.spreadsheetml.table+xml"/>
  <Override PartName="/xl/tables/table260.xml" ContentType="application/vnd.openxmlformats-officedocument.spreadsheetml.table+xml"/>
  <Override PartName="/xl/tables/table261.xml" ContentType="application/vnd.openxmlformats-officedocument.spreadsheetml.table+xml"/>
  <Override PartName="/xl/tables/table262.xml" ContentType="application/vnd.openxmlformats-officedocument.spreadsheetml.table+xml"/>
  <Override PartName="/xl/tables/table263.xml" ContentType="application/vnd.openxmlformats-officedocument.spreadsheetml.table+xml"/>
  <Override PartName="/xl/tables/table264.xml" ContentType="application/vnd.openxmlformats-officedocument.spreadsheetml.table+xml"/>
  <Override PartName="/xl/tables/table265.xml" ContentType="application/vnd.openxmlformats-officedocument.spreadsheetml.table+xml"/>
  <Override PartName="/xl/tables/table266.xml" ContentType="application/vnd.openxmlformats-officedocument.spreadsheetml.table+xml"/>
  <Override PartName="/xl/tables/table267.xml" ContentType="application/vnd.openxmlformats-officedocument.spreadsheetml.table+xml"/>
  <Override PartName="/xl/tables/table268.xml" ContentType="application/vnd.openxmlformats-officedocument.spreadsheetml.table+xml"/>
  <Override PartName="/xl/tables/table269.xml" ContentType="application/vnd.openxmlformats-officedocument.spreadsheetml.table+xml"/>
  <Override PartName="/xl/tables/table270.xml" ContentType="application/vnd.openxmlformats-officedocument.spreadsheetml.table+xml"/>
  <Override PartName="/xl/tables/table271.xml" ContentType="application/vnd.openxmlformats-officedocument.spreadsheetml.table+xml"/>
  <Override PartName="/xl/tables/table272.xml" ContentType="application/vnd.openxmlformats-officedocument.spreadsheetml.table+xml"/>
  <Override PartName="/xl/tables/table273.xml" ContentType="application/vnd.openxmlformats-officedocument.spreadsheetml.table+xml"/>
  <Override PartName="/xl/tables/table274.xml" ContentType="application/vnd.openxmlformats-officedocument.spreadsheetml.table+xml"/>
  <Override PartName="/xl/tables/table275.xml" ContentType="application/vnd.openxmlformats-officedocument.spreadsheetml.table+xml"/>
  <Override PartName="/xl/tables/table276.xml" ContentType="application/vnd.openxmlformats-officedocument.spreadsheetml.table+xml"/>
  <Override PartName="/xl/tables/table277.xml" ContentType="application/vnd.openxmlformats-officedocument.spreadsheetml.table+xml"/>
  <Override PartName="/xl/tables/table278.xml" ContentType="application/vnd.openxmlformats-officedocument.spreadsheetml.table+xml"/>
  <Override PartName="/xl/tables/table279.xml" ContentType="application/vnd.openxmlformats-officedocument.spreadsheetml.table+xml"/>
  <Override PartName="/xl/tables/table280.xml" ContentType="application/vnd.openxmlformats-officedocument.spreadsheetml.table+xml"/>
  <Override PartName="/xl/tables/table281.xml" ContentType="application/vnd.openxmlformats-officedocument.spreadsheetml.table+xml"/>
  <Override PartName="/xl/tables/table282.xml" ContentType="application/vnd.openxmlformats-officedocument.spreadsheetml.table+xml"/>
  <Override PartName="/xl/tables/table283.xml" ContentType="application/vnd.openxmlformats-officedocument.spreadsheetml.table+xml"/>
  <Override PartName="/xl/tables/table284.xml" ContentType="application/vnd.openxmlformats-officedocument.spreadsheetml.table+xml"/>
  <Override PartName="/xl/tables/table285.xml" ContentType="application/vnd.openxmlformats-officedocument.spreadsheetml.table+xml"/>
  <Override PartName="/xl/tables/table286.xml" ContentType="application/vnd.openxmlformats-officedocument.spreadsheetml.table+xml"/>
  <Override PartName="/xl/tables/table287.xml" ContentType="application/vnd.openxmlformats-officedocument.spreadsheetml.table+xml"/>
  <Override PartName="/xl/tables/table288.xml" ContentType="application/vnd.openxmlformats-officedocument.spreadsheetml.table+xml"/>
  <Override PartName="/xl/tables/table289.xml" ContentType="application/vnd.openxmlformats-officedocument.spreadsheetml.table+xml"/>
  <Override PartName="/xl/tables/table290.xml" ContentType="application/vnd.openxmlformats-officedocument.spreadsheetml.table+xml"/>
  <Override PartName="/xl/tables/table291.xml" ContentType="application/vnd.openxmlformats-officedocument.spreadsheetml.table+xml"/>
  <Override PartName="/xl/tables/table292.xml" ContentType="application/vnd.openxmlformats-officedocument.spreadsheetml.table+xml"/>
  <Override PartName="/xl/tables/table293.xml" ContentType="application/vnd.openxmlformats-officedocument.spreadsheetml.table+xml"/>
  <Override PartName="/xl/tables/table294.xml" ContentType="application/vnd.openxmlformats-officedocument.spreadsheetml.table+xml"/>
  <Override PartName="/xl/tables/table295.xml" ContentType="application/vnd.openxmlformats-officedocument.spreadsheetml.table+xml"/>
  <Override PartName="/xl/tables/table296.xml" ContentType="application/vnd.openxmlformats-officedocument.spreadsheetml.table+xml"/>
  <Override PartName="/xl/tables/table297.xml" ContentType="application/vnd.openxmlformats-officedocument.spreadsheetml.table+xml"/>
  <Override PartName="/xl/tables/table298.xml" ContentType="application/vnd.openxmlformats-officedocument.spreadsheetml.table+xml"/>
  <Override PartName="/xl/tables/table299.xml" ContentType="application/vnd.openxmlformats-officedocument.spreadsheetml.table+xml"/>
  <Override PartName="/xl/tables/table300.xml" ContentType="application/vnd.openxmlformats-officedocument.spreadsheetml.table+xml"/>
  <Override PartName="/xl/tables/table301.xml" ContentType="application/vnd.openxmlformats-officedocument.spreadsheetml.table+xml"/>
  <Override PartName="/xl/tables/table302.xml" ContentType="application/vnd.openxmlformats-officedocument.spreadsheetml.table+xml"/>
  <Override PartName="/xl/tables/table303.xml" ContentType="application/vnd.openxmlformats-officedocument.spreadsheetml.table+xml"/>
  <Override PartName="/xl/tables/table304.xml" ContentType="application/vnd.openxmlformats-officedocument.spreadsheetml.table+xml"/>
  <Override PartName="/xl/tables/table305.xml" ContentType="application/vnd.openxmlformats-officedocument.spreadsheetml.table+xml"/>
  <Override PartName="/xl/tables/table306.xml" ContentType="application/vnd.openxmlformats-officedocument.spreadsheetml.table+xml"/>
  <Override PartName="/xl/tables/table307.xml" ContentType="application/vnd.openxmlformats-officedocument.spreadsheetml.table+xml"/>
  <Override PartName="/xl/tables/table308.xml" ContentType="application/vnd.openxmlformats-officedocument.spreadsheetml.table+xml"/>
  <Override PartName="/xl/tables/table309.xml" ContentType="application/vnd.openxmlformats-officedocument.spreadsheetml.table+xml"/>
  <Override PartName="/xl/tables/table310.xml" ContentType="application/vnd.openxmlformats-officedocument.spreadsheetml.table+xml"/>
  <Override PartName="/xl/tables/table311.xml" ContentType="application/vnd.openxmlformats-officedocument.spreadsheetml.table+xml"/>
  <Override PartName="/xl/tables/table312.xml" ContentType="application/vnd.openxmlformats-officedocument.spreadsheetml.table+xml"/>
  <Override PartName="/xl/tables/table313.xml" ContentType="application/vnd.openxmlformats-officedocument.spreadsheetml.table+xml"/>
  <Override PartName="/xl/tables/table314.xml" ContentType="application/vnd.openxmlformats-officedocument.spreadsheetml.table+xml"/>
  <Override PartName="/xl/tables/table315.xml" ContentType="application/vnd.openxmlformats-officedocument.spreadsheetml.table+xml"/>
  <Override PartName="/xl/tables/table316.xml" ContentType="application/vnd.openxmlformats-officedocument.spreadsheetml.table+xml"/>
  <Override PartName="/xl/tables/table317.xml" ContentType="application/vnd.openxmlformats-officedocument.spreadsheetml.table+xml"/>
  <Override PartName="/xl/tables/table318.xml" ContentType="application/vnd.openxmlformats-officedocument.spreadsheetml.table+xml"/>
  <Override PartName="/xl/tables/table319.xml" ContentType="application/vnd.openxmlformats-officedocument.spreadsheetml.table+xml"/>
  <Override PartName="/xl/tables/table320.xml" ContentType="application/vnd.openxmlformats-officedocument.spreadsheetml.table+xml"/>
  <Override PartName="/xl/tables/table321.xml" ContentType="application/vnd.openxmlformats-officedocument.spreadsheetml.table+xml"/>
  <Override PartName="/xl/tables/table322.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3188.xml" ContentType="application/vnd.ms-excel.controlproperties+xml"/>
  <Override PartName="/xl/ctrlProps/ctrlProp3189.xml" ContentType="application/vnd.ms-excel.controlproperties+xml"/>
  <Override PartName="/xl/ctrlProps/ctrlProp3190.xml" ContentType="application/vnd.ms-excel.controlproperties+xml"/>
  <Override PartName="/xl/ctrlProps/ctrlProp3191.xml" ContentType="application/vnd.ms-excel.controlproperties+xml"/>
  <Override PartName="/xl/tables/table323.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codeName="ThisWorkbook"/>
  <mc:AlternateContent xmlns:mc="http://schemas.openxmlformats.org/markup-compatibility/2006">
    <mc:Choice Requires="x15">
      <x15ac:absPath xmlns:x15ac="http://schemas.microsoft.com/office/spreadsheetml/2010/11/ac" url="D:\fc\fcproduction\files_vol\task\65d8c1aeda5154f8ba10d0cf\"/>
    </mc:Choice>
  </mc:AlternateContent>
  <xr:revisionPtr revIDLastSave="0" documentId="8_{857D5585-23B3-4484-81AF-5E07F32A6DF5}" xr6:coauthVersionLast="47" xr6:coauthVersionMax="47" xr10:uidLastSave="{00000000-0000-0000-0000-000000000000}"/>
  <workbookProtection workbookPassword="A90E" lockStructure="1"/>
  <bookViews>
    <workbookView xWindow="1900" yWindow="1900" windowWidth="16800" windowHeight="9760"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_xlnm.Print_Area" localSheetId="1">PACC!$A$1:$J$65</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UNSPSC!$A:$A</definedName>
    <definedName name="UNSPSCDes">UNSPSC!$B:$B</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0" i="5" l="1"/>
  <c r="I10" i="5"/>
  <c r="H10" i="5"/>
  <c r="C6" i="5"/>
  <c r="C4" i="5"/>
  <c r="J5775" i="2"/>
  <c r="I5775" i="2"/>
  <c r="H5775" i="2"/>
  <c r="C5774" i="2"/>
  <c r="C5773" i="2"/>
  <c r="C5772" i="2"/>
  <c r="C5771" i="2"/>
  <c r="C5770" i="2"/>
  <c r="C5769" i="2"/>
  <c r="C5768" i="2"/>
  <c r="C5767" i="2"/>
  <c r="C5766" i="2"/>
  <c r="C5765" i="2"/>
  <c r="C5764" i="2"/>
  <c r="C5763" i="2"/>
  <c r="C5762" i="2"/>
  <c r="C5759" i="2"/>
  <c r="C5757" i="2"/>
  <c r="J5752" i="2"/>
  <c r="I5752" i="2"/>
  <c r="H5752" i="2"/>
  <c r="C5751" i="2"/>
  <c r="C5750" i="2"/>
  <c r="C5749" i="2"/>
  <c r="C5748" i="2"/>
  <c r="C5747" i="2"/>
  <c r="C5746" i="2"/>
  <c r="C5745" i="2"/>
  <c r="C5744" i="2"/>
  <c r="C5743" i="2"/>
  <c r="C5742" i="2"/>
  <c r="C5741" i="2"/>
  <c r="C5740" i="2"/>
  <c r="C5739" i="2"/>
  <c r="C5738" i="2"/>
  <c r="C5737" i="2"/>
  <c r="C5736" i="2"/>
  <c r="C5735" i="2"/>
  <c r="C5734" i="2"/>
  <c r="C5733" i="2"/>
  <c r="C5732" i="2"/>
  <c r="C5731" i="2"/>
  <c r="C5730" i="2"/>
  <c r="C5729" i="2"/>
  <c r="C5728" i="2"/>
  <c r="C5725" i="2"/>
  <c r="C5723" i="2"/>
  <c r="J5718" i="2"/>
  <c r="I5718" i="2"/>
  <c r="H5718" i="2"/>
  <c r="C5717" i="2"/>
  <c r="C5716" i="2"/>
  <c r="C5715" i="2"/>
  <c r="C5714" i="2"/>
  <c r="C5713" i="2"/>
  <c r="C5712" i="2"/>
  <c r="C5711" i="2"/>
  <c r="C5710" i="2"/>
  <c r="C5709" i="2"/>
  <c r="C5708" i="2"/>
  <c r="C5707" i="2"/>
  <c r="C5706" i="2"/>
  <c r="C5705" i="2"/>
  <c r="C5704" i="2"/>
  <c r="C5703" i="2"/>
  <c r="C5702" i="2"/>
  <c r="C5701" i="2"/>
  <c r="C5700" i="2"/>
  <c r="C5699" i="2"/>
  <c r="C5698" i="2"/>
  <c r="C5697" i="2"/>
  <c r="C5694" i="2"/>
  <c r="C5692" i="2"/>
  <c r="J5687" i="2"/>
  <c r="I5687" i="2"/>
  <c r="H5687" i="2"/>
  <c r="C5686" i="2"/>
  <c r="C5685" i="2"/>
  <c r="C5684" i="2"/>
  <c r="C5683" i="2"/>
  <c r="C5682" i="2"/>
  <c r="C5681" i="2"/>
  <c r="C5680" i="2"/>
  <c r="C5679" i="2"/>
  <c r="C5678" i="2"/>
  <c r="C5677" i="2"/>
  <c r="C5676" i="2"/>
  <c r="C5675" i="2"/>
  <c r="C5674" i="2"/>
  <c r="C5673" i="2"/>
  <c r="C5672" i="2"/>
  <c r="C5671" i="2"/>
  <c r="C5670" i="2"/>
  <c r="C5669" i="2"/>
  <c r="C5668" i="2"/>
  <c r="C5665" i="2"/>
  <c r="C5663" i="2"/>
  <c r="J5658" i="2"/>
  <c r="I5658" i="2"/>
  <c r="H5658" i="2"/>
  <c r="C5657" i="2"/>
  <c r="C5654" i="2"/>
  <c r="C5652" i="2"/>
  <c r="J5647" i="2"/>
  <c r="I5647" i="2"/>
  <c r="H5647" i="2"/>
  <c r="C5646" i="2"/>
  <c r="C5643" i="2"/>
  <c r="C5641" i="2"/>
  <c r="J5636" i="2"/>
  <c r="I5636" i="2"/>
  <c r="H5636" i="2"/>
  <c r="C5635" i="2"/>
  <c r="C5632" i="2"/>
  <c r="C5630" i="2"/>
  <c r="J5625" i="2"/>
  <c r="I5625" i="2"/>
  <c r="H5625" i="2"/>
  <c r="C5624" i="2"/>
  <c r="C5623" i="2"/>
  <c r="C5622" i="2"/>
  <c r="C5619" i="2"/>
  <c r="C5617" i="2"/>
  <c r="J5612" i="2"/>
  <c r="I5612" i="2"/>
  <c r="H5612" i="2"/>
  <c r="C5611" i="2"/>
  <c r="C5608" i="2"/>
  <c r="C5606" i="2"/>
  <c r="J5601" i="2"/>
  <c r="I5601" i="2"/>
  <c r="H5601" i="2"/>
  <c r="C5600" i="2"/>
  <c r="C5597" i="2"/>
  <c r="C5595" i="2"/>
  <c r="J5590" i="2"/>
  <c r="I5590" i="2"/>
  <c r="H5590" i="2"/>
  <c r="C5589" i="2"/>
  <c r="C5588" i="2"/>
  <c r="C5585" i="2"/>
  <c r="C5583" i="2"/>
  <c r="J5578" i="2"/>
  <c r="I5578" i="2"/>
  <c r="H5578" i="2"/>
  <c r="C5577" i="2"/>
  <c r="C5576" i="2"/>
  <c r="C5575" i="2"/>
  <c r="C5572" i="2"/>
  <c r="C5570" i="2"/>
  <c r="J5565" i="2"/>
  <c r="I5565" i="2"/>
  <c r="H5565" i="2"/>
  <c r="C5564" i="2"/>
  <c r="C5563" i="2"/>
  <c r="C5562" i="2"/>
  <c r="C5561" i="2"/>
  <c r="C5558" i="2"/>
  <c r="C5556" i="2"/>
  <c r="J5551" i="2"/>
  <c r="I5551" i="2"/>
  <c r="H5551" i="2"/>
  <c r="C5550" i="2"/>
  <c r="C5549" i="2"/>
  <c r="C5548" i="2"/>
  <c r="C5547" i="2"/>
  <c r="C5546" i="2"/>
  <c r="C5545" i="2"/>
  <c r="C5542" i="2"/>
  <c r="C5540" i="2"/>
  <c r="J5535" i="2"/>
  <c r="I5535" i="2"/>
  <c r="H5535" i="2"/>
  <c r="C5534" i="2"/>
  <c r="C5533" i="2"/>
  <c r="C5532" i="2"/>
  <c r="C5531" i="2"/>
  <c r="C5530" i="2"/>
  <c r="C5527" i="2"/>
  <c r="C5525" i="2"/>
  <c r="J5520" i="2"/>
  <c r="I5520" i="2"/>
  <c r="H5520" i="2"/>
  <c r="C5519" i="2"/>
  <c r="C5518" i="2"/>
  <c r="C5517" i="2"/>
  <c r="C5516" i="2"/>
  <c r="C5515" i="2"/>
  <c r="C5514" i="2"/>
  <c r="C5513" i="2"/>
  <c r="C5512" i="2"/>
  <c r="C5511" i="2"/>
  <c r="C5510" i="2"/>
  <c r="C5507" i="2"/>
  <c r="C5505" i="2"/>
  <c r="J5500" i="2"/>
  <c r="I5500" i="2"/>
  <c r="H5500" i="2"/>
  <c r="C5499" i="2"/>
  <c r="C5498" i="2"/>
  <c r="C5497" i="2"/>
  <c r="C5496" i="2"/>
  <c r="C5493" i="2"/>
  <c r="C5491" i="2"/>
  <c r="J5486" i="2"/>
  <c r="I5486" i="2"/>
  <c r="H5486" i="2"/>
  <c r="C5485" i="2"/>
  <c r="C5484" i="2"/>
  <c r="C5483" i="2"/>
  <c r="C5482" i="2"/>
  <c r="C5481" i="2"/>
  <c r="C5480" i="2"/>
  <c r="C5479" i="2"/>
  <c r="C5478" i="2"/>
  <c r="C5477" i="2"/>
  <c r="C5476" i="2"/>
  <c r="C5475" i="2"/>
  <c r="C5474" i="2"/>
  <c r="C5473" i="2"/>
  <c r="C5472" i="2"/>
  <c r="C5471" i="2"/>
  <c r="C5470" i="2"/>
  <c r="C5469" i="2"/>
  <c r="C5468" i="2"/>
  <c r="C5467" i="2"/>
  <c r="C5466" i="2"/>
  <c r="C5465" i="2"/>
  <c r="C5464" i="2"/>
  <c r="C5463" i="2"/>
  <c r="C5462" i="2"/>
  <c r="C5461" i="2"/>
  <c r="C5460" i="2"/>
  <c r="C5459" i="2"/>
  <c r="C5458" i="2"/>
  <c r="C5457" i="2"/>
  <c r="C5456" i="2"/>
  <c r="C5455" i="2"/>
  <c r="C5454" i="2"/>
  <c r="C5453" i="2"/>
  <c r="C5452" i="2"/>
  <c r="C5451" i="2"/>
  <c r="C5450" i="2"/>
  <c r="C5449" i="2"/>
  <c r="C5446" i="2"/>
  <c r="C5444" i="2"/>
  <c r="J5439" i="2"/>
  <c r="I5439" i="2"/>
  <c r="H5439" i="2"/>
  <c r="C5438" i="2"/>
  <c r="C5437" i="2"/>
  <c r="C5436" i="2"/>
  <c r="C5433" i="2"/>
  <c r="C5431" i="2"/>
  <c r="J5426" i="2"/>
  <c r="I5426" i="2"/>
  <c r="H5426" i="2"/>
  <c r="C5425" i="2"/>
  <c r="C5424" i="2"/>
  <c r="C5421" i="2"/>
  <c r="C5419" i="2"/>
  <c r="J5414" i="2"/>
  <c r="I5414" i="2"/>
  <c r="H5414" i="2"/>
  <c r="C5413" i="2"/>
  <c r="C5412" i="2"/>
  <c r="C5409" i="2"/>
  <c r="C5407" i="2"/>
  <c r="J5402" i="2"/>
  <c r="I5402" i="2"/>
  <c r="H5402" i="2"/>
  <c r="C5401" i="2"/>
  <c r="C5400" i="2"/>
  <c r="C5399" i="2"/>
  <c r="C5398" i="2"/>
  <c r="C5395" i="2"/>
  <c r="C5393" i="2"/>
  <c r="J5388" i="2"/>
  <c r="I5388" i="2"/>
  <c r="H5388" i="2"/>
  <c r="C5387" i="2"/>
  <c r="C5386" i="2"/>
  <c r="C5385" i="2"/>
  <c r="C5384" i="2"/>
  <c r="C5383" i="2"/>
  <c r="C5382" i="2"/>
  <c r="C5381" i="2"/>
  <c r="C5380" i="2"/>
  <c r="C5377" i="2"/>
  <c r="C5375" i="2"/>
  <c r="J5370" i="2"/>
  <c r="I5370" i="2"/>
  <c r="H5370" i="2"/>
  <c r="C5369" i="2"/>
  <c r="C5368" i="2"/>
  <c r="C5367" i="2"/>
  <c r="C5364" i="2"/>
  <c r="C5362" i="2"/>
  <c r="J5357" i="2"/>
  <c r="I5357" i="2"/>
  <c r="H5357" i="2"/>
  <c r="C5356" i="2"/>
  <c r="C5355" i="2"/>
  <c r="C5354" i="2"/>
  <c r="C5353" i="2"/>
  <c r="C5352" i="2"/>
  <c r="C5351" i="2"/>
  <c r="C5350" i="2"/>
  <c r="C5349" i="2"/>
  <c r="C5348" i="2"/>
  <c r="C5347" i="2"/>
  <c r="C5346" i="2"/>
  <c r="C5345" i="2"/>
  <c r="C5344" i="2"/>
  <c r="C5343" i="2"/>
  <c r="C5342" i="2"/>
  <c r="C5341" i="2"/>
  <c r="C5338" i="2"/>
  <c r="C5336" i="2"/>
  <c r="J5331" i="2"/>
  <c r="I5331" i="2"/>
  <c r="H5331" i="2"/>
  <c r="C5330" i="2"/>
  <c r="C5329" i="2"/>
  <c r="C5328" i="2"/>
  <c r="C5327" i="2"/>
  <c r="C5326" i="2"/>
  <c r="C5325" i="2"/>
  <c r="C5324" i="2"/>
  <c r="C5323" i="2"/>
  <c r="C5322" i="2"/>
  <c r="C5321" i="2"/>
  <c r="C5320" i="2"/>
  <c r="C5319" i="2"/>
  <c r="C5318" i="2"/>
  <c r="C5317" i="2"/>
  <c r="C5316" i="2"/>
  <c r="C5315" i="2"/>
  <c r="C5314" i="2"/>
  <c r="C5313" i="2"/>
  <c r="C5312" i="2"/>
  <c r="C5311" i="2"/>
  <c r="C5308" i="2"/>
  <c r="C5306" i="2"/>
  <c r="J5301" i="2"/>
  <c r="I5301" i="2"/>
  <c r="H5301" i="2"/>
  <c r="C5300" i="2"/>
  <c r="C5299" i="2"/>
  <c r="C5298" i="2"/>
  <c r="C5297" i="2"/>
  <c r="C5296" i="2"/>
  <c r="C5295" i="2"/>
  <c r="C5294" i="2"/>
  <c r="C5293" i="2"/>
  <c r="C5292" i="2"/>
  <c r="C5291" i="2"/>
  <c r="C5290" i="2"/>
  <c r="C5289" i="2"/>
  <c r="C5288" i="2"/>
  <c r="C5287" i="2"/>
  <c r="C5286" i="2"/>
  <c r="C5285" i="2"/>
  <c r="C5284" i="2"/>
  <c r="C5281" i="2"/>
  <c r="C5279" i="2"/>
  <c r="J5274" i="2"/>
  <c r="I5274" i="2"/>
  <c r="H5274" i="2"/>
  <c r="C5273" i="2"/>
  <c r="C5272" i="2"/>
  <c r="C5271" i="2"/>
  <c r="C5270" i="2"/>
  <c r="C5269" i="2"/>
  <c r="C5268" i="2"/>
  <c r="C5267" i="2"/>
  <c r="C5266" i="2"/>
  <c r="C5265" i="2"/>
  <c r="C5264" i="2"/>
  <c r="C5263" i="2"/>
  <c r="C5262" i="2"/>
  <c r="C5261" i="2"/>
  <c r="C5260" i="2"/>
  <c r="C5259" i="2"/>
  <c r="C5258" i="2"/>
  <c r="C5257" i="2"/>
  <c r="C5256" i="2"/>
  <c r="C5255" i="2"/>
  <c r="C5254" i="2"/>
  <c r="C5253" i="2"/>
  <c r="C5250" i="2"/>
  <c r="C5248" i="2"/>
  <c r="J5243" i="2"/>
  <c r="I5243" i="2"/>
  <c r="H5243" i="2"/>
  <c r="C5242" i="2"/>
  <c r="C5241" i="2"/>
  <c r="C5238" i="2"/>
  <c r="C5236" i="2"/>
  <c r="J5231" i="2"/>
  <c r="I5231" i="2"/>
  <c r="H5231" i="2"/>
  <c r="C5230" i="2"/>
  <c r="C5229" i="2"/>
  <c r="C5226" i="2"/>
  <c r="C5224" i="2"/>
  <c r="J5219" i="2"/>
  <c r="I5219" i="2"/>
  <c r="H5219" i="2"/>
  <c r="C5218" i="2"/>
  <c r="C5217" i="2"/>
  <c r="C5214" i="2"/>
  <c r="C5212" i="2"/>
  <c r="J5207" i="2"/>
  <c r="I5207" i="2"/>
  <c r="H5207" i="2"/>
  <c r="C5206" i="2"/>
  <c r="C5205" i="2"/>
  <c r="C5202" i="2"/>
  <c r="C5200" i="2"/>
  <c r="J5195" i="2"/>
  <c r="I5195" i="2"/>
  <c r="H5195" i="2"/>
  <c r="C5194" i="2"/>
  <c r="C5191" i="2"/>
  <c r="C5189" i="2"/>
  <c r="J5184" i="2"/>
  <c r="I5184" i="2"/>
  <c r="H5184" i="2"/>
  <c r="C5183" i="2"/>
  <c r="C5180" i="2"/>
  <c r="C5178" i="2"/>
  <c r="J5173" i="2"/>
  <c r="I5173" i="2"/>
  <c r="H5173" i="2"/>
  <c r="C5172" i="2"/>
  <c r="C5169" i="2"/>
  <c r="C5167" i="2"/>
  <c r="J5162" i="2"/>
  <c r="I5162" i="2"/>
  <c r="H5162" i="2"/>
  <c r="C5161" i="2"/>
  <c r="C5158" i="2"/>
  <c r="C5156" i="2"/>
  <c r="J5151" i="2"/>
  <c r="I5151" i="2"/>
  <c r="H5151" i="2"/>
  <c r="C5150" i="2"/>
  <c r="C5149" i="2"/>
  <c r="C5148" i="2"/>
  <c r="C5145" i="2"/>
  <c r="C5143" i="2"/>
  <c r="J5138" i="2"/>
  <c r="I5138" i="2"/>
  <c r="H5138" i="2"/>
  <c r="C5137" i="2"/>
  <c r="C5134" i="2"/>
  <c r="C5132" i="2"/>
  <c r="J5127" i="2"/>
  <c r="I5127" i="2"/>
  <c r="H5127" i="2"/>
  <c r="C5126" i="2"/>
  <c r="C5123" i="2"/>
  <c r="C5121" i="2"/>
  <c r="J5116" i="2"/>
  <c r="I5116" i="2"/>
  <c r="H5116" i="2"/>
  <c r="C5115" i="2"/>
  <c r="C5114" i="2"/>
  <c r="C5113" i="2"/>
  <c r="C5110" i="2"/>
  <c r="C5108" i="2"/>
  <c r="J5103" i="2"/>
  <c r="I5103" i="2"/>
  <c r="H5103" i="2"/>
  <c r="C5102" i="2"/>
  <c r="C5101" i="2"/>
  <c r="C5100" i="2"/>
  <c r="C5099" i="2"/>
  <c r="C5096" i="2"/>
  <c r="C5094" i="2"/>
  <c r="J5089" i="2"/>
  <c r="I5089" i="2"/>
  <c r="H5089" i="2"/>
  <c r="C5088" i="2"/>
  <c r="C5087" i="2"/>
  <c r="C5086" i="2"/>
  <c r="C5085" i="2"/>
  <c r="C5084" i="2"/>
  <c r="C5083" i="2"/>
  <c r="C5080" i="2"/>
  <c r="C5078" i="2"/>
  <c r="J5073" i="2"/>
  <c r="I5073" i="2"/>
  <c r="H5073" i="2"/>
  <c r="C5072" i="2"/>
  <c r="C5071" i="2"/>
  <c r="C5068" i="2"/>
  <c r="C5066" i="2"/>
  <c r="J5061" i="2"/>
  <c r="I5061" i="2"/>
  <c r="H5061" i="2"/>
  <c r="C5060" i="2"/>
  <c r="C5059" i="2"/>
  <c r="C5056" i="2"/>
  <c r="C5054" i="2"/>
  <c r="J5049" i="2"/>
  <c r="I5049" i="2"/>
  <c r="H5049" i="2"/>
  <c r="C5048" i="2"/>
  <c r="C5047" i="2"/>
  <c r="C5046" i="2"/>
  <c r="C5045" i="2"/>
  <c r="C5044" i="2"/>
  <c r="C5043" i="2"/>
  <c r="C5040" i="2"/>
  <c r="C5038" i="2"/>
  <c r="J5033" i="2"/>
  <c r="I5033" i="2"/>
  <c r="H5033" i="2"/>
  <c r="C5032" i="2"/>
  <c r="C5031" i="2"/>
  <c r="C5030" i="2"/>
  <c r="C5027" i="2"/>
  <c r="C5025" i="2"/>
  <c r="J5020" i="2"/>
  <c r="I5020" i="2"/>
  <c r="H5020" i="2"/>
  <c r="C5019" i="2"/>
  <c r="C5018" i="2"/>
  <c r="C5017" i="2"/>
  <c r="C5016" i="2"/>
  <c r="C5015" i="2"/>
  <c r="C5012" i="2"/>
  <c r="C5010" i="2"/>
  <c r="J5005" i="2"/>
  <c r="I5005" i="2"/>
  <c r="H5005" i="2"/>
  <c r="C5004" i="2"/>
  <c r="C5003" i="2"/>
  <c r="C5002" i="2"/>
  <c r="C5001" i="2"/>
  <c r="C5000" i="2"/>
  <c r="C4999" i="2"/>
  <c r="C4996" i="2"/>
  <c r="C4994" i="2"/>
  <c r="J4989" i="2"/>
  <c r="I4989" i="2"/>
  <c r="H4989" i="2"/>
  <c r="C4988" i="2"/>
  <c r="C4987" i="2"/>
  <c r="C4986" i="2"/>
  <c r="C4985" i="2"/>
  <c r="C4984" i="2"/>
  <c r="C4983" i="2"/>
  <c r="C4980" i="2"/>
  <c r="C4978" i="2"/>
  <c r="J4973" i="2"/>
  <c r="I4973" i="2"/>
  <c r="H4973" i="2"/>
  <c r="C4972" i="2"/>
  <c r="C4969" i="2"/>
  <c r="C4967" i="2"/>
  <c r="J4962" i="2"/>
  <c r="I4962" i="2"/>
  <c r="H4962" i="2"/>
  <c r="C4961" i="2"/>
  <c r="C4960" i="2"/>
  <c r="C4957" i="2"/>
  <c r="C4955" i="2"/>
  <c r="J4950" i="2"/>
  <c r="I4950" i="2"/>
  <c r="H4950" i="2"/>
  <c r="C4949" i="2"/>
  <c r="C4948" i="2"/>
  <c r="C4945" i="2"/>
  <c r="C4943" i="2"/>
  <c r="J4938" i="2"/>
  <c r="I4938" i="2"/>
  <c r="H4938" i="2"/>
  <c r="C4937" i="2"/>
  <c r="C4936" i="2"/>
  <c r="C4935" i="2"/>
  <c r="C4934" i="2"/>
  <c r="C4931" i="2"/>
  <c r="C4929" i="2"/>
  <c r="J4924" i="2"/>
  <c r="I4924" i="2"/>
  <c r="H4924" i="2"/>
  <c r="C4923" i="2"/>
  <c r="C4922" i="2"/>
  <c r="C4921" i="2"/>
  <c r="C4918" i="2"/>
  <c r="C4916" i="2"/>
  <c r="J4911" i="2"/>
  <c r="I4911" i="2"/>
  <c r="H4911" i="2"/>
  <c r="C4910" i="2"/>
  <c r="C4909" i="2"/>
  <c r="C4908" i="2"/>
  <c r="C4907" i="2"/>
  <c r="C4906" i="2"/>
  <c r="C4905" i="2"/>
  <c r="C4904" i="2"/>
  <c r="C4903" i="2"/>
  <c r="C4902" i="2"/>
  <c r="C4901" i="2"/>
  <c r="C4900" i="2"/>
  <c r="C4899" i="2"/>
  <c r="C4898" i="2"/>
  <c r="C4895" i="2"/>
  <c r="C4893" i="2"/>
  <c r="J4888" i="2"/>
  <c r="I4888" i="2"/>
  <c r="H4888" i="2"/>
  <c r="C4887" i="2"/>
  <c r="C4886" i="2"/>
  <c r="C4885" i="2"/>
  <c r="C4884" i="2"/>
  <c r="C4883" i="2"/>
  <c r="C4882" i="2"/>
  <c r="C4881" i="2"/>
  <c r="C4880" i="2"/>
  <c r="C4879" i="2"/>
  <c r="C4878" i="2"/>
  <c r="C4877" i="2"/>
  <c r="C4876" i="2"/>
  <c r="C4875" i="2"/>
  <c r="C4872" i="2"/>
  <c r="C4870" i="2"/>
  <c r="J4865" i="2"/>
  <c r="I4865" i="2"/>
  <c r="H4865" i="2"/>
  <c r="C4864" i="2"/>
  <c r="C4863" i="2"/>
  <c r="C4862" i="2"/>
  <c r="C4861" i="2"/>
  <c r="C4860" i="2"/>
  <c r="C4859" i="2"/>
  <c r="C4858" i="2"/>
  <c r="C4857" i="2"/>
  <c r="C4856" i="2"/>
  <c r="C4855" i="2"/>
  <c r="C4854" i="2"/>
  <c r="C4853" i="2"/>
  <c r="C4852" i="2"/>
  <c r="C4851" i="2"/>
  <c r="C4850" i="2"/>
  <c r="C4849" i="2"/>
  <c r="C4846" i="2"/>
  <c r="C4844" i="2"/>
  <c r="J4839" i="2"/>
  <c r="I4839" i="2"/>
  <c r="H4839" i="2"/>
  <c r="C4838" i="2"/>
  <c r="C4837" i="2"/>
  <c r="C4836" i="2"/>
  <c r="C4835" i="2"/>
  <c r="C4834" i="2"/>
  <c r="C4833" i="2"/>
  <c r="C4832" i="2"/>
  <c r="C4831" i="2"/>
  <c r="C4830" i="2"/>
  <c r="C4829" i="2"/>
  <c r="C4826" i="2"/>
  <c r="C4824" i="2"/>
  <c r="J4819" i="2"/>
  <c r="I4819" i="2"/>
  <c r="H4819" i="2"/>
  <c r="C4818" i="2"/>
  <c r="C4817" i="2"/>
  <c r="C4814" i="2"/>
  <c r="C4812" i="2"/>
  <c r="J4807" i="2"/>
  <c r="I4807" i="2"/>
  <c r="H4807" i="2"/>
  <c r="C4806" i="2"/>
  <c r="C4803" i="2"/>
  <c r="C4801" i="2"/>
  <c r="J4796" i="2"/>
  <c r="I4796" i="2"/>
  <c r="H4796" i="2"/>
  <c r="C4795" i="2"/>
  <c r="C4792" i="2"/>
  <c r="C4790" i="2"/>
  <c r="J4785" i="2"/>
  <c r="I4785" i="2"/>
  <c r="H4785" i="2"/>
  <c r="C4784" i="2"/>
  <c r="C4783" i="2"/>
  <c r="C4782" i="2"/>
  <c r="C4781" i="2"/>
  <c r="C4780" i="2"/>
  <c r="C4779" i="2"/>
  <c r="C4778" i="2"/>
  <c r="C4777" i="2"/>
  <c r="C4776" i="2"/>
  <c r="C4775" i="2"/>
  <c r="C4774" i="2"/>
  <c r="C4773" i="2"/>
  <c r="C4772" i="2"/>
  <c r="C4769" i="2"/>
  <c r="C4767" i="2"/>
  <c r="J4762" i="2"/>
  <c r="I4762" i="2"/>
  <c r="H4762" i="2"/>
  <c r="C4761" i="2"/>
  <c r="C4758" i="2"/>
  <c r="C4756" i="2"/>
  <c r="J4751" i="2"/>
  <c r="I4751" i="2"/>
  <c r="H4751" i="2"/>
  <c r="C4750" i="2"/>
  <c r="C4749" i="2"/>
  <c r="C4746" i="2"/>
  <c r="C4744" i="2"/>
  <c r="J4739" i="2"/>
  <c r="I4739" i="2"/>
  <c r="H4739" i="2"/>
  <c r="C4738" i="2"/>
  <c r="C4737" i="2"/>
  <c r="C4736" i="2"/>
  <c r="C4733" i="2"/>
  <c r="C4731" i="2"/>
  <c r="J4726" i="2"/>
  <c r="I4726" i="2"/>
  <c r="H4726" i="2"/>
  <c r="C4725" i="2"/>
  <c r="C4724" i="2"/>
  <c r="C4723" i="2"/>
  <c r="C4720" i="2"/>
  <c r="C4718" i="2"/>
  <c r="J4713" i="2"/>
  <c r="I4713" i="2"/>
  <c r="H4713" i="2"/>
  <c r="C4712" i="2"/>
  <c r="C4711" i="2"/>
  <c r="C4708" i="2"/>
  <c r="C4706" i="2"/>
  <c r="J4701" i="2"/>
  <c r="I4701" i="2"/>
  <c r="H4701" i="2"/>
  <c r="C4700" i="2"/>
  <c r="C4697" i="2"/>
  <c r="C4695" i="2"/>
  <c r="J4690" i="2"/>
  <c r="I4690" i="2"/>
  <c r="H4690" i="2"/>
  <c r="C4689" i="2"/>
  <c r="C4688" i="2"/>
  <c r="C4685" i="2"/>
  <c r="C4683" i="2"/>
  <c r="J4678" i="2"/>
  <c r="I4678" i="2"/>
  <c r="H4678" i="2"/>
  <c r="C4677" i="2"/>
  <c r="C4674" i="2"/>
  <c r="C4672" i="2"/>
  <c r="J4667" i="2"/>
  <c r="I4667" i="2"/>
  <c r="H4667" i="2"/>
  <c r="C4666" i="2"/>
  <c r="C4663" i="2"/>
  <c r="C4661" i="2"/>
  <c r="J4656" i="2"/>
  <c r="I4656" i="2"/>
  <c r="H4656" i="2"/>
  <c r="C4655" i="2"/>
  <c r="C4654" i="2"/>
  <c r="C4653" i="2"/>
  <c r="C4652" i="2"/>
  <c r="C4651" i="2"/>
  <c r="C4650" i="2"/>
  <c r="C4649" i="2"/>
  <c r="C4648" i="2"/>
  <c r="C4647" i="2"/>
  <c r="C4646" i="2"/>
  <c r="C4645" i="2"/>
  <c r="C4644" i="2"/>
  <c r="C4643" i="2"/>
  <c r="C4642" i="2"/>
  <c r="C4639" i="2"/>
  <c r="C4637" i="2"/>
  <c r="J4632" i="2"/>
  <c r="I4632" i="2"/>
  <c r="H4632" i="2"/>
  <c r="C4631" i="2"/>
  <c r="C4630" i="2"/>
  <c r="C4629" i="2"/>
  <c r="C4626" i="2"/>
  <c r="C4624" i="2"/>
  <c r="J4619" i="2"/>
  <c r="I4619" i="2"/>
  <c r="H4619" i="2"/>
  <c r="C4618" i="2"/>
  <c r="C4615" i="2"/>
  <c r="C4613" i="2"/>
  <c r="J4608" i="2"/>
  <c r="I4608" i="2"/>
  <c r="H4608" i="2"/>
  <c r="C4607" i="2"/>
  <c r="C4604" i="2"/>
  <c r="C4602" i="2"/>
  <c r="J4597" i="2"/>
  <c r="I4597" i="2"/>
  <c r="H4597" i="2"/>
  <c r="C4596" i="2"/>
  <c r="C4595" i="2"/>
  <c r="C4592" i="2"/>
  <c r="C4590" i="2"/>
  <c r="J4585" i="2"/>
  <c r="I4585" i="2"/>
  <c r="H4585" i="2"/>
  <c r="C4584" i="2"/>
  <c r="C4583" i="2"/>
  <c r="C4580" i="2"/>
  <c r="C4578" i="2"/>
  <c r="J4573" i="2"/>
  <c r="I4573" i="2"/>
  <c r="H4573" i="2"/>
  <c r="C4572" i="2"/>
  <c r="C4569" i="2"/>
  <c r="C4567" i="2"/>
  <c r="J4562" i="2"/>
  <c r="I4562" i="2"/>
  <c r="H4562" i="2"/>
  <c r="C4561" i="2"/>
  <c r="C4560" i="2"/>
  <c r="C4559" i="2"/>
  <c r="C4558" i="2"/>
  <c r="C4557" i="2"/>
  <c r="C4554" i="2"/>
  <c r="C4552" i="2"/>
  <c r="J4547" i="2"/>
  <c r="I4547" i="2"/>
  <c r="H4547" i="2"/>
  <c r="C4546" i="2"/>
  <c r="C4543" i="2"/>
  <c r="C4541" i="2"/>
  <c r="J4536" i="2"/>
  <c r="I4536" i="2"/>
  <c r="H4536" i="2"/>
  <c r="C4535" i="2"/>
  <c r="C4532" i="2"/>
  <c r="C4530" i="2"/>
  <c r="J4525" i="2"/>
  <c r="I4525" i="2"/>
  <c r="H4525" i="2"/>
  <c r="C4524" i="2"/>
  <c r="C4521" i="2"/>
  <c r="C4519" i="2"/>
  <c r="J4514" i="2"/>
  <c r="I4514" i="2"/>
  <c r="H4514" i="2"/>
  <c r="C4513" i="2"/>
  <c r="C4510" i="2"/>
  <c r="C4508" i="2"/>
  <c r="J4503" i="2"/>
  <c r="I4503" i="2"/>
  <c r="H4503" i="2"/>
  <c r="C4502" i="2"/>
  <c r="C4499" i="2"/>
  <c r="C4497" i="2"/>
  <c r="J4492" i="2"/>
  <c r="I4492" i="2"/>
  <c r="H4492" i="2"/>
  <c r="C4491" i="2"/>
  <c r="C4488" i="2"/>
  <c r="C4486" i="2"/>
  <c r="J4481" i="2"/>
  <c r="I4481" i="2"/>
  <c r="H4481" i="2"/>
  <c r="C4480" i="2"/>
  <c r="C4479" i="2"/>
  <c r="C4478" i="2"/>
  <c r="C4477" i="2"/>
  <c r="C4476" i="2"/>
  <c r="C4473" i="2"/>
  <c r="C4471" i="2"/>
  <c r="J4466" i="2"/>
  <c r="I4466" i="2"/>
  <c r="H4466" i="2"/>
  <c r="C4465" i="2"/>
  <c r="C4464" i="2"/>
  <c r="C4463" i="2"/>
  <c r="C4462" i="2"/>
  <c r="C4461" i="2"/>
  <c r="C4458" i="2"/>
  <c r="C4456" i="2"/>
  <c r="J4451" i="2"/>
  <c r="I4451" i="2"/>
  <c r="H4451" i="2"/>
  <c r="C4450" i="2"/>
  <c r="C4447" i="2"/>
  <c r="C4445" i="2"/>
  <c r="J4440" i="2"/>
  <c r="I4440" i="2"/>
  <c r="H4440" i="2"/>
  <c r="C4439" i="2"/>
  <c r="C4436" i="2"/>
  <c r="C4434" i="2"/>
  <c r="J4429" i="2"/>
  <c r="I4429" i="2"/>
  <c r="H4429" i="2"/>
  <c r="C4428" i="2"/>
  <c r="C4427" i="2"/>
  <c r="C4424" i="2"/>
  <c r="C4422" i="2"/>
  <c r="J4417" i="2"/>
  <c r="I4417" i="2"/>
  <c r="H4417" i="2"/>
  <c r="C4416" i="2"/>
  <c r="C4415" i="2"/>
  <c r="C4412" i="2"/>
  <c r="C4410" i="2"/>
  <c r="J4405" i="2"/>
  <c r="I4405" i="2"/>
  <c r="H4405" i="2"/>
  <c r="C4404" i="2"/>
  <c r="C4401" i="2"/>
  <c r="C4399" i="2"/>
  <c r="J4394" i="2"/>
  <c r="I4394" i="2"/>
  <c r="H4394" i="2"/>
  <c r="C4393" i="2"/>
  <c r="C4390" i="2"/>
  <c r="C4388" i="2"/>
  <c r="J4383" i="2"/>
  <c r="I4383" i="2"/>
  <c r="H4383" i="2"/>
  <c r="C4382" i="2"/>
  <c r="C4381" i="2"/>
  <c r="C4380" i="2"/>
  <c r="C4377" i="2"/>
  <c r="C4375" i="2"/>
  <c r="J4370" i="2"/>
  <c r="I4370" i="2"/>
  <c r="H4370" i="2"/>
  <c r="C4369" i="2"/>
  <c r="C4366" i="2"/>
  <c r="C4364" i="2"/>
  <c r="J4359" i="2"/>
  <c r="I4359" i="2"/>
  <c r="H4359" i="2"/>
  <c r="C4358" i="2"/>
  <c r="C4355" i="2"/>
  <c r="C4353" i="2"/>
  <c r="J4348" i="2"/>
  <c r="I4348" i="2"/>
  <c r="H4348" i="2"/>
  <c r="C4347" i="2"/>
  <c r="C4346" i="2"/>
  <c r="C4345" i="2"/>
  <c r="C4344" i="2"/>
  <c r="C4343" i="2"/>
  <c r="C4342" i="2"/>
  <c r="C4341" i="2"/>
  <c r="C4340" i="2"/>
  <c r="C4339" i="2"/>
  <c r="C4338" i="2"/>
  <c r="C4335" i="2"/>
  <c r="C4333" i="2"/>
  <c r="J4328" i="2"/>
  <c r="I4328" i="2"/>
  <c r="H4328" i="2"/>
  <c r="C4327" i="2"/>
  <c r="C4326" i="2"/>
  <c r="C4325" i="2"/>
  <c r="C4324" i="2"/>
  <c r="C4323" i="2"/>
  <c r="C4322" i="2"/>
  <c r="C4321" i="2"/>
  <c r="C4320" i="2"/>
  <c r="C4319" i="2"/>
  <c r="C4318" i="2"/>
  <c r="C4317" i="2"/>
  <c r="C4316" i="2"/>
  <c r="C4315" i="2"/>
  <c r="C4314" i="2"/>
  <c r="C4311" i="2"/>
  <c r="C4309" i="2"/>
  <c r="J4304" i="2"/>
  <c r="I4304" i="2"/>
  <c r="H4304" i="2"/>
  <c r="C4303" i="2"/>
  <c r="C4300" i="2"/>
  <c r="C4298" i="2"/>
  <c r="J4293" i="2"/>
  <c r="I4293" i="2"/>
  <c r="H4293" i="2"/>
  <c r="C4292" i="2"/>
  <c r="C4289" i="2"/>
  <c r="C4287" i="2"/>
  <c r="J4282" i="2"/>
  <c r="I4282" i="2"/>
  <c r="H4282" i="2"/>
  <c r="C4281" i="2"/>
  <c r="C4278" i="2"/>
  <c r="C4276" i="2"/>
  <c r="J4271" i="2"/>
  <c r="I4271" i="2"/>
  <c r="H4271" i="2"/>
  <c r="C4270" i="2"/>
  <c r="C4267" i="2"/>
  <c r="C4265" i="2"/>
  <c r="J4260" i="2"/>
  <c r="I4260" i="2"/>
  <c r="H4260" i="2"/>
  <c r="C4259" i="2"/>
  <c r="C4258" i="2"/>
  <c r="C4255" i="2"/>
  <c r="C4253" i="2"/>
  <c r="J4248" i="2"/>
  <c r="I4248" i="2"/>
  <c r="H4248" i="2"/>
  <c r="C4247" i="2"/>
  <c r="C4244" i="2"/>
  <c r="C4242" i="2"/>
  <c r="J4237" i="2"/>
  <c r="I4237" i="2"/>
  <c r="H4237" i="2"/>
  <c r="C4236" i="2"/>
  <c r="C4233" i="2"/>
  <c r="C4231" i="2"/>
  <c r="J4226" i="2"/>
  <c r="I4226" i="2"/>
  <c r="H4226" i="2"/>
  <c r="C4225" i="2"/>
  <c r="C4224" i="2"/>
  <c r="C4221" i="2"/>
  <c r="C4219" i="2"/>
  <c r="J4214" i="2"/>
  <c r="I4214" i="2"/>
  <c r="H4214" i="2"/>
  <c r="C4213" i="2"/>
  <c r="C4212" i="2"/>
  <c r="C4209" i="2"/>
  <c r="C4207" i="2"/>
  <c r="J4202" i="2"/>
  <c r="I4202" i="2"/>
  <c r="H4202" i="2"/>
  <c r="C4201" i="2"/>
  <c r="C4200" i="2"/>
  <c r="C4199" i="2"/>
  <c r="C4198" i="2"/>
  <c r="C4197" i="2"/>
  <c r="C4196" i="2"/>
  <c r="C4195" i="2"/>
  <c r="C4194" i="2"/>
  <c r="C4193" i="2"/>
  <c r="C4192" i="2"/>
  <c r="C4191" i="2"/>
  <c r="C4190" i="2"/>
  <c r="C4189" i="2"/>
  <c r="C4188" i="2"/>
  <c r="C4187" i="2"/>
  <c r="C4186" i="2"/>
  <c r="C4185" i="2"/>
  <c r="C4184" i="2"/>
  <c r="C4183" i="2"/>
  <c r="C4182" i="2"/>
  <c r="C4181" i="2"/>
  <c r="C4180" i="2"/>
  <c r="C4179" i="2"/>
  <c r="C4178" i="2"/>
  <c r="C4177" i="2"/>
  <c r="C4176" i="2"/>
  <c r="C4175" i="2"/>
  <c r="C4174" i="2"/>
  <c r="C4173" i="2"/>
  <c r="C4172" i="2"/>
  <c r="C4171" i="2"/>
  <c r="C4170" i="2"/>
  <c r="C4169" i="2"/>
  <c r="C4168" i="2"/>
  <c r="C4167" i="2"/>
  <c r="C4166" i="2"/>
  <c r="C4165" i="2"/>
  <c r="C4164" i="2"/>
  <c r="C4163" i="2"/>
  <c r="C4162" i="2"/>
  <c r="C4161" i="2"/>
  <c r="C4160" i="2"/>
  <c r="C4159" i="2"/>
  <c r="C4158" i="2"/>
  <c r="C4157" i="2"/>
  <c r="C4156" i="2"/>
  <c r="C4155" i="2"/>
  <c r="C4154" i="2"/>
  <c r="C4153" i="2"/>
  <c r="C4152" i="2"/>
  <c r="C4149" i="2"/>
  <c r="C4147" i="2"/>
  <c r="J4142" i="2"/>
  <c r="I4142" i="2"/>
  <c r="H4142" i="2"/>
  <c r="C4141" i="2"/>
  <c r="C4138" i="2"/>
  <c r="C4136" i="2"/>
  <c r="J4131" i="2"/>
  <c r="I4131" i="2"/>
  <c r="H4131" i="2"/>
  <c r="C4130" i="2"/>
  <c r="C4127" i="2"/>
  <c r="C4125" i="2"/>
  <c r="J4120" i="2"/>
  <c r="I4120" i="2"/>
  <c r="H4120" i="2"/>
  <c r="C4119" i="2"/>
  <c r="C4118" i="2"/>
  <c r="C4117" i="2"/>
  <c r="C4114" i="2"/>
  <c r="C4112" i="2"/>
  <c r="J4107" i="2"/>
  <c r="I4107" i="2"/>
  <c r="H4107" i="2"/>
  <c r="C4106" i="2"/>
  <c r="C4105" i="2"/>
  <c r="C4104" i="2"/>
  <c r="C4103" i="2"/>
  <c r="C4100" i="2"/>
  <c r="C4098" i="2"/>
  <c r="J4093" i="2"/>
  <c r="I4093" i="2"/>
  <c r="H4093" i="2"/>
  <c r="C4092" i="2"/>
  <c r="C4091" i="2"/>
  <c r="C4090" i="2"/>
  <c r="C4089" i="2"/>
  <c r="C4088" i="2"/>
  <c r="C4087" i="2"/>
  <c r="C4086" i="2"/>
  <c r="C4085" i="2"/>
  <c r="C4084" i="2"/>
  <c r="C4083" i="2"/>
  <c r="C4082" i="2"/>
  <c r="C4081" i="2"/>
  <c r="C4080" i="2"/>
  <c r="C4079" i="2"/>
  <c r="C4078" i="2"/>
  <c r="C4075" i="2"/>
  <c r="C4073" i="2"/>
  <c r="J4068" i="2"/>
  <c r="I4068" i="2"/>
  <c r="H4068" i="2"/>
  <c r="C4067" i="2"/>
  <c r="C4066" i="2"/>
  <c r="C4065" i="2"/>
  <c r="C4064" i="2"/>
  <c r="C4063" i="2"/>
  <c r="C4062" i="2"/>
  <c r="C4061" i="2"/>
  <c r="C4060" i="2"/>
  <c r="C4059" i="2"/>
  <c r="C4058" i="2"/>
  <c r="C4057" i="2"/>
  <c r="C4056" i="2"/>
  <c r="C4055" i="2"/>
  <c r="C4054" i="2"/>
  <c r="C4053" i="2"/>
  <c r="C4052" i="2"/>
  <c r="C4051" i="2"/>
  <c r="C4050" i="2"/>
  <c r="C4047" i="2"/>
  <c r="C4045" i="2"/>
  <c r="J4040" i="2"/>
  <c r="I4040" i="2"/>
  <c r="H4040" i="2"/>
  <c r="C4039" i="2"/>
  <c r="C4038" i="2"/>
  <c r="C4037" i="2"/>
  <c r="C4036" i="2"/>
  <c r="C4035" i="2"/>
  <c r="C4034" i="2"/>
  <c r="C4033" i="2"/>
  <c r="C4032" i="2"/>
  <c r="C4031" i="2"/>
  <c r="C4030" i="2"/>
  <c r="C4029" i="2"/>
  <c r="C4028" i="2"/>
  <c r="C4027" i="2"/>
  <c r="C4026" i="2"/>
  <c r="C4025" i="2"/>
  <c r="C4024" i="2"/>
  <c r="C4023" i="2"/>
  <c r="C4022" i="2"/>
  <c r="C4021" i="2"/>
  <c r="C4020" i="2"/>
  <c r="C4019" i="2"/>
  <c r="C4018" i="2"/>
  <c r="C4017" i="2"/>
  <c r="C4016" i="2"/>
  <c r="C4015" i="2"/>
  <c r="C4014" i="2"/>
  <c r="C4013" i="2"/>
  <c r="C4012" i="2"/>
  <c r="C4011" i="2"/>
  <c r="C4008" i="2"/>
  <c r="C4006" i="2"/>
  <c r="J4001" i="2"/>
  <c r="I4001" i="2"/>
  <c r="H4001" i="2"/>
  <c r="C4000" i="2"/>
  <c r="C3999" i="2"/>
  <c r="C3998" i="2"/>
  <c r="C3997" i="2"/>
  <c r="C3996" i="2"/>
  <c r="C3995" i="2"/>
  <c r="C3994" i="2"/>
  <c r="C3993" i="2"/>
  <c r="C3992" i="2"/>
  <c r="C3991" i="2"/>
  <c r="C3990" i="2"/>
  <c r="C3989" i="2"/>
  <c r="C3988" i="2"/>
  <c r="C3987" i="2"/>
  <c r="C3986" i="2"/>
  <c r="C3985" i="2"/>
  <c r="C3984" i="2"/>
  <c r="C3983" i="2"/>
  <c r="C3982" i="2"/>
  <c r="C3981" i="2"/>
  <c r="C3980" i="2"/>
  <c r="C3979" i="2"/>
  <c r="C3978" i="2"/>
  <c r="C3977" i="2"/>
  <c r="C3976" i="2"/>
  <c r="C3975" i="2"/>
  <c r="C3974" i="2"/>
  <c r="C3973" i="2"/>
  <c r="C3972" i="2"/>
  <c r="C3971" i="2"/>
  <c r="C3970" i="2"/>
  <c r="C3969" i="2"/>
  <c r="C3968" i="2"/>
  <c r="C3967" i="2"/>
  <c r="C3966" i="2"/>
  <c r="C3965" i="2"/>
  <c r="C3964" i="2"/>
  <c r="C3963" i="2"/>
  <c r="C3962" i="2"/>
  <c r="C3961" i="2"/>
  <c r="C3960" i="2"/>
  <c r="C3959" i="2"/>
  <c r="C3958" i="2"/>
  <c r="C3957" i="2"/>
  <c r="C3956" i="2"/>
  <c r="C3955" i="2"/>
  <c r="C3952" i="2"/>
  <c r="C3950" i="2"/>
  <c r="J3945" i="2"/>
  <c r="I3945" i="2"/>
  <c r="H3945" i="2"/>
  <c r="C3944" i="2"/>
  <c r="C3943" i="2"/>
  <c r="C3942" i="2"/>
  <c r="C3939" i="2"/>
  <c r="C3937" i="2"/>
  <c r="J3932" i="2"/>
  <c r="I3932" i="2"/>
  <c r="H3932" i="2"/>
  <c r="C3931" i="2"/>
  <c r="C3930" i="2"/>
  <c r="C3929" i="2"/>
  <c r="C3928" i="2"/>
  <c r="C3927" i="2"/>
  <c r="C3926" i="2"/>
  <c r="C3925" i="2"/>
  <c r="C3924" i="2"/>
  <c r="C3923" i="2"/>
  <c r="C3920" i="2"/>
  <c r="C3918" i="2"/>
  <c r="J3913" i="2"/>
  <c r="I3913" i="2"/>
  <c r="H3913" i="2"/>
  <c r="C3912" i="2"/>
  <c r="C3911" i="2"/>
  <c r="C3910" i="2"/>
  <c r="C3909" i="2"/>
  <c r="C3908" i="2"/>
  <c r="C3907" i="2"/>
  <c r="C3906" i="2"/>
  <c r="C3905" i="2"/>
  <c r="C3904" i="2"/>
  <c r="C3903" i="2"/>
  <c r="C3902" i="2"/>
  <c r="C3901" i="2"/>
  <c r="C3898" i="2"/>
  <c r="C3896" i="2"/>
  <c r="J3891" i="2"/>
  <c r="I3891" i="2"/>
  <c r="H3891" i="2"/>
  <c r="C3890" i="2"/>
  <c r="C3889" i="2"/>
  <c r="C3888" i="2"/>
  <c r="C3887" i="2"/>
  <c r="C3886" i="2"/>
  <c r="C3885" i="2"/>
  <c r="C3884" i="2"/>
  <c r="C3883" i="2"/>
  <c r="C3882" i="2"/>
  <c r="C3881" i="2"/>
  <c r="C3880" i="2"/>
  <c r="C3879" i="2"/>
  <c r="C3878" i="2"/>
  <c r="C3877" i="2"/>
  <c r="C3876" i="2"/>
  <c r="C3875" i="2"/>
  <c r="C3874" i="2"/>
  <c r="C3873" i="2"/>
  <c r="C3872" i="2"/>
  <c r="C3871" i="2"/>
  <c r="C3870" i="2"/>
  <c r="C3867" i="2"/>
  <c r="C3865" i="2"/>
  <c r="J3860" i="2"/>
  <c r="I3860" i="2"/>
  <c r="H3860" i="2"/>
  <c r="C3859" i="2"/>
  <c r="C3858" i="2"/>
  <c r="C3857" i="2"/>
  <c r="C3856" i="2"/>
  <c r="C3855" i="2"/>
  <c r="C3854" i="2"/>
  <c r="C3853" i="2"/>
  <c r="C3852" i="2"/>
  <c r="C3851" i="2"/>
  <c r="C3850" i="2"/>
  <c r="C3849" i="2"/>
  <c r="C3848" i="2"/>
  <c r="C3847" i="2"/>
  <c r="C3844" i="2"/>
  <c r="C3842" i="2"/>
  <c r="J3837" i="2"/>
  <c r="I3837" i="2"/>
  <c r="H3837" i="2"/>
  <c r="C3836" i="2"/>
  <c r="C3835" i="2"/>
  <c r="C3834" i="2"/>
  <c r="C3831" i="2"/>
  <c r="C3829" i="2"/>
  <c r="J3824" i="2"/>
  <c r="I3824" i="2"/>
  <c r="H3824" i="2"/>
  <c r="C3823" i="2"/>
  <c r="C3822" i="2"/>
  <c r="C3819" i="2"/>
  <c r="C3817" i="2"/>
  <c r="J3812" i="2"/>
  <c r="I3812" i="2"/>
  <c r="H3812" i="2"/>
  <c r="C3811" i="2"/>
  <c r="C3810" i="2"/>
  <c r="C3809" i="2"/>
  <c r="C3808" i="2"/>
  <c r="C3807" i="2"/>
  <c r="C3806" i="2"/>
  <c r="C3803" i="2"/>
  <c r="C3801" i="2"/>
  <c r="J3796" i="2"/>
  <c r="I3796" i="2"/>
  <c r="H3796" i="2"/>
  <c r="C3795" i="2"/>
  <c r="C3794" i="2"/>
  <c r="C3793" i="2"/>
  <c r="C3792" i="2"/>
  <c r="C3791" i="2"/>
  <c r="C3790" i="2"/>
  <c r="C3789" i="2"/>
  <c r="C3788" i="2"/>
  <c r="C3787" i="2"/>
  <c r="C3786" i="2"/>
  <c r="C3785" i="2"/>
  <c r="C3782" i="2"/>
  <c r="C3780" i="2"/>
  <c r="J3775" i="2"/>
  <c r="I3775" i="2"/>
  <c r="H3775" i="2"/>
  <c r="C3774" i="2"/>
  <c r="C3773" i="2"/>
  <c r="C3772" i="2"/>
  <c r="C3771" i="2"/>
  <c r="C3770" i="2"/>
  <c r="C3769" i="2"/>
  <c r="C3768" i="2"/>
  <c r="C3767" i="2"/>
  <c r="C3766" i="2"/>
  <c r="C3765" i="2"/>
  <c r="C3764" i="2"/>
  <c r="C3763" i="2"/>
  <c r="C3762" i="2"/>
  <c r="C3761" i="2"/>
  <c r="C3758" i="2"/>
  <c r="C3756" i="2"/>
  <c r="J3751" i="2"/>
  <c r="I3751" i="2"/>
  <c r="H3751" i="2"/>
  <c r="C3750" i="2"/>
  <c r="C3749" i="2"/>
  <c r="C3748" i="2"/>
  <c r="C3747" i="2"/>
  <c r="C3746" i="2"/>
  <c r="C3745" i="2"/>
  <c r="C3744" i="2"/>
  <c r="C3743" i="2"/>
  <c r="C3742" i="2"/>
  <c r="C3739" i="2"/>
  <c r="C3737" i="2"/>
  <c r="J3732" i="2"/>
  <c r="I3732" i="2"/>
  <c r="H3732" i="2"/>
  <c r="C3731" i="2"/>
  <c r="C3728" i="2"/>
  <c r="C3726" i="2"/>
  <c r="J3721" i="2"/>
  <c r="I3721" i="2"/>
  <c r="H3721" i="2"/>
  <c r="C3720" i="2"/>
  <c r="C3717" i="2"/>
  <c r="C3715" i="2"/>
  <c r="J3710" i="2"/>
  <c r="I3710" i="2"/>
  <c r="H3710" i="2"/>
  <c r="C3709" i="2"/>
  <c r="C3706" i="2"/>
  <c r="C3704" i="2"/>
  <c r="J3699" i="2"/>
  <c r="I3699" i="2"/>
  <c r="H3699" i="2"/>
  <c r="C3698" i="2"/>
  <c r="C3697" i="2"/>
  <c r="C3696" i="2"/>
  <c r="C3695" i="2"/>
  <c r="C3692" i="2"/>
  <c r="C3690" i="2"/>
  <c r="J3685" i="2"/>
  <c r="I3685" i="2"/>
  <c r="H3685" i="2"/>
  <c r="C3684" i="2"/>
  <c r="C3683" i="2"/>
  <c r="C3680" i="2"/>
  <c r="C3678" i="2"/>
  <c r="J3673" i="2"/>
  <c r="I3673" i="2"/>
  <c r="H3673" i="2"/>
  <c r="C3672" i="2"/>
  <c r="C3669" i="2"/>
  <c r="C3667" i="2"/>
  <c r="J3662" i="2"/>
  <c r="I3662" i="2"/>
  <c r="H3662" i="2"/>
  <c r="C3661" i="2"/>
  <c r="C3660" i="2"/>
  <c r="C3657" i="2"/>
  <c r="C3655" i="2"/>
  <c r="J3650" i="2"/>
  <c r="I3650" i="2"/>
  <c r="H3650" i="2"/>
  <c r="C3649" i="2"/>
  <c r="C3646" i="2"/>
  <c r="C3644" i="2"/>
  <c r="J3639" i="2"/>
  <c r="I3639" i="2"/>
  <c r="H3639" i="2"/>
  <c r="C3638" i="2"/>
  <c r="C3637" i="2"/>
  <c r="C3634" i="2"/>
  <c r="C3632" i="2"/>
  <c r="J3627" i="2"/>
  <c r="I3627" i="2"/>
  <c r="H3627" i="2"/>
  <c r="C3626" i="2"/>
  <c r="C3625" i="2"/>
  <c r="C3624" i="2"/>
  <c r="C3623" i="2"/>
  <c r="C3622" i="2"/>
  <c r="C3621" i="2"/>
  <c r="C3618" i="2"/>
  <c r="C3616" i="2"/>
  <c r="J3611" i="2"/>
  <c r="I3611" i="2"/>
  <c r="H3611" i="2"/>
  <c r="C3610" i="2"/>
  <c r="C3607" i="2"/>
  <c r="C3605" i="2"/>
  <c r="J3600" i="2"/>
  <c r="I3600" i="2"/>
  <c r="H3600" i="2"/>
  <c r="C3599" i="2"/>
  <c r="C3598" i="2"/>
  <c r="C3595" i="2"/>
  <c r="C3593" i="2"/>
  <c r="J3588" i="2"/>
  <c r="I3588" i="2"/>
  <c r="H3588" i="2"/>
  <c r="C3587" i="2"/>
  <c r="C3584" i="2"/>
  <c r="C3582" i="2"/>
  <c r="J3577" i="2"/>
  <c r="I3577" i="2"/>
  <c r="H3577" i="2"/>
  <c r="C3576" i="2"/>
  <c r="C3573" i="2"/>
  <c r="C3571" i="2"/>
  <c r="J3566" i="2"/>
  <c r="I3566" i="2"/>
  <c r="H3566" i="2"/>
  <c r="C3565" i="2"/>
  <c r="C3562" i="2"/>
  <c r="C3560" i="2"/>
  <c r="J3555" i="2"/>
  <c r="I3555" i="2"/>
  <c r="H3555" i="2"/>
  <c r="C3554" i="2"/>
  <c r="C3551" i="2"/>
  <c r="C3549" i="2"/>
  <c r="J3544" i="2"/>
  <c r="I3544" i="2"/>
  <c r="H3544" i="2"/>
  <c r="C3543" i="2"/>
  <c r="C3542" i="2"/>
  <c r="C3539" i="2"/>
  <c r="C3537" i="2"/>
  <c r="J3532" i="2"/>
  <c r="I3532" i="2"/>
  <c r="H3532" i="2"/>
  <c r="C3531" i="2"/>
  <c r="C3530" i="2"/>
  <c r="C3529" i="2"/>
  <c r="C3526" i="2"/>
  <c r="C3524" i="2"/>
  <c r="J3519" i="2"/>
  <c r="I3519" i="2"/>
  <c r="H3519" i="2"/>
  <c r="C3518" i="2"/>
  <c r="C3515" i="2"/>
  <c r="C3513" i="2"/>
  <c r="J3508" i="2"/>
  <c r="I3508" i="2"/>
  <c r="H3508" i="2"/>
  <c r="C3507" i="2"/>
  <c r="C3504" i="2"/>
  <c r="C3502" i="2"/>
  <c r="J3497" i="2"/>
  <c r="I3497" i="2"/>
  <c r="H3497" i="2"/>
  <c r="C3496" i="2"/>
  <c r="C3495" i="2"/>
  <c r="C3494" i="2"/>
  <c r="C3493" i="2"/>
  <c r="C3492" i="2"/>
  <c r="C3489" i="2"/>
  <c r="C3487" i="2"/>
  <c r="J3482" i="2"/>
  <c r="I3482" i="2"/>
  <c r="H3482" i="2"/>
  <c r="C3481" i="2"/>
  <c r="C3480" i="2"/>
  <c r="C3477" i="2"/>
  <c r="C3475" i="2"/>
  <c r="J3470" i="2"/>
  <c r="I3470" i="2"/>
  <c r="H3470" i="2"/>
  <c r="C3469" i="2"/>
  <c r="C3466" i="2"/>
  <c r="C3464" i="2"/>
  <c r="J3459" i="2"/>
  <c r="I3459" i="2"/>
  <c r="H3459" i="2"/>
  <c r="C3458" i="2"/>
  <c r="C3455" i="2"/>
  <c r="C3453" i="2"/>
  <c r="J3448" i="2"/>
  <c r="I3448" i="2"/>
  <c r="H3448" i="2"/>
  <c r="C3447" i="2"/>
  <c r="C3444" i="2"/>
  <c r="C3442" i="2"/>
  <c r="J3437" i="2"/>
  <c r="I3437" i="2"/>
  <c r="H3437" i="2"/>
  <c r="C3436" i="2"/>
  <c r="C3433" i="2"/>
  <c r="C3431" i="2"/>
  <c r="J3426" i="2"/>
  <c r="I3426" i="2"/>
  <c r="H3426" i="2"/>
  <c r="C3425" i="2"/>
  <c r="C3422" i="2"/>
  <c r="C3420" i="2"/>
  <c r="J3415" i="2"/>
  <c r="I3415" i="2"/>
  <c r="H3415" i="2"/>
  <c r="C3414" i="2"/>
  <c r="C3411" i="2"/>
  <c r="C3409" i="2"/>
  <c r="J3404" i="2"/>
  <c r="I3404" i="2"/>
  <c r="H3404" i="2"/>
  <c r="C3403" i="2"/>
  <c r="C3400" i="2"/>
  <c r="C3398" i="2"/>
  <c r="J3393" i="2"/>
  <c r="I3393" i="2"/>
  <c r="H3393" i="2"/>
  <c r="C3392" i="2"/>
  <c r="C3391" i="2"/>
  <c r="C3390" i="2"/>
  <c r="C3389" i="2"/>
  <c r="C3388" i="2"/>
  <c r="C3387" i="2"/>
  <c r="C3386" i="2"/>
  <c r="C3385" i="2"/>
  <c r="C3384" i="2"/>
  <c r="C3383" i="2"/>
  <c r="C3382" i="2"/>
  <c r="C3379" i="2"/>
  <c r="C3377" i="2"/>
  <c r="J3372" i="2"/>
  <c r="I3372" i="2"/>
  <c r="H3372" i="2"/>
  <c r="C3371" i="2"/>
  <c r="C3370" i="2"/>
  <c r="C3369" i="2"/>
  <c r="C3368" i="2"/>
  <c r="C3367" i="2"/>
  <c r="C3366" i="2"/>
  <c r="C3365" i="2"/>
  <c r="C3364" i="2"/>
  <c r="C3363" i="2"/>
  <c r="C3362" i="2"/>
  <c r="C3361" i="2"/>
  <c r="C3360" i="2"/>
  <c r="C3359" i="2"/>
  <c r="C3358" i="2"/>
  <c r="C3357" i="2"/>
  <c r="C3356" i="2"/>
  <c r="C3355" i="2"/>
  <c r="C3354" i="2"/>
  <c r="C3353" i="2"/>
  <c r="C3352" i="2"/>
  <c r="C3351" i="2"/>
  <c r="C3350" i="2"/>
  <c r="C3349" i="2"/>
  <c r="C3348" i="2"/>
  <c r="C3347" i="2"/>
  <c r="C3346" i="2"/>
  <c r="C3345" i="2"/>
  <c r="C3344" i="2"/>
  <c r="C3343" i="2"/>
  <c r="C3342" i="2"/>
  <c r="C3341" i="2"/>
  <c r="C3340" i="2"/>
  <c r="C3339" i="2"/>
  <c r="C3338" i="2"/>
  <c r="C3337" i="2"/>
  <c r="C3336" i="2"/>
  <c r="C3335" i="2"/>
  <c r="C3334" i="2"/>
  <c r="C3333" i="2"/>
  <c r="C3332" i="2"/>
  <c r="C3331" i="2"/>
  <c r="C3330" i="2"/>
  <c r="C3329" i="2"/>
  <c r="C3328" i="2"/>
  <c r="C3327" i="2"/>
  <c r="C3326" i="2"/>
  <c r="C3325" i="2"/>
  <c r="C3324" i="2"/>
  <c r="C3323" i="2"/>
  <c r="C3322" i="2"/>
  <c r="C3321" i="2"/>
  <c r="C3320" i="2"/>
  <c r="C3319" i="2"/>
  <c r="C3318" i="2"/>
  <c r="C3317" i="2"/>
  <c r="C3316" i="2"/>
  <c r="C3315" i="2"/>
  <c r="C3314" i="2"/>
  <c r="C3313" i="2"/>
  <c r="C3312" i="2"/>
  <c r="C3311" i="2"/>
  <c r="C3310" i="2"/>
  <c r="C3309" i="2"/>
  <c r="C3308" i="2"/>
  <c r="C3307" i="2"/>
  <c r="C3306" i="2"/>
  <c r="C3305" i="2"/>
  <c r="C3304" i="2"/>
  <c r="C3303" i="2"/>
  <c r="C3302" i="2"/>
  <c r="C3301" i="2"/>
  <c r="C3300" i="2"/>
  <c r="C3299" i="2"/>
  <c r="C3298" i="2"/>
  <c r="C3297" i="2"/>
  <c r="C3294" i="2"/>
  <c r="C3292" i="2"/>
  <c r="J3287" i="2"/>
  <c r="I3287" i="2"/>
  <c r="H3287" i="2"/>
  <c r="C3286" i="2"/>
  <c r="C3283" i="2"/>
  <c r="C3281" i="2"/>
  <c r="J3276" i="2"/>
  <c r="I3276" i="2"/>
  <c r="H3276" i="2"/>
  <c r="C3275" i="2"/>
  <c r="C3274" i="2"/>
  <c r="C3273" i="2"/>
  <c r="C3272" i="2"/>
  <c r="C3271" i="2"/>
  <c r="C3270" i="2"/>
  <c r="C3269" i="2"/>
  <c r="C3268" i="2"/>
  <c r="C3267" i="2"/>
  <c r="C3266" i="2"/>
  <c r="C3265" i="2"/>
  <c r="C3264" i="2"/>
  <c r="C3263" i="2"/>
  <c r="C3262" i="2"/>
  <c r="C3261" i="2"/>
  <c r="C3258" i="2"/>
  <c r="C3256" i="2"/>
  <c r="J3251" i="2"/>
  <c r="I3251" i="2"/>
  <c r="H3251" i="2"/>
  <c r="C3250" i="2"/>
  <c r="C3247" i="2"/>
  <c r="C3245" i="2"/>
  <c r="J3240" i="2"/>
  <c r="I3240" i="2"/>
  <c r="H3240" i="2"/>
  <c r="C3239" i="2"/>
  <c r="C3236" i="2"/>
  <c r="C3234" i="2"/>
  <c r="J3229" i="2"/>
  <c r="I3229" i="2"/>
  <c r="H3229" i="2"/>
  <c r="C3228" i="2"/>
  <c r="C3225" i="2"/>
  <c r="C3223" i="2"/>
  <c r="J3218" i="2"/>
  <c r="I3218" i="2"/>
  <c r="H3218" i="2"/>
  <c r="C3217" i="2"/>
  <c r="C3214" i="2"/>
  <c r="C3212" i="2"/>
  <c r="J3207" i="2"/>
  <c r="I3207" i="2"/>
  <c r="H3207" i="2"/>
  <c r="C3206" i="2"/>
  <c r="C3203" i="2"/>
  <c r="C3201" i="2"/>
  <c r="J3196" i="2"/>
  <c r="I3196" i="2"/>
  <c r="H3196" i="2"/>
  <c r="C3195" i="2"/>
  <c r="C3192" i="2"/>
  <c r="C3190" i="2"/>
  <c r="J3185" i="2"/>
  <c r="I3185" i="2"/>
  <c r="H3185" i="2"/>
  <c r="C3184" i="2"/>
  <c r="C3181" i="2"/>
  <c r="C3179" i="2"/>
  <c r="J3174" i="2"/>
  <c r="I3174" i="2"/>
  <c r="H3174" i="2"/>
  <c r="C3173" i="2"/>
  <c r="C3170" i="2"/>
  <c r="C3168" i="2"/>
  <c r="J3163" i="2"/>
  <c r="I3163" i="2"/>
  <c r="H3163" i="2"/>
  <c r="C3162" i="2"/>
  <c r="C3159" i="2"/>
  <c r="C3157" i="2"/>
  <c r="J3152" i="2"/>
  <c r="I3152" i="2"/>
  <c r="H3152" i="2"/>
  <c r="C3151" i="2"/>
  <c r="C3148" i="2"/>
  <c r="C3146" i="2"/>
  <c r="J3141" i="2"/>
  <c r="I3141" i="2"/>
  <c r="H3141" i="2"/>
  <c r="C3140" i="2"/>
  <c r="C3137" i="2"/>
  <c r="C3135" i="2"/>
  <c r="J3130" i="2"/>
  <c r="I3130" i="2"/>
  <c r="H3130" i="2"/>
  <c r="C3129" i="2"/>
  <c r="C3126" i="2"/>
  <c r="C3124" i="2"/>
  <c r="J3119" i="2"/>
  <c r="I3119" i="2"/>
  <c r="H3119" i="2"/>
  <c r="C3118" i="2"/>
  <c r="C3117" i="2"/>
  <c r="C3116" i="2"/>
  <c r="C3113" i="2"/>
  <c r="C3111" i="2"/>
  <c r="J3106" i="2"/>
  <c r="I3106" i="2"/>
  <c r="H3106" i="2"/>
  <c r="C3105" i="2"/>
  <c r="C3102" i="2"/>
  <c r="C3100" i="2"/>
  <c r="J3095" i="2"/>
  <c r="I3095" i="2"/>
  <c r="H3095" i="2"/>
  <c r="C3094" i="2"/>
  <c r="C3093" i="2"/>
  <c r="C3092" i="2"/>
  <c r="C3089" i="2"/>
  <c r="C3087" i="2"/>
  <c r="J3082" i="2"/>
  <c r="I3082" i="2"/>
  <c r="H3082" i="2"/>
  <c r="C3081" i="2"/>
  <c r="C3078" i="2"/>
  <c r="C3076" i="2"/>
  <c r="J3071" i="2"/>
  <c r="I3071" i="2"/>
  <c r="H3071" i="2"/>
  <c r="C3070" i="2"/>
  <c r="C3067" i="2"/>
  <c r="C3065" i="2"/>
  <c r="J3060" i="2"/>
  <c r="I3060" i="2"/>
  <c r="H3060" i="2"/>
  <c r="C3059" i="2"/>
  <c r="C3056" i="2"/>
  <c r="C3054" i="2"/>
  <c r="J3049" i="2"/>
  <c r="I3049" i="2"/>
  <c r="H3049" i="2"/>
  <c r="C3048" i="2"/>
  <c r="C3045" i="2"/>
  <c r="C3043" i="2"/>
  <c r="J3038" i="2"/>
  <c r="I3038" i="2"/>
  <c r="H3038" i="2"/>
  <c r="C3037" i="2"/>
  <c r="C3034" i="2"/>
  <c r="C3032" i="2"/>
  <c r="J3027" i="2"/>
  <c r="I3027" i="2"/>
  <c r="H3027" i="2"/>
  <c r="C3026" i="2"/>
  <c r="C3023" i="2"/>
  <c r="C3021" i="2"/>
  <c r="J3016" i="2"/>
  <c r="I3016" i="2"/>
  <c r="H3016" i="2"/>
  <c r="C3015" i="2"/>
  <c r="C3012" i="2"/>
  <c r="C3010" i="2"/>
  <c r="J3005" i="2"/>
  <c r="I3005" i="2"/>
  <c r="H3005" i="2"/>
  <c r="C3004" i="2"/>
  <c r="C3001" i="2"/>
  <c r="C2999" i="2"/>
  <c r="J2994" i="2"/>
  <c r="I2994" i="2"/>
  <c r="H2994" i="2"/>
  <c r="C2993" i="2"/>
  <c r="C2990" i="2"/>
  <c r="C2988" i="2"/>
  <c r="J2983" i="2"/>
  <c r="I2983" i="2"/>
  <c r="H2983" i="2"/>
  <c r="C2982" i="2"/>
  <c r="C2979" i="2"/>
  <c r="C2977" i="2"/>
  <c r="J2972" i="2"/>
  <c r="I2972" i="2"/>
  <c r="H2972" i="2"/>
  <c r="C2971" i="2"/>
  <c r="C2970" i="2"/>
  <c r="C2967" i="2"/>
  <c r="C2965" i="2"/>
  <c r="J2960" i="2"/>
  <c r="I2960" i="2"/>
  <c r="H2960" i="2"/>
  <c r="C2959" i="2"/>
  <c r="C2958" i="2"/>
  <c r="C2957" i="2"/>
  <c r="C2954" i="2"/>
  <c r="C2952" i="2"/>
  <c r="J2947" i="2"/>
  <c r="I2947" i="2"/>
  <c r="H2947" i="2"/>
  <c r="C2946" i="2"/>
  <c r="C2945" i="2"/>
  <c r="C2944" i="2"/>
  <c r="C2941" i="2"/>
  <c r="C2939" i="2"/>
  <c r="J2934" i="2"/>
  <c r="I2934" i="2"/>
  <c r="H2934" i="2"/>
  <c r="C2933" i="2"/>
  <c r="C2932" i="2"/>
  <c r="C2931" i="2"/>
  <c r="C2930" i="2"/>
  <c r="C2927" i="2"/>
  <c r="C2925" i="2"/>
  <c r="J2920" i="2"/>
  <c r="I2920" i="2"/>
  <c r="H2920" i="2"/>
  <c r="C2919" i="2"/>
  <c r="C2918" i="2"/>
  <c r="C2917" i="2"/>
  <c r="C2916" i="2"/>
  <c r="C2915" i="2"/>
  <c r="C2914" i="2"/>
  <c r="C2913" i="2"/>
  <c r="C2912" i="2"/>
  <c r="C2911" i="2"/>
  <c r="C2910" i="2"/>
  <c r="C2909" i="2"/>
  <c r="C2908" i="2"/>
  <c r="C2907" i="2"/>
  <c r="C2906" i="2"/>
  <c r="C2905" i="2"/>
  <c r="C2904" i="2"/>
  <c r="C2903" i="2"/>
  <c r="C2902" i="2"/>
  <c r="C2901" i="2"/>
  <c r="C2900" i="2"/>
  <c r="C2899" i="2"/>
  <c r="C2898" i="2"/>
  <c r="C2897" i="2"/>
  <c r="C2896" i="2"/>
  <c r="C2895" i="2"/>
  <c r="C2894" i="2"/>
  <c r="C2893" i="2"/>
  <c r="C2892" i="2"/>
  <c r="C2891" i="2"/>
  <c r="C2890" i="2"/>
  <c r="C2889" i="2"/>
  <c r="C2888" i="2"/>
  <c r="C2887" i="2"/>
  <c r="C2886" i="2"/>
  <c r="C2885" i="2"/>
  <c r="C2884" i="2"/>
  <c r="C2883" i="2"/>
  <c r="C2882" i="2"/>
  <c r="C2881" i="2"/>
  <c r="C2880" i="2"/>
  <c r="C2879" i="2"/>
  <c r="C2878" i="2"/>
  <c r="C2877" i="2"/>
  <c r="C2876" i="2"/>
  <c r="C2875" i="2"/>
  <c r="C2874" i="2"/>
  <c r="C2871" i="2"/>
  <c r="C2869" i="2"/>
  <c r="J2864" i="2"/>
  <c r="I2864" i="2"/>
  <c r="H2864" i="2"/>
  <c r="C2863" i="2"/>
  <c r="C2862" i="2"/>
  <c r="C2861" i="2"/>
  <c r="C2860" i="2"/>
  <c r="C2859" i="2"/>
  <c r="C2858" i="2"/>
  <c r="C2857" i="2"/>
  <c r="C2856" i="2"/>
  <c r="C2855" i="2"/>
  <c r="C2854" i="2"/>
  <c r="C2853" i="2"/>
  <c r="C2852" i="2"/>
  <c r="C2851" i="2"/>
  <c r="C2850" i="2"/>
  <c r="C2849" i="2"/>
  <c r="C2848" i="2"/>
  <c r="C2847" i="2"/>
  <c r="C2846" i="2"/>
  <c r="C2845" i="2"/>
  <c r="C2844" i="2"/>
  <c r="C2843" i="2"/>
  <c r="C2842" i="2"/>
  <c r="C2841" i="2"/>
  <c r="C2840" i="2"/>
  <c r="C2839" i="2"/>
  <c r="C2838" i="2"/>
  <c r="C2837" i="2"/>
  <c r="C2836" i="2"/>
  <c r="C2835" i="2"/>
  <c r="C2834" i="2"/>
  <c r="C2833" i="2"/>
  <c r="C2832" i="2"/>
  <c r="C2831" i="2"/>
  <c r="C2830" i="2"/>
  <c r="C2829" i="2"/>
  <c r="C2828" i="2"/>
  <c r="C2827" i="2"/>
  <c r="C2826" i="2"/>
  <c r="C2825" i="2"/>
  <c r="C2824" i="2"/>
  <c r="C2823" i="2"/>
  <c r="C2822" i="2"/>
  <c r="C2821" i="2"/>
  <c r="C2820" i="2"/>
  <c r="C2819" i="2"/>
  <c r="C2818" i="2"/>
  <c r="C2817" i="2"/>
  <c r="C2816" i="2"/>
  <c r="C2815" i="2"/>
  <c r="C2814" i="2"/>
  <c r="C2813" i="2"/>
  <c r="C2812" i="2"/>
  <c r="C2811" i="2"/>
  <c r="C2810" i="2"/>
  <c r="C2809" i="2"/>
  <c r="C2808" i="2"/>
  <c r="C2805" i="2"/>
  <c r="C2803" i="2"/>
  <c r="J2798" i="2"/>
  <c r="I2798" i="2"/>
  <c r="H2798" i="2"/>
  <c r="C2797" i="2"/>
  <c r="C2796" i="2"/>
  <c r="C2795" i="2"/>
  <c r="C2794" i="2"/>
  <c r="C2793" i="2"/>
  <c r="C2792" i="2"/>
  <c r="C2791" i="2"/>
  <c r="C2790" i="2"/>
  <c r="C2789" i="2"/>
  <c r="C2788" i="2"/>
  <c r="C2787" i="2"/>
  <c r="C2786" i="2"/>
  <c r="C2785" i="2"/>
  <c r="C2784" i="2"/>
  <c r="C2783" i="2"/>
  <c r="C2782" i="2"/>
  <c r="C2781" i="2"/>
  <c r="C2780" i="2"/>
  <c r="C2779" i="2"/>
  <c r="C2778" i="2"/>
  <c r="C2777" i="2"/>
  <c r="C2776" i="2"/>
  <c r="C2775" i="2"/>
  <c r="C2774" i="2"/>
  <c r="C2773" i="2"/>
  <c r="C2772" i="2"/>
  <c r="C2771" i="2"/>
  <c r="C2770" i="2"/>
  <c r="C2769" i="2"/>
  <c r="C2768" i="2"/>
  <c r="C2767" i="2"/>
  <c r="C2766" i="2"/>
  <c r="C2765" i="2"/>
  <c r="C2764" i="2"/>
  <c r="C2763" i="2"/>
  <c r="C2762" i="2"/>
  <c r="C2761" i="2"/>
  <c r="C2760" i="2"/>
  <c r="C2759" i="2"/>
  <c r="C2758" i="2"/>
  <c r="C2757" i="2"/>
  <c r="C2756" i="2"/>
  <c r="C2755" i="2"/>
  <c r="C2754" i="2"/>
  <c r="C2753" i="2"/>
  <c r="C2752" i="2"/>
  <c r="C2751" i="2"/>
  <c r="C2750" i="2"/>
  <c r="C2749" i="2"/>
  <c r="C2748" i="2"/>
  <c r="C2747" i="2"/>
  <c r="C2746" i="2"/>
  <c r="C2745" i="2"/>
  <c r="C2744" i="2"/>
  <c r="C2743" i="2"/>
  <c r="C2742" i="2"/>
  <c r="C2741" i="2"/>
  <c r="C2740" i="2"/>
  <c r="C2739" i="2"/>
  <c r="C2738" i="2"/>
  <c r="C2737" i="2"/>
  <c r="C2736" i="2"/>
  <c r="C2735" i="2"/>
  <c r="C2734" i="2"/>
  <c r="C2733" i="2"/>
  <c r="C2732" i="2"/>
  <c r="C2731" i="2"/>
  <c r="C2730" i="2"/>
  <c r="C2727" i="2"/>
  <c r="C2725" i="2"/>
  <c r="J2720" i="2"/>
  <c r="I2720" i="2"/>
  <c r="H2720" i="2"/>
  <c r="C2719" i="2"/>
  <c r="C2718" i="2"/>
  <c r="C2717" i="2"/>
  <c r="C2716" i="2"/>
  <c r="C2715" i="2"/>
  <c r="C2714" i="2"/>
  <c r="C2713" i="2"/>
  <c r="C2712" i="2"/>
  <c r="C2711" i="2"/>
  <c r="C2710" i="2"/>
  <c r="C2709" i="2"/>
  <c r="C2708" i="2"/>
  <c r="C2707" i="2"/>
  <c r="C2706" i="2"/>
  <c r="C2705" i="2"/>
  <c r="C2704" i="2"/>
  <c r="C2703" i="2"/>
  <c r="C2702" i="2"/>
  <c r="C2701" i="2"/>
  <c r="C2700" i="2"/>
  <c r="C2699" i="2"/>
  <c r="C2698" i="2"/>
  <c r="C2697" i="2"/>
  <c r="C2696" i="2"/>
  <c r="C2695" i="2"/>
  <c r="C2694" i="2"/>
  <c r="C2693" i="2"/>
  <c r="C2692" i="2"/>
  <c r="C2691" i="2"/>
  <c r="C2690" i="2"/>
  <c r="C2689" i="2"/>
  <c r="C2688" i="2"/>
  <c r="C2687" i="2"/>
  <c r="C2686" i="2"/>
  <c r="C2685" i="2"/>
  <c r="C2684" i="2"/>
  <c r="C2683" i="2"/>
  <c r="C2682" i="2"/>
  <c r="C2681" i="2"/>
  <c r="C2680" i="2"/>
  <c r="C2679" i="2"/>
  <c r="C2678" i="2"/>
  <c r="C2677" i="2"/>
  <c r="C2676" i="2"/>
  <c r="C2673" i="2"/>
  <c r="C2671" i="2"/>
  <c r="J2666" i="2"/>
  <c r="I2666" i="2"/>
  <c r="H2666" i="2"/>
  <c r="C2665" i="2"/>
  <c r="C2664" i="2"/>
  <c r="C2663" i="2"/>
  <c r="C2662" i="2"/>
  <c r="C2661" i="2"/>
  <c r="C2660" i="2"/>
  <c r="C2659" i="2"/>
  <c r="C2658" i="2"/>
  <c r="C2657" i="2"/>
  <c r="C2656" i="2"/>
  <c r="C2655" i="2"/>
  <c r="C2654" i="2"/>
  <c r="C2651" i="2"/>
  <c r="C2649" i="2"/>
  <c r="J2644" i="2"/>
  <c r="I2644" i="2"/>
  <c r="H2644" i="2"/>
  <c r="C2643" i="2"/>
  <c r="C2642" i="2"/>
  <c r="C2639" i="2"/>
  <c r="C2637" i="2"/>
  <c r="J2632" i="2"/>
  <c r="I2632" i="2"/>
  <c r="H2632" i="2"/>
  <c r="C2631" i="2"/>
  <c r="C2630" i="2"/>
  <c r="C2629" i="2"/>
  <c r="C2628" i="2"/>
  <c r="C2627" i="2"/>
  <c r="C2626" i="2"/>
  <c r="C2625" i="2"/>
  <c r="C2624" i="2"/>
  <c r="C2623" i="2"/>
  <c r="C2622" i="2"/>
  <c r="C2621" i="2"/>
  <c r="C2620" i="2"/>
  <c r="C2619" i="2"/>
  <c r="C2618" i="2"/>
  <c r="C2617" i="2"/>
  <c r="C2616" i="2"/>
  <c r="C2615" i="2"/>
  <c r="C2614" i="2"/>
  <c r="C2613" i="2"/>
  <c r="C2612" i="2"/>
  <c r="C2611" i="2"/>
  <c r="C2610" i="2"/>
  <c r="C2609" i="2"/>
  <c r="C2608" i="2"/>
  <c r="C2607" i="2"/>
  <c r="C2606" i="2"/>
  <c r="C2605" i="2"/>
  <c r="C2604" i="2"/>
  <c r="C2603" i="2"/>
  <c r="C2602" i="2"/>
  <c r="C2601" i="2"/>
  <c r="C2600" i="2"/>
  <c r="C2599" i="2"/>
  <c r="C2598" i="2"/>
  <c r="C2597" i="2"/>
  <c r="C2596" i="2"/>
  <c r="C2595" i="2"/>
  <c r="C2594" i="2"/>
  <c r="C2593" i="2"/>
  <c r="C2592" i="2"/>
  <c r="C2591" i="2"/>
  <c r="C2590" i="2"/>
  <c r="C2589" i="2"/>
  <c r="C2588" i="2"/>
  <c r="C2587" i="2"/>
  <c r="C2586" i="2"/>
  <c r="C2585" i="2"/>
  <c r="C2584" i="2"/>
  <c r="C2583" i="2"/>
  <c r="C2582" i="2"/>
  <c r="C2581" i="2"/>
  <c r="C2580" i="2"/>
  <c r="C2579" i="2"/>
  <c r="C2578" i="2"/>
  <c r="C2577" i="2"/>
  <c r="C2576" i="2"/>
  <c r="C2575" i="2"/>
  <c r="C2574" i="2"/>
  <c r="C2573" i="2"/>
  <c r="C2572" i="2"/>
  <c r="C2571" i="2"/>
  <c r="C2570" i="2"/>
  <c r="C2569" i="2"/>
  <c r="C2568" i="2"/>
  <c r="C2567" i="2"/>
  <c r="C2566" i="2"/>
  <c r="C2565" i="2"/>
  <c r="C2564" i="2"/>
  <c r="C2563" i="2"/>
  <c r="C2562" i="2"/>
  <c r="C2561" i="2"/>
  <c r="C2560" i="2"/>
  <c r="C2559" i="2"/>
  <c r="C2558" i="2"/>
  <c r="C2557" i="2"/>
  <c r="C2556" i="2"/>
  <c r="C2555" i="2"/>
  <c r="C2554" i="2"/>
  <c r="C2553" i="2"/>
  <c r="C2552" i="2"/>
  <c r="C2551" i="2"/>
  <c r="C2550" i="2"/>
  <c r="C2549" i="2"/>
  <c r="C2548" i="2"/>
  <c r="C2547" i="2"/>
  <c r="C2546" i="2"/>
  <c r="C2545" i="2"/>
  <c r="C2544" i="2"/>
  <c r="C2543" i="2"/>
  <c r="C2542" i="2"/>
  <c r="C2541" i="2"/>
  <c r="C2540" i="2"/>
  <c r="C2539" i="2"/>
  <c r="C2538" i="2"/>
  <c r="C2537" i="2"/>
  <c r="C2536" i="2"/>
  <c r="C2535" i="2"/>
  <c r="C2534" i="2"/>
  <c r="C2533" i="2"/>
  <c r="C2532" i="2"/>
  <c r="C2531" i="2"/>
  <c r="C2530" i="2"/>
  <c r="C2529" i="2"/>
  <c r="C2528" i="2"/>
  <c r="C2527" i="2"/>
  <c r="C2526" i="2"/>
  <c r="C2525" i="2"/>
  <c r="C2524" i="2"/>
  <c r="C2523" i="2"/>
  <c r="C2522" i="2"/>
  <c r="C2521" i="2"/>
  <c r="C2520" i="2"/>
  <c r="C2519" i="2"/>
  <c r="C2518" i="2"/>
  <c r="C2517" i="2"/>
  <c r="C2516" i="2"/>
  <c r="C2515" i="2"/>
  <c r="C2514" i="2"/>
  <c r="C2513" i="2"/>
  <c r="C2512" i="2"/>
  <c r="C2511" i="2"/>
  <c r="C2510" i="2"/>
  <c r="C2509" i="2"/>
  <c r="C2508" i="2"/>
  <c r="C2507" i="2"/>
  <c r="C2506" i="2"/>
  <c r="C2505" i="2"/>
  <c r="C2504" i="2"/>
  <c r="C2503" i="2"/>
  <c r="C2502" i="2"/>
  <c r="C2501" i="2"/>
  <c r="C2500" i="2"/>
  <c r="C2499" i="2"/>
  <c r="C2498" i="2"/>
  <c r="C2497" i="2"/>
  <c r="C2496" i="2"/>
  <c r="C2495" i="2"/>
  <c r="C2494" i="2"/>
  <c r="C2493" i="2"/>
  <c r="C2492" i="2"/>
  <c r="C2491" i="2"/>
  <c r="C2490" i="2"/>
  <c r="C2489" i="2"/>
  <c r="C2488" i="2"/>
  <c r="C2487" i="2"/>
  <c r="C2486" i="2"/>
  <c r="C2485" i="2"/>
  <c r="C2484" i="2"/>
  <c r="C2483" i="2"/>
  <c r="C2482" i="2"/>
  <c r="C2481" i="2"/>
  <c r="C2480" i="2"/>
  <c r="C2479" i="2"/>
  <c r="C2478" i="2"/>
  <c r="C2477" i="2"/>
  <c r="C2476" i="2"/>
  <c r="C2475" i="2"/>
  <c r="C2474" i="2"/>
  <c r="C2473" i="2"/>
  <c r="C2472" i="2"/>
  <c r="C2471" i="2"/>
  <c r="C2470" i="2"/>
  <c r="C2469" i="2"/>
  <c r="C2468" i="2"/>
  <c r="C2467" i="2"/>
  <c r="C2466" i="2"/>
  <c r="C2465" i="2"/>
  <c r="C2464" i="2"/>
  <c r="C2463" i="2"/>
  <c r="C2462" i="2"/>
  <c r="C2461" i="2"/>
  <c r="C2460" i="2"/>
  <c r="C2459" i="2"/>
  <c r="C2458" i="2"/>
  <c r="C2457" i="2"/>
  <c r="C2456" i="2"/>
  <c r="C2455" i="2"/>
  <c r="C2454" i="2"/>
  <c r="C2453" i="2"/>
  <c r="C2452" i="2"/>
  <c r="C2451" i="2"/>
  <c r="C2450" i="2"/>
  <c r="C2449" i="2"/>
  <c r="C2448" i="2"/>
  <c r="C2447" i="2"/>
  <c r="C2446" i="2"/>
  <c r="C2445" i="2"/>
  <c r="C2444" i="2"/>
  <c r="C2443" i="2"/>
  <c r="C2442" i="2"/>
  <c r="C2441" i="2"/>
  <c r="C2440" i="2"/>
  <c r="C2439" i="2"/>
  <c r="C2438" i="2"/>
  <c r="C2437" i="2"/>
  <c r="C2436" i="2"/>
  <c r="C2435" i="2"/>
  <c r="C2434" i="2"/>
  <c r="C2433" i="2"/>
  <c r="C2432" i="2"/>
  <c r="C2431" i="2"/>
  <c r="C2430" i="2"/>
  <c r="C2429" i="2"/>
  <c r="C2428" i="2"/>
  <c r="C2427" i="2"/>
  <c r="C2426" i="2"/>
  <c r="C2425" i="2"/>
  <c r="C2424" i="2"/>
  <c r="C2423" i="2"/>
  <c r="C2422" i="2"/>
  <c r="C2421" i="2"/>
  <c r="C2420" i="2"/>
  <c r="C2419" i="2"/>
  <c r="C2418" i="2"/>
  <c r="C2417" i="2"/>
  <c r="C2416" i="2"/>
  <c r="C2415" i="2"/>
  <c r="C2414" i="2"/>
  <c r="C2413" i="2"/>
  <c r="C2412" i="2"/>
  <c r="C2411" i="2"/>
  <c r="C2410" i="2"/>
  <c r="C2409" i="2"/>
  <c r="C2408" i="2"/>
  <c r="C2407" i="2"/>
  <c r="C2406" i="2"/>
  <c r="C2405" i="2"/>
  <c r="C2404" i="2"/>
  <c r="C2403" i="2"/>
  <c r="C2402" i="2"/>
  <c r="C2401" i="2"/>
  <c r="C2400" i="2"/>
  <c r="C2399" i="2"/>
  <c r="C2398" i="2"/>
  <c r="C2397" i="2"/>
  <c r="C2396" i="2"/>
  <c r="C2395" i="2"/>
  <c r="C2394" i="2"/>
  <c r="C2393" i="2"/>
  <c r="C2392" i="2"/>
  <c r="C2391" i="2"/>
  <c r="C2390" i="2"/>
  <c r="C2389" i="2"/>
  <c r="C2388" i="2"/>
  <c r="C2387" i="2"/>
  <c r="C2386" i="2"/>
  <c r="C2385" i="2"/>
  <c r="C2384" i="2"/>
  <c r="C2383" i="2"/>
  <c r="C2382" i="2"/>
  <c r="C2381" i="2"/>
  <c r="C2380" i="2"/>
  <c r="C2379" i="2"/>
  <c r="C2378" i="2"/>
  <c r="C2377" i="2"/>
  <c r="C2376" i="2"/>
  <c r="C2375" i="2"/>
  <c r="C2374" i="2"/>
  <c r="C2373" i="2"/>
  <c r="C2372" i="2"/>
  <c r="C2371" i="2"/>
  <c r="C2370" i="2"/>
  <c r="C2369" i="2"/>
  <c r="C2368" i="2"/>
  <c r="C2367" i="2"/>
  <c r="C2366" i="2"/>
  <c r="C2365" i="2"/>
  <c r="C2364" i="2"/>
  <c r="C2363" i="2"/>
  <c r="C2362" i="2"/>
  <c r="C2361" i="2"/>
  <c r="C2360" i="2"/>
  <c r="C2359" i="2"/>
  <c r="C2358" i="2"/>
  <c r="C2357" i="2"/>
  <c r="C2356" i="2"/>
  <c r="C2355" i="2"/>
  <c r="C2354" i="2"/>
  <c r="C2353" i="2"/>
  <c r="C2352" i="2"/>
  <c r="C2351" i="2"/>
  <c r="C2350" i="2"/>
  <c r="C2349" i="2"/>
  <c r="C2348" i="2"/>
  <c r="C2347" i="2"/>
  <c r="C2346" i="2"/>
  <c r="C2345" i="2"/>
  <c r="C2344" i="2"/>
  <c r="C2343" i="2"/>
  <c r="C2342" i="2"/>
  <c r="C2341" i="2"/>
  <c r="C2340" i="2"/>
  <c r="C2339" i="2"/>
  <c r="C2336" i="2"/>
  <c r="C2334" i="2"/>
  <c r="J2329" i="2"/>
  <c r="I2329" i="2"/>
  <c r="H2329" i="2"/>
  <c r="C2328" i="2"/>
  <c r="C2327" i="2"/>
  <c r="C2326" i="2"/>
  <c r="C2325" i="2"/>
  <c r="C2324" i="2"/>
  <c r="C2323" i="2"/>
  <c r="C2322" i="2"/>
  <c r="C2319" i="2"/>
  <c r="C2317" i="2"/>
  <c r="J2312" i="2"/>
  <c r="I2312" i="2"/>
  <c r="H2312" i="2"/>
  <c r="C2311" i="2"/>
  <c r="C2310" i="2"/>
  <c r="C2309" i="2"/>
  <c r="C2308" i="2"/>
  <c r="C2307" i="2"/>
  <c r="C2304" i="2"/>
  <c r="C2302" i="2"/>
  <c r="J2297" i="2"/>
  <c r="I2297" i="2"/>
  <c r="H2297" i="2"/>
  <c r="C2296" i="2"/>
  <c r="C2295" i="2"/>
  <c r="C2294" i="2"/>
  <c r="C2293" i="2"/>
  <c r="C2292" i="2"/>
  <c r="C2291" i="2"/>
  <c r="C2290" i="2"/>
  <c r="C2289" i="2"/>
  <c r="C2288" i="2"/>
  <c r="C2287" i="2"/>
  <c r="C2286" i="2"/>
  <c r="C2285" i="2"/>
  <c r="C2284" i="2"/>
  <c r="C2283" i="2"/>
  <c r="C2282" i="2"/>
  <c r="C2281" i="2"/>
  <c r="C2280" i="2"/>
  <c r="C2277" i="2"/>
  <c r="C2275" i="2"/>
  <c r="J2270" i="2"/>
  <c r="I2270" i="2"/>
  <c r="H2270" i="2"/>
  <c r="C2269" i="2"/>
  <c r="C2268" i="2"/>
  <c r="C2267" i="2"/>
  <c r="C2266" i="2"/>
  <c r="C2265" i="2"/>
  <c r="C2262" i="2"/>
  <c r="C2260" i="2"/>
  <c r="J2255" i="2"/>
  <c r="I2255" i="2"/>
  <c r="H2255" i="2"/>
  <c r="C2254" i="2"/>
  <c r="C2253" i="2"/>
  <c r="C2250" i="2"/>
  <c r="C2248" i="2"/>
  <c r="J2243" i="2"/>
  <c r="I2243" i="2"/>
  <c r="H2243" i="2"/>
  <c r="C2242" i="2"/>
  <c r="C2239" i="2"/>
  <c r="C2237" i="2"/>
  <c r="J2232" i="2"/>
  <c r="I2232" i="2"/>
  <c r="H2232" i="2"/>
  <c r="C2231" i="2"/>
  <c r="C2230" i="2"/>
  <c r="C2227" i="2"/>
  <c r="C2225" i="2"/>
  <c r="J2220" i="2"/>
  <c r="I2220" i="2"/>
  <c r="H2220" i="2"/>
  <c r="C2219" i="2"/>
  <c r="C2218" i="2"/>
  <c r="C2217" i="2"/>
  <c r="C2214" i="2"/>
  <c r="C2212" i="2"/>
  <c r="J2207" i="2"/>
  <c r="I2207" i="2"/>
  <c r="H2207" i="2"/>
  <c r="C2206" i="2"/>
  <c r="C2205" i="2"/>
  <c r="C2204" i="2"/>
  <c r="C2203" i="2"/>
  <c r="C2202" i="2"/>
  <c r="C2201" i="2"/>
  <c r="C2200" i="2"/>
  <c r="C2199" i="2"/>
  <c r="C2198" i="2"/>
  <c r="C2197" i="2"/>
  <c r="C2194" i="2"/>
  <c r="C2192" i="2"/>
  <c r="J2187" i="2"/>
  <c r="I2187" i="2"/>
  <c r="H2187" i="2"/>
  <c r="C2186" i="2"/>
  <c r="C2183" i="2"/>
  <c r="C2181" i="2"/>
  <c r="J2176" i="2"/>
  <c r="I2176" i="2"/>
  <c r="H2176" i="2"/>
  <c r="C2175" i="2"/>
  <c r="C2172" i="2"/>
  <c r="C2170" i="2"/>
  <c r="J2165" i="2"/>
  <c r="I2165" i="2"/>
  <c r="H2165" i="2"/>
  <c r="C2164" i="2"/>
  <c r="C2161" i="2"/>
  <c r="C2159" i="2"/>
  <c r="J2154" i="2"/>
  <c r="I2154" i="2"/>
  <c r="H2154" i="2"/>
  <c r="C2153" i="2"/>
  <c r="C2152" i="2"/>
  <c r="C2151" i="2"/>
  <c r="C2148" i="2"/>
  <c r="C2146" i="2"/>
  <c r="J2141" i="2"/>
  <c r="I2141" i="2"/>
  <c r="H2141" i="2"/>
  <c r="C2140" i="2"/>
  <c r="C2139" i="2"/>
  <c r="C2138" i="2"/>
  <c r="C2137" i="2"/>
  <c r="C2136" i="2"/>
  <c r="C2135" i="2"/>
  <c r="C2134" i="2"/>
  <c r="C2133" i="2"/>
  <c r="C2132" i="2"/>
  <c r="C2131" i="2"/>
  <c r="C2128" i="2"/>
  <c r="C2126" i="2"/>
  <c r="J2121" i="2"/>
  <c r="I2121" i="2"/>
  <c r="H2121" i="2"/>
  <c r="C2120" i="2"/>
  <c r="C2119" i="2"/>
  <c r="C2118" i="2"/>
  <c r="C2117" i="2"/>
  <c r="C2114" i="2"/>
  <c r="C2112" i="2"/>
  <c r="J2107" i="2"/>
  <c r="I2107" i="2"/>
  <c r="H2107" i="2"/>
  <c r="C2106" i="2"/>
  <c r="C2105" i="2"/>
  <c r="C2104" i="2"/>
  <c r="C2103" i="2"/>
  <c r="C2100" i="2"/>
  <c r="C2098" i="2"/>
  <c r="J2093" i="2"/>
  <c r="I2093" i="2"/>
  <c r="H2093" i="2"/>
  <c r="C2092" i="2"/>
  <c r="C2091" i="2"/>
  <c r="C2090" i="2"/>
  <c r="C2089" i="2"/>
  <c r="C2088" i="2"/>
  <c r="C2085" i="2"/>
  <c r="C2083" i="2"/>
  <c r="J2078" i="2"/>
  <c r="I2078" i="2"/>
  <c r="H2078" i="2"/>
  <c r="C2077" i="2"/>
  <c r="C2076" i="2"/>
  <c r="C2075" i="2"/>
  <c r="C2074" i="2"/>
  <c r="C2071" i="2"/>
  <c r="C2069" i="2"/>
  <c r="J2064" i="2"/>
  <c r="I2064" i="2"/>
  <c r="H2064" i="2"/>
  <c r="C2063" i="2"/>
  <c r="C2062" i="2"/>
  <c r="C2059" i="2"/>
  <c r="C2057" i="2"/>
  <c r="J2052" i="2"/>
  <c r="I2052" i="2"/>
  <c r="H2052" i="2"/>
  <c r="C2051" i="2"/>
  <c r="C2050" i="2"/>
  <c r="C2049" i="2"/>
  <c r="C2048" i="2"/>
  <c r="C2047" i="2"/>
  <c r="C2046" i="2"/>
  <c r="C2043" i="2"/>
  <c r="C2041" i="2"/>
  <c r="J2036" i="2"/>
  <c r="I2036" i="2"/>
  <c r="H2036" i="2"/>
  <c r="C2035" i="2"/>
  <c r="C2034" i="2"/>
  <c r="C2033" i="2"/>
  <c r="C2032" i="2"/>
  <c r="C2031" i="2"/>
  <c r="C2030" i="2"/>
  <c r="C2029" i="2"/>
  <c r="C2028" i="2"/>
  <c r="C2027" i="2"/>
  <c r="C2026" i="2"/>
  <c r="C2025" i="2"/>
  <c r="C2024" i="2"/>
  <c r="C2023" i="2"/>
  <c r="C2022" i="2"/>
  <c r="C2021" i="2"/>
  <c r="C2020" i="2"/>
  <c r="C2019" i="2"/>
  <c r="C2018" i="2"/>
  <c r="C2017" i="2"/>
  <c r="C2016" i="2"/>
  <c r="C2015" i="2"/>
  <c r="C2014" i="2"/>
  <c r="C2013" i="2"/>
  <c r="C2012" i="2"/>
  <c r="C2011" i="2"/>
  <c r="C2010" i="2"/>
  <c r="C2007" i="2"/>
  <c r="C2005" i="2"/>
  <c r="J2000" i="2"/>
  <c r="I2000" i="2"/>
  <c r="H2000" i="2"/>
  <c r="C1999" i="2"/>
  <c r="C1998" i="2"/>
  <c r="C1997" i="2"/>
  <c r="C1996" i="2"/>
  <c r="C1995" i="2"/>
  <c r="C1992" i="2"/>
  <c r="C1990" i="2"/>
  <c r="J1985" i="2"/>
  <c r="I1985" i="2"/>
  <c r="H1985" i="2"/>
  <c r="C1984" i="2"/>
  <c r="C1983" i="2"/>
  <c r="C1982" i="2"/>
  <c r="C1981" i="2"/>
  <c r="C1980" i="2"/>
  <c r="C1979" i="2"/>
  <c r="C1976" i="2"/>
  <c r="C1974" i="2"/>
  <c r="J1969" i="2"/>
  <c r="I1969" i="2"/>
  <c r="H1969" i="2"/>
  <c r="C1968" i="2"/>
  <c r="C1967" i="2"/>
  <c r="C1966" i="2"/>
  <c r="C1965" i="2"/>
  <c r="C1964" i="2"/>
  <c r="C1963" i="2"/>
  <c r="C1960" i="2"/>
  <c r="C1958" i="2"/>
  <c r="J1953" i="2"/>
  <c r="I1953" i="2"/>
  <c r="H1953" i="2"/>
  <c r="C1952" i="2"/>
  <c r="C1951" i="2"/>
  <c r="C1950" i="2"/>
  <c r="C1949" i="2"/>
  <c r="C1948" i="2"/>
  <c r="C1947" i="2"/>
  <c r="C1946" i="2"/>
  <c r="C1945" i="2"/>
  <c r="C1944" i="2"/>
  <c r="C1943" i="2"/>
  <c r="C1942" i="2"/>
  <c r="C1941" i="2"/>
  <c r="C1940" i="2"/>
  <c r="C1939" i="2"/>
  <c r="C1938" i="2"/>
  <c r="C1937" i="2"/>
  <c r="C1936" i="2"/>
  <c r="C1935" i="2"/>
  <c r="C1934" i="2"/>
  <c r="C1933" i="2"/>
  <c r="C1930" i="2"/>
  <c r="C1928" i="2"/>
  <c r="J1923" i="2"/>
  <c r="I1923" i="2"/>
  <c r="H1923" i="2"/>
  <c r="C1922" i="2"/>
  <c r="C1919" i="2"/>
  <c r="C1917" i="2"/>
  <c r="J1912" i="2"/>
  <c r="I1912" i="2"/>
  <c r="H1912" i="2"/>
  <c r="C1911" i="2"/>
  <c r="C1910" i="2"/>
  <c r="C1909" i="2"/>
  <c r="C1908" i="2"/>
  <c r="C1905" i="2"/>
  <c r="C1903" i="2"/>
  <c r="J1898" i="2"/>
  <c r="I1898" i="2"/>
  <c r="H1898" i="2"/>
  <c r="C1897" i="2"/>
  <c r="C1894" i="2"/>
  <c r="C1892" i="2"/>
  <c r="J1887" i="2"/>
  <c r="I1887" i="2"/>
  <c r="H1887" i="2"/>
  <c r="C1886" i="2"/>
  <c r="C1885" i="2"/>
  <c r="C1884" i="2"/>
  <c r="C1883" i="2"/>
  <c r="C1880" i="2"/>
  <c r="C1878" i="2"/>
  <c r="J1873" i="2"/>
  <c r="I1873" i="2"/>
  <c r="H1873" i="2"/>
  <c r="C1872" i="2"/>
  <c r="C1871" i="2"/>
  <c r="C1870" i="2"/>
  <c r="C1869" i="2"/>
  <c r="C1868" i="2"/>
  <c r="C1867" i="2"/>
  <c r="C1866" i="2"/>
  <c r="C1865" i="2"/>
  <c r="C1864" i="2"/>
  <c r="C1863" i="2"/>
  <c r="C1862" i="2"/>
  <c r="C1861" i="2"/>
  <c r="C1860" i="2"/>
  <c r="C1859" i="2"/>
  <c r="C1858" i="2"/>
  <c r="C1857" i="2"/>
  <c r="C1856" i="2"/>
  <c r="C1855" i="2"/>
  <c r="C1854" i="2"/>
  <c r="C1853" i="2"/>
  <c r="C1852" i="2"/>
  <c r="C1851" i="2"/>
  <c r="C1850" i="2"/>
  <c r="C1849" i="2"/>
  <c r="C1848" i="2"/>
  <c r="C1847" i="2"/>
  <c r="C1846" i="2"/>
  <c r="C1845" i="2"/>
  <c r="C1844" i="2"/>
  <c r="C1843" i="2"/>
  <c r="C1842" i="2"/>
  <c r="C1841" i="2"/>
  <c r="C1840" i="2"/>
  <c r="C1839" i="2"/>
  <c r="C1838" i="2"/>
  <c r="C1837" i="2"/>
  <c r="C1836" i="2"/>
  <c r="C1833" i="2"/>
  <c r="C1831" i="2"/>
  <c r="J1826" i="2"/>
  <c r="I1826" i="2"/>
  <c r="H1826" i="2"/>
  <c r="C1825" i="2"/>
  <c r="C1824" i="2"/>
  <c r="C1823" i="2"/>
  <c r="C1822" i="2"/>
  <c r="C1821" i="2"/>
  <c r="C1820" i="2"/>
  <c r="C1819" i="2"/>
  <c r="C1818" i="2"/>
  <c r="C1817" i="2"/>
  <c r="C1816" i="2"/>
  <c r="C1815" i="2"/>
  <c r="C1814" i="2"/>
  <c r="C1813" i="2"/>
  <c r="C1812" i="2"/>
  <c r="C1811" i="2"/>
  <c r="C1810" i="2"/>
  <c r="C1809" i="2"/>
  <c r="C1808" i="2"/>
  <c r="C1807" i="2"/>
  <c r="C1806" i="2"/>
  <c r="C1805" i="2"/>
  <c r="C1804" i="2"/>
  <c r="C1803" i="2"/>
  <c r="C1802" i="2"/>
  <c r="C1801" i="2"/>
  <c r="C1800" i="2"/>
  <c r="C1799" i="2"/>
  <c r="C1798" i="2"/>
  <c r="C1797" i="2"/>
  <c r="C1796" i="2"/>
  <c r="C1795" i="2"/>
  <c r="C1794" i="2"/>
  <c r="C1793" i="2"/>
  <c r="C1792" i="2"/>
  <c r="C1791" i="2"/>
  <c r="C1790" i="2"/>
  <c r="C1789" i="2"/>
  <c r="C1788" i="2"/>
  <c r="C1787" i="2"/>
  <c r="C1786" i="2"/>
  <c r="C1785" i="2"/>
  <c r="C1784" i="2"/>
  <c r="C1783" i="2"/>
  <c r="C1782" i="2"/>
  <c r="C1779" i="2"/>
  <c r="C1777" i="2"/>
  <c r="J1772" i="2"/>
  <c r="I1772" i="2"/>
  <c r="H1772" i="2"/>
  <c r="C1771" i="2"/>
  <c r="C1770" i="2"/>
  <c r="C1767" i="2"/>
  <c r="C1765" i="2"/>
  <c r="J1760" i="2"/>
  <c r="I1760" i="2"/>
  <c r="H1760" i="2"/>
  <c r="C1759" i="2"/>
  <c r="C1758" i="2"/>
  <c r="C1757" i="2"/>
  <c r="C1756" i="2"/>
  <c r="C1753" i="2"/>
  <c r="C1751" i="2"/>
  <c r="J1746" i="2"/>
  <c r="I1746" i="2"/>
  <c r="H1746" i="2"/>
  <c r="C1745" i="2"/>
  <c r="C1744" i="2"/>
  <c r="C1743" i="2"/>
  <c r="C1742" i="2"/>
  <c r="C1741" i="2"/>
  <c r="C1740" i="2"/>
  <c r="C1739" i="2"/>
  <c r="C1738" i="2"/>
  <c r="C1737" i="2"/>
  <c r="C1736" i="2"/>
  <c r="C1735" i="2"/>
  <c r="C1734" i="2"/>
  <c r="C1733" i="2"/>
  <c r="C1732" i="2"/>
  <c r="C1731" i="2"/>
  <c r="C1730" i="2"/>
  <c r="C1729" i="2"/>
  <c r="C1728" i="2"/>
  <c r="C1727" i="2"/>
  <c r="C1726" i="2"/>
  <c r="C1725" i="2"/>
  <c r="C1724" i="2"/>
  <c r="C1723" i="2"/>
  <c r="C1722" i="2"/>
  <c r="C1721" i="2"/>
  <c r="C1720" i="2"/>
  <c r="C1719" i="2"/>
  <c r="C1718" i="2"/>
  <c r="C1717" i="2"/>
  <c r="C1716" i="2"/>
  <c r="C1715" i="2"/>
  <c r="C1714" i="2"/>
  <c r="C1713" i="2"/>
  <c r="C1712" i="2"/>
  <c r="C1711" i="2"/>
  <c r="C1710" i="2"/>
  <c r="C1709" i="2"/>
  <c r="C1708" i="2"/>
  <c r="C1707" i="2"/>
  <c r="C1706" i="2"/>
  <c r="C1705" i="2"/>
  <c r="C1704" i="2"/>
  <c r="C1703" i="2"/>
  <c r="C1702" i="2"/>
  <c r="C1701" i="2"/>
  <c r="C1700" i="2"/>
  <c r="C1699" i="2"/>
  <c r="C1698" i="2"/>
  <c r="C1695" i="2"/>
  <c r="C1693" i="2"/>
  <c r="J1688" i="2"/>
  <c r="I1688" i="2"/>
  <c r="H1688" i="2"/>
  <c r="C1687" i="2"/>
  <c r="C1686" i="2"/>
  <c r="C1685" i="2"/>
  <c r="C1684" i="2"/>
  <c r="C1683" i="2"/>
  <c r="C1682" i="2"/>
  <c r="C1681" i="2"/>
  <c r="C1680" i="2"/>
  <c r="C1679" i="2"/>
  <c r="C1678" i="2"/>
  <c r="C1677" i="2"/>
  <c r="C1676" i="2"/>
  <c r="C1675" i="2"/>
  <c r="C1674" i="2"/>
  <c r="C1673" i="2"/>
  <c r="C1672" i="2"/>
  <c r="C1671" i="2"/>
  <c r="C1670" i="2"/>
  <c r="C1669" i="2"/>
  <c r="C1668" i="2"/>
  <c r="C1667" i="2"/>
  <c r="C1666" i="2"/>
  <c r="C1665" i="2"/>
  <c r="C1664" i="2"/>
  <c r="C1663" i="2"/>
  <c r="C1662" i="2"/>
  <c r="C1661" i="2"/>
  <c r="C1660" i="2"/>
  <c r="C1659" i="2"/>
  <c r="C1658" i="2"/>
  <c r="C1657" i="2"/>
  <c r="C1656" i="2"/>
  <c r="C1655" i="2"/>
  <c r="C1654" i="2"/>
  <c r="C1653" i="2"/>
  <c r="C1652" i="2"/>
  <c r="C1651" i="2"/>
  <c r="C1650" i="2"/>
  <c r="C1649" i="2"/>
  <c r="C1648" i="2"/>
  <c r="C1647" i="2"/>
  <c r="C1646" i="2"/>
  <c r="C1645" i="2"/>
  <c r="C1644" i="2"/>
  <c r="C1643" i="2"/>
  <c r="C1642" i="2"/>
  <c r="C1641" i="2"/>
  <c r="C1640" i="2"/>
  <c r="C1637" i="2"/>
  <c r="C1635" i="2"/>
  <c r="J1630" i="2"/>
  <c r="I1630" i="2"/>
  <c r="H1630" i="2"/>
  <c r="C1629" i="2"/>
  <c r="C1628" i="2"/>
  <c r="C1627" i="2"/>
  <c r="C1626" i="2"/>
  <c r="C1625" i="2"/>
  <c r="C1624" i="2"/>
  <c r="C1623" i="2"/>
  <c r="C1622" i="2"/>
  <c r="C1621" i="2"/>
  <c r="C1620" i="2"/>
  <c r="C1619" i="2"/>
  <c r="C1618" i="2"/>
  <c r="C1617" i="2"/>
  <c r="C1616" i="2"/>
  <c r="C1615" i="2"/>
  <c r="C1614" i="2"/>
  <c r="C1613" i="2"/>
  <c r="C1612" i="2"/>
  <c r="C1611" i="2"/>
  <c r="C1610" i="2"/>
  <c r="C1609" i="2"/>
  <c r="C1608" i="2"/>
  <c r="C1607" i="2"/>
  <c r="C1606" i="2"/>
  <c r="C1605" i="2"/>
  <c r="C1604" i="2"/>
  <c r="C1603" i="2"/>
  <c r="C1602" i="2"/>
  <c r="C1601" i="2"/>
  <c r="C1600" i="2"/>
  <c r="C1599" i="2"/>
  <c r="C1598" i="2"/>
  <c r="C1597" i="2"/>
  <c r="C1596" i="2"/>
  <c r="C1595" i="2"/>
  <c r="C1594" i="2"/>
  <c r="C1593" i="2"/>
  <c r="C1592" i="2"/>
  <c r="C1591" i="2"/>
  <c r="C1590" i="2"/>
  <c r="C1589" i="2"/>
  <c r="C1588" i="2"/>
  <c r="C1587" i="2"/>
  <c r="C1586" i="2"/>
  <c r="C1585" i="2"/>
  <c r="C1584" i="2"/>
  <c r="C1583" i="2"/>
  <c r="C1582" i="2"/>
  <c r="C1581" i="2"/>
  <c r="C1580" i="2"/>
  <c r="C1579" i="2"/>
  <c r="C1578" i="2"/>
  <c r="C1575" i="2"/>
  <c r="C1573" i="2"/>
  <c r="J1568" i="2"/>
  <c r="I1568" i="2"/>
  <c r="H1568" i="2"/>
  <c r="C1567" i="2"/>
  <c r="C1566" i="2"/>
  <c r="C1565" i="2"/>
  <c r="C1564" i="2"/>
  <c r="C1563" i="2"/>
  <c r="C1562" i="2"/>
  <c r="C1561" i="2"/>
  <c r="C1560" i="2"/>
  <c r="C1559" i="2"/>
  <c r="C1558" i="2"/>
  <c r="C1557" i="2"/>
  <c r="C1556" i="2"/>
  <c r="C1555" i="2"/>
  <c r="C1554" i="2"/>
  <c r="C1553" i="2"/>
  <c r="C1552" i="2"/>
  <c r="C1551" i="2"/>
  <c r="C1550" i="2"/>
  <c r="C1549" i="2"/>
  <c r="C1548" i="2"/>
  <c r="C1547" i="2"/>
  <c r="C1546" i="2"/>
  <c r="C1545" i="2"/>
  <c r="C1544" i="2"/>
  <c r="C1543" i="2"/>
  <c r="C1542" i="2"/>
  <c r="C1541" i="2"/>
  <c r="C1540" i="2"/>
  <c r="C1539" i="2"/>
  <c r="C1538" i="2"/>
  <c r="C1537" i="2"/>
  <c r="C1536" i="2"/>
  <c r="C1535" i="2"/>
  <c r="C1534" i="2"/>
  <c r="C1533" i="2"/>
  <c r="C1532" i="2"/>
  <c r="C1531" i="2"/>
  <c r="C1530" i="2"/>
  <c r="C1529" i="2"/>
  <c r="C1528" i="2"/>
  <c r="C1527" i="2"/>
  <c r="C1526" i="2"/>
  <c r="C1525" i="2"/>
  <c r="C1524" i="2"/>
  <c r="C1523" i="2"/>
  <c r="C1522" i="2"/>
  <c r="C1521" i="2"/>
  <c r="C1520" i="2"/>
  <c r="C1519" i="2"/>
  <c r="C1518" i="2"/>
  <c r="C1517" i="2"/>
  <c r="C1516" i="2"/>
  <c r="C1515" i="2"/>
  <c r="C1514" i="2"/>
  <c r="C1513" i="2"/>
  <c r="C1512" i="2"/>
  <c r="C1511" i="2"/>
  <c r="C1510" i="2"/>
  <c r="C1509" i="2"/>
  <c r="C1508" i="2"/>
  <c r="C1507" i="2"/>
  <c r="C1506" i="2"/>
  <c r="C1505" i="2"/>
  <c r="C1502" i="2"/>
  <c r="C1500" i="2"/>
  <c r="J1495" i="2"/>
  <c r="I1495" i="2"/>
  <c r="H1495" i="2"/>
  <c r="C1494" i="2"/>
  <c r="C1493" i="2"/>
  <c r="C1492" i="2"/>
  <c r="C1489" i="2"/>
  <c r="C1487" i="2"/>
  <c r="J1482" i="2"/>
  <c r="I1482" i="2"/>
  <c r="H1482" i="2"/>
  <c r="C1481" i="2"/>
  <c r="C1480" i="2"/>
  <c r="C1479" i="2"/>
  <c r="C1476" i="2"/>
  <c r="C1474" i="2"/>
  <c r="J1469" i="2"/>
  <c r="I1469" i="2"/>
  <c r="H1469" i="2"/>
  <c r="C1468" i="2"/>
  <c r="C1465" i="2"/>
  <c r="C1463" i="2"/>
  <c r="J1458" i="2"/>
  <c r="I1458" i="2"/>
  <c r="H1458" i="2"/>
  <c r="C1457" i="2"/>
  <c r="C1454" i="2"/>
  <c r="C1452" i="2"/>
  <c r="J1447" i="2"/>
  <c r="I1447" i="2"/>
  <c r="H1447" i="2"/>
  <c r="C1446" i="2"/>
  <c r="C1445" i="2"/>
  <c r="C1444" i="2"/>
  <c r="C1443" i="2"/>
  <c r="C1442" i="2"/>
  <c r="C1441" i="2"/>
  <c r="C1440" i="2"/>
  <c r="C1439" i="2"/>
  <c r="C1438" i="2"/>
  <c r="C1437" i="2"/>
  <c r="C1436" i="2"/>
  <c r="C1433" i="2"/>
  <c r="C1431" i="2"/>
  <c r="J1426" i="2"/>
  <c r="I1426" i="2"/>
  <c r="H1426" i="2"/>
  <c r="C1425" i="2"/>
  <c r="C1424" i="2"/>
  <c r="C1423" i="2"/>
  <c r="C1422" i="2"/>
  <c r="C1421" i="2"/>
  <c r="C1420" i="2"/>
  <c r="C1419" i="2"/>
  <c r="C1418" i="2"/>
  <c r="C1417" i="2"/>
  <c r="C1416" i="2"/>
  <c r="C1415" i="2"/>
  <c r="C1414" i="2"/>
  <c r="C1413" i="2"/>
  <c r="C1412" i="2"/>
  <c r="C1411" i="2"/>
  <c r="C1410" i="2"/>
  <c r="C1407" i="2"/>
  <c r="C1405" i="2"/>
  <c r="J1400" i="2"/>
  <c r="I1400" i="2"/>
  <c r="H1400" i="2"/>
  <c r="C1399" i="2"/>
  <c r="C1396" i="2"/>
  <c r="C1394" i="2"/>
  <c r="J1389" i="2"/>
  <c r="I1389" i="2"/>
  <c r="H1389" i="2"/>
  <c r="C1388" i="2"/>
  <c r="C1387" i="2"/>
  <c r="C1384" i="2"/>
  <c r="C1382" i="2"/>
  <c r="J1377" i="2"/>
  <c r="I1377" i="2"/>
  <c r="H1377" i="2"/>
  <c r="C1376" i="2"/>
  <c r="C1375" i="2"/>
  <c r="C1374" i="2"/>
  <c r="C1373" i="2"/>
  <c r="C1372" i="2"/>
  <c r="C1369" i="2"/>
  <c r="C1367" i="2"/>
  <c r="J1362" i="2"/>
  <c r="I1362" i="2"/>
  <c r="H1362" i="2"/>
  <c r="C1361" i="2"/>
  <c r="C1360" i="2"/>
  <c r="C1359" i="2"/>
  <c r="C1356" i="2"/>
  <c r="C1354" i="2"/>
  <c r="J1349" i="2"/>
  <c r="I1349" i="2"/>
  <c r="H1349" i="2"/>
  <c r="C1348" i="2"/>
  <c r="C1347" i="2"/>
  <c r="C1346" i="2"/>
  <c r="C1345" i="2"/>
  <c r="C1344" i="2"/>
  <c r="C1343" i="2"/>
  <c r="C1342" i="2"/>
  <c r="C1341" i="2"/>
  <c r="C1340" i="2"/>
  <c r="C1339" i="2"/>
  <c r="C1338" i="2"/>
  <c r="C1335" i="2"/>
  <c r="C1333" i="2"/>
  <c r="J1328" i="2"/>
  <c r="I1328" i="2"/>
  <c r="H1328" i="2"/>
  <c r="C1327" i="2"/>
  <c r="C1326" i="2"/>
  <c r="C1325" i="2"/>
  <c r="C1324" i="2"/>
  <c r="C1323" i="2"/>
  <c r="C1322" i="2"/>
  <c r="C1321" i="2"/>
  <c r="C1320" i="2"/>
  <c r="C1319" i="2"/>
  <c r="C1316" i="2"/>
  <c r="C1314" i="2"/>
  <c r="J1309" i="2"/>
  <c r="I1309" i="2"/>
  <c r="H1309" i="2"/>
  <c r="C1308" i="2"/>
  <c r="C1307" i="2"/>
  <c r="C1306" i="2"/>
  <c r="C1305" i="2"/>
  <c r="C1302" i="2"/>
  <c r="C1300" i="2"/>
  <c r="J1295" i="2"/>
  <c r="I1295" i="2"/>
  <c r="H1295" i="2"/>
  <c r="C1294" i="2"/>
  <c r="C1293" i="2"/>
  <c r="C1292" i="2"/>
  <c r="C1289" i="2"/>
  <c r="C1287" i="2"/>
  <c r="J1282" i="2"/>
  <c r="I1282" i="2"/>
  <c r="H1282" i="2"/>
  <c r="C1281" i="2"/>
  <c r="C1278" i="2"/>
  <c r="C1276" i="2"/>
  <c r="J1271" i="2"/>
  <c r="I1271" i="2"/>
  <c r="H1271" i="2"/>
  <c r="C1270" i="2"/>
  <c r="C1267" i="2"/>
  <c r="C1265" i="2"/>
  <c r="J1260" i="2"/>
  <c r="I1260" i="2"/>
  <c r="H1260" i="2"/>
  <c r="C1259" i="2"/>
  <c r="C1258" i="2"/>
  <c r="C1255" i="2"/>
  <c r="C1253" i="2"/>
  <c r="J1248" i="2"/>
  <c r="I1248" i="2"/>
  <c r="H1248" i="2"/>
  <c r="C1247" i="2"/>
  <c r="C1246" i="2"/>
  <c r="C1243" i="2"/>
  <c r="C1241" i="2"/>
  <c r="J1236" i="2"/>
  <c r="I1236" i="2"/>
  <c r="H1236" i="2"/>
  <c r="C1235" i="2"/>
  <c r="C1234" i="2"/>
  <c r="C1233" i="2"/>
  <c r="C1230" i="2"/>
  <c r="C1228" i="2"/>
  <c r="J1223" i="2"/>
  <c r="I1223" i="2"/>
  <c r="H1223" i="2"/>
  <c r="C1222" i="2"/>
  <c r="C1221" i="2"/>
  <c r="C1220" i="2"/>
  <c r="C1217" i="2"/>
  <c r="C1215" i="2"/>
  <c r="J1210" i="2"/>
  <c r="I1210" i="2"/>
  <c r="H1210" i="2"/>
  <c r="C1209" i="2"/>
  <c r="C1208" i="2"/>
  <c r="C1207" i="2"/>
  <c r="C1204" i="2"/>
  <c r="C1202" i="2"/>
  <c r="J1197" i="2"/>
  <c r="I1197" i="2"/>
  <c r="H1197" i="2"/>
  <c r="C1196" i="2"/>
  <c r="C1195" i="2"/>
  <c r="C1194" i="2"/>
  <c r="C1193" i="2"/>
  <c r="C1192" i="2"/>
  <c r="C1191" i="2"/>
  <c r="C1190" i="2"/>
  <c r="C1189" i="2"/>
  <c r="C1188" i="2"/>
  <c r="C1185" i="2"/>
  <c r="C1183" i="2"/>
  <c r="J1178" i="2"/>
  <c r="I1178" i="2"/>
  <c r="H1178" i="2"/>
  <c r="C1177" i="2"/>
  <c r="C1174" i="2"/>
  <c r="C1172" i="2"/>
  <c r="J1167" i="2"/>
  <c r="I1167" i="2"/>
  <c r="H1167" i="2"/>
  <c r="C1166" i="2"/>
  <c r="C1165" i="2"/>
  <c r="C1164" i="2"/>
  <c r="C1163" i="2"/>
  <c r="C1162" i="2"/>
  <c r="C1161" i="2"/>
  <c r="C1160" i="2"/>
  <c r="C1159" i="2"/>
  <c r="C1158" i="2"/>
  <c r="C1157" i="2"/>
  <c r="C1156" i="2"/>
  <c r="C1155" i="2"/>
  <c r="C1154" i="2"/>
  <c r="C1153" i="2"/>
  <c r="C1152" i="2"/>
  <c r="C1149" i="2"/>
  <c r="C1147" i="2"/>
  <c r="J1142" i="2"/>
  <c r="I1142" i="2"/>
  <c r="H1142" i="2"/>
  <c r="C1141" i="2"/>
  <c r="C1140" i="2"/>
  <c r="C1139" i="2"/>
  <c r="C1138" i="2"/>
  <c r="C1137" i="2"/>
  <c r="C1136" i="2"/>
  <c r="C1135" i="2"/>
  <c r="C1134" i="2"/>
  <c r="C1133" i="2"/>
  <c r="C1132" i="2"/>
  <c r="C1131" i="2"/>
  <c r="C1130" i="2"/>
  <c r="C1129" i="2"/>
  <c r="C1128" i="2"/>
  <c r="C1127" i="2"/>
  <c r="C1126" i="2"/>
  <c r="C1125" i="2"/>
  <c r="C1124" i="2"/>
  <c r="C1123" i="2"/>
  <c r="C1122" i="2"/>
  <c r="C1121" i="2"/>
  <c r="C1120" i="2"/>
  <c r="C1119" i="2"/>
  <c r="C1116" i="2"/>
  <c r="C1114" i="2"/>
  <c r="J1109" i="2"/>
  <c r="I1109" i="2"/>
  <c r="H1109" i="2"/>
  <c r="C1108" i="2"/>
  <c r="C1107" i="2"/>
  <c r="C1106" i="2"/>
  <c r="C1105" i="2"/>
  <c r="C1104" i="2"/>
  <c r="C1103" i="2"/>
  <c r="C1102" i="2"/>
  <c r="C1101" i="2"/>
  <c r="C1100" i="2"/>
  <c r="C1099" i="2"/>
  <c r="C1098" i="2"/>
  <c r="C1097" i="2"/>
  <c r="C1096" i="2"/>
  <c r="C1095" i="2"/>
  <c r="C1094" i="2"/>
  <c r="C1093" i="2"/>
  <c r="C1092" i="2"/>
  <c r="C1091" i="2"/>
  <c r="C1090" i="2"/>
  <c r="C1089" i="2"/>
  <c r="C1088" i="2"/>
  <c r="C1087" i="2"/>
  <c r="C1086" i="2"/>
  <c r="C1085" i="2"/>
  <c r="C1084" i="2"/>
  <c r="C1083" i="2"/>
  <c r="C1082" i="2"/>
  <c r="C1081" i="2"/>
  <c r="C1080" i="2"/>
  <c r="C1079" i="2"/>
  <c r="C1078" i="2"/>
  <c r="C1077" i="2"/>
  <c r="C1076" i="2"/>
  <c r="C1075" i="2"/>
  <c r="C1074" i="2"/>
  <c r="C1073" i="2"/>
  <c r="C1072" i="2"/>
  <c r="C1071" i="2"/>
  <c r="C1070" i="2"/>
  <c r="C1069" i="2"/>
  <c r="C1068" i="2"/>
  <c r="C1067" i="2"/>
  <c r="C1066" i="2"/>
  <c r="C1065" i="2"/>
  <c r="C1064" i="2"/>
  <c r="C1063" i="2"/>
  <c r="C1062" i="2"/>
  <c r="C1061" i="2"/>
  <c r="C1060" i="2"/>
  <c r="C1059" i="2"/>
  <c r="C1058" i="2"/>
  <c r="C1057" i="2"/>
  <c r="C1056" i="2"/>
  <c r="C1055" i="2"/>
  <c r="C1054" i="2"/>
  <c r="C1053" i="2"/>
  <c r="C1052" i="2"/>
  <c r="C1051" i="2"/>
  <c r="C1050" i="2"/>
  <c r="C1049" i="2"/>
  <c r="C1048" i="2"/>
  <c r="C1047" i="2"/>
  <c r="C1046" i="2"/>
  <c r="C1045" i="2"/>
  <c r="C1044" i="2"/>
  <c r="C1043" i="2"/>
  <c r="C1042" i="2"/>
  <c r="C1041" i="2"/>
  <c r="C1040" i="2"/>
  <c r="C1039" i="2"/>
  <c r="C1038" i="2"/>
  <c r="C1037" i="2"/>
  <c r="C1036" i="2"/>
  <c r="C1035" i="2"/>
  <c r="C1034" i="2"/>
  <c r="C1033" i="2"/>
  <c r="C1032" i="2"/>
  <c r="C1031" i="2"/>
  <c r="C1030" i="2"/>
  <c r="C1029" i="2"/>
  <c r="C1028" i="2"/>
  <c r="C1027" i="2"/>
  <c r="C1026" i="2"/>
  <c r="C1025" i="2"/>
  <c r="C1024" i="2"/>
  <c r="C1023" i="2"/>
  <c r="C1022" i="2"/>
  <c r="C1021" i="2"/>
  <c r="C1020" i="2"/>
  <c r="C1017" i="2"/>
  <c r="C1015" i="2"/>
  <c r="J1010" i="2"/>
  <c r="I1010" i="2"/>
  <c r="H1010" i="2"/>
  <c r="C1009" i="2"/>
  <c r="C1008" i="2"/>
  <c r="C1005" i="2"/>
  <c r="C1003" i="2"/>
  <c r="J998" i="2"/>
  <c r="I998" i="2"/>
  <c r="H998" i="2"/>
  <c r="C997" i="2"/>
  <c r="C996" i="2"/>
  <c r="C993" i="2"/>
  <c r="C991" i="2"/>
  <c r="J986" i="2"/>
  <c r="I986" i="2"/>
  <c r="H986" i="2"/>
  <c r="C985" i="2"/>
  <c r="C984" i="2"/>
  <c r="C981" i="2"/>
  <c r="C979" i="2"/>
  <c r="J974" i="2"/>
  <c r="I974" i="2"/>
  <c r="H974" i="2"/>
  <c r="C973" i="2"/>
  <c r="C972" i="2"/>
  <c r="C971" i="2"/>
  <c r="C970" i="2"/>
  <c r="C969" i="2"/>
  <c r="C968" i="2"/>
  <c r="C967" i="2"/>
  <c r="C966" i="2"/>
  <c r="C965" i="2"/>
  <c r="C964" i="2"/>
  <c r="C963" i="2"/>
  <c r="C962" i="2"/>
  <c r="C959" i="2"/>
  <c r="C957" i="2"/>
  <c r="J952" i="2"/>
  <c r="I952" i="2"/>
  <c r="H952" i="2"/>
  <c r="C951" i="2"/>
  <c r="C950" i="2"/>
  <c r="C947" i="2"/>
  <c r="C945" i="2"/>
  <c r="J940" i="2"/>
  <c r="I940" i="2"/>
  <c r="H940" i="2"/>
  <c r="C939" i="2"/>
  <c r="C936" i="2"/>
  <c r="C934" i="2"/>
  <c r="J929" i="2"/>
  <c r="I929" i="2"/>
  <c r="H929" i="2"/>
  <c r="C928" i="2"/>
  <c r="C927" i="2"/>
  <c r="C926" i="2"/>
  <c r="C923" i="2"/>
  <c r="C921" i="2"/>
  <c r="J916" i="2"/>
  <c r="I916" i="2"/>
  <c r="H916" i="2"/>
  <c r="C915" i="2"/>
  <c r="C912" i="2"/>
  <c r="C910" i="2"/>
  <c r="J905" i="2"/>
  <c r="I905" i="2"/>
  <c r="H905" i="2"/>
  <c r="C904" i="2"/>
  <c r="C903" i="2"/>
  <c r="C900" i="2"/>
  <c r="C898" i="2"/>
  <c r="J893" i="2"/>
  <c r="I893" i="2"/>
  <c r="H893" i="2"/>
  <c r="C892" i="2"/>
  <c r="C891" i="2"/>
  <c r="C890" i="2"/>
  <c r="C889" i="2"/>
  <c r="C888" i="2"/>
  <c r="C887" i="2"/>
  <c r="C884" i="2"/>
  <c r="C882" i="2"/>
  <c r="J877" i="2"/>
  <c r="I877" i="2"/>
  <c r="H877" i="2"/>
  <c r="C876" i="2"/>
  <c r="C875" i="2"/>
  <c r="C872" i="2"/>
  <c r="C870" i="2"/>
  <c r="J865" i="2"/>
  <c r="I865" i="2"/>
  <c r="H865" i="2"/>
  <c r="C864" i="2"/>
  <c r="C863" i="2"/>
  <c r="C862" i="2"/>
  <c r="C861" i="2"/>
  <c r="C860" i="2"/>
  <c r="C859" i="2"/>
  <c r="C858" i="2"/>
  <c r="C857" i="2"/>
  <c r="C856" i="2"/>
  <c r="C855" i="2"/>
  <c r="C854" i="2"/>
  <c r="C853" i="2"/>
  <c r="C852" i="2"/>
  <c r="C849" i="2"/>
  <c r="C847" i="2"/>
  <c r="J842" i="2"/>
  <c r="I842" i="2"/>
  <c r="H842" i="2"/>
  <c r="C841" i="2"/>
  <c r="C838" i="2"/>
  <c r="C836" i="2"/>
  <c r="J831" i="2"/>
  <c r="I831" i="2"/>
  <c r="H831" i="2"/>
  <c r="C830" i="2"/>
  <c r="C829" i="2"/>
  <c r="C828" i="2"/>
  <c r="C825" i="2"/>
  <c r="C823" i="2"/>
  <c r="J818" i="2"/>
  <c r="I818" i="2"/>
  <c r="H818" i="2"/>
  <c r="C817" i="2"/>
  <c r="C814" i="2"/>
  <c r="C812" i="2"/>
  <c r="J807" i="2"/>
  <c r="I807" i="2"/>
  <c r="H807" i="2"/>
  <c r="C806" i="2"/>
  <c r="C803" i="2"/>
  <c r="C801" i="2"/>
  <c r="J796" i="2"/>
  <c r="I796" i="2"/>
  <c r="H796" i="2"/>
  <c r="C795" i="2"/>
  <c r="C794" i="2"/>
  <c r="C793" i="2"/>
  <c r="C790" i="2"/>
  <c r="C788" i="2"/>
  <c r="J783" i="2"/>
  <c r="I783" i="2"/>
  <c r="H783" i="2"/>
  <c r="C782" i="2"/>
  <c r="C781" i="2"/>
  <c r="C780" i="2"/>
  <c r="C777" i="2"/>
  <c r="C775" i="2"/>
  <c r="J770" i="2"/>
  <c r="I770" i="2"/>
  <c r="H770" i="2"/>
  <c r="C769" i="2"/>
  <c r="C768" i="2"/>
  <c r="C765" i="2"/>
  <c r="C763" i="2"/>
  <c r="J758" i="2"/>
  <c r="I758" i="2"/>
  <c r="H758" i="2"/>
  <c r="C757" i="2"/>
  <c r="C754" i="2"/>
  <c r="C752" i="2"/>
  <c r="J747" i="2"/>
  <c r="I747" i="2"/>
  <c r="H747" i="2"/>
  <c r="C746" i="2"/>
  <c r="C745" i="2"/>
  <c r="C742" i="2"/>
  <c r="C740" i="2"/>
  <c r="J735" i="2"/>
  <c r="I735" i="2"/>
  <c r="H735" i="2"/>
  <c r="C734" i="2"/>
  <c r="C731" i="2"/>
  <c r="C729" i="2"/>
  <c r="J724" i="2"/>
  <c r="I724" i="2"/>
  <c r="H724" i="2"/>
  <c r="C723" i="2"/>
  <c r="C722" i="2"/>
  <c r="C719" i="2"/>
  <c r="C717" i="2"/>
  <c r="J712" i="2"/>
  <c r="I712" i="2"/>
  <c r="H712" i="2"/>
  <c r="C711" i="2"/>
  <c r="C710" i="2"/>
  <c r="C709" i="2"/>
  <c r="C706" i="2"/>
  <c r="C704" i="2"/>
  <c r="J699" i="2"/>
  <c r="I699" i="2"/>
  <c r="H699" i="2"/>
  <c r="C698" i="2"/>
  <c r="C697" i="2"/>
  <c r="C694" i="2"/>
  <c r="C692" i="2"/>
  <c r="J687" i="2"/>
  <c r="I687" i="2"/>
  <c r="H687" i="2"/>
  <c r="C686" i="2"/>
  <c r="C685" i="2"/>
  <c r="C682" i="2"/>
  <c r="C680" i="2"/>
  <c r="J675" i="2"/>
  <c r="I675" i="2"/>
  <c r="H675" i="2"/>
  <c r="C674" i="2"/>
  <c r="C671" i="2"/>
  <c r="C669" i="2"/>
  <c r="J664" i="2"/>
  <c r="I664" i="2"/>
  <c r="H664" i="2"/>
  <c r="C663" i="2"/>
  <c r="C660" i="2"/>
  <c r="C658" i="2"/>
  <c r="J653" i="2"/>
  <c r="I653" i="2"/>
  <c r="H653" i="2"/>
  <c r="C652" i="2"/>
  <c r="C651" i="2"/>
  <c r="C650" i="2"/>
  <c r="C649" i="2"/>
  <c r="C648" i="2"/>
  <c r="C647" i="2"/>
  <c r="C646" i="2"/>
  <c r="C645" i="2"/>
  <c r="C642" i="2"/>
  <c r="C640" i="2"/>
  <c r="J635" i="2"/>
  <c r="I635" i="2"/>
  <c r="H635" i="2"/>
  <c r="C634" i="2"/>
  <c r="C633" i="2"/>
  <c r="C632" i="2"/>
  <c r="C631" i="2"/>
  <c r="C630" i="2"/>
  <c r="C629" i="2"/>
  <c r="C628" i="2"/>
  <c r="C627" i="2"/>
  <c r="C626" i="2"/>
  <c r="C625" i="2"/>
  <c r="C624" i="2"/>
  <c r="C623" i="2"/>
  <c r="C620" i="2"/>
  <c r="C618" i="2"/>
  <c r="J613" i="2"/>
  <c r="I613" i="2"/>
  <c r="H613" i="2"/>
  <c r="C612" i="2"/>
  <c r="C611" i="2"/>
  <c r="C610" i="2"/>
  <c r="C609" i="2"/>
  <c r="C608" i="2"/>
  <c r="C607" i="2"/>
  <c r="C606" i="2"/>
  <c r="C605" i="2"/>
  <c r="C604" i="2"/>
  <c r="C603" i="2"/>
  <c r="C602" i="2"/>
  <c r="C601" i="2"/>
  <c r="C600" i="2"/>
  <c r="C599" i="2"/>
  <c r="C596" i="2"/>
  <c r="C594" i="2"/>
  <c r="J589" i="2"/>
  <c r="I589" i="2"/>
  <c r="H589" i="2"/>
  <c r="C588" i="2"/>
  <c r="C587" i="2"/>
  <c r="C586" i="2"/>
  <c r="C585" i="2"/>
  <c r="C584" i="2"/>
  <c r="C583" i="2"/>
  <c r="C582" i="2"/>
  <c r="C581" i="2"/>
  <c r="C580" i="2"/>
  <c r="C579" i="2"/>
  <c r="C578" i="2"/>
  <c r="C577" i="2"/>
  <c r="C574" i="2"/>
  <c r="C572" i="2"/>
  <c r="J567" i="2"/>
  <c r="I567" i="2"/>
  <c r="H567" i="2"/>
  <c r="C566" i="2"/>
  <c r="C565" i="2"/>
  <c r="C564" i="2"/>
  <c r="C563" i="2"/>
  <c r="C562" i="2"/>
  <c r="C561" i="2"/>
  <c r="C558" i="2"/>
  <c r="C556" i="2"/>
  <c r="J551" i="2"/>
  <c r="I551" i="2"/>
  <c r="H551" i="2"/>
  <c r="C550" i="2"/>
  <c r="C547" i="2"/>
  <c r="C545" i="2"/>
  <c r="J540" i="2"/>
  <c r="I540" i="2"/>
  <c r="H540" i="2"/>
  <c r="C539" i="2"/>
  <c r="C536" i="2"/>
  <c r="C534" i="2"/>
  <c r="J529" i="2"/>
  <c r="I529" i="2"/>
  <c r="H529" i="2"/>
  <c r="C528" i="2"/>
  <c r="C527" i="2"/>
  <c r="C526" i="2"/>
  <c r="C525" i="2"/>
  <c r="C524" i="2"/>
  <c r="C523" i="2"/>
  <c r="C520" i="2"/>
  <c r="C518" i="2"/>
  <c r="J513" i="2"/>
  <c r="I513" i="2"/>
  <c r="H513" i="2"/>
  <c r="C512" i="2"/>
  <c r="C511" i="2"/>
  <c r="C510" i="2"/>
  <c r="C509" i="2"/>
  <c r="C506" i="2"/>
  <c r="C504" i="2"/>
  <c r="J499" i="2"/>
  <c r="I499" i="2"/>
  <c r="H499" i="2"/>
  <c r="C498" i="2"/>
  <c r="C497" i="2"/>
  <c r="C496" i="2"/>
  <c r="C495" i="2"/>
  <c r="C494" i="2"/>
  <c r="C493" i="2"/>
  <c r="C492" i="2"/>
  <c r="C489" i="2"/>
  <c r="C487" i="2"/>
  <c r="J482" i="2"/>
  <c r="I482" i="2"/>
  <c r="H482" i="2"/>
  <c r="C481" i="2"/>
  <c r="C480" i="2"/>
  <c r="C479" i="2"/>
  <c r="C478" i="2"/>
  <c r="C477" i="2"/>
  <c r="C476" i="2"/>
  <c r="C475" i="2"/>
  <c r="C474" i="2"/>
  <c r="C473" i="2"/>
  <c r="C472" i="2"/>
  <c r="C469" i="2"/>
  <c r="C467" i="2"/>
  <c r="J462" i="2"/>
  <c r="I462" i="2"/>
  <c r="H462" i="2"/>
  <c r="C461" i="2"/>
  <c r="C458" i="2"/>
  <c r="C456" i="2"/>
  <c r="J451" i="2"/>
  <c r="I451" i="2"/>
  <c r="H451" i="2"/>
  <c r="C450" i="2"/>
  <c r="C449" i="2"/>
  <c r="C446" i="2"/>
  <c r="C444" i="2"/>
  <c r="J439" i="2"/>
  <c r="I439" i="2"/>
  <c r="H439" i="2"/>
  <c r="C438" i="2"/>
  <c r="C435" i="2"/>
  <c r="C433" i="2"/>
  <c r="J428" i="2"/>
  <c r="I428" i="2"/>
  <c r="H428" i="2"/>
  <c r="C427" i="2"/>
  <c r="C426" i="2"/>
  <c r="C425" i="2"/>
  <c r="C424" i="2"/>
  <c r="C423" i="2"/>
  <c r="C422" i="2"/>
  <c r="C419" i="2"/>
  <c r="C417" i="2"/>
  <c r="J412" i="2"/>
  <c r="I412" i="2"/>
  <c r="H412" i="2"/>
  <c r="C411" i="2"/>
  <c r="C410" i="2"/>
  <c r="C409" i="2"/>
  <c r="C406" i="2"/>
  <c r="C404" i="2"/>
  <c r="J399" i="2"/>
  <c r="I399" i="2"/>
  <c r="H399" i="2"/>
  <c r="C398" i="2"/>
  <c r="C395" i="2"/>
  <c r="C393" i="2"/>
  <c r="J388" i="2"/>
  <c r="I388" i="2"/>
  <c r="H388" i="2"/>
  <c r="C387" i="2"/>
  <c r="C384" i="2"/>
  <c r="C382" i="2"/>
  <c r="J377" i="2"/>
  <c r="I377" i="2"/>
  <c r="H377" i="2"/>
  <c r="C376" i="2"/>
  <c r="C373" i="2"/>
  <c r="C371" i="2"/>
  <c r="J366" i="2"/>
  <c r="I366" i="2"/>
  <c r="H366" i="2"/>
  <c r="C365" i="2"/>
  <c r="C362" i="2"/>
  <c r="C360" i="2"/>
  <c r="J355" i="2"/>
  <c r="I355" i="2"/>
  <c r="H355" i="2"/>
  <c r="C354" i="2"/>
  <c r="C351" i="2"/>
  <c r="C349" i="2"/>
  <c r="J344" i="2"/>
  <c r="I344" i="2"/>
  <c r="H344" i="2"/>
  <c r="C343" i="2"/>
  <c r="C342" i="2"/>
  <c r="C339" i="2"/>
  <c r="C337" i="2"/>
  <c r="J332" i="2"/>
  <c r="I332" i="2"/>
  <c r="H332" i="2"/>
  <c r="C331" i="2"/>
  <c r="C328" i="2"/>
  <c r="C326" i="2"/>
  <c r="J321" i="2"/>
  <c r="I321" i="2"/>
  <c r="H321" i="2"/>
  <c r="C320" i="2"/>
  <c r="C319" i="2"/>
  <c r="C316" i="2"/>
  <c r="C314" i="2"/>
  <c r="J309" i="2"/>
  <c r="I309" i="2"/>
  <c r="H309" i="2"/>
  <c r="C308" i="2"/>
  <c r="C305" i="2"/>
  <c r="C303" i="2"/>
  <c r="J298" i="2"/>
  <c r="I298" i="2"/>
  <c r="H298" i="2"/>
  <c r="C297" i="2"/>
  <c r="C294" i="2"/>
  <c r="C292" i="2"/>
  <c r="J287" i="2"/>
  <c r="I287" i="2"/>
  <c r="H287" i="2"/>
  <c r="C286" i="2"/>
  <c r="C285" i="2"/>
  <c r="C282" i="2"/>
  <c r="C280" i="2"/>
  <c r="J275" i="2"/>
  <c r="I275" i="2"/>
  <c r="H275" i="2"/>
  <c r="C274" i="2"/>
  <c r="C273" i="2"/>
  <c r="C270" i="2"/>
  <c r="C268" i="2"/>
  <c r="J263" i="2"/>
  <c r="I263" i="2"/>
  <c r="H263" i="2"/>
  <c r="C262" i="2"/>
  <c r="C261" i="2"/>
  <c r="C258" i="2"/>
  <c r="C256" i="2"/>
  <c r="J251" i="2"/>
  <c r="I251" i="2"/>
  <c r="H251" i="2"/>
  <c r="C250" i="2"/>
  <c r="C247" i="2"/>
  <c r="C245" i="2"/>
  <c r="J240" i="2"/>
  <c r="I240" i="2"/>
  <c r="H240" i="2"/>
  <c r="C239" i="2"/>
  <c r="C238" i="2"/>
  <c r="C237" i="2"/>
  <c r="C234" i="2"/>
  <c r="C232" i="2"/>
  <c r="J227" i="2"/>
  <c r="I227" i="2"/>
  <c r="H227" i="2"/>
  <c r="C226" i="2"/>
  <c r="C225" i="2"/>
  <c r="C224" i="2"/>
  <c r="C221" i="2"/>
  <c r="C219" i="2"/>
  <c r="J214" i="2"/>
  <c r="I214" i="2"/>
  <c r="H214" i="2"/>
  <c r="C213" i="2"/>
  <c r="C212" i="2"/>
  <c r="C211" i="2"/>
  <c r="C208" i="2"/>
  <c r="C206" i="2"/>
  <c r="J201" i="2"/>
  <c r="I201" i="2"/>
  <c r="H201" i="2"/>
  <c r="C200" i="2"/>
  <c r="C197" i="2"/>
  <c r="C195" i="2"/>
  <c r="J190" i="2"/>
  <c r="I190" i="2"/>
  <c r="H190" i="2"/>
  <c r="C189" i="2"/>
  <c r="C188" i="2"/>
  <c r="C187" i="2"/>
  <c r="C186" i="2"/>
  <c r="C185" i="2"/>
  <c r="C184" i="2"/>
  <c r="C183" i="2"/>
  <c r="C182" i="2"/>
  <c r="C181" i="2"/>
  <c r="C180" i="2"/>
  <c r="C179" i="2"/>
  <c r="C178" i="2"/>
  <c r="C177" i="2"/>
  <c r="C176" i="2"/>
  <c r="C175" i="2"/>
  <c r="C174" i="2"/>
  <c r="C173" i="2"/>
  <c r="C172" i="2"/>
  <c r="C171" i="2"/>
  <c r="C170" i="2"/>
  <c r="C169" i="2"/>
  <c r="C168" i="2"/>
  <c r="C167" i="2"/>
  <c r="C166" i="2"/>
  <c r="C165" i="2"/>
  <c r="C164" i="2"/>
  <c r="C163" i="2"/>
  <c r="C162" i="2"/>
  <c r="C161" i="2"/>
  <c r="C160" i="2"/>
  <c r="C159" i="2"/>
  <c r="C158" i="2"/>
  <c r="C157" i="2"/>
  <c r="C156" i="2"/>
  <c r="C155" i="2"/>
  <c r="C154" i="2"/>
  <c r="C153" i="2"/>
  <c r="C152" i="2"/>
  <c r="C151" i="2"/>
  <c r="C150" i="2"/>
  <c r="C149" i="2"/>
  <c r="C148" i="2"/>
  <c r="C147" i="2"/>
  <c r="C146" i="2"/>
  <c r="C145" i="2"/>
  <c r="C144" i="2"/>
  <c r="C143" i="2"/>
  <c r="C142" i="2"/>
  <c r="C141" i="2"/>
  <c r="C140" i="2"/>
  <c r="C139" i="2"/>
  <c r="C138" i="2"/>
  <c r="C137" i="2"/>
  <c r="C136" i="2"/>
  <c r="C135" i="2"/>
  <c r="C134" i="2"/>
  <c r="C133" i="2"/>
  <c r="C132" i="2"/>
  <c r="C131" i="2"/>
  <c r="C130" i="2"/>
  <c r="C129" i="2"/>
  <c r="C128" i="2"/>
  <c r="C127" i="2"/>
  <c r="C126" i="2"/>
  <c r="C125" i="2"/>
  <c r="C124" i="2"/>
  <c r="C123" i="2"/>
  <c r="C122" i="2"/>
  <c r="C121" i="2"/>
  <c r="C120" i="2"/>
  <c r="C119" i="2"/>
  <c r="C118" i="2"/>
  <c r="C117" i="2"/>
  <c r="C116" i="2"/>
  <c r="C115" i="2"/>
  <c r="C114" i="2"/>
  <c r="C113" i="2"/>
  <c r="C112" i="2"/>
  <c r="C111" i="2"/>
  <c r="C110" i="2"/>
  <c r="C109" i="2"/>
  <c r="C108" i="2"/>
  <c r="C107" i="2"/>
  <c r="C106" i="2"/>
  <c r="C105" i="2"/>
  <c r="C104" i="2"/>
  <c r="C103" i="2"/>
  <c r="C102" i="2"/>
  <c r="C101" i="2"/>
  <c r="C100" i="2"/>
  <c r="C99" i="2"/>
  <c r="C98" i="2"/>
  <c r="C97" i="2"/>
  <c r="C96" i="2"/>
  <c r="C95" i="2"/>
  <c r="C94" i="2"/>
  <c r="C93" i="2"/>
  <c r="C92" i="2"/>
  <c r="C91" i="2"/>
  <c r="C90" i="2"/>
  <c r="C89" i="2"/>
  <c r="C88" i="2"/>
  <c r="C87" i="2"/>
  <c r="C86" i="2"/>
  <c r="C85" i="2"/>
  <c r="C84" i="2"/>
  <c r="C83" i="2"/>
  <c r="C82" i="2"/>
  <c r="C81" i="2"/>
  <c r="C80" i="2"/>
  <c r="C79" i="2"/>
  <c r="C78" i="2"/>
  <c r="C77" i="2"/>
  <c r="C76" i="2"/>
  <c r="C75" i="2"/>
  <c r="C74" i="2"/>
  <c r="C73" i="2"/>
  <c r="C72" i="2"/>
  <c r="C71" i="2"/>
  <c r="C70" i="2"/>
  <c r="C69" i="2"/>
  <c r="C68" i="2"/>
  <c r="C67" i="2"/>
  <c r="C66" i="2"/>
  <c r="C65" i="2"/>
  <c r="C64" i="2"/>
  <c r="C63" i="2"/>
  <c r="C62" i="2"/>
  <c r="C61" i="2"/>
  <c r="C60" i="2"/>
  <c r="C59" i="2"/>
  <c r="C58" i="2"/>
  <c r="C57" i="2"/>
  <c r="C56" i="2"/>
  <c r="C55" i="2"/>
  <c r="C54" i="2"/>
  <c r="C53" i="2"/>
  <c r="C52" i="2"/>
  <c r="C51" i="2"/>
  <c r="C50" i="2"/>
  <c r="C49" i="2"/>
  <c r="C48" i="2"/>
  <c r="C47" i="2"/>
  <c r="C46" i="2"/>
  <c r="C45" i="2"/>
  <c r="C44" i="2"/>
  <c r="C43" i="2"/>
  <c r="C42" i="2"/>
  <c r="C41" i="2"/>
  <c r="C40" i="2"/>
  <c r="C39" i="2"/>
  <c r="C38" i="2"/>
  <c r="C37" i="2"/>
  <c r="C36" i="2"/>
  <c r="C35" i="2"/>
  <c r="C34" i="2"/>
  <c r="C33" i="2"/>
  <c r="C32" i="2"/>
  <c r="C31" i="2"/>
  <c r="C30" i="2"/>
  <c r="C29" i="2"/>
  <c r="C28" i="2"/>
  <c r="C27" i="2"/>
  <c r="C26" i="2"/>
  <c r="C25" i="2"/>
  <c r="C24" i="2"/>
  <c r="C23" i="2"/>
  <c r="C20" i="2"/>
  <c r="C18" i="2"/>
  <c r="B3" i="2"/>
  <c r="C39" i="1"/>
  <c r="C38" i="1"/>
  <c r="C36" i="1"/>
  <c r="C35" i="1"/>
  <c r="C34" i="1"/>
  <c r="C31" i="1"/>
  <c r="C20" i="1"/>
  <c r="C17" i="1"/>
  <c r="C14" i="1"/>
  <c r="C13" i="1"/>
  <c r="C12" i="1"/>
  <c r="C11" i="1"/>
  <c r="C10" i="1"/>
  <c r="C9" i="1"/>
  <c r="F5750" i="2"/>
  <c r="F5682" i="2"/>
  <c r="B5738" i="2"/>
  <c r="B5670" i="2"/>
  <c r="B5482" i="2"/>
  <c r="B5382" i="2"/>
  <c r="B5290" i="2"/>
  <c r="B5150" i="2"/>
  <c r="B4910" i="2"/>
  <c r="B4834" i="2"/>
  <c r="B5773" i="2"/>
  <c r="B5705" i="2"/>
  <c r="B5549" i="2"/>
  <c r="B5461" i="2"/>
  <c r="B5349" i="2"/>
  <c r="B5273" i="2"/>
  <c r="B5137" i="2"/>
  <c r="B4909" i="2"/>
  <c r="B4829" i="2"/>
  <c r="F5736" i="2"/>
  <c r="B5744" i="2"/>
  <c r="B5676" i="2"/>
  <c r="B5496" i="2"/>
  <c r="B5412" i="2"/>
  <c r="B5316" i="2"/>
  <c r="B5172" i="2"/>
  <c r="B5000" i="2"/>
  <c r="B4876" i="2"/>
  <c r="B4724" i="2"/>
  <c r="F5735" i="2"/>
  <c r="B5711" i="2"/>
  <c r="B5563" i="2"/>
  <c r="B5463" i="2"/>
  <c r="B5327" i="2"/>
  <c r="B5259" i="2"/>
  <c r="B5019" i="2"/>
  <c r="B4883" i="2"/>
  <c r="B4775" i="2"/>
  <c r="F5465" i="2"/>
  <c r="F5087" i="2"/>
  <c r="F5345" i="2"/>
  <c r="F5622" i="2"/>
  <c r="F5313" i="2"/>
  <c r="F5533" i="2"/>
  <c r="F5044" i="2"/>
  <c r="F5449" i="2"/>
  <c r="F5137" i="2"/>
  <c r="F5498" i="2"/>
  <c r="F5015" i="2"/>
  <c r="F5478" i="2"/>
  <c r="F5259" i="2"/>
  <c r="F4776" i="2"/>
  <c r="F4535" i="2"/>
  <c r="F4319" i="2"/>
  <c r="F4171" i="2"/>
  <c r="F4063" i="2"/>
  <c r="F3999" i="2"/>
  <c r="F3943" i="2"/>
  <c r="F3859" i="2"/>
  <c r="F5530" i="2"/>
  <c r="F5149" i="2"/>
  <c r="F5030" i="2"/>
  <c r="B4513" i="2"/>
  <c r="F4164" i="2"/>
  <c r="F4936" i="2"/>
  <c r="B4464" i="2"/>
  <c r="B4173" i="2"/>
  <c r="F4833" i="2"/>
  <c r="B4325" i="2"/>
  <c r="B4090" i="2"/>
  <c r="F4935" i="2"/>
  <c r="B4524" i="2"/>
  <c r="B4168" i="2"/>
  <c r="F5346" i="2"/>
  <c r="B4646" i="2"/>
  <c r="F5737" i="2"/>
  <c r="F4906" i="2"/>
  <c r="F4596" i="2"/>
  <c r="F4184" i="2"/>
  <c r="F5217" i="2"/>
  <c r="B4584" i="2"/>
  <c r="F4213" i="2"/>
  <c r="B4063" i="2"/>
  <c r="F3968" i="2"/>
  <c r="B3788" i="2"/>
  <c r="B3576" i="2"/>
  <c r="B3352" i="2"/>
  <c r="B3304" i="2"/>
  <c r="F4711" i="2"/>
  <c r="F4196" i="2"/>
  <c r="B3975" i="2"/>
  <c r="F5172" i="2"/>
  <c r="B4067" i="2"/>
  <c r="B3970" i="2"/>
  <c r="F5468" i="2"/>
  <c r="B4416" i="2"/>
  <c r="F4066" i="2"/>
  <c r="B3956" i="2"/>
  <c r="F5343" i="2"/>
  <c r="B4188" i="2"/>
  <c r="B3983" i="2"/>
  <c r="B3793" i="2"/>
  <c r="F4200" i="2"/>
  <c r="B3992" i="2"/>
  <c r="F5697" i="2"/>
  <c r="B4343" i="2"/>
  <c r="B4055" i="2"/>
  <c r="B3908" i="2"/>
  <c r="F4653" i="2"/>
  <c r="F4017" i="2"/>
  <c r="B3903" i="2"/>
  <c r="F3684" i="2"/>
  <c r="F3343" i="2"/>
  <c r="B3162" i="2"/>
  <c r="B2910" i="2"/>
  <c r="B2854" i="2"/>
  <c r="B2794" i="2"/>
  <c r="B2746" i="2"/>
  <c r="B2690" i="2"/>
  <c r="B2614" i="2"/>
  <c r="B2566" i="2"/>
  <c r="B2518" i="2"/>
  <c r="B2470" i="2"/>
  <c r="B2422" i="2"/>
  <c r="B2374" i="2"/>
  <c r="B2294" i="2"/>
  <c r="B2186" i="2"/>
  <c r="F5746" i="2"/>
  <c r="F5678" i="2"/>
  <c r="B5734" i="2"/>
  <c r="B5646" i="2"/>
  <c r="B5478" i="2"/>
  <c r="B5354" i="2"/>
  <c r="B5286" i="2"/>
  <c r="B5126" i="2"/>
  <c r="B4906" i="2"/>
  <c r="B4830" i="2"/>
  <c r="B5769" i="2"/>
  <c r="B5701" i="2"/>
  <c r="B5545" i="2"/>
  <c r="B5457" i="2"/>
  <c r="B5345" i="2"/>
  <c r="B5269" i="2"/>
  <c r="B5113" i="2"/>
  <c r="B4905" i="2"/>
  <c r="B4817" i="2"/>
  <c r="F5732" i="2"/>
  <c r="B5740" i="2"/>
  <c r="B5672" i="2"/>
  <c r="B5484" i="2"/>
  <c r="B5400" i="2"/>
  <c r="B5312" i="2"/>
  <c r="B5148" i="2"/>
  <c r="B4988" i="2"/>
  <c r="B4864" i="2"/>
  <c r="B4712" i="2"/>
  <c r="F5731" i="2"/>
  <c r="B5707" i="2"/>
  <c r="B5547" i="2"/>
  <c r="B5459" i="2"/>
  <c r="B5323" i="2"/>
  <c r="B5255" i="2"/>
  <c r="B5015" i="2"/>
  <c r="B4879" i="2"/>
  <c r="F5733" i="2"/>
  <c r="F5459" i="2"/>
  <c r="F5060" i="2"/>
  <c r="F5300" i="2"/>
  <c r="F5547" i="2"/>
  <c r="F5268" i="2"/>
  <c r="F5437" i="2"/>
  <c r="F5017" i="2"/>
  <c r="F5401" i="2"/>
  <c r="F5083" i="2"/>
  <c r="F5387" i="2"/>
  <c r="F4988" i="2"/>
  <c r="F5472" i="2"/>
  <c r="F5253" i="2"/>
  <c r="B4738" i="2"/>
  <c r="F4491" i="2"/>
  <c r="F4315" i="2"/>
  <c r="F4167" i="2"/>
  <c r="F4059" i="2"/>
  <c r="F3995" i="2"/>
  <c r="F3931" i="2"/>
  <c r="F3855" i="2"/>
  <c r="F5497" i="2"/>
  <c r="F5101" i="2"/>
  <c r="F5016" i="2"/>
  <c r="F4480" i="2"/>
  <c r="B4156" i="2"/>
  <c r="F4922" i="2"/>
  <c r="B4427" i="2"/>
  <c r="F4168" i="2"/>
  <c r="F4778" i="2"/>
  <c r="F4320" i="2"/>
  <c r="F4085" i="2"/>
  <c r="F4907" i="2"/>
  <c r="B4463" i="2"/>
  <c r="B4159" i="2"/>
  <c r="F5273" i="2"/>
  <c r="F4584" i="2"/>
  <c r="F5701" i="2"/>
  <c r="F4900" i="2"/>
  <c r="B4572" i="2"/>
  <c r="B4176" i="2"/>
  <c r="F5100" i="2"/>
  <c r="B4535" i="2"/>
  <c r="F4201" i="2"/>
  <c r="F4058" i="2"/>
  <c r="B3960" i="2"/>
  <c r="B3772" i="2"/>
  <c r="B3496" i="2"/>
  <c r="B3348" i="2"/>
  <c r="B3300" i="2"/>
  <c r="F4677" i="2"/>
  <c r="F4170" i="2"/>
  <c r="F3965" i="2"/>
  <c r="F4937" i="2"/>
  <c r="B4062" i="2"/>
  <c r="B3961" i="2"/>
  <c r="F4898" i="2"/>
  <c r="B4318" i="2"/>
  <c r="F4061" i="2"/>
  <c r="B3926" i="2"/>
  <c r="F5230" i="2"/>
  <c r="B4175" i="2"/>
  <c r="B3974" i="2"/>
  <c r="F3788" i="2"/>
  <c r="F4174" i="2"/>
  <c r="F3982" i="2"/>
  <c r="F5476" i="2"/>
  <c r="F4322" i="2"/>
  <c r="F4036" i="2"/>
  <c r="F3881" i="2"/>
  <c r="B4502" i="2"/>
  <c r="B4013" i="2"/>
  <c r="F3890" i="2"/>
  <c r="B3599" i="2"/>
  <c r="B3335" i="2"/>
  <c r="B3118" i="2"/>
  <c r="B2906" i="2"/>
  <c r="B2850" i="2"/>
  <c r="B2790" i="2"/>
  <c r="B2742" i="2"/>
  <c r="B2686" i="2"/>
  <c r="B2610" i="2"/>
  <c r="B2562" i="2"/>
  <c r="B2514" i="2"/>
  <c r="B2466" i="2"/>
  <c r="B2418" i="2"/>
  <c r="B2370" i="2"/>
  <c r="B2290" i="2"/>
  <c r="B2138" i="2"/>
  <c r="F5734" i="2"/>
  <c r="B5770" i="2"/>
  <c r="B5686" i="2"/>
  <c r="B5510" i="2"/>
  <c r="B5350" i="2"/>
  <c r="B5262" i="2"/>
  <c r="B5030" i="2"/>
  <c r="B4858" i="2"/>
  <c r="F9" i="5"/>
  <c r="B5697" i="2"/>
  <c r="B5513" i="2"/>
  <c r="B5413" i="2"/>
  <c r="B5297" i="2"/>
  <c r="B5161" i="2"/>
  <c r="B4901" i="2"/>
  <c r="B4773" i="2"/>
  <c r="F5704" i="2"/>
  <c r="B5704" i="2"/>
  <c r="B5516" i="2"/>
  <c r="B5384" i="2"/>
  <c r="B5292" i="2"/>
  <c r="B5060" i="2"/>
  <c r="B4904" i="2"/>
  <c r="B4772" i="2"/>
  <c r="B5771" i="2"/>
  <c r="B5683" i="2"/>
  <c r="B5499" i="2"/>
  <c r="B5355" i="2"/>
  <c r="B5267" i="2"/>
  <c r="B5003" i="2"/>
  <c r="B4859" i="2"/>
  <c r="F5549" i="2"/>
  <c r="F5264" i="2"/>
  <c r="F5384" i="2"/>
  <c r="F5514" i="2"/>
  <c r="F5229" i="2"/>
  <c r="F5299" i="2"/>
  <c r="F5473" i="2"/>
  <c r="F5254" i="2"/>
  <c r="F5381" i="2"/>
  <c r="F5711" i="2"/>
  <c r="F5367" i="2"/>
  <c r="F4875" i="2"/>
  <c r="F4583" i="2"/>
  <c r="F4303" i="2"/>
  <c r="F4155" i="2"/>
  <c r="F4031" i="2"/>
  <c r="F3967" i="2"/>
  <c r="F3875" i="2"/>
  <c r="F5413" i="2"/>
  <c r="F5705" i="2"/>
  <c r="F4834" i="2"/>
  <c r="F4190" i="2"/>
  <c r="F5324" i="2"/>
  <c r="F4382" i="2"/>
  <c r="F5589" i="2"/>
  <c r="B4618" i="2"/>
  <c r="B4164" i="2"/>
  <c r="F5072" i="2"/>
  <c r="B4382" i="2"/>
  <c r="F4089" i="2"/>
  <c r="F4852" i="2"/>
  <c r="B4341" i="2"/>
  <c r="F5263" i="2"/>
  <c r="B4560" i="2"/>
  <c r="B4154" i="2"/>
  <c r="F4831" i="2"/>
  <c r="B4319" i="2"/>
  <c r="F4088" i="2"/>
  <c r="B3943" i="2"/>
  <c r="B3748" i="2"/>
  <c r="B3388" i="2"/>
  <c r="B3320" i="2"/>
  <c r="F4850" i="2"/>
  <c r="F4158" i="2"/>
  <c r="B3910" i="2"/>
  <c r="F4380" i="2"/>
  <c r="F3988" i="2"/>
  <c r="B3848" i="2"/>
  <c r="B4270" i="2"/>
  <c r="B4038" i="2"/>
  <c r="F3856" i="2"/>
  <c r="B4380" i="2"/>
  <c r="B3997" i="2"/>
  <c r="F5709" i="2"/>
  <c r="B4084" i="2"/>
  <c r="F3929" i="2"/>
  <c r="B4723" i="2"/>
  <c r="F4065" i="2"/>
  <c r="F3872" i="2"/>
  <c r="B4200" i="2"/>
  <c r="B3982" i="2"/>
  <c r="F3766" i="2"/>
  <c r="B3357" i="2"/>
  <c r="B3094" i="2"/>
  <c r="B2894" i="2"/>
  <c r="B2830" i="2"/>
  <c r="B2762" i="2"/>
  <c r="B2698" i="2"/>
  <c r="B2606" i="2"/>
  <c r="B2550" i="2"/>
  <c r="B2494" i="2"/>
  <c r="B2438" i="2"/>
  <c r="B2382" i="2"/>
  <c r="B2286" i="2"/>
  <c r="B2106" i="2"/>
  <c r="F4749" i="2"/>
  <c r="F5398" i="2"/>
  <c r="F3966" i="2"/>
  <c r="F3392" i="2"/>
  <c r="B3315" i="2"/>
  <c r="B2893" i="2"/>
  <c r="F2789" i="2"/>
  <c r="F2694" i="2"/>
  <c r="F2587" i="2"/>
  <c r="F2504" i="2"/>
  <c r="F4513" i="2"/>
  <c r="B3790" i="2"/>
  <c r="F3382" i="2"/>
  <c r="B3140" i="2"/>
  <c r="F2849" i="2"/>
  <c r="B2759" i="2"/>
  <c r="B2660" i="2"/>
  <c r="B2561" i="2"/>
  <c r="F2482" i="2"/>
  <c r="F4877" i="2"/>
  <c r="B3854" i="2"/>
  <c r="F3576" i="2"/>
  <c r="B3342" i="2"/>
  <c r="F2918" i="2"/>
  <c r="F2827" i="2"/>
  <c r="F2736" i="2"/>
  <c r="B2613" i="2"/>
  <c r="F2534" i="2"/>
  <c r="F2451" i="2"/>
  <c r="B3980" i="2"/>
  <c r="B3695" i="2"/>
  <c r="F3341" i="2"/>
  <c r="F3004" i="2"/>
  <c r="F2844" i="2"/>
  <c r="F2753" i="2"/>
  <c r="B2655" i="2"/>
  <c r="B2556" i="2"/>
  <c r="F5532" i="2"/>
  <c r="F3880" i="2"/>
  <c r="B3386" i="2"/>
  <c r="F3228" i="2"/>
  <c r="F2878" i="2"/>
  <c r="F2779" i="2"/>
  <c r="F2688" i="2"/>
  <c r="B2573" i="2"/>
  <c r="F2494" i="2"/>
  <c r="F4029" i="2"/>
  <c r="B3637" i="2"/>
  <c r="F3345" i="2"/>
  <c r="F3105" i="2"/>
  <c r="B2857" i="2"/>
  <c r="F2770" i="2"/>
  <c r="F2679" i="2"/>
  <c r="B2564" i="2"/>
  <c r="B2481" i="2"/>
  <c r="B4059" i="2"/>
  <c r="B3761" i="2"/>
  <c r="F3340" i="2"/>
  <c r="F2933" i="2"/>
  <c r="B2835" i="2"/>
  <c r="B2744" i="2"/>
  <c r="B2616" i="2"/>
  <c r="B2533" i="2"/>
  <c r="F2454" i="2"/>
  <c r="F2371" i="2"/>
  <c r="B2151" i="2"/>
  <c r="B1999" i="2"/>
  <c r="B1883" i="2"/>
  <c r="B1815" i="2"/>
  <c r="B1739" i="2"/>
  <c r="B1683" i="2"/>
  <c r="B1623" i="2"/>
  <c r="B1567" i="2"/>
  <c r="B1519" i="2"/>
  <c r="B1387" i="2"/>
  <c r="B1235" i="2"/>
  <c r="B1119" i="2"/>
  <c r="B1063" i="2"/>
  <c r="B967" i="2"/>
  <c r="B855" i="2"/>
  <c r="F3962" i="2"/>
  <c r="F3414" i="2"/>
  <c r="F3312" i="2"/>
  <c r="B3048" i="2"/>
  <c r="B2839" i="2"/>
  <c r="B2748" i="2"/>
  <c r="B2620" i="2"/>
  <c r="B2537" i="2"/>
  <c r="F2458" i="2"/>
  <c r="B3015" i="2"/>
  <c r="F2742" i="2"/>
  <c r="B2473" i="2"/>
  <c r="F2383" i="2"/>
  <c r="B2265" i="2"/>
  <c r="B1968" i="2"/>
  <c r="F1841" i="2"/>
  <c r="F1718" i="2"/>
  <c r="B1616" i="2"/>
  <c r="B4012" i="2"/>
  <c r="F3353" i="2"/>
  <c r="B2696" i="2"/>
  <c r="F2446" i="2"/>
  <c r="F2307" i="2"/>
  <c r="F2017" i="2"/>
  <c r="F1845" i="2"/>
  <c r="F1731" i="2"/>
  <c r="F1628" i="2"/>
  <c r="F1537" i="2"/>
  <c r="F3329" i="2"/>
  <c r="F2733" i="2"/>
  <c r="F2465" i="2"/>
  <c r="B2369" i="2"/>
  <c r="F2135" i="2"/>
  <c r="F1979" i="2"/>
  <c r="B1816" i="2"/>
  <c r="B1684" i="2"/>
  <c r="B1589" i="2"/>
  <c r="B1437" i="2"/>
  <c r="B3353" i="2"/>
  <c r="B2808" i="2"/>
  <c r="B2440" i="2"/>
  <c r="F2328" i="2"/>
  <c r="B2140" i="2"/>
  <c r="B1937" i="2"/>
  <c r="F1793" i="2"/>
  <c r="B1666" i="2"/>
  <c r="B1580" i="2"/>
  <c r="B1441" i="2"/>
  <c r="F3696" i="2"/>
  <c r="F2597" i="2"/>
  <c r="F2428" i="2"/>
  <c r="F2354" i="2"/>
  <c r="B2047" i="2"/>
  <c r="F1844" i="2"/>
  <c r="F1721" i="2"/>
  <c r="F1618" i="2"/>
  <c r="F3709" i="2"/>
  <c r="B2777" i="2"/>
  <c r="F2544" i="2"/>
  <c r="F2404" i="2"/>
  <c r="B2289" i="2"/>
  <c r="B2076" i="2"/>
  <c r="F1911" i="2"/>
  <c r="F1759" i="2"/>
  <c r="F1656" i="2"/>
  <c r="F3672" i="2"/>
  <c r="F2609" i="2"/>
  <c r="F2265" i="2"/>
  <c r="B1857" i="2"/>
  <c r="F5730" i="2"/>
  <c r="B5766" i="2"/>
  <c r="B5682" i="2"/>
  <c r="B5498" i="2"/>
  <c r="B5346" i="2"/>
  <c r="B5258" i="2"/>
  <c r="B5018" i="2"/>
  <c r="B4854" i="2"/>
  <c r="B9" i="5"/>
  <c r="B5685" i="2"/>
  <c r="B5497" i="2"/>
  <c r="B5401" i="2"/>
  <c r="B5293" i="2"/>
  <c r="B5149" i="2"/>
  <c r="B4885" i="2"/>
  <c r="B4761" i="2"/>
  <c r="F5700" i="2"/>
  <c r="B5700" i="2"/>
  <c r="B5512" i="2"/>
  <c r="B5380" i="2"/>
  <c r="B5288" i="2"/>
  <c r="B5048" i="2"/>
  <c r="B4900" i="2"/>
  <c r="B4736" i="2"/>
  <c r="B5767" i="2"/>
  <c r="B5679" i="2"/>
  <c r="B5483" i="2"/>
  <c r="B5351" i="2"/>
  <c r="B5263" i="2"/>
  <c r="B4999" i="2"/>
  <c r="B4855" i="2"/>
  <c r="F5516" i="2"/>
  <c r="F5258" i="2"/>
  <c r="F5351" i="2"/>
  <c r="F5481" i="2"/>
  <c r="F5085" i="2"/>
  <c r="F5293" i="2"/>
  <c r="F5467" i="2"/>
  <c r="F5206" i="2"/>
  <c r="F5354" i="2"/>
  <c r="F5703" i="2"/>
  <c r="F5328" i="2"/>
  <c r="F4836" i="2"/>
  <c r="F4559" i="2"/>
  <c r="F4259" i="2"/>
  <c r="F4119" i="2"/>
  <c r="F4027" i="2"/>
  <c r="F3963" i="2"/>
  <c r="F3871" i="2"/>
  <c r="F5386" i="2"/>
  <c r="F5575" i="2"/>
  <c r="F4779" i="2"/>
  <c r="B4182" i="2"/>
  <c r="F5257" i="2"/>
  <c r="F4358" i="2"/>
  <c r="F5314" i="2"/>
  <c r="B4561" i="2"/>
  <c r="B4155" i="2"/>
  <c r="F4949" i="2"/>
  <c r="B4358" i="2"/>
  <c r="B4081" i="2"/>
  <c r="F4832" i="2"/>
  <c r="B4320" i="2"/>
  <c r="F4983" i="2"/>
  <c r="B4491" i="2"/>
  <c r="B4130" i="2"/>
  <c r="F4817" i="2"/>
  <c r="F4314" i="2"/>
  <c r="B4080" i="2"/>
  <c r="F3930" i="2"/>
  <c r="B3744" i="2"/>
  <c r="B3384" i="2"/>
  <c r="B3316" i="2"/>
  <c r="F4774" i="2"/>
  <c r="B4118" i="2"/>
  <c r="B3879" i="2"/>
  <c r="F4338" i="2"/>
  <c r="B3984" i="2"/>
  <c r="B3823" i="2"/>
  <c r="B4196" i="2"/>
  <c r="B4033" i="2"/>
  <c r="B3852" i="2"/>
  <c r="B4344" i="2"/>
  <c r="B3988" i="2"/>
  <c r="F5326" i="2"/>
  <c r="B4066" i="2"/>
  <c r="B3904" i="2"/>
  <c r="B4654" i="2"/>
  <c r="F4060" i="2"/>
  <c r="F3850" i="2"/>
  <c r="F4186" i="2"/>
  <c r="F3972" i="2"/>
  <c r="B3746" i="2"/>
  <c r="F3352" i="2"/>
  <c r="B3070" i="2"/>
  <c r="B2890" i="2"/>
  <c r="B2826" i="2"/>
  <c r="B2758" i="2"/>
  <c r="B2694" i="2"/>
  <c r="B2602" i="2"/>
  <c r="B2546" i="2"/>
  <c r="B2490" i="2"/>
  <c r="B2434" i="2"/>
  <c r="B2378" i="2"/>
  <c r="B2282" i="2"/>
  <c r="B2090" i="2"/>
  <c r="B4461" i="2"/>
  <c r="F5382" i="2"/>
  <c r="B3924" i="2"/>
  <c r="F3387" i="2"/>
  <c r="F3310" i="2"/>
  <c r="F2888" i="2"/>
  <c r="B2781" i="2"/>
  <c r="F2685" i="2"/>
  <c r="B2579" i="2"/>
  <c r="B2496" i="2"/>
  <c r="B4404" i="2"/>
  <c r="B3785" i="2"/>
  <c r="B3361" i="2"/>
  <c r="F3037" i="2"/>
  <c r="B2841" i="2"/>
  <c r="F2754" i="2"/>
  <c r="F2655" i="2"/>
  <c r="F2556" i="2"/>
  <c r="F2473" i="2"/>
  <c r="B4653" i="2"/>
  <c r="F3848" i="2"/>
  <c r="F3481" i="2"/>
  <c r="F3337" i="2"/>
  <c r="F2909" i="2"/>
  <c r="B2819" i="2"/>
  <c r="F2715" i="2"/>
  <c r="F2608" i="2"/>
  <c r="F2525" i="2"/>
  <c r="B2443" i="2"/>
  <c r="B3972" i="2"/>
  <c r="F3649" i="2"/>
  <c r="F3332" i="2"/>
  <c r="F2959" i="2"/>
  <c r="B2836" i="2"/>
  <c r="B2745" i="2"/>
  <c r="F2642" i="2"/>
  <c r="F2551" i="2"/>
  <c r="F5045" i="2"/>
  <c r="B3794" i="2"/>
  <c r="B3369" i="2"/>
  <c r="F3195" i="2"/>
  <c r="F2861" i="2"/>
  <c r="B2771" i="2"/>
  <c r="B2680" i="2"/>
  <c r="F2568" i="2"/>
  <c r="F2485" i="2"/>
  <c r="F4021" i="2"/>
  <c r="B3625" i="2"/>
  <c r="B3341" i="2"/>
  <c r="B3081" i="2"/>
  <c r="F2852" i="2"/>
  <c r="F2761" i="2"/>
  <c r="B2663" i="2"/>
  <c r="F2559" i="2"/>
  <c r="F2476" i="2"/>
  <c r="B4000" i="2"/>
  <c r="F3748" i="2"/>
  <c r="F3326" i="2"/>
  <c r="B2917" i="2"/>
  <c r="F2830" i="2"/>
  <c r="F2739" i="2"/>
  <c r="F2611" i="2"/>
  <c r="F2528" i="2"/>
  <c r="F2445" i="2"/>
  <c r="B2363" i="2"/>
  <c r="B2139" i="2"/>
  <c r="B1995" i="2"/>
  <c r="B1871" i="2"/>
  <c r="B1811" i="2"/>
  <c r="B1735" i="2"/>
  <c r="B1679" i="2"/>
  <c r="B1619" i="2"/>
  <c r="B1563" i="2"/>
  <c r="B1515" i="2"/>
  <c r="B1375" i="2"/>
  <c r="B1207" i="2"/>
  <c r="B1107" i="2"/>
  <c r="B1059" i="2"/>
  <c r="B963" i="2"/>
  <c r="B795" i="2"/>
  <c r="F3885" i="2"/>
  <c r="F3389" i="2"/>
  <c r="F3307" i="2"/>
  <c r="F2970" i="2"/>
  <c r="F2834" i="2"/>
  <c r="F2743" i="2"/>
  <c r="F2615" i="2"/>
  <c r="F2532" i="2"/>
  <c r="F2449" i="2"/>
  <c r="F2993" i="2"/>
  <c r="F2734" i="2"/>
  <c r="F2466" i="2"/>
  <c r="F2374" i="2"/>
  <c r="F2219" i="2"/>
  <c r="F1963" i="2"/>
  <c r="B1821" i="2"/>
  <c r="B1710" i="2"/>
  <c r="F1611" i="2"/>
  <c r="F3976" i="2"/>
  <c r="F3338" i="2"/>
  <c r="F2681" i="2"/>
  <c r="F2440" i="2"/>
  <c r="F2290" i="2"/>
  <c r="F1996" i="2"/>
  <c r="B1837" i="2"/>
  <c r="F1722" i="2"/>
  <c r="B1620" i="2"/>
  <c r="B1529" i="2"/>
  <c r="F3297" i="2"/>
  <c r="F2717" i="2"/>
  <c r="F2452" i="2"/>
  <c r="F2364" i="2"/>
  <c r="B2131" i="2"/>
  <c r="B1946" i="2"/>
  <c r="F1811" i="2"/>
  <c r="F1679" i="2"/>
  <c r="F1584" i="2"/>
  <c r="B1425" i="2"/>
  <c r="F3344" i="2"/>
  <c r="F2777" i="2"/>
  <c r="B2429" i="2"/>
  <c r="B2324" i="2"/>
  <c r="F2118" i="2"/>
  <c r="B1908" i="2"/>
  <c r="B1785" i="2"/>
  <c r="F1661" i="2"/>
  <c r="F1567" i="2"/>
  <c r="F1436" i="2"/>
  <c r="F3320" i="2"/>
  <c r="F2583" i="2"/>
  <c r="B2419" i="2"/>
  <c r="F2340" i="2"/>
  <c r="F2029" i="2"/>
  <c r="B1836" i="2"/>
  <c r="B1713" i="2"/>
  <c r="B1610" i="2"/>
  <c r="F3623" i="2"/>
  <c r="B2769" i="2"/>
  <c r="F2536" i="2"/>
  <c r="F2395" i="2"/>
  <c r="F2284" i="2"/>
  <c r="F2063" i="2"/>
  <c r="B1866" i="2"/>
  <c r="F1738" i="2"/>
  <c r="B1648" i="2"/>
  <c r="F3273" i="2"/>
  <c r="F2571" i="2"/>
  <c r="F2138" i="2"/>
  <c r="B1844" i="2"/>
  <c r="F5706" i="2"/>
  <c r="B5730" i="2"/>
  <c r="B5534" i="2"/>
  <c r="B5398" i="2"/>
  <c r="B5254" i="2"/>
  <c r="B4934" i="2"/>
  <c r="B4782" i="2"/>
  <c r="B5729" i="2"/>
  <c r="B5533" i="2"/>
  <c r="B5385" i="2"/>
  <c r="B5265" i="2"/>
  <c r="B5001" i="2"/>
  <c r="B4837" i="2"/>
  <c r="F5712" i="2"/>
  <c r="B5684" i="2"/>
  <c r="B5472" i="2"/>
  <c r="B5344" i="2"/>
  <c r="B5100" i="2"/>
  <c r="B4936" i="2"/>
  <c r="B4700" i="2"/>
  <c r="B5747" i="2"/>
  <c r="B5611" i="2"/>
  <c r="B5399" i="2"/>
  <c r="B5287" i="2"/>
  <c r="B4987" i="2"/>
  <c r="B4831" i="2"/>
  <c r="F5453" i="2"/>
  <c r="F5588" i="2"/>
  <c r="F5671" i="2"/>
  <c r="F5031" i="2"/>
  <c r="F5194" i="2"/>
  <c r="F5323" i="2"/>
  <c r="F5675" i="2"/>
  <c r="F4961" i="2"/>
  <c r="F5322" i="2"/>
  <c r="F4725" i="2"/>
  <c r="F4415" i="2"/>
  <c r="F4179" i="2"/>
  <c r="F4039" i="2"/>
  <c r="F3959" i="2"/>
  <c r="F3835" i="2"/>
  <c r="F5296" i="2"/>
  <c r="F4986" i="2"/>
  <c r="B4317" i="2"/>
  <c r="F4908" i="2"/>
  <c r="F4316" i="2"/>
  <c r="F4859" i="2"/>
  <c r="B4190" i="2"/>
  <c r="F5289" i="2"/>
  <c r="F4345" i="2"/>
  <c r="F4038" i="2"/>
  <c r="B4479" i="2"/>
  <c r="F5452" i="2"/>
  <c r="F4645" i="2"/>
  <c r="F4117" i="2"/>
  <c r="F4666" i="2"/>
  <c r="B4180" i="2"/>
  <c r="F3994" i="2"/>
  <c r="B3768" i="2"/>
  <c r="B3368" i="2"/>
  <c r="B3272" i="2"/>
  <c r="B4465" i="2"/>
  <c r="B3998" i="2"/>
  <c r="B4477" i="2"/>
  <c r="B3979" i="2"/>
  <c r="F4781" i="2"/>
  <c r="B4117" i="2"/>
  <c r="B3909" i="2"/>
  <c r="B4607" i="2"/>
  <c r="F3964" i="2"/>
  <c r="F4795" i="2"/>
  <c r="F4013" i="2"/>
  <c r="F5003" i="2"/>
  <c r="F4156" i="2"/>
  <c r="B3834" i="2"/>
  <c r="B4083" i="2"/>
  <c r="B3886" i="2"/>
  <c r="B3391" i="2"/>
  <c r="F3250" i="2"/>
  <c r="B2886" i="2"/>
  <c r="B2814" i="2"/>
  <c r="B2730" i="2"/>
  <c r="B2630" i="2"/>
  <c r="B2558" i="2"/>
  <c r="B2486" i="2"/>
  <c r="B2414" i="2"/>
  <c r="B2350" i="2"/>
  <c r="B2202" i="2"/>
  <c r="F5032" i="2"/>
  <c r="F4960" i="2"/>
  <c r="B3808" i="2"/>
  <c r="F3351" i="2"/>
  <c r="F2931" i="2"/>
  <c r="F2819" i="2"/>
  <c r="B2677" i="2"/>
  <c r="B2557" i="2"/>
  <c r="B2461" i="2"/>
  <c r="F3889" i="2"/>
  <c r="B3507" i="2"/>
  <c r="B2993" i="2"/>
  <c r="F2823" i="2"/>
  <c r="F2711" i="2"/>
  <c r="F2591" i="2"/>
  <c r="F2495" i="2"/>
  <c r="F4224" i="2"/>
  <c r="F3789" i="2"/>
  <c r="F3369" i="2"/>
  <c r="B3262" i="2"/>
  <c r="F2840" i="2"/>
  <c r="B2707" i="2"/>
  <c r="B2587" i="2"/>
  <c r="B2491" i="2"/>
  <c r="F4652" i="2"/>
  <c r="F3749" i="2"/>
  <c r="F3327" i="2"/>
  <c r="B2905" i="2"/>
  <c r="B2793" i="2"/>
  <c r="B2689" i="2"/>
  <c r="B2569" i="2"/>
  <c r="B4327" i="2"/>
  <c r="F3761" i="2"/>
  <c r="B3323" i="2"/>
  <c r="F2904" i="2"/>
  <c r="F2792" i="2"/>
  <c r="B2659" i="2"/>
  <c r="B2547" i="2"/>
  <c r="F5499" i="2"/>
  <c r="B3766" i="2"/>
  <c r="F3354" i="2"/>
  <c r="F3048" i="2"/>
  <c r="B2831" i="2"/>
  <c r="B2719" i="2"/>
  <c r="F2594" i="2"/>
  <c r="F2498" i="2"/>
  <c r="B3985" i="2"/>
  <c r="B3661" i="2"/>
  <c r="F3162" i="2"/>
  <c r="B2861" i="2"/>
  <c r="B2757" i="2"/>
  <c r="B2603" i="2"/>
  <c r="B2507" i="2"/>
  <c r="B2411" i="2"/>
  <c r="F2291" i="2"/>
  <c r="B2015" i="2"/>
  <c r="B1867" i="2"/>
  <c r="B1799" i="2"/>
  <c r="B1715" i="2"/>
  <c r="B1651" i="2"/>
  <c r="B1583" i="2"/>
  <c r="B1511" i="2"/>
  <c r="B1343" i="2"/>
  <c r="B1155" i="2"/>
  <c r="B1079" i="2"/>
  <c r="B1023" i="2"/>
  <c r="F4775" i="2"/>
  <c r="F3792" i="2"/>
  <c r="B3354" i="2"/>
  <c r="F3239" i="2"/>
  <c r="B2852" i="2"/>
  <c r="B2735" i="2"/>
  <c r="F2593" i="2"/>
  <c r="F2497" i="2"/>
  <c r="B3371" i="2"/>
  <c r="F2772" i="2"/>
  <c r="B2460" i="2"/>
  <c r="B2356" i="2"/>
  <c r="F2048" i="2"/>
  <c r="B1868" i="2"/>
  <c r="B1732" i="2"/>
  <c r="F1602" i="2"/>
  <c r="B3850" i="2"/>
  <c r="F2876" i="2"/>
  <c r="F2509" i="2"/>
  <c r="F2346" i="2"/>
  <c r="B1980" i="2"/>
  <c r="B1812" i="2"/>
  <c r="F1675" i="2"/>
  <c r="B1564" i="2"/>
  <c r="F3383" i="2"/>
  <c r="F2703" i="2"/>
  <c r="B2420" i="2"/>
  <c r="F2285" i="2"/>
  <c r="B2026" i="2"/>
  <c r="F1836" i="2"/>
  <c r="F1670" i="2"/>
  <c r="B1546" i="2"/>
  <c r="F4152" i="2"/>
  <c r="B2876" i="2"/>
  <c r="F2500" i="2"/>
  <c r="F2311" i="2"/>
  <c r="F2025" i="2"/>
  <c r="B1845" i="2"/>
  <c r="B1709" i="2"/>
  <c r="B1593" i="2"/>
  <c r="F1424" i="2"/>
  <c r="F2889" i="2"/>
  <c r="B2515" i="2"/>
  <c r="B2387" i="2"/>
  <c r="B2089" i="2"/>
  <c r="B1824" i="2"/>
  <c r="F1687" i="2"/>
  <c r="F1579" i="2"/>
  <c r="B2912" i="2"/>
  <c r="B2628" i="2"/>
  <c r="F2386" i="2"/>
  <c r="F2242" i="2"/>
  <c r="B2012" i="2"/>
  <c r="B1806" i="2"/>
  <c r="F1669" i="2"/>
  <c r="F3264" i="2"/>
  <c r="B2436" i="2"/>
  <c r="F2023" i="2"/>
  <c r="F1701" i="2"/>
  <c r="B1518" i="2"/>
  <c r="F1209" i="2"/>
  <c r="F1078" i="2"/>
  <c r="F857" i="2"/>
  <c r="B604" i="2"/>
  <c r="F2468" i="2"/>
  <c r="B2287" i="2"/>
  <c r="F1922" i="2"/>
  <c r="B1681" i="2"/>
  <c r="F1522" i="2"/>
  <c r="F1192" i="2"/>
  <c r="B1061" i="2"/>
  <c r="B928" i="2"/>
  <c r="F631" i="2"/>
  <c r="F527" i="2"/>
  <c r="B2916" i="2"/>
  <c r="B2340" i="2"/>
  <c r="F1942" i="2"/>
  <c r="F1680" i="2"/>
  <c r="F1527" i="2"/>
  <c r="F1294" i="2"/>
  <c r="B1100" i="2"/>
  <c r="B969" i="2"/>
  <c r="F2851" i="2"/>
  <c r="F2441" i="2"/>
  <c r="B1981" i="2"/>
  <c r="F1719" i="2"/>
  <c r="B1538" i="2"/>
  <c r="F1323" i="2"/>
  <c r="B1104" i="2"/>
  <c r="B1021" i="2"/>
  <c r="F3301" i="2"/>
  <c r="B2588" i="2"/>
  <c r="F2199" i="2"/>
  <c r="B1861" i="2"/>
  <c r="F1685" i="2"/>
  <c r="F1516" i="2"/>
  <c r="F1137" i="2"/>
  <c r="F1046" i="2"/>
  <c r="F889" i="2"/>
  <c r="F646" i="2"/>
  <c r="B3117" i="2"/>
  <c r="F2365" i="2"/>
  <c r="F2027" i="2"/>
  <c r="F1672" i="2"/>
  <c r="F1511" i="2"/>
  <c r="B1306" i="2"/>
  <c r="B1120" i="2"/>
  <c r="B1029" i="2"/>
  <c r="F3565" i="2"/>
  <c r="F2557" i="2"/>
  <c r="B2075" i="2"/>
  <c r="B1770" i="2"/>
  <c r="B1588" i="2"/>
  <c r="F1343" i="2"/>
  <c r="F2362" i="2"/>
  <c r="F1509" i="2"/>
  <c r="F1040" i="2"/>
  <c r="B1870" i="2"/>
  <c r="F1446" i="2"/>
  <c r="B1046" i="2"/>
  <c r="B2444" i="2"/>
  <c r="F1792" i="2"/>
  <c r="B1326" i="2"/>
  <c r="B1033" i="2"/>
  <c r="B582" i="2"/>
  <c r="F1997" i="2"/>
  <c r="F1514" i="2"/>
  <c r="F1089" i="2"/>
  <c r="F2092" i="2"/>
  <c r="B1600" i="2"/>
  <c r="B1305" i="2"/>
  <c r="B888" i="2"/>
  <c r="F1964" i="2"/>
  <c r="B1514" i="2"/>
  <c r="B1050" i="2"/>
  <c r="B3307" i="2"/>
  <c r="B1734" i="2"/>
  <c r="B1161" i="2"/>
  <c r="F854" i="2"/>
  <c r="B2431" i="2"/>
  <c r="F1598" i="2"/>
  <c r="B1122" i="2"/>
  <c r="F769" i="2"/>
  <c r="B495" i="2"/>
  <c r="B187" i="2"/>
  <c r="B139" i="2"/>
  <c r="B91" i="2"/>
  <c r="B43" i="2"/>
  <c r="B2403" i="2"/>
  <c r="B1566" i="2"/>
  <c r="B1081" i="2"/>
  <c r="F2619" i="2"/>
  <c r="F1938" i="2"/>
  <c r="F1549" i="2"/>
  <c r="B864" i="2"/>
  <c r="F510" i="2"/>
  <c r="F156" i="2"/>
  <c r="F73" i="2"/>
  <c r="B1613" i="2"/>
  <c r="F604" i="2"/>
  <c r="B342" i="2"/>
  <c r="B117" i="2"/>
  <c r="F38" i="2"/>
  <c r="F1177" i="2"/>
  <c r="F526" i="2"/>
  <c r="B169" i="2"/>
  <c r="B86" i="2"/>
  <c r="B1152" i="2"/>
  <c r="B581" i="2"/>
  <c r="B173" i="2"/>
  <c r="B90" i="2"/>
  <c r="B2619" i="2"/>
  <c r="F580" i="2"/>
  <c r="F185" i="2"/>
  <c r="F102" i="2"/>
  <c r="F29" i="2"/>
  <c r="F652" i="2"/>
  <c r="F250" i="2"/>
  <c r="B120" i="2"/>
  <c r="F3622" i="2"/>
  <c r="B734" i="2"/>
  <c r="F409" i="2"/>
  <c r="B150" i="2"/>
  <c r="F71" i="2"/>
  <c r="B1041" i="2"/>
  <c r="F450" i="2"/>
  <c r="B154" i="2"/>
  <c r="F75" i="2"/>
  <c r="B1646" i="2"/>
  <c r="F588" i="2"/>
  <c r="F286" i="2"/>
  <c r="F140" i="2"/>
  <c r="F57" i="2"/>
  <c r="B781" i="2"/>
  <c r="B274" i="2"/>
  <c r="B136" i="2"/>
  <c r="B53" i="2"/>
  <c r="F966" i="2"/>
  <c r="B566" i="2"/>
  <c r="B188" i="2"/>
  <c r="B105" i="2"/>
  <c r="F31" i="2"/>
  <c r="B1093" i="2"/>
  <c r="F461" i="2"/>
  <c r="B157" i="2"/>
  <c r="B74" i="2"/>
  <c r="B5713" i="2"/>
  <c r="B5531" i="2"/>
  <c r="B4935" i="2"/>
  <c r="F5327" i="2"/>
  <c r="F5475" i="2"/>
  <c r="F4984" i="2"/>
  <c r="F5564" i="2"/>
  <c r="F5271" i="2"/>
  <c r="F4343" i="2"/>
  <c r="F4023" i="2"/>
  <c r="F3811" i="2"/>
  <c r="F4860" i="2"/>
  <c r="F4806" i="2"/>
  <c r="F4655" i="2"/>
  <c r="F4901" i="2"/>
  <c r="F5462" i="2"/>
  <c r="F5330" i="2"/>
  <c r="B4089" i="2"/>
  <c r="F3981" i="2"/>
  <c r="B3360" i="2"/>
  <c r="B4339" i="2"/>
  <c r="B4183" i="2"/>
  <c r="B4711" i="2"/>
  <c r="F4317" i="2"/>
  <c r="F4557" i="2"/>
  <c r="F4904" i="2"/>
  <c r="B3767" i="2"/>
  <c r="B3855" i="2"/>
  <c r="B3026" i="2"/>
  <c r="B2714" i="2"/>
  <c r="B2542" i="2"/>
  <c r="B2406" i="2"/>
  <c r="B2134" i="2"/>
  <c r="B4631" i="2"/>
  <c r="F3333" i="2"/>
  <c r="B2656" i="2"/>
  <c r="B2448" i="2"/>
  <c r="B3347" i="2"/>
  <c r="F2810" i="2"/>
  <c r="B2465" i="2"/>
  <c r="F3767" i="2"/>
  <c r="F3094" i="2"/>
  <c r="F2693" i="2"/>
  <c r="F2477" i="2"/>
  <c r="B3314" i="2"/>
  <c r="B2780" i="2"/>
  <c r="B2543" i="2"/>
  <c r="F3661" i="2"/>
  <c r="F2891" i="2"/>
  <c r="F2533" i="2"/>
  <c r="F3731" i="2"/>
  <c r="B2959" i="2"/>
  <c r="F2705" i="2"/>
  <c r="B2468" i="2"/>
  <c r="B3093" i="2"/>
  <c r="B2731" i="2"/>
  <c r="F2493" i="2"/>
  <c r="F2253" i="2"/>
  <c r="B1859" i="2"/>
  <c r="B1643" i="2"/>
  <c r="B1479" i="2"/>
  <c r="B1135" i="2"/>
  <c r="B951" i="2"/>
  <c r="B3731" i="2"/>
  <c r="F2825" i="2"/>
  <c r="F2580" i="2"/>
  <c r="F3306" i="2"/>
  <c r="F2435" i="2"/>
  <c r="B2018" i="2"/>
  <c r="F1705" i="2"/>
  <c r="F3769" i="2"/>
  <c r="B2269" i="2"/>
  <c r="F1798" i="2"/>
  <c r="F1550" i="2"/>
  <c r="B2623" i="2"/>
  <c r="F2268" i="2"/>
  <c r="F1657" i="2"/>
  <c r="B4011" i="2"/>
  <c r="F2424" i="2"/>
  <c r="F2012" i="2"/>
  <c r="F1683" i="2"/>
  <c r="F1411" i="2"/>
  <c r="F2457" i="2"/>
  <c r="B2021" i="2"/>
  <c r="F4080" i="2"/>
  <c r="F2522" i="2"/>
  <c r="B2201" i="2"/>
  <c r="B1793" i="2"/>
  <c r="F2982" i="2"/>
  <c r="F1440" i="2"/>
  <c r="F1065" i="2"/>
  <c r="B3912" i="2"/>
  <c r="F2153" i="2"/>
  <c r="B1622" i="2"/>
  <c r="F1159" i="2"/>
  <c r="F623" i="2"/>
  <c r="F2781" i="2"/>
  <c r="B1869" i="2"/>
  <c r="B1508" i="2"/>
  <c r="F927" i="2"/>
  <c r="B2400" i="2"/>
  <c r="F1667" i="2"/>
  <c r="B1270" i="2"/>
  <c r="B997" i="2"/>
  <c r="F2540" i="2"/>
  <c r="B1822" i="2"/>
  <c r="F1481" i="2"/>
  <c r="F1033" i="2"/>
  <c r="F630" i="2"/>
  <c r="B2352" i="2"/>
  <c r="F1646" i="2"/>
  <c r="F1281" i="2"/>
  <c r="B968" i="2"/>
  <c r="B2020" i="2"/>
  <c r="B1526" i="2"/>
  <c r="F5702" i="2"/>
  <c r="B5714" i="2"/>
  <c r="B5530" i="2"/>
  <c r="B5386" i="2"/>
  <c r="B5242" i="2"/>
  <c r="B4922" i="2"/>
  <c r="B4778" i="2"/>
  <c r="B5717" i="2"/>
  <c r="B5517" i="2"/>
  <c r="B5381" i="2"/>
  <c r="B5261" i="2"/>
  <c r="B4985" i="2"/>
  <c r="B4833" i="2"/>
  <c r="F5708" i="2"/>
  <c r="B5680" i="2"/>
  <c r="B5468" i="2"/>
  <c r="B5328" i="2"/>
  <c r="B5088" i="2"/>
  <c r="B4908" i="2"/>
  <c r="B4688" i="2"/>
  <c r="B5743" i="2"/>
  <c r="B5575" i="2"/>
  <c r="B5387" i="2"/>
  <c r="B5271" i="2"/>
  <c r="B4983" i="2"/>
  <c r="B4795" i="2"/>
  <c r="F5399" i="2"/>
  <c r="F5561" i="2"/>
  <c r="F5657" i="2"/>
  <c r="F5004" i="2"/>
  <c r="F5071" i="2"/>
  <c r="F5317" i="2"/>
  <c r="F5668" i="2"/>
  <c r="F4934" i="2"/>
  <c r="F5316" i="2"/>
  <c r="F4688" i="2"/>
  <c r="F4347" i="2"/>
  <c r="F4175" i="2"/>
  <c r="F4035" i="2"/>
  <c r="F3955" i="2"/>
  <c r="F3823" i="2"/>
  <c r="F5290" i="2"/>
  <c r="F4972" i="2"/>
  <c r="B4195" i="2"/>
  <c r="F4902" i="2"/>
  <c r="B4292" i="2"/>
  <c r="F4853" i="2"/>
  <c r="F4185" i="2"/>
  <c r="F5161" i="2"/>
  <c r="F4324" i="2"/>
  <c r="F5480" i="2"/>
  <c r="F4462" i="2"/>
  <c r="F5385" i="2"/>
  <c r="B4629" i="2"/>
  <c r="F4105" i="2"/>
  <c r="F4649" i="2"/>
  <c r="B4171" i="2"/>
  <c r="B3986" i="2"/>
  <c r="B3764" i="2"/>
  <c r="B3364" i="2"/>
  <c r="B3268" i="2"/>
  <c r="F4416" i="2"/>
  <c r="B3989" i="2"/>
  <c r="F4464" i="2"/>
  <c r="F3974" i="2"/>
  <c r="F4773" i="2"/>
  <c r="B4091" i="2"/>
  <c r="F3904" i="2"/>
  <c r="B4558" i="2"/>
  <c r="F3942" i="2"/>
  <c r="F4780" i="2"/>
  <c r="F3996" i="2"/>
  <c r="F4987" i="2"/>
  <c r="B4078" i="2"/>
  <c r="F3787" i="2"/>
  <c r="F4054" i="2"/>
  <c r="B3877" i="2"/>
  <c r="F3386" i="2"/>
  <c r="B3206" i="2"/>
  <c r="B2882" i="2"/>
  <c r="B2810" i="2"/>
  <c r="B2718" i="2"/>
  <c r="B2626" i="2"/>
  <c r="B2554" i="2"/>
  <c r="B2482" i="2"/>
  <c r="B2410" i="2"/>
  <c r="B2346" i="2"/>
  <c r="B2198" i="2"/>
  <c r="F4903" i="2"/>
  <c r="B4645" i="2"/>
  <c r="F3768" i="2"/>
  <c r="F3342" i="2"/>
  <c r="B2915" i="2"/>
  <c r="B2811" i="2"/>
  <c r="F2664" i="2"/>
  <c r="F2552" i="2"/>
  <c r="F2456" i="2"/>
  <c r="B3875" i="2"/>
  <c r="F3494" i="2"/>
  <c r="B2919" i="2"/>
  <c r="B2815" i="2"/>
  <c r="B2703" i="2"/>
  <c r="B2583" i="2"/>
  <c r="B2487" i="2"/>
  <c r="B4178" i="2"/>
  <c r="F3772" i="2"/>
  <c r="B3365" i="2"/>
  <c r="F3151" i="2"/>
  <c r="B2832" i="2"/>
  <c r="F2702" i="2"/>
  <c r="F2582" i="2"/>
  <c r="F2486" i="2"/>
  <c r="B4185" i="2"/>
  <c r="B3745" i="2"/>
  <c r="F3318" i="2"/>
  <c r="F2900" i="2"/>
  <c r="F2788" i="2"/>
  <c r="F2684" i="2"/>
  <c r="F2564" i="2"/>
  <c r="B4224" i="2"/>
  <c r="F3744" i="2"/>
  <c r="F3313" i="2"/>
  <c r="B2896" i="2"/>
  <c r="B2784" i="2"/>
  <c r="F2654" i="2"/>
  <c r="F2542" i="2"/>
  <c r="B4666" i="2"/>
  <c r="B3749" i="2"/>
  <c r="B3350" i="2"/>
  <c r="B3004" i="2"/>
  <c r="F2826" i="2"/>
  <c r="F2714" i="2"/>
  <c r="F2585" i="2"/>
  <c r="F2489" i="2"/>
  <c r="F3970" i="2"/>
  <c r="F3624" i="2"/>
  <c r="F3117" i="2"/>
  <c r="F2856" i="2"/>
  <c r="F2752" i="2"/>
  <c r="F2598" i="2"/>
  <c r="F2502" i="2"/>
  <c r="F2406" i="2"/>
  <c r="B2283" i="2"/>
  <c r="B2011" i="2"/>
  <c r="B1863" i="2"/>
  <c r="B1795" i="2"/>
  <c r="B1711" i="2"/>
  <c r="B1647" i="2"/>
  <c r="B1579" i="2"/>
  <c r="B1507" i="2"/>
  <c r="B1339" i="2"/>
  <c r="B1139" i="2"/>
  <c r="B1075" i="2"/>
  <c r="B971" i="2"/>
  <c r="B4340" i="2"/>
  <c r="B3787" i="2"/>
  <c r="B3345" i="2"/>
  <c r="F3129" i="2"/>
  <c r="F2847" i="2"/>
  <c r="F2730" i="2"/>
  <c r="B2585" i="2"/>
  <c r="B2489" i="2"/>
  <c r="B3339" i="2"/>
  <c r="F2764" i="2"/>
  <c r="B2447" i="2"/>
  <c r="F2351" i="2"/>
  <c r="F2026" i="2"/>
  <c r="F1863" i="2"/>
  <c r="F1727" i="2"/>
  <c r="B1594" i="2"/>
  <c r="F3790" i="2"/>
  <c r="F2824" i="2"/>
  <c r="F2472" i="2"/>
  <c r="B2325" i="2"/>
  <c r="F1967" i="2"/>
  <c r="F1807" i="2"/>
  <c r="F1666" i="2"/>
  <c r="F1559" i="2"/>
  <c r="F3361" i="2"/>
  <c r="F2695" i="2"/>
  <c r="F2410" i="2"/>
  <c r="B2281" i="2"/>
  <c r="F2021" i="2"/>
  <c r="F1824" i="2"/>
  <c r="B1662" i="2"/>
  <c r="F1541" i="2"/>
  <c r="F4020" i="2"/>
  <c r="F2846" i="2"/>
  <c r="F2492" i="2"/>
  <c r="B2307" i="2"/>
  <c r="B2017" i="2"/>
  <c r="F1840" i="2"/>
  <c r="F1704" i="2"/>
  <c r="F1588" i="2"/>
  <c r="B1416" i="2"/>
  <c r="F2829" i="2"/>
  <c r="B2471" i="2"/>
  <c r="F2377" i="2"/>
  <c r="F2051" i="2"/>
  <c r="F1819" i="2"/>
  <c r="F1678" i="2"/>
  <c r="F4292" i="2"/>
  <c r="F2897" i="2"/>
  <c r="F2605" i="2"/>
  <c r="F2381" i="2"/>
  <c r="F2217" i="2"/>
  <c r="F1999" i="2"/>
  <c r="F1801" i="2"/>
  <c r="B1661" i="2"/>
  <c r="F3206" i="2"/>
  <c r="B2395" i="2"/>
  <c r="B1982" i="2"/>
  <c r="F1668" i="2"/>
  <c r="F1508" i="2"/>
  <c r="B1193" i="2"/>
  <c r="B1070" i="2"/>
  <c r="B829" i="2"/>
  <c r="B4179" i="2"/>
  <c r="F2442" i="2"/>
  <c r="B2175" i="2"/>
  <c r="F1909" i="2"/>
  <c r="F1655" i="2"/>
  <c r="F1517" i="2"/>
  <c r="B1164" i="2"/>
  <c r="F1056" i="2"/>
  <c r="F915" i="2"/>
  <c r="F627" i="2"/>
  <c r="F4321" i="2"/>
  <c r="B2791" i="2"/>
  <c r="B2327" i="2"/>
  <c r="F1935" i="2"/>
  <c r="F1673" i="2"/>
  <c r="F1512" i="2"/>
  <c r="B1258" i="2"/>
  <c r="F1095" i="2"/>
  <c r="F964" i="2"/>
  <c r="B2843" i="2"/>
  <c r="B2413" i="2"/>
  <c r="B1922" i="2"/>
  <c r="B1686" i="2"/>
  <c r="B1522" i="2"/>
  <c r="F1306" i="2"/>
  <c r="F1099" i="2"/>
  <c r="B1009" i="2"/>
  <c r="B3286" i="2"/>
  <c r="F2558" i="2"/>
  <c r="F2186" i="2"/>
  <c r="F1855" i="2"/>
  <c r="B1673" i="2"/>
  <c r="B1512" i="2"/>
  <c r="B1129" i="2"/>
  <c r="B1038" i="2"/>
  <c r="F860" i="2"/>
  <c r="F634" i="2"/>
  <c r="F2859" i="2"/>
  <c r="F2357" i="2"/>
  <c r="F1965" i="2"/>
  <c r="B1660" i="2"/>
  <c r="F1493" i="2"/>
  <c r="F1293" i="2"/>
  <c r="F1107" i="2"/>
  <c r="F1024" i="2"/>
  <c r="B3529" i="2"/>
  <c r="F2548" i="2"/>
  <c r="F2032" i="2"/>
  <c r="F1736" i="2"/>
  <c r="F1562" i="2"/>
  <c r="F1326" i="2"/>
  <c r="F2282" i="2"/>
  <c r="F1418" i="2"/>
  <c r="B1028" i="2"/>
  <c r="F1818" i="2"/>
  <c r="B1410" i="2"/>
  <c r="F1027" i="2"/>
  <c r="F2398" i="2"/>
  <c r="F1728" i="2"/>
  <c r="F1305" i="2"/>
  <c r="B1020" i="2"/>
  <c r="F577" i="2"/>
  <c r="B1952" i="2"/>
  <c r="B1446" i="2"/>
  <c r="B1084" i="2"/>
  <c r="F2019" i="2"/>
  <c r="F1591" i="2"/>
  <c r="F1222" i="2"/>
  <c r="F3786" i="2"/>
  <c r="F1839" i="2"/>
  <c r="F1492" i="2"/>
  <c r="F1044" i="2"/>
  <c r="B3116" i="2"/>
  <c r="F1716" i="2"/>
  <c r="B1141" i="2"/>
  <c r="F841" i="2"/>
  <c r="F2348" i="2"/>
  <c r="F1581" i="2"/>
  <c r="F1106" i="2"/>
  <c r="B745" i="2"/>
  <c r="B479" i="2"/>
  <c r="B183" i="2"/>
  <c r="B135" i="2"/>
  <c r="B87" i="2"/>
  <c r="F3905" i="2"/>
  <c r="F2375" i="2"/>
  <c r="F1535" i="2"/>
  <c r="F5295" i="2"/>
  <c r="F2610" i="2"/>
  <c r="F1872" i="2"/>
  <c r="B1442" i="2"/>
  <c r="B793" i="2"/>
  <c r="B494" i="2"/>
  <c r="B148" i="2"/>
  <c r="B65" i="2"/>
  <c r="B1541" i="2"/>
  <c r="F586" i="2"/>
  <c r="B285" i="2"/>
  <c r="F112" i="2"/>
  <c r="F34" i="2"/>
  <c r="F1126" i="2"/>
  <c r="B510" i="2"/>
  <c r="F164" i="2"/>
  <c r="F81" i="2"/>
  <c r="B1080" i="2"/>
  <c r="B539" i="2"/>
  <c r="F168" i="2"/>
  <c r="F85" i="2"/>
  <c r="F2488" i="2"/>
  <c r="B563" i="2"/>
  <c r="B177" i="2"/>
  <c r="B94" i="2"/>
  <c r="F25" i="2"/>
  <c r="B646" i="2"/>
  <c r="B226" i="2"/>
  <c r="F115" i="2"/>
  <c r="F2677" i="2"/>
  <c r="F645" i="2"/>
  <c r="B365" i="2"/>
  <c r="F145" i="2"/>
  <c r="F62" i="2"/>
  <c r="F781" i="2"/>
  <c r="B426" i="2"/>
  <c r="F149" i="2"/>
  <c r="F66" i="2"/>
  <c r="F1556" i="2"/>
  <c r="B584" i="2"/>
  <c r="B262" i="2"/>
  <c r="B132" i="2"/>
  <c r="B49" i="2"/>
  <c r="B698" i="2"/>
  <c r="F261" i="2"/>
  <c r="F131" i="2"/>
  <c r="F48" i="2"/>
  <c r="B858" i="2"/>
  <c r="B561" i="2"/>
  <c r="F183" i="2"/>
  <c r="F100" i="2"/>
  <c r="F27" i="2"/>
  <c r="F1054" i="2"/>
  <c r="F424" i="2"/>
  <c r="F152" i="2"/>
  <c r="F69" i="2"/>
  <c r="F5698" i="2"/>
  <c r="B5710" i="2"/>
  <c r="B5518" i="2"/>
  <c r="B5342" i="2"/>
  <c r="B5230" i="2"/>
  <c r="B4902" i="2"/>
  <c r="B4774" i="2"/>
  <c r="B5485" i="2"/>
  <c r="B5369" i="2"/>
  <c r="B5257" i="2"/>
  <c r="B4961" i="2"/>
  <c r="B4781" i="2"/>
  <c r="B5772" i="2"/>
  <c r="B5668" i="2"/>
  <c r="B5464" i="2"/>
  <c r="B5324" i="2"/>
  <c r="B5084" i="2"/>
  <c r="B4884" i="2"/>
  <c r="B4652" i="2"/>
  <c r="B5739" i="2"/>
  <c r="B5383" i="2"/>
  <c r="B5183" i="2"/>
  <c r="B4783" i="2"/>
  <c r="F5534" i="2"/>
  <c r="F5729" i="2"/>
  <c r="F5311" i="2"/>
  <c r="F5681" i="2"/>
  <c r="F4651" i="2"/>
  <c r="F4163" i="2"/>
  <c r="F3927" i="2"/>
  <c r="F5284" i="2"/>
  <c r="F4177" i="2"/>
  <c r="B4199" i="2"/>
  <c r="B4177" i="2"/>
  <c r="B4316" i="2"/>
  <c r="F4450" i="2"/>
  <c r="F4478" i="2"/>
  <c r="B4462" i="2"/>
  <c r="F4166" i="2"/>
  <c r="B3720" i="2"/>
  <c r="B3264" i="2"/>
  <c r="F3956" i="2"/>
  <c r="B3944" i="2"/>
  <c r="F4084" i="2"/>
  <c r="F3882" i="2"/>
  <c r="B3930" i="2"/>
  <c r="B3978" i="2"/>
  <c r="B4032" i="2"/>
  <c r="F4026" i="2"/>
  <c r="B3370" i="2"/>
  <c r="B2878" i="2"/>
  <c r="B2786" i="2"/>
  <c r="B2622" i="2"/>
  <c r="B2478" i="2"/>
  <c r="B2342" i="2"/>
  <c r="B4322" i="2"/>
  <c r="F3638" i="2"/>
  <c r="F2910" i="2"/>
  <c r="F2776" i="2"/>
  <c r="B2544" i="2"/>
  <c r="B3849" i="2"/>
  <c r="F2914" i="2"/>
  <c r="F2698" i="2"/>
  <c r="F2578" i="2"/>
  <c r="B4160" i="2"/>
  <c r="F3360" i="2"/>
  <c r="F2814" i="2"/>
  <c r="F2573" i="2"/>
  <c r="F4053" i="2"/>
  <c r="F3637" i="2"/>
  <c r="B2892" i="2"/>
  <c r="B2676" i="2"/>
  <c r="B4166" i="2"/>
  <c r="F3299" i="2"/>
  <c r="F2766" i="2"/>
  <c r="F2629" i="2"/>
  <c r="F4326" i="2"/>
  <c r="F3336" i="2"/>
  <c r="F2817" i="2"/>
  <c r="B2577" i="2"/>
  <c r="B3963" i="2"/>
  <c r="F3542" i="2"/>
  <c r="B2848" i="2"/>
  <c r="F2589" i="2"/>
  <c r="F2397" i="2"/>
  <c r="B1983" i="2"/>
  <c r="B1791" i="2"/>
  <c r="B1707" i="2"/>
  <c r="B1559" i="2"/>
  <c r="B1327" i="2"/>
  <c r="B1071" i="2"/>
  <c r="B4165" i="2"/>
  <c r="F3335" i="2"/>
  <c r="B3105" i="2"/>
  <c r="F2713" i="2"/>
  <c r="F2484" i="2"/>
  <c r="F2660" i="2"/>
  <c r="B2347" i="2"/>
  <c r="F1854" i="2"/>
  <c r="F1589" i="2"/>
  <c r="F2816" i="2"/>
  <c r="F2459" i="2"/>
  <c r="F1950" i="2"/>
  <c r="B1658" i="2"/>
  <c r="B3269" i="2"/>
  <c r="F2405" i="2"/>
  <c r="B2013" i="2"/>
  <c r="F1802" i="2"/>
  <c r="B1533" i="2"/>
  <c r="F2838" i="2"/>
  <c r="F2294" i="2"/>
  <c r="B1820" i="2"/>
  <c r="F1558" i="2"/>
  <c r="F2815" i="2"/>
  <c r="B2373" i="2"/>
  <c r="F1810" i="2"/>
  <c r="B1670" i="2"/>
  <c r="B2860" i="2"/>
  <c r="F2372" i="2"/>
  <c r="F1982" i="2"/>
  <c r="F1643" i="2"/>
  <c r="F2388" i="2"/>
  <c r="B1656" i="2"/>
  <c r="F1188" i="2"/>
  <c r="B817" i="2"/>
  <c r="B2428" i="2"/>
  <c r="F1856" i="2"/>
  <c r="B1513" i="2"/>
  <c r="B1048" i="2"/>
  <c r="F890" i="2"/>
  <c r="B3927" i="2"/>
  <c r="F2292" i="2"/>
  <c r="B1668" i="2"/>
  <c r="B1221" i="2"/>
  <c r="F1086" i="2"/>
  <c r="F2833" i="2"/>
  <c r="F1868" i="2"/>
  <c r="B1517" i="2"/>
  <c r="F1090" i="2"/>
  <c r="F3059" i="2"/>
  <c r="B2137" i="2"/>
  <c r="F1626" i="2"/>
  <c r="F1124" i="2"/>
  <c r="B852" i="2"/>
  <c r="B2851" i="2"/>
  <c r="F1947" i="2"/>
  <c r="F1443" i="2"/>
  <c r="F1098" i="2"/>
  <c r="F3507" i="2"/>
  <c r="F2474" i="2"/>
  <c r="F1729" i="2"/>
  <c r="F1943" i="2"/>
  <c r="F5646" i="2"/>
  <c r="B5562" i="2"/>
  <c r="B5330" i="2"/>
  <c r="B5114" i="2"/>
  <c r="B4838" i="2"/>
  <c r="B5709" i="2"/>
  <c r="B5469" i="2"/>
  <c r="B5313" i="2"/>
  <c r="B4949" i="2"/>
  <c r="F5764" i="2"/>
  <c r="B5716" i="2"/>
  <c r="B5460" i="2"/>
  <c r="B5284" i="2"/>
  <c r="B4972" i="2"/>
  <c r="F5771" i="2"/>
  <c r="B5703" i="2"/>
  <c r="B5467" i="2"/>
  <c r="B5115" i="2"/>
  <c r="B4899" i="2"/>
  <c r="F5483" i="2"/>
  <c r="F5438" i="2"/>
  <c r="F5451" i="2"/>
  <c r="F5344" i="2"/>
  <c r="F5272" i="2"/>
  <c r="F5297" i="2"/>
  <c r="F5460" i="2"/>
  <c r="F4647" i="2"/>
  <c r="F4247" i="2"/>
  <c r="F4067" i="2"/>
  <c r="F3923" i="2"/>
  <c r="F5611" i="2"/>
  <c r="F5267" i="2"/>
  <c r="B4169" i="2"/>
  <c r="F4642" i="2"/>
  <c r="F5043" i="2"/>
  <c r="F4172" i="2"/>
  <c r="F4700" i="2"/>
  <c r="F4130" i="2"/>
  <c r="F4393" i="2"/>
  <c r="F4783" i="2"/>
  <c r="B4189" i="2"/>
  <c r="B4450" i="2"/>
  <c r="B4050" i="2"/>
  <c r="B3859" i="2"/>
  <c r="B3356" i="2"/>
  <c r="F4899" i="2"/>
  <c r="F4033" i="2"/>
  <c r="B4152" i="2"/>
  <c r="B3883" i="2"/>
  <c r="B4170" i="2"/>
  <c r="F3873" i="2"/>
  <c r="F4078" i="2"/>
  <c r="B3810" i="2"/>
  <c r="F3973" i="2"/>
  <c r="F4281" i="2"/>
  <c r="B3942" i="2"/>
  <c r="B4022" i="2"/>
  <c r="B3709" i="2"/>
  <c r="F3275" i="2"/>
  <c r="B2874" i="2"/>
  <c r="B2770" i="2"/>
  <c r="B2658" i="2"/>
  <c r="B2538" i="2"/>
  <c r="B2454" i="2"/>
  <c r="B2362" i="2"/>
  <c r="B2118" i="2"/>
  <c r="F4173" i="2"/>
  <c r="B3981" i="2"/>
  <c r="B3329" i="2"/>
  <c r="B2859" i="2"/>
  <c r="B2712" i="2"/>
  <c r="F2539" i="2"/>
  <c r="F4062" i="2"/>
  <c r="B3622" i="2"/>
  <c r="F2905" i="2"/>
  <c r="B2772" i="2"/>
  <c r="B2609" i="2"/>
  <c r="F2460" i="2"/>
  <c r="F4016" i="2"/>
  <c r="F3436" i="2"/>
  <c r="B2931" i="2"/>
  <c r="B2776" i="2"/>
  <c r="F2621" i="2"/>
  <c r="B2469" i="2"/>
  <c r="B3902" i="2"/>
  <c r="B3382" i="2"/>
  <c r="F2887" i="2"/>
  <c r="F2740" i="2"/>
  <c r="B2591" i="2"/>
  <c r="F4092" i="2"/>
  <c r="B3481" i="2"/>
  <c r="F2971" i="2"/>
  <c r="F2757" i="2"/>
  <c r="F2603" i="2"/>
  <c r="F5600" i="2"/>
  <c r="B3649" i="2"/>
  <c r="B3318" i="2"/>
  <c r="F2882" i="2"/>
  <c r="B2697" i="2"/>
  <c r="F2537" i="2"/>
  <c r="B4583" i="2"/>
  <c r="B3530" i="2"/>
  <c r="F2912" i="2"/>
  <c r="B2779" i="2"/>
  <c r="B2581" i="2"/>
  <c r="F2467" i="2"/>
  <c r="F2324" i="2"/>
  <c r="B1979" i="2"/>
  <c r="B1843" i="2"/>
  <c r="B1727" i="2"/>
  <c r="B1627" i="2"/>
  <c r="F5774" i="2"/>
  <c r="B5774" i="2"/>
  <c r="B5550" i="2"/>
  <c r="B5326" i="2"/>
  <c r="B5102" i="2"/>
  <c r="B4818" i="2"/>
  <c r="B5681" i="2"/>
  <c r="B5465" i="2"/>
  <c r="B5289" i="2"/>
  <c r="B4937" i="2"/>
  <c r="F5748" i="2"/>
  <c r="B5712" i="2"/>
  <c r="B5456" i="2"/>
  <c r="B5272" i="2"/>
  <c r="B4960" i="2"/>
  <c r="F5767" i="2"/>
  <c r="B5699" i="2"/>
  <c r="B5455" i="2"/>
  <c r="B5099" i="2"/>
  <c r="B4887" i="2"/>
  <c r="F5477" i="2"/>
  <c r="F5294" i="2"/>
  <c r="F5424" i="2"/>
  <c r="F5287" i="2"/>
  <c r="F5266" i="2"/>
  <c r="F5291" i="2"/>
  <c r="F5454" i="2"/>
  <c r="F4643" i="2"/>
  <c r="F4199" i="2"/>
  <c r="F4055" i="2"/>
  <c r="F3911" i="2"/>
  <c r="F5563" i="2"/>
  <c r="F5148" i="2"/>
  <c r="B4103" i="2"/>
  <c r="B4557" i="2"/>
  <c r="F4999" i="2"/>
  <c r="F4118" i="2"/>
  <c r="F4650" i="2"/>
  <c r="B4060" i="2"/>
  <c r="F4381" i="2"/>
  <c r="F4737" i="2"/>
  <c r="B4167" i="2"/>
  <c r="B4393" i="2"/>
  <c r="F4037" i="2"/>
  <c r="F3854" i="2"/>
  <c r="B3344" i="2"/>
  <c r="F4884" i="2"/>
  <c r="B4020" i="2"/>
  <c r="F4104" i="2"/>
  <c r="F3878" i="2"/>
  <c r="B4163" i="2"/>
  <c r="B3835" i="2"/>
  <c r="F4032" i="2"/>
  <c r="F5019" i="2"/>
  <c r="B3969" i="2"/>
  <c r="B4213" i="2"/>
  <c r="B3925" i="2"/>
  <c r="F4000" i="2"/>
  <c r="B3697" i="2"/>
  <c r="B3267" i="2"/>
  <c r="B2862" i="2"/>
  <c r="B2766" i="2"/>
  <c r="B2654" i="2"/>
  <c r="B2534" i="2"/>
  <c r="B2450" i="2"/>
  <c r="B2358" i="2"/>
  <c r="B2074" i="2"/>
  <c r="B4161" i="2"/>
  <c r="F3910" i="2"/>
  <c r="F3324" i="2"/>
  <c r="F2854" i="2"/>
  <c r="F2707" i="2"/>
  <c r="B2531" i="2"/>
  <c r="B4025" i="2"/>
  <c r="B3610" i="2"/>
  <c r="B2897" i="2"/>
  <c r="F2767" i="2"/>
  <c r="F2604" i="2"/>
  <c r="B2452" i="2"/>
  <c r="B3966" i="2"/>
  <c r="F3391" i="2"/>
  <c r="B2901" i="2"/>
  <c r="F2771" i="2"/>
  <c r="B2600" i="2"/>
  <c r="F2464" i="2"/>
  <c r="F3888" i="2"/>
  <c r="F3364" i="2"/>
  <c r="B2879" i="2"/>
  <c r="B2732" i="2"/>
  <c r="F2586" i="2"/>
  <c r="B4030" i="2"/>
  <c r="F3390" i="2"/>
  <c r="F2917" i="2"/>
  <c r="B2749" i="2"/>
  <c r="B2595" i="2"/>
  <c r="F5562" i="2"/>
  <c r="F3587" i="2"/>
  <c r="F3308" i="2"/>
  <c r="B2844" i="2"/>
  <c r="F2692" i="2"/>
  <c r="B2529" i="2"/>
  <c r="F4236" i="2"/>
  <c r="F3492" i="2"/>
  <c r="B2904" i="2"/>
  <c r="F2774" i="2"/>
  <c r="F2576" i="2"/>
  <c r="B2459" i="2"/>
  <c r="B2308" i="2"/>
  <c r="B1967" i="2"/>
  <c r="B1839" i="2"/>
  <c r="B1723" i="2"/>
  <c r="B1615" i="2"/>
  <c r="B1539" i="2"/>
  <c r="F5770" i="2"/>
  <c r="B5762" i="2"/>
  <c r="B5546" i="2"/>
  <c r="B5322" i="2"/>
  <c r="B5086" i="2"/>
  <c r="B4806" i="2"/>
  <c r="B5677" i="2"/>
  <c r="B5453" i="2"/>
  <c r="B5285" i="2"/>
  <c r="B4921" i="2"/>
  <c r="F5744" i="2"/>
  <c r="B5708" i="2"/>
  <c r="B5452" i="2"/>
  <c r="B5268" i="2"/>
  <c r="B4948" i="2"/>
  <c r="F5763" i="2"/>
  <c r="B5675" i="2"/>
  <c r="B5451" i="2"/>
  <c r="B5087" i="2"/>
  <c r="B4875" i="2"/>
  <c r="F5471" i="2"/>
  <c r="F5288" i="2"/>
  <c r="F5325" i="2"/>
  <c r="F5242" i="2"/>
  <c r="F5260" i="2"/>
  <c r="F5285" i="2"/>
  <c r="F5400" i="2"/>
  <c r="F4631" i="2"/>
  <c r="F4195" i="2"/>
  <c r="F4051" i="2"/>
  <c r="F3907" i="2"/>
  <c r="F5380" i="2"/>
  <c r="F5059" i="2"/>
  <c r="F4090" i="2"/>
  <c r="F4524" i="2"/>
  <c r="F4985" i="2"/>
  <c r="F4106" i="2"/>
  <c r="B4642" i="2"/>
  <c r="B4051" i="2"/>
  <c r="F4369" i="2"/>
  <c r="B4725" i="2"/>
  <c r="F4162" i="2"/>
  <c r="B4381" i="2"/>
  <c r="B4029" i="2"/>
  <c r="B3809" i="2"/>
  <c r="B3340" i="2"/>
  <c r="B4644" i="2"/>
  <c r="B4015" i="2"/>
  <c r="B4085" i="2"/>
  <c r="B3874" i="2"/>
  <c r="F4157" i="2"/>
  <c r="F3822" i="2"/>
  <c r="B4028" i="2"/>
  <c r="F4856" i="2"/>
  <c r="B3955" i="2"/>
  <c r="F4193" i="2"/>
  <c r="F3912" i="2"/>
  <c r="B3996" i="2"/>
  <c r="B3542" i="2"/>
  <c r="F3262" i="2"/>
  <c r="B2858" i="2"/>
  <c r="B2754" i="2"/>
  <c r="B2642" i="2"/>
  <c r="B2530" i="2"/>
  <c r="B2446" i="2"/>
  <c r="B2354" i="2"/>
  <c r="B2062" i="2"/>
  <c r="F4082" i="2"/>
  <c r="B3890" i="2"/>
  <c r="F3319" i="2"/>
  <c r="F2845" i="2"/>
  <c r="B2699" i="2"/>
  <c r="F2526" i="2"/>
  <c r="B4017" i="2"/>
  <c r="F3531" i="2"/>
  <c r="F2892" i="2"/>
  <c r="F2745" i="2"/>
  <c r="B2596" i="2"/>
  <c r="F2447" i="2"/>
  <c r="B3923" i="2"/>
  <c r="B3387" i="2"/>
  <c r="F2896" i="2"/>
  <c r="B2763" i="2"/>
  <c r="F2595" i="2"/>
  <c r="B2456" i="2"/>
  <c r="B3881" i="2"/>
  <c r="F3350" i="2"/>
  <c r="F2874" i="2"/>
  <c r="F2719" i="2"/>
  <c r="F2577" i="2"/>
  <c r="F3993" i="2"/>
  <c r="F3359" i="2"/>
  <c r="B2909" i="2"/>
  <c r="F2744" i="2"/>
  <c r="F2590" i="2"/>
  <c r="F5515" i="2"/>
  <c r="B3543" i="2"/>
  <c r="F3303" i="2"/>
  <c r="F2839" i="2"/>
  <c r="B2684" i="2"/>
  <c r="F2524" i="2"/>
  <c r="B4192" i="2"/>
  <c r="B3390" i="2"/>
  <c r="F2899" i="2"/>
  <c r="F2765" i="2"/>
  <c r="B2568" i="2"/>
  <c r="B2437" i="2"/>
  <c r="B2296" i="2"/>
  <c r="B1963" i="2"/>
  <c r="B1823" i="2"/>
  <c r="B1719" i="2"/>
  <c r="B1611" i="2"/>
  <c r="B1535" i="2"/>
  <c r="B1347" i="2"/>
  <c r="B1123" i="2"/>
  <c r="B1039" i="2"/>
  <c r="B859" i="2"/>
  <c r="B3587" i="2"/>
  <c r="F3286" i="2"/>
  <c r="F2860" i="2"/>
  <c r="B2692" i="2"/>
  <c r="B2524" i="2"/>
  <c r="F3384" i="2"/>
  <c r="B2601" i="2"/>
  <c r="B2407" i="2"/>
  <c r="F2090" i="2"/>
  <c r="B1808" i="2"/>
  <c r="F5742" i="2"/>
  <c r="B5698" i="2"/>
  <c r="B5438" i="2"/>
  <c r="B4986" i="2"/>
  <c r="B5745" i="2"/>
  <c r="B5473" i="2"/>
  <c r="B5229" i="2"/>
  <c r="B4849" i="2"/>
  <c r="B5728" i="2"/>
  <c r="B5368" i="2"/>
  <c r="B5032" i="2"/>
  <c r="B4776" i="2"/>
  <c r="B5623" i="2"/>
  <c r="B5311" i="2"/>
  <c r="B4903" i="2"/>
  <c r="F5270" i="2"/>
  <c r="F5699" i="2"/>
  <c r="F5350" i="2"/>
  <c r="F4921" i="2"/>
  <c r="F5517" i="2"/>
  <c r="F4782" i="2"/>
  <c r="F4183" i="2"/>
  <c r="F3983" i="2"/>
  <c r="F3791" i="2"/>
  <c r="F4630" i="2"/>
  <c r="F5425" i="2"/>
  <c r="F5241" i="2"/>
  <c r="B4039" i="2"/>
  <c r="F4189" i="2"/>
  <c r="B4655" i="2"/>
  <c r="B4650" i="2"/>
  <c r="F4857" i="2"/>
  <c r="F4141" i="2"/>
  <c r="B3672" i="2"/>
  <c r="B3308" i="2"/>
  <c r="F4052" i="2"/>
  <c r="B4024" i="2"/>
  <c r="B4546" i="2"/>
  <c r="F3960" i="2"/>
  <c r="B4014" i="2"/>
  <c r="B4061" i="2"/>
  <c r="F4461" i="2"/>
  <c r="F5018" i="2"/>
  <c r="F3924" i="2"/>
  <c r="F3304" i="2"/>
  <c r="B2838" i="2"/>
  <c r="B2702" i="2"/>
  <c r="B2570" i="2"/>
  <c r="B2426" i="2"/>
  <c r="B2242" i="2"/>
  <c r="F4192" i="2"/>
  <c r="B3495" i="2"/>
  <c r="B2944" i="2"/>
  <c r="B2733" i="2"/>
  <c r="F2491" i="2"/>
  <c r="B3763" i="2"/>
  <c r="F3184" i="2"/>
  <c r="B2716" i="2"/>
  <c r="F2521" i="2"/>
  <c r="F4030" i="2"/>
  <c r="F3346" i="2"/>
  <c r="B2845" i="2"/>
  <c r="F2630" i="2"/>
  <c r="B2421" i="2"/>
  <c r="B3531" i="2"/>
  <c r="F2913" i="2"/>
  <c r="F2697" i="2"/>
  <c r="F2503" i="2"/>
  <c r="F3493" i="2"/>
  <c r="F2848" i="2"/>
  <c r="B2693" i="2"/>
  <c r="B2477" i="2"/>
  <c r="B3403" i="2"/>
  <c r="F2908" i="2"/>
  <c r="F2735" i="2"/>
  <c r="B2503" i="2"/>
  <c r="F3770" i="2"/>
  <c r="F2958" i="2"/>
  <c r="B2701" i="2"/>
  <c r="F2515" i="2"/>
  <c r="B2341" i="2"/>
  <c r="B1943" i="2"/>
  <c r="B1771" i="2"/>
  <c r="B1655" i="2"/>
  <c r="B1527" i="2"/>
  <c r="B1307" i="2"/>
  <c r="B1091" i="2"/>
  <c r="B927" i="2"/>
  <c r="F3984" i="2"/>
  <c r="B3331" i="2"/>
  <c r="F2903" i="2"/>
  <c r="F2756" i="2"/>
  <c r="F2554" i="2"/>
  <c r="B3770" i="2"/>
  <c r="B2593" i="2"/>
  <c r="F2369" i="2"/>
  <c r="F1984" i="2"/>
  <c r="B1757" i="2"/>
  <c r="B1581" i="2"/>
  <c r="B3414" i="2"/>
  <c r="F2562" i="2"/>
  <c r="F2231" i="2"/>
  <c r="B1872" i="2"/>
  <c r="F1709" i="2"/>
  <c r="B1542" i="2"/>
  <c r="B2855" i="2"/>
  <c r="B2479" i="2"/>
  <c r="B2219" i="2"/>
  <c r="B1884" i="2"/>
  <c r="F1713" i="2"/>
  <c r="F1528" i="2"/>
  <c r="B3321" i="2"/>
  <c r="B2584" i="2"/>
  <c r="F2289" i="2"/>
  <c r="B1950" i="2"/>
  <c r="F1730" i="2"/>
  <c r="B1550" i="2"/>
  <c r="B4596" i="2"/>
  <c r="B2553" i="2"/>
  <c r="B2364" i="2"/>
  <c r="B1941" i="2"/>
  <c r="B1726" i="2"/>
  <c r="B3906" i="2"/>
  <c r="F2716" i="2"/>
  <c r="F2444" i="2"/>
  <c r="B2164" i="2"/>
  <c r="F1861" i="2"/>
  <c r="F1699" i="2"/>
  <c r="B2889" i="2"/>
  <c r="B2348" i="2"/>
  <c r="F1720" i="2"/>
  <c r="F1422" i="2"/>
  <c r="B1126" i="2"/>
  <c r="F969" i="2"/>
  <c r="F3785" i="2"/>
  <c r="F2394" i="2"/>
  <c r="F1968" i="2"/>
  <c r="F1616" i="2"/>
  <c r="B1341" i="2"/>
  <c r="F1082" i="2"/>
  <c r="F861" i="2"/>
  <c r="F599" i="2"/>
  <c r="B3273" i="2"/>
  <c r="F2200" i="2"/>
  <c r="F1791" i="2"/>
  <c r="F1553" i="2"/>
  <c r="B1209" i="2"/>
  <c r="F1060" i="2"/>
  <c r="F3339" i="2"/>
  <c r="F2393" i="2"/>
  <c r="B1804" i="2"/>
  <c r="B1590" i="2"/>
  <c r="B1233" i="2"/>
  <c r="F1064" i="2"/>
  <c r="F3366" i="2"/>
  <c r="B2467" i="2"/>
  <c r="F2062" i="2"/>
  <c r="B1712" i="2"/>
  <c r="B1444" i="2"/>
  <c r="B1086" i="2"/>
  <c r="B964" i="2"/>
  <c r="F626" i="2"/>
  <c r="F2483" i="2"/>
  <c r="B2103" i="2"/>
  <c r="F1620" i="2"/>
  <c r="B1373" i="2"/>
  <c r="F1141" i="2"/>
  <c r="F963" i="2"/>
  <c r="F2893" i="2"/>
  <c r="F2283" i="2"/>
  <c r="B1724" i="2"/>
  <c r="B1481" i="2"/>
  <c r="F2510" i="2"/>
  <c r="F1645" i="2"/>
  <c r="F950" i="2"/>
  <c r="B1721" i="2"/>
  <c r="F1131" i="2"/>
  <c r="F3388" i="2"/>
  <c r="B1852" i="2"/>
  <c r="F1194" i="2"/>
  <c r="F888" i="2"/>
  <c r="F2527" i="2"/>
  <c r="B1618" i="2"/>
  <c r="F1123" i="2"/>
  <c r="F2010" i="2"/>
  <c r="B1493" i="2"/>
  <c r="F1083" i="2"/>
  <c r="F2422" i="2"/>
  <c r="F1544" i="2"/>
  <c r="B1032" i="2"/>
  <c r="F2376" i="2"/>
  <c r="F1529" i="2"/>
  <c r="F1031" i="2"/>
  <c r="F2773" i="2"/>
  <c r="B1536" i="2"/>
  <c r="F1075" i="2"/>
  <c r="B606" i="2"/>
  <c r="B331" i="2"/>
  <c r="B147" i="2"/>
  <c r="B83" i="2"/>
  <c r="F2902" i="2"/>
  <c r="F1813" i="2"/>
  <c r="B1153" i="2"/>
  <c r="B2751" i="2"/>
  <c r="F1864" i="2"/>
  <c r="B1322" i="2"/>
  <c r="B611" i="2"/>
  <c r="F182" i="2"/>
  <c r="F86" i="2"/>
  <c r="B1510" i="2"/>
  <c r="F564" i="2"/>
  <c r="F160" i="2"/>
  <c r="F64" i="2"/>
  <c r="F1540" i="2"/>
  <c r="F497" i="2"/>
  <c r="F142" i="2"/>
  <c r="F46" i="2"/>
  <c r="B634" i="2"/>
  <c r="B186" i="2"/>
  <c r="B77" i="2"/>
  <c r="F1023" i="2"/>
  <c r="B472" i="2"/>
  <c r="B129" i="2"/>
  <c r="F37" i="2"/>
  <c r="B609" i="2"/>
  <c r="F176" i="2"/>
  <c r="F80" i="2"/>
  <c r="F1022" i="2"/>
  <c r="F438" i="2"/>
  <c r="B137" i="2"/>
  <c r="B41" i="2"/>
  <c r="B562" i="2"/>
  <c r="F184" i="2"/>
  <c r="F88" i="2"/>
  <c r="F1157" i="2"/>
  <c r="F561" i="2"/>
  <c r="B180" i="2"/>
  <c r="B84" i="2"/>
  <c r="F829" i="2"/>
  <c r="B237" i="2"/>
  <c r="F109" i="2"/>
  <c r="B24" i="2"/>
  <c r="F605" i="2"/>
  <c r="F273" i="2"/>
  <c r="B92" i="2"/>
  <c r="F2759" i="2"/>
  <c r="F582" i="2"/>
  <c r="F187" i="2"/>
  <c r="F91" i="2"/>
  <c r="B78" i="2"/>
  <c r="B152" i="2"/>
  <c r="F1321" i="2"/>
  <c r="B477" i="2"/>
  <c r="B2820" i="2"/>
  <c r="F181" i="2"/>
  <c r="F971" i="2"/>
  <c r="F124" i="2"/>
  <c r="F33" i="2"/>
  <c r="B168" i="2"/>
  <c r="B904" i="2"/>
  <c r="F132" i="2"/>
  <c r="B550" i="2"/>
  <c r="B176" i="2"/>
  <c r="B80" i="2"/>
  <c r="F1105" i="2"/>
  <c r="F175" i="2"/>
  <c r="B794" i="2"/>
  <c r="B101" i="2"/>
  <c r="F600" i="2"/>
  <c r="B200" i="2"/>
  <c r="F2203" i="2"/>
  <c r="F178" i="2"/>
  <c r="F82" i="2"/>
  <c r="F606" i="2"/>
  <c r="B1685" i="2"/>
  <c r="B3389" i="2"/>
  <c r="B2528" i="2"/>
  <c r="F1156" i="2"/>
  <c r="F1530" i="2"/>
  <c r="F1437" i="2"/>
  <c r="F1479" i="2"/>
  <c r="F1505" i="2"/>
  <c r="B1492" i="2"/>
  <c r="B564" i="2"/>
  <c r="B75" i="2"/>
  <c r="F1093" i="2"/>
  <c r="F1152" i="2"/>
  <c r="F60" i="2"/>
  <c r="F147" i="2"/>
  <c r="F472" i="2"/>
  <c r="F609" i="2"/>
  <c r="F904" i="2"/>
  <c r="B116" i="2"/>
  <c r="F163" i="2"/>
  <c r="B320" i="2"/>
  <c r="B525" i="2"/>
  <c r="F1066" i="2"/>
  <c r="F70" i="2"/>
  <c r="F96" i="2"/>
  <c r="F174" i="2"/>
  <c r="F523" i="2"/>
  <c r="B5622" i="2"/>
  <c r="B4882" i="2"/>
  <c r="B5101" i="2"/>
  <c r="B5588" i="2"/>
  <c r="B4984" i="2"/>
  <c r="B5511" i="2"/>
  <c r="F5000" i="2"/>
  <c r="F5512" i="2"/>
  <c r="F4479" i="2"/>
  <c r="F5341" i="2"/>
  <c r="B4630" i="2"/>
  <c r="F5676" i="2"/>
  <c r="B3999" i="2"/>
  <c r="F3852" i="2"/>
  <c r="F4182" i="2"/>
  <c r="F4022" i="2"/>
  <c r="B3771" i="2"/>
  <c r="B2662" i="2"/>
  <c r="B2206" i="2"/>
  <c r="F2875" i="2"/>
  <c r="B3683" i="2"/>
  <c r="B2500" i="2"/>
  <c r="B3319" i="2"/>
  <c r="B4749" i="2"/>
  <c r="F2481" i="2"/>
  <c r="B2608" i="2"/>
  <c r="B2887" i="2"/>
  <c r="F3698" i="2"/>
  <c r="B2472" i="2"/>
  <c r="B1731" i="2"/>
  <c r="B1195" i="2"/>
  <c r="F3810" i="2"/>
  <c r="F2687" i="2"/>
  <c r="F2501" i="2"/>
  <c r="F1684" i="2"/>
  <c r="B2453" i="2"/>
  <c r="F1653" i="2"/>
  <c r="F4057" i="2"/>
  <c r="B2119" i="2"/>
  <c r="F1506" i="2"/>
  <c r="F2218" i="2"/>
  <c r="F1532" i="2"/>
  <c r="B2268" i="2"/>
  <c r="F3610" i="2"/>
  <c r="B2105" i="2"/>
  <c r="F2737" i="2"/>
  <c r="B1346" i="2"/>
  <c r="B2361" i="2"/>
  <c r="F1270" i="2"/>
  <c r="F579" i="2"/>
  <c r="F1732" i="2"/>
  <c r="F1163" i="2"/>
  <c r="F2352" i="2"/>
  <c r="B1192" i="2"/>
  <c r="F1980" i="2"/>
  <c r="F1068" i="2"/>
  <c r="F2448" i="2"/>
  <c r="B1344" i="2"/>
  <c r="F2768" i="2"/>
  <c r="F1415" i="2"/>
  <c r="F1341" i="2"/>
  <c r="F5738" i="2"/>
  <c r="B5678" i="2"/>
  <c r="B5318" i="2"/>
  <c r="B4898" i="2"/>
  <c r="B5741" i="2"/>
  <c r="B5449" i="2"/>
  <c r="B5217" i="2"/>
  <c r="B4777" i="2"/>
  <c r="B5624" i="2"/>
  <c r="B5356" i="2"/>
  <c r="B5016" i="2"/>
  <c r="F5751" i="2"/>
  <c r="B5519" i="2"/>
  <c r="B5299" i="2"/>
  <c r="B4863" i="2"/>
  <c r="F5183" i="2"/>
  <c r="F5469" i="2"/>
  <c r="F5545" i="2"/>
  <c r="F4882" i="2"/>
  <c r="F5511" i="2"/>
  <c r="F4607" i="2"/>
  <c r="F4159" i="2"/>
  <c r="F3979" i="2"/>
  <c r="F5353" i="2"/>
  <c r="F4618" i="2"/>
  <c r="F4772" i="2"/>
  <c r="B4651" i="2"/>
  <c r="F4034" i="2"/>
  <c r="B4181" i="2"/>
  <c r="B4303" i="2"/>
  <c r="B4345" i="2"/>
  <c r="F4851" i="2"/>
  <c r="F4024" i="2"/>
  <c r="B3660" i="2"/>
  <c r="B3228" i="2"/>
  <c r="F3926" i="2"/>
  <c r="F4014" i="2"/>
  <c r="F4476" i="2"/>
  <c r="F5683" i="2"/>
  <c r="F3925" i="2"/>
  <c r="F4050" i="2"/>
  <c r="B4187" i="2"/>
  <c r="F4855" i="2"/>
  <c r="F3808" i="2"/>
  <c r="B2982" i="2"/>
  <c r="B2834" i="2"/>
  <c r="B2682" i="2"/>
  <c r="B2526" i="2"/>
  <c r="B2402" i="2"/>
  <c r="B2230" i="2"/>
  <c r="B4065" i="2"/>
  <c r="F3469" i="2"/>
  <c r="F2901" i="2"/>
  <c r="F2643" i="2"/>
  <c r="B2483" i="2"/>
  <c r="F3745" i="2"/>
  <c r="B2884" i="2"/>
  <c r="F2689" i="2"/>
  <c r="B2513" i="2"/>
  <c r="F3874" i="2"/>
  <c r="B3333" i="2"/>
  <c r="F2797" i="2"/>
  <c r="B2565" i="2"/>
  <c r="F5548" i="2"/>
  <c r="F3518" i="2"/>
  <c r="F2857" i="2"/>
  <c r="F2663" i="2"/>
  <c r="B2495" i="2"/>
  <c r="B3355" i="2"/>
  <c r="B2840" i="2"/>
  <c r="B2621" i="2"/>
  <c r="B4184" i="2"/>
  <c r="F3385" i="2"/>
  <c r="B2900" i="2"/>
  <c r="F2658" i="2"/>
  <c r="F2463" i="2"/>
  <c r="F3765" i="2"/>
  <c r="B2891" i="2"/>
  <c r="F2696" i="2"/>
  <c r="B2485" i="2"/>
  <c r="B2200" i="2"/>
  <c r="B1939" i="2"/>
  <c r="B1759" i="2"/>
  <c r="B1607" i="2"/>
  <c r="B1523" i="2"/>
  <c r="B1259" i="2"/>
  <c r="B1087" i="2"/>
  <c r="B915" i="2"/>
  <c r="B3977" i="2"/>
  <c r="F3321" i="2"/>
  <c r="B2895" i="2"/>
  <c r="B2705" i="2"/>
  <c r="F2545" i="2"/>
  <c r="B3092" i="2"/>
  <c r="B2571" i="2"/>
  <c r="F2360" i="2"/>
  <c r="F1946" i="2"/>
  <c r="B1745" i="2"/>
  <c r="B1560" i="2"/>
  <c r="B3362" i="2"/>
  <c r="B2540" i="2"/>
  <c r="F2202" i="2"/>
  <c r="F1867" i="2"/>
  <c r="B1701" i="2"/>
  <c r="F1524" i="2"/>
  <c r="B2847" i="2"/>
  <c r="B2435" i="2"/>
  <c r="F2206" i="2"/>
  <c r="F1871" i="2"/>
  <c r="B1705" i="2"/>
  <c r="B1520" i="2"/>
  <c r="F3268" i="2"/>
  <c r="B2576" i="2"/>
  <c r="F2280" i="2"/>
  <c r="F1945" i="2"/>
  <c r="B1722" i="2"/>
  <c r="F1545" i="2"/>
  <c r="B4314" i="2"/>
  <c r="B2545" i="2"/>
  <c r="F2323" i="2"/>
  <c r="F1936" i="2"/>
  <c r="F1708" i="2"/>
  <c r="F3870" i="2"/>
  <c r="F2708" i="2"/>
  <c r="F2423" i="2"/>
  <c r="F2151" i="2"/>
  <c r="B1853" i="2"/>
  <c r="F1682" i="2"/>
  <c r="F2782" i="2"/>
  <c r="F2327" i="2"/>
  <c r="F1714" i="2"/>
  <c r="B1418" i="2"/>
  <c r="F1121" i="2"/>
  <c r="F903" i="2"/>
  <c r="B2945" i="2"/>
  <c r="F2380" i="2"/>
  <c r="B1949" i="2"/>
  <c r="B1604" i="2"/>
  <c r="B1320" i="2"/>
  <c r="B1074" i="2"/>
  <c r="B853" i="2"/>
  <c r="F587" i="2"/>
  <c r="F3263" i="2"/>
  <c r="F2137" i="2"/>
  <c r="F1771" i="2"/>
  <c r="F1548" i="2"/>
  <c r="F1196" i="2"/>
  <c r="B1052" i="2"/>
  <c r="B3302" i="2"/>
  <c r="B2380" i="2"/>
  <c r="B1797" i="2"/>
  <c r="F1583" i="2"/>
  <c r="F1220" i="2"/>
  <c r="B1056" i="2"/>
  <c r="F3357" i="2"/>
  <c r="B2449" i="2"/>
  <c r="B2028" i="2"/>
  <c r="B1706" i="2"/>
  <c r="F1416" i="2"/>
  <c r="F1081" i="2"/>
  <c r="F951" i="2"/>
  <c r="F610" i="2"/>
  <c r="B2475" i="2"/>
  <c r="B2049" i="2"/>
  <c r="F1613" i="2"/>
  <c r="B1361" i="2"/>
  <c r="B1133" i="2"/>
  <c r="F864" i="2"/>
  <c r="F2850" i="2"/>
  <c r="B2205" i="2"/>
  <c r="B1698" i="2"/>
  <c r="F1468" i="2"/>
  <c r="F2455" i="2"/>
  <c r="B1556" i="2"/>
  <c r="B3765" i="2"/>
  <c r="B1612" i="2"/>
  <c r="F1084" i="2"/>
  <c r="B2933" i="2"/>
  <c r="F1800" i="2"/>
  <c r="B1189" i="2"/>
  <c r="B876" i="2"/>
  <c r="F2518" i="2"/>
  <c r="B1592" i="2"/>
  <c r="F1096" i="2"/>
  <c r="B1965" i="2"/>
  <c r="B1480" i="2"/>
  <c r="F1076" i="2"/>
  <c r="B2404" i="2"/>
  <c r="B1530" i="2"/>
  <c r="B962" i="2"/>
  <c r="B2349" i="2"/>
  <c r="F1513" i="2"/>
  <c r="B996" i="2"/>
  <c r="F2601" i="2"/>
  <c r="F1520" i="2"/>
  <c r="F1036" i="2"/>
  <c r="F584" i="2"/>
  <c r="B319" i="2"/>
  <c r="B143" i="2"/>
  <c r="B79" i="2"/>
  <c r="F2880" i="2"/>
  <c r="B1788" i="2"/>
  <c r="F1127" i="2"/>
  <c r="F2712" i="2"/>
  <c r="F1846" i="2"/>
  <c r="F1190" i="2"/>
  <c r="B605" i="2"/>
  <c r="B174" i="2"/>
  <c r="F1080" i="2"/>
  <c r="B498" i="2"/>
  <c r="B56" i="2"/>
  <c r="B134" i="2"/>
  <c r="F628" i="2"/>
  <c r="F72" i="2"/>
  <c r="F422" i="2"/>
  <c r="F562" i="2"/>
  <c r="B72" i="2"/>
  <c r="B422" i="2"/>
  <c r="B37" i="2"/>
  <c r="F524" i="2"/>
  <c r="F79" i="2"/>
  <c r="F224" i="2"/>
  <c r="B2391" i="2"/>
  <c r="F87" i="2"/>
  <c r="B578" i="2"/>
  <c r="F926" i="2"/>
  <c r="F2841" i="2"/>
  <c r="F1425" i="2"/>
  <c r="F1376" i="2"/>
  <c r="B1072" i="2"/>
  <c r="F862" i="2"/>
  <c r="B1058" i="2"/>
  <c r="B2377" i="2"/>
  <c r="F2309" i="2"/>
  <c r="F2204" i="2"/>
  <c r="B239" i="2"/>
  <c r="F1741" i="2"/>
  <c r="F1787" i="2"/>
  <c r="F169" i="2"/>
  <c r="F493" i="2"/>
  <c r="B1062" i="2"/>
  <c r="F2408" i="2"/>
  <c r="B64" i="2"/>
  <c r="F2828" i="2"/>
  <c r="F67" i="2"/>
  <c r="B124" i="2"/>
  <c r="F171" i="2"/>
  <c r="F495" i="2"/>
  <c r="F212" i="2"/>
  <c r="B588" i="2"/>
  <c r="F1812" i="2"/>
  <c r="B61" i="2"/>
  <c r="B5733" i="2"/>
  <c r="B4835" i="2"/>
  <c r="F5745" i="2"/>
  <c r="F4091" i="2"/>
  <c r="B4415" i="2"/>
  <c r="F5298" i="2"/>
  <c r="B4324" i="2"/>
  <c r="F5113" i="2"/>
  <c r="F4905" i="2"/>
  <c r="F4161" i="2"/>
  <c r="B2958" i="2"/>
  <c r="B2510" i="2"/>
  <c r="B4031" i="2"/>
  <c r="F2622" i="2"/>
  <c r="B2863" i="2"/>
  <c r="F3794" i="2"/>
  <c r="B2552" i="2"/>
  <c r="F2831" i="2"/>
  <c r="B3337" i="2"/>
  <c r="B4053" i="2"/>
  <c r="F2620" i="2"/>
  <c r="F2877" i="2"/>
  <c r="F2105" i="2"/>
  <c r="B1599" i="2"/>
  <c r="B1067" i="2"/>
  <c r="B3303" i="2"/>
  <c r="B2511" i="2"/>
  <c r="F2295" i="2"/>
  <c r="F4829" i="2"/>
  <c r="B2153" i="2"/>
  <c r="F2786" i="2"/>
  <c r="B1649" i="2"/>
  <c r="B2415" i="2"/>
  <c r="F1674" i="2"/>
  <c r="B2445" i="2"/>
  <c r="F1665" i="2"/>
  <c r="B2368" i="2"/>
  <c r="F1622" i="2"/>
  <c r="B1650" i="2"/>
  <c r="B780" i="2"/>
  <c r="F1850" i="2"/>
  <c r="F1043" i="2"/>
  <c r="B2700" i="2"/>
  <c r="F1444" i="2"/>
  <c r="F2790" i="2"/>
  <c r="F1507" i="2"/>
  <c r="F2957" i="2"/>
  <c r="B1621" i="2"/>
  <c r="F782" i="2"/>
  <c r="F1886" i="2"/>
  <c r="F4404" i="2"/>
  <c r="B1678" i="2"/>
  <c r="F3362" i="2"/>
  <c r="F5714" i="2"/>
  <c r="B5674" i="2"/>
  <c r="B5314" i="2"/>
  <c r="B4886" i="2"/>
  <c r="B5737" i="2"/>
  <c r="B5437" i="2"/>
  <c r="B5205" i="2"/>
  <c r="F5772" i="2"/>
  <c r="B5600" i="2"/>
  <c r="B5352" i="2"/>
  <c r="B5004" i="2"/>
  <c r="F5747" i="2"/>
  <c r="B5515" i="2"/>
  <c r="B5295" i="2"/>
  <c r="B4851" i="2"/>
  <c r="F5114" i="2"/>
  <c r="F5463" i="2"/>
  <c r="F5518" i="2"/>
  <c r="F4876" i="2"/>
  <c r="F5484" i="2"/>
  <c r="F4595" i="2"/>
  <c r="F4103" i="2"/>
  <c r="F3975" i="2"/>
  <c r="F5347" i="2"/>
  <c r="F4561" i="2"/>
  <c r="B4689" i="2"/>
  <c r="F4646" i="2"/>
  <c r="F5496" i="2"/>
  <c r="F4176" i="2"/>
  <c r="F4258" i="2"/>
  <c r="F4340" i="2"/>
  <c r="B4750" i="2"/>
  <c r="B4016" i="2"/>
  <c r="B3624" i="2"/>
  <c r="F5292" i="2"/>
  <c r="B3870" i="2"/>
  <c r="F3997" i="2"/>
  <c r="F4428" i="2"/>
  <c r="F5672" i="2"/>
  <c r="F3908" i="2"/>
  <c r="B4037" i="2"/>
  <c r="F4180" i="2"/>
  <c r="F4736" i="2"/>
  <c r="B3792" i="2"/>
  <c r="B2970" i="2"/>
  <c r="B2822" i="2"/>
  <c r="B2678" i="2"/>
  <c r="B2522" i="2"/>
  <c r="B2398" i="2"/>
  <c r="B2218" i="2"/>
  <c r="B4036" i="2"/>
  <c r="B3425" i="2"/>
  <c r="B2880" i="2"/>
  <c r="B2627" i="2"/>
  <c r="F2478" i="2"/>
  <c r="F3695" i="2"/>
  <c r="F2879" i="2"/>
  <c r="B2681" i="2"/>
  <c r="F2508" i="2"/>
  <c r="B3807" i="2"/>
  <c r="F3323" i="2"/>
  <c r="B2789" i="2"/>
  <c r="F2560" i="2"/>
  <c r="F4861" i="2"/>
  <c r="B3494" i="2"/>
  <c r="B2849" i="2"/>
  <c r="F2625" i="2"/>
  <c r="F2490" i="2"/>
  <c r="B3346" i="2"/>
  <c r="F2835" i="2"/>
  <c r="F2616" i="2"/>
  <c r="F4165" i="2"/>
  <c r="F3368" i="2"/>
  <c r="F2895" i="2"/>
  <c r="B2625" i="2"/>
  <c r="B2455" i="2"/>
  <c r="F3743" i="2"/>
  <c r="F2886" i="2"/>
  <c r="B2688" i="2"/>
  <c r="F2480" i="2"/>
  <c r="F2134" i="2"/>
  <c r="B1935" i="2"/>
  <c r="B1743" i="2"/>
  <c r="B1603" i="2"/>
  <c r="B1443" i="2"/>
  <c r="B1247" i="2"/>
  <c r="B1083" i="2"/>
  <c r="B903" i="2"/>
  <c r="B3858" i="2"/>
  <c r="B3317" i="2"/>
  <c r="F2890" i="2"/>
  <c r="F2700" i="2"/>
  <c r="F2519" i="2"/>
  <c r="F2915" i="2"/>
  <c r="B2563" i="2"/>
  <c r="F2342" i="2"/>
  <c r="B1938" i="2"/>
  <c r="F1740" i="2"/>
  <c r="F1555" i="2"/>
  <c r="B3330" i="2"/>
  <c r="B2532" i="2"/>
  <c r="F2197" i="2"/>
  <c r="F1858" i="2"/>
  <c r="B1680" i="2"/>
  <c r="B4153" i="2"/>
  <c r="F2794" i="2"/>
  <c r="B2425" i="2"/>
  <c r="F2152" i="2"/>
  <c r="F1862" i="2"/>
  <c r="F1700" i="2"/>
  <c r="F1515" i="2"/>
  <c r="B3239" i="2"/>
  <c r="F2561" i="2"/>
  <c r="B2231" i="2"/>
  <c r="F1883" i="2"/>
  <c r="F1717" i="2"/>
  <c r="B1537" i="2"/>
  <c r="B3871" i="2"/>
  <c r="B2523" i="2"/>
  <c r="B2285" i="2"/>
  <c r="F1870" i="2"/>
  <c r="B1700" i="2"/>
  <c r="B3856" i="2"/>
  <c r="F2686" i="2"/>
  <c r="F2418" i="2"/>
  <c r="F2117" i="2"/>
  <c r="F1848" i="2"/>
  <c r="B1674" i="2"/>
  <c r="F2746" i="2"/>
  <c r="F2132" i="2"/>
  <c r="F1707" i="2"/>
  <c r="F1387" i="2"/>
  <c r="B1105" i="2"/>
  <c r="B862" i="2"/>
  <c r="B2932" i="2"/>
  <c r="B2375" i="2"/>
  <c r="B1936" i="2"/>
  <c r="F1590" i="2"/>
  <c r="F1307" i="2"/>
  <c r="F1069" i="2"/>
  <c r="B841" i="2"/>
  <c r="F583" i="2"/>
  <c r="F2944" i="2"/>
  <c r="B2132" i="2"/>
  <c r="B1738" i="2"/>
  <c r="F1543" i="2"/>
  <c r="B1188" i="2"/>
  <c r="F1047" i="2"/>
  <c r="F3272" i="2"/>
  <c r="F2366" i="2"/>
  <c r="B1784" i="2"/>
  <c r="F1564" i="2"/>
  <c r="F1208" i="2"/>
  <c r="F1051" i="2"/>
  <c r="B3311" i="2"/>
  <c r="B2433" i="2"/>
  <c r="F2014" i="2"/>
  <c r="F1698" i="2"/>
  <c r="B1340" i="2"/>
  <c r="B1073" i="2"/>
  <c r="B2457" i="2"/>
  <c r="B2033" i="2"/>
  <c r="B1608" i="2"/>
  <c r="F1348" i="2"/>
  <c r="F1128" i="2"/>
  <c r="B856" i="2"/>
  <c r="B2199" i="2"/>
  <c r="B2417" i="2"/>
  <c r="B1586" i="2"/>
  <c r="F1702" i="2"/>
  <c r="F2462" i="2"/>
  <c r="F1951" i="2"/>
  <c r="F1070" i="2"/>
  <c r="F887" i="2"/>
  <c r="F967" i="2"/>
  <c r="B1024" i="2"/>
  <c r="B131" i="2"/>
  <c r="F2820" i="2"/>
  <c r="B2480" i="2"/>
  <c r="B600" i="2"/>
  <c r="B1054" i="2"/>
  <c r="F51" i="2"/>
  <c r="F129" i="2"/>
  <c r="B160" i="2"/>
  <c r="B398" i="2"/>
  <c r="F550" i="2"/>
  <c r="F859" i="2"/>
  <c r="B33" i="2"/>
  <c r="B58" i="2"/>
  <c r="F166" i="2"/>
  <c r="B685" i="2"/>
  <c r="B1813" i="2"/>
  <c r="F78" i="2"/>
  <c r="B170" i="2"/>
  <c r="F5710" i="2"/>
  <c r="B5298" i="2"/>
  <c r="B5425" i="2"/>
  <c r="F5768" i="2"/>
  <c r="B5348" i="2"/>
  <c r="F5743" i="2"/>
  <c r="B5291" i="2"/>
  <c r="F5457" i="2"/>
  <c r="F5466" i="2"/>
  <c r="F3971" i="2"/>
  <c r="B4647" i="2"/>
  <c r="F4154" i="2"/>
  <c r="F4724" i="2"/>
  <c r="B3492" i="2"/>
  <c r="B3993" i="2"/>
  <c r="B3887" i="2"/>
  <c r="F4342" i="2"/>
  <c r="B2818" i="2"/>
  <c r="B2394" i="2"/>
  <c r="B3383" i="2"/>
  <c r="F2469" i="2"/>
  <c r="F2676" i="2"/>
  <c r="F2784" i="2"/>
  <c r="F3403" i="2"/>
  <c r="B2617" i="2"/>
  <c r="B2827" i="2"/>
  <c r="F3363" i="2"/>
  <c r="F2450" i="2"/>
  <c r="F2683" i="2"/>
  <c r="B1911" i="2"/>
  <c r="B1439" i="2"/>
  <c r="B891" i="2"/>
  <c r="F2881" i="2"/>
  <c r="F2907" i="2"/>
  <c r="F1933" i="2"/>
  <c r="B3298" i="2"/>
  <c r="B1850" i="2"/>
  <c r="F2396" i="2"/>
  <c r="B1854" i="2"/>
  <c r="F3217" i="2"/>
  <c r="F1866" i="2"/>
  <c r="F3774" i="2"/>
  <c r="B1862" i="2"/>
  <c r="F2678" i="2"/>
  <c r="B1840" i="2"/>
  <c r="B2120" i="2"/>
  <c r="F1100" i="2"/>
  <c r="B2773" i="2"/>
  <c r="B1554" i="2"/>
  <c r="F828" i="2"/>
  <c r="B2104" i="2"/>
  <c r="F1038" i="2"/>
  <c r="B1758" i="2"/>
  <c r="F1042" i="2"/>
  <c r="B2427" i="2"/>
  <c r="F1327" i="2"/>
  <c r="F4909" i="2"/>
  <c r="F1582" i="2"/>
  <c r="B1090" i="2"/>
  <c r="B2014" i="2"/>
  <c r="F2390" i="2"/>
  <c r="B5746" i="2"/>
  <c r="B5294" i="2"/>
  <c r="F5769" i="2"/>
  <c r="B5353" i="2"/>
  <c r="B4877" i="2"/>
  <c r="B5576" i="2"/>
  <c r="B5260" i="2"/>
  <c r="F5739" i="2"/>
  <c r="B5347" i="2"/>
  <c r="B4779" i="2"/>
  <c r="F5099" i="2"/>
  <c r="F5485" i="2"/>
  <c r="F5102" i="2"/>
  <c r="F4463" i="2"/>
  <c r="F4015" i="2"/>
  <c r="F5218" i="2"/>
  <c r="F5679" i="2"/>
  <c r="B4480" i="2"/>
  <c r="F4572" i="2"/>
  <c r="F5623" i="2"/>
  <c r="F5369" i="2"/>
  <c r="B3973" i="2"/>
  <c r="B3332" i="2"/>
  <c r="B3836" i="2"/>
  <c r="F4883" i="2"/>
  <c r="F4723" i="2"/>
  <c r="B4428" i="2"/>
  <c r="B4027" i="2"/>
  <c r="F3986" i="2"/>
  <c r="B2946" i="2"/>
  <c r="B2738" i="2"/>
  <c r="B2506" i="2"/>
  <c r="B2322" i="2"/>
  <c r="F4477" i="2"/>
  <c r="B3297" i="2"/>
  <c r="F2613" i="2"/>
  <c r="F3980" i="2"/>
  <c r="F2858" i="2"/>
  <c r="B2548" i="2"/>
  <c r="B3750" i="2"/>
  <c r="F2883" i="2"/>
  <c r="F2547" i="2"/>
  <c r="F3806" i="2"/>
  <c r="B2823" i="2"/>
  <c r="F2529" i="2"/>
  <c r="B3275" i="2"/>
  <c r="F2731" i="2"/>
  <c r="B3971" i="2"/>
  <c r="F3265" i="2"/>
  <c r="B2612" i="2"/>
  <c r="B3928" i="2"/>
  <c r="F2843" i="2"/>
  <c r="B2555" i="2"/>
  <c r="B2077" i="2"/>
  <c r="B1807" i="2"/>
  <c r="B1595" i="2"/>
  <c r="B1399" i="2"/>
  <c r="B1055" i="2"/>
  <c r="B4106" i="2"/>
  <c r="F3298" i="2"/>
  <c r="B2783" i="2"/>
  <c r="F2506" i="2"/>
  <c r="B2833" i="2"/>
  <c r="B2291" i="2"/>
  <c r="F1816" i="2"/>
  <c r="B4478" i="2"/>
  <c r="B2704" i="2"/>
  <c r="F2140" i="2"/>
  <c r="F1756" i="2"/>
  <c r="F3857" i="2"/>
  <c r="F2531" i="2"/>
  <c r="F2106" i="2"/>
  <c r="B1740" i="2"/>
  <c r="F1445" i="2"/>
  <c r="F2747" i="2"/>
  <c r="F2201" i="2"/>
  <c r="B1798" i="2"/>
  <c r="B1524" i="2"/>
  <c r="B2709" i="2"/>
  <c r="F2230" i="2"/>
  <c r="B1789" i="2"/>
  <c r="F3496" i="2"/>
  <c r="B2484" i="2"/>
  <c r="F2088" i="2"/>
  <c r="F1725" i="2"/>
  <c r="F2691" i="2"/>
  <c r="B1864" i="2"/>
  <c r="F1324" i="2"/>
  <c r="B1044" i="2"/>
  <c r="F2682" i="2"/>
  <c r="B2029" i="2"/>
  <c r="B1549" i="2"/>
  <c r="F1125" i="2"/>
  <c r="F723" i="2"/>
  <c r="B3554" i="2"/>
  <c r="F2091" i="2"/>
  <c r="B1609" i="2"/>
  <c r="F1154" i="2"/>
  <c r="F3990" i="2"/>
  <c r="F2339" i="2"/>
  <c r="F1647" i="2"/>
  <c r="F1158" i="2"/>
  <c r="F968" i="2"/>
  <c r="F2412" i="2"/>
  <c r="F1783" i="2"/>
  <c r="B1294" i="2"/>
  <c r="F1008" i="2"/>
  <c r="F4465" i="2"/>
  <c r="F2325" i="2"/>
  <c r="F1557" i="2"/>
  <c r="F1195" i="2"/>
  <c r="B4064" i="2"/>
  <c r="B2412" i="2"/>
  <c r="F1659" i="2"/>
  <c r="F4025" i="2"/>
  <c r="B1321" i="2"/>
  <c r="F2031" i="2"/>
  <c r="B1157" i="2"/>
  <c r="B2371" i="2"/>
  <c r="F1480" i="2"/>
  <c r="B950" i="2"/>
  <c r="F2288" i="2"/>
  <c r="B1292" i="2"/>
  <c r="F2198" i="2"/>
  <c r="B1360" i="2"/>
  <c r="F2535" i="2"/>
  <c r="B1552" i="2"/>
  <c r="F745" i="2"/>
  <c r="F1658" i="2"/>
  <c r="B1037" i="2"/>
  <c r="F1939" i="2"/>
  <c r="F1140" i="2"/>
  <c r="F624" i="2"/>
  <c r="B175" i="2"/>
  <c r="B107" i="2"/>
  <c r="B3173" i="2"/>
  <c r="B1665" i="2"/>
  <c r="B3325" i="2"/>
  <c r="F2024" i="2"/>
  <c r="F1164" i="2"/>
  <c r="F354" i="2"/>
  <c r="F95" i="2"/>
  <c r="F928" i="2"/>
  <c r="F186" i="2"/>
  <c r="B69" i="2"/>
  <c r="B892" i="2"/>
  <c r="B182" i="2"/>
  <c r="F55" i="2"/>
  <c r="B493" i="2"/>
  <c r="F120" i="2"/>
  <c r="F1246" i="2"/>
  <c r="F238" i="2"/>
  <c r="F63" i="2"/>
  <c r="F853" i="2"/>
  <c r="F141" i="2"/>
  <c r="F1586" i="2"/>
  <c r="F475" i="2"/>
  <c r="B102" i="2"/>
  <c r="F768" i="2"/>
  <c r="B189" i="2"/>
  <c r="F40" i="2"/>
  <c r="B626" i="2"/>
  <c r="F188" i="2"/>
  <c r="F2738" i="2"/>
  <c r="F478" i="2"/>
  <c r="B114" i="2"/>
  <c r="F1028" i="2"/>
  <c r="B474" i="2"/>
  <c r="F113" i="2"/>
  <c r="F1308" i="2"/>
  <c r="F285" i="2"/>
  <c r="B96" i="2"/>
  <c r="F54" i="2"/>
  <c r="B133" i="2"/>
  <c r="F262" i="2"/>
  <c r="F97" i="2"/>
  <c r="F162" i="2"/>
  <c r="B607" i="2"/>
  <c r="F2436" i="2"/>
  <c r="B450" i="2"/>
  <c r="F793" i="2"/>
  <c r="B70" i="2"/>
  <c r="B261" i="2"/>
  <c r="F56" i="2"/>
  <c r="B5735" i="2"/>
  <c r="F5455" i="2"/>
  <c r="F4339" i="2"/>
  <c r="F5474" i="2"/>
  <c r="F4341" i="2"/>
  <c r="F5312" i="2"/>
  <c r="B3889" i="2"/>
  <c r="F5318" i="2"/>
  <c r="B4201" i="2"/>
  <c r="F3977" i="2"/>
  <c r="B2706" i="2"/>
  <c r="B2254" i="2"/>
  <c r="B2592" i="2"/>
  <c r="F2793" i="2"/>
  <c r="B3626" i="2"/>
  <c r="F2775" i="2"/>
  <c r="F2701" i="2"/>
  <c r="F2572" i="2"/>
  <c r="B2520" i="2"/>
  <c r="B1555" i="2"/>
  <c r="B1043" i="2"/>
  <c r="B2761" i="2"/>
  <c r="B2203" i="2"/>
  <c r="F2570" i="2"/>
  <c r="F3697" i="2"/>
  <c r="B2035" i="2"/>
  <c r="F2606" i="2"/>
  <c r="F1739" i="2"/>
  <c r="F2139" i="2"/>
  <c r="B2451" i="2"/>
  <c r="B2497" i="2"/>
  <c r="B1022" i="2"/>
  <c r="F1091" i="2"/>
  <c r="B3349" i="2"/>
  <c r="B1121" i="2"/>
  <c r="B1596" i="2"/>
  <c r="F2379" i="2"/>
  <c r="F1162" i="2"/>
  <c r="F2136" i="2"/>
  <c r="F3989" i="2"/>
  <c r="F2627" i="2"/>
  <c r="B1053" i="2"/>
  <c r="F649" i="2"/>
  <c r="B1800" i="2"/>
  <c r="B1325" i="2"/>
  <c r="B674" i="2"/>
  <c r="B511" i="2"/>
  <c r="B95" i="2"/>
  <c r="B2829" i="2"/>
  <c r="B39" i="2"/>
  <c r="F26" i="2"/>
  <c r="F1419" i="2"/>
  <c r="F633" i="2"/>
  <c r="F496" i="2"/>
  <c r="F1067" i="2"/>
  <c r="F601" i="2"/>
  <c r="F566" i="2"/>
  <c r="F343" i="2"/>
  <c r="B286" i="2"/>
  <c r="F806" i="2"/>
  <c r="B5673" i="2"/>
  <c r="B5321" i="2"/>
  <c r="B5731" i="2"/>
  <c r="F5319" i="2"/>
  <c r="F4327" i="2"/>
  <c r="F5456" i="2"/>
  <c r="B4476" i="2"/>
  <c r="F4878" i="2"/>
  <c r="B4595" i="2"/>
  <c r="F4169" i="2"/>
  <c r="F3529" i="2"/>
  <c r="B2462" i="2"/>
  <c r="F4160" i="2"/>
  <c r="B3338" i="2"/>
  <c r="F3621" i="2"/>
  <c r="F3309" i="2"/>
  <c r="F3985" i="2"/>
  <c r="F2581" i="2"/>
  <c r="B2551" i="2"/>
  <c r="F2432" i="2"/>
  <c r="B1551" i="2"/>
  <c r="F3660" i="2"/>
  <c r="B2679" i="2"/>
  <c r="F2131" i="2"/>
  <c r="F2415" i="2"/>
  <c r="F3683" i="2"/>
  <c r="F1644" i="2"/>
  <c r="B2401" i="2"/>
  <c r="F1457" i="2"/>
  <c r="B1657" i="2"/>
  <c r="B1614" i="2"/>
  <c r="F1221" i="2"/>
  <c r="F1843" i="2"/>
  <c r="F1034" i="2"/>
  <c r="F1948" i="2"/>
  <c r="F2699" i="2"/>
  <c r="F1120" i="2"/>
  <c r="F1595" i="2"/>
  <c r="F746" i="2"/>
  <c r="F1860" i="2"/>
  <c r="F3742" i="2"/>
  <c r="B2267" i="2"/>
  <c r="F970" i="2"/>
  <c r="F608" i="2"/>
  <c r="F1032" i="2"/>
  <c r="B2288" i="2"/>
  <c r="B1338" i="2"/>
  <c r="B926" i="2"/>
  <c r="B2611" i="2"/>
  <c r="F1664" i="2"/>
  <c r="B35" i="2"/>
  <c r="B3343" i="2"/>
  <c r="F1061" i="2"/>
  <c r="F59" i="2"/>
  <c r="B2088" i="2"/>
  <c r="B769" i="2"/>
  <c r="F512" i="2"/>
  <c r="F474" i="2"/>
  <c r="F1441" i="2"/>
  <c r="F697" i="2"/>
  <c r="F52" i="2"/>
  <c r="B5669" i="2"/>
  <c r="B5476" i="2"/>
  <c r="B5071" i="2"/>
  <c r="F5329" i="2"/>
  <c r="F3887" i="2"/>
  <c r="F4198" i="2"/>
  <c r="F4344" i="2"/>
  <c r="F4558" i="2"/>
  <c r="B4104" i="2"/>
  <c r="B3493" i="2"/>
  <c r="B2458" i="2"/>
  <c r="F2832" i="2"/>
  <c r="F2780" i="2"/>
  <c r="F2749" i="2"/>
  <c r="F2762" i="2"/>
  <c r="B2560" i="2"/>
  <c r="F2546" i="2"/>
  <c r="B2424" i="2"/>
  <c r="B1547" i="2"/>
  <c r="F3599" i="2"/>
  <c r="F2657" i="2"/>
  <c r="F2119" i="2"/>
  <c r="F2401" i="2"/>
  <c r="F1640" i="2"/>
  <c r="B1984" i="2"/>
  <c r="B2392" i="2"/>
  <c r="F1345" i="2"/>
  <c r="F1652" i="2"/>
  <c r="B1966" i="2"/>
  <c r="F1629" i="2"/>
  <c r="F2421" i="2"/>
  <c r="B1026" i="2"/>
  <c r="F2656" i="2"/>
  <c r="B1078" i="2"/>
  <c r="B1082" i="2"/>
  <c r="B1558" i="2"/>
  <c r="F2751" i="2"/>
  <c r="B1077" i="2"/>
  <c r="B1521" i="2"/>
  <c r="F1546" i="2"/>
  <c r="B1124" i="2"/>
  <c r="B1669" i="2"/>
  <c r="B1156" i="2"/>
  <c r="F2704" i="2"/>
  <c r="B1708" i="2"/>
  <c r="B155" i="2"/>
  <c r="F1234" i="2"/>
  <c r="B649" i="2"/>
  <c r="F581" i="2"/>
  <c r="B2409" i="2"/>
  <c r="B972" i="2"/>
  <c r="B142" i="2"/>
  <c r="F93" i="2"/>
  <c r="B54" i="2"/>
  <c r="B4087" i="2"/>
  <c r="F1074" i="2"/>
  <c r="B650" i="2"/>
  <c r="B663" i="2"/>
  <c r="F5766" i="2"/>
  <c r="B5657" i="2"/>
  <c r="B5436" i="2"/>
  <c r="B5059" i="2"/>
  <c r="F5115" i="2"/>
  <c r="F4854" i="2"/>
  <c r="F5086" i="2"/>
  <c r="B3696" i="2"/>
  <c r="B4052" i="2"/>
  <c r="F3762" i="2"/>
  <c r="B2594" i="2"/>
  <c r="F3626" i="2"/>
  <c r="F2517" i="2"/>
  <c r="F5450" i="2"/>
  <c r="B3271" i="2"/>
  <c r="B2883" i="2"/>
  <c r="B2788" i="2"/>
  <c r="F2718" i="2"/>
  <c r="B1951" i="2"/>
  <c r="B1159" i="2"/>
  <c r="F2916" i="2"/>
  <c r="F2430" i="2"/>
  <c r="B3698" i="2"/>
  <c r="F1937" i="2"/>
  <c r="F1615" i="2"/>
  <c r="F2378" i="2"/>
  <c r="B3769" i="2"/>
  <c r="F4910" i="2"/>
  <c r="F1995" i="2"/>
  <c r="B2345" i="2"/>
  <c r="F2367" i="2"/>
  <c r="B648" i="2"/>
  <c r="F1021" i="2"/>
  <c r="B1817" i="2"/>
  <c r="B2597" i="2"/>
  <c r="F1077" i="2"/>
  <c r="B1553" i="2"/>
  <c r="B2743" i="2"/>
  <c r="F1072" i="2"/>
  <c r="B1934" i="2"/>
  <c r="B1085" i="2"/>
  <c r="F1897" i="2"/>
  <c r="F1651" i="2"/>
  <c r="B1102" i="2"/>
  <c r="B1222" i="2"/>
  <c r="B828" i="2"/>
  <c r="B63" i="2"/>
  <c r="B2384" i="2"/>
  <c r="F134" i="2"/>
  <c r="F125" i="2"/>
  <c r="B599" i="2"/>
  <c r="F226" i="2"/>
  <c r="F137" i="2"/>
  <c r="B85" i="2"/>
  <c r="F49" i="2"/>
  <c r="B3742" i="2"/>
  <c r="F1048" i="2"/>
  <c r="B631" i="2"/>
  <c r="B625" i="2"/>
  <c r="B5466" i="2"/>
  <c r="B5241" i="2"/>
  <c r="B5424" i="2"/>
  <c r="B5635" i="2"/>
  <c r="F5684" i="2"/>
  <c r="F5088" i="2"/>
  <c r="B4643" i="2"/>
  <c r="F4864" i="2"/>
  <c r="B3684" i="2"/>
  <c r="F4028" i="2"/>
  <c r="B3873" i="2"/>
  <c r="B2842" i="2"/>
  <c r="B2030" i="2"/>
  <c r="B2509" i="2"/>
  <c r="F2732" i="2"/>
  <c r="B2685" i="2"/>
  <c r="F2706" i="2"/>
  <c r="B2525" i="2"/>
  <c r="F2511" i="2"/>
  <c r="B2389" i="2"/>
  <c r="B1675" i="2"/>
  <c r="B939" i="2"/>
  <c r="B2607" i="2"/>
  <c r="B1997" i="2"/>
  <c r="F2392" i="2"/>
  <c r="F1606" i="2"/>
  <c r="B1933" i="2"/>
  <c r="F2368" i="2"/>
  <c r="F4837" i="2"/>
  <c r="F1949" i="2"/>
  <c r="B2739" i="2"/>
  <c r="F1596" i="2"/>
  <c r="F1134" i="2"/>
  <c r="B1792" i="2"/>
  <c r="F603" i="2"/>
  <c r="B1374" i="2"/>
  <c r="F2549" i="2"/>
  <c r="B1069" i="2"/>
  <c r="F1094" i="2"/>
  <c r="B2549" i="2"/>
  <c r="B2903" i="2"/>
  <c r="F1998" i="2"/>
  <c r="B3962" i="2"/>
  <c r="F3773" i="2"/>
  <c r="F3763" i="2"/>
  <c r="F1063" i="2"/>
  <c r="F2296" i="2"/>
  <c r="F1442" i="2"/>
  <c r="B127" i="2"/>
  <c r="B2323" i="2"/>
  <c r="B1557" i="2"/>
  <c r="B23" i="2"/>
  <c r="F423" i="2"/>
  <c r="F103" i="2"/>
  <c r="B38" i="2"/>
  <c r="B1098" i="2"/>
  <c r="B602" i="2"/>
  <c r="F376" i="2"/>
  <c r="B409" i="2"/>
  <c r="B36" i="2"/>
  <c r="F35" i="2"/>
  <c r="F130" i="2"/>
  <c r="F5686" i="2"/>
  <c r="B4878" i="2"/>
  <c r="B5085" i="2"/>
  <c r="B5320" i="2"/>
  <c r="B5043" i="2"/>
  <c r="F5531" i="2"/>
  <c r="F3851" i="2"/>
  <c r="B4186" i="2"/>
  <c r="B4315" i="2"/>
  <c r="F4318" i="2"/>
  <c r="B3878" i="2"/>
  <c r="F3330" i="2"/>
  <c r="B2390" i="2"/>
  <c r="F3370" i="2"/>
  <c r="B3301" i="2"/>
  <c r="B3310" i="2"/>
  <c r="B3184" i="2"/>
  <c r="F2822" i="2"/>
  <c r="F3331" i="2"/>
  <c r="B3270" i="2"/>
  <c r="B1671" i="2"/>
  <c r="B887" i="2"/>
  <c r="F2602" i="2"/>
  <c r="F2420" i="2"/>
  <c r="F1649" i="2"/>
  <c r="B1825" i="2"/>
  <c r="B2360" i="2"/>
  <c r="B5742" i="2"/>
  <c r="B5270" i="2"/>
  <c r="F5765" i="2"/>
  <c r="B5341" i="2"/>
  <c r="B4861" i="2"/>
  <c r="B5564" i="2"/>
  <c r="B5256" i="2"/>
  <c r="B5763" i="2"/>
  <c r="B5343" i="2"/>
  <c r="F5680" i="2"/>
  <c r="F5749" i="2"/>
  <c r="F5479" i="2"/>
  <c r="F5048" i="2"/>
  <c r="F4439" i="2"/>
  <c r="F4011" i="2"/>
  <c r="F5047" i="2"/>
  <c r="F5513" i="2"/>
  <c r="B4439" i="2"/>
  <c r="F4560" i="2"/>
  <c r="F5519" i="2"/>
  <c r="F5320" i="2"/>
  <c r="F3909" i="2"/>
  <c r="B3328" i="2"/>
  <c r="B3811" i="2"/>
  <c r="F4849" i="2"/>
  <c r="F4689" i="2"/>
  <c r="B4323" i="2"/>
  <c r="B4018" i="2"/>
  <c r="B3968" i="2"/>
  <c r="B2930" i="2"/>
  <c r="B2734" i="2"/>
  <c r="B2502" i="2"/>
  <c r="B2310" i="2"/>
  <c r="B4212" i="2"/>
  <c r="F3267" i="2"/>
  <c r="B2605" i="2"/>
  <c r="F3902" i="2"/>
  <c r="F2836" i="2"/>
  <c r="F2543" i="2"/>
  <c r="F3720" i="2"/>
  <c r="B2875" i="2"/>
  <c r="B2539" i="2"/>
  <c r="B3762" i="2"/>
  <c r="F2818" i="2"/>
  <c r="B2521" i="2"/>
  <c r="F3270" i="2"/>
  <c r="B2715" i="2"/>
  <c r="B3907" i="2"/>
  <c r="B3261" i="2"/>
  <c r="F2607" i="2"/>
  <c r="F3906" i="2"/>
  <c r="F2821" i="2"/>
  <c r="F2550" i="2"/>
  <c r="B2048" i="2"/>
  <c r="B1803" i="2"/>
  <c r="B1591" i="2"/>
  <c r="B1359" i="2"/>
  <c r="B1051" i="2"/>
  <c r="F4081" i="2"/>
  <c r="B3274" i="2"/>
  <c r="F2778" i="2"/>
  <c r="B2476" i="2"/>
  <c r="B2825" i="2"/>
  <c r="F2286" i="2"/>
  <c r="F1803" i="2"/>
  <c r="B4198" i="2"/>
  <c r="F2592" i="2"/>
  <c r="B2136" i="2"/>
  <c r="F1744" i="2"/>
  <c r="F3849" i="2"/>
  <c r="F2523" i="2"/>
  <c r="F2089" i="2"/>
  <c r="F1735" i="2"/>
  <c r="F1420" i="2"/>
  <c r="F2665" i="2"/>
  <c r="B2197" i="2"/>
  <c r="B1756" i="2"/>
  <c r="F1519" i="2"/>
  <c r="B2695" i="2"/>
  <c r="F2205" i="2"/>
  <c r="F1784" i="2"/>
  <c r="F3425" i="2"/>
  <c r="F2470" i="2"/>
  <c r="F2046" i="2"/>
  <c r="B1717" i="2"/>
  <c r="B2683" i="2"/>
  <c r="B1838" i="2"/>
  <c r="B1308" i="2"/>
  <c r="F1039" i="2"/>
  <c r="B2589" i="2"/>
  <c r="B2016" i="2"/>
  <c r="B1544" i="2"/>
  <c r="F1104" i="2"/>
  <c r="F711" i="2"/>
  <c r="F3495" i="2"/>
  <c r="F2028" i="2"/>
  <c r="F1603" i="2"/>
  <c r="B1134" i="2"/>
  <c r="B3911" i="2"/>
  <c r="F2326" i="2"/>
  <c r="F1641" i="2"/>
  <c r="B1138" i="2"/>
  <c r="F939" i="2"/>
  <c r="F2399" i="2"/>
  <c r="F1770" i="2"/>
  <c r="B1196" i="2"/>
  <c r="F996" i="2"/>
  <c r="B4347" i="2"/>
  <c r="B2284" i="2"/>
  <c r="F1552" i="2"/>
  <c r="F1166" i="2"/>
  <c r="B4026" i="2"/>
  <c r="B2399" i="2"/>
  <c r="B1626" i="2"/>
  <c r="F2919" i="2"/>
  <c r="B1293" i="2"/>
  <c r="B1885" i="2"/>
  <c r="B1066" i="2"/>
  <c r="F2361" i="2"/>
  <c r="F1388" i="2"/>
  <c r="F856" i="2"/>
  <c r="B1860" i="2"/>
  <c r="B1162" i="2"/>
  <c r="F1910" i="2"/>
  <c r="F1346" i="2"/>
  <c r="B2527" i="2"/>
  <c r="F1414" i="2"/>
  <c r="F648" i="2"/>
  <c r="B1582" i="2"/>
  <c r="F892" i="2"/>
  <c r="F1838" i="2"/>
  <c r="B1128" i="2"/>
  <c r="B527" i="2"/>
  <c r="B171" i="2"/>
  <c r="B103" i="2"/>
  <c r="F2811" i="2"/>
  <c r="B1505" i="2"/>
  <c r="B3129" i="2"/>
  <c r="F1723" i="2"/>
  <c r="F1092" i="2"/>
  <c r="F297" i="2"/>
  <c r="B52" i="2"/>
  <c r="F863" i="2"/>
  <c r="B178" i="2"/>
  <c r="F42" i="2"/>
  <c r="F876" i="2"/>
  <c r="F177" i="2"/>
  <c r="F1786" i="2"/>
  <c r="B481" i="2"/>
  <c r="B112" i="2"/>
  <c r="F875" i="2"/>
  <c r="F172" i="2"/>
  <c r="F525" i="2"/>
  <c r="B1281" i="2"/>
  <c r="F685" i="2"/>
  <c r="F36" i="2"/>
  <c r="B158" i="2"/>
  <c r="B88" i="2"/>
  <c r="F449" i="2"/>
  <c r="B1165" i="2"/>
  <c r="B5532" i="2"/>
  <c r="B3929" i="2"/>
  <c r="F4178" i="2"/>
  <c r="F2530" i="2"/>
  <c r="F2512" i="2"/>
  <c r="B2508" i="2"/>
  <c r="B3853" i="2"/>
  <c r="B3872" i="2"/>
  <c r="B2027" i="2"/>
  <c r="F4012" i="2"/>
  <c r="B2463" i="2"/>
  <c r="B1786" i="2"/>
  <c r="B2031" i="2"/>
  <c r="B2493" i="2"/>
  <c r="F1399" i="2"/>
  <c r="F2575" i="2"/>
  <c r="F3302" i="2"/>
  <c r="B1704" i="2"/>
  <c r="B1234" i="2"/>
  <c r="F1981" i="2"/>
  <c r="F2015" i="2"/>
  <c r="F3348" i="2"/>
  <c r="B1125" i="2"/>
  <c r="F1724" i="2"/>
  <c r="B3743" i="2"/>
  <c r="F1153" i="2"/>
  <c r="F1600" i="2"/>
  <c r="B1729" i="2"/>
  <c r="F1347" i="2"/>
  <c r="F1130" i="2"/>
  <c r="F2431" i="2"/>
  <c r="F1551" i="2"/>
  <c r="B1094" i="2"/>
  <c r="B2713" i="2"/>
  <c r="F709" i="2"/>
  <c r="B806" i="2"/>
  <c r="B629" i="2"/>
  <c r="F427" i="2"/>
  <c r="F41" i="2"/>
  <c r="F225" i="2"/>
  <c r="F136" i="2"/>
  <c r="B145" i="2"/>
  <c r="B746" i="2"/>
  <c r="B212" i="2"/>
  <c r="B5514" i="2"/>
  <c r="B5480" i="2"/>
  <c r="B5083" i="2"/>
  <c r="F5368" i="2"/>
  <c r="F3903" i="2"/>
  <c r="B4247" i="2"/>
  <c r="B4369" i="2"/>
  <c r="F4835" i="2"/>
  <c r="B3964" i="2"/>
  <c r="B2618" i="2"/>
  <c r="B2837" i="2"/>
  <c r="B2785" i="2"/>
  <c r="F2758" i="2"/>
  <c r="B2767" i="2"/>
  <c r="B2809" i="2"/>
  <c r="B2792" i="2"/>
  <c r="B1703" i="2"/>
  <c r="B1035" i="2"/>
  <c r="B2441" i="2"/>
  <c r="B3884" i="2"/>
  <c r="B1645" i="2"/>
  <c r="F2030" i="2"/>
  <c r="F2034" i="2"/>
  <c r="B2135" i="2"/>
  <c r="F2363" i="2"/>
  <c r="B2488" i="2"/>
  <c r="B768" i="2"/>
  <c r="F647" i="2"/>
  <c r="B1440" i="2"/>
  <c r="F2049" i="2"/>
  <c r="F2894" i="2"/>
  <c r="B1154" i="2"/>
  <c r="F1085" i="2"/>
  <c r="F1594" i="2"/>
  <c r="B1562" i="2"/>
  <c r="B1137" i="2"/>
  <c r="F1161" i="2"/>
  <c r="F3316" i="2"/>
  <c r="F1733" i="2"/>
  <c r="B159" i="2"/>
  <c r="F1247" i="2"/>
  <c r="B697" i="2"/>
  <c r="B723" i="2"/>
  <c r="B121" i="2"/>
  <c r="F602" i="2"/>
  <c r="B476" i="2"/>
  <c r="F213" i="2"/>
  <c r="B128" i="2"/>
  <c r="B184" i="2"/>
  <c r="B166" i="2"/>
  <c r="F165" i="2"/>
  <c r="B5474" i="2"/>
  <c r="B5317" i="2"/>
  <c r="B4860" i="2"/>
  <c r="F5262" i="2"/>
  <c r="F4323" i="2"/>
  <c r="B4342" i="2"/>
  <c r="F4838" i="2"/>
  <c r="B4559" i="2"/>
  <c r="B3882" i="2"/>
  <c r="B2898" i="2"/>
  <c r="B2046" i="2"/>
  <c r="F2565" i="2"/>
  <c r="F2434" i="2"/>
  <c r="F2499" i="2"/>
  <c r="F3957" i="2"/>
  <c r="F3793" i="2"/>
  <c r="F3349" i="2"/>
  <c r="B2019" i="2"/>
  <c r="B1163" i="2"/>
  <c r="F2945" i="2"/>
  <c r="F2479" i="2"/>
  <c r="B3747" i="2"/>
  <c r="F3140" i="2"/>
  <c r="B1624" i="2"/>
  <c r="B1996" i="2"/>
  <c r="F2016" i="2"/>
  <c r="B2359" i="2"/>
  <c r="B2381" i="2"/>
  <c r="B652" i="2"/>
  <c r="B1445" i="2"/>
  <c r="B1422" i="2"/>
  <c r="B1856" i="2"/>
  <c r="F2885" i="2"/>
  <c r="B1108" i="2"/>
  <c r="B1848" i="2"/>
  <c r="F3116" i="2"/>
  <c r="B2133" i="2"/>
  <c r="B1944" i="2"/>
  <c r="F1026" i="2"/>
  <c r="F1825" i="2"/>
  <c r="F1235" i="2"/>
  <c r="B860" i="2"/>
  <c r="B67" i="2"/>
  <c r="F2402" i="2"/>
  <c r="F143" i="2"/>
  <c r="B130" i="2"/>
  <c r="F116" i="2"/>
  <c r="F50" i="2"/>
  <c r="B1886" i="2"/>
  <c r="B633" i="2"/>
  <c r="B496" i="2"/>
  <c r="B438" i="2"/>
  <c r="F61" i="2"/>
  <c r="B44" i="2"/>
  <c r="B5470" i="2"/>
  <c r="B5253" i="2"/>
  <c r="B5671" i="2"/>
  <c r="F5256" i="2"/>
  <c r="F4191" i="2"/>
  <c r="B4321" i="2"/>
  <c r="F4712" i="2"/>
  <c r="F4546" i="2"/>
  <c r="B4023" i="2"/>
  <c r="F3480" i="2"/>
  <c r="B2442" i="2"/>
  <c r="B2824" i="2"/>
  <c r="B2737" i="2"/>
  <c r="B2741" i="2"/>
  <c r="B2711" i="2"/>
  <c r="B3518" i="2"/>
  <c r="B3313" i="2"/>
  <c r="B1687" i="2"/>
  <c r="B1027" i="2"/>
  <c r="F2628" i="2"/>
  <c r="F2013" i="2"/>
  <c r="F1619" i="2"/>
  <c r="F1983" i="2"/>
  <c r="F2414" i="2"/>
  <c r="B2747" i="2"/>
  <c r="B1601" i="2"/>
  <c r="F1155" i="2"/>
  <c r="F1804" i="2"/>
  <c r="F607" i="2"/>
  <c r="F1412" i="2"/>
  <c r="F1842" i="2"/>
  <c r="F2842" i="2"/>
  <c r="F1103" i="2"/>
  <c r="B1842" i="2"/>
  <c r="B3059" i="2"/>
  <c r="B2032" i="2"/>
  <c r="F830" i="2"/>
  <c r="F565" i="2"/>
  <c r="B1677" i="2"/>
  <c r="B1136" i="2"/>
  <c r="F3325" i="2"/>
  <c r="B423" i="2"/>
  <c r="B2357" i="2"/>
  <c r="B630" i="2"/>
  <c r="B577" i="2"/>
  <c r="B108" i="2"/>
  <c r="B42" i="2"/>
  <c r="F1795" i="2"/>
  <c r="B627" i="2"/>
  <c r="F479" i="2"/>
  <c r="F425" i="2"/>
  <c r="F170" i="2"/>
  <c r="B153" i="2"/>
  <c r="B5002" i="2"/>
  <c r="B5047" i="2"/>
  <c r="F4187" i="2"/>
  <c r="F4194" i="2"/>
  <c r="F4654" i="2"/>
  <c r="B4019" i="2"/>
  <c r="F3750" i="2"/>
  <c r="B2430" i="2"/>
  <c r="B2768" i="2"/>
  <c r="F5412" i="2"/>
  <c r="F2429" i="2"/>
  <c r="F3901" i="2"/>
  <c r="F3447" i="2"/>
  <c r="B3299" i="2"/>
  <c r="B1531" i="2"/>
  <c r="B3447" i="2"/>
  <c r="B3791" i="2"/>
  <c r="F3598" i="2"/>
  <c r="B2899" i="2"/>
  <c r="F1610" i="2"/>
  <c r="F1966" i="2"/>
  <c r="F2409" i="2"/>
  <c r="F1940" i="2"/>
  <c r="F1585" i="2"/>
  <c r="B2408" i="2"/>
  <c r="F1009" i="2"/>
  <c r="B1810" i="2"/>
  <c r="F1421" i="2"/>
  <c r="F2075" i="2"/>
  <c r="F710" i="2"/>
  <c r="F1410" i="2"/>
  <c r="F1847" i="2"/>
  <c r="F1079" i="2"/>
  <c r="F1677" i="2"/>
  <c r="F1523" i="2"/>
  <c r="B1782" i="2"/>
  <c r="B2881" i="2"/>
  <c r="B411" i="2"/>
  <c r="F2356" i="2"/>
  <c r="B126" i="2"/>
  <c r="B104" i="2"/>
  <c r="F155" i="2"/>
  <c r="F111" i="2"/>
  <c r="F58" i="2"/>
  <c r="B29" i="2"/>
  <c r="B1049" i="2"/>
  <c r="F625" i="2"/>
  <c r="B583" i="2"/>
  <c r="B5479" i="2"/>
  <c r="F4087" i="2"/>
  <c r="F4879" i="2"/>
  <c r="B4193" i="2"/>
  <c r="B3931" i="2"/>
  <c r="F5352" i="2"/>
  <c r="B2782" i="2"/>
  <c r="F2763" i="2"/>
  <c r="B2631" i="2"/>
  <c r="F2680" i="2"/>
  <c r="F2612" i="2"/>
  <c r="F2520" i="2"/>
  <c r="F5546" i="2"/>
  <c r="F2384" i="2"/>
  <c r="B1423" i="2"/>
  <c r="B3385" i="2"/>
  <c r="B2885" i="2"/>
  <c r="B2957" i="2"/>
  <c r="B2764" i="2"/>
  <c r="B1602" i="2"/>
  <c r="B5706" i="2"/>
  <c r="B5266" i="2"/>
  <c r="B5765" i="2"/>
  <c r="B5329" i="2"/>
  <c r="B4857" i="2"/>
  <c r="B5548" i="2"/>
  <c r="B5072" i="2"/>
  <c r="B5751" i="2"/>
  <c r="B5319" i="2"/>
  <c r="F5673" i="2"/>
  <c r="F5715" i="2"/>
  <c r="F5461" i="2"/>
  <c r="F5577" i="2"/>
  <c r="F4427" i="2"/>
  <c r="F3991" i="2"/>
  <c r="F5741" i="2"/>
  <c r="F5482" i="2"/>
  <c r="B4346" i="2"/>
  <c r="B4259" i="2"/>
  <c r="F5470" i="2"/>
  <c r="F4885" i="2"/>
  <c r="B3901" i="2"/>
  <c r="B3324" i="2"/>
  <c r="F5458" i="2"/>
  <c r="B4677" i="2"/>
  <c r="F4648" i="2"/>
  <c r="B4162" i="2"/>
  <c r="B3987" i="2"/>
  <c r="F3958" i="2"/>
  <c r="B2918" i="2"/>
  <c r="B2710" i="2"/>
  <c r="B2498" i="2"/>
  <c r="B2266" i="2"/>
  <c r="B4197" i="2"/>
  <c r="B3263" i="2"/>
  <c r="F2600" i="2"/>
  <c r="B3795" i="2"/>
  <c r="B2828" i="2"/>
  <c r="B2535" i="2"/>
  <c r="B3638" i="2"/>
  <c r="F2862" i="2"/>
  <c r="B2517" i="2"/>
  <c r="F3625" i="2"/>
  <c r="F2809" i="2"/>
  <c r="F2516" i="2"/>
  <c r="B3266" i="2"/>
  <c r="F2710" i="2"/>
  <c r="F3858" i="2"/>
  <c r="F2946" i="2"/>
  <c r="B2599" i="2"/>
  <c r="B3880" i="2"/>
  <c r="B2813" i="2"/>
  <c r="F2541" i="2"/>
  <c r="F2035" i="2"/>
  <c r="B1787" i="2"/>
  <c r="B1587" i="2"/>
  <c r="B1323" i="2"/>
  <c r="B1047" i="2"/>
  <c r="B4021" i="2"/>
  <c r="F3269" i="2"/>
  <c r="F2769" i="2"/>
  <c r="F2471" i="2"/>
  <c r="F2631" i="2"/>
  <c r="F2281" i="2"/>
  <c r="F1794" i="2"/>
  <c r="B4058" i="2"/>
  <c r="F2584" i="2"/>
  <c r="F2077" i="2"/>
  <c r="B1736" i="2"/>
  <c r="F3746" i="2"/>
  <c r="B2501" i="2"/>
  <c r="F2047" i="2"/>
  <c r="F1726" i="2"/>
  <c r="B1412" i="2"/>
  <c r="F2614" i="2"/>
  <c r="F2164" i="2"/>
  <c r="B1744" i="2"/>
  <c r="F1510" i="2"/>
  <c r="B2687" i="2"/>
  <c r="B2152" i="2"/>
  <c r="F1743" i="2"/>
  <c r="B3367" i="2"/>
  <c r="B2464" i="2"/>
  <c r="F2033" i="2"/>
  <c r="F1712" i="2"/>
  <c r="F2618" i="2"/>
  <c r="F1817" i="2"/>
  <c r="F1258" i="2"/>
  <c r="F1030" i="2"/>
  <c r="B2580" i="2"/>
  <c r="B2010" i="2"/>
  <c r="F1538" i="2"/>
  <c r="B1096" i="2"/>
  <c r="F663" i="2"/>
  <c r="F3458" i="2"/>
  <c r="F2022" i="2"/>
  <c r="B1578" i="2"/>
  <c r="F1129" i="2"/>
  <c r="B3358" i="2"/>
  <c r="F2103" i="2"/>
  <c r="F1608" i="2"/>
  <c r="F1133" i="2"/>
  <c r="B890" i="2"/>
  <c r="F2385" i="2"/>
  <c r="F1757" i="2"/>
  <c r="F1191" i="2"/>
  <c r="F984" i="2"/>
  <c r="B3990" i="2"/>
  <c r="F2269" i="2"/>
  <c r="F1547" i="2"/>
  <c r="B1158" i="2"/>
  <c r="F3998" i="2"/>
  <c r="B2385" i="2"/>
  <c r="F1607" i="2"/>
  <c r="B2661" i="2"/>
  <c r="F1189" i="2"/>
  <c r="B1801" i="2"/>
  <c r="F1058" i="2"/>
  <c r="F2343" i="2"/>
  <c r="B1376" i="2"/>
  <c r="F817" i="2"/>
  <c r="F1851" i="2"/>
  <c r="F1136" i="2"/>
  <c r="F1859" i="2"/>
  <c r="F1338" i="2"/>
  <c r="F2461" i="2"/>
  <c r="F1359" i="2"/>
  <c r="B4034" i="2"/>
  <c r="F1566" i="2"/>
  <c r="F757" i="2"/>
  <c r="F1805" i="2"/>
  <c r="B1101" i="2"/>
  <c r="B523" i="2"/>
  <c r="B167" i="2"/>
  <c r="B99" i="2"/>
  <c r="F2795" i="2"/>
  <c r="F1413" i="2"/>
  <c r="F2911" i="2"/>
  <c r="F1715" i="2"/>
  <c r="B966" i="2"/>
  <c r="B273" i="2"/>
  <c r="F47" i="2"/>
  <c r="F855" i="2"/>
  <c r="F173" i="2"/>
  <c r="F30" i="2"/>
  <c r="B709" i="2"/>
  <c r="B156" i="2"/>
  <c r="F1518" i="2"/>
  <c r="F476" i="2"/>
  <c r="F107" i="2"/>
  <c r="B854" i="2"/>
  <c r="B164" i="2"/>
  <c r="B46" i="2"/>
  <c r="B509" i="2"/>
  <c r="F128" i="2"/>
  <c r="B1190" i="2"/>
  <c r="B238" i="2"/>
  <c r="B89" i="2"/>
  <c r="F632" i="2"/>
  <c r="B141" i="2"/>
  <c r="F32" i="2"/>
  <c r="B579" i="2"/>
  <c r="F153" i="2"/>
  <c r="F2133" i="2"/>
  <c r="B376" i="2"/>
  <c r="F83" i="2"/>
  <c r="F780" i="2"/>
  <c r="B425" i="2"/>
  <c r="F65" i="2"/>
  <c r="F1139" i="2"/>
  <c r="B224" i="2"/>
  <c r="B48" i="2"/>
  <c r="B5702" i="2"/>
  <c r="B5218" i="2"/>
  <c r="B5749" i="2"/>
  <c r="B5325" i="2"/>
  <c r="B4853" i="2"/>
  <c r="B5044" i="2"/>
  <c r="B5315" i="2"/>
  <c r="F5624" i="2"/>
  <c r="F5707" i="2"/>
  <c r="F5550" i="2"/>
  <c r="F3987" i="2"/>
  <c r="F5464" i="2"/>
  <c r="B4194" i="2"/>
  <c r="F4863" i="2"/>
  <c r="B3312" i="2"/>
  <c r="B4649" i="2"/>
  <c r="B4157" i="2"/>
  <c r="B2914" i="2"/>
  <c r="B2474" i="2"/>
  <c r="F3070" i="2"/>
  <c r="B3773" i="2"/>
  <c r="F2853" i="2"/>
  <c r="F3543" i="2"/>
  <c r="B3151" i="2"/>
  <c r="B2913" i="2"/>
  <c r="F2808" i="2"/>
  <c r="B1783" i="2"/>
  <c r="B1319" i="2"/>
  <c r="B3265" i="2"/>
  <c r="F2623" i="2"/>
  <c r="B3967" i="2"/>
  <c r="B1714" i="2"/>
  <c r="B1718" i="2"/>
  <c r="F2076" i="2"/>
  <c r="B1494" i="2"/>
  <c r="F1734" i="2"/>
  <c r="B2025" i="2"/>
  <c r="B1805" i="2"/>
  <c r="F2505" i="2"/>
  <c r="F1533" i="2"/>
  <c r="F651" i="2"/>
  <c r="B1565" i="2"/>
  <c r="B2063" i="2"/>
  <c r="B3458" i="2"/>
  <c r="F972" i="2"/>
  <c r="F1536" i="2"/>
  <c r="F2310" i="2"/>
  <c r="B1177" i="2"/>
  <c r="F2011" i="2"/>
  <c r="B1818" i="2"/>
  <c r="B1194" i="2"/>
  <c r="B3326" i="2"/>
  <c r="B1742" i="2"/>
  <c r="B163" i="2"/>
  <c r="B1372" i="2"/>
  <c r="F1681" i="2"/>
  <c r="F211" i="2"/>
  <c r="B165" i="2"/>
  <c r="F151" i="2"/>
  <c r="F98" i="2"/>
  <c r="F159" i="2"/>
  <c r="F106" i="2"/>
  <c r="F84" i="2"/>
  <c r="F28" i="2"/>
  <c r="F1534" i="2"/>
  <c r="F74" i="2"/>
  <c r="B57" i="2"/>
  <c r="F43" i="2"/>
  <c r="B5206" i="2"/>
  <c r="F5740" i="2"/>
  <c r="B4880" i="2"/>
  <c r="F5576" i="2"/>
  <c r="F5265" i="2"/>
  <c r="F5355" i="2"/>
  <c r="F3884" i="2"/>
  <c r="B4079" i="2"/>
  <c r="F3886" i="2"/>
  <c r="B2902" i="2"/>
  <c r="B2050" i="2"/>
  <c r="F2574" i="2"/>
  <c r="B2439" i="2"/>
  <c r="B2504" i="2"/>
  <c r="F3118" i="2"/>
  <c r="B3806" i="2"/>
  <c r="B3359" i="2"/>
  <c r="B2023" i="2"/>
  <c r="B1191" i="2"/>
  <c r="F3092" i="2"/>
  <c r="F2487" i="2"/>
  <c r="B1676" i="2"/>
  <c r="B2022" i="2"/>
  <c r="F2387" i="2"/>
  <c r="F1374" i="2"/>
  <c r="B1653" i="2"/>
  <c r="F2439" i="2"/>
  <c r="F3173" i="2"/>
  <c r="F2020" i="2"/>
  <c r="F1642" i="2"/>
  <c r="F2496" i="2"/>
  <c r="B1528" i="2"/>
  <c r="B2691" i="2"/>
  <c r="F1108" i="2"/>
  <c r="F1494" i="2"/>
  <c r="B2292" i="2"/>
  <c r="F3347" i="2"/>
  <c r="F1531" i="2"/>
  <c r="F1952" i="2"/>
  <c r="B1132" i="2"/>
  <c r="B1998" i="2"/>
  <c r="F1710" i="2"/>
  <c r="B1728" i="2"/>
  <c r="F1207" i="2"/>
  <c r="B3851" i="2"/>
  <c r="B475" i="2"/>
  <c r="B71" i="2"/>
  <c r="F2437" i="2"/>
  <c r="B161" i="2"/>
  <c r="F138" i="2"/>
  <c r="B623" i="2"/>
  <c r="F410" i="2"/>
  <c r="F150" i="2"/>
  <c r="B98" i="2"/>
  <c r="B76" i="2"/>
  <c r="F24" i="2"/>
  <c r="F127" i="2"/>
  <c r="B66" i="2"/>
  <c r="B710" i="2"/>
  <c r="B5194" i="2"/>
  <c r="F5728" i="2"/>
  <c r="B5715" i="2"/>
  <c r="F5510" i="2"/>
  <c r="F5205" i="2"/>
  <c r="F5349" i="2"/>
  <c r="F5255" i="2"/>
  <c r="B3876" i="2"/>
  <c r="F4056" i="2"/>
  <c r="B3959" i="2"/>
  <c r="B2598" i="2"/>
  <c r="F4086" i="2"/>
  <c r="F3328" i="2"/>
  <c r="B3469" i="2"/>
  <c r="B3305" i="2"/>
  <c r="F3093" i="2"/>
  <c r="F2796" i="2"/>
  <c r="F2787" i="2"/>
  <c r="B1699" i="2"/>
  <c r="B1031" i="2"/>
  <c r="F3836" i="2"/>
  <c r="F1671" i="2"/>
  <c r="B1942" i="2"/>
  <c r="B2383" i="2"/>
  <c r="B3976" i="2"/>
  <c r="F1648" i="2"/>
  <c r="F2433" i="2"/>
  <c r="F2837" i="2"/>
  <c r="F1609" i="2"/>
  <c r="B1160" i="2"/>
  <c r="F1837" i="2"/>
  <c r="F611" i="2"/>
  <c r="F1822" i="2"/>
  <c r="F2690" i="2"/>
  <c r="B1457" i="2"/>
  <c r="B2117" i="2"/>
  <c r="F734" i="2"/>
  <c r="F1438" i="2"/>
  <c r="B1940" i="2"/>
  <c r="F1097" i="2"/>
  <c r="B889" i="2"/>
  <c r="B603" i="2"/>
  <c r="B1702" i="2"/>
  <c r="F1193" i="2"/>
  <c r="F3334" i="2"/>
  <c r="B427" i="2"/>
  <c r="F2566" i="2"/>
  <c r="B1605" i="2"/>
  <c r="B31" i="2"/>
  <c r="B610" i="2"/>
  <c r="F308" i="2"/>
  <c r="F585" i="2"/>
  <c r="F426" i="2"/>
  <c r="B185" i="2"/>
  <c r="F123" i="2"/>
  <c r="F118" i="2"/>
  <c r="F179" i="2"/>
  <c r="F161" i="2"/>
  <c r="B144" i="2"/>
  <c r="B5046" i="2"/>
  <c r="F5716" i="2"/>
  <c r="B4856" i="2"/>
  <c r="F5321" i="2"/>
  <c r="F5002" i="2"/>
  <c r="F3883" i="2"/>
  <c r="F4064" i="2"/>
  <c r="B4258" i="2"/>
  <c r="B4057" i="2"/>
  <c r="F3877" i="2"/>
  <c r="B2846" i="2"/>
  <c r="B2034" i="2"/>
  <c r="F3314" i="2"/>
  <c r="F3355" i="2"/>
  <c r="F2438" i="2"/>
  <c r="F3928" i="2"/>
  <c r="F2555" i="2"/>
  <c r="B2516" i="2"/>
  <c r="F2419" i="2"/>
  <c r="B1543" i="2"/>
  <c r="F3554" i="2"/>
  <c r="B3822" i="2"/>
  <c r="F1662" i="2"/>
  <c r="B2397" i="2"/>
  <c r="B2907" i="2"/>
  <c r="F1941" i="2"/>
  <c r="F2382" i="2"/>
  <c r="B1640" i="2"/>
  <c r="B1644" i="2"/>
  <c r="B1945" i="2"/>
  <c r="B1617" i="2"/>
  <c r="F2413" i="2"/>
  <c r="F1417" i="2"/>
  <c r="F2588" i="2"/>
  <c r="F1073" i="2"/>
  <c r="F1439" i="2"/>
  <c r="B2091" i="2"/>
  <c r="F722" i="2"/>
  <c r="B1421" i="2"/>
  <c r="B1516" i="2"/>
  <c r="B1540" i="2"/>
  <c r="F1102" i="2"/>
  <c r="B970" i="2"/>
  <c r="F1799" i="2"/>
  <c r="F2403" i="2"/>
  <c r="B1625" i="2"/>
  <c r="B151" i="2"/>
  <c r="F1165" i="2"/>
  <c r="F1587" i="2"/>
  <c r="B27" i="2"/>
  <c r="F2254" i="2"/>
  <c r="F891" i="2"/>
  <c r="B526" i="2"/>
  <c r="B410" i="2"/>
  <c r="F180" i="2"/>
  <c r="F114" i="2"/>
  <c r="B110" i="2"/>
  <c r="B40" i="2"/>
  <c r="F39" i="2"/>
  <c r="F139" i="2"/>
  <c r="F5762" i="2"/>
  <c r="B5589" i="2"/>
  <c r="B5768" i="2"/>
  <c r="B4852" i="2"/>
  <c r="F5315" i="2"/>
  <c r="F4948" i="2"/>
  <c r="F3879" i="2"/>
  <c r="B4056" i="2"/>
  <c r="F4225" i="2"/>
  <c r="B4326" i="2"/>
  <c r="F4018" i="2"/>
  <c r="F3365" i="2"/>
  <c r="B2590" i="2"/>
  <c r="B3565" i="2"/>
  <c r="F3305" i="2"/>
  <c r="B3351" i="2"/>
  <c r="F3261" i="2"/>
  <c r="B2853" i="2"/>
  <c r="F2783" i="2"/>
  <c r="F2709" i="2"/>
  <c r="B1947" i="2"/>
  <c r="B1131" i="2"/>
  <c r="B2908" i="2"/>
  <c r="F2425" i="2"/>
  <c r="B1654" i="2"/>
  <c r="F1908" i="2"/>
  <c r="F2373" i="2"/>
  <c r="B3598" i="2"/>
  <c r="B1628" i="2"/>
  <c r="F1627" i="2"/>
  <c r="B2328" i="2"/>
  <c r="F2353" i="2"/>
  <c r="B632" i="2"/>
  <c r="B1413" i="2"/>
  <c r="F2579" i="2"/>
  <c r="B1065" i="2"/>
  <c r="F1809" i="2"/>
  <c r="F2760" i="2"/>
  <c r="B1548" i="2"/>
  <c r="F1821" i="2"/>
  <c r="B1064" i="2"/>
  <c r="B1506" i="2"/>
  <c r="B1525" i="2"/>
  <c r="B1097" i="2"/>
  <c r="F1617" i="2"/>
  <c r="F1122" i="2"/>
  <c r="F1135" i="2"/>
  <c r="F794" i="2"/>
  <c r="B59" i="2"/>
  <c r="B1088" i="2"/>
  <c r="B587" i="2"/>
  <c r="F481" i="2"/>
  <c r="B2217" i="2"/>
  <c r="B757" i="2"/>
  <c r="B497" i="2"/>
  <c r="B308" i="2"/>
  <c r="B172" i="2"/>
  <c r="B106" i="2"/>
  <c r="F105" i="2"/>
  <c r="B162" i="2"/>
  <c r="F148" i="2"/>
  <c r="F498" i="2"/>
  <c r="B5462" i="2"/>
  <c r="B5577" i="2"/>
  <c r="B5764" i="2"/>
  <c r="B4836" i="2"/>
  <c r="F4886" i="2"/>
  <c r="F5677" i="2"/>
  <c r="F5001" i="2"/>
  <c r="F4346" i="2"/>
  <c r="F4858" i="2"/>
  <c r="B3480" i="2"/>
  <c r="F3992" i="2"/>
  <c r="F4212" i="2"/>
  <c r="B2586" i="2"/>
  <c r="F5717" i="2"/>
  <c r="F2443" i="2"/>
  <c r="F5084" i="2"/>
  <c r="B3994" i="2"/>
  <c r="B3789" i="2"/>
  <c r="B2775" i="2"/>
  <c r="F2662" i="2"/>
  <c r="B1855" i="2"/>
  <c r="B1127" i="2"/>
  <c r="B2817" i="2"/>
  <c r="B1909" i="2"/>
  <c r="B2388" i="2"/>
  <c r="B1598" i="2"/>
  <c r="F1849" i="2"/>
  <c r="B5458" i="2"/>
  <c r="B5748" i="2"/>
  <c r="B5031" i="2"/>
  <c r="F4887" i="2"/>
  <c r="F4181" i="2"/>
  <c r="F4188" i="2"/>
  <c r="F3978" i="2"/>
  <c r="B3322" i="2"/>
  <c r="F5286" i="2"/>
  <c r="F3271" i="2"/>
  <c r="B2664" i="2"/>
  <c r="F3771" i="2"/>
  <c r="B2753" i="2"/>
  <c r="B2376" i="2"/>
  <c r="B1103" i="2"/>
  <c r="B2572" i="2"/>
  <c r="B1641" i="2"/>
  <c r="F1593" i="2"/>
  <c r="F1597" i="2"/>
  <c r="F1853" i="2"/>
  <c r="F2400" i="2"/>
  <c r="B2657" i="2"/>
  <c r="B4119" i="2"/>
  <c r="F1087" i="2"/>
  <c r="F1745" i="2"/>
  <c r="F539" i="2"/>
  <c r="F1340" i="2"/>
  <c r="B1725" i="2"/>
  <c r="B2708" i="2"/>
  <c r="F1055" i="2"/>
  <c r="F1742" i="2"/>
  <c r="B2567" i="2"/>
  <c r="F1852" i="2"/>
  <c r="F3764" i="2"/>
  <c r="F2932" i="2"/>
  <c r="B1545" i="2"/>
  <c r="B1089" i="2"/>
  <c r="B2812" i="2"/>
  <c r="B343" i="2"/>
  <c r="B1865" i="2"/>
  <c r="F1342" i="2"/>
  <c r="B1664" i="2"/>
  <c r="F1612" i="2"/>
  <c r="B647" i="2"/>
  <c r="F480" i="2"/>
  <c r="B181" i="2"/>
  <c r="F158" i="2"/>
  <c r="B93" i="2"/>
  <c r="F92" i="2"/>
  <c r="B28" i="2"/>
  <c r="B2911" i="2"/>
  <c r="B1036" i="2"/>
  <c r="B586" i="2"/>
  <c r="F154" i="2"/>
  <c r="F53" i="2"/>
  <c r="B1342" i="2"/>
  <c r="F4083" i="2"/>
  <c r="B3847" i="2"/>
  <c r="B3366" i="2"/>
  <c r="F2813" i="2"/>
  <c r="B1851" i="2"/>
  <c r="F2884" i="2"/>
  <c r="F2906" i="2"/>
  <c r="B2311" i="2"/>
  <c r="F2427" i="2"/>
  <c r="B1948" i="2"/>
  <c r="F1339" i="2"/>
  <c r="B1652" i="2"/>
  <c r="F2287" i="2"/>
  <c r="B4172" i="2"/>
  <c r="F398" i="2"/>
  <c r="B50" i="2"/>
  <c r="F612" i="2"/>
  <c r="B4850" i="2"/>
  <c r="F4738" i="2"/>
  <c r="B2774" i="2"/>
  <c r="B2797" i="2"/>
  <c r="B863" i="2"/>
  <c r="B2615" i="2"/>
  <c r="B1849" i="2"/>
  <c r="B624" i="2"/>
  <c r="F1025" i="2"/>
  <c r="F686" i="2"/>
  <c r="B2344" i="2"/>
  <c r="B1045" i="2"/>
  <c r="B119" i="2"/>
  <c r="B461" i="2"/>
  <c r="B81" i="2"/>
  <c r="B830" i="2"/>
  <c r="F473" i="2"/>
  <c r="B5264" i="2"/>
  <c r="B3336" i="2"/>
  <c r="B3306" i="2"/>
  <c r="B2736" i="2"/>
  <c r="B4141" i="2"/>
  <c r="B2787" i="2"/>
  <c r="B1606" i="2"/>
  <c r="B1910" i="2"/>
  <c r="B2367" i="2"/>
  <c r="F1796" i="2"/>
  <c r="B1796" i="2"/>
  <c r="F1375" i="2"/>
  <c r="B1166" i="2"/>
  <c r="F477" i="2"/>
  <c r="F133" i="2"/>
  <c r="F1259" i="2"/>
  <c r="F511" i="2"/>
  <c r="F5635" i="2"/>
  <c r="F3847" i="2"/>
  <c r="F5261" i="2"/>
  <c r="F5046" i="2"/>
  <c r="B3195" i="2"/>
  <c r="B2416" i="2"/>
  <c r="F2755" i="2"/>
  <c r="F2267" i="2"/>
  <c r="B1130" i="2"/>
  <c r="F1344" i="2"/>
  <c r="B1208" i="2"/>
  <c r="B1509" i="2"/>
  <c r="F1865" i="2"/>
  <c r="B3334" i="2"/>
  <c r="F239" i="2"/>
  <c r="F1885" i="2"/>
  <c r="B512" i="2"/>
  <c r="B4174" i="2"/>
  <c r="B1419" i="2"/>
  <c r="F1820" i="2"/>
  <c r="F1592" i="2"/>
  <c r="F973" i="2"/>
  <c r="B985" i="2"/>
  <c r="F1320" i="2"/>
  <c r="F1062" i="2"/>
  <c r="F108" i="2"/>
  <c r="F68" i="2"/>
  <c r="B492" i="2"/>
  <c r="F126" i="2"/>
  <c r="B5017" i="2"/>
  <c r="B3888" i="2"/>
  <c r="F2599" i="2"/>
  <c r="B2796" i="2"/>
  <c r="F2345" i="2"/>
  <c r="B1730" i="2"/>
  <c r="B5454" i="2"/>
  <c r="B5736" i="2"/>
  <c r="B4923" i="2"/>
  <c r="F4881" i="2"/>
  <c r="F5713" i="2"/>
  <c r="B4158" i="2"/>
  <c r="F3969" i="2"/>
  <c r="F3317" i="2"/>
  <c r="B4281" i="2"/>
  <c r="B3250" i="2"/>
  <c r="F2659" i="2"/>
  <c r="B3621" i="2"/>
  <c r="F2748" i="2"/>
  <c r="F2358" i="2"/>
  <c r="B1099" i="2"/>
  <c r="F2567" i="2"/>
  <c r="B1629" i="2"/>
  <c r="B1585" i="2"/>
  <c r="F1563" i="2"/>
  <c r="F1815" i="2"/>
  <c r="B2396" i="2"/>
  <c r="F2514" i="2"/>
  <c r="F3961" i="2"/>
  <c r="B1057" i="2"/>
  <c r="B1733" i="2"/>
  <c r="B3885" i="2"/>
  <c r="B1324" i="2"/>
  <c r="F1660" i="2"/>
  <c r="B2624" i="2"/>
  <c r="B1025" i="2"/>
  <c r="B1737" i="2"/>
  <c r="B2432" i="2"/>
  <c r="F1703" i="2"/>
  <c r="B2519" i="2"/>
  <c r="F2453" i="2"/>
  <c r="F1423" i="2"/>
  <c r="B861" i="2"/>
  <c r="F2074" i="2"/>
  <c r="B211" i="2"/>
  <c r="B1716" i="2"/>
  <c r="B1140" i="2"/>
  <c r="F1053" i="2"/>
  <c r="F365" i="2"/>
  <c r="F119" i="2"/>
  <c r="B62" i="2"/>
  <c r="B1741" i="2"/>
  <c r="F2626" i="2"/>
  <c r="B875" i="2"/>
  <c r="B2756" i="2"/>
  <c r="F1857" i="2"/>
  <c r="B628" i="2"/>
  <c r="B1417" i="2"/>
  <c r="B1814" i="2"/>
  <c r="B1438" i="2"/>
  <c r="B1436" i="2"/>
  <c r="B565" i="2"/>
  <c r="F146" i="2"/>
  <c r="F858" i="2"/>
  <c r="B478" i="2"/>
  <c r="B5296" i="2"/>
  <c r="F4079" i="2"/>
  <c r="F3834" i="2"/>
  <c r="F2617" i="2"/>
  <c r="F4761" i="2"/>
  <c r="F2863" i="2"/>
  <c r="F2898" i="2"/>
  <c r="F2293" i="2"/>
  <c r="F1233" i="2"/>
  <c r="F1373" i="2"/>
  <c r="F1322" i="2"/>
  <c r="F1561" i="2"/>
  <c r="F2175" i="2"/>
  <c r="F3876" i="2"/>
  <c r="B354" i="2"/>
  <c r="F45" i="2"/>
  <c r="B601" i="2"/>
  <c r="F5773" i="2"/>
  <c r="F4019" i="2"/>
  <c r="F4502" i="2"/>
  <c r="F3853" i="2"/>
  <c r="B1819" i="2"/>
  <c r="F2553" i="2"/>
  <c r="B1802" i="2"/>
  <c r="B612" i="2"/>
  <c r="B857" i="2"/>
  <c r="F674" i="2"/>
  <c r="F2266" i="2"/>
  <c r="B2856" i="2"/>
  <c r="B115" i="2"/>
  <c r="B424" i="2"/>
  <c r="F76" i="2"/>
  <c r="B651" i="2"/>
  <c r="B4832" i="2"/>
  <c r="F4818" i="2"/>
  <c r="B2582" i="2"/>
  <c r="F3081" i="2"/>
  <c r="B1667" i="2"/>
  <c r="B2379" i="2"/>
  <c r="F1601" i="2"/>
  <c r="F1869" i="2"/>
  <c r="B2353" i="2"/>
  <c r="F1790" i="2"/>
  <c r="F1782" i="2"/>
  <c r="F1325" i="2"/>
  <c r="F1160" i="2"/>
  <c r="B449" i="2"/>
  <c r="B125" i="2"/>
  <c r="F1132" i="2"/>
  <c r="F494" i="2"/>
  <c r="B2604" i="2"/>
  <c r="B1841" i="2"/>
  <c r="F1788" i="2"/>
  <c r="B1642" i="2"/>
  <c r="B1042" i="2"/>
  <c r="B2423" i="2"/>
  <c r="B2204" i="2"/>
  <c r="B1008" i="2"/>
  <c r="F144" i="2"/>
  <c r="F5670" i="2"/>
  <c r="F4197" i="2"/>
  <c r="F4644" i="2"/>
  <c r="F2624" i="2"/>
  <c r="B1790" i="2"/>
  <c r="B1584" i="2"/>
  <c r="B965" i="2"/>
  <c r="B5450" i="2"/>
  <c r="B5732" i="2"/>
  <c r="B4907" i="2"/>
  <c r="F4830" i="2"/>
  <c r="F5669" i="2"/>
  <c r="F4153" i="2"/>
  <c r="B3965" i="2"/>
  <c r="B3309" i="2"/>
  <c r="B4225" i="2"/>
  <c r="B3217" i="2"/>
  <c r="B2643" i="2"/>
  <c r="F3530" i="2"/>
  <c r="B2740" i="2"/>
  <c r="F2349" i="2"/>
  <c r="B1095" i="2"/>
  <c r="B2559" i="2"/>
  <c r="F1624" i="2"/>
  <c r="F1580" i="2"/>
  <c r="F1554" i="2"/>
  <c r="F1806" i="2"/>
  <c r="F2391" i="2"/>
  <c r="B2492" i="2"/>
  <c r="B3786" i="2"/>
  <c r="F1052" i="2"/>
  <c r="F1686" i="2"/>
  <c r="F3809" i="2"/>
  <c r="F1319" i="2"/>
  <c r="F1654" i="2"/>
  <c r="F2596" i="2"/>
  <c r="F1020" i="2"/>
  <c r="F1711" i="2"/>
  <c r="F2417" i="2"/>
  <c r="F1663" i="2"/>
  <c r="F2389" i="2"/>
  <c r="F2370" i="2"/>
  <c r="B1388" i="2"/>
  <c r="F795" i="2"/>
  <c r="B1964" i="2"/>
  <c r="B179" i="2"/>
  <c r="B1682" i="2"/>
  <c r="B1106" i="2"/>
  <c r="F965" i="2"/>
  <c r="F1035" i="2"/>
  <c r="F509" i="2"/>
  <c r="F320" i="2"/>
  <c r="B146" i="2"/>
  <c r="F110" i="2"/>
  <c r="B45" i="2"/>
  <c r="F44" i="2"/>
  <c r="F1119" i="2"/>
  <c r="F1604" i="2"/>
  <c r="B4862" i="2"/>
  <c r="B5300" i="2"/>
  <c r="F4880" i="2"/>
  <c r="F4784" i="2"/>
  <c r="B3436" i="2"/>
  <c r="B2778" i="2"/>
  <c r="B3958" i="2"/>
  <c r="F5269" i="2"/>
  <c r="B2877" i="2"/>
  <c r="F1623" i="2"/>
  <c r="F2104" i="2"/>
  <c r="B1246" i="2"/>
  <c r="B1030" i="2"/>
  <c r="F698" i="2"/>
  <c r="F2416" i="2"/>
  <c r="F1057" i="2"/>
  <c r="B123" i="2"/>
  <c r="B473" i="2"/>
  <c r="F89" i="2"/>
  <c r="B25" i="2"/>
  <c r="F528" i="2"/>
  <c r="F5685" i="2"/>
  <c r="B3392" i="2"/>
  <c r="F3356" i="2"/>
  <c r="F3944" i="2"/>
  <c r="B1847" i="2"/>
  <c r="B2795" i="2"/>
  <c r="F1614" i="2"/>
  <c r="B2051" i="2"/>
  <c r="F2407" i="2"/>
  <c r="F1934" i="2"/>
  <c r="F1808" i="2"/>
  <c r="B1424" i="2"/>
  <c r="B1414" i="2"/>
  <c r="B528" i="2"/>
  <c r="B138" i="2"/>
  <c r="F1525" i="2"/>
  <c r="B524" i="2"/>
  <c r="F5126" i="2"/>
  <c r="F4629" i="2"/>
  <c r="B2750" i="2"/>
  <c r="F2569" i="2"/>
  <c r="B3957" i="2"/>
  <c r="F2855" i="2"/>
  <c r="B2816" i="2"/>
  <c r="B2280" i="2"/>
  <c r="F1138" i="2"/>
  <c r="F1361" i="2"/>
  <c r="B1220" i="2"/>
  <c r="F1539" i="2"/>
  <c r="F2018" i="2"/>
  <c r="B3623" i="2"/>
  <c r="B297" i="2"/>
  <c r="F2661" i="2"/>
  <c r="F578" i="2"/>
  <c r="F387" i="2"/>
  <c r="B5561" i="2"/>
  <c r="B4236" i="2"/>
  <c r="B2755" i="2"/>
  <c r="B2512" i="2"/>
  <c r="F3367" i="2"/>
  <c r="B2351" i="2"/>
  <c r="F1797" i="2"/>
  <c r="B608" i="2"/>
  <c r="F852" i="2"/>
  <c r="F650" i="2"/>
  <c r="B2253" i="2"/>
  <c r="B2765" i="2"/>
  <c r="B111" i="2"/>
  <c r="F411" i="2"/>
  <c r="B68" i="2"/>
  <c r="B645" i="2"/>
  <c r="F342" i="2"/>
  <c r="F4862" i="2"/>
  <c r="B2629" i="2"/>
  <c r="B1897" i="2"/>
  <c r="F2785" i="2"/>
  <c r="B2092" i="2"/>
  <c r="F1526" i="2"/>
  <c r="F4923" i="2"/>
  <c r="F1625" i="2"/>
  <c r="B47" i="2"/>
  <c r="B26" i="2"/>
  <c r="B213" i="2"/>
  <c r="B109" i="2"/>
  <c r="F5342" i="2"/>
  <c r="B4088" i="2"/>
  <c r="F3266" i="2"/>
  <c r="B1415" i="2"/>
  <c r="B1794" i="2"/>
  <c r="B1534" i="2"/>
  <c r="F1621" i="2"/>
  <c r="B5481" i="2"/>
  <c r="B4784" i="2"/>
  <c r="F5383" i="2"/>
  <c r="F3807" i="2"/>
  <c r="F4777" i="2"/>
  <c r="B4105" i="2"/>
  <c r="B4737" i="2"/>
  <c r="B2578" i="2"/>
  <c r="F2750" i="2"/>
  <c r="B4086" i="2"/>
  <c r="B3037" i="2"/>
  <c r="F2507" i="2"/>
  <c r="F3015" i="2"/>
  <c r="B1663" i="2"/>
  <c r="B3363" i="2"/>
  <c r="F2411" i="2"/>
  <c r="B2365" i="2"/>
  <c r="F2341" i="2"/>
  <c r="F2359" i="2"/>
  <c r="F3311" i="2"/>
  <c r="F1605" i="2"/>
  <c r="F1823" i="2"/>
  <c r="F1578" i="2"/>
  <c r="F2347" i="2"/>
  <c r="F997" i="2"/>
  <c r="B1720" i="2"/>
  <c r="B2541" i="2"/>
  <c r="B1034" i="2"/>
  <c r="F1542" i="2"/>
  <c r="F2426" i="2"/>
  <c r="F1059" i="2"/>
  <c r="F1372" i="2"/>
  <c r="B1468" i="2"/>
  <c r="F1071" i="2"/>
  <c r="F3747" i="2"/>
  <c r="F1676" i="2"/>
  <c r="F1088" i="2"/>
  <c r="B782" i="2"/>
  <c r="B55" i="2"/>
  <c r="F2322" i="2"/>
  <c r="F121" i="2"/>
  <c r="F99" i="2"/>
  <c r="F94" i="2"/>
  <c r="B34" i="2"/>
  <c r="B1068" i="2"/>
  <c r="B585" i="2"/>
  <c r="F319" i="2"/>
  <c r="F331" i="2"/>
  <c r="F157" i="2"/>
  <c r="B140" i="2"/>
  <c r="B122" i="2"/>
  <c r="B5477" i="2"/>
  <c r="B4780" i="2"/>
  <c r="F5356" i="2"/>
  <c r="F3795" i="2"/>
  <c r="F4750" i="2"/>
  <c r="B4092" i="2"/>
  <c r="B4648" i="2"/>
  <c r="B2574" i="2"/>
  <c r="F2741" i="2"/>
  <c r="B4054" i="2"/>
  <c r="F2930" i="2"/>
  <c r="B2499" i="2"/>
  <c r="B2971" i="2"/>
  <c r="B1659" i="2"/>
  <c r="F3358" i="2"/>
  <c r="B2393" i="2"/>
  <c r="F2355" i="2"/>
  <c r="B2295" i="2"/>
  <c r="B2355" i="2"/>
  <c r="F3026" i="2"/>
  <c r="B1597" i="2"/>
  <c r="F1814" i="2"/>
  <c r="F1565" i="2"/>
  <c r="B2293" i="2"/>
  <c r="F985" i="2"/>
  <c r="F1706" i="2"/>
  <c r="F2513" i="2"/>
  <c r="F1029" i="2"/>
  <c r="B1532" i="2"/>
  <c r="B2372" i="2"/>
  <c r="F1050" i="2"/>
  <c r="F1360" i="2"/>
  <c r="B1348" i="2"/>
  <c r="F1045" i="2"/>
  <c r="B2536" i="2"/>
  <c r="F1650" i="2"/>
  <c r="B1076" i="2"/>
  <c r="B711" i="2"/>
  <c r="B51" i="2"/>
  <c r="F2308" i="2"/>
  <c r="B113" i="2"/>
  <c r="F90" i="2"/>
  <c r="B73" i="2"/>
  <c r="B30" i="2"/>
  <c r="F1041" i="2"/>
  <c r="B580" i="2"/>
  <c r="F274" i="2"/>
  <c r="B225" i="2"/>
  <c r="B149" i="2"/>
  <c r="F135" i="2"/>
  <c r="F117" i="2"/>
  <c r="F5674" i="2"/>
  <c r="B5045" i="2"/>
  <c r="B5475" i="2"/>
  <c r="F5348" i="2"/>
  <c r="B4338" i="2"/>
  <c r="F4270" i="2"/>
  <c r="B3905" i="2"/>
  <c r="B2386" i="2"/>
  <c r="F3300" i="2"/>
  <c r="B3327" i="2"/>
  <c r="F2812" i="2"/>
  <c r="F2350" i="2"/>
  <c r="F1560" i="2"/>
  <c r="B2505" i="2"/>
  <c r="F2344" i="2"/>
  <c r="B1040" i="2"/>
  <c r="B686" i="2"/>
  <c r="B82" i="2"/>
  <c r="B250" i="2"/>
  <c r="B5471" i="2"/>
  <c r="F4325" i="2"/>
  <c r="B2366" i="2"/>
  <c r="F3322" i="2"/>
  <c r="F1884" i="2"/>
  <c r="B2717" i="2"/>
  <c r="B5367" i="2"/>
  <c r="B1411" i="2"/>
  <c r="F563" i="2"/>
  <c r="B4035" i="2"/>
  <c r="F629" i="2"/>
  <c r="B1672" i="2"/>
  <c r="B118" i="2"/>
  <c r="F23" i="2"/>
  <c r="B973" i="2"/>
  <c r="B3991" i="2"/>
  <c r="F3371" i="2"/>
  <c r="B2326" i="2"/>
  <c r="B100" i="2"/>
  <c r="B1561" i="2"/>
  <c r="B4191" i="2"/>
  <c r="F200" i="2"/>
  <c r="F1101" i="2"/>
  <c r="F3274" i="2"/>
  <c r="F1049" i="2"/>
  <c r="F1758" i="2"/>
  <c r="B32" i="2"/>
  <c r="F5150" i="2"/>
  <c r="F2791" i="2"/>
  <c r="B1345" i="2"/>
  <c r="F1944" i="2"/>
  <c r="B387" i="2"/>
  <c r="F492" i="2"/>
  <c r="F1789" i="2"/>
  <c r="F2120" i="2"/>
  <c r="B2405" i="2"/>
  <c r="B1060" i="2"/>
  <c r="F101" i="2"/>
  <c r="B2339" i="2"/>
  <c r="B1092" i="2"/>
  <c r="F2050" i="2"/>
  <c r="B60" i="2"/>
  <c r="B2760" i="2"/>
  <c r="B4082" i="2"/>
  <c r="B1846" i="2"/>
  <c r="F2475" i="2"/>
  <c r="F1292" i="2"/>
  <c r="F3315" i="2"/>
  <c r="F962" i="2"/>
  <c r="F104" i="2"/>
  <c r="B984" i="2"/>
  <c r="B1858" i="2"/>
  <c r="F167" i="2"/>
  <c r="F1521" i="2"/>
  <c r="F237" i="2"/>
  <c r="B3995" i="2"/>
  <c r="B2888" i="2"/>
  <c r="F77" i="2"/>
  <c r="B1809" i="2"/>
  <c r="B97" i="2"/>
  <c r="B5750" i="2"/>
  <c r="F122" i="2"/>
  <c r="F2563" i="2"/>
  <c r="B2821" i="2"/>
  <c r="F5436" i="2"/>
  <c r="F1785" i="2"/>
  <c r="F1737" i="2"/>
  <c r="B3774" i="2"/>
  <c r="B2309" i="2"/>
  <c r="F189" i="2"/>
  <c r="B3857" i="2"/>
  <c r="B480" i="2"/>
  <c r="B2752" i="2"/>
  <c r="B1420" i="2"/>
  <c r="B2343" i="2"/>
  <c r="B2665" i="2"/>
  <c r="B2575" i="2"/>
  <c r="F1599" i="2"/>
  <c r="F2538" i="2"/>
  <c r="B2024" i="2"/>
  <c r="F1037" i="2"/>
  <c r="B4881" i="2"/>
  <c r="B722" i="2"/>
  <c r="F287" i="2" l="1"/>
  <c r="F344" i="2"/>
  <c r="F388" i="2"/>
  <c r="F462" i="2"/>
  <c r="F529" i="2"/>
  <c r="F807" i="2"/>
  <c r="F190" i="2"/>
  <c r="F275" i="2"/>
  <c r="F451" i="2"/>
  <c r="F699" i="2"/>
  <c r="F783" i="2"/>
  <c r="F796" i="2"/>
  <c r="F1142" i="2"/>
  <c r="F227" i="2"/>
  <c r="F263" i="2"/>
  <c r="F201" i="2"/>
  <c r="F332" i="2"/>
  <c r="F567" i="2"/>
  <c r="F240" i="2"/>
  <c r="F321" i="2"/>
  <c r="C19" i="1" s="1"/>
  <c r="F377" i="2"/>
  <c r="F687" i="2"/>
  <c r="F770" i="2"/>
  <c r="C37" i="1" s="1"/>
  <c r="F412" i="2"/>
  <c r="F439" i="2"/>
  <c r="F653" i="2"/>
  <c r="F251" i="2"/>
  <c r="F551" i="2"/>
  <c r="F974" i="2"/>
  <c r="F366" i="2"/>
  <c r="F428" i="2"/>
  <c r="F499" i="2"/>
  <c r="F877" i="2"/>
  <c r="F1248" i="2"/>
  <c r="F309" i="2"/>
  <c r="F513" i="2"/>
  <c r="F399" i="2"/>
  <c r="F482" i="2"/>
  <c r="F1178" i="2"/>
  <c r="F214" i="2"/>
  <c r="F298" i="2"/>
  <c r="F355" i="2"/>
  <c r="F712" i="2"/>
  <c r="F1167" i="2"/>
  <c r="F2329" i="2"/>
  <c r="F2078" i="2"/>
  <c r="F758" i="2"/>
  <c r="F842" i="2"/>
  <c r="F1568" i="2"/>
  <c r="F2176" i="2"/>
  <c r="F747" i="2"/>
  <c r="F893" i="2"/>
  <c r="F1210" i="2"/>
  <c r="F1362" i="2"/>
  <c r="F1482" i="2"/>
  <c r="F1495" i="2"/>
  <c r="F1349" i="2"/>
  <c r="F2036" i="2"/>
  <c r="F589" i="2"/>
  <c r="F818" i="2"/>
  <c r="F1309" i="2"/>
  <c r="F1898" i="2"/>
  <c r="F1295" i="2"/>
  <c r="F952" i="2"/>
  <c r="F1377" i="2"/>
  <c r="F1469" i="2"/>
  <c r="F1826" i="2"/>
  <c r="F3119" i="2"/>
  <c r="F3508" i="2"/>
  <c r="F3566" i="2"/>
  <c r="F3751" i="2"/>
  <c r="F4405" i="2"/>
  <c r="F1282" i="2"/>
  <c r="F1426" i="2"/>
  <c r="F675" i="2"/>
  <c r="F724" i="2"/>
  <c r="F735" i="2"/>
  <c r="F929" i="2"/>
  <c r="F986" i="2"/>
  <c r="F998" i="2"/>
  <c r="F1010" i="2"/>
  <c r="F1109" i="2"/>
  <c r="F1746" i="2"/>
  <c r="F1772" i="2"/>
  <c r="F2064" i="2"/>
  <c r="F2187" i="2"/>
  <c r="F2960" i="2"/>
  <c r="F3060" i="2"/>
  <c r="F940" i="2"/>
  <c r="F1223" i="2"/>
  <c r="F2107" i="2"/>
  <c r="F2632" i="2"/>
  <c r="F865" i="2"/>
  <c r="F1328" i="2"/>
  <c r="F2947" i="2"/>
  <c r="F3459" i="2"/>
  <c r="F540" i="2"/>
  <c r="F613" i="2"/>
  <c r="F635" i="2"/>
  <c r="F664" i="2"/>
  <c r="F831" i="2"/>
  <c r="F916" i="2"/>
  <c r="F1236" i="2"/>
  <c r="F1271" i="2"/>
  <c r="F1923" i="2"/>
  <c r="F3796" i="2"/>
  <c r="F905" i="2"/>
  <c r="F1197" i="2"/>
  <c r="F1260" i="2"/>
  <c r="F1389" i="2"/>
  <c r="F1630" i="2"/>
  <c r="F2270" i="2"/>
  <c r="F2983" i="2"/>
  <c r="F3207" i="2"/>
  <c r="F3673" i="2"/>
  <c r="F2052" i="2"/>
  <c r="F2093" i="2"/>
  <c r="F2121" i="2"/>
  <c r="F2154" i="2"/>
  <c r="F2220" i="2"/>
  <c r="F2243" i="2"/>
  <c r="F3174" i="2"/>
  <c r="F3426" i="2"/>
  <c r="F3611" i="2"/>
  <c r="F3710" i="2"/>
  <c r="F3891" i="2"/>
  <c r="F4293" i="2"/>
  <c r="F2000" i="2"/>
  <c r="F2232" i="2"/>
  <c r="F3027" i="2"/>
  <c r="F1447" i="2"/>
  <c r="F1458" i="2"/>
  <c r="F1887" i="2"/>
  <c r="F2165" i="2"/>
  <c r="F2297" i="2"/>
  <c r="F3218" i="2"/>
  <c r="F4202" i="2"/>
  <c r="F1400" i="2"/>
  <c r="F1873" i="2"/>
  <c r="F1985" i="2"/>
  <c r="F3141" i="2"/>
  <c r="F3372" i="2"/>
  <c r="F3685" i="2"/>
  <c r="F1688" i="2"/>
  <c r="F1760" i="2"/>
  <c r="F1912" i="2"/>
  <c r="F2207" i="2"/>
  <c r="F2312" i="2"/>
  <c r="F3600" i="2"/>
  <c r="F4839" i="2"/>
  <c r="F1953" i="2"/>
  <c r="F1969" i="2"/>
  <c r="F2141" i="2"/>
  <c r="F2994" i="2"/>
  <c r="F2798" i="2"/>
  <c r="F2972" i="2"/>
  <c r="F3095" i="2"/>
  <c r="F3130" i="2"/>
  <c r="F3240" i="2"/>
  <c r="F3287" i="2"/>
  <c r="F3415" i="2"/>
  <c r="F3555" i="2"/>
  <c r="F3662" i="2"/>
  <c r="F2255" i="2"/>
  <c r="F2864" i="2"/>
  <c r="F3016" i="2"/>
  <c r="F3163" i="2"/>
  <c r="F3497" i="2"/>
  <c r="F3544" i="2"/>
  <c r="F4237" i="2"/>
  <c r="F4762" i="2"/>
  <c r="F3049" i="2"/>
  <c r="F3106" i="2"/>
  <c r="F3448" i="2"/>
  <c r="F3588" i="2"/>
  <c r="F3732" i="2"/>
  <c r="F5601" i="2"/>
  <c r="F2666" i="2"/>
  <c r="F3196" i="2"/>
  <c r="F3229" i="2"/>
  <c r="F3775" i="2"/>
  <c r="F3913" i="2"/>
  <c r="F2644" i="2"/>
  <c r="C30" i="1" s="1"/>
  <c r="F2920" i="2"/>
  <c r="F2934" i="2"/>
  <c r="F3005" i="2"/>
  <c r="F3082" i="2"/>
  <c r="F3276" i="2"/>
  <c r="C32" i="1" s="1"/>
  <c r="F3404" i="2"/>
  <c r="F3519" i="2"/>
  <c r="F3639" i="2"/>
  <c r="F3650" i="2"/>
  <c r="F3812" i="2"/>
  <c r="F3152" i="2"/>
  <c r="F3437" i="2"/>
  <c r="F3577" i="2"/>
  <c r="F3627" i="2"/>
  <c r="F3721" i="2"/>
  <c r="F4226" i="2"/>
  <c r="F5414" i="2"/>
  <c r="F2720" i="2"/>
  <c r="F3038" i="2"/>
  <c r="F3185" i="2"/>
  <c r="F3393" i="2"/>
  <c r="F3699" i="2"/>
  <c r="F4514" i="2"/>
  <c r="F3071" i="2"/>
  <c r="F3470" i="2"/>
  <c r="F4962" i="2"/>
  <c r="F5402" i="2"/>
  <c r="F4751" i="2"/>
  <c r="F3251" i="2"/>
  <c r="F3482" i="2"/>
  <c r="F3532" i="2"/>
  <c r="F4214" i="2"/>
  <c r="F4739" i="2"/>
  <c r="F4282" i="2"/>
  <c r="F4466" i="2"/>
  <c r="F5718" i="2"/>
  <c r="F4068" i="2"/>
  <c r="F4503" i="2"/>
  <c r="F4562" i="2"/>
  <c r="F4796" i="2"/>
  <c r="F3837" i="2"/>
  <c r="F3945" i="2"/>
  <c r="F4093" i="2"/>
  <c r="F4726" i="2"/>
  <c r="F3824" i="2"/>
  <c r="F4481" i="2"/>
  <c r="F4865" i="2"/>
  <c r="F4911" i="2"/>
  <c r="F4348" i="2"/>
  <c r="F4383" i="2"/>
  <c r="F5173" i="2"/>
  <c r="F4547" i="2"/>
  <c r="F4678" i="2"/>
  <c r="F4713" i="2"/>
  <c r="F5116" i="2"/>
  <c r="F4142" i="2"/>
  <c r="F4328" i="2"/>
  <c r="F4667" i="2"/>
  <c r="F4819" i="2"/>
  <c r="F5219" i="2"/>
  <c r="F5439" i="2"/>
  <c r="F4120" i="2"/>
  <c r="F4271" i="2"/>
  <c r="F4989" i="2"/>
  <c r="F4260" i="2"/>
  <c r="F4370" i="2"/>
  <c r="F4394" i="2"/>
  <c r="F4451" i="2"/>
  <c r="F4131" i="2"/>
  <c r="F4573" i="2"/>
  <c r="F4632" i="2"/>
  <c r="F4701" i="2"/>
  <c r="F5162" i="2"/>
  <c r="F5500" i="2"/>
  <c r="F5005" i="2"/>
  <c r="F5049" i="2"/>
  <c r="F5243" i="2"/>
  <c r="F4359" i="2"/>
  <c r="F4525" i="2"/>
  <c r="F4656" i="2"/>
  <c r="F4785" i="2"/>
  <c r="F4807" i="2"/>
  <c r="F4619" i="2"/>
  <c r="F4973" i="2"/>
  <c r="F5033" i="2"/>
  <c r="F5061" i="2"/>
  <c r="F5151" i="2"/>
  <c r="F5578" i="2"/>
  <c r="F5301" i="2"/>
  <c r="F5357" i="2"/>
  <c r="F5388" i="2"/>
  <c r="F5535" i="2"/>
  <c r="F5612" i="2"/>
  <c r="F3860" i="2"/>
  <c r="F3932" i="2"/>
  <c r="F4001" i="2"/>
  <c r="F4040" i="2"/>
  <c r="F4107" i="2"/>
  <c r="F4248" i="2"/>
  <c r="F4304" i="2"/>
  <c r="F4417" i="2"/>
  <c r="F4429" i="2"/>
  <c r="F4440" i="2"/>
  <c r="F4492" i="2"/>
  <c r="F4536" i="2"/>
  <c r="F4585" i="2"/>
  <c r="F4597" i="2"/>
  <c r="F4608" i="2"/>
  <c r="F4690" i="2"/>
  <c r="F4888" i="2"/>
  <c r="F5207" i="2"/>
  <c r="F5274" i="2"/>
  <c r="F5370" i="2"/>
  <c r="F4938" i="2"/>
  <c r="F5020" i="2"/>
  <c r="F5687" i="2"/>
  <c r="F4924" i="2"/>
  <c r="F4950" i="2"/>
  <c r="F5089" i="2"/>
  <c r="F5138" i="2"/>
  <c r="F5331" i="2"/>
  <c r="F5486" i="2"/>
  <c r="F5551" i="2"/>
  <c r="F5073" i="2"/>
  <c r="F5195" i="2"/>
  <c r="F5636" i="2"/>
  <c r="F5231" i="2"/>
  <c r="F5426" i="2"/>
  <c r="F5625" i="2"/>
  <c r="F5658" i="2"/>
  <c r="F5103" i="2"/>
  <c r="F5127" i="2"/>
  <c r="F5565" i="2"/>
  <c r="C33" i="1" s="1"/>
  <c r="F5590" i="2"/>
  <c r="F5184" i="2"/>
  <c r="F5520" i="2"/>
  <c r="F5752" i="2"/>
  <c r="F10" i="5"/>
  <c r="F5647" i="2"/>
  <c r="F5775" i="2"/>
  <c r="B10" i="2" l="1"/>
  <c r="C7" i="1" s="1"/>
  <c r="C16" i="1"/>
  <c r="B9" i="2"/>
  <c r="C8" i="1" s="1"/>
  <c r="C28" i="1"/>
  <c r="C22" i="1"/>
  <c r="C27" i="1"/>
  <c r="C29" i="1"/>
  <c r="C23" i="1"/>
  <c r="C26" i="1"/>
  <c r="C18" i="1"/>
  <c r="C24"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C000000}">
      <text/>
    </comment>
    <comment ref="C19" authorId="1" shapeId="0" xr:uid="{00000000-0006-0000-0100-00000A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193" authorId="1" shapeId="0" xr:uid="{00000000-0006-0000-0100-000015000000}">
      <text>
        <r>
          <rPr>
            <sz val="11"/>
            <color theme="1"/>
            <rFont val="Calibri"/>
            <family val="2"/>
            <scheme val="minor"/>
          </rPr>
          <t>Introducir un texto con el nombre o referencia de la contratación</t>
        </r>
      </text>
    </comment>
    <comment ref="B193" authorId="1" shapeId="0" xr:uid="{00000000-0006-0000-0100-000016000000}">
      <text>
        <r>
          <rPr>
            <sz val="11"/>
            <color theme="1"/>
            <rFont val="Calibri"/>
            <family val="2"/>
            <scheme val="minor"/>
          </rPr>
          <t>Introduzca un texto con la finalidad de la contratación</t>
        </r>
      </text>
    </comment>
    <comment ref="C193" authorId="1" shapeId="0" xr:uid="{00000000-0006-0000-0100-000017000000}">
      <text>
        <r>
          <rPr>
            <sz val="11"/>
            <color theme="1"/>
            <rFont val="Calibri"/>
            <family val="2"/>
            <scheme val="minor"/>
          </rPr>
          <t>Seleccionar un valor del listado</t>
        </r>
      </text>
    </comment>
    <comment ref="D193" authorId="1" shapeId="0" xr:uid="{00000000-0006-0000-0100-000018000000}">
      <text>
        <r>
          <rPr>
            <sz val="11"/>
            <color theme="1"/>
            <rFont val="Calibri"/>
            <family val="2"/>
            <scheme val="minor"/>
          </rPr>
          <t>Seleccione el tipo de procedimiento</t>
        </r>
      </text>
    </comment>
    <comment ref="E193" authorId="1" shapeId="0" xr:uid="{00000000-0006-0000-0100-000019000000}">
      <text>
        <r>
          <rPr>
            <sz val="11"/>
            <color theme="1"/>
            <rFont val="Calibri"/>
            <family val="2"/>
            <scheme val="minor"/>
          </rPr>
          <t>Seleccione un valor de la lista</t>
        </r>
      </text>
    </comment>
    <comment ref="F193" authorId="1" shapeId="0" xr:uid="{00000000-0006-0000-0100-00001A000000}">
      <text>
        <r>
          <rPr>
            <sz val="11"/>
            <color theme="1"/>
            <rFont val="Calibri"/>
            <family val="2"/>
            <scheme val="minor"/>
          </rPr>
          <t>Introduzca el código SNIP</t>
        </r>
      </text>
    </comment>
    <comment ref="C194" authorId="1" shapeId="0" xr:uid="{00000000-0006-0000-0100-00001B000000}">
      <text>
        <r>
          <rPr>
            <sz val="11"/>
            <color theme="1"/>
            <rFont val="Calibri"/>
            <family val="2"/>
            <scheme val="minor"/>
          </rPr>
          <t>Introduzca la fecha de inicio del proceso, en formato dd-mm-aaaa</t>
        </r>
      </text>
    </comment>
    <comment ref="F194" authorId="1" shapeId="0" xr:uid="{00000000-0006-0000-0100-00001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5" authorId="1" shapeId="0" xr:uid="{00000000-0006-0000-0100-00001E000000}">
      <text/>
    </comment>
    <comment ref="C196" authorId="1" shapeId="0" xr:uid="{00000000-0006-0000-0100-00001C000000}">
      <text>
        <r>
          <rPr>
            <sz val="11"/>
            <color theme="1"/>
            <rFont val="Calibri"/>
            <family val="2"/>
            <scheme val="minor"/>
          </rPr>
          <t>Introduzca la fecha prevista de adjudicación, en formato dd-mm-aaaa</t>
        </r>
      </text>
    </comment>
    <comment ref="F196" authorId="1" shapeId="0" xr:uid="{00000000-0006-0000-0100-00001F000000}">
      <text/>
    </comment>
    <comment ref="F197" authorId="1" shapeId="0" xr:uid="{00000000-0006-0000-0100-000020000000}">
      <text/>
    </comment>
    <comment ref="A199" authorId="1" shapeId="0" xr:uid="{00000000-0006-0000-0100-000021000000}">
      <text>
        <r>
          <rPr>
            <sz val="11"/>
            <color theme="1"/>
            <rFont val="Calibri"/>
            <family val="2"/>
            <scheme val="minor"/>
          </rPr>
          <t>Introduzca un codigo UNSPSC</t>
        </r>
      </text>
    </comment>
    <comment ref="B199" authorId="1" shapeId="0" xr:uid="{00000000-0006-0000-0100-000022000000}">
      <text>
        <r>
          <rPr>
            <sz val="11"/>
            <color theme="1"/>
            <rFont val="Calibri"/>
            <family val="2"/>
            <scheme val="minor"/>
          </rPr>
          <t>Descripción calculada automáticamente a partir de código del artículo</t>
        </r>
      </text>
    </comment>
    <comment ref="C199" authorId="1" shapeId="0" xr:uid="{00000000-0006-0000-0100-000023000000}">
      <text>
        <r>
          <rPr>
            <sz val="11"/>
            <color theme="1"/>
            <rFont val="Calibri"/>
            <family val="2"/>
            <scheme val="minor"/>
          </rPr>
          <t>Seleccione un valor de la lista</t>
        </r>
      </text>
    </comment>
    <comment ref="D199" authorId="1" shapeId="0" xr:uid="{00000000-0006-0000-0100-000024000000}">
      <text>
        <r>
          <rPr>
            <sz val="11"/>
            <color theme="1"/>
            <rFont val="Calibri"/>
            <family val="2"/>
            <scheme val="minor"/>
          </rPr>
          <t>Introduzca un número con dos decimales como máximo. Debe ser igual o mayor a la "Cantidad Real Consumida"</t>
        </r>
      </text>
    </comment>
    <comment ref="E199" authorId="1" shapeId="0" xr:uid="{00000000-0006-0000-0100-000025000000}">
      <text>
        <r>
          <rPr>
            <sz val="11"/>
            <color theme="1"/>
            <rFont val="Calibri"/>
            <family val="2"/>
            <scheme val="minor"/>
          </rPr>
          <t>Introduzca un número con dos decimales como máximo</t>
        </r>
      </text>
    </comment>
    <comment ref="F199" authorId="1" shapeId="0" xr:uid="{00000000-0006-0000-0100-000026000000}">
      <text>
        <r>
          <rPr>
            <sz val="11"/>
            <color theme="1"/>
            <rFont val="Calibri"/>
            <family val="2"/>
            <scheme val="minor"/>
          </rPr>
          <t>Monto calculado automáticamente por el sistema</t>
        </r>
      </text>
    </comment>
    <comment ref="A204" authorId="1" shapeId="0" xr:uid="{00000000-0006-0000-0100-000027000000}">
      <text>
        <r>
          <rPr>
            <sz val="11"/>
            <color theme="1"/>
            <rFont val="Calibri"/>
            <family val="2"/>
            <scheme val="minor"/>
          </rPr>
          <t>Introducir un texto con el nombre o referencia de la contratación</t>
        </r>
      </text>
    </comment>
    <comment ref="B204" authorId="1" shapeId="0" xr:uid="{00000000-0006-0000-0100-000028000000}">
      <text>
        <r>
          <rPr>
            <sz val="11"/>
            <color theme="1"/>
            <rFont val="Calibri"/>
            <family val="2"/>
            <scheme val="minor"/>
          </rPr>
          <t>Introduzca un texto con la finalidad de la contratación</t>
        </r>
      </text>
    </comment>
    <comment ref="C204" authorId="1" shapeId="0" xr:uid="{00000000-0006-0000-0100-000029000000}">
      <text>
        <r>
          <rPr>
            <sz val="11"/>
            <color theme="1"/>
            <rFont val="Calibri"/>
            <family val="2"/>
            <scheme val="minor"/>
          </rPr>
          <t>Seleccionar un valor del listado</t>
        </r>
      </text>
    </comment>
    <comment ref="D204" authorId="1" shapeId="0" xr:uid="{00000000-0006-0000-0100-00002A000000}">
      <text>
        <r>
          <rPr>
            <sz val="11"/>
            <color theme="1"/>
            <rFont val="Calibri"/>
            <family val="2"/>
            <scheme val="minor"/>
          </rPr>
          <t>Seleccione el tipo de procedimiento</t>
        </r>
      </text>
    </comment>
    <comment ref="E204" authorId="1" shapeId="0" xr:uid="{00000000-0006-0000-0100-00002B000000}">
      <text>
        <r>
          <rPr>
            <sz val="11"/>
            <color theme="1"/>
            <rFont val="Calibri"/>
            <family val="2"/>
            <scheme val="minor"/>
          </rPr>
          <t>Seleccione un valor de la lista</t>
        </r>
      </text>
    </comment>
    <comment ref="F204" authorId="1" shapeId="0" xr:uid="{00000000-0006-0000-0100-00002C000000}">
      <text>
        <r>
          <rPr>
            <sz val="11"/>
            <color theme="1"/>
            <rFont val="Calibri"/>
            <family val="2"/>
            <scheme val="minor"/>
          </rPr>
          <t>Introduzca el código SNIP</t>
        </r>
      </text>
    </comment>
    <comment ref="C205" authorId="1" shapeId="0" xr:uid="{00000000-0006-0000-0100-00002D000000}">
      <text>
        <r>
          <rPr>
            <sz val="11"/>
            <color theme="1"/>
            <rFont val="Calibri"/>
            <family val="2"/>
            <scheme val="minor"/>
          </rPr>
          <t>Introduzca la fecha de inicio del proceso, en formato dd-mm-aaaa</t>
        </r>
      </text>
    </comment>
    <comment ref="F205" authorId="1" shapeId="0" xr:uid="{00000000-0006-0000-0100-00002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6" authorId="1" shapeId="0" xr:uid="{00000000-0006-0000-0100-000030000000}">
      <text/>
    </comment>
    <comment ref="C207" authorId="1" shapeId="0" xr:uid="{00000000-0006-0000-0100-00002E000000}">
      <text>
        <r>
          <rPr>
            <sz val="11"/>
            <color theme="1"/>
            <rFont val="Calibri"/>
            <family val="2"/>
            <scheme val="minor"/>
          </rPr>
          <t>Introduzca la fecha prevista de adjudicación, en formato dd-mm-aaaa</t>
        </r>
      </text>
    </comment>
    <comment ref="F207" authorId="1" shapeId="0" xr:uid="{00000000-0006-0000-0100-000031000000}">
      <text/>
    </comment>
    <comment ref="F208" authorId="1" shapeId="0" xr:uid="{00000000-0006-0000-0100-000032000000}">
      <text/>
    </comment>
    <comment ref="A210" authorId="1" shapeId="0" xr:uid="{00000000-0006-0000-0100-000033000000}">
      <text>
        <r>
          <rPr>
            <sz val="11"/>
            <color theme="1"/>
            <rFont val="Calibri"/>
            <family val="2"/>
            <scheme val="minor"/>
          </rPr>
          <t>Introduzca un codigo UNSPSC</t>
        </r>
      </text>
    </comment>
    <comment ref="B210" authorId="1" shapeId="0" xr:uid="{00000000-0006-0000-0100-000034000000}">
      <text>
        <r>
          <rPr>
            <sz val="11"/>
            <color theme="1"/>
            <rFont val="Calibri"/>
            <family val="2"/>
            <scheme val="minor"/>
          </rPr>
          <t>Descripción calculada automáticamente a partir de código del artículo</t>
        </r>
      </text>
    </comment>
    <comment ref="C210" authorId="1" shapeId="0" xr:uid="{00000000-0006-0000-0100-000035000000}">
      <text>
        <r>
          <rPr>
            <sz val="11"/>
            <color theme="1"/>
            <rFont val="Calibri"/>
            <family val="2"/>
            <scheme val="minor"/>
          </rPr>
          <t>Seleccione un valor de la lista</t>
        </r>
      </text>
    </comment>
    <comment ref="D210" authorId="1" shapeId="0" xr:uid="{00000000-0006-0000-0100-000036000000}">
      <text>
        <r>
          <rPr>
            <sz val="11"/>
            <color theme="1"/>
            <rFont val="Calibri"/>
            <family val="2"/>
            <scheme val="minor"/>
          </rPr>
          <t>Introduzca un número con dos decimales como máximo. Debe ser igual o mayor a la "Cantidad Real Consumida"</t>
        </r>
      </text>
    </comment>
    <comment ref="E210" authorId="1" shapeId="0" xr:uid="{00000000-0006-0000-0100-000037000000}">
      <text>
        <r>
          <rPr>
            <sz val="11"/>
            <color theme="1"/>
            <rFont val="Calibri"/>
            <family val="2"/>
            <scheme val="minor"/>
          </rPr>
          <t>Introduzca un número con dos decimales como máximo</t>
        </r>
      </text>
    </comment>
    <comment ref="F210" authorId="1" shapeId="0" xr:uid="{00000000-0006-0000-0100-000038000000}">
      <text>
        <r>
          <rPr>
            <sz val="11"/>
            <color theme="1"/>
            <rFont val="Calibri"/>
            <family val="2"/>
            <scheme val="minor"/>
          </rPr>
          <t>Monto calculado automáticamente por el sistema</t>
        </r>
      </text>
    </comment>
    <comment ref="A217" authorId="1" shapeId="0" xr:uid="{00000000-0006-0000-0100-000039000000}">
      <text>
        <r>
          <rPr>
            <sz val="11"/>
            <color theme="1"/>
            <rFont val="Calibri"/>
            <family val="2"/>
            <scheme val="minor"/>
          </rPr>
          <t>Introducir un texto con el nombre o referencia de la contratación</t>
        </r>
      </text>
    </comment>
    <comment ref="B217" authorId="1" shapeId="0" xr:uid="{00000000-0006-0000-0100-00003A000000}">
      <text>
        <r>
          <rPr>
            <sz val="11"/>
            <color theme="1"/>
            <rFont val="Calibri"/>
            <family val="2"/>
            <scheme val="minor"/>
          </rPr>
          <t>Introduzca un texto con la finalidad de la contratación</t>
        </r>
      </text>
    </comment>
    <comment ref="C217" authorId="1" shapeId="0" xr:uid="{00000000-0006-0000-0100-00003B000000}">
      <text>
        <r>
          <rPr>
            <sz val="11"/>
            <color theme="1"/>
            <rFont val="Calibri"/>
            <family val="2"/>
            <scheme val="minor"/>
          </rPr>
          <t>Seleccionar un valor del listado</t>
        </r>
      </text>
    </comment>
    <comment ref="D217" authorId="1" shapeId="0" xr:uid="{00000000-0006-0000-0100-00003C000000}">
      <text>
        <r>
          <rPr>
            <sz val="11"/>
            <color theme="1"/>
            <rFont val="Calibri"/>
            <family val="2"/>
            <scheme val="minor"/>
          </rPr>
          <t>Seleccione el tipo de procedimiento</t>
        </r>
      </text>
    </comment>
    <comment ref="E217" authorId="1" shapeId="0" xr:uid="{00000000-0006-0000-0100-00003D000000}">
      <text>
        <r>
          <rPr>
            <sz val="11"/>
            <color theme="1"/>
            <rFont val="Calibri"/>
            <family val="2"/>
            <scheme val="minor"/>
          </rPr>
          <t>Seleccione un valor de la lista</t>
        </r>
      </text>
    </comment>
    <comment ref="F217" authorId="1" shapeId="0" xr:uid="{00000000-0006-0000-0100-00003E000000}">
      <text>
        <r>
          <rPr>
            <sz val="11"/>
            <color theme="1"/>
            <rFont val="Calibri"/>
            <family val="2"/>
            <scheme val="minor"/>
          </rPr>
          <t>Introduzca el código SNIP</t>
        </r>
      </text>
    </comment>
    <comment ref="C218" authorId="1" shapeId="0" xr:uid="{00000000-0006-0000-0100-00003F000000}">
      <text>
        <r>
          <rPr>
            <sz val="11"/>
            <color theme="1"/>
            <rFont val="Calibri"/>
            <family val="2"/>
            <scheme val="minor"/>
          </rPr>
          <t>Introduzca la fecha de inicio del proceso, en formato dd-mm-aaaa</t>
        </r>
      </text>
    </comment>
    <comment ref="F218" authorId="1" shapeId="0" xr:uid="{00000000-0006-0000-0100-00004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9" authorId="1" shapeId="0" xr:uid="{00000000-0006-0000-0100-000042000000}">
      <text/>
    </comment>
    <comment ref="C220" authorId="1" shapeId="0" xr:uid="{00000000-0006-0000-0100-000040000000}">
      <text>
        <r>
          <rPr>
            <sz val="11"/>
            <color theme="1"/>
            <rFont val="Calibri"/>
            <family val="2"/>
            <scheme val="minor"/>
          </rPr>
          <t>Introduzca la fecha prevista de adjudicación, en formato dd-mm-aaaa</t>
        </r>
      </text>
    </comment>
    <comment ref="F220" authorId="1" shapeId="0" xr:uid="{00000000-0006-0000-0100-000043000000}">
      <text/>
    </comment>
    <comment ref="F221" authorId="1" shapeId="0" xr:uid="{00000000-0006-0000-0100-000044000000}">
      <text/>
    </comment>
    <comment ref="A223" authorId="1" shapeId="0" xr:uid="{00000000-0006-0000-0100-000045000000}">
      <text>
        <r>
          <rPr>
            <sz val="11"/>
            <color theme="1"/>
            <rFont val="Calibri"/>
            <family val="2"/>
            <scheme val="minor"/>
          </rPr>
          <t>Introduzca un codigo UNSPSC</t>
        </r>
      </text>
    </comment>
    <comment ref="B223" authorId="1" shapeId="0" xr:uid="{00000000-0006-0000-0100-000046000000}">
      <text>
        <r>
          <rPr>
            <sz val="11"/>
            <color theme="1"/>
            <rFont val="Calibri"/>
            <family val="2"/>
            <scheme val="minor"/>
          </rPr>
          <t>Descripción calculada automáticamente a partir de código del artículo</t>
        </r>
      </text>
    </comment>
    <comment ref="C223" authorId="1" shapeId="0" xr:uid="{00000000-0006-0000-0100-000047000000}">
      <text>
        <r>
          <rPr>
            <sz val="11"/>
            <color theme="1"/>
            <rFont val="Calibri"/>
            <family val="2"/>
            <scheme val="minor"/>
          </rPr>
          <t>Seleccione un valor de la lista</t>
        </r>
      </text>
    </comment>
    <comment ref="D223" authorId="1" shapeId="0" xr:uid="{00000000-0006-0000-0100-000048000000}">
      <text>
        <r>
          <rPr>
            <sz val="11"/>
            <color theme="1"/>
            <rFont val="Calibri"/>
            <family val="2"/>
            <scheme val="minor"/>
          </rPr>
          <t>Introduzca un número con dos decimales como máximo. Debe ser igual o mayor a la "Cantidad Real Consumida"</t>
        </r>
      </text>
    </comment>
    <comment ref="E223" authorId="1" shapeId="0" xr:uid="{00000000-0006-0000-0100-000049000000}">
      <text>
        <r>
          <rPr>
            <sz val="11"/>
            <color theme="1"/>
            <rFont val="Calibri"/>
            <family val="2"/>
            <scheme val="minor"/>
          </rPr>
          <t>Introduzca un número con dos decimales como máximo</t>
        </r>
      </text>
    </comment>
    <comment ref="F223" authorId="1" shapeId="0" xr:uid="{00000000-0006-0000-0100-00004A000000}">
      <text>
        <r>
          <rPr>
            <sz val="11"/>
            <color theme="1"/>
            <rFont val="Calibri"/>
            <family val="2"/>
            <scheme val="minor"/>
          </rPr>
          <t>Monto calculado automáticamente por el sistema</t>
        </r>
      </text>
    </comment>
    <comment ref="A230" authorId="1" shapeId="0" xr:uid="{00000000-0006-0000-0100-00004B000000}">
      <text>
        <r>
          <rPr>
            <sz val="11"/>
            <color theme="1"/>
            <rFont val="Calibri"/>
            <family val="2"/>
            <scheme val="minor"/>
          </rPr>
          <t>Introducir un texto con el nombre o referencia de la contratación</t>
        </r>
      </text>
    </comment>
    <comment ref="B230" authorId="1" shapeId="0" xr:uid="{00000000-0006-0000-0100-00004C000000}">
      <text>
        <r>
          <rPr>
            <sz val="11"/>
            <color theme="1"/>
            <rFont val="Calibri"/>
            <family val="2"/>
            <scheme val="minor"/>
          </rPr>
          <t>Introduzca un texto con la finalidad de la contratación</t>
        </r>
      </text>
    </comment>
    <comment ref="C230" authorId="1" shapeId="0" xr:uid="{00000000-0006-0000-0100-00004D000000}">
      <text>
        <r>
          <rPr>
            <sz val="11"/>
            <color theme="1"/>
            <rFont val="Calibri"/>
            <family val="2"/>
            <scheme val="minor"/>
          </rPr>
          <t>Seleccionar un valor del listado</t>
        </r>
      </text>
    </comment>
    <comment ref="D230" authorId="1" shapeId="0" xr:uid="{00000000-0006-0000-0100-00004E000000}">
      <text>
        <r>
          <rPr>
            <sz val="11"/>
            <color theme="1"/>
            <rFont val="Calibri"/>
            <family val="2"/>
            <scheme val="minor"/>
          </rPr>
          <t>Seleccione el tipo de procedimiento</t>
        </r>
      </text>
    </comment>
    <comment ref="E230" authorId="1" shapeId="0" xr:uid="{00000000-0006-0000-0100-00004F000000}">
      <text>
        <r>
          <rPr>
            <sz val="11"/>
            <color theme="1"/>
            <rFont val="Calibri"/>
            <family val="2"/>
            <scheme val="minor"/>
          </rPr>
          <t>Seleccione un valor de la lista</t>
        </r>
      </text>
    </comment>
    <comment ref="F230" authorId="1" shapeId="0" xr:uid="{00000000-0006-0000-0100-000050000000}">
      <text>
        <r>
          <rPr>
            <sz val="11"/>
            <color theme="1"/>
            <rFont val="Calibri"/>
            <family val="2"/>
            <scheme val="minor"/>
          </rPr>
          <t>Introduzca el código SNIP</t>
        </r>
      </text>
    </comment>
    <comment ref="C231" authorId="1" shapeId="0" xr:uid="{00000000-0006-0000-0100-000051000000}">
      <text>
        <r>
          <rPr>
            <sz val="11"/>
            <color theme="1"/>
            <rFont val="Calibri"/>
            <family val="2"/>
            <scheme val="minor"/>
          </rPr>
          <t>Introduzca la fecha de inicio del proceso, en formato dd-mm-aaaa</t>
        </r>
      </text>
    </comment>
    <comment ref="F231" authorId="1" shapeId="0" xr:uid="{00000000-0006-0000-0100-00005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2" authorId="1" shapeId="0" xr:uid="{00000000-0006-0000-0100-000054000000}">
      <text/>
    </comment>
    <comment ref="C233" authorId="1" shapeId="0" xr:uid="{00000000-0006-0000-0100-000052000000}">
      <text>
        <r>
          <rPr>
            <sz val="11"/>
            <color theme="1"/>
            <rFont val="Calibri"/>
            <family val="2"/>
            <scheme val="minor"/>
          </rPr>
          <t>Introduzca la fecha prevista de adjudicación, en formato dd-mm-aaaa</t>
        </r>
      </text>
    </comment>
    <comment ref="F233" authorId="1" shapeId="0" xr:uid="{00000000-0006-0000-0100-000055000000}">
      <text/>
    </comment>
    <comment ref="F234" authorId="1" shapeId="0" xr:uid="{00000000-0006-0000-0100-000056000000}">
      <text/>
    </comment>
    <comment ref="A236" authorId="1" shapeId="0" xr:uid="{00000000-0006-0000-0100-000057000000}">
      <text>
        <r>
          <rPr>
            <sz val="11"/>
            <color theme="1"/>
            <rFont val="Calibri"/>
            <family val="2"/>
            <scheme val="minor"/>
          </rPr>
          <t>Introduzca un codigo UNSPSC</t>
        </r>
      </text>
    </comment>
    <comment ref="B236" authorId="1" shapeId="0" xr:uid="{00000000-0006-0000-0100-000058000000}">
      <text>
        <r>
          <rPr>
            <sz val="11"/>
            <color theme="1"/>
            <rFont val="Calibri"/>
            <family val="2"/>
            <scheme val="minor"/>
          </rPr>
          <t>Descripción calculada automáticamente a partir de código del artículo</t>
        </r>
      </text>
    </comment>
    <comment ref="C236" authorId="1" shapeId="0" xr:uid="{00000000-0006-0000-0100-000059000000}">
      <text>
        <r>
          <rPr>
            <sz val="11"/>
            <color theme="1"/>
            <rFont val="Calibri"/>
            <family val="2"/>
            <scheme val="minor"/>
          </rPr>
          <t>Seleccione un valor de la lista</t>
        </r>
      </text>
    </comment>
    <comment ref="D236" authorId="1" shapeId="0" xr:uid="{00000000-0006-0000-0100-00005A000000}">
      <text>
        <r>
          <rPr>
            <sz val="11"/>
            <color theme="1"/>
            <rFont val="Calibri"/>
            <family val="2"/>
            <scheme val="minor"/>
          </rPr>
          <t>Introduzca un número con dos decimales como máximo. Debe ser igual o mayor a la "Cantidad Real Consumida"</t>
        </r>
      </text>
    </comment>
    <comment ref="E236" authorId="1" shapeId="0" xr:uid="{00000000-0006-0000-0100-00005B000000}">
      <text>
        <r>
          <rPr>
            <sz val="11"/>
            <color theme="1"/>
            <rFont val="Calibri"/>
            <family val="2"/>
            <scheme val="minor"/>
          </rPr>
          <t>Introduzca un número con dos decimales como máximo</t>
        </r>
      </text>
    </comment>
    <comment ref="F236" authorId="1" shapeId="0" xr:uid="{00000000-0006-0000-0100-00005C000000}">
      <text>
        <r>
          <rPr>
            <sz val="11"/>
            <color theme="1"/>
            <rFont val="Calibri"/>
            <family val="2"/>
            <scheme val="minor"/>
          </rPr>
          <t>Monto calculado automáticamente por el sistema</t>
        </r>
      </text>
    </comment>
    <comment ref="A243" authorId="1" shapeId="0" xr:uid="{00000000-0006-0000-0100-00005D000000}">
      <text>
        <r>
          <rPr>
            <sz val="11"/>
            <color theme="1"/>
            <rFont val="Calibri"/>
            <family val="2"/>
            <scheme val="minor"/>
          </rPr>
          <t>Introducir un texto con el nombre o referencia de la contratación</t>
        </r>
      </text>
    </comment>
    <comment ref="B243" authorId="1" shapeId="0" xr:uid="{00000000-0006-0000-0100-00005E000000}">
      <text>
        <r>
          <rPr>
            <sz val="11"/>
            <color theme="1"/>
            <rFont val="Calibri"/>
            <family val="2"/>
            <scheme val="minor"/>
          </rPr>
          <t>Introduzca un texto con la finalidad de la contratación</t>
        </r>
      </text>
    </comment>
    <comment ref="C243" authorId="1" shapeId="0" xr:uid="{00000000-0006-0000-0100-00005F000000}">
      <text>
        <r>
          <rPr>
            <sz val="11"/>
            <color theme="1"/>
            <rFont val="Calibri"/>
            <family val="2"/>
            <scheme val="minor"/>
          </rPr>
          <t>Seleccionar un valor del listado</t>
        </r>
      </text>
    </comment>
    <comment ref="D243" authorId="1" shapeId="0" xr:uid="{00000000-0006-0000-0100-000060000000}">
      <text>
        <r>
          <rPr>
            <sz val="11"/>
            <color theme="1"/>
            <rFont val="Calibri"/>
            <family val="2"/>
            <scheme val="minor"/>
          </rPr>
          <t>Seleccione el tipo de procedimiento</t>
        </r>
      </text>
    </comment>
    <comment ref="E243" authorId="1" shapeId="0" xr:uid="{00000000-0006-0000-0100-000061000000}">
      <text>
        <r>
          <rPr>
            <sz val="11"/>
            <color theme="1"/>
            <rFont val="Calibri"/>
            <family val="2"/>
            <scheme val="minor"/>
          </rPr>
          <t>Seleccione un valor de la lista</t>
        </r>
      </text>
    </comment>
    <comment ref="F243" authorId="1" shapeId="0" xr:uid="{00000000-0006-0000-0100-000062000000}">
      <text>
        <r>
          <rPr>
            <sz val="11"/>
            <color theme="1"/>
            <rFont val="Calibri"/>
            <family val="2"/>
            <scheme val="minor"/>
          </rPr>
          <t>Introduzca el código SNIP</t>
        </r>
      </text>
    </comment>
    <comment ref="C244" authorId="1" shapeId="0" xr:uid="{00000000-0006-0000-0100-000063000000}">
      <text>
        <r>
          <rPr>
            <sz val="11"/>
            <color theme="1"/>
            <rFont val="Calibri"/>
            <family val="2"/>
            <scheme val="minor"/>
          </rPr>
          <t>Introduzca la fecha de inicio del proceso, en formato dd-mm-aaaa</t>
        </r>
      </text>
    </comment>
    <comment ref="F244" authorId="1" shapeId="0" xr:uid="{00000000-0006-0000-0100-00006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5" authorId="1" shapeId="0" xr:uid="{00000000-0006-0000-0100-000066000000}">
      <text/>
    </comment>
    <comment ref="C246" authorId="1" shapeId="0" xr:uid="{00000000-0006-0000-0100-000064000000}">
      <text>
        <r>
          <rPr>
            <sz val="11"/>
            <color theme="1"/>
            <rFont val="Calibri"/>
            <family val="2"/>
            <scheme val="minor"/>
          </rPr>
          <t>Introduzca la fecha prevista de adjudicación, en formato dd-mm-aaaa</t>
        </r>
      </text>
    </comment>
    <comment ref="F246" authorId="1" shapeId="0" xr:uid="{00000000-0006-0000-0100-000067000000}">
      <text/>
    </comment>
    <comment ref="F247" authorId="1" shapeId="0" xr:uid="{00000000-0006-0000-0100-000068000000}">
      <text/>
    </comment>
    <comment ref="A249" authorId="1" shapeId="0" xr:uid="{00000000-0006-0000-0100-000069000000}">
      <text>
        <r>
          <rPr>
            <sz val="11"/>
            <color theme="1"/>
            <rFont val="Calibri"/>
            <family val="2"/>
            <scheme val="minor"/>
          </rPr>
          <t>Introduzca un codigo UNSPSC</t>
        </r>
      </text>
    </comment>
    <comment ref="B249" authorId="1" shapeId="0" xr:uid="{00000000-0006-0000-0100-00006A000000}">
      <text>
        <r>
          <rPr>
            <sz val="11"/>
            <color theme="1"/>
            <rFont val="Calibri"/>
            <family val="2"/>
            <scheme val="minor"/>
          </rPr>
          <t>Descripción calculada automáticamente a partir de código del artículo</t>
        </r>
      </text>
    </comment>
    <comment ref="C249" authorId="1" shapeId="0" xr:uid="{00000000-0006-0000-0100-00006B000000}">
      <text>
        <r>
          <rPr>
            <sz val="11"/>
            <color theme="1"/>
            <rFont val="Calibri"/>
            <family val="2"/>
            <scheme val="minor"/>
          </rPr>
          <t>Seleccione un valor de la lista</t>
        </r>
      </text>
    </comment>
    <comment ref="D249" authorId="1" shapeId="0" xr:uid="{00000000-0006-0000-0100-00006C000000}">
      <text>
        <r>
          <rPr>
            <sz val="11"/>
            <color theme="1"/>
            <rFont val="Calibri"/>
            <family val="2"/>
            <scheme val="minor"/>
          </rPr>
          <t>Introduzca un número con dos decimales como máximo. Debe ser igual o mayor a la "Cantidad Real Consumida"</t>
        </r>
      </text>
    </comment>
    <comment ref="E249" authorId="1" shapeId="0" xr:uid="{00000000-0006-0000-0100-00006D000000}">
      <text>
        <r>
          <rPr>
            <sz val="11"/>
            <color theme="1"/>
            <rFont val="Calibri"/>
            <family val="2"/>
            <scheme val="minor"/>
          </rPr>
          <t>Introduzca un número con dos decimales como máximo</t>
        </r>
      </text>
    </comment>
    <comment ref="F249" authorId="1" shapeId="0" xr:uid="{00000000-0006-0000-0100-00006E000000}">
      <text>
        <r>
          <rPr>
            <sz val="11"/>
            <color theme="1"/>
            <rFont val="Calibri"/>
            <family val="2"/>
            <scheme val="minor"/>
          </rPr>
          <t>Monto calculado automáticamente por el sistema</t>
        </r>
      </text>
    </comment>
    <comment ref="A254" authorId="1" shapeId="0" xr:uid="{00000000-0006-0000-0100-00006F000000}">
      <text>
        <r>
          <rPr>
            <sz val="11"/>
            <color theme="1"/>
            <rFont val="Calibri"/>
            <family val="2"/>
            <scheme val="minor"/>
          </rPr>
          <t>Introducir un texto con el nombre o referencia de la contratación</t>
        </r>
      </text>
    </comment>
    <comment ref="B254" authorId="1" shapeId="0" xr:uid="{00000000-0006-0000-0100-000070000000}">
      <text>
        <r>
          <rPr>
            <sz val="11"/>
            <color theme="1"/>
            <rFont val="Calibri"/>
            <family val="2"/>
            <scheme val="minor"/>
          </rPr>
          <t>Introduzca un texto con la finalidad de la contratación</t>
        </r>
      </text>
    </comment>
    <comment ref="C254" authorId="1" shapeId="0" xr:uid="{00000000-0006-0000-0100-000071000000}">
      <text>
        <r>
          <rPr>
            <sz val="11"/>
            <color theme="1"/>
            <rFont val="Calibri"/>
            <family val="2"/>
            <scheme val="minor"/>
          </rPr>
          <t>Seleccionar un valor del listado</t>
        </r>
      </text>
    </comment>
    <comment ref="D254" authorId="1" shapeId="0" xr:uid="{00000000-0006-0000-0100-000072000000}">
      <text>
        <r>
          <rPr>
            <sz val="11"/>
            <color theme="1"/>
            <rFont val="Calibri"/>
            <family val="2"/>
            <scheme val="minor"/>
          </rPr>
          <t>Seleccione el tipo de procedimiento</t>
        </r>
      </text>
    </comment>
    <comment ref="E254" authorId="1" shapeId="0" xr:uid="{00000000-0006-0000-0100-000073000000}">
      <text>
        <r>
          <rPr>
            <sz val="11"/>
            <color theme="1"/>
            <rFont val="Calibri"/>
            <family val="2"/>
            <scheme val="minor"/>
          </rPr>
          <t>Seleccione un valor de la lista</t>
        </r>
      </text>
    </comment>
    <comment ref="F254" authorId="1" shapeId="0" xr:uid="{00000000-0006-0000-0100-000074000000}">
      <text>
        <r>
          <rPr>
            <sz val="11"/>
            <color theme="1"/>
            <rFont val="Calibri"/>
            <family val="2"/>
            <scheme val="minor"/>
          </rPr>
          <t>Introduzca el código SNIP</t>
        </r>
      </text>
    </comment>
    <comment ref="C255" authorId="1" shapeId="0" xr:uid="{00000000-0006-0000-0100-000075000000}">
      <text>
        <r>
          <rPr>
            <sz val="11"/>
            <color theme="1"/>
            <rFont val="Calibri"/>
            <family val="2"/>
            <scheme val="minor"/>
          </rPr>
          <t>Introduzca la fecha de inicio del proceso, en formato dd-mm-aaaa</t>
        </r>
      </text>
    </comment>
    <comment ref="F255" authorId="1" shapeId="0" xr:uid="{00000000-0006-0000-0100-000077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6" authorId="1" shapeId="0" xr:uid="{00000000-0006-0000-0100-000078000000}">
      <text/>
    </comment>
    <comment ref="C257" authorId="1" shapeId="0" xr:uid="{00000000-0006-0000-0100-000076000000}">
      <text>
        <r>
          <rPr>
            <sz val="11"/>
            <color theme="1"/>
            <rFont val="Calibri"/>
            <family val="2"/>
            <scheme val="minor"/>
          </rPr>
          <t>Introduzca la fecha prevista de adjudicación, en formato dd-mm-aaaa</t>
        </r>
      </text>
    </comment>
    <comment ref="F257" authorId="1" shapeId="0" xr:uid="{00000000-0006-0000-0100-000079000000}">
      <text/>
    </comment>
    <comment ref="F258" authorId="1" shapeId="0" xr:uid="{00000000-0006-0000-0100-00007A000000}">
      <text/>
    </comment>
    <comment ref="A260" authorId="1" shapeId="0" xr:uid="{00000000-0006-0000-0100-00007B000000}">
      <text>
        <r>
          <rPr>
            <sz val="11"/>
            <color theme="1"/>
            <rFont val="Calibri"/>
            <family val="2"/>
            <scheme val="minor"/>
          </rPr>
          <t>Introduzca un codigo UNSPSC</t>
        </r>
      </text>
    </comment>
    <comment ref="B260" authorId="1" shapeId="0" xr:uid="{00000000-0006-0000-0100-00007C000000}">
      <text>
        <r>
          <rPr>
            <sz val="11"/>
            <color theme="1"/>
            <rFont val="Calibri"/>
            <family val="2"/>
            <scheme val="minor"/>
          </rPr>
          <t>Descripción calculada automáticamente a partir de código del artículo</t>
        </r>
      </text>
    </comment>
    <comment ref="C260" authorId="1" shapeId="0" xr:uid="{00000000-0006-0000-0100-00007D000000}">
      <text>
        <r>
          <rPr>
            <sz val="11"/>
            <color theme="1"/>
            <rFont val="Calibri"/>
            <family val="2"/>
            <scheme val="minor"/>
          </rPr>
          <t>Seleccione un valor de la lista</t>
        </r>
      </text>
    </comment>
    <comment ref="D260" authorId="1" shapeId="0" xr:uid="{00000000-0006-0000-0100-00007E000000}">
      <text>
        <r>
          <rPr>
            <sz val="11"/>
            <color theme="1"/>
            <rFont val="Calibri"/>
            <family val="2"/>
            <scheme val="minor"/>
          </rPr>
          <t>Introduzca un número con dos decimales como máximo. Debe ser igual o mayor a la "Cantidad Real Consumida"</t>
        </r>
      </text>
    </comment>
    <comment ref="E260" authorId="1" shapeId="0" xr:uid="{00000000-0006-0000-0100-00007F000000}">
      <text>
        <r>
          <rPr>
            <sz val="11"/>
            <color theme="1"/>
            <rFont val="Calibri"/>
            <family val="2"/>
            <scheme val="minor"/>
          </rPr>
          <t>Introduzca un número con dos decimales como máximo</t>
        </r>
      </text>
    </comment>
    <comment ref="F260" authorId="1" shapeId="0" xr:uid="{00000000-0006-0000-0100-000080000000}">
      <text>
        <r>
          <rPr>
            <sz val="11"/>
            <color theme="1"/>
            <rFont val="Calibri"/>
            <family val="2"/>
            <scheme val="minor"/>
          </rPr>
          <t>Monto calculado automáticamente por el sistema</t>
        </r>
      </text>
    </comment>
    <comment ref="A266" authorId="1" shapeId="0" xr:uid="{00000000-0006-0000-0100-000081000000}">
      <text>
        <r>
          <rPr>
            <sz val="11"/>
            <color theme="1"/>
            <rFont val="Calibri"/>
            <family val="2"/>
            <scheme val="minor"/>
          </rPr>
          <t>Introducir un texto con el nombre o referencia de la contratación</t>
        </r>
      </text>
    </comment>
    <comment ref="B266" authorId="1" shapeId="0" xr:uid="{00000000-0006-0000-0100-000082000000}">
      <text>
        <r>
          <rPr>
            <sz val="11"/>
            <color theme="1"/>
            <rFont val="Calibri"/>
            <family val="2"/>
            <scheme val="minor"/>
          </rPr>
          <t>Introduzca un texto con la finalidad de la contratación</t>
        </r>
      </text>
    </comment>
    <comment ref="C266" authorId="1" shapeId="0" xr:uid="{00000000-0006-0000-0100-000083000000}">
      <text>
        <r>
          <rPr>
            <sz val="11"/>
            <color theme="1"/>
            <rFont val="Calibri"/>
            <family val="2"/>
            <scheme val="minor"/>
          </rPr>
          <t>Seleccionar un valor del listado</t>
        </r>
      </text>
    </comment>
    <comment ref="D266" authorId="1" shapeId="0" xr:uid="{00000000-0006-0000-0100-000084000000}">
      <text>
        <r>
          <rPr>
            <sz val="11"/>
            <color theme="1"/>
            <rFont val="Calibri"/>
            <family val="2"/>
            <scheme val="minor"/>
          </rPr>
          <t>Seleccione el tipo de procedimiento</t>
        </r>
      </text>
    </comment>
    <comment ref="E266" authorId="1" shapeId="0" xr:uid="{00000000-0006-0000-0100-000085000000}">
      <text>
        <r>
          <rPr>
            <sz val="11"/>
            <color theme="1"/>
            <rFont val="Calibri"/>
            <family val="2"/>
            <scheme val="minor"/>
          </rPr>
          <t>Seleccione un valor de la lista</t>
        </r>
      </text>
    </comment>
    <comment ref="F266" authorId="1" shapeId="0" xr:uid="{00000000-0006-0000-0100-000086000000}">
      <text>
        <r>
          <rPr>
            <sz val="11"/>
            <color theme="1"/>
            <rFont val="Calibri"/>
            <family val="2"/>
            <scheme val="minor"/>
          </rPr>
          <t>Introduzca el código SNIP</t>
        </r>
      </text>
    </comment>
    <comment ref="C267" authorId="1" shapeId="0" xr:uid="{00000000-0006-0000-0100-000087000000}">
      <text>
        <r>
          <rPr>
            <sz val="11"/>
            <color theme="1"/>
            <rFont val="Calibri"/>
            <family val="2"/>
            <scheme val="minor"/>
          </rPr>
          <t>Introduzca la fecha de inicio del proceso, en formato dd-mm-aaaa</t>
        </r>
      </text>
    </comment>
    <comment ref="F267" authorId="1" shapeId="0" xr:uid="{00000000-0006-0000-0100-000089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8" authorId="1" shapeId="0" xr:uid="{00000000-0006-0000-0100-00008A000000}">
      <text/>
    </comment>
    <comment ref="C269" authorId="1" shapeId="0" xr:uid="{00000000-0006-0000-0100-000088000000}">
      <text>
        <r>
          <rPr>
            <sz val="11"/>
            <color theme="1"/>
            <rFont val="Calibri"/>
            <family val="2"/>
            <scheme val="minor"/>
          </rPr>
          <t>Introduzca la fecha prevista de adjudicación, en formato dd-mm-aaaa</t>
        </r>
      </text>
    </comment>
    <comment ref="F269" authorId="1" shapeId="0" xr:uid="{00000000-0006-0000-0100-00008B000000}">
      <text/>
    </comment>
    <comment ref="F270" authorId="1" shapeId="0" xr:uid="{00000000-0006-0000-0100-00008C000000}">
      <text/>
    </comment>
    <comment ref="A272" authorId="1" shapeId="0" xr:uid="{00000000-0006-0000-0100-00008D000000}">
      <text>
        <r>
          <rPr>
            <sz val="11"/>
            <color theme="1"/>
            <rFont val="Calibri"/>
            <family val="2"/>
            <scheme val="minor"/>
          </rPr>
          <t>Introduzca un codigo UNSPSC</t>
        </r>
      </text>
    </comment>
    <comment ref="B272" authorId="1" shapeId="0" xr:uid="{00000000-0006-0000-0100-00008E000000}">
      <text>
        <r>
          <rPr>
            <sz val="11"/>
            <color theme="1"/>
            <rFont val="Calibri"/>
            <family val="2"/>
            <scheme val="minor"/>
          </rPr>
          <t>Descripción calculada automáticamente a partir de código del artículo</t>
        </r>
      </text>
    </comment>
    <comment ref="C272" authorId="1" shapeId="0" xr:uid="{00000000-0006-0000-0100-00008F000000}">
      <text>
        <r>
          <rPr>
            <sz val="11"/>
            <color theme="1"/>
            <rFont val="Calibri"/>
            <family val="2"/>
            <scheme val="minor"/>
          </rPr>
          <t>Seleccione un valor de la lista</t>
        </r>
      </text>
    </comment>
    <comment ref="D272" authorId="1" shapeId="0" xr:uid="{00000000-0006-0000-0100-000090000000}">
      <text>
        <r>
          <rPr>
            <sz val="11"/>
            <color theme="1"/>
            <rFont val="Calibri"/>
            <family val="2"/>
            <scheme val="minor"/>
          </rPr>
          <t>Introduzca un número con dos decimales como máximo. Debe ser igual o mayor a la "Cantidad Real Consumida"</t>
        </r>
      </text>
    </comment>
    <comment ref="E272" authorId="1" shapeId="0" xr:uid="{00000000-0006-0000-0100-000091000000}">
      <text>
        <r>
          <rPr>
            <sz val="11"/>
            <color theme="1"/>
            <rFont val="Calibri"/>
            <family val="2"/>
            <scheme val="minor"/>
          </rPr>
          <t>Introduzca un número con dos decimales como máximo</t>
        </r>
      </text>
    </comment>
    <comment ref="F272" authorId="1" shapeId="0" xr:uid="{00000000-0006-0000-0100-000092000000}">
      <text>
        <r>
          <rPr>
            <sz val="11"/>
            <color theme="1"/>
            <rFont val="Calibri"/>
            <family val="2"/>
            <scheme val="minor"/>
          </rPr>
          <t>Monto calculado automáticamente por el sistema</t>
        </r>
      </text>
    </comment>
    <comment ref="A278" authorId="1" shapeId="0" xr:uid="{00000000-0006-0000-0100-000093000000}">
      <text>
        <r>
          <rPr>
            <sz val="11"/>
            <color theme="1"/>
            <rFont val="Calibri"/>
            <family val="2"/>
            <scheme val="minor"/>
          </rPr>
          <t>Introducir un texto con el nombre o referencia de la contratación</t>
        </r>
      </text>
    </comment>
    <comment ref="B278" authorId="1" shapeId="0" xr:uid="{00000000-0006-0000-0100-000094000000}">
      <text>
        <r>
          <rPr>
            <sz val="11"/>
            <color theme="1"/>
            <rFont val="Calibri"/>
            <family val="2"/>
            <scheme val="minor"/>
          </rPr>
          <t>Introduzca un texto con la finalidad de la contratación</t>
        </r>
      </text>
    </comment>
    <comment ref="C278" authorId="1" shapeId="0" xr:uid="{00000000-0006-0000-0100-000095000000}">
      <text>
        <r>
          <rPr>
            <sz val="11"/>
            <color theme="1"/>
            <rFont val="Calibri"/>
            <family val="2"/>
            <scheme val="minor"/>
          </rPr>
          <t>Seleccionar un valor del listado</t>
        </r>
      </text>
    </comment>
    <comment ref="D278" authorId="1" shapeId="0" xr:uid="{00000000-0006-0000-0100-000096000000}">
      <text>
        <r>
          <rPr>
            <sz val="11"/>
            <color theme="1"/>
            <rFont val="Calibri"/>
            <family val="2"/>
            <scheme val="minor"/>
          </rPr>
          <t>Seleccione el tipo de procedimiento</t>
        </r>
      </text>
    </comment>
    <comment ref="E278" authorId="1" shapeId="0" xr:uid="{00000000-0006-0000-0100-000097000000}">
      <text>
        <r>
          <rPr>
            <sz val="11"/>
            <color theme="1"/>
            <rFont val="Calibri"/>
            <family val="2"/>
            <scheme val="minor"/>
          </rPr>
          <t>Seleccione un valor de la lista</t>
        </r>
      </text>
    </comment>
    <comment ref="F278" authorId="1" shapeId="0" xr:uid="{00000000-0006-0000-0100-000098000000}">
      <text>
        <r>
          <rPr>
            <sz val="11"/>
            <color theme="1"/>
            <rFont val="Calibri"/>
            <family val="2"/>
            <scheme val="minor"/>
          </rPr>
          <t>Introduzca el código SNIP</t>
        </r>
      </text>
    </comment>
    <comment ref="C279" authorId="1" shapeId="0" xr:uid="{00000000-0006-0000-0100-000099000000}">
      <text>
        <r>
          <rPr>
            <sz val="11"/>
            <color theme="1"/>
            <rFont val="Calibri"/>
            <family val="2"/>
            <scheme val="minor"/>
          </rPr>
          <t>Introduzca la fecha de inicio del proceso, en formato dd-mm-aaaa</t>
        </r>
      </text>
    </comment>
    <comment ref="F279" authorId="1" shapeId="0" xr:uid="{00000000-0006-0000-0100-00009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0" authorId="1" shapeId="0" xr:uid="{00000000-0006-0000-0100-00009C000000}">
      <text/>
    </comment>
    <comment ref="C281" authorId="1" shapeId="0" xr:uid="{00000000-0006-0000-0100-00009A000000}">
      <text>
        <r>
          <rPr>
            <sz val="11"/>
            <color theme="1"/>
            <rFont val="Calibri"/>
            <family val="2"/>
            <scheme val="minor"/>
          </rPr>
          <t>Introduzca la fecha prevista de adjudicación, en formato dd-mm-aaaa</t>
        </r>
      </text>
    </comment>
    <comment ref="F281" authorId="1" shapeId="0" xr:uid="{00000000-0006-0000-0100-00009D000000}">
      <text/>
    </comment>
    <comment ref="F282" authorId="1" shapeId="0" xr:uid="{00000000-0006-0000-0100-00009E000000}">
      <text/>
    </comment>
    <comment ref="A284" authorId="1" shapeId="0" xr:uid="{00000000-0006-0000-0100-00009F000000}">
      <text>
        <r>
          <rPr>
            <sz val="11"/>
            <color theme="1"/>
            <rFont val="Calibri"/>
            <family val="2"/>
            <scheme val="minor"/>
          </rPr>
          <t>Introduzca un codigo UNSPSC</t>
        </r>
      </text>
    </comment>
    <comment ref="B284" authorId="1" shapeId="0" xr:uid="{00000000-0006-0000-0100-0000A0000000}">
      <text>
        <r>
          <rPr>
            <sz val="11"/>
            <color theme="1"/>
            <rFont val="Calibri"/>
            <family val="2"/>
            <scheme val="minor"/>
          </rPr>
          <t>Descripción calculada automáticamente a partir de código del artículo</t>
        </r>
      </text>
    </comment>
    <comment ref="C284" authorId="1" shapeId="0" xr:uid="{00000000-0006-0000-0100-0000A1000000}">
      <text>
        <r>
          <rPr>
            <sz val="11"/>
            <color theme="1"/>
            <rFont val="Calibri"/>
            <family val="2"/>
            <scheme val="minor"/>
          </rPr>
          <t>Seleccione un valor de la lista</t>
        </r>
      </text>
    </comment>
    <comment ref="D284" authorId="1" shapeId="0" xr:uid="{00000000-0006-0000-0100-0000A2000000}">
      <text>
        <r>
          <rPr>
            <sz val="11"/>
            <color theme="1"/>
            <rFont val="Calibri"/>
            <family val="2"/>
            <scheme val="minor"/>
          </rPr>
          <t>Introduzca un número con dos decimales como máximo. Debe ser igual o mayor a la "Cantidad Real Consumida"</t>
        </r>
      </text>
    </comment>
    <comment ref="E284" authorId="1" shapeId="0" xr:uid="{00000000-0006-0000-0100-0000A3000000}">
      <text>
        <r>
          <rPr>
            <sz val="11"/>
            <color theme="1"/>
            <rFont val="Calibri"/>
            <family val="2"/>
            <scheme val="minor"/>
          </rPr>
          <t>Introduzca un número con dos decimales como máximo</t>
        </r>
      </text>
    </comment>
    <comment ref="F284" authorId="1" shapeId="0" xr:uid="{00000000-0006-0000-0100-0000A4000000}">
      <text>
        <r>
          <rPr>
            <sz val="11"/>
            <color theme="1"/>
            <rFont val="Calibri"/>
            <family val="2"/>
            <scheme val="minor"/>
          </rPr>
          <t>Monto calculado automáticamente por el sistema</t>
        </r>
      </text>
    </comment>
    <comment ref="A290" authorId="1" shapeId="0" xr:uid="{00000000-0006-0000-0100-0000A5000000}">
      <text>
        <r>
          <rPr>
            <sz val="11"/>
            <color theme="1"/>
            <rFont val="Calibri"/>
            <family val="2"/>
            <scheme val="minor"/>
          </rPr>
          <t>Introducir un texto con el nombre o referencia de la contratación</t>
        </r>
      </text>
    </comment>
    <comment ref="B290" authorId="1" shapeId="0" xr:uid="{00000000-0006-0000-0100-0000A6000000}">
      <text>
        <r>
          <rPr>
            <sz val="11"/>
            <color theme="1"/>
            <rFont val="Calibri"/>
            <family val="2"/>
            <scheme val="minor"/>
          </rPr>
          <t>Introduzca un texto con la finalidad de la contratación</t>
        </r>
      </text>
    </comment>
    <comment ref="C290" authorId="1" shapeId="0" xr:uid="{00000000-0006-0000-0100-0000A7000000}">
      <text>
        <r>
          <rPr>
            <sz val="11"/>
            <color theme="1"/>
            <rFont val="Calibri"/>
            <family val="2"/>
            <scheme val="minor"/>
          </rPr>
          <t>Seleccionar un valor del listado</t>
        </r>
      </text>
    </comment>
    <comment ref="D290" authorId="1" shapeId="0" xr:uid="{00000000-0006-0000-0100-0000A8000000}">
      <text>
        <r>
          <rPr>
            <sz val="11"/>
            <color theme="1"/>
            <rFont val="Calibri"/>
            <family val="2"/>
            <scheme val="minor"/>
          </rPr>
          <t>Seleccione el tipo de procedimiento</t>
        </r>
      </text>
    </comment>
    <comment ref="E290" authorId="1" shapeId="0" xr:uid="{00000000-0006-0000-0100-0000A9000000}">
      <text>
        <r>
          <rPr>
            <sz val="11"/>
            <color theme="1"/>
            <rFont val="Calibri"/>
            <family val="2"/>
            <scheme val="minor"/>
          </rPr>
          <t>Seleccione un valor de la lista</t>
        </r>
      </text>
    </comment>
    <comment ref="F290" authorId="1" shapeId="0" xr:uid="{00000000-0006-0000-0100-0000AA000000}">
      <text>
        <r>
          <rPr>
            <sz val="11"/>
            <color theme="1"/>
            <rFont val="Calibri"/>
            <family val="2"/>
            <scheme val="minor"/>
          </rPr>
          <t>Introduzca el código SNIP</t>
        </r>
      </text>
    </comment>
    <comment ref="C291" authorId="1" shapeId="0" xr:uid="{00000000-0006-0000-0100-0000AB000000}">
      <text>
        <r>
          <rPr>
            <sz val="11"/>
            <color theme="1"/>
            <rFont val="Calibri"/>
            <family val="2"/>
            <scheme val="minor"/>
          </rPr>
          <t>Introduzca la fecha de inicio del proceso, en formato dd-mm-aaaa</t>
        </r>
      </text>
    </comment>
    <comment ref="F291" authorId="1" shapeId="0" xr:uid="{00000000-0006-0000-0100-0000A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2" authorId="1" shapeId="0" xr:uid="{00000000-0006-0000-0100-0000AE000000}">
      <text/>
    </comment>
    <comment ref="C293" authorId="1" shapeId="0" xr:uid="{00000000-0006-0000-0100-0000AC000000}">
      <text>
        <r>
          <rPr>
            <sz val="11"/>
            <color theme="1"/>
            <rFont val="Calibri"/>
            <family val="2"/>
            <scheme val="minor"/>
          </rPr>
          <t>Introduzca la fecha prevista de adjudicación, en formato dd-mm-aaaa</t>
        </r>
      </text>
    </comment>
    <comment ref="F293" authorId="1" shapeId="0" xr:uid="{00000000-0006-0000-0100-0000AF000000}">
      <text/>
    </comment>
    <comment ref="F294" authorId="1" shapeId="0" xr:uid="{00000000-0006-0000-0100-0000B0000000}">
      <text/>
    </comment>
    <comment ref="A296" authorId="1" shapeId="0" xr:uid="{00000000-0006-0000-0100-0000B1000000}">
      <text>
        <r>
          <rPr>
            <sz val="11"/>
            <color theme="1"/>
            <rFont val="Calibri"/>
            <family val="2"/>
            <scheme val="minor"/>
          </rPr>
          <t>Introduzca un codigo UNSPSC</t>
        </r>
      </text>
    </comment>
    <comment ref="B296" authorId="1" shapeId="0" xr:uid="{00000000-0006-0000-0100-0000B2000000}">
      <text>
        <r>
          <rPr>
            <sz val="11"/>
            <color theme="1"/>
            <rFont val="Calibri"/>
            <family val="2"/>
            <scheme val="minor"/>
          </rPr>
          <t>Descripción calculada automáticamente a partir de código del artículo</t>
        </r>
      </text>
    </comment>
    <comment ref="C296" authorId="1" shapeId="0" xr:uid="{00000000-0006-0000-0100-0000B3000000}">
      <text>
        <r>
          <rPr>
            <sz val="11"/>
            <color theme="1"/>
            <rFont val="Calibri"/>
            <family val="2"/>
            <scheme val="minor"/>
          </rPr>
          <t>Seleccione un valor de la lista</t>
        </r>
      </text>
    </comment>
    <comment ref="D296" authorId="1" shapeId="0" xr:uid="{00000000-0006-0000-0100-0000B4000000}">
      <text>
        <r>
          <rPr>
            <sz val="11"/>
            <color theme="1"/>
            <rFont val="Calibri"/>
            <family val="2"/>
            <scheme val="minor"/>
          </rPr>
          <t>Introduzca un número con dos decimales como máximo. Debe ser igual o mayor a la "Cantidad Real Consumida"</t>
        </r>
      </text>
    </comment>
    <comment ref="E296" authorId="1" shapeId="0" xr:uid="{00000000-0006-0000-0100-0000B5000000}">
      <text>
        <r>
          <rPr>
            <sz val="11"/>
            <color theme="1"/>
            <rFont val="Calibri"/>
            <family val="2"/>
            <scheme val="minor"/>
          </rPr>
          <t>Introduzca un número con dos decimales como máximo</t>
        </r>
      </text>
    </comment>
    <comment ref="F296" authorId="1" shapeId="0" xr:uid="{00000000-0006-0000-0100-0000B6000000}">
      <text>
        <r>
          <rPr>
            <sz val="11"/>
            <color theme="1"/>
            <rFont val="Calibri"/>
            <family val="2"/>
            <scheme val="minor"/>
          </rPr>
          <t>Monto calculado automáticamente por el sistema</t>
        </r>
      </text>
    </comment>
    <comment ref="A301" authorId="1" shapeId="0" xr:uid="{00000000-0006-0000-0100-0000B7000000}">
      <text>
        <r>
          <rPr>
            <sz val="11"/>
            <color theme="1"/>
            <rFont val="Calibri"/>
            <family val="2"/>
            <scheme val="minor"/>
          </rPr>
          <t>Introducir un texto con el nombre o referencia de la contratación</t>
        </r>
      </text>
    </comment>
    <comment ref="B301" authorId="1" shapeId="0" xr:uid="{00000000-0006-0000-0100-0000B8000000}">
      <text>
        <r>
          <rPr>
            <sz val="11"/>
            <color theme="1"/>
            <rFont val="Calibri"/>
            <family val="2"/>
            <scheme val="minor"/>
          </rPr>
          <t>Introduzca un texto con la finalidad de la contratación</t>
        </r>
      </text>
    </comment>
    <comment ref="C301" authorId="1" shapeId="0" xr:uid="{00000000-0006-0000-0100-0000B9000000}">
      <text>
        <r>
          <rPr>
            <sz val="11"/>
            <color theme="1"/>
            <rFont val="Calibri"/>
            <family val="2"/>
            <scheme val="minor"/>
          </rPr>
          <t>Seleccionar un valor del listado</t>
        </r>
      </text>
    </comment>
    <comment ref="D301" authorId="1" shapeId="0" xr:uid="{00000000-0006-0000-0100-0000BA000000}">
      <text>
        <r>
          <rPr>
            <sz val="11"/>
            <color theme="1"/>
            <rFont val="Calibri"/>
            <family val="2"/>
            <scheme val="minor"/>
          </rPr>
          <t>Seleccione el tipo de procedimiento</t>
        </r>
      </text>
    </comment>
    <comment ref="E301" authorId="1" shapeId="0" xr:uid="{00000000-0006-0000-0100-0000BB000000}">
      <text>
        <r>
          <rPr>
            <sz val="11"/>
            <color theme="1"/>
            <rFont val="Calibri"/>
            <family val="2"/>
            <scheme val="minor"/>
          </rPr>
          <t>Seleccione un valor de la lista</t>
        </r>
      </text>
    </comment>
    <comment ref="F301" authorId="1" shapeId="0" xr:uid="{00000000-0006-0000-0100-0000BC000000}">
      <text>
        <r>
          <rPr>
            <sz val="11"/>
            <color theme="1"/>
            <rFont val="Calibri"/>
            <family val="2"/>
            <scheme val="minor"/>
          </rPr>
          <t>Introduzca el código SNIP</t>
        </r>
      </text>
    </comment>
    <comment ref="C302" authorId="1" shapeId="0" xr:uid="{00000000-0006-0000-0100-0000BD000000}">
      <text>
        <r>
          <rPr>
            <sz val="11"/>
            <color theme="1"/>
            <rFont val="Calibri"/>
            <family val="2"/>
            <scheme val="minor"/>
          </rPr>
          <t>Introduzca la fecha de inicio del proceso, en formato dd-mm-aaaa</t>
        </r>
      </text>
    </comment>
    <comment ref="F302" authorId="1" shapeId="0" xr:uid="{00000000-0006-0000-0100-0000B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3" authorId="1" shapeId="0" xr:uid="{00000000-0006-0000-0100-0000C0000000}">
      <text/>
    </comment>
    <comment ref="C304" authorId="1" shapeId="0" xr:uid="{00000000-0006-0000-0100-0000BE000000}">
      <text>
        <r>
          <rPr>
            <sz val="11"/>
            <color theme="1"/>
            <rFont val="Calibri"/>
            <family val="2"/>
            <scheme val="minor"/>
          </rPr>
          <t>Introduzca la fecha prevista de adjudicación, en formato dd-mm-aaaa</t>
        </r>
      </text>
    </comment>
    <comment ref="F304" authorId="1" shapeId="0" xr:uid="{00000000-0006-0000-0100-0000C1000000}">
      <text/>
    </comment>
    <comment ref="F305" authorId="1" shapeId="0" xr:uid="{00000000-0006-0000-0100-0000C2000000}">
      <text/>
    </comment>
    <comment ref="A307" authorId="1" shapeId="0" xr:uid="{00000000-0006-0000-0100-0000C3000000}">
      <text>
        <r>
          <rPr>
            <sz val="11"/>
            <color theme="1"/>
            <rFont val="Calibri"/>
            <family val="2"/>
            <scheme val="minor"/>
          </rPr>
          <t>Introduzca un codigo UNSPSC</t>
        </r>
      </text>
    </comment>
    <comment ref="B307" authorId="1" shapeId="0" xr:uid="{00000000-0006-0000-0100-0000C4000000}">
      <text>
        <r>
          <rPr>
            <sz val="11"/>
            <color theme="1"/>
            <rFont val="Calibri"/>
            <family val="2"/>
            <scheme val="minor"/>
          </rPr>
          <t>Descripción calculada automáticamente a partir de código del artículo</t>
        </r>
      </text>
    </comment>
    <comment ref="C307" authorId="1" shapeId="0" xr:uid="{00000000-0006-0000-0100-0000C5000000}">
      <text>
        <r>
          <rPr>
            <sz val="11"/>
            <color theme="1"/>
            <rFont val="Calibri"/>
            <family val="2"/>
            <scheme val="minor"/>
          </rPr>
          <t>Seleccione un valor de la lista</t>
        </r>
      </text>
    </comment>
    <comment ref="D307" authorId="1" shapeId="0" xr:uid="{00000000-0006-0000-0100-0000C6000000}">
      <text>
        <r>
          <rPr>
            <sz val="11"/>
            <color theme="1"/>
            <rFont val="Calibri"/>
            <family val="2"/>
            <scheme val="minor"/>
          </rPr>
          <t>Introduzca un número con dos decimales como máximo. Debe ser igual o mayor a la "Cantidad Real Consumida"</t>
        </r>
      </text>
    </comment>
    <comment ref="E307" authorId="1" shapeId="0" xr:uid="{00000000-0006-0000-0100-0000C7000000}">
      <text>
        <r>
          <rPr>
            <sz val="11"/>
            <color theme="1"/>
            <rFont val="Calibri"/>
            <family val="2"/>
            <scheme val="minor"/>
          </rPr>
          <t>Introduzca un número con dos decimales como máximo</t>
        </r>
      </text>
    </comment>
    <comment ref="F307" authorId="1" shapeId="0" xr:uid="{00000000-0006-0000-0100-0000C8000000}">
      <text>
        <r>
          <rPr>
            <sz val="11"/>
            <color theme="1"/>
            <rFont val="Calibri"/>
            <family val="2"/>
            <scheme val="minor"/>
          </rPr>
          <t>Monto calculado automáticamente por el sistema</t>
        </r>
      </text>
    </comment>
    <comment ref="A312" authorId="1" shapeId="0" xr:uid="{00000000-0006-0000-0100-0000C9000000}">
      <text>
        <r>
          <rPr>
            <sz val="11"/>
            <color theme="1"/>
            <rFont val="Calibri"/>
            <family val="2"/>
            <scheme val="minor"/>
          </rPr>
          <t>Introducir un texto con el nombre o referencia de la contratación</t>
        </r>
      </text>
    </comment>
    <comment ref="B312" authorId="1" shapeId="0" xr:uid="{00000000-0006-0000-0100-0000CA000000}">
      <text>
        <r>
          <rPr>
            <sz val="11"/>
            <color theme="1"/>
            <rFont val="Calibri"/>
            <family val="2"/>
            <scheme val="minor"/>
          </rPr>
          <t>Introduzca un texto con la finalidad de la contratación</t>
        </r>
      </text>
    </comment>
    <comment ref="C312" authorId="1" shapeId="0" xr:uid="{00000000-0006-0000-0100-0000CB000000}">
      <text>
        <r>
          <rPr>
            <sz val="11"/>
            <color theme="1"/>
            <rFont val="Calibri"/>
            <family val="2"/>
            <scheme val="minor"/>
          </rPr>
          <t>Seleccionar un valor del listado</t>
        </r>
      </text>
    </comment>
    <comment ref="D312" authorId="1" shapeId="0" xr:uid="{00000000-0006-0000-0100-0000CC000000}">
      <text>
        <r>
          <rPr>
            <sz val="11"/>
            <color theme="1"/>
            <rFont val="Calibri"/>
            <family val="2"/>
            <scheme val="minor"/>
          </rPr>
          <t>Seleccione el tipo de procedimiento</t>
        </r>
      </text>
    </comment>
    <comment ref="E312" authorId="1" shapeId="0" xr:uid="{00000000-0006-0000-0100-0000CD000000}">
      <text>
        <r>
          <rPr>
            <sz val="11"/>
            <color theme="1"/>
            <rFont val="Calibri"/>
            <family val="2"/>
            <scheme val="minor"/>
          </rPr>
          <t>Seleccione un valor de la lista</t>
        </r>
      </text>
    </comment>
    <comment ref="F312" authorId="1" shapeId="0" xr:uid="{00000000-0006-0000-0100-0000CE000000}">
      <text>
        <r>
          <rPr>
            <sz val="11"/>
            <color theme="1"/>
            <rFont val="Calibri"/>
            <family val="2"/>
            <scheme val="minor"/>
          </rPr>
          <t>Introduzca el código SNIP</t>
        </r>
      </text>
    </comment>
    <comment ref="C313" authorId="1" shapeId="0" xr:uid="{00000000-0006-0000-0100-0000CF000000}">
      <text>
        <r>
          <rPr>
            <sz val="11"/>
            <color theme="1"/>
            <rFont val="Calibri"/>
            <family val="2"/>
            <scheme val="minor"/>
          </rPr>
          <t>Introduzca la fecha de inicio del proceso, en formato dd-mm-aaaa</t>
        </r>
      </text>
    </comment>
    <comment ref="F313" authorId="1" shapeId="0" xr:uid="{00000000-0006-0000-0100-0000D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4" authorId="1" shapeId="0" xr:uid="{00000000-0006-0000-0100-0000D2000000}">
      <text/>
    </comment>
    <comment ref="C315" authorId="1" shapeId="0" xr:uid="{00000000-0006-0000-0100-0000D0000000}">
      <text>
        <r>
          <rPr>
            <sz val="11"/>
            <color theme="1"/>
            <rFont val="Calibri"/>
            <family val="2"/>
            <scheme val="minor"/>
          </rPr>
          <t>Introduzca la fecha prevista de adjudicación, en formato dd-mm-aaaa</t>
        </r>
      </text>
    </comment>
    <comment ref="F315" authorId="1" shapeId="0" xr:uid="{00000000-0006-0000-0100-0000D3000000}">
      <text/>
    </comment>
    <comment ref="F316" authorId="1" shapeId="0" xr:uid="{00000000-0006-0000-0100-0000D4000000}">
      <text/>
    </comment>
    <comment ref="A318" authorId="1" shapeId="0" xr:uid="{00000000-0006-0000-0100-0000D5000000}">
      <text>
        <r>
          <rPr>
            <sz val="11"/>
            <color theme="1"/>
            <rFont val="Calibri"/>
            <family val="2"/>
            <scheme val="minor"/>
          </rPr>
          <t>Introduzca un codigo UNSPSC</t>
        </r>
      </text>
    </comment>
    <comment ref="B318" authorId="1" shapeId="0" xr:uid="{00000000-0006-0000-0100-0000D6000000}">
      <text>
        <r>
          <rPr>
            <sz val="11"/>
            <color theme="1"/>
            <rFont val="Calibri"/>
            <family val="2"/>
            <scheme val="minor"/>
          </rPr>
          <t>Descripción calculada automáticamente a partir de código del artículo</t>
        </r>
      </text>
    </comment>
    <comment ref="C318" authorId="1" shapeId="0" xr:uid="{00000000-0006-0000-0100-0000D7000000}">
      <text>
        <r>
          <rPr>
            <sz val="11"/>
            <color theme="1"/>
            <rFont val="Calibri"/>
            <family val="2"/>
            <scheme val="minor"/>
          </rPr>
          <t>Seleccione un valor de la lista</t>
        </r>
      </text>
    </comment>
    <comment ref="D318" authorId="1" shapeId="0" xr:uid="{00000000-0006-0000-0100-0000D8000000}">
      <text>
        <r>
          <rPr>
            <sz val="11"/>
            <color theme="1"/>
            <rFont val="Calibri"/>
            <family val="2"/>
            <scheme val="minor"/>
          </rPr>
          <t>Introduzca un número con dos decimales como máximo. Debe ser igual o mayor a la "Cantidad Real Consumida"</t>
        </r>
      </text>
    </comment>
    <comment ref="E318" authorId="1" shapeId="0" xr:uid="{00000000-0006-0000-0100-0000D9000000}">
      <text>
        <r>
          <rPr>
            <sz val="11"/>
            <color theme="1"/>
            <rFont val="Calibri"/>
            <family val="2"/>
            <scheme val="minor"/>
          </rPr>
          <t>Introduzca un número con dos decimales como máximo</t>
        </r>
      </text>
    </comment>
    <comment ref="F318" authorId="1" shapeId="0" xr:uid="{00000000-0006-0000-0100-0000DA000000}">
      <text>
        <r>
          <rPr>
            <sz val="11"/>
            <color theme="1"/>
            <rFont val="Calibri"/>
            <family val="2"/>
            <scheme val="minor"/>
          </rPr>
          <t>Monto calculado automáticamente por el sistema</t>
        </r>
      </text>
    </comment>
    <comment ref="A324" authorId="1" shapeId="0" xr:uid="{00000000-0006-0000-0100-0000DB000000}">
      <text>
        <r>
          <rPr>
            <sz val="11"/>
            <color theme="1"/>
            <rFont val="Calibri"/>
            <family val="2"/>
            <scheme val="minor"/>
          </rPr>
          <t>Introducir un texto con el nombre o referencia de la contratación</t>
        </r>
      </text>
    </comment>
    <comment ref="B324" authorId="1" shapeId="0" xr:uid="{00000000-0006-0000-0100-0000DC000000}">
      <text>
        <r>
          <rPr>
            <sz val="11"/>
            <color theme="1"/>
            <rFont val="Calibri"/>
            <family val="2"/>
            <scheme val="minor"/>
          </rPr>
          <t>Introduzca un texto con la finalidad de la contratación</t>
        </r>
      </text>
    </comment>
    <comment ref="C324" authorId="1" shapeId="0" xr:uid="{00000000-0006-0000-0100-0000DD000000}">
      <text>
        <r>
          <rPr>
            <sz val="11"/>
            <color theme="1"/>
            <rFont val="Calibri"/>
            <family val="2"/>
            <scheme val="minor"/>
          </rPr>
          <t>Seleccionar un valor del listado</t>
        </r>
      </text>
    </comment>
    <comment ref="D324" authorId="1" shapeId="0" xr:uid="{00000000-0006-0000-0100-0000DE000000}">
      <text>
        <r>
          <rPr>
            <sz val="11"/>
            <color theme="1"/>
            <rFont val="Calibri"/>
            <family val="2"/>
            <scheme val="minor"/>
          </rPr>
          <t>Seleccione el tipo de procedimiento</t>
        </r>
      </text>
    </comment>
    <comment ref="E324" authorId="1" shapeId="0" xr:uid="{00000000-0006-0000-0100-0000DF000000}">
      <text>
        <r>
          <rPr>
            <sz val="11"/>
            <color theme="1"/>
            <rFont val="Calibri"/>
            <family val="2"/>
            <scheme val="minor"/>
          </rPr>
          <t>Seleccione un valor de la lista</t>
        </r>
      </text>
    </comment>
    <comment ref="F324" authorId="1" shapeId="0" xr:uid="{00000000-0006-0000-0100-0000E0000000}">
      <text>
        <r>
          <rPr>
            <sz val="11"/>
            <color theme="1"/>
            <rFont val="Calibri"/>
            <family val="2"/>
            <scheme val="minor"/>
          </rPr>
          <t>Introduzca el código SNIP</t>
        </r>
      </text>
    </comment>
    <comment ref="C325" authorId="1" shapeId="0" xr:uid="{00000000-0006-0000-0100-0000E1000000}">
      <text>
        <r>
          <rPr>
            <sz val="11"/>
            <color theme="1"/>
            <rFont val="Calibri"/>
            <family val="2"/>
            <scheme val="minor"/>
          </rPr>
          <t>Introduzca la fecha de inicio del proceso, en formato dd-mm-aaaa</t>
        </r>
      </text>
    </comment>
    <comment ref="F325" authorId="1" shapeId="0" xr:uid="{00000000-0006-0000-0100-0000E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6" authorId="1" shapeId="0" xr:uid="{00000000-0006-0000-0100-0000E4000000}">
      <text/>
    </comment>
    <comment ref="C327" authorId="1" shapeId="0" xr:uid="{00000000-0006-0000-0100-0000E2000000}">
      <text>
        <r>
          <rPr>
            <sz val="11"/>
            <color theme="1"/>
            <rFont val="Calibri"/>
            <family val="2"/>
            <scheme val="minor"/>
          </rPr>
          <t>Introduzca la fecha prevista de adjudicación, en formato dd-mm-aaaa</t>
        </r>
      </text>
    </comment>
    <comment ref="F327" authorId="1" shapeId="0" xr:uid="{00000000-0006-0000-0100-0000E5000000}">
      <text/>
    </comment>
    <comment ref="F328" authorId="1" shapeId="0" xr:uid="{00000000-0006-0000-0100-0000E6000000}">
      <text/>
    </comment>
    <comment ref="A330" authorId="1" shapeId="0" xr:uid="{00000000-0006-0000-0100-0000E7000000}">
      <text>
        <r>
          <rPr>
            <sz val="11"/>
            <color theme="1"/>
            <rFont val="Calibri"/>
            <family val="2"/>
            <scheme val="minor"/>
          </rPr>
          <t>Introduzca un codigo UNSPSC</t>
        </r>
      </text>
    </comment>
    <comment ref="B330" authorId="1" shapeId="0" xr:uid="{00000000-0006-0000-0100-0000E8000000}">
      <text>
        <r>
          <rPr>
            <sz val="11"/>
            <color theme="1"/>
            <rFont val="Calibri"/>
            <family val="2"/>
            <scheme val="minor"/>
          </rPr>
          <t>Descripción calculada automáticamente a partir de código del artículo</t>
        </r>
      </text>
    </comment>
    <comment ref="C330" authorId="1" shapeId="0" xr:uid="{00000000-0006-0000-0100-0000E9000000}">
      <text>
        <r>
          <rPr>
            <sz val="11"/>
            <color theme="1"/>
            <rFont val="Calibri"/>
            <family val="2"/>
            <scheme val="minor"/>
          </rPr>
          <t>Seleccione un valor de la lista</t>
        </r>
      </text>
    </comment>
    <comment ref="D330" authorId="1" shapeId="0" xr:uid="{00000000-0006-0000-0100-0000EA000000}">
      <text>
        <r>
          <rPr>
            <sz val="11"/>
            <color theme="1"/>
            <rFont val="Calibri"/>
            <family val="2"/>
            <scheme val="minor"/>
          </rPr>
          <t>Introduzca un número con dos decimales como máximo. Debe ser igual o mayor a la "Cantidad Real Consumida"</t>
        </r>
      </text>
    </comment>
    <comment ref="E330" authorId="1" shapeId="0" xr:uid="{00000000-0006-0000-0100-0000EB000000}">
      <text>
        <r>
          <rPr>
            <sz val="11"/>
            <color theme="1"/>
            <rFont val="Calibri"/>
            <family val="2"/>
            <scheme val="minor"/>
          </rPr>
          <t>Introduzca un número con dos decimales como máximo</t>
        </r>
      </text>
    </comment>
    <comment ref="F330" authorId="1" shapeId="0" xr:uid="{00000000-0006-0000-0100-0000EC000000}">
      <text>
        <r>
          <rPr>
            <sz val="11"/>
            <color theme="1"/>
            <rFont val="Calibri"/>
            <family val="2"/>
            <scheme val="minor"/>
          </rPr>
          <t>Monto calculado automáticamente por el sistema</t>
        </r>
      </text>
    </comment>
    <comment ref="A335" authorId="1" shapeId="0" xr:uid="{00000000-0006-0000-0100-0000ED000000}">
      <text>
        <r>
          <rPr>
            <sz val="11"/>
            <color theme="1"/>
            <rFont val="Calibri"/>
            <family val="2"/>
            <scheme val="minor"/>
          </rPr>
          <t>Introducir un texto con el nombre o referencia de la contratación</t>
        </r>
      </text>
    </comment>
    <comment ref="B335" authorId="1" shapeId="0" xr:uid="{00000000-0006-0000-0100-0000EE000000}">
      <text>
        <r>
          <rPr>
            <sz val="11"/>
            <color theme="1"/>
            <rFont val="Calibri"/>
            <family val="2"/>
            <scheme val="minor"/>
          </rPr>
          <t>Introduzca un texto con la finalidad de la contratación</t>
        </r>
      </text>
    </comment>
    <comment ref="C335" authorId="1" shapeId="0" xr:uid="{00000000-0006-0000-0100-0000EF000000}">
      <text>
        <r>
          <rPr>
            <sz val="11"/>
            <color theme="1"/>
            <rFont val="Calibri"/>
            <family val="2"/>
            <scheme val="minor"/>
          </rPr>
          <t>Seleccionar un valor del listado</t>
        </r>
      </text>
    </comment>
    <comment ref="D335" authorId="1" shapeId="0" xr:uid="{00000000-0006-0000-0100-0000F0000000}">
      <text>
        <r>
          <rPr>
            <sz val="11"/>
            <color theme="1"/>
            <rFont val="Calibri"/>
            <family val="2"/>
            <scheme val="minor"/>
          </rPr>
          <t>Seleccione el tipo de procedimiento</t>
        </r>
      </text>
    </comment>
    <comment ref="E335" authorId="1" shapeId="0" xr:uid="{00000000-0006-0000-0100-0000F1000000}">
      <text>
        <r>
          <rPr>
            <sz val="11"/>
            <color theme="1"/>
            <rFont val="Calibri"/>
            <family val="2"/>
            <scheme val="minor"/>
          </rPr>
          <t>Seleccione un valor de la lista</t>
        </r>
      </text>
    </comment>
    <comment ref="F335" authorId="1" shapeId="0" xr:uid="{00000000-0006-0000-0100-0000F2000000}">
      <text>
        <r>
          <rPr>
            <sz val="11"/>
            <color theme="1"/>
            <rFont val="Calibri"/>
            <family val="2"/>
            <scheme val="minor"/>
          </rPr>
          <t>Introduzca el código SNIP</t>
        </r>
      </text>
    </comment>
    <comment ref="C336" authorId="1" shapeId="0" xr:uid="{00000000-0006-0000-0100-0000F3000000}">
      <text>
        <r>
          <rPr>
            <sz val="11"/>
            <color theme="1"/>
            <rFont val="Calibri"/>
            <family val="2"/>
            <scheme val="minor"/>
          </rPr>
          <t>Introduzca la fecha de inicio del proceso, en formato dd-mm-aaaa</t>
        </r>
      </text>
    </comment>
    <comment ref="F336" authorId="1" shapeId="0" xr:uid="{00000000-0006-0000-0100-0000F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7" authorId="1" shapeId="0" xr:uid="{00000000-0006-0000-0100-0000F6000000}">
      <text/>
    </comment>
    <comment ref="C338" authorId="1" shapeId="0" xr:uid="{00000000-0006-0000-0100-0000F4000000}">
      <text>
        <r>
          <rPr>
            <sz val="11"/>
            <color theme="1"/>
            <rFont val="Calibri"/>
            <family val="2"/>
            <scheme val="minor"/>
          </rPr>
          <t>Introduzca la fecha prevista de adjudicación, en formato dd-mm-aaaa</t>
        </r>
      </text>
    </comment>
    <comment ref="F338" authorId="1" shapeId="0" xr:uid="{00000000-0006-0000-0100-0000F7000000}">
      <text/>
    </comment>
    <comment ref="F339" authorId="1" shapeId="0" xr:uid="{00000000-0006-0000-0100-0000F8000000}">
      <text/>
    </comment>
    <comment ref="A341" authorId="1" shapeId="0" xr:uid="{00000000-0006-0000-0100-0000F9000000}">
      <text>
        <r>
          <rPr>
            <sz val="11"/>
            <color theme="1"/>
            <rFont val="Calibri"/>
            <family val="2"/>
            <scheme val="minor"/>
          </rPr>
          <t>Introduzca un codigo UNSPSC</t>
        </r>
      </text>
    </comment>
    <comment ref="B341" authorId="1" shapeId="0" xr:uid="{00000000-0006-0000-0100-0000FA000000}">
      <text>
        <r>
          <rPr>
            <sz val="11"/>
            <color theme="1"/>
            <rFont val="Calibri"/>
            <family val="2"/>
            <scheme val="minor"/>
          </rPr>
          <t>Descripción calculada automáticamente a partir de código del artículo</t>
        </r>
      </text>
    </comment>
    <comment ref="C341" authorId="1" shapeId="0" xr:uid="{00000000-0006-0000-0100-0000FB000000}">
      <text>
        <r>
          <rPr>
            <sz val="11"/>
            <color theme="1"/>
            <rFont val="Calibri"/>
            <family val="2"/>
            <scheme val="minor"/>
          </rPr>
          <t>Seleccione un valor de la lista</t>
        </r>
      </text>
    </comment>
    <comment ref="D341" authorId="1" shapeId="0" xr:uid="{00000000-0006-0000-0100-0000FC000000}">
      <text>
        <r>
          <rPr>
            <sz val="11"/>
            <color theme="1"/>
            <rFont val="Calibri"/>
            <family val="2"/>
            <scheme val="minor"/>
          </rPr>
          <t>Introduzca un número con dos decimales como máximo. Debe ser igual o mayor a la "Cantidad Real Consumida"</t>
        </r>
      </text>
    </comment>
    <comment ref="E341" authorId="1" shapeId="0" xr:uid="{00000000-0006-0000-0100-0000FD000000}">
      <text>
        <r>
          <rPr>
            <sz val="11"/>
            <color theme="1"/>
            <rFont val="Calibri"/>
            <family val="2"/>
            <scheme val="minor"/>
          </rPr>
          <t>Introduzca un número con dos decimales como máximo</t>
        </r>
      </text>
    </comment>
    <comment ref="F341" authorId="1" shapeId="0" xr:uid="{00000000-0006-0000-0100-0000FE000000}">
      <text>
        <r>
          <rPr>
            <sz val="11"/>
            <color theme="1"/>
            <rFont val="Calibri"/>
            <family val="2"/>
            <scheme val="minor"/>
          </rPr>
          <t>Monto calculado automáticamente por el sistema</t>
        </r>
      </text>
    </comment>
    <comment ref="A347" authorId="1" shapeId="0" xr:uid="{00000000-0006-0000-0100-0000FF000000}">
      <text>
        <r>
          <rPr>
            <sz val="11"/>
            <color theme="1"/>
            <rFont val="Calibri"/>
            <family val="2"/>
            <scheme val="minor"/>
          </rPr>
          <t>Introducir un texto con el nombre o referencia de la contratación</t>
        </r>
      </text>
    </comment>
    <comment ref="B347" authorId="1" shapeId="0" xr:uid="{00000000-0006-0000-0100-000000010000}">
      <text>
        <r>
          <rPr>
            <sz val="11"/>
            <color theme="1"/>
            <rFont val="Calibri"/>
            <family val="2"/>
            <scheme val="minor"/>
          </rPr>
          <t>Introduzca un texto con la finalidad de la contratación</t>
        </r>
      </text>
    </comment>
    <comment ref="C347" authorId="1" shapeId="0" xr:uid="{00000000-0006-0000-0100-000001010000}">
      <text>
        <r>
          <rPr>
            <sz val="11"/>
            <color theme="1"/>
            <rFont val="Calibri"/>
            <family val="2"/>
            <scheme val="minor"/>
          </rPr>
          <t>Seleccionar un valor del listado</t>
        </r>
      </text>
    </comment>
    <comment ref="D347" authorId="1" shapeId="0" xr:uid="{00000000-0006-0000-0100-000002010000}">
      <text>
        <r>
          <rPr>
            <sz val="11"/>
            <color theme="1"/>
            <rFont val="Calibri"/>
            <family val="2"/>
            <scheme val="minor"/>
          </rPr>
          <t>Seleccione el tipo de procedimiento</t>
        </r>
      </text>
    </comment>
    <comment ref="E347" authorId="1" shapeId="0" xr:uid="{00000000-0006-0000-0100-000003010000}">
      <text>
        <r>
          <rPr>
            <sz val="11"/>
            <color theme="1"/>
            <rFont val="Calibri"/>
            <family val="2"/>
            <scheme val="minor"/>
          </rPr>
          <t>Seleccione un valor de la lista</t>
        </r>
      </text>
    </comment>
    <comment ref="F347" authorId="1" shapeId="0" xr:uid="{00000000-0006-0000-0100-000004010000}">
      <text>
        <r>
          <rPr>
            <sz val="11"/>
            <color theme="1"/>
            <rFont val="Calibri"/>
            <family val="2"/>
            <scheme val="minor"/>
          </rPr>
          <t>Introduzca el código SNIP</t>
        </r>
      </text>
    </comment>
    <comment ref="C348" authorId="1" shapeId="0" xr:uid="{00000000-0006-0000-0100-000005010000}">
      <text>
        <r>
          <rPr>
            <sz val="11"/>
            <color theme="1"/>
            <rFont val="Calibri"/>
            <family val="2"/>
            <scheme val="minor"/>
          </rPr>
          <t>Introduzca la fecha de inicio del proceso, en formato dd-mm-aaaa</t>
        </r>
      </text>
    </comment>
    <comment ref="F348" authorId="1" shapeId="0" xr:uid="{00000000-0006-0000-0100-00000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9" authorId="1" shapeId="0" xr:uid="{00000000-0006-0000-0100-000008010000}">
      <text/>
    </comment>
    <comment ref="C350" authorId="1" shapeId="0" xr:uid="{00000000-0006-0000-0100-000006010000}">
      <text>
        <r>
          <rPr>
            <sz val="11"/>
            <color theme="1"/>
            <rFont val="Calibri"/>
            <family val="2"/>
            <scheme val="minor"/>
          </rPr>
          <t>Introduzca la fecha prevista de adjudicación, en formato dd-mm-aaaa</t>
        </r>
      </text>
    </comment>
    <comment ref="F350" authorId="1" shapeId="0" xr:uid="{00000000-0006-0000-0100-000009010000}">
      <text/>
    </comment>
    <comment ref="F351" authorId="1" shapeId="0" xr:uid="{00000000-0006-0000-0100-00000A010000}">
      <text/>
    </comment>
    <comment ref="A353" authorId="1" shapeId="0" xr:uid="{00000000-0006-0000-0100-00000B010000}">
      <text>
        <r>
          <rPr>
            <sz val="11"/>
            <color theme="1"/>
            <rFont val="Calibri"/>
            <family val="2"/>
            <scheme val="minor"/>
          </rPr>
          <t>Introduzca un codigo UNSPSC</t>
        </r>
      </text>
    </comment>
    <comment ref="B353" authorId="1" shapeId="0" xr:uid="{00000000-0006-0000-0100-00000C010000}">
      <text>
        <r>
          <rPr>
            <sz val="11"/>
            <color theme="1"/>
            <rFont val="Calibri"/>
            <family val="2"/>
            <scheme val="minor"/>
          </rPr>
          <t>Descripción calculada automáticamente a partir de código del artículo</t>
        </r>
      </text>
    </comment>
    <comment ref="C353" authorId="1" shapeId="0" xr:uid="{00000000-0006-0000-0100-00000D010000}">
      <text>
        <r>
          <rPr>
            <sz val="11"/>
            <color theme="1"/>
            <rFont val="Calibri"/>
            <family val="2"/>
            <scheme val="minor"/>
          </rPr>
          <t>Seleccione un valor de la lista</t>
        </r>
      </text>
    </comment>
    <comment ref="D353" authorId="1" shapeId="0" xr:uid="{00000000-0006-0000-0100-00000E010000}">
      <text>
        <r>
          <rPr>
            <sz val="11"/>
            <color theme="1"/>
            <rFont val="Calibri"/>
            <family val="2"/>
            <scheme val="minor"/>
          </rPr>
          <t>Introduzca un número con dos decimales como máximo. Debe ser igual o mayor a la "Cantidad Real Consumida"</t>
        </r>
      </text>
    </comment>
    <comment ref="E353" authorId="1" shapeId="0" xr:uid="{00000000-0006-0000-0100-00000F010000}">
      <text>
        <r>
          <rPr>
            <sz val="11"/>
            <color theme="1"/>
            <rFont val="Calibri"/>
            <family val="2"/>
            <scheme val="minor"/>
          </rPr>
          <t>Introduzca un número con dos decimales como máximo</t>
        </r>
      </text>
    </comment>
    <comment ref="F353" authorId="1" shapeId="0" xr:uid="{00000000-0006-0000-0100-000010010000}">
      <text>
        <r>
          <rPr>
            <sz val="11"/>
            <color theme="1"/>
            <rFont val="Calibri"/>
            <family val="2"/>
            <scheme val="minor"/>
          </rPr>
          <t>Monto calculado automáticamente por el sistema</t>
        </r>
      </text>
    </comment>
    <comment ref="A358" authorId="1" shapeId="0" xr:uid="{00000000-0006-0000-0100-000011010000}">
      <text>
        <r>
          <rPr>
            <sz val="11"/>
            <color theme="1"/>
            <rFont val="Calibri"/>
            <family val="2"/>
            <scheme val="minor"/>
          </rPr>
          <t>Introducir un texto con el nombre o referencia de la contratación</t>
        </r>
      </text>
    </comment>
    <comment ref="B358" authorId="1" shapeId="0" xr:uid="{00000000-0006-0000-0100-000012010000}">
      <text>
        <r>
          <rPr>
            <sz val="11"/>
            <color theme="1"/>
            <rFont val="Calibri"/>
            <family val="2"/>
            <scheme val="minor"/>
          </rPr>
          <t>Introduzca un texto con la finalidad de la contratación</t>
        </r>
      </text>
    </comment>
    <comment ref="C358" authorId="1" shapeId="0" xr:uid="{00000000-0006-0000-0100-000013010000}">
      <text>
        <r>
          <rPr>
            <sz val="11"/>
            <color theme="1"/>
            <rFont val="Calibri"/>
            <family val="2"/>
            <scheme val="minor"/>
          </rPr>
          <t>Seleccionar un valor del listado</t>
        </r>
      </text>
    </comment>
    <comment ref="D358" authorId="1" shapeId="0" xr:uid="{00000000-0006-0000-0100-000014010000}">
      <text>
        <r>
          <rPr>
            <sz val="11"/>
            <color theme="1"/>
            <rFont val="Calibri"/>
            <family val="2"/>
            <scheme val="minor"/>
          </rPr>
          <t>Seleccione el tipo de procedimiento</t>
        </r>
      </text>
    </comment>
    <comment ref="E358" authorId="1" shapeId="0" xr:uid="{00000000-0006-0000-0100-000015010000}">
      <text>
        <r>
          <rPr>
            <sz val="11"/>
            <color theme="1"/>
            <rFont val="Calibri"/>
            <family val="2"/>
            <scheme val="minor"/>
          </rPr>
          <t>Seleccione un valor de la lista</t>
        </r>
      </text>
    </comment>
    <comment ref="F358" authorId="1" shapeId="0" xr:uid="{00000000-0006-0000-0100-000016010000}">
      <text>
        <r>
          <rPr>
            <sz val="11"/>
            <color theme="1"/>
            <rFont val="Calibri"/>
            <family val="2"/>
            <scheme val="minor"/>
          </rPr>
          <t>Introduzca el código SNIP</t>
        </r>
      </text>
    </comment>
    <comment ref="C359" authorId="1" shapeId="0" xr:uid="{00000000-0006-0000-0100-000017010000}">
      <text>
        <r>
          <rPr>
            <sz val="11"/>
            <color theme="1"/>
            <rFont val="Calibri"/>
            <family val="2"/>
            <scheme val="minor"/>
          </rPr>
          <t>Introduzca la fecha de inicio del proceso, en formato dd-mm-aaaa</t>
        </r>
      </text>
    </comment>
    <comment ref="F359" authorId="1" shapeId="0" xr:uid="{00000000-0006-0000-0100-00001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0" authorId="1" shapeId="0" xr:uid="{00000000-0006-0000-0100-00001A010000}">
      <text/>
    </comment>
    <comment ref="C361" authorId="1" shapeId="0" xr:uid="{00000000-0006-0000-0100-000018010000}">
      <text>
        <r>
          <rPr>
            <sz val="11"/>
            <color theme="1"/>
            <rFont val="Calibri"/>
            <family val="2"/>
            <scheme val="minor"/>
          </rPr>
          <t>Introduzca la fecha prevista de adjudicación, en formato dd-mm-aaaa</t>
        </r>
      </text>
    </comment>
    <comment ref="F361" authorId="1" shapeId="0" xr:uid="{00000000-0006-0000-0100-00001B010000}">
      <text/>
    </comment>
    <comment ref="F362" authorId="1" shapeId="0" xr:uid="{00000000-0006-0000-0100-00001C010000}">
      <text/>
    </comment>
    <comment ref="A364" authorId="1" shapeId="0" xr:uid="{00000000-0006-0000-0100-00001D010000}">
      <text>
        <r>
          <rPr>
            <sz val="11"/>
            <color theme="1"/>
            <rFont val="Calibri"/>
            <family val="2"/>
            <scheme val="minor"/>
          </rPr>
          <t>Introduzca un codigo UNSPSC</t>
        </r>
      </text>
    </comment>
    <comment ref="B364" authorId="1" shapeId="0" xr:uid="{00000000-0006-0000-0100-00001E010000}">
      <text>
        <r>
          <rPr>
            <sz val="11"/>
            <color theme="1"/>
            <rFont val="Calibri"/>
            <family val="2"/>
            <scheme val="minor"/>
          </rPr>
          <t>Descripción calculada automáticamente a partir de código del artículo</t>
        </r>
      </text>
    </comment>
    <comment ref="C364" authorId="1" shapeId="0" xr:uid="{00000000-0006-0000-0100-00001F010000}">
      <text>
        <r>
          <rPr>
            <sz val="11"/>
            <color theme="1"/>
            <rFont val="Calibri"/>
            <family val="2"/>
            <scheme val="minor"/>
          </rPr>
          <t>Seleccione un valor de la lista</t>
        </r>
      </text>
    </comment>
    <comment ref="D364" authorId="1" shapeId="0" xr:uid="{00000000-0006-0000-0100-000020010000}">
      <text>
        <r>
          <rPr>
            <sz val="11"/>
            <color theme="1"/>
            <rFont val="Calibri"/>
            <family val="2"/>
            <scheme val="minor"/>
          </rPr>
          <t>Introduzca un número con dos decimales como máximo. Debe ser igual o mayor a la "Cantidad Real Consumida"</t>
        </r>
      </text>
    </comment>
    <comment ref="E364" authorId="1" shapeId="0" xr:uid="{00000000-0006-0000-0100-000021010000}">
      <text>
        <r>
          <rPr>
            <sz val="11"/>
            <color theme="1"/>
            <rFont val="Calibri"/>
            <family val="2"/>
            <scheme val="minor"/>
          </rPr>
          <t>Introduzca un número con dos decimales como máximo</t>
        </r>
      </text>
    </comment>
    <comment ref="F364" authorId="1" shapeId="0" xr:uid="{00000000-0006-0000-0100-000022010000}">
      <text>
        <r>
          <rPr>
            <sz val="11"/>
            <color theme="1"/>
            <rFont val="Calibri"/>
            <family val="2"/>
            <scheme val="minor"/>
          </rPr>
          <t>Monto calculado automáticamente por el sistema</t>
        </r>
      </text>
    </comment>
    <comment ref="A369" authorId="1" shapeId="0" xr:uid="{00000000-0006-0000-0100-000023010000}">
      <text>
        <r>
          <rPr>
            <sz val="11"/>
            <color theme="1"/>
            <rFont val="Calibri"/>
            <family val="2"/>
            <scheme val="minor"/>
          </rPr>
          <t>Introducir un texto con el nombre o referencia de la contratación</t>
        </r>
      </text>
    </comment>
    <comment ref="B369" authorId="1" shapeId="0" xr:uid="{00000000-0006-0000-0100-000024010000}">
      <text>
        <r>
          <rPr>
            <sz val="11"/>
            <color theme="1"/>
            <rFont val="Calibri"/>
            <family val="2"/>
            <scheme val="minor"/>
          </rPr>
          <t>Introduzca un texto con la finalidad de la contratación</t>
        </r>
      </text>
    </comment>
    <comment ref="C369" authorId="1" shapeId="0" xr:uid="{00000000-0006-0000-0100-000025010000}">
      <text>
        <r>
          <rPr>
            <sz val="11"/>
            <color theme="1"/>
            <rFont val="Calibri"/>
            <family val="2"/>
            <scheme val="minor"/>
          </rPr>
          <t>Seleccionar un valor del listado</t>
        </r>
      </text>
    </comment>
    <comment ref="D369" authorId="1" shapeId="0" xr:uid="{00000000-0006-0000-0100-000026010000}">
      <text>
        <r>
          <rPr>
            <sz val="11"/>
            <color theme="1"/>
            <rFont val="Calibri"/>
            <family val="2"/>
            <scheme val="minor"/>
          </rPr>
          <t>Seleccione el tipo de procedimiento</t>
        </r>
      </text>
    </comment>
    <comment ref="E369" authorId="1" shapeId="0" xr:uid="{00000000-0006-0000-0100-000027010000}">
      <text>
        <r>
          <rPr>
            <sz val="11"/>
            <color theme="1"/>
            <rFont val="Calibri"/>
            <family val="2"/>
            <scheme val="minor"/>
          </rPr>
          <t>Seleccione un valor de la lista</t>
        </r>
      </text>
    </comment>
    <comment ref="F369" authorId="1" shapeId="0" xr:uid="{00000000-0006-0000-0100-000028010000}">
      <text>
        <r>
          <rPr>
            <sz val="11"/>
            <color theme="1"/>
            <rFont val="Calibri"/>
            <family val="2"/>
            <scheme val="minor"/>
          </rPr>
          <t>Introduzca el código SNIP</t>
        </r>
      </text>
    </comment>
    <comment ref="C370" authorId="1" shapeId="0" xr:uid="{00000000-0006-0000-0100-000029010000}">
      <text>
        <r>
          <rPr>
            <sz val="11"/>
            <color theme="1"/>
            <rFont val="Calibri"/>
            <family val="2"/>
            <scheme val="minor"/>
          </rPr>
          <t>Introduzca la fecha de inicio del proceso, en formato dd-mm-aaaa</t>
        </r>
      </text>
    </comment>
    <comment ref="F370" authorId="1" shapeId="0" xr:uid="{00000000-0006-0000-0100-00002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1" authorId="1" shapeId="0" xr:uid="{00000000-0006-0000-0100-00002C010000}">
      <text/>
    </comment>
    <comment ref="C372" authorId="1" shapeId="0" xr:uid="{00000000-0006-0000-0100-00002A010000}">
      <text>
        <r>
          <rPr>
            <sz val="11"/>
            <color theme="1"/>
            <rFont val="Calibri"/>
            <family val="2"/>
            <scheme val="minor"/>
          </rPr>
          <t>Introduzca la fecha prevista de adjudicación, en formato dd-mm-aaaa</t>
        </r>
      </text>
    </comment>
    <comment ref="F372" authorId="1" shapeId="0" xr:uid="{00000000-0006-0000-0100-00002D010000}">
      <text/>
    </comment>
    <comment ref="F373" authorId="1" shapeId="0" xr:uid="{00000000-0006-0000-0100-00002E010000}">
      <text/>
    </comment>
    <comment ref="A375" authorId="1" shapeId="0" xr:uid="{00000000-0006-0000-0100-00002F010000}">
      <text>
        <r>
          <rPr>
            <sz val="11"/>
            <color theme="1"/>
            <rFont val="Calibri"/>
            <family val="2"/>
            <scheme val="minor"/>
          </rPr>
          <t>Introduzca un codigo UNSPSC</t>
        </r>
      </text>
    </comment>
    <comment ref="B375" authorId="1" shapeId="0" xr:uid="{00000000-0006-0000-0100-000030010000}">
      <text>
        <r>
          <rPr>
            <sz val="11"/>
            <color theme="1"/>
            <rFont val="Calibri"/>
            <family val="2"/>
            <scheme val="minor"/>
          </rPr>
          <t>Descripción calculada automáticamente a partir de código del artículo</t>
        </r>
      </text>
    </comment>
    <comment ref="C375" authorId="1" shapeId="0" xr:uid="{00000000-0006-0000-0100-000031010000}">
      <text>
        <r>
          <rPr>
            <sz val="11"/>
            <color theme="1"/>
            <rFont val="Calibri"/>
            <family val="2"/>
            <scheme val="minor"/>
          </rPr>
          <t>Seleccione un valor de la lista</t>
        </r>
      </text>
    </comment>
    <comment ref="D375" authorId="1" shapeId="0" xr:uid="{00000000-0006-0000-0100-000032010000}">
      <text>
        <r>
          <rPr>
            <sz val="11"/>
            <color theme="1"/>
            <rFont val="Calibri"/>
            <family val="2"/>
            <scheme val="minor"/>
          </rPr>
          <t>Introduzca un número con dos decimales como máximo. Debe ser igual o mayor a la "Cantidad Real Consumida"</t>
        </r>
      </text>
    </comment>
    <comment ref="E375" authorId="1" shapeId="0" xr:uid="{00000000-0006-0000-0100-000033010000}">
      <text>
        <r>
          <rPr>
            <sz val="11"/>
            <color theme="1"/>
            <rFont val="Calibri"/>
            <family val="2"/>
            <scheme val="minor"/>
          </rPr>
          <t>Introduzca un número con dos decimales como máximo</t>
        </r>
      </text>
    </comment>
    <comment ref="F375" authorId="1" shapeId="0" xr:uid="{00000000-0006-0000-0100-000034010000}">
      <text>
        <r>
          <rPr>
            <sz val="11"/>
            <color theme="1"/>
            <rFont val="Calibri"/>
            <family val="2"/>
            <scheme val="minor"/>
          </rPr>
          <t>Monto calculado automáticamente por el sistema</t>
        </r>
      </text>
    </comment>
    <comment ref="A380" authorId="1" shapeId="0" xr:uid="{00000000-0006-0000-0100-000035010000}">
      <text>
        <r>
          <rPr>
            <sz val="11"/>
            <color theme="1"/>
            <rFont val="Calibri"/>
            <family val="2"/>
            <scheme val="minor"/>
          </rPr>
          <t>Introducir un texto con el nombre o referencia de la contratación</t>
        </r>
      </text>
    </comment>
    <comment ref="B380" authorId="1" shapeId="0" xr:uid="{00000000-0006-0000-0100-000036010000}">
      <text>
        <r>
          <rPr>
            <sz val="11"/>
            <color theme="1"/>
            <rFont val="Calibri"/>
            <family val="2"/>
            <scheme val="minor"/>
          </rPr>
          <t>Introduzca un texto con la finalidad de la contratación</t>
        </r>
      </text>
    </comment>
    <comment ref="C380" authorId="1" shapeId="0" xr:uid="{00000000-0006-0000-0100-000037010000}">
      <text>
        <r>
          <rPr>
            <sz val="11"/>
            <color theme="1"/>
            <rFont val="Calibri"/>
            <family val="2"/>
            <scheme val="minor"/>
          </rPr>
          <t>Seleccionar un valor del listado</t>
        </r>
      </text>
    </comment>
    <comment ref="D380" authorId="1" shapeId="0" xr:uid="{00000000-0006-0000-0100-000038010000}">
      <text>
        <r>
          <rPr>
            <sz val="11"/>
            <color theme="1"/>
            <rFont val="Calibri"/>
            <family val="2"/>
            <scheme val="minor"/>
          </rPr>
          <t>Seleccione el tipo de procedimiento</t>
        </r>
      </text>
    </comment>
    <comment ref="E380" authorId="1" shapeId="0" xr:uid="{00000000-0006-0000-0100-000039010000}">
      <text>
        <r>
          <rPr>
            <sz val="11"/>
            <color theme="1"/>
            <rFont val="Calibri"/>
            <family val="2"/>
            <scheme val="minor"/>
          </rPr>
          <t>Seleccione un valor de la lista</t>
        </r>
      </text>
    </comment>
    <comment ref="F380" authorId="1" shapeId="0" xr:uid="{00000000-0006-0000-0100-00003A010000}">
      <text>
        <r>
          <rPr>
            <sz val="11"/>
            <color theme="1"/>
            <rFont val="Calibri"/>
            <family val="2"/>
            <scheme val="minor"/>
          </rPr>
          <t>Introduzca el código SNIP</t>
        </r>
      </text>
    </comment>
    <comment ref="C381" authorId="1" shapeId="0" xr:uid="{00000000-0006-0000-0100-00003B010000}">
      <text>
        <r>
          <rPr>
            <sz val="11"/>
            <color theme="1"/>
            <rFont val="Calibri"/>
            <family val="2"/>
            <scheme val="minor"/>
          </rPr>
          <t>Introduzca la fecha de inicio del proceso, en formato dd-mm-aaaa</t>
        </r>
      </text>
    </comment>
    <comment ref="F381" authorId="1" shapeId="0" xr:uid="{00000000-0006-0000-0100-00003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2" authorId="1" shapeId="0" xr:uid="{00000000-0006-0000-0100-00003E010000}">
      <text/>
    </comment>
    <comment ref="C383" authorId="1" shapeId="0" xr:uid="{00000000-0006-0000-0100-00003C010000}">
      <text>
        <r>
          <rPr>
            <sz val="11"/>
            <color theme="1"/>
            <rFont val="Calibri"/>
            <family val="2"/>
            <scheme val="minor"/>
          </rPr>
          <t>Introduzca la fecha prevista de adjudicación, en formato dd-mm-aaaa</t>
        </r>
      </text>
    </comment>
    <comment ref="F383" authorId="1" shapeId="0" xr:uid="{00000000-0006-0000-0100-00003F010000}">
      <text/>
    </comment>
    <comment ref="F384" authorId="1" shapeId="0" xr:uid="{00000000-0006-0000-0100-000040010000}">
      <text/>
    </comment>
    <comment ref="A386" authorId="1" shapeId="0" xr:uid="{00000000-0006-0000-0100-000041010000}">
      <text>
        <r>
          <rPr>
            <sz val="11"/>
            <color theme="1"/>
            <rFont val="Calibri"/>
            <family val="2"/>
            <scheme val="minor"/>
          </rPr>
          <t>Introduzca un codigo UNSPSC</t>
        </r>
      </text>
    </comment>
    <comment ref="B386" authorId="1" shapeId="0" xr:uid="{00000000-0006-0000-0100-000042010000}">
      <text>
        <r>
          <rPr>
            <sz val="11"/>
            <color theme="1"/>
            <rFont val="Calibri"/>
            <family val="2"/>
            <scheme val="minor"/>
          </rPr>
          <t>Descripción calculada automáticamente a partir de código del artículo</t>
        </r>
      </text>
    </comment>
    <comment ref="C386" authorId="1" shapeId="0" xr:uid="{00000000-0006-0000-0100-000043010000}">
      <text>
        <r>
          <rPr>
            <sz val="11"/>
            <color theme="1"/>
            <rFont val="Calibri"/>
            <family val="2"/>
            <scheme val="minor"/>
          </rPr>
          <t>Seleccione un valor de la lista</t>
        </r>
      </text>
    </comment>
    <comment ref="D386" authorId="1" shapeId="0" xr:uid="{00000000-0006-0000-0100-000044010000}">
      <text>
        <r>
          <rPr>
            <sz val="11"/>
            <color theme="1"/>
            <rFont val="Calibri"/>
            <family val="2"/>
            <scheme val="minor"/>
          </rPr>
          <t>Introduzca un número con dos decimales como máximo. Debe ser igual o mayor a la "Cantidad Real Consumida"</t>
        </r>
      </text>
    </comment>
    <comment ref="E386" authorId="1" shapeId="0" xr:uid="{00000000-0006-0000-0100-000045010000}">
      <text>
        <r>
          <rPr>
            <sz val="11"/>
            <color theme="1"/>
            <rFont val="Calibri"/>
            <family val="2"/>
            <scheme val="minor"/>
          </rPr>
          <t>Introduzca un número con dos decimales como máximo</t>
        </r>
      </text>
    </comment>
    <comment ref="F386" authorId="1" shapeId="0" xr:uid="{00000000-0006-0000-0100-000046010000}">
      <text>
        <r>
          <rPr>
            <sz val="11"/>
            <color theme="1"/>
            <rFont val="Calibri"/>
            <family val="2"/>
            <scheme val="minor"/>
          </rPr>
          <t>Monto calculado automáticamente por el sistema</t>
        </r>
      </text>
    </comment>
    <comment ref="A391" authorId="1" shapeId="0" xr:uid="{00000000-0006-0000-0100-000047010000}">
      <text>
        <r>
          <rPr>
            <sz val="11"/>
            <color theme="1"/>
            <rFont val="Calibri"/>
            <family val="2"/>
            <scheme val="minor"/>
          </rPr>
          <t>Introducir un texto con el nombre o referencia de la contratación</t>
        </r>
      </text>
    </comment>
    <comment ref="B391" authorId="1" shapeId="0" xr:uid="{00000000-0006-0000-0100-000048010000}">
      <text>
        <r>
          <rPr>
            <sz val="11"/>
            <color theme="1"/>
            <rFont val="Calibri"/>
            <family val="2"/>
            <scheme val="minor"/>
          </rPr>
          <t>Introduzca un texto con la finalidad de la contratación</t>
        </r>
      </text>
    </comment>
    <comment ref="C391" authorId="1" shapeId="0" xr:uid="{00000000-0006-0000-0100-000049010000}">
      <text>
        <r>
          <rPr>
            <sz val="11"/>
            <color theme="1"/>
            <rFont val="Calibri"/>
            <family val="2"/>
            <scheme val="minor"/>
          </rPr>
          <t>Seleccionar un valor del listado</t>
        </r>
      </text>
    </comment>
    <comment ref="D391" authorId="1" shapeId="0" xr:uid="{00000000-0006-0000-0100-00004A010000}">
      <text>
        <r>
          <rPr>
            <sz val="11"/>
            <color theme="1"/>
            <rFont val="Calibri"/>
            <family val="2"/>
            <scheme val="minor"/>
          </rPr>
          <t>Seleccione el tipo de procedimiento</t>
        </r>
      </text>
    </comment>
    <comment ref="E391" authorId="1" shapeId="0" xr:uid="{00000000-0006-0000-0100-00004B010000}">
      <text>
        <r>
          <rPr>
            <sz val="11"/>
            <color theme="1"/>
            <rFont val="Calibri"/>
            <family val="2"/>
            <scheme val="minor"/>
          </rPr>
          <t>Seleccione un valor de la lista</t>
        </r>
      </text>
    </comment>
    <comment ref="F391" authorId="1" shapeId="0" xr:uid="{00000000-0006-0000-0100-00004C010000}">
      <text>
        <r>
          <rPr>
            <sz val="11"/>
            <color theme="1"/>
            <rFont val="Calibri"/>
            <family val="2"/>
            <scheme val="minor"/>
          </rPr>
          <t>Introduzca el código SNIP</t>
        </r>
      </text>
    </comment>
    <comment ref="C392" authorId="1" shapeId="0" xr:uid="{00000000-0006-0000-0100-00004D010000}">
      <text>
        <r>
          <rPr>
            <sz val="11"/>
            <color theme="1"/>
            <rFont val="Calibri"/>
            <family val="2"/>
            <scheme val="minor"/>
          </rPr>
          <t>Introduzca la fecha de inicio del proceso, en formato dd-mm-aaaa</t>
        </r>
      </text>
    </comment>
    <comment ref="F392" authorId="1" shapeId="0" xr:uid="{00000000-0006-0000-0100-00004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3" authorId="1" shapeId="0" xr:uid="{00000000-0006-0000-0100-000050010000}">
      <text/>
    </comment>
    <comment ref="C394" authorId="1" shapeId="0" xr:uid="{00000000-0006-0000-0100-00004E010000}">
      <text>
        <r>
          <rPr>
            <sz val="11"/>
            <color theme="1"/>
            <rFont val="Calibri"/>
            <family val="2"/>
            <scheme val="minor"/>
          </rPr>
          <t>Introduzca la fecha prevista de adjudicación, en formato dd-mm-aaaa</t>
        </r>
      </text>
    </comment>
    <comment ref="F394" authorId="1" shapeId="0" xr:uid="{00000000-0006-0000-0100-000051010000}">
      <text/>
    </comment>
    <comment ref="F395" authorId="1" shapeId="0" xr:uid="{00000000-0006-0000-0100-000052010000}">
      <text/>
    </comment>
    <comment ref="A397" authorId="1" shapeId="0" xr:uid="{00000000-0006-0000-0100-000053010000}">
      <text>
        <r>
          <rPr>
            <sz val="11"/>
            <color theme="1"/>
            <rFont val="Calibri"/>
            <family val="2"/>
            <scheme val="minor"/>
          </rPr>
          <t>Introduzca un codigo UNSPSC</t>
        </r>
      </text>
    </comment>
    <comment ref="B397" authorId="1" shapeId="0" xr:uid="{00000000-0006-0000-0100-000054010000}">
      <text>
        <r>
          <rPr>
            <sz val="11"/>
            <color theme="1"/>
            <rFont val="Calibri"/>
            <family val="2"/>
            <scheme val="minor"/>
          </rPr>
          <t>Descripción calculada automáticamente a partir de código del artículo</t>
        </r>
      </text>
    </comment>
    <comment ref="C397" authorId="1" shapeId="0" xr:uid="{00000000-0006-0000-0100-000055010000}">
      <text>
        <r>
          <rPr>
            <sz val="11"/>
            <color theme="1"/>
            <rFont val="Calibri"/>
            <family val="2"/>
            <scheme val="minor"/>
          </rPr>
          <t>Seleccione un valor de la lista</t>
        </r>
      </text>
    </comment>
    <comment ref="D397" authorId="1" shapeId="0" xr:uid="{00000000-0006-0000-0100-000056010000}">
      <text>
        <r>
          <rPr>
            <sz val="11"/>
            <color theme="1"/>
            <rFont val="Calibri"/>
            <family val="2"/>
            <scheme val="minor"/>
          </rPr>
          <t>Introduzca un número con dos decimales como máximo. Debe ser igual o mayor a la "Cantidad Real Consumida"</t>
        </r>
      </text>
    </comment>
    <comment ref="E397" authorId="1" shapeId="0" xr:uid="{00000000-0006-0000-0100-000057010000}">
      <text>
        <r>
          <rPr>
            <sz val="11"/>
            <color theme="1"/>
            <rFont val="Calibri"/>
            <family val="2"/>
            <scheme val="minor"/>
          </rPr>
          <t>Introduzca un número con dos decimales como máximo</t>
        </r>
      </text>
    </comment>
    <comment ref="F397" authorId="1" shapeId="0" xr:uid="{00000000-0006-0000-0100-000058010000}">
      <text>
        <r>
          <rPr>
            <sz val="11"/>
            <color theme="1"/>
            <rFont val="Calibri"/>
            <family val="2"/>
            <scheme val="minor"/>
          </rPr>
          <t>Monto calculado automáticamente por el sistema</t>
        </r>
      </text>
    </comment>
    <comment ref="A402" authorId="1" shapeId="0" xr:uid="{00000000-0006-0000-0100-000059010000}">
      <text>
        <r>
          <rPr>
            <sz val="11"/>
            <color theme="1"/>
            <rFont val="Calibri"/>
            <family val="2"/>
            <scheme val="minor"/>
          </rPr>
          <t>Introducir un texto con el nombre o referencia de la contratación</t>
        </r>
      </text>
    </comment>
    <comment ref="B402" authorId="1" shapeId="0" xr:uid="{00000000-0006-0000-0100-00005A010000}">
      <text>
        <r>
          <rPr>
            <sz val="11"/>
            <color theme="1"/>
            <rFont val="Calibri"/>
            <family val="2"/>
            <scheme val="minor"/>
          </rPr>
          <t>Introduzca un texto con la finalidad de la contratación</t>
        </r>
      </text>
    </comment>
    <comment ref="C402" authorId="1" shapeId="0" xr:uid="{00000000-0006-0000-0100-00005B010000}">
      <text>
        <r>
          <rPr>
            <sz val="11"/>
            <color theme="1"/>
            <rFont val="Calibri"/>
            <family val="2"/>
            <scheme val="minor"/>
          </rPr>
          <t>Seleccionar un valor del listado</t>
        </r>
      </text>
    </comment>
    <comment ref="D402" authorId="1" shapeId="0" xr:uid="{00000000-0006-0000-0100-00005C010000}">
      <text>
        <r>
          <rPr>
            <sz val="11"/>
            <color theme="1"/>
            <rFont val="Calibri"/>
            <family val="2"/>
            <scheme val="minor"/>
          </rPr>
          <t>Seleccione el tipo de procedimiento</t>
        </r>
      </text>
    </comment>
    <comment ref="E402" authorId="1" shapeId="0" xr:uid="{00000000-0006-0000-0100-00005D010000}">
      <text>
        <r>
          <rPr>
            <sz val="11"/>
            <color theme="1"/>
            <rFont val="Calibri"/>
            <family val="2"/>
            <scheme val="minor"/>
          </rPr>
          <t>Seleccione un valor de la lista</t>
        </r>
      </text>
    </comment>
    <comment ref="F402" authorId="1" shapeId="0" xr:uid="{00000000-0006-0000-0100-00005E010000}">
      <text>
        <r>
          <rPr>
            <sz val="11"/>
            <color theme="1"/>
            <rFont val="Calibri"/>
            <family val="2"/>
            <scheme val="minor"/>
          </rPr>
          <t>Introduzca el código SNIP</t>
        </r>
      </text>
    </comment>
    <comment ref="C403" authorId="1" shapeId="0" xr:uid="{00000000-0006-0000-0100-00005F010000}">
      <text>
        <r>
          <rPr>
            <sz val="11"/>
            <color theme="1"/>
            <rFont val="Calibri"/>
            <family val="2"/>
            <scheme val="minor"/>
          </rPr>
          <t>Introduzca la fecha de inicio del proceso, en formato dd-mm-aaaa</t>
        </r>
      </text>
    </comment>
    <comment ref="F403" authorId="1" shapeId="0" xr:uid="{00000000-0006-0000-0100-00006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4" authorId="1" shapeId="0" xr:uid="{00000000-0006-0000-0100-000062010000}">
      <text/>
    </comment>
    <comment ref="C405" authorId="1" shapeId="0" xr:uid="{00000000-0006-0000-0100-000060010000}">
      <text>
        <r>
          <rPr>
            <sz val="11"/>
            <color theme="1"/>
            <rFont val="Calibri"/>
            <family val="2"/>
            <scheme val="minor"/>
          </rPr>
          <t>Introduzca la fecha prevista de adjudicación, en formato dd-mm-aaaa</t>
        </r>
      </text>
    </comment>
    <comment ref="F405" authorId="1" shapeId="0" xr:uid="{00000000-0006-0000-0100-000063010000}">
      <text/>
    </comment>
    <comment ref="F406" authorId="1" shapeId="0" xr:uid="{00000000-0006-0000-0100-000064010000}">
      <text/>
    </comment>
    <comment ref="A408" authorId="1" shapeId="0" xr:uid="{00000000-0006-0000-0100-000065010000}">
      <text>
        <r>
          <rPr>
            <sz val="11"/>
            <color theme="1"/>
            <rFont val="Calibri"/>
            <family val="2"/>
            <scheme val="minor"/>
          </rPr>
          <t>Introduzca un codigo UNSPSC</t>
        </r>
      </text>
    </comment>
    <comment ref="B408" authorId="1" shapeId="0" xr:uid="{00000000-0006-0000-0100-000066010000}">
      <text>
        <r>
          <rPr>
            <sz val="11"/>
            <color theme="1"/>
            <rFont val="Calibri"/>
            <family val="2"/>
            <scheme val="minor"/>
          </rPr>
          <t>Descripción calculada automáticamente a partir de código del artículo</t>
        </r>
      </text>
    </comment>
    <comment ref="C408" authorId="1" shapeId="0" xr:uid="{00000000-0006-0000-0100-000067010000}">
      <text>
        <r>
          <rPr>
            <sz val="11"/>
            <color theme="1"/>
            <rFont val="Calibri"/>
            <family val="2"/>
            <scheme val="minor"/>
          </rPr>
          <t>Seleccione un valor de la lista</t>
        </r>
      </text>
    </comment>
    <comment ref="D408" authorId="1" shapeId="0" xr:uid="{00000000-0006-0000-0100-000068010000}">
      <text>
        <r>
          <rPr>
            <sz val="11"/>
            <color theme="1"/>
            <rFont val="Calibri"/>
            <family val="2"/>
            <scheme val="minor"/>
          </rPr>
          <t>Introduzca un número con dos decimales como máximo. Debe ser igual o mayor a la "Cantidad Real Consumida"</t>
        </r>
      </text>
    </comment>
    <comment ref="E408" authorId="1" shapeId="0" xr:uid="{00000000-0006-0000-0100-000069010000}">
      <text>
        <r>
          <rPr>
            <sz val="11"/>
            <color theme="1"/>
            <rFont val="Calibri"/>
            <family val="2"/>
            <scheme val="minor"/>
          </rPr>
          <t>Introduzca un número con dos decimales como máximo</t>
        </r>
      </text>
    </comment>
    <comment ref="F408" authorId="1" shapeId="0" xr:uid="{00000000-0006-0000-0100-00006A010000}">
      <text>
        <r>
          <rPr>
            <sz val="11"/>
            <color theme="1"/>
            <rFont val="Calibri"/>
            <family val="2"/>
            <scheme val="minor"/>
          </rPr>
          <t>Monto calculado automáticamente por el sistema</t>
        </r>
      </text>
    </comment>
    <comment ref="A415" authorId="1" shapeId="0" xr:uid="{00000000-0006-0000-0100-00006B010000}">
      <text>
        <r>
          <rPr>
            <sz val="11"/>
            <color theme="1"/>
            <rFont val="Calibri"/>
            <family val="2"/>
            <scheme val="minor"/>
          </rPr>
          <t>Introducir un texto con el nombre o referencia de la contratación</t>
        </r>
      </text>
    </comment>
    <comment ref="B415" authorId="1" shapeId="0" xr:uid="{00000000-0006-0000-0100-00006C010000}">
      <text>
        <r>
          <rPr>
            <sz val="11"/>
            <color theme="1"/>
            <rFont val="Calibri"/>
            <family val="2"/>
            <scheme val="minor"/>
          </rPr>
          <t>Introduzca un texto con la finalidad de la contratación</t>
        </r>
      </text>
    </comment>
    <comment ref="C415" authorId="1" shapeId="0" xr:uid="{00000000-0006-0000-0100-00006D010000}">
      <text>
        <r>
          <rPr>
            <sz val="11"/>
            <color theme="1"/>
            <rFont val="Calibri"/>
            <family val="2"/>
            <scheme val="minor"/>
          </rPr>
          <t>Seleccionar un valor del listado</t>
        </r>
      </text>
    </comment>
    <comment ref="D415" authorId="1" shapeId="0" xr:uid="{00000000-0006-0000-0100-00006E010000}">
      <text>
        <r>
          <rPr>
            <sz val="11"/>
            <color theme="1"/>
            <rFont val="Calibri"/>
            <family val="2"/>
            <scheme val="minor"/>
          </rPr>
          <t>Seleccione el tipo de procedimiento</t>
        </r>
      </text>
    </comment>
    <comment ref="E415" authorId="1" shapeId="0" xr:uid="{00000000-0006-0000-0100-00006F010000}">
      <text>
        <r>
          <rPr>
            <sz val="11"/>
            <color theme="1"/>
            <rFont val="Calibri"/>
            <family val="2"/>
            <scheme val="minor"/>
          </rPr>
          <t>Seleccione un valor de la lista</t>
        </r>
      </text>
    </comment>
    <comment ref="F415" authorId="1" shapeId="0" xr:uid="{00000000-0006-0000-0100-000070010000}">
      <text>
        <r>
          <rPr>
            <sz val="11"/>
            <color theme="1"/>
            <rFont val="Calibri"/>
            <family val="2"/>
            <scheme val="minor"/>
          </rPr>
          <t>Introduzca el código SNIP</t>
        </r>
      </text>
    </comment>
    <comment ref="C416" authorId="1" shapeId="0" xr:uid="{00000000-0006-0000-0100-000071010000}">
      <text>
        <r>
          <rPr>
            <sz val="11"/>
            <color theme="1"/>
            <rFont val="Calibri"/>
            <family val="2"/>
            <scheme val="minor"/>
          </rPr>
          <t>Introduzca la fecha de inicio del proceso, en formato dd-mm-aaaa</t>
        </r>
      </text>
    </comment>
    <comment ref="F416" authorId="1" shapeId="0" xr:uid="{00000000-0006-0000-0100-000073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7" authorId="1" shapeId="0" xr:uid="{00000000-0006-0000-0100-000074010000}">
      <text/>
    </comment>
    <comment ref="C418" authorId="1" shapeId="0" xr:uid="{00000000-0006-0000-0100-000072010000}">
      <text>
        <r>
          <rPr>
            <sz val="11"/>
            <color theme="1"/>
            <rFont val="Calibri"/>
            <family val="2"/>
            <scheme val="minor"/>
          </rPr>
          <t>Introduzca la fecha prevista de adjudicación, en formato dd-mm-aaaa</t>
        </r>
      </text>
    </comment>
    <comment ref="F418" authorId="1" shapeId="0" xr:uid="{00000000-0006-0000-0100-000075010000}">
      <text/>
    </comment>
    <comment ref="F419" authorId="1" shapeId="0" xr:uid="{00000000-0006-0000-0100-000076010000}">
      <text/>
    </comment>
    <comment ref="A421" authorId="1" shapeId="0" xr:uid="{00000000-0006-0000-0100-000077010000}">
      <text>
        <r>
          <rPr>
            <sz val="11"/>
            <color theme="1"/>
            <rFont val="Calibri"/>
            <family val="2"/>
            <scheme val="minor"/>
          </rPr>
          <t>Introduzca un codigo UNSPSC</t>
        </r>
      </text>
    </comment>
    <comment ref="B421" authorId="1" shapeId="0" xr:uid="{00000000-0006-0000-0100-000078010000}">
      <text>
        <r>
          <rPr>
            <sz val="11"/>
            <color theme="1"/>
            <rFont val="Calibri"/>
            <family val="2"/>
            <scheme val="minor"/>
          </rPr>
          <t>Descripción calculada automáticamente a partir de código del artículo</t>
        </r>
      </text>
    </comment>
    <comment ref="C421" authorId="1" shapeId="0" xr:uid="{00000000-0006-0000-0100-000079010000}">
      <text>
        <r>
          <rPr>
            <sz val="11"/>
            <color theme="1"/>
            <rFont val="Calibri"/>
            <family val="2"/>
            <scheme val="minor"/>
          </rPr>
          <t>Seleccione un valor de la lista</t>
        </r>
      </text>
    </comment>
    <comment ref="D421" authorId="1" shapeId="0" xr:uid="{00000000-0006-0000-0100-00007A010000}">
      <text>
        <r>
          <rPr>
            <sz val="11"/>
            <color theme="1"/>
            <rFont val="Calibri"/>
            <family val="2"/>
            <scheme val="minor"/>
          </rPr>
          <t>Introduzca un número con dos decimales como máximo. Debe ser igual o mayor a la "Cantidad Real Consumida"</t>
        </r>
      </text>
    </comment>
    <comment ref="E421" authorId="1" shapeId="0" xr:uid="{00000000-0006-0000-0100-00007B010000}">
      <text>
        <r>
          <rPr>
            <sz val="11"/>
            <color theme="1"/>
            <rFont val="Calibri"/>
            <family val="2"/>
            <scheme val="minor"/>
          </rPr>
          <t>Introduzca un número con dos decimales como máximo</t>
        </r>
      </text>
    </comment>
    <comment ref="F421" authorId="1" shapeId="0" xr:uid="{00000000-0006-0000-0100-00007C010000}">
      <text>
        <r>
          <rPr>
            <sz val="11"/>
            <color theme="1"/>
            <rFont val="Calibri"/>
            <family val="2"/>
            <scheme val="minor"/>
          </rPr>
          <t>Monto calculado automáticamente por el sistema</t>
        </r>
      </text>
    </comment>
    <comment ref="A431" authorId="1" shapeId="0" xr:uid="{00000000-0006-0000-0100-00007D010000}">
      <text>
        <r>
          <rPr>
            <sz val="11"/>
            <color theme="1"/>
            <rFont val="Calibri"/>
            <family val="2"/>
            <scheme val="minor"/>
          </rPr>
          <t>Introducir un texto con el nombre o referencia de la contratación</t>
        </r>
      </text>
    </comment>
    <comment ref="B431" authorId="1" shapeId="0" xr:uid="{00000000-0006-0000-0100-00007E010000}">
      <text>
        <r>
          <rPr>
            <sz val="11"/>
            <color theme="1"/>
            <rFont val="Calibri"/>
            <family val="2"/>
            <scheme val="minor"/>
          </rPr>
          <t>Introduzca un texto con la finalidad de la contratación</t>
        </r>
      </text>
    </comment>
    <comment ref="C431" authorId="1" shapeId="0" xr:uid="{00000000-0006-0000-0100-00007F010000}">
      <text>
        <r>
          <rPr>
            <sz val="11"/>
            <color theme="1"/>
            <rFont val="Calibri"/>
            <family val="2"/>
            <scheme val="minor"/>
          </rPr>
          <t>Seleccionar un valor del listado</t>
        </r>
      </text>
    </comment>
    <comment ref="D431" authorId="1" shapeId="0" xr:uid="{00000000-0006-0000-0100-000080010000}">
      <text>
        <r>
          <rPr>
            <sz val="11"/>
            <color theme="1"/>
            <rFont val="Calibri"/>
            <family val="2"/>
            <scheme val="minor"/>
          </rPr>
          <t>Seleccione el tipo de procedimiento</t>
        </r>
      </text>
    </comment>
    <comment ref="E431" authorId="1" shapeId="0" xr:uid="{00000000-0006-0000-0100-000081010000}">
      <text>
        <r>
          <rPr>
            <sz val="11"/>
            <color theme="1"/>
            <rFont val="Calibri"/>
            <family val="2"/>
            <scheme val="minor"/>
          </rPr>
          <t>Seleccione un valor de la lista</t>
        </r>
      </text>
    </comment>
    <comment ref="F431" authorId="1" shapeId="0" xr:uid="{00000000-0006-0000-0100-000082010000}">
      <text>
        <r>
          <rPr>
            <sz val="11"/>
            <color theme="1"/>
            <rFont val="Calibri"/>
            <family val="2"/>
            <scheme val="minor"/>
          </rPr>
          <t>Introduzca el código SNIP</t>
        </r>
      </text>
    </comment>
    <comment ref="C432" authorId="1" shapeId="0" xr:uid="{00000000-0006-0000-0100-000083010000}">
      <text>
        <r>
          <rPr>
            <sz val="11"/>
            <color theme="1"/>
            <rFont val="Calibri"/>
            <family val="2"/>
            <scheme val="minor"/>
          </rPr>
          <t>Introduzca la fecha de inicio del proceso, en formato dd-mm-aaaa</t>
        </r>
      </text>
    </comment>
    <comment ref="F432" authorId="1" shapeId="0" xr:uid="{00000000-0006-0000-0100-000085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3" authorId="1" shapeId="0" xr:uid="{00000000-0006-0000-0100-000086010000}">
      <text/>
    </comment>
    <comment ref="C434" authorId="1" shapeId="0" xr:uid="{00000000-0006-0000-0100-000084010000}">
      <text>
        <r>
          <rPr>
            <sz val="11"/>
            <color theme="1"/>
            <rFont val="Calibri"/>
            <family val="2"/>
            <scheme val="minor"/>
          </rPr>
          <t>Introduzca la fecha prevista de adjudicación, en formato dd-mm-aaaa</t>
        </r>
      </text>
    </comment>
    <comment ref="F434" authorId="1" shapeId="0" xr:uid="{00000000-0006-0000-0100-000087010000}">
      <text/>
    </comment>
    <comment ref="F435" authorId="1" shapeId="0" xr:uid="{00000000-0006-0000-0100-000088010000}">
      <text/>
    </comment>
    <comment ref="A437" authorId="1" shapeId="0" xr:uid="{00000000-0006-0000-0100-000089010000}">
      <text>
        <r>
          <rPr>
            <sz val="11"/>
            <color theme="1"/>
            <rFont val="Calibri"/>
            <family val="2"/>
            <scheme val="minor"/>
          </rPr>
          <t>Introduzca un codigo UNSPSC</t>
        </r>
      </text>
    </comment>
    <comment ref="B437" authorId="1" shapeId="0" xr:uid="{00000000-0006-0000-0100-00008A010000}">
      <text>
        <r>
          <rPr>
            <sz val="11"/>
            <color theme="1"/>
            <rFont val="Calibri"/>
            <family val="2"/>
            <scheme val="minor"/>
          </rPr>
          <t>Descripción calculada automáticamente a partir de código del artículo</t>
        </r>
      </text>
    </comment>
    <comment ref="C437" authorId="1" shapeId="0" xr:uid="{00000000-0006-0000-0100-00008B010000}">
      <text>
        <r>
          <rPr>
            <sz val="11"/>
            <color theme="1"/>
            <rFont val="Calibri"/>
            <family val="2"/>
            <scheme val="minor"/>
          </rPr>
          <t>Seleccione un valor de la lista</t>
        </r>
      </text>
    </comment>
    <comment ref="D437" authorId="1" shapeId="0" xr:uid="{00000000-0006-0000-0100-00008C010000}">
      <text>
        <r>
          <rPr>
            <sz val="11"/>
            <color theme="1"/>
            <rFont val="Calibri"/>
            <family val="2"/>
            <scheme val="minor"/>
          </rPr>
          <t>Introduzca un número con dos decimales como máximo. Debe ser igual o mayor a la "Cantidad Real Consumida"</t>
        </r>
      </text>
    </comment>
    <comment ref="E437" authorId="1" shapeId="0" xr:uid="{00000000-0006-0000-0100-00008D010000}">
      <text>
        <r>
          <rPr>
            <sz val="11"/>
            <color theme="1"/>
            <rFont val="Calibri"/>
            <family val="2"/>
            <scheme val="minor"/>
          </rPr>
          <t>Introduzca un número con dos decimales como máximo</t>
        </r>
      </text>
    </comment>
    <comment ref="F437" authorId="1" shapeId="0" xr:uid="{00000000-0006-0000-0100-00008E010000}">
      <text>
        <r>
          <rPr>
            <sz val="11"/>
            <color theme="1"/>
            <rFont val="Calibri"/>
            <family val="2"/>
            <scheme val="minor"/>
          </rPr>
          <t>Monto calculado automáticamente por el sistema</t>
        </r>
      </text>
    </comment>
    <comment ref="A442" authorId="1" shapeId="0" xr:uid="{00000000-0006-0000-0100-00008F010000}">
      <text>
        <r>
          <rPr>
            <sz val="11"/>
            <color theme="1"/>
            <rFont val="Calibri"/>
            <family val="2"/>
            <scheme val="minor"/>
          </rPr>
          <t>Introducir un texto con el nombre o referencia de la contratación</t>
        </r>
      </text>
    </comment>
    <comment ref="B442" authorId="1" shapeId="0" xr:uid="{00000000-0006-0000-0100-000090010000}">
      <text>
        <r>
          <rPr>
            <sz val="11"/>
            <color theme="1"/>
            <rFont val="Calibri"/>
            <family val="2"/>
            <scheme val="minor"/>
          </rPr>
          <t>Introduzca un texto con la finalidad de la contratación</t>
        </r>
      </text>
    </comment>
    <comment ref="C442" authorId="1" shapeId="0" xr:uid="{00000000-0006-0000-0100-000091010000}">
      <text>
        <r>
          <rPr>
            <sz val="11"/>
            <color theme="1"/>
            <rFont val="Calibri"/>
            <family val="2"/>
            <scheme val="minor"/>
          </rPr>
          <t>Seleccionar un valor del listado</t>
        </r>
      </text>
    </comment>
    <comment ref="D442" authorId="1" shapeId="0" xr:uid="{00000000-0006-0000-0100-000092010000}">
      <text>
        <r>
          <rPr>
            <sz val="11"/>
            <color theme="1"/>
            <rFont val="Calibri"/>
            <family val="2"/>
            <scheme val="minor"/>
          </rPr>
          <t>Seleccione el tipo de procedimiento</t>
        </r>
      </text>
    </comment>
    <comment ref="E442" authorId="1" shapeId="0" xr:uid="{00000000-0006-0000-0100-000093010000}">
      <text>
        <r>
          <rPr>
            <sz val="11"/>
            <color theme="1"/>
            <rFont val="Calibri"/>
            <family val="2"/>
            <scheme val="minor"/>
          </rPr>
          <t>Seleccione un valor de la lista</t>
        </r>
      </text>
    </comment>
    <comment ref="F442" authorId="1" shapeId="0" xr:uid="{00000000-0006-0000-0100-000094010000}">
      <text>
        <r>
          <rPr>
            <sz val="11"/>
            <color theme="1"/>
            <rFont val="Calibri"/>
            <family val="2"/>
            <scheme val="minor"/>
          </rPr>
          <t>Introduzca el código SNIP</t>
        </r>
      </text>
    </comment>
    <comment ref="C443" authorId="1" shapeId="0" xr:uid="{00000000-0006-0000-0100-000095010000}">
      <text>
        <r>
          <rPr>
            <sz val="11"/>
            <color theme="1"/>
            <rFont val="Calibri"/>
            <family val="2"/>
            <scheme val="minor"/>
          </rPr>
          <t>Introduzca la fecha de inicio del proceso, en formato dd-mm-aaaa</t>
        </r>
      </text>
    </comment>
    <comment ref="F443" authorId="1" shapeId="0" xr:uid="{00000000-0006-0000-0100-00009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4" authorId="1" shapeId="0" xr:uid="{00000000-0006-0000-0100-000098010000}">
      <text/>
    </comment>
    <comment ref="C445" authorId="1" shapeId="0" xr:uid="{00000000-0006-0000-0100-000096010000}">
      <text>
        <r>
          <rPr>
            <sz val="11"/>
            <color theme="1"/>
            <rFont val="Calibri"/>
            <family val="2"/>
            <scheme val="minor"/>
          </rPr>
          <t>Introduzca la fecha prevista de adjudicación, en formato dd-mm-aaaa</t>
        </r>
      </text>
    </comment>
    <comment ref="F445" authorId="1" shapeId="0" xr:uid="{00000000-0006-0000-0100-000099010000}">
      <text/>
    </comment>
    <comment ref="F446" authorId="1" shapeId="0" xr:uid="{00000000-0006-0000-0100-00009A010000}">
      <text/>
    </comment>
    <comment ref="A448" authorId="1" shapeId="0" xr:uid="{00000000-0006-0000-0100-00009B010000}">
      <text>
        <r>
          <rPr>
            <sz val="11"/>
            <color theme="1"/>
            <rFont val="Calibri"/>
            <family val="2"/>
            <scheme val="minor"/>
          </rPr>
          <t>Introduzca un codigo UNSPSC</t>
        </r>
      </text>
    </comment>
    <comment ref="B448" authorId="1" shapeId="0" xr:uid="{00000000-0006-0000-0100-00009C010000}">
      <text>
        <r>
          <rPr>
            <sz val="11"/>
            <color theme="1"/>
            <rFont val="Calibri"/>
            <family val="2"/>
            <scheme val="minor"/>
          </rPr>
          <t>Descripción calculada automáticamente a partir de código del artículo</t>
        </r>
      </text>
    </comment>
    <comment ref="C448" authorId="1" shapeId="0" xr:uid="{00000000-0006-0000-0100-00009D010000}">
      <text>
        <r>
          <rPr>
            <sz val="11"/>
            <color theme="1"/>
            <rFont val="Calibri"/>
            <family val="2"/>
            <scheme val="minor"/>
          </rPr>
          <t>Seleccione un valor de la lista</t>
        </r>
      </text>
    </comment>
    <comment ref="D448" authorId="1" shapeId="0" xr:uid="{00000000-0006-0000-0100-00009E010000}">
      <text>
        <r>
          <rPr>
            <sz val="11"/>
            <color theme="1"/>
            <rFont val="Calibri"/>
            <family val="2"/>
            <scheme val="minor"/>
          </rPr>
          <t>Introduzca un número con dos decimales como máximo. Debe ser igual o mayor a la "Cantidad Real Consumida"</t>
        </r>
      </text>
    </comment>
    <comment ref="E448" authorId="1" shapeId="0" xr:uid="{00000000-0006-0000-0100-00009F010000}">
      <text>
        <r>
          <rPr>
            <sz val="11"/>
            <color theme="1"/>
            <rFont val="Calibri"/>
            <family val="2"/>
            <scheme val="minor"/>
          </rPr>
          <t>Introduzca un número con dos decimales como máximo</t>
        </r>
      </text>
    </comment>
    <comment ref="F448" authorId="1" shapeId="0" xr:uid="{00000000-0006-0000-0100-0000A0010000}">
      <text>
        <r>
          <rPr>
            <sz val="11"/>
            <color theme="1"/>
            <rFont val="Calibri"/>
            <family val="2"/>
            <scheme val="minor"/>
          </rPr>
          <t>Monto calculado automáticamente por el sistema</t>
        </r>
      </text>
    </comment>
    <comment ref="A454" authorId="1" shapeId="0" xr:uid="{00000000-0006-0000-0100-0000A1010000}">
      <text>
        <r>
          <rPr>
            <sz val="11"/>
            <color theme="1"/>
            <rFont val="Calibri"/>
            <family val="2"/>
            <scheme val="minor"/>
          </rPr>
          <t>Introducir un texto con el nombre o referencia de la contratación</t>
        </r>
      </text>
    </comment>
    <comment ref="B454" authorId="1" shapeId="0" xr:uid="{00000000-0006-0000-0100-0000A2010000}">
      <text>
        <r>
          <rPr>
            <sz val="11"/>
            <color theme="1"/>
            <rFont val="Calibri"/>
            <family val="2"/>
            <scheme val="minor"/>
          </rPr>
          <t>Introduzca un texto con la finalidad de la contratación</t>
        </r>
      </text>
    </comment>
    <comment ref="C454" authorId="1" shapeId="0" xr:uid="{00000000-0006-0000-0100-0000A3010000}">
      <text>
        <r>
          <rPr>
            <sz val="11"/>
            <color theme="1"/>
            <rFont val="Calibri"/>
            <family val="2"/>
            <scheme val="minor"/>
          </rPr>
          <t>Seleccionar un valor del listado</t>
        </r>
      </text>
    </comment>
    <comment ref="D454" authorId="1" shapeId="0" xr:uid="{00000000-0006-0000-0100-0000A4010000}">
      <text>
        <r>
          <rPr>
            <sz val="11"/>
            <color theme="1"/>
            <rFont val="Calibri"/>
            <family val="2"/>
            <scheme val="minor"/>
          </rPr>
          <t>Seleccione el tipo de procedimiento</t>
        </r>
      </text>
    </comment>
    <comment ref="E454" authorId="1" shapeId="0" xr:uid="{00000000-0006-0000-0100-0000A5010000}">
      <text>
        <r>
          <rPr>
            <sz val="11"/>
            <color theme="1"/>
            <rFont val="Calibri"/>
            <family val="2"/>
            <scheme val="minor"/>
          </rPr>
          <t>Seleccione un valor de la lista</t>
        </r>
      </text>
    </comment>
    <comment ref="F454" authorId="1" shapeId="0" xr:uid="{00000000-0006-0000-0100-0000A6010000}">
      <text>
        <r>
          <rPr>
            <sz val="11"/>
            <color theme="1"/>
            <rFont val="Calibri"/>
            <family val="2"/>
            <scheme val="minor"/>
          </rPr>
          <t>Introduzca el código SNIP</t>
        </r>
      </text>
    </comment>
    <comment ref="C455" authorId="1" shapeId="0" xr:uid="{00000000-0006-0000-0100-0000A7010000}">
      <text>
        <r>
          <rPr>
            <sz val="11"/>
            <color theme="1"/>
            <rFont val="Calibri"/>
            <family val="2"/>
            <scheme val="minor"/>
          </rPr>
          <t>Introduzca la fecha de inicio del proceso, en formato dd-mm-aaaa</t>
        </r>
      </text>
    </comment>
    <comment ref="F455" authorId="1" shapeId="0" xr:uid="{00000000-0006-0000-0100-0000A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6" authorId="1" shapeId="0" xr:uid="{00000000-0006-0000-0100-0000AA010000}">
      <text/>
    </comment>
    <comment ref="C457" authorId="1" shapeId="0" xr:uid="{00000000-0006-0000-0100-0000A8010000}">
      <text>
        <r>
          <rPr>
            <sz val="11"/>
            <color theme="1"/>
            <rFont val="Calibri"/>
            <family val="2"/>
            <scheme val="minor"/>
          </rPr>
          <t>Introduzca la fecha prevista de adjudicación, en formato dd-mm-aaaa</t>
        </r>
      </text>
    </comment>
    <comment ref="F457" authorId="1" shapeId="0" xr:uid="{00000000-0006-0000-0100-0000AB010000}">
      <text/>
    </comment>
    <comment ref="F458" authorId="1" shapeId="0" xr:uid="{00000000-0006-0000-0100-0000AC010000}">
      <text/>
    </comment>
    <comment ref="A460" authorId="1" shapeId="0" xr:uid="{00000000-0006-0000-0100-0000AD010000}">
      <text>
        <r>
          <rPr>
            <sz val="11"/>
            <color theme="1"/>
            <rFont val="Calibri"/>
            <family val="2"/>
            <scheme val="minor"/>
          </rPr>
          <t>Introduzca un codigo UNSPSC</t>
        </r>
      </text>
    </comment>
    <comment ref="B460" authorId="1" shapeId="0" xr:uid="{00000000-0006-0000-0100-0000AE010000}">
      <text>
        <r>
          <rPr>
            <sz val="11"/>
            <color theme="1"/>
            <rFont val="Calibri"/>
            <family val="2"/>
            <scheme val="minor"/>
          </rPr>
          <t>Descripción calculada automáticamente a partir de código del artículo</t>
        </r>
      </text>
    </comment>
    <comment ref="C460" authorId="1" shapeId="0" xr:uid="{00000000-0006-0000-0100-0000AF010000}">
      <text>
        <r>
          <rPr>
            <sz val="11"/>
            <color theme="1"/>
            <rFont val="Calibri"/>
            <family val="2"/>
            <scheme val="minor"/>
          </rPr>
          <t>Seleccione un valor de la lista</t>
        </r>
      </text>
    </comment>
    <comment ref="D460" authorId="1" shapeId="0" xr:uid="{00000000-0006-0000-0100-0000B0010000}">
      <text>
        <r>
          <rPr>
            <sz val="11"/>
            <color theme="1"/>
            <rFont val="Calibri"/>
            <family val="2"/>
            <scheme val="minor"/>
          </rPr>
          <t>Introduzca un número con dos decimales como máximo. Debe ser igual o mayor a la "Cantidad Real Consumida"</t>
        </r>
      </text>
    </comment>
    <comment ref="E460" authorId="1" shapeId="0" xr:uid="{00000000-0006-0000-0100-0000B1010000}">
      <text>
        <r>
          <rPr>
            <sz val="11"/>
            <color theme="1"/>
            <rFont val="Calibri"/>
            <family val="2"/>
            <scheme val="minor"/>
          </rPr>
          <t>Introduzca un número con dos decimales como máximo</t>
        </r>
      </text>
    </comment>
    <comment ref="F460" authorId="1" shapeId="0" xr:uid="{00000000-0006-0000-0100-0000B2010000}">
      <text>
        <r>
          <rPr>
            <sz val="11"/>
            <color theme="1"/>
            <rFont val="Calibri"/>
            <family val="2"/>
            <scheme val="minor"/>
          </rPr>
          <t>Monto calculado automáticamente por el sistema</t>
        </r>
      </text>
    </comment>
    <comment ref="A465" authorId="1" shapeId="0" xr:uid="{00000000-0006-0000-0100-0000B3010000}">
      <text>
        <r>
          <rPr>
            <sz val="11"/>
            <color theme="1"/>
            <rFont val="Calibri"/>
            <family val="2"/>
            <scheme val="minor"/>
          </rPr>
          <t>Introducir un texto con el nombre o referencia de la contratación</t>
        </r>
      </text>
    </comment>
    <comment ref="B465" authorId="1" shapeId="0" xr:uid="{00000000-0006-0000-0100-0000B4010000}">
      <text>
        <r>
          <rPr>
            <sz val="11"/>
            <color theme="1"/>
            <rFont val="Calibri"/>
            <family val="2"/>
            <scheme val="minor"/>
          </rPr>
          <t>Introduzca un texto con la finalidad de la contratación</t>
        </r>
      </text>
    </comment>
    <comment ref="C465" authorId="1" shapeId="0" xr:uid="{00000000-0006-0000-0100-0000B5010000}">
      <text>
        <r>
          <rPr>
            <sz val="11"/>
            <color theme="1"/>
            <rFont val="Calibri"/>
            <family val="2"/>
            <scheme val="minor"/>
          </rPr>
          <t>Seleccionar un valor del listado</t>
        </r>
      </text>
    </comment>
    <comment ref="D465" authorId="1" shapeId="0" xr:uid="{00000000-0006-0000-0100-0000B6010000}">
      <text>
        <r>
          <rPr>
            <sz val="11"/>
            <color theme="1"/>
            <rFont val="Calibri"/>
            <family val="2"/>
            <scheme val="minor"/>
          </rPr>
          <t>Seleccione el tipo de procedimiento</t>
        </r>
      </text>
    </comment>
    <comment ref="E465" authorId="1" shapeId="0" xr:uid="{00000000-0006-0000-0100-0000B7010000}">
      <text>
        <r>
          <rPr>
            <sz val="11"/>
            <color theme="1"/>
            <rFont val="Calibri"/>
            <family val="2"/>
            <scheme val="minor"/>
          </rPr>
          <t>Seleccione un valor de la lista</t>
        </r>
      </text>
    </comment>
    <comment ref="F465" authorId="1" shapeId="0" xr:uid="{00000000-0006-0000-0100-0000B8010000}">
      <text>
        <r>
          <rPr>
            <sz val="11"/>
            <color theme="1"/>
            <rFont val="Calibri"/>
            <family val="2"/>
            <scheme val="minor"/>
          </rPr>
          <t>Introduzca el código SNIP</t>
        </r>
      </text>
    </comment>
    <comment ref="C466" authorId="1" shapeId="0" xr:uid="{00000000-0006-0000-0100-0000B9010000}">
      <text>
        <r>
          <rPr>
            <sz val="11"/>
            <color theme="1"/>
            <rFont val="Calibri"/>
            <family val="2"/>
            <scheme val="minor"/>
          </rPr>
          <t>Introduzca la fecha de inicio del proceso, en formato dd-mm-aaaa</t>
        </r>
      </text>
    </comment>
    <comment ref="F466" authorId="1" shapeId="0" xr:uid="{00000000-0006-0000-0100-0000B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7" authorId="1" shapeId="0" xr:uid="{00000000-0006-0000-0100-0000BC010000}">
      <text/>
    </comment>
    <comment ref="C468" authorId="1" shapeId="0" xr:uid="{00000000-0006-0000-0100-0000BA010000}">
      <text>
        <r>
          <rPr>
            <sz val="11"/>
            <color theme="1"/>
            <rFont val="Calibri"/>
            <family val="2"/>
            <scheme val="minor"/>
          </rPr>
          <t>Introduzca la fecha prevista de adjudicación, en formato dd-mm-aaaa</t>
        </r>
      </text>
    </comment>
    <comment ref="F468" authorId="1" shapeId="0" xr:uid="{00000000-0006-0000-0100-0000BD010000}">
      <text/>
    </comment>
    <comment ref="F469" authorId="1" shapeId="0" xr:uid="{00000000-0006-0000-0100-0000BE010000}">
      <text/>
    </comment>
    <comment ref="A471" authorId="1" shapeId="0" xr:uid="{00000000-0006-0000-0100-0000BF010000}">
      <text>
        <r>
          <rPr>
            <sz val="11"/>
            <color theme="1"/>
            <rFont val="Calibri"/>
            <family val="2"/>
            <scheme val="minor"/>
          </rPr>
          <t>Introduzca un codigo UNSPSC</t>
        </r>
      </text>
    </comment>
    <comment ref="B471" authorId="1" shapeId="0" xr:uid="{00000000-0006-0000-0100-0000C0010000}">
      <text>
        <r>
          <rPr>
            <sz val="11"/>
            <color theme="1"/>
            <rFont val="Calibri"/>
            <family val="2"/>
            <scheme val="minor"/>
          </rPr>
          <t>Descripción calculada automáticamente a partir de código del artículo</t>
        </r>
      </text>
    </comment>
    <comment ref="C471" authorId="1" shapeId="0" xr:uid="{00000000-0006-0000-0100-0000C1010000}">
      <text>
        <r>
          <rPr>
            <sz val="11"/>
            <color theme="1"/>
            <rFont val="Calibri"/>
            <family val="2"/>
            <scheme val="minor"/>
          </rPr>
          <t>Seleccione un valor de la lista</t>
        </r>
      </text>
    </comment>
    <comment ref="D471" authorId="1" shapeId="0" xr:uid="{00000000-0006-0000-0100-0000C2010000}">
      <text>
        <r>
          <rPr>
            <sz val="11"/>
            <color theme="1"/>
            <rFont val="Calibri"/>
            <family val="2"/>
            <scheme val="minor"/>
          </rPr>
          <t>Introduzca un número con dos decimales como máximo. Debe ser igual o mayor a la "Cantidad Real Consumida"</t>
        </r>
      </text>
    </comment>
    <comment ref="E471" authorId="1" shapeId="0" xr:uid="{00000000-0006-0000-0100-0000C3010000}">
      <text>
        <r>
          <rPr>
            <sz val="11"/>
            <color theme="1"/>
            <rFont val="Calibri"/>
            <family val="2"/>
            <scheme val="minor"/>
          </rPr>
          <t>Introduzca un número con dos decimales como máximo</t>
        </r>
      </text>
    </comment>
    <comment ref="F471" authorId="1" shapeId="0" xr:uid="{00000000-0006-0000-0100-0000C4010000}">
      <text>
        <r>
          <rPr>
            <sz val="11"/>
            <color theme="1"/>
            <rFont val="Calibri"/>
            <family val="2"/>
            <scheme val="minor"/>
          </rPr>
          <t>Monto calculado automáticamente por el sistema</t>
        </r>
      </text>
    </comment>
    <comment ref="A485" authorId="1" shapeId="0" xr:uid="{00000000-0006-0000-0100-0000C5010000}">
      <text>
        <r>
          <rPr>
            <sz val="11"/>
            <color theme="1"/>
            <rFont val="Calibri"/>
            <family val="2"/>
            <scheme val="minor"/>
          </rPr>
          <t>Introducir un texto con el nombre o referencia de la contratación</t>
        </r>
      </text>
    </comment>
    <comment ref="B485" authorId="1" shapeId="0" xr:uid="{00000000-0006-0000-0100-0000C6010000}">
      <text>
        <r>
          <rPr>
            <sz val="11"/>
            <color theme="1"/>
            <rFont val="Calibri"/>
            <family val="2"/>
            <scheme val="minor"/>
          </rPr>
          <t>Introduzca un texto con la finalidad de la contratación</t>
        </r>
      </text>
    </comment>
    <comment ref="C485" authorId="1" shapeId="0" xr:uid="{00000000-0006-0000-0100-0000C7010000}">
      <text>
        <r>
          <rPr>
            <sz val="11"/>
            <color theme="1"/>
            <rFont val="Calibri"/>
            <family val="2"/>
            <scheme val="minor"/>
          </rPr>
          <t>Seleccionar un valor del listado</t>
        </r>
      </text>
    </comment>
    <comment ref="D485" authorId="1" shapeId="0" xr:uid="{00000000-0006-0000-0100-0000C8010000}">
      <text>
        <r>
          <rPr>
            <sz val="11"/>
            <color theme="1"/>
            <rFont val="Calibri"/>
            <family val="2"/>
            <scheme val="minor"/>
          </rPr>
          <t>Seleccione el tipo de procedimiento</t>
        </r>
      </text>
    </comment>
    <comment ref="E485" authorId="1" shapeId="0" xr:uid="{00000000-0006-0000-0100-0000C9010000}">
      <text>
        <r>
          <rPr>
            <sz val="11"/>
            <color theme="1"/>
            <rFont val="Calibri"/>
            <family val="2"/>
            <scheme val="minor"/>
          </rPr>
          <t>Seleccione un valor de la lista</t>
        </r>
      </text>
    </comment>
    <comment ref="F485" authorId="1" shapeId="0" xr:uid="{00000000-0006-0000-0100-0000CA010000}">
      <text>
        <r>
          <rPr>
            <sz val="11"/>
            <color theme="1"/>
            <rFont val="Calibri"/>
            <family val="2"/>
            <scheme val="minor"/>
          </rPr>
          <t>Introduzca el código SNIP</t>
        </r>
      </text>
    </comment>
    <comment ref="C486" authorId="1" shapeId="0" xr:uid="{00000000-0006-0000-0100-0000CB010000}">
      <text>
        <r>
          <rPr>
            <sz val="11"/>
            <color theme="1"/>
            <rFont val="Calibri"/>
            <family val="2"/>
            <scheme val="minor"/>
          </rPr>
          <t>Introduzca la fecha de inicio del proceso, en formato dd-mm-aaaa</t>
        </r>
      </text>
    </comment>
    <comment ref="F486" authorId="1" shapeId="0" xr:uid="{00000000-0006-0000-0100-0000C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7" authorId="1" shapeId="0" xr:uid="{00000000-0006-0000-0100-0000CE010000}">
      <text/>
    </comment>
    <comment ref="C488" authorId="1" shapeId="0" xr:uid="{00000000-0006-0000-0100-0000CC010000}">
      <text>
        <r>
          <rPr>
            <sz val="11"/>
            <color theme="1"/>
            <rFont val="Calibri"/>
            <family val="2"/>
            <scheme val="minor"/>
          </rPr>
          <t>Introduzca la fecha prevista de adjudicación, en formato dd-mm-aaaa</t>
        </r>
      </text>
    </comment>
    <comment ref="F488" authorId="1" shapeId="0" xr:uid="{00000000-0006-0000-0100-0000CF010000}">
      <text/>
    </comment>
    <comment ref="F489" authorId="1" shapeId="0" xr:uid="{00000000-0006-0000-0100-0000D0010000}">
      <text/>
    </comment>
    <comment ref="A491" authorId="1" shapeId="0" xr:uid="{00000000-0006-0000-0100-0000D1010000}">
      <text>
        <r>
          <rPr>
            <sz val="11"/>
            <color theme="1"/>
            <rFont val="Calibri"/>
            <family val="2"/>
            <scheme val="minor"/>
          </rPr>
          <t>Introduzca un codigo UNSPSC</t>
        </r>
      </text>
    </comment>
    <comment ref="B491" authorId="1" shapeId="0" xr:uid="{00000000-0006-0000-0100-0000D2010000}">
      <text>
        <r>
          <rPr>
            <sz val="11"/>
            <color theme="1"/>
            <rFont val="Calibri"/>
            <family val="2"/>
            <scheme val="minor"/>
          </rPr>
          <t>Descripción calculada automáticamente a partir de código del artículo</t>
        </r>
      </text>
    </comment>
    <comment ref="C491" authorId="1" shapeId="0" xr:uid="{00000000-0006-0000-0100-0000D3010000}">
      <text>
        <r>
          <rPr>
            <sz val="11"/>
            <color theme="1"/>
            <rFont val="Calibri"/>
            <family val="2"/>
            <scheme val="minor"/>
          </rPr>
          <t>Seleccione un valor de la lista</t>
        </r>
      </text>
    </comment>
    <comment ref="D491" authorId="1" shapeId="0" xr:uid="{00000000-0006-0000-0100-0000D4010000}">
      <text>
        <r>
          <rPr>
            <sz val="11"/>
            <color theme="1"/>
            <rFont val="Calibri"/>
            <family val="2"/>
            <scheme val="minor"/>
          </rPr>
          <t>Introduzca un número con dos decimales como máximo. Debe ser igual o mayor a la "Cantidad Real Consumida"</t>
        </r>
      </text>
    </comment>
    <comment ref="E491" authorId="1" shapeId="0" xr:uid="{00000000-0006-0000-0100-0000D5010000}">
      <text>
        <r>
          <rPr>
            <sz val="11"/>
            <color theme="1"/>
            <rFont val="Calibri"/>
            <family val="2"/>
            <scheme val="minor"/>
          </rPr>
          <t>Introduzca un número con dos decimales como máximo</t>
        </r>
      </text>
    </comment>
    <comment ref="F491" authorId="1" shapeId="0" xr:uid="{00000000-0006-0000-0100-0000D6010000}">
      <text>
        <r>
          <rPr>
            <sz val="11"/>
            <color theme="1"/>
            <rFont val="Calibri"/>
            <family val="2"/>
            <scheme val="minor"/>
          </rPr>
          <t>Monto calculado automáticamente por el sistema</t>
        </r>
      </text>
    </comment>
    <comment ref="A502" authorId="1" shapeId="0" xr:uid="{00000000-0006-0000-0100-0000D7010000}">
      <text>
        <r>
          <rPr>
            <sz val="11"/>
            <color theme="1"/>
            <rFont val="Calibri"/>
            <family val="2"/>
            <scheme val="minor"/>
          </rPr>
          <t>Introducir un texto con el nombre o referencia de la contratación</t>
        </r>
      </text>
    </comment>
    <comment ref="B502" authorId="1" shapeId="0" xr:uid="{00000000-0006-0000-0100-0000D8010000}">
      <text>
        <r>
          <rPr>
            <sz val="11"/>
            <color theme="1"/>
            <rFont val="Calibri"/>
            <family val="2"/>
            <scheme val="minor"/>
          </rPr>
          <t>Introduzca un texto con la finalidad de la contratación</t>
        </r>
      </text>
    </comment>
    <comment ref="C502" authorId="1" shapeId="0" xr:uid="{00000000-0006-0000-0100-0000D9010000}">
      <text>
        <r>
          <rPr>
            <sz val="11"/>
            <color theme="1"/>
            <rFont val="Calibri"/>
            <family val="2"/>
            <scheme val="minor"/>
          </rPr>
          <t>Seleccionar un valor del listado</t>
        </r>
      </text>
    </comment>
    <comment ref="D502" authorId="1" shapeId="0" xr:uid="{00000000-0006-0000-0100-0000DA010000}">
      <text>
        <r>
          <rPr>
            <sz val="11"/>
            <color theme="1"/>
            <rFont val="Calibri"/>
            <family val="2"/>
            <scheme val="minor"/>
          </rPr>
          <t>Seleccione el tipo de procedimiento</t>
        </r>
      </text>
    </comment>
    <comment ref="E502" authorId="1" shapeId="0" xr:uid="{00000000-0006-0000-0100-0000DB010000}">
      <text>
        <r>
          <rPr>
            <sz val="11"/>
            <color theme="1"/>
            <rFont val="Calibri"/>
            <family val="2"/>
            <scheme val="minor"/>
          </rPr>
          <t>Seleccione un valor de la lista</t>
        </r>
      </text>
    </comment>
    <comment ref="F502" authorId="1" shapeId="0" xr:uid="{00000000-0006-0000-0100-0000DC010000}">
      <text>
        <r>
          <rPr>
            <sz val="11"/>
            <color theme="1"/>
            <rFont val="Calibri"/>
            <family val="2"/>
            <scheme val="minor"/>
          </rPr>
          <t>Introduzca el código SNIP</t>
        </r>
      </text>
    </comment>
    <comment ref="C503" authorId="1" shapeId="0" xr:uid="{00000000-0006-0000-0100-0000DD010000}">
      <text>
        <r>
          <rPr>
            <sz val="11"/>
            <color theme="1"/>
            <rFont val="Calibri"/>
            <family val="2"/>
            <scheme val="minor"/>
          </rPr>
          <t>Introduzca la fecha de inicio del proceso, en formato dd-mm-aaaa</t>
        </r>
      </text>
    </comment>
    <comment ref="F503" authorId="1" shapeId="0" xr:uid="{00000000-0006-0000-0100-0000D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4" authorId="1" shapeId="0" xr:uid="{00000000-0006-0000-0100-0000E0010000}">
      <text/>
    </comment>
    <comment ref="C505" authorId="1" shapeId="0" xr:uid="{00000000-0006-0000-0100-0000DE010000}">
      <text>
        <r>
          <rPr>
            <sz val="11"/>
            <color theme="1"/>
            <rFont val="Calibri"/>
            <family val="2"/>
            <scheme val="minor"/>
          </rPr>
          <t>Introduzca la fecha prevista de adjudicación, en formato dd-mm-aaaa</t>
        </r>
      </text>
    </comment>
    <comment ref="F505" authorId="1" shapeId="0" xr:uid="{00000000-0006-0000-0100-0000E1010000}">
      <text/>
    </comment>
    <comment ref="F506" authorId="1" shapeId="0" xr:uid="{00000000-0006-0000-0100-0000E2010000}">
      <text/>
    </comment>
    <comment ref="A508" authorId="1" shapeId="0" xr:uid="{00000000-0006-0000-0100-0000E3010000}">
      <text>
        <r>
          <rPr>
            <sz val="11"/>
            <color theme="1"/>
            <rFont val="Calibri"/>
            <family val="2"/>
            <scheme val="minor"/>
          </rPr>
          <t>Introduzca un codigo UNSPSC</t>
        </r>
      </text>
    </comment>
    <comment ref="B508" authorId="1" shapeId="0" xr:uid="{00000000-0006-0000-0100-0000E4010000}">
      <text>
        <r>
          <rPr>
            <sz val="11"/>
            <color theme="1"/>
            <rFont val="Calibri"/>
            <family val="2"/>
            <scheme val="minor"/>
          </rPr>
          <t>Descripción calculada automáticamente a partir de código del artículo</t>
        </r>
      </text>
    </comment>
    <comment ref="C508" authorId="1" shapeId="0" xr:uid="{00000000-0006-0000-0100-0000E5010000}">
      <text>
        <r>
          <rPr>
            <sz val="11"/>
            <color theme="1"/>
            <rFont val="Calibri"/>
            <family val="2"/>
            <scheme val="minor"/>
          </rPr>
          <t>Seleccione un valor de la lista</t>
        </r>
      </text>
    </comment>
    <comment ref="D508" authorId="1" shapeId="0" xr:uid="{00000000-0006-0000-0100-0000E6010000}">
      <text>
        <r>
          <rPr>
            <sz val="11"/>
            <color theme="1"/>
            <rFont val="Calibri"/>
            <family val="2"/>
            <scheme val="minor"/>
          </rPr>
          <t>Introduzca un número con dos decimales como máximo. Debe ser igual o mayor a la "Cantidad Real Consumida"</t>
        </r>
      </text>
    </comment>
    <comment ref="E508" authorId="1" shapeId="0" xr:uid="{00000000-0006-0000-0100-0000E7010000}">
      <text>
        <r>
          <rPr>
            <sz val="11"/>
            <color theme="1"/>
            <rFont val="Calibri"/>
            <family val="2"/>
            <scheme val="minor"/>
          </rPr>
          <t>Introduzca un número con dos decimales como máximo</t>
        </r>
      </text>
    </comment>
    <comment ref="F508" authorId="1" shapeId="0" xr:uid="{00000000-0006-0000-0100-0000E8010000}">
      <text>
        <r>
          <rPr>
            <sz val="11"/>
            <color theme="1"/>
            <rFont val="Calibri"/>
            <family val="2"/>
            <scheme val="minor"/>
          </rPr>
          <t>Monto calculado automáticamente por el sistema</t>
        </r>
      </text>
    </comment>
    <comment ref="A516" authorId="1" shapeId="0" xr:uid="{00000000-0006-0000-0100-0000E9010000}">
      <text>
        <r>
          <rPr>
            <sz val="11"/>
            <color theme="1"/>
            <rFont val="Calibri"/>
            <family val="2"/>
            <scheme val="minor"/>
          </rPr>
          <t>Introducir un texto con el nombre o referencia de la contratación</t>
        </r>
      </text>
    </comment>
    <comment ref="B516" authorId="1" shapeId="0" xr:uid="{00000000-0006-0000-0100-0000EA010000}">
      <text>
        <r>
          <rPr>
            <sz val="11"/>
            <color theme="1"/>
            <rFont val="Calibri"/>
            <family val="2"/>
            <scheme val="minor"/>
          </rPr>
          <t>Introduzca un texto con la finalidad de la contratación</t>
        </r>
      </text>
    </comment>
    <comment ref="C516" authorId="1" shapeId="0" xr:uid="{00000000-0006-0000-0100-0000EB010000}">
      <text>
        <r>
          <rPr>
            <sz val="11"/>
            <color theme="1"/>
            <rFont val="Calibri"/>
            <family val="2"/>
            <scheme val="minor"/>
          </rPr>
          <t>Seleccionar un valor del listado</t>
        </r>
      </text>
    </comment>
    <comment ref="D516" authorId="1" shapeId="0" xr:uid="{00000000-0006-0000-0100-0000EC010000}">
      <text>
        <r>
          <rPr>
            <sz val="11"/>
            <color theme="1"/>
            <rFont val="Calibri"/>
            <family val="2"/>
            <scheme val="minor"/>
          </rPr>
          <t>Seleccione el tipo de procedimiento</t>
        </r>
      </text>
    </comment>
    <comment ref="E516" authorId="1" shapeId="0" xr:uid="{00000000-0006-0000-0100-0000ED010000}">
      <text>
        <r>
          <rPr>
            <sz val="11"/>
            <color theme="1"/>
            <rFont val="Calibri"/>
            <family val="2"/>
            <scheme val="minor"/>
          </rPr>
          <t>Seleccione un valor de la lista</t>
        </r>
      </text>
    </comment>
    <comment ref="F516" authorId="1" shapeId="0" xr:uid="{00000000-0006-0000-0100-0000EE010000}">
      <text>
        <r>
          <rPr>
            <sz val="11"/>
            <color theme="1"/>
            <rFont val="Calibri"/>
            <family val="2"/>
            <scheme val="minor"/>
          </rPr>
          <t>Introduzca el código SNIP</t>
        </r>
      </text>
    </comment>
    <comment ref="C517" authorId="1" shapeId="0" xr:uid="{00000000-0006-0000-0100-0000EF010000}">
      <text>
        <r>
          <rPr>
            <sz val="11"/>
            <color theme="1"/>
            <rFont val="Calibri"/>
            <family val="2"/>
            <scheme val="minor"/>
          </rPr>
          <t>Introduzca la fecha de inicio del proceso, en formato dd-mm-aaaa</t>
        </r>
      </text>
    </comment>
    <comment ref="F517" authorId="1" shapeId="0" xr:uid="{00000000-0006-0000-0100-0000F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8" authorId="1" shapeId="0" xr:uid="{00000000-0006-0000-0100-0000F2010000}">
      <text/>
    </comment>
    <comment ref="C519" authorId="1" shapeId="0" xr:uid="{00000000-0006-0000-0100-0000F0010000}">
      <text>
        <r>
          <rPr>
            <sz val="11"/>
            <color theme="1"/>
            <rFont val="Calibri"/>
            <family val="2"/>
            <scheme val="minor"/>
          </rPr>
          <t>Introduzca la fecha prevista de adjudicación, en formato dd-mm-aaaa</t>
        </r>
      </text>
    </comment>
    <comment ref="F519" authorId="1" shapeId="0" xr:uid="{00000000-0006-0000-0100-0000F3010000}">
      <text/>
    </comment>
    <comment ref="F520" authorId="1" shapeId="0" xr:uid="{00000000-0006-0000-0100-0000F4010000}">
      <text/>
    </comment>
    <comment ref="A522" authorId="1" shapeId="0" xr:uid="{00000000-0006-0000-0100-0000F5010000}">
      <text>
        <r>
          <rPr>
            <sz val="11"/>
            <color theme="1"/>
            <rFont val="Calibri"/>
            <family val="2"/>
            <scheme val="minor"/>
          </rPr>
          <t>Introduzca un codigo UNSPSC</t>
        </r>
      </text>
    </comment>
    <comment ref="B522" authorId="1" shapeId="0" xr:uid="{00000000-0006-0000-0100-0000F6010000}">
      <text>
        <r>
          <rPr>
            <sz val="11"/>
            <color theme="1"/>
            <rFont val="Calibri"/>
            <family val="2"/>
            <scheme val="minor"/>
          </rPr>
          <t>Descripción calculada automáticamente a partir de código del artículo</t>
        </r>
      </text>
    </comment>
    <comment ref="C522" authorId="1" shapeId="0" xr:uid="{00000000-0006-0000-0100-0000F7010000}">
      <text>
        <r>
          <rPr>
            <sz val="11"/>
            <color theme="1"/>
            <rFont val="Calibri"/>
            <family val="2"/>
            <scheme val="minor"/>
          </rPr>
          <t>Seleccione un valor de la lista</t>
        </r>
      </text>
    </comment>
    <comment ref="D522" authorId="1" shapeId="0" xr:uid="{00000000-0006-0000-0100-0000F8010000}">
      <text>
        <r>
          <rPr>
            <sz val="11"/>
            <color theme="1"/>
            <rFont val="Calibri"/>
            <family val="2"/>
            <scheme val="minor"/>
          </rPr>
          <t>Introduzca un número con dos decimales como máximo. Debe ser igual o mayor a la "Cantidad Real Consumida"</t>
        </r>
      </text>
    </comment>
    <comment ref="E522" authorId="1" shapeId="0" xr:uid="{00000000-0006-0000-0100-0000F9010000}">
      <text>
        <r>
          <rPr>
            <sz val="11"/>
            <color theme="1"/>
            <rFont val="Calibri"/>
            <family val="2"/>
            <scheme val="minor"/>
          </rPr>
          <t>Introduzca un número con dos decimales como máximo</t>
        </r>
      </text>
    </comment>
    <comment ref="F522" authorId="1" shapeId="0" xr:uid="{00000000-0006-0000-0100-0000FA010000}">
      <text>
        <r>
          <rPr>
            <sz val="11"/>
            <color theme="1"/>
            <rFont val="Calibri"/>
            <family val="2"/>
            <scheme val="minor"/>
          </rPr>
          <t>Monto calculado automáticamente por el sistema</t>
        </r>
      </text>
    </comment>
    <comment ref="A532" authorId="1" shapeId="0" xr:uid="{00000000-0006-0000-0100-0000FB010000}">
      <text>
        <r>
          <rPr>
            <sz val="11"/>
            <color theme="1"/>
            <rFont val="Calibri"/>
            <family val="2"/>
            <scheme val="minor"/>
          </rPr>
          <t>Introducir un texto con el nombre o referencia de la contratación</t>
        </r>
      </text>
    </comment>
    <comment ref="B532" authorId="1" shapeId="0" xr:uid="{00000000-0006-0000-0100-0000FC010000}">
      <text>
        <r>
          <rPr>
            <sz val="11"/>
            <color theme="1"/>
            <rFont val="Calibri"/>
            <family val="2"/>
            <scheme val="minor"/>
          </rPr>
          <t>Introduzca un texto con la finalidad de la contratación</t>
        </r>
      </text>
    </comment>
    <comment ref="C532" authorId="1" shapeId="0" xr:uid="{00000000-0006-0000-0100-0000FD010000}">
      <text>
        <r>
          <rPr>
            <sz val="11"/>
            <color theme="1"/>
            <rFont val="Calibri"/>
            <family val="2"/>
            <scheme val="minor"/>
          </rPr>
          <t>Seleccionar un valor del listado</t>
        </r>
      </text>
    </comment>
    <comment ref="D532" authorId="1" shapeId="0" xr:uid="{00000000-0006-0000-0100-0000FE010000}">
      <text>
        <r>
          <rPr>
            <sz val="11"/>
            <color theme="1"/>
            <rFont val="Calibri"/>
            <family val="2"/>
            <scheme val="minor"/>
          </rPr>
          <t>Seleccione el tipo de procedimiento</t>
        </r>
      </text>
    </comment>
    <comment ref="E532" authorId="1" shapeId="0" xr:uid="{00000000-0006-0000-0100-0000FF010000}">
      <text>
        <r>
          <rPr>
            <sz val="11"/>
            <color theme="1"/>
            <rFont val="Calibri"/>
            <family val="2"/>
            <scheme val="minor"/>
          </rPr>
          <t>Seleccione un valor de la lista</t>
        </r>
      </text>
    </comment>
    <comment ref="F532" authorId="1" shapeId="0" xr:uid="{00000000-0006-0000-0100-000000020000}">
      <text>
        <r>
          <rPr>
            <sz val="11"/>
            <color theme="1"/>
            <rFont val="Calibri"/>
            <family val="2"/>
            <scheme val="minor"/>
          </rPr>
          <t>Introduzca el código SNIP</t>
        </r>
      </text>
    </comment>
    <comment ref="C533" authorId="1" shapeId="0" xr:uid="{00000000-0006-0000-0100-000001020000}">
      <text>
        <r>
          <rPr>
            <sz val="11"/>
            <color theme="1"/>
            <rFont val="Calibri"/>
            <family val="2"/>
            <scheme val="minor"/>
          </rPr>
          <t>Introduzca la fecha de inicio del proceso, en formato dd-mm-aaaa</t>
        </r>
      </text>
    </comment>
    <comment ref="F533" authorId="1" shapeId="0" xr:uid="{00000000-0006-0000-0100-00000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4" authorId="1" shapeId="0" xr:uid="{00000000-0006-0000-0100-000004020000}">
      <text/>
    </comment>
    <comment ref="C535" authorId="1" shapeId="0" xr:uid="{00000000-0006-0000-0100-000002020000}">
      <text>
        <r>
          <rPr>
            <sz val="11"/>
            <color theme="1"/>
            <rFont val="Calibri"/>
            <family val="2"/>
            <scheme val="minor"/>
          </rPr>
          <t>Introduzca la fecha prevista de adjudicación, en formato dd-mm-aaaa</t>
        </r>
      </text>
    </comment>
    <comment ref="F535" authorId="1" shapeId="0" xr:uid="{00000000-0006-0000-0100-000005020000}">
      <text/>
    </comment>
    <comment ref="F536" authorId="1" shapeId="0" xr:uid="{00000000-0006-0000-0100-000006020000}">
      <text/>
    </comment>
    <comment ref="A538" authorId="1" shapeId="0" xr:uid="{00000000-0006-0000-0100-000007020000}">
      <text>
        <r>
          <rPr>
            <sz val="11"/>
            <color theme="1"/>
            <rFont val="Calibri"/>
            <family val="2"/>
            <scheme val="minor"/>
          </rPr>
          <t>Introduzca un codigo UNSPSC</t>
        </r>
      </text>
    </comment>
    <comment ref="B538" authorId="1" shapeId="0" xr:uid="{00000000-0006-0000-0100-000008020000}">
      <text>
        <r>
          <rPr>
            <sz val="11"/>
            <color theme="1"/>
            <rFont val="Calibri"/>
            <family val="2"/>
            <scheme val="minor"/>
          </rPr>
          <t>Descripción calculada automáticamente a partir de código del artículo</t>
        </r>
      </text>
    </comment>
    <comment ref="C538" authorId="1" shapeId="0" xr:uid="{00000000-0006-0000-0100-000009020000}">
      <text>
        <r>
          <rPr>
            <sz val="11"/>
            <color theme="1"/>
            <rFont val="Calibri"/>
            <family val="2"/>
            <scheme val="minor"/>
          </rPr>
          <t>Seleccione un valor de la lista</t>
        </r>
      </text>
    </comment>
    <comment ref="D538" authorId="1" shapeId="0" xr:uid="{00000000-0006-0000-0100-00000A020000}">
      <text>
        <r>
          <rPr>
            <sz val="11"/>
            <color theme="1"/>
            <rFont val="Calibri"/>
            <family val="2"/>
            <scheme val="minor"/>
          </rPr>
          <t>Introduzca un número con dos decimales como máximo. Debe ser igual o mayor a la "Cantidad Real Consumida"</t>
        </r>
      </text>
    </comment>
    <comment ref="E538" authorId="1" shapeId="0" xr:uid="{00000000-0006-0000-0100-00000B020000}">
      <text>
        <r>
          <rPr>
            <sz val="11"/>
            <color theme="1"/>
            <rFont val="Calibri"/>
            <family val="2"/>
            <scheme val="minor"/>
          </rPr>
          <t>Introduzca un número con dos decimales como máximo</t>
        </r>
      </text>
    </comment>
    <comment ref="F538" authorId="1" shapeId="0" xr:uid="{00000000-0006-0000-0100-00000C020000}">
      <text>
        <r>
          <rPr>
            <sz val="11"/>
            <color theme="1"/>
            <rFont val="Calibri"/>
            <family val="2"/>
            <scheme val="minor"/>
          </rPr>
          <t>Monto calculado automáticamente por el sistema</t>
        </r>
      </text>
    </comment>
    <comment ref="A543" authorId="1" shapeId="0" xr:uid="{00000000-0006-0000-0100-00000D020000}">
      <text>
        <r>
          <rPr>
            <sz val="11"/>
            <color theme="1"/>
            <rFont val="Calibri"/>
            <family val="2"/>
            <scheme val="minor"/>
          </rPr>
          <t>Introducir un texto con el nombre o referencia de la contratación</t>
        </r>
      </text>
    </comment>
    <comment ref="B543" authorId="1" shapeId="0" xr:uid="{00000000-0006-0000-0100-00000E020000}">
      <text>
        <r>
          <rPr>
            <sz val="11"/>
            <color theme="1"/>
            <rFont val="Calibri"/>
            <family val="2"/>
            <scheme val="minor"/>
          </rPr>
          <t>Introduzca un texto con la finalidad de la contratación</t>
        </r>
      </text>
    </comment>
    <comment ref="C543" authorId="1" shapeId="0" xr:uid="{00000000-0006-0000-0100-00000F020000}">
      <text>
        <r>
          <rPr>
            <sz val="11"/>
            <color theme="1"/>
            <rFont val="Calibri"/>
            <family val="2"/>
            <scheme val="minor"/>
          </rPr>
          <t>Seleccionar un valor del listado</t>
        </r>
      </text>
    </comment>
    <comment ref="D543" authorId="1" shapeId="0" xr:uid="{00000000-0006-0000-0100-000010020000}">
      <text>
        <r>
          <rPr>
            <sz val="11"/>
            <color theme="1"/>
            <rFont val="Calibri"/>
            <family val="2"/>
            <scheme val="minor"/>
          </rPr>
          <t>Seleccione el tipo de procedimiento</t>
        </r>
      </text>
    </comment>
    <comment ref="E543" authorId="1" shapeId="0" xr:uid="{00000000-0006-0000-0100-000011020000}">
      <text>
        <r>
          <rPr>
            <sz val="11"/>
            <color theme="1"/>
            <rFont val="Calibri"/>
            <family val="2"/>
            <scheme val="minor"/>
          </rPr>
          <t>Seleccione un valor de la lista</t>
        </r>
      </text>
    </comment>
    <comment ref="F543" authorId="1" shapeId="0" xr:uid="{00000000-0006-0000-0100-000012020000}">
      <text>
        <r>
          <rPr>
            <sz val="11"/>
            <color theme="1"/>
            <rFont val="Calibri"/>
            <family val="2"/>
            <scheme val="minor"/>
          </rPr>
          <t>Introduzca el código SNIP</t>
        </r>
      </text>
    </comment>
    <comment ref="C544" authorId="1" shapeId="0" xr:uid="{00000000-0006-0000-0100-000013020000}">
      <text>
        <r>
          <rPr>
            <sz val="11"/>
            <color theme="1"/>
            <rFont val="Calibri"/>
            <family val="2"/>
            <scheme val="minor"/>
          </rPr>
          <t>Introduzca la fecha de inicio del proceso, en formato dd-mm-aaaa</t>
        </r>
      </text>
    </comment>
    <comment ref="F544" authorId="1" shapeId="0" xr:uid="{00000000-0006-0000-0100-00001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5" authorId="1" shapeId="0" xr:uid="{00000000-0006-0000-0100-000016020000}">
      <text/>
    </comment>
    <comment ref="C546" authorId="1" shapeId="0" xr:uid="{00000000-0006-0000-0100-000014020000}">
      <text>
        <r>
          <rPr>
            <sz val="11"/>
            <color theme="1"/>
            <rFont val="Calibri"/>
            <family val="2"/>
            <scheme val="minor"/>
          </rPr>
          <t>Introduzca la fecha prevista de adjudicación, en formato dd-mm-aaaa</t>
        </r>
      </text>
    </comment>
    <comment ref="F546" authorId="1" shapeId="0" xr:uid="{00000000-0006-0000-0100-000017020000}">
      <text/>
    </comment>
    <comment ref="F547" authorId="1" shapeId="0" xr:uid="{00000000-0006-0000-0100-000018020000}">
      <text/>
    </comment>
    <comment ref="A549" authorId="1" shapeId="0" xr:uid="{00000000-0006-0000-0100-000019020000}">
      <text>
        <r>
          <rPr>
            <sz val="11"/>
            <color theme="1"/>
            <rFont val="Calibri"/>
            <family val="2"/>
            <scheme val="minor"/>
          </rPr>
          <t>Introduzca un codigo UNSPSC</t>
        </r>
      </text>
    </comment>
    <comment ref="B549" authorId="1" shapeId="0" xr:uid="{00000000-0006-0000-0100-00001A020000}">
      <text>
        <r>
          <rPr>
            <sz val="11"/>
            <color theme="1"/>
            <rFont val="Calibri"/>
            <family val="2"/>
            <scheme val="minor"/>
          </rPr>
          <t>Descripción calculada automáticamente a partir de código del artículo</t>
        </r>
      </text>
    </comment>
    <comment ref="C549" authorId="1" shapeId="0" xr:uid="{00000000-0006-0000-0100-00001B020000}">
      <text>
        <r>
          <rPr>
            <sz val="11"/>
            <color theme="1"/>
            <rFont val="Calibri"/>
            <family val="2"/>
            <scheme val="minor"/>
          </rPr>
          <t>Seleccione un valor de la lista</t>
        </r>
      </text>
    </comment>
    <comment ref="D549" authorId="1" shapeId="0" xr:uid="{00000000-0006-0000-0100-00001C020000}">
      <text>
        <r>
          <rPr>
            <sz val="11"/>
            <color theme="1"/>
            <rFont val="Calibri"/>
            <family val="2"/>
            <scheme val="minor"/>
          </rPr>
          <t>Introduzca un número con dos decimales como máximo. Debe ser igual o mayor a la "Cantidad Real Consumida"</t>
        </r>
      </text>
    </comment>
    <comment ref="E549" authorId="1" shapeId="0" xr:uid="{00000000-0006-0000-0100-00001D020000}">
      <text>
        <r>
          <rPr>
            <sz val="11"/>
            <color theme="1"/>
            <rFont val="Calibri"/>
            <family val="2"/>
            <scheme val="minor"/>
          </rPr>
          <t>Introduzca un número con dos decimales como máximo</t>
        </r>
      </text>
    </comment>
    <comment ref="F549" authorId="1" shapeId="0" xr:uid="{00000000-0006-0000-0100-00001E020000}">
      <text>
        <r>
          <rPr>
            <sz val="11"/>
            <color theme="1"/>
            <rFont val="Calibri"/>
            <family val="2"/>
            <scheme val="minor"/>
          </rPr>
          <t>Monto calculado automáticamente por el sistema</t>
        </r>
      </text>
    </comment>
    <comment ref="A554" authorId="1" shapeId="0" xr:uid="{00000000-0006-0000-0100-00001F020000}">
      <text>
        <r>
          <rPr>
            <sz val="11"/>
            <color theme="1"/>
            <rFont val="Calibri"/>
            <family val="2"/>
            <scheme val="minor"/>
          </rPr>
          <t>Introducir un texto con el nombre o referencia de la contratación</t>
        </r>
      </text>
    </comment>
    <comment ref="B554" authorId="1" shapeId="0" xr:uid="{00000000-0006-0000-0100-000020020000}">
      <text>
        <r>
          <rPr>
            <sz val="11"/>
            <color theme="1"/>
            <rFont val="Calibri"/>
            <family val="2"/>
            <scheme val="minor"/>
          </rPr>
          <t>Introduzca un texto con la finalidad de la contratación</t>
        </r>
      </text>
    </comment>
    <comment ref="C554" authorId="1" shapeId="0" xr:uid="{00000000-0006-0000-0100-000021020000}">
      <text>
        <r>
          <rPr>
            <sz val="11"/>
            <color theme="1"/>
            <rFont val="Calibri"/>
            <family val="2"/>
            <scheme val="minor"/>
          </rPr>
          <t>Seleccionar un valor del listado</t>
        </r>
      </text>
    </comment>
    <comment ref="D554" authorId="1" shapeId="0" xr:uid="{00000000-0006-0000-0100-000022020000}">
      <text>
        <r>
          <rPr>
            <sz val="11"/>
            <color theme="1"/>
            <rFont val="Calibri"/>
            <family val="2"/>
            <scheme val="minor"/>
          </rPr>
          <t>Seleccione el tipo de procedimiento</t>
        </r>
      </text>
    </comment>
    <comment ref="E554" authorId="1" shapeId="0" xr:uid="{00000000-0006-0000-0100-000023020000}">
      <text>
        <r>
          <rPr>
            <sz val="11"/>
            <color theme="1"/>
            <rFont val="Calibri"/>
            <family val="2"/>
            <scheme val="minor"/>
          </rPr>
          <t>Seleccione un valor de la lista</t>
        </r>
      </text>
    </comment>
    <comment ref="F554" authorId="1" shapeId="0" xr:uid="{00000000-0006-0000-0100-000024020000}">
      <text>
        <r>
          <rPr>
            <sz val="11"/>
            <color theme="1"/>
            <rFont val="Calibri"/>
            <family val="2"/>
            <scheme val="minor"/>
          </rPr>
          <t>Introduzca el código SNIP</t>
        </r>
      </text>
    </comment>
    <comment ref="C555" authorId="1" shapeId="0" xr:uid="{00000000-0006-0000-0100-000025020000}">
      <text>
        <r>
          <rPr>
            <sz val="11"/>
            <color theme="1"/>
            <rFont val="Calibri"/>
            <family val="2"/>
            <scheme val="minor"/>
          </rPr>
          <t>Introduzca la fecha de inicio del proceso, en formato dd-mm-aaaa</t>
        </r>
      </text>
    </comment>
    <comment ref="F555" authorId="1" shapeId="0" xr:uid="{00000000-0006-0000-0100-00002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6" authorId="1" shapeId="0" xr:uid="{00000000-0006-0000-0100-000028020000}">
      <text/>
    </comment>
    <comment ref="C557" authorId="1" shapeId="0" xr:uid="{00000000-0006-0000-0100-000026020000}">
      <text>
        <r>
          <rPr>
            <sz val="11"/>
            <color theme="1"/>
            <rFont val="Calibri"/>
            <family val="2"/>
            <scheme val="minor"/>
          </rPr>
          <t>Introduzca la fecha prevista de adjudicación, en formato dd-mm-aaaa</t>
        </r>
      </text>
    </comment>
    <comment ref="F557" authorId="1" shapeId="0" xr:uid="{00000000-0006-0000-0100-000029020000}">
      <text/>
    </comment>
    <comment ref="F558" authorId="1" shapeId="0" xr:uid="{00000000-0006-0000-0100-00002A020000}">
      <text/>
    </comment>
    <comment ref="A560" authorId="1" shapeId="0" xr:uid="{00000000-0006-0000-0100-00002B020000}">
      <text>
        <r>
          <rPr>
            <sz val="11"/>
            <color theme="1"/>
            <rFont val="Calibri"/>
            <family val="2"/>
            <scheme val="minor"/>
          </rPr>
          <t>Introduzca un codigo UNSPSC</t>
        </r>
      </text>
    </comment>
    <comment ref="B560" authorId="1" shapeId="0" xr:uid="{00000000-0006-0000-0100-00002C020000}">
      <text>
        <r>
          <rPr>
            <sz val="11"/>
            <color theme="1"/>
            <rFont val="Calibri"/>
            <family val="2"/>
            <scheme val="minor"/>
          </rPr>
          <t>Descripción calculada automáticamente a partir de código del artículo</t>
        </r>
      </text>
    </comment>
    <comment ref="C560" authorId="1" shapeId="0" xr:uid="{00000000-0006-0000-0100-00002D020000}">
      <text>
        <r>
          <rPr>
            <sz val="11"/>
            <color theme="1"/>
            <rFont val="Calibri"/>
            <family val="2"/>
            <scheme val="minor"/>
          </rPr>
          <t>Seleccione un valor de la lista</t>
        </r>
      </text>
    </comment>
    <comment ref="D560" authorId="1" shapeId="0" xr:uid="{00000000-0006-0000-0100-00002E020000}">
      <text>
        <r>
          <rPr>
            <sz val="11"/>
            <color theme="1"/>
            <rFont val="Calibri"/>
            <family val="2"/>
            <scheme val="minor"/>
          </rPr>
          <t>Introduzca un número con dos decimales como máximo. Debe ser igual o mayor a la "Cantidad Real Consumida"</t>
        </r>
      </text>
    </comment>
    <comment ref="E560" authorId="1" shapeId="0" xr:uid="{00000000-0006-0000-0100-00002F020000}">
      <text>
        <r>
          <rPr>
            <sz val="11"/>
            <color theme="1"/>
            <rFont val="Calibri"/>
            <family val="2"/>
            <scheme val="minor"/>
          </rPr>
          <t>Introduzca un número con dos decimales como máximo</t>
        </r>
      </text>
    </comment>
    <comment ref="F560" authorId="1" shapeId="0" xr:uid="{00000000-0006-0000-0100-000030020000}">
      <text>
        <r>
          <rPr>
            <sz val="11"/>
            <color theme="1"/>
            <rFont val="Calibri"/>
            <family val="2"/>
            <scheme val="minor"/>
          </rPr>
          <t>Monto calculado automáticamente por el sistema</t>
        </r>
      </text>
    </comment>
    <comment ref="A570" authorId="1" shapeId="0" xr:uid="{00000000-0006-0000-0100-000031020000}">
      <text>
        <r>
          <rPr>
            <sz val="11"/>
            <color theme="1"/>
            <rFont val="Calibri"/>
            <family val="2"/>
            <scheme val="minor"/>
          </rPr>
          <t>Introducir un texto con el nombre o referencia de la contratación</t>
        </r>
      </text>
    </comment>
    <comment ref="B570" authorId="1" shapeId="0" xr:uid="{00000000-0006-0000-0100-000032020000}">
      <text>
        <r>
          <rPr>
            <sz val="11"/>
            <color theme="1"/>
            <rFont val="Calibri"/>
            <family val="2"/>
            <scheme val="minor"/>
          </rPr>
          <t>Introduzca un texto con la finalidad de la contratación</t>
        </r>
      </text>
    </comment>
    <comment ref="C570" authorId="1" shapeId="0" xr:uid="{00000000-0006-0000-0100-000033020000}">
      <text>
        <r>
          <rPr>
            <sz val="11"/>
            <color theme="1"/>
            <rFont val="Calibri"/>
            <family val="2"/>
            <scheme val="minor"/>
          </rPr>
          <t>Seleccionar un valor del listado</t>
        </r>
      </text>
    </comment>
    <comment ref="D570" authorId="1" shapeId="0" xr:uid="{00000000-0006-0000-0100-000034020000}">
      <text>
        <r>
          <rPr>
            <sz val="11"/>
            <color theme="1"/>
            <rFont val="Calibri"/>
            <family val="2"/>
            <scheme val="minor"/>
          </rPr>
          <t>Seleccione el tipo de procedimiento</t>
        </r>
      </text>
    </comment>
    <comment ref="E570" authorId="1" shapeId="0" xr:uid="{00000000-0006-0000-0100-000035020000}">
      <text>
        <r>
          <rPr>
            <sz val="11"/>
            <color theme="1"/>
            <rFont val="Calibri"/>
            <family val="2"/>
            <scheme val="minor"/>
          </rPr>
          <t>Seleccione un valor de la lista</t>
        </r>
      </text>
    </comment>
    <comment ref="F570" authorId="1" shapeId="0" xr:uid="{00000000-0006-0000-0100-000036020000}">
      <text>
        <r>
          <rPr>
            <sz val="11"/>
            <color theme="1"/>
            <rFont val="Calibri"/>
            <family val="2"/>
            <scheme val="minor"/>
          </rPr>
          <t>Introduzca el código SNIP</t>
        </r>
      </text>
    </comment>
    <comment ref="C571" authorId="1" shapeId="0" xr:uid="{00000000-0006-0000-0100-000037020000}">
      <text>
        <r>
          <rPr>
            <sz val="11"/>
            <color theme="1"/>
            <rFont val="Calibri"/>
            <family val="2"/>
            <scheme val="minor"/>
          </rPr>
          <t>Introduzca la fecha de inicio del proceso, en formato dd-mm-aaaa</t>
        </r>
      </text>
    </comment>
    <comment ref="F571" authorId="1" shapeId="0" xr:uid="{00000000-0006-0000-0100-00003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2" authorId="1" shapeId="0" xr:uid="{00000000-0006-0000-0100-00003A020000}">
      <text/>
    </comment>
    <comment ref="C573" authorId="1" shapeId="0" xr:uid="{00000000-0006-0000-0100-000038020000}">
      <text>
        <r>
          <rPr>
            <sz val="11"/>
            <color theme="1"/>
            <rFont val="Calibri"/>
            <family val="2"/>
            <scheme val="minor"/>
          </rPr>
          <t>Introduzca la fecha prevista de adjudicación, en formato dd-mm-aaaa</t>
        </r>
      </text>
    </comment>
    <comment ref="F573" authorId="1" shapeId="0" xr:uid="{00000000-0006-0000-0100-00003B020000}">
      <text/>
    </comment>
    <comment ref="F574" authorId="1" shapeId="0" xr:uid="{00000000-0006-0000-0100-00003C020000}">
      <text/>
    </comment>
    <comment ref="A576" authorId="1" shapeId="0" xr:uid="{00000000-0006-0000-0100-00003D020000}">
      <text>
        <r>
          <rPr>
            <sz val="11"/>
            <color theme="1"/>
            <rFont val="Calibri"/>
            <family val="2"/>
            <scheme val="minor"/>
          </rPr>
          <t>Introduzca un codigo UNSPSC</t>
        </r>
      </text>
    </comment>
    <comment ref="B576" authorId="1" shapeId="0" xr:uid="{00000000-0006-0000-0100-00003E020000}">
      <text>
        <r>
          <rPr>
            <sz val="11"/>
            <color theme="1"/>
            <rFont val="Calibri"/>
            <family val="2"/>
            <scheme val="minor"/>
          </rPr>
          <t>Descripción calculada automáticamente a partir de código del artículo</t>
        </r>
      </text>
    </comment>
    <comment ref="C576" authorId="1" shapeId="0" xr:uid="{00000000-0006-0000-0100-00003F020000}">
      <text>
        <r>
          <rPr>
            <sz val="11"/>
            <color theme="1"/>
            <rFont val="Calibri"/>
            <family val="2"/>
            <scheme val="minor"/>
          </rPr>
          <t>Seleccione un valor de la lista</t>
        </r>
      </text>
    </comment>
    <comment ref="D576" authorId="1" shapeId="0" xr:uid="{00000000-0006-0000-0100-000040020000}">
      <text>
        <r>
          <rPr>
            <sz val="11"/>
            <color theme="1"/>
            <rFont val="Calibri"/>
            <family val="2"/>
            <scheme val="minor"/>
          </rPr>
          <t>Introduzca un número con dos decimales como máximo. Debe ser igual o mayor a la "Cantidad Real Consumida"</t>
        </r>
      </text>
    </comment>
    <comment ref="E576" authorId="1" shapeId="0" xr:uid="{00000000-0006-0000-0100-000041020000}">
      <text>
        <r>
          <rPr>
            <sz val="11"/>
            <color theme="1"/>
            <rFont val="Calibri"/>
            <family val="2"/>
            <scheme val="minor"/>
          </rPr>
          <t>Introduzca un número con dos decimales como máximo</t>
        </r>
      </text>
    </comment>
    <comment ref="F576" authorId="1" shapeId="0" xr:uid="{00000000-0006-0000-0100-000042020000}">
      <text>
        <r>
          <rPr>
            <sz val="11"/>
            <color theme="1"/>
            <rFont val="Calibri"/>
            <family val="2"/>
            <scheme val="minor"/>
          </rPr>
          <t>Monto calculado automáticamente por el sistema</t>
        </r>
      </text>
    </comment>
    <comment ref="A592" authorId="1" shapeId="0" xr:uid="{00000000-0006-0000-0100-000043020000}">
      <text>
        <r>
          <rPr>
            <sz val="11"/>
            <color theme="1"/>
            <rFont val="Calibri"/>
            <family val="2"/>
            <scheme val="minor"/>
          </rPr>
          <t>Introducir un texto con el nombre o referencia de la contratación</t>
        </r>
      </text>
    </comment>
    <comment ref="B592" authorId="1" shapeId="0" xr:uid="{00000000-0006-0000-0100-000044020000}">
      <text>
        <r>
          <rPr>
            <sz val="11"/>
            <color theme="1"/>
            <rFont val="Calibri"/>
            <family val="2"/>
            <scheme val="minor"/>
          </rPr>
          <t>Introduzca un texto con la finalidad de la contratación</t>
        </r>
      </text>
    </comment>
    <comment ref="C592" authorId="1" shapeId="0" xr:uid="{00000000-0006-0000-0100-000045020000}">
      <text>
        <r>
          <rPr>
            <sz val="11"/>
            <color theme="1"/>
            <rFont val="Calibri"/>
            <family val="2"/>
            <scheme val="minor"/>
          </rPr>
          <t>Seleccionar un valor del listado</t>
        </r>
      </text>
    </comment>
    <comment ref="D592" authorId="1" shapeId="0" xr:uid="{00000000-0006-0000-0100-000046020000}">
      <text>
        <r>
          <rPr>
            <sz val="11"/>
            <color theme="1"/>
            <rFont val="Calibri"/>
            <family val="2"/>
            <scheme val="minor"/>
          </rPr>
          <t>Seleccione el tipo de procedimiento</t>
        </r>
      </text>
    </comment>
    <comment ref="E592" authorId="1" shapeId="0" xr:uid="{00000000-0006-0000-0100-000047020000}">
      <text>
        <r>
          <rPr>
            <sz val="11"/>
            <color theme="1"/>
            <rFont val="Calibri"/>
            <family val="2"/>
            <scheme val="minor"/>
          </rPr>
          <t>Seleccione un valor de la lista</t>
        </r>
      </text>
    </comment>
    <comment ref="F592" authorId="1" shapeId="0" xr:uid="{00000000-0006-0000-0100-000048020000}">
      <text>
        <r>
          <rPr>
            <sz val="11"/>
            <color theme="1"/>
            <rFont val="Calibri"/>
            <family val="2"/>
            <scheme val="minor"/>
          </rPr>
          <t>Introduzca el código SNIP</t>
        </r>
      </text>
    </comment>
    <comment ref="C593" authorId="1" shapeId="0" xr:uid="{00000000-0006-0000-0100-000049020000}">
      <text>
        <r>
          <rPr>
            <sz val="11"/>
            <color theme="1"/>
            <rFont val="Calibri"/>
            <family val="2"/>
            <scheme val="minor"/>
          </rPr>
          <t>Introduzca la fecha de inicio del proceso, en formato dd-mm-aaaa</t>
        </r>
      </text>
    </comment>
    <comment ref="F593" authorId="1" shapeId="0" xr:uid="{00000000-0006-0000-0100-00004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4" authorId="1" shapeId="0" xr:uid="{00000000-0006-0000-0100-00004C020000}">
      <text/>
    </comment>
    <comment ref="C595" authorId="1" shapeId="0" xr:uid="{00000000-0006-0000-0100-00004A020000}">
      <text>
        <r>
          <rPr>
            <sz val="11"/>
            <color theme="1"/>
            <rFont val="Calibri"/>
            <family val="2"/>
            <scheme val="minor"/>
          </rPr>
          <t>Introduzca la fecha prevista de adjudicación, en formato dd-mm-aaaa</t>
        </r>
      </text>
    </comment>
    <comment ref="F595" authorId="1" shapeId="0" xr:uid="{00000000-0006-0000-0100-00004D020000}">
      <text/>
    </comment>
    <comment ref="F596" authorId="1" shapeId="0" xr:uid="{00000000-0006-0000-0100-00004E020000}">
      <text/>
    </comment>
    <comment ref="A598" authorId="1" shapeId="0" xr:uid="{00000000-0006-0000-0100-00004F020000}">
      <text>
        <r>
          <rPr>
            <sz val="11"/>
            <color theme="1"/>
            <rFont val="Calibri"/>
            <family val="2"/>
            <scheme val="minor"/>
          </rPr>
          <t>Introduzca un codigo UNSPSC</t>
        </r>
      </text>
    </comment>
    <comment ref="B598" authorId="1" shapeId="0" xr:uid="{00000000-0006-0000-0100-000050020000}">
      <text>
        <r>
          <rPr>
            <sz val="11"/>
            <color theme="1"/>
            <rFont val="Calibri"/>
            <family val="2"/>
            <scheme val="minor"/>
          </rPr>
          <t>Descripción calculada automáticamente a partir de código del artículo</t>
        </r>
      </text>
    </comment>
    <comment ref="C598" authorId="1" shapeId="0" xr:uid="{00000000-0006-0000-0100-000051020000}">
      <text>
        <r>
          <rPr>
            <sz val="11"/>
            <color theme="1"/>
            <rFont val="Calibri"/>
            <family val="2"/>
            <scheme val="minor"/>
          </rPr>
          <t>Seleccione un valor de la lista</t>
        </r>
      </text>
    </comment>
    <comment ref="D598" authorId="1" shapeId="0" xr:uid="{00000000-0006-0000-0100-000052020000}">
      <text>
        <r>
          <rPr>
            <sz val="11"/>
            <color theme="1"/>
            <rFont val="Calibri"/>
            <family val="2"/>
            <scheme val="minor"/>
          </rPr>
          <t>Introduzca un número con dos decimales como máximo. Debe ser igual o mayor a la "Cantidad Real Consumida"</t>
        </r>
      </text>
    </comment>
    <comment ref="E598" authorId="1" shapeId="0" xr:uid="{00000000-0006-0000-0100-000053020000}">
      <text>
        <r>
          <rPr>
            <sz val="11"/>
            <color theme="1"/>
            <rFont val="Calibri"/>
            <family val="2"/>
            <scheme val="minor"/>
          </rPr>
          <t>Introduzca un número con dos decimales como máximo</t>
        </r>
      </text>
    </comment>
    <comment ref="F598" authorId="1" shapeId="0" xr:uid="{00000000-0006-0000-0100-000054020000}">
      <text>
        <r>
          <rPr>
            <sz val="11"/>
            <color theme="1"/>
            <rFont val="Calibri"/>
            <family val="2"/>
            <scheme val="minor"/>
          </rPr>
          <t>Monto calculado automáticamente por el sistema</t>
        </r>
      </text>
    </comment>
    <comment ref="A616" authorId="1" shapeId="0" xr:uid="{00000000-0006-0000-0100-000055020000}">
      <text>
        <r>
          <rPr>
            <sz val="11"/>
            <color theme="1"/>
            <rFont val="Calibri"/>
            <family val="2"/>
            <scheme val="minor"/>
          </rPr>
          <t>Introducir un texto con el nombre o referencia de la contratación</t>
        </r>
      </text>
    </comment>
    <comment ref="B616" authorId="1" shapeId="0" xr:uid="{00000000-0006-0000-0100-000056020000}">
      <text>
        <r>
          <rPr>
            <sz val="11"/>
            <color theme="1"/>
            <rFont val="Calibri"/>
            <family val="2"/>
            <scheme val="minor"/>
          </rPr>
          <t>Introduzca un texto con la finalidad de la contratación</t>
        </r>
      </text>
    </comment>
    <comment ref="C616" authorId="1" shapeId="0" xr:uid="{00000000-0006-0000-0100-000057020000}">
      <text>
        <r>
          <rPr>
            <sz val="11"/>
            <color theme="1"/>
            <rFont val="Calibri"/>
            <family val="2"/>
            <scheme val="minor"/>
          </rPr>
          <t>Seleccionar un valor del listado</t>
        </r>
      </text>
    </comment>
    <comment ref="D616" authorId="1" shapeId="0" xr:uid="{00000000-0006-0000-0100-000058020000}">
      <text>
        <r>
          <rPr>
            <sz val="11"/>
            <color theme="1"/>
            <rFont val="Calibri"/>
            <family val="2"/>
            <scheme val="minor"/>
          </rPr>
          <t>Seleccione el tipo de procedimiento</t>
        </r>
      </text>
    </comment>
    <comment ref="E616" authorId="1" shapeId="0" xr:uid="{00000000-0006-0000-0100-000059020000}">
      <text>
        <r>
          <rPr>
            <sz val="11"/>
            <color theme="1"/>
            <rFont val="Calibri"/>
            <family val="2"/>
            <scheme val="minor"/>
          </rPr>
          <t>Seleccione un valor de la lista</t>
        </r>
      </text>
    </comment>
    <comment ref="F616" authorId="1" shapeId="0" xr:uid="{00000000-0006-0000-0100-00005A020000}">
      <text>
        <r>
          <rPr>
            <sz val="11"/>
            <color theme="1"/>
            <rFont val="Calibri"/>
            <family val="2"/>
            <scheme val="minor"/>
          </rPr>
          <t>Introduzca el código SNIP</t>
        </r>
      </text>
    </comment>
    <comment ref="C617" authorId="1" shapeId="0" xr:uid="{00000000-0006-0000-0100-00005B020000}">
      <text>
        <r>
          <rPr>
            <sz val="11"/>
            <color theme="1"/>
            <rFont val="Calibri"/>
            <family val="2"/>
            <scheme val="minor"/>
          </rPr>
          <t>Introduzca la fecha de inicio del proceso, en formato dd-mm-aaaa</t>
        </r>
      </text>
    </comment>
    <comment ref="F617" authorId="1" shapeId="0" xr:uid="{00000000-0006-0000-0100-00005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8" authorId="1" shapeId="0" xr:uid="{00000000-0006-0000-0100-00005E020000}">
      <text/>
    </comment>
    <comment ref="C619" authorId="1" shapeId="0" xr:uid="{00000000-0006-0000-0100-00005C020000}">
      <text>
        <r>
          <rPr>
            <sz val="11"/>
            <color theme="1"/>
            <rFont val="Calibri"/>
            <family val="2"/>
            <scheme val="minor"/>
          </rPr>
          <t>Introduzca la fecha prevista de adjudicación, en formato dd-mm-aaaa</t>
        </r>
      </text>
    </comment>
    <comment ref="F619" authorId="1" shapeId="0" xr:uid="{00000000-0006-0000-0100-00005F020000}">
      <text/>
    </comment>
    <comment ref="F620" authorId="1" shapeId="0" xr:uid="{00000000-0006-0000-0100-000060020000}">
      <text/>
    </comment>
    <comment ref="A622" authorId="1" shapeId="0" xr:uid="{00000000-0006-0000-0100-000061020000}">
      <text>
        <r>
          <rPr>
            <sz val="11"/>
            <color theme="1"/>
            <rFont val="Calibri"/>
            <family val="2"/>
            <scheme val="minor"/>
          </rPr>
          <t>Introduzca un codigo UNSPSC</t>
        </r>
      </text>
    </comment>
    <comment ref="B622" authorId="1" shapeId="0" xr:uid="{00000000-0006-0000-0100-000062020000}">
      <text>
        <r>
          <rPr>
            <sz val="11"/>
            <color theme="1"/>
            <rFont val="Calibri"/>
            <family val="2"/>
            <scheme val="minor"/>
          </rPr>
          <t>Descripción calculada automáticamente a partir de código del artículo</t>
        </r>
      </text>
    </comment>
    <comment ref="C622" authorId="1" shapeId="0" xr:uid="{00000000-0006-0000-0100-000063020000}">
      <text>
        <r>
          <rPr>
            <sz val="11"/>
            <color theme="1"/>
            <rFont val="Calibri"/>
            <family val="2"/>
            <scheme val="minor"/>
          </rPr>
          <t>Seleccione un valor de la lista</t>
        </r>
      </text>
    </comment>
    <comment ref="D622" authorId="1" shapeId="0" xr:uid="{00000000-0006-0000-0100-000064020000}">
      <text>
        <r>
          <rPr>
            <sz val="11"/>
            <color theme="1"/>
            <rFont val="Calibri"/>
            <family val="2"/>
            <scheme val="minor"/>
          </rPr>
          <t>Introduzca un número con dos decimales como máximo. Debe ser igual o mayor a la "Cantidad Real Consumida"</t>
        </r>
      </text>
    </comment>
    <comment ref="E622" authorId="1" shapeId="0" xr:uid="{00000000-0006-0000-0100-000065020000}">
      <text>
        <r>
          <rPr>
            <sz val="11"/>
            <color theme="1"/>
            <rFont val="Calibri"/>
            <family val="2"/>
            <scheme val="minor"/>
          </rPr>
          <t>Introduzca un número con dos decimales como máximo</t>
        </r>
      </text>
    </comment>
    <comment ref="F622" authorId="1" shapeId="0" xr:uid="{00000000-0006-0000-0100-000066020000}">
      <text>
        <r>
          <rPr>
            <sz val="11"/>
            <color theme="1"/>
            <rFont val="Calibri"/>
            <family val="2"/>
            <scheme val="minor"/>
          </rPr>
          <t>Monto calculado automáticamente por el sistema</t>
        </r>
      </text>
    </comment>
    <comment ref="A638" authorId="1" shapeId="0" xr:uid="{00000000-0006-0000-0100-000067020000}">
      <text>
        <r>
          <rPr>
            <sz val="11"/>
            <color theme="1"/>
            <rFont val="Calibri"/>
            <family val="2"/>
            <scheme val="minor"/>
          </rPr>
          <t>Introducir un texto con el nombre o referencia de la contratación</t>
        </r>
      </text>
    </comment>
    <comment ref="B638" authorId="1" shapeId="0" xr:uid="{00000000-0006-0000-0100-000068020000}">
      <text>
        <r>
          <rPr>
            <sz val="11"/>
            <color theme="1"/>
            <rFont val="Calibri"/>
            <family val="2"/>
            <scheme val="minor"/>
          </rPr>
          <t>Introduzca un texto con la finalidad de la contratación</t>
        </r>
      </text>
    </comment>
    <comment ref="C638" authorId="1" shapeId="0" xr:uid="{00000000-0006-0000-0100-000069020000}">
      <text>
        <r>
          <rPr>
            <sz val="11"/>
            <color theme="1"/>
            <rFont val="Calibri"/>
            <family val="2"/>
            <scheme val="minor"/>
          </rPr>
          <t>Seleccionar un valor del listado</t>
        </r>
      </text>
    </comment>
    <comment ref="D638" authorId="1" shapeId="0" xr:uid="{00000000-0006-0000-0100-00006A020000}">
      <text>
        <r>
          <rPr>
            <sz val="11"/>
            <color theme="1"/>
            <rFont val="Calibri"/>
            <family val="2"/>
            <scheme val="minor"/>
          </rPr>
          <t>Seleccione el tipo de procedimiento</t>
        </r>
      </text>
    </comment>
    <comment ref="E638" authorId="1" shapeId="0" xr:uid="{00000000-0006-0000-0100-00006B020000}">
      <text>
        <r>
          <rPr>
            <sz val="11"/>
            <color theme="1"/>
            <rFont val="Calibri"/>
            <family val="2"/>
            <scheme val="minor"/>
          </rPr>
          <t>Seleccione un valor de la lista</t>
        </r>
      </text>
    </comment>
    <comment ref="F638" authorId="1" shapeId="0" xr:uid="{00000000-0006-0000-0100-00006C020000}">
      <text>
        <r>
          <rPr>
            <sz val="11"/>
            <color theme="1"/>
            <rFont val="Calibri"/>
            <family val="2"/>
            <scheme val="minor"/>
          </rPr>
          <t>Introduzca el código SNIP</t>
        </r>
      </text>
    </comment>
    <comment ref="C639" authorId="1" shapeId="0" xr:uid="{00000000-0006-0000-0100-00006D020000}">
      <text>
        <r>
          <rPr>
            <sz val="11"/>
            <color theme="1"/>
            <rFont val="Calibri"/>
            <family val="2"/>
            <scheme val="minor"/>
          </rPr>
          <t>Introduzca la fecha de inicio del proceso, en formato dd-mm-aaaa</t>
        </r>
      </text>
    </comment>
    <comment ref="F639" authorId="1" shapeId="0" xr:uid="{00000000-0006-0000-0100-00006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0" authorId="1" shapeId="0" xr:uid="{00000000-0006-0000-0100-000070020000}">
      <text/>
    </comment>
    <comment ref="C641" authorId="1" shapeId="0" xr:uid="{00000000-0006-0000-0100-00006E020000}">
      <text>
        <r>
          <rPr>
            <sz val="11"/>
            <color theme="1"/>
            <rFont val="Calibri"/>
            <family val="2"/>
            <scheme val="minor"/>
          </rPr>
          <t>Introduzca la fecha prevista de adjudicación, en formato dd-mm-aaaa</t>
        </r>
      </text>
    </comment>
    <comment ref="F641" authorId="1" shapeId="0" xr:uid="{00000000-0006-0000-0100-000071020000}">
      <text/>
    </comment>
    <comment ref="F642" authorId="1" shapeId="0" xr:uid="{00000000-0006-0000-0100-000072020000}">
      <text/>
    </comment>
    <comment ref="A644" authorId="1" shapeId="0" xr:uid="{00000000-0006-0000-0100-000073020000}">
      <text>
        <r>
          <rPr>
            <sz val="11"/>
            <color theme="1"/>
            <rFont val="Calibri"/>
            <family val="2"/>
            <scheme val="minor"/>
          </rPr>
          <t>Introduzca un codigo UNSPSC</t>
        </r>
      </text>
    </comment>
    <comment ref="B644" authorId="1" shapeId="0" xr:uid="{00000000-0006-0000-0100-000074020000}">
      <text>
        <r>
          <rPr>
            <sz val="11"/>
            <color theme="1"/>
            <rFont val="Calibri"/>
            <family val="2"/>
            <scheme val="minor"/>
          </rPr>
          <t>Descripción calculada automáticamente a partir de código del artículo</t>
        </r>
      </text>
    </comment>
    <comment ref="C644" authorId="1" shapeId="0" xr:uid="{00000000-0006-0000-0100-000075020000}">
      <text>
        <r>
          <rPr>
            <sz val="11"/>
            <color theme="1"/>
            <rFont val="Calibri"/>
            <family val="2"/>
            <scheme val="minor"/>
          </rPr>
          <t>Seleccione un valor de la lista</t>
        </r>
      </text>
    </comment>
    <comment ref="D644" authorId="1" shapeId="0" xr:uid="{00000000-0006-0000-0100-000076020000}">
      <text>
        <r>
          <rPr>
            <sz val="11"/>
            <color theme="1"/>
            <rFont val="Calibri"/>
            <family val="2"/>
            <scheme val="minor"/>
          </rPr>
          <t>Introduzca un número con dos decimales como máximo. Debe ser igual o mayor a la "Cantidad Real Consumida"</t>
        </r>
      </text>
    </comment>
    <comment ref="E644" authorId="1" shapeId="0" xr:uid="{00000000-0006-0000-0100-000077020000}">
      <text>
        <r>
          <rPr>
            <sz val="11"/>
            <color theme="1"/>
            <rFont val="Calibri"/>
            <family val="2"/>
            <scheme val="minor"/>
          </rPr>
          <t>Introduzca un número con dos decimales como máximo</t>
        </r>
      </text>
    </comment>
    <comment ref="F644" authorId="1" shapeId="0" xr:uid="{00000000-0006-0000-0100-000078020000}">
      <text>
        <r>
          <rPr>
            <sz val="11"/>
            <color theme="1"/>
            <rFont val="Calibri"/>
            <family val="2"/>
            <scheme val="minor"/>
          </rPr>
          <t>Monto calculado automáticamente por el sistema</t>
        </r>
      </text>
    </comment>
    <comment ref="A656" authorId="1" shapeId="0" xr:uid="{00000000-0006-0000-0100-000079020000}">
      <text>
        <r>
          <rPr>
            <sz val="11"/>
            <color theme="1"/>
            <rFont val="Calibri"/>
            <family val="2"/>
            <scheme val="minor"/>
          </rPr>
          <t>Introducir un texto con el nombre o referencia de la contratación</t>
        </r>
      </text>
    </comment>
    <comment ref="B656" authorId="1" shapeId="0" xr:uid="{00000000-0006-0000-0100-00007A020000}">
      <text>
        <r>
          <rPr>
            <sz val="11"/>
            <color theme="1"/>
            <rFont val="Calibri"/>
            <family val="2"/>
            <scheme val="minor"/>
          </rPr>
          <t>Introduzca un texto con la finalidad de la contratación</t>
        </r>
      </text>
    </comment>
    <comment ref="C656" authorId="1" shapeId="0" xr:uid="{00000000-0006-0000-0100-00007B020000}">
      <text>
        <r>
          <rPr>
            <sz val="11"/>
            <color theme="1"/>
            <rFont val="Calibri"/>
            <family val="2"/>
            <scheme val="minor"/>
          </rPr>
          <t>Seleccionar un valor del listado</t>
        </r>
      </text>
    </comment>
    <comment ref="D656" authorId="1" shapeId="0" xr:uid="{00000000-0006-0000-0100-00007C020000}">
      <text>
        <r>
          <rPr>
            <sz val="11"/>
            <color theme="1"/>
            <rFont val="Calibri"/>
            <family val="2"/>
            <scheme val="minor"/>
          </rPr>
          <t>Seleccione el tipo de procedimiento</t>
        </r>
      </text>
    </comment>
    <comment ref="E656" authorId="1" shapeId="0" xr:uid="{00000000-0006-0000-0100-00007D020000}">
      <text>
        <r>
          <rPr>
            <sz val="11"/>
            <color theme="1"/>
            <rFont val="Calibri"/>
            <family val="2"/>
            <scheme val="minor"/>
          </rPr>
          <t>Seleccione un valor de la lista</t>
        </r>
      </text>
    </comment>
    <comment ref="F656" authorId="1" shapeId="0" xr:uid="{00000000-0006-0000-0100-00007E020000}">
      <text>
        <r>
          <rPr>
            <sz val="11"/>
            <color theme="1"/>
            <rFont val="Calibri"/>
            <family val="2"/>
            <scheme val="minor"/>
          </rPr>
          <t>Introduzca el código SNIP</t>
        </r>
      </text>
    </comment>
    <comment ref="C657" authorId="1" shapeId="0" xr:uid="{00000000-0006-0000-0100-00007F020000}">
      <text>
        <r>
          <rPr>
            <sz val="11"/>
            <color theme="1"/>
            <rFont val="Calibri"/>
            <family val="2"/>
            <scheme val="minor"/>
          </rPr>
          <t>Introduzca la fecha de inicio del proceso, en formato dd-mm-aaaa</t>
        </r>
      </text>
    </comment>
    <comment ref="F657" authorId="1" shapeId="0" xr:uid="{00000000-0006-0000-0100-000081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8" authorId="1" shapeId="0" xr:uid="{00000000-0006-0000-0100-000082020000}">
      <text/>
    </comment>
    <comment ref="C659" authorId="1" shapeId="0" xr:uid="{00000000-0006-0000-0100-000080020000}">
      <text>
        <r>
          <rPr>
            <sz val="11"/>
            <color theme="1"/>
            <rFont val="Calibri"/>
            <family val="2"/>
            <scheme val="minor"/>
          </rPr>
          <t>Introduzca la fecha prevista de adjudicación, en formato dd-mm-aaaa</t>
        </r>
      </text>
    </comment>
    <comment ref="F659" authorId="1" shapeId="0" xr:uid="{00000000-0006-0000-0100-000083020000}">
      <text/>
    </comment>
    <comment ref="F660" authorId="1" shapeId="0" xr:uid="{00000000-0006-0000-0100-000084020000}">
      <text/>
    </comment>
    <comment ref="A662" authorId="1" shapeId="0" xr:uid="{00000000-0006-0000-0100-000085020000}">
      <text>
        <r>
          <rPr>
            <sz val="11"/>
            <color theme="1"/>
            <rFont val="Calibri"/>
            <family val="2"/>
            <scheme val="minor"/>
          </rPr>
          <t>Introduzca un codigo UNSPSC</t>
        </r>
      </text>
    </comment>
    <comment ref="B662" authorId="1" shapeId="0" xr:uid="{00000000-0006-0000-0100-000086020000}">
      <text>
        <r>
          <rPr>
            <sz val="11"/>
            <color theme="1"/>
            <rFont val="Calibri"/>
            <family val="2"/>
            <scheme val="minor"/>
          </rPr>
          <t>Descripción calculada automáticamente a partir de código del artículo</t>
        </r>
      </text>
    </comment>
    <comment ref="C662" authorId="1" shapeId="0" xr:uid="{00000000-0006-0000-0100-000087020000}">
      <text>
        <r>
          <rPr>
            <sz val="11"/>
            <color theme="1"/>
            <rFont val="Calibri"/>
            <family val="2"/>
            <scheme val="minor"/>
          </rPr>
          <t>Seleccione un valor de la lista</t>
        </r>
      </text>
    </comment>
    <comment ref="D662" authorId="1" shapeId="0" xr:uid="{00000000-0006-0000-0100-000088020000}">
      <text>
        <r>
          <rPr>
            <sz val="11"/>
            <color theme="1"/>
            <rFont val="Calibri"/>
            <family val="2"/>
            <scheme val="minor"/>
          </rPr>
          <t>Introduzca un número con dos decimales como máximo. Debe ser igual o mayor a la "Cantidad Real Consumida"</t>
        </r>
      </text>
    </comment>
    <comment ref="E662" authorId="1" shapeId="0" xr:uid="{00000000-0006-0000-0100-000089020000}">
      <text>
        <r>
          <rPr>
            <sz val="11"/>
            <color theme="1"/>
            <rFont val="Calibri"/>
            <family val="2"/>
            <scheme val="minor"/>
          </rPr>
          <t>Introduzca un número con dos decimales como máximo</t>
        </r>
      </text>
    </comment>
    <comment ref="F662" authorId="1" shapeId="0" xr:uid="{00000000-0006-0000-0100-00008A020000}">
      <text>
        <r>
          <rPr>
            <sz val="11"/>
            <color theme="1"/>
            <rFont val="Calibri"/>
            <family val="2"/>
            <scheme val="minor"/>
          </rPr>
          <t>Monto calculado automáticamente por el sistema</t>
        </r>
      </text>
    </comment>
    <comment ref="A667" authorId="1" shapeId="0" xr:uid="{00000000-0006-0000-0100-00008B020000}">
      <text>
        <r>
          <rPr>
            <sz val="11"/>
            <color theme="1"/>
            <rFont val="Calibri"/>
            <family val="2"/>
            <scheme val="minor"/>
          </rPr>
          <t>Introducir un texto con el nombre o referencia de la contratación</t>
        </r>
      </text>
    </comment>
    <comment ref="B667" authorId="1" shapeId="0" xr:uid="{00000000-0006-0000-0100-00008C020000}">
      <text>
        <r>
          <rPr>
            <sz val="11"/>
            <color theme="1"/>
            <rFont val="Calibri"/>
            <family val="2"/>
            <scheme val="minor"/>
          </rPr>
          <t>Introduzca un texto con la finalidad de la contratación</t>
        </r>
      </text>
    </comment>
    <comment ref="C667" authorId="1" shapeId="0" xr:uid="{00000000-0006-0000-0100-00008D020000}">
      <text>
        <r>
          <rPr>
            <sz val="11"/>
            <color theme="1"/>
            <rFont val="Calibri"/>
            <family val="2"/>
            <scheme val="minor"/>
          </rPr>
          <t>Seleccionar un valor del listado</t>
        </r>
      </text>
    </comment>
    <comment ref="D667" authorId="1" shapeId="0" xr:uid="{00000000-0006-0000-0100-00008E020000}">
      <text>
        <r>
          <rPr>
            <sz val="11"/>
            <color theme="1"/>
            <rFont val="Calibri"/>
            <family val="2"/>
            <scheme val="minor"/>
          </rPr>
          <t>Seleccione el tipo de procedimiento</t>
        </r>
      </text>
    </comment>
    <comment ref="E667" authorId="1" shapeId="0" xr:uid="{00000000-0006-0000-0100-00008F020000}">
      <text>
        <r>
          <rPr>
            <sz val="11"/>
            <color theme="1"/>
            <rFont val="Calibri"/>
            <family val="2"/>
            <scheme val="minor"/>
          </rPr>
          <t>Seleccione un valor de la lista</t>
        </r>
      </text>
    </comment>
    <comment ref="F667" authorId="1" shapeId="0" xr:uid="{00000000-0006-0000-0100-000090020000}">
      <text>
        <r>
          <rPr>
            <sz val="11"/>
            <color theme="1"/>
            <rFont val="Calibri"/>
            <family val="2"/>
            <scheme val="minor"/>
          </rPr>
          <t>Introduzca el código SNIP</t>
        </r>
      </text>
    </comment>
    <comment ref="C668" authorId="1" shapeId="0" xr:uid="{00000000-0006-0000-0100-000091020000}">
      <text>
        <r>
          <rPr>
            <sz val="11"/>
            <color theme="1"/>
            <rFont val="Calibri"/>
            <family val="2"/>
            <scheme val="minor"/>
          </rPr>
          <t>Introduzca la fecha de inicio del proceso, en formato dd-mm-aaaa</t>
        </r>
      </text>
    </comment>
    <comment ref="F668" authorId="1" shapeId="0" xr:uid="{00000000-0006-0000-0100-00009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9" authorId="1" shapeId="0" xr:uid="{00000000-0006-0000-0100-000094020000}">
      <text/>
    </comment>
    <comment ref="C670" authorId="1" shapeId="0" xr:uid="{00000000-0006-0000-0100-000092020000}">
      <text>
        <r>
          <rPr>
            <sz val="11"/>
            <color theme="1"/>
            <rFont val="Calibri"/>
            <family val="2"/>
            <scheme val="minor"/>
          </rPr>
          <t>Introduzca la fecha prevista de adjudicación, en formato dd-mm-aaaa</t>
        </r>
      </text>
    </comment>
    <comment ref="F670" authorId="1" shapeId="0" xr:uid="{00000000-0006-0000-0100-000095020000}">
      <text/>
    </comment>
    <comment ref="F671" authorId="1" shapeId="0" xr:uid="{00000000-0006-0000-0100-000096020000}">
      <text/>
    </comment>
    <comment ref="A673" authorId="1" shapeId="0" xr:uid="{00000000-0006-0000-0100-000097020000}">
      <text>
        <r>
          <rPr>
            <sz val="11"/>
            <color theme="1"/>
            <rFont val="Calibri"/>
            <family val="2"/>
            <scheme val="minor"/>
          </rPr>
          <t>Introduzca un codigo UNSPSC</t>
        </r>
      </text>
    </comment>
    <comment ref="B673" authorId="1" shapeId="0" xr:uid="{00000000-0006-0000-0100-000098020000}">
      <text>
        <r>
          <rPr>
            <sz val="11"/>
            <color theme="1"/>
            <rFont val="Calibri"/>
            <family val="2"/>
            <scheme val="minor"/>
          </rPr>
          <t>Descripción calculada automáticamente a partir de código del artículo</t>
        </r>
      </text>
    </comment>
    <comment ref="C673" authorId="1" shapeId="0" xr:uid="{00000000-0006-0000-0100-000099020000}">
      <text>
        <r>
          <rPr>
            <sz val="11"/>
            <color theme="1"/>
            <rFont val="Calibri"/>
            <family val="2"/>
            <scheme val="minor"/>
          </rPr>
          <t>Seleccione un valor de la lista</t>
        </r>
      </text>
    </comment>
    <comment ref="D673" authorId="1" shapeId="0" xr:uid="{00000000-0006-0000-0100-00009A020000}">
      <text>
        <r>
          <rPr>
            <sz val="11"/>
            <color theme="1"/>
            <rFont val="Calibri"/>
            <family val="2"/>
            <scheme val="minor"/>
          </rPr>
          <t>Introduzca un número con dos decimales como máximo. Debe ser igual o mayor a la "Cantidad Real Consumida"</t>
        </r>
      </text>
    </comment>
    <comment ref="E673" authorId="1" shapeId="0" xr:uid="{00000000-0006-0000-0100-00009B020000}">
      <text>
        <r>
          <rPr>
            <sz val="11"/>
            <color theme="1"/>
            <rFont val="Calibri"/>
            <family val="2"/>
            <scheme val="minor"/>
          </rPr>
          <t>Introduzca un número con dos decimales como máximo</t>
        </r>
      </text>
    </comment>
    <comment ref="F673" authorId="1" shapeId="0" xr:uid="{00000000-0006-0000-0100-00009C020000}">
      <text>
        <r>
          <rPr>
            <sz val="11"/>
            <color theme="1"/>
            <rFont val="Calibri"/>
            <family val="2"/>
            <scheme val="minor"/>
          </rPr>
          <t>Monto calculado automáticamente por el sistema</t>
        </r>
      </text>
    </comment>
    <comment ref="A678" authorId="1" shapeId="0" xr:uid="{00000000-0006-0000-0100-00009D020000}">
      <text>
        <r>
          <rPr>
            <sz val="11"/>
            <color theme="1"/>
            <rFont val="Calibri"/>
            <family val="2"/>
            <scheme val="minor"/>
          </rPr>
          <t>Introducir un texto con el nombre o referencia de la contratación</t>
        </r>
      </text>
    </comment>
    <comment ref="B678" authorId="1" shapeId="0" xr:uid="{00000000-0006-0000-0100-00009E020000}">
      <text>
        <r>
          <rPr>
            <sz val="11"/>
            <color theme="1"/>
            <rFont val="Calibri"/>
            <family val="2"/>
            <scheme val="minor"/>
          </rPr>
          <t>Introduzca un texto con la finalidad de la contratación</t>
        </r>
      </text>
    </comment>
    <comment ref="C678" authorId="1" shapeId="0" xr:uid="{00000000-0006-0000-0100-00009F020000}">
      <text>
        <r>
          <rPr>
            <sz val="11"/>
            <color theme="1"/>
            <rFont val="Calibri"/>
            <family val="2"/>
            <scheme val="minor"/>
          </rPr>
          <t>Seleccionar un valor del listado</t>
        </r>
      </text>
    </comment>
    <comment ref="D678" authorId="1" shapeId="0" xr:uid="{00000000-0006-0000-0100-0000A0020000}">
      <text>
        <r>
          <rPr>
            <sz val="11"/>
            <color theme="1"/>
            <rFont val="Calibri"/>
            <family val="2"/>
            <scheme val="minor"/>
          </rPr>
          <t>Seleccione el tipo de procedimiento</t>
        </r>
      </text>
    </comment>
    <comment ref="E678" authorId="1" shapeId="0" xr:uid="{00000000-0006-0000-0100-0000A1020000}">
      <text>
        <r>
          <rPr>
            <sz val="11"/>
            <color theme="1"/>
            <rFont val="Calibri"/>
            <family val="2"/>
            <scheme val="minor"/>
          </rPr>
          <t>Seleccione un valor de la lista</t>
        </r>
      </text>
    </comment>
    <comment ref="F678" authorId="1" shapeId="0" xr:uid="{00000000-0006-0000-0100-0000A2020000}">
      <text>
        <r>
          <rPr>
            <sz val="11"/>
            <color theme="1"/>
            <rFont val="Calibri"/>
            <family val="2"/>
            <scheme val="minor"/>
          </rPr>
          <t>Introduzca el código SNIP</t>
        </r>
      </text>
    </comment>
    <comment ref="C679" authorId="1" shapeId="0" xr:uid="{00000000-0006-0000-0100-0000A3020000}">
      <text>
        <r>
          <rPr>
            <sz val="11"/>
            <color theme="1"/>
            <rFont val="Calibri"/>
            <family val="2"/>
            <scheme val="minor"/>
          </rPr>
          <t>Introduzca la fecha de inicio del proceso, en formato dd-mm-aaaa</t>
        </r>
      </text>
    </comment>
    <comment ref="F679" authorId="1" shapeId="0" xr:uid="{00000000-0006-0000-0100-0000A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0" authorId="1" shapeId="0" xr:uid="{00000000-0006-0000-0100-0000A6020000}">
      <text/>
    </comment>
    <comment ref="C681" authorId="1" shapeId="0" xr:uid="{00000000-0006-0000-0100-0000A4020000}">
      <text>
        <r>
          <rPr>
            <sz val="11"/>
            <color theme="1"/>
            <rFont val="Calibri"/>
            <family val="2"/>
            <scheme val="minor"/>
          </rPr>
          <t>Introduzca la fecha prevista de adjudicación, en formato dd-mm-aaaa</t>
        </r>
      </text>
    </comment>
    <comment ref="F681" authorId="1" shapeId="0" xr:uid="{00000000-0006-0000-0100-0000A7020000}">
      <text/>
    </comment>
    <comment ref="F682" authorId="1" shapeId="0" xr:uid="{00000000-0006-0000-0100-0000A8020000}">
      <text/>
    </comment>
    <comment ref="A684" authorId="1" shapeId="0" xr:uid="{00000000-0006-0000-0100-0000A9020000}">
      <text>
        <r>
          <rPr>
            <sz val="11"/>
            <color theme="1"/>
            <rFont val="Calibri"/>
            <family val="2"/>
            <scheme val="minor"/>
          </rPr>
          <t>Introduzca un codigo UNSPSC</t>
        </r>
      </text>
    </comment>
    <comment ref="B684" authorId="1" shapeId="0" xr:uid="{00000000-0006-0000-0100-0000AA020000}">
      <text>
        <r>
          <rPr>
            <sz val="11"/>
            <color theme="1"/>
            <rFont val="Calibri"/>
            <family val="2"/>
            <scheme val="minor"/>
          </rPr>
          <t>Descripción calculada automáticamente a partir de código del artículo</t>
        </r>
      </text>
    </comment>
    <comment ref="C684" authorId="1" shapeId="0" xr:uid="{00000000-0006-0000-0100-0000AB020000}">
      <text>
        <r>
          <rPr>
            <sz val="11"/>
            <color theme="1"/>
            <rFont val="Calibri"/>
            <family val="2"/>
            <scheme val="minor"/>
          </rPr>
          <t>Seleccione un valor de la lista</t>
        </r>
      </text>
    </comment>
    <comment ref="D684" authorId="1" shapeId="0" xr:uid="{00000000-0006-0000-0100-0000AC020000}">
      <text>
        <r>
          <rPr>
            <sz val="11"/>
            <color theme="1"/>
            <rFont val="Calibri"/>
            <family val="2"/>
            <scheme val="minor"/>
          </rPr>
          <t>Introduzca un número con dos decimales como máximo. Debe ser igual o mayor a la "Cantidad Real Consumida"</t>
        </r>
      </text>
    </comment>
    <comment ref="E684" authorId="1" shapeId="0" xr:uid="{00000000-0006-0000-0100-0000AD020000}">
      <text>
        <r>
          <rPr>
            <sz val="11"/>
            <color theme="1"/>
            <rFont val="Calibri"/>
            <family val="2"/>
            <scheme val="minor"/>
          </rPr>
          <t>Introduzca un número con dos decimales como máximo</t>
        </r>
      </text>
    </comment>
    <comment ref="F684" authorId="1" shapeId="0" xr:uid="{00000000-0006-0000-0100-0000AE020000}">
      <text>
        <r>
          <rPr>
            <sz val="11"/>
            <color theme="1"/>
            <rFont val="Calibri"/>
            <family val="2"/>
            <scheme val="minor"/>
          </rPr>
          <t>Monto calculado automáticamente por el sistema</t>
        </r>
      </text>
    </comment>
    <comment ref="A690" authorId="1" shapeId="0" xr:uid="{00000000-0006-0000-0100-0000AF020000}">
      <text>
        <r>
          <rPr>
            <sz val="11"/>
            <color theme="1"/>
            <rFont val="Calibri"/>
            <family val="2"/>
            <scheme val="minor"/>
          </rPr>
          <t>Introducir un texto con el nombre o referencia de la contratación</t>
        </r>
      </text>
    </comment>
    <comment ref="B690" authorId="1" shapeId="0" xr:uid="{00000000-0006-0000-0100-0000B0020000}">
      <text>
        <r>
          <rPr>
            <sz val="11"/>
            <color theme="1"/>
            <rFont val="Calibri"/>
            <family val="2"/>
            <scheme val="minor"/>
          </rPr>
          <t>Introduzca un texto con la finalidad de la contratación</t>
        </r>
      </text>
    </comment>
    <comment ref="C690" authorId="1" shapeId="0" xr:uid="{00000000-0006-0000-0100-0000B1020000}">
      <text>
        <r>
          <rPr>
            <sz val="11"/>
            <color theme="1"/>
            <rFont val="Calibri"/>
            <family val="2"/>
            <scheme val="minor"/>
          </rPr>
          <t>Seleccionar un valor del listado</t>
        </r>
      </text>
    </comment>
    <comment ref="D690" authorId="1" shapeId="0" xr:uid="{00000000-0006-0000-0100-0000B2020000}">
      <text>
        <r>
          <rPr>
            <sz val="11"/>
            <color theme="1"/>
            <rFont val="Calibri"/>
            <family val="2"/>
            <scheme val="minor"/>
          </rPr>
          <t>Seleccione el tipo de procedimiento</t>
        </r>
      </text>
    </comment>
    <comment ref="E690" authorId="1" shapeId="0" xr:uid="{00000000-0006-0000-0100-0000B3020000}">
      <text>
        <r>
          <rPr>
            <sz val="11"/>
            <color theme="1"/>
            <rFont val="Calibri"/>
            <family val="2"/>
            <scheme val="minor"/>
          </rPr>
          <t>Seleccione un valor de la lista</t>
        </r>
      </text>
    </comment>
    <comment ref="F690" authorId="1" shapeId="0" xr:uid="{00000000-0006-0000-0100-0000B4020000}">
      <text>
        <r>
          <rPr>
            <sz val="11"/>
            <color theme="1"/>
            <rFont val="Calibri"/>
            <family val="2"/>
            <scheme val="minor"/>
          </rPr>
          <t>Introduzca el código SNIP</t>
        </r>
      </text>
    </comment>
    <comment ref="C691" authorId="1" shapeId="0" xr:uid="{00000000-0006-0000-0100-0000B5020000}">
      <text>
        <r>
          <rPr>
            <sz val="11"/>
            <color theme="1"/>
            <rFont val="Calibri"/>
            <family val="2"/>
            <scheme val="minor"/>
          </rPr>
          <t>Introduzca la fecha de inicio del proceso, en formato dd-mm-aaaa</t>
        </r>
      </text>
    </comment>
    <comment ref="F691" authorId="1" shapeId="0" xr:uid="{00000000-0006-0000-0100-0000B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2" authorId="1" shapeId="0" xr:uid="{00000000-0006-0000-0100-0000B8020000}">
      <text/>
    </comment>
    <comment ref="C693" authorId="1" shapeId="0" xr:uid="{00000000-0006-0000-0100-0000B6020000}">
      <text>
        <r>
          <rPr>
            <sz val="11"/>
            <color theme="1"/>
            <rFont val="Calibri"/>
            <family val="2"/>
            <scheme val="minor"/>
          </rPr>
          <t>Introduzca la fecha prevista de adjudicación, en formato dd-mm-aaaa</t>
        </r>
      </text>
    </comment>
    <comment ref="F693" authorId="1" shapeId="0" xr:uid="{00000000-0006-0000-0100-0000B9020000}">
      <text/>
    </comment>
    <comment ref="F694" authorId="1" shapeId="0" xr:uid="{00000000-0006-0000-0100-0000BA020000}">
      <text/>
    </comment>
    <comment ref="A696" authorId="1" shapeId="0" xr:uid="{00000000-0006-0000-0100-0000BB020000}">
      <text>
        <r>
          <rPr>
            <sz val="11"/>
            <color theme="1"/>
            <rFont val="Calibri"/>
            <family val="2"/>
            <scheme val="minor"/>
          </rPr>
          <t>Introduzca un codigo UNSPSC</t>
        </r>
      </text>
    </comment>
    <comment ref="B696" authorId="1" shapeId="0" xr:uid="{00000000-0006-0000-0100-0000BC020000}">
      <text>
        <r>
          <rPr>
            <sz val="11"/>
            <color theme="1"/>
            <rFont val="Calibri"/>
            <family val="2"/>
            <scheme val="minor"/>
          </rPr>
          <t>Descripción calculada automáticamente a partir de código del artículo</t>
        </r>
      </text>
    </comment>
    <comment ref="C696" authorId="1" shapeId="0" xr:uid="{00000000-0006-0000-0100-0000BD020000}">
      <text>
        <r>
          <rPr>
            <sz val="11"/>
            <color theme="1"/>
            <rFont val="Calibri"/>
            <family val="2"/>
            <scheme val="minor"/>
          </rPr>
          <t>Seleccione un valor de la lista</t>
        </r>
      </text>
    </comment>
    <comment ref="D696" authorId="1" shapeId="0" xr:uid="{00000000-0006-0000-0100-0000BE020000}">
      <text>
        <r>
          <rPr>
            <sz val="11"/>
            <color theme="1"/>
            <rFont val="Calibri"/>
            <family val="2"/>
            <scheme val="minor"/>
          </rPr>
          <t>Introduzca un número con dos decimales como máximo. Debe ser igual o mayor a la "Cantidad Real Consumida"</t>
        </r>
      </text>
    </comment>
    <comment ref="E696" authorId="1" shapeId="0" xr:uid="{00000000-0006-0000-0100-0000BF020000}">
      <text>
        <r>
          <rPr>
            <sz val="11"/>
            <color theme="1"/>
            <rFont val="Calibri"/>
            <family val="2"/>
            <scheme val="minor"/>
          </rPr>
          <t>Introduzca un número con dos decimales como máximo</t>
        </r>
      </text>
    </comment>
    <comment ref="F696" authorId="1" shapeId="0" xr:uid="{00000000-0006-0000-0100-0000C0020000}">
      <text>
        <r>
          <rPr>
            <sz val="11"/>
            <color theme="1"/>
            <rFont val="Calibri"/>
            <family val="2"/>
            <scheme val="minor"/>
          </rPr>
          <t>Monto calculado automáticamente por el sistema</t>
        </r>
      </text>
    </comment>
    <comment ref="A702" authorId="1" shapeId="0" xr:uid="{00000000-0006-0000-0100-0000C1020000}">
      <text>
        <r>
          <rPr>
            <sz val="11"/>
            <color theme="1"/>
            <rFont val="Calibri"/>
            <family val="2"/>
            <scheme val="minor"/>
          </rPr>
          <t>Introducir un texto con el nombre o referencia de la contratación</t>
        </r>
      </text>
    </comment>
    <comment ref="B702" authorId="1" shapeId="0" xr:uid="{00000000-0006-0000-0100-0000C2020000}">
      <text>
        <r>
          <rPr>
            <sz val="11"/>
            <color theme="1"/>
            <rFont val="Calibri"/>
            <family val="2"/>
            <scheme val="minor"/>
          </rPr>
          <t>Introduzca un texto con la finalidad de la contratación</t>
        </r>
      </text>
    </comment>
    <comment ref="C702" authorId="1" shapeId="0" xr:uid="{00000000-0006-0000-0100-0000C3020000}">
      <text>
        <r>
          <rPr>
            <sz val="11"/>
            <color theme="1"/>
            <rFont val="Calibri"/>
            <family val="2"/>
            <scheme val="minor"/>
          </rPr>
          <t>Seleccionar un valor del listado</t>
        </r>
      </text>
    </comment>
    <comment ref="D702" authorId="1" shapeId="0" xr:uid="{00000000-0006-0000-0100-0000C4020000}">
      <text>
        <r>
          <rPr>
            <sz val="11"/>
            <color theme="1"/>
            <rFont val="Calibri"/>
            <family val="2"/>
            <scheme val="minor"/>
          </rPr>
          <t>Seleccione el tipo de procedimiento</t>
        </r>
      </text>
    </comment>
    <comment ref="E702" authorId="1" shapeId="0" xr:uid="{00000000-0006-0000-0100-0000C5020000}">
      <text>
        <r>
          <rPr>
            <sz val="11"/>
            <color theme="1"/>
            <rFont val="Calibri"/>
            <family val="2"/>
            <scheme val="minor"/>
          </rPr>
          <t>Seleccione un valor de la lista</t>
        </r>
      </text>
    </comment>
    <comment ref="F702" authorId="1" shapeId="0" xr:uid="{00000000-0006-0000-0100-0000C6020000}">
      <text>
        <r>
          <rPr>
            <sz val="11"/>
            <color theme="1"/>
            <rFont val="Calibri"/>
            <family val="2"/>
            <scheme val="minor"/>
          </rPr>
          <t>Introduzca el código SNIP</t>
        </r>
      </text>
    </comment>
    <comment ref="C703" authorId="1" shapeId="0" xr:uid="{00000000-0006-0000-0100-0000C7020000}">
      <text>
        <r>
          <rPr>
            <sz val="11"/>
            <color theme="1"/>
            <rFont val="Calibri"/>
            <family val="2"/>
            <scheme val="minor"/>
          </rPr>
          <t>Introduzca la fecha de inicio del proceso, en formato dd-mm-aaaa</t>
        </r>
      </text>
    </comment>
    <comment ref="F703" authorId="1" shapeId="0" xr:uid="{00000000-0006-0000-0100-0000C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4" authorId="1" shapeId="0" xr:uid="{00000000-0006-0000-0100-0000CA020000}">
      <text/>
    </comment>
    <comment ref="C705" authorId="1" shapeId="0" xr:uid="{00000000-0006-0000-0100-0000C8020000}">
      <text>
        <r>
          <rPr>
            <sz val="11"/>
            <color theme="1"/>
            <rFont val="Calibri"/>
            <family val="2"/>
            <scheme val="minor"/>
          </rPr>
          <t>Introduzca la fecha prevista de adjudicación, en formato dd-mm-aaaa</t>
        </r>
      </text>
    </comment>
    <comment ref="F705" authorId="1" shapeId="0" xr:uid="{00000000-0006-0000-0100-0000CB020000}">
      <text/>
    </comment>
    <comment ref="F706" authorId="1" shapeId="0" xr:uid="{00000000-0006-0000-0100-0000CC020000}">
      <text/>
    </comment>
    <comment ref="A708" authorId="1" shapeId="0" xr:uid="{00000000-0006-0000-0100-0000CD020000}">
      <text>
        <r>
          <rPr>
            <sz val="11"/>
            <color theme="1"/>
            <rFont val="Calibri"/>
            <family val="2"/>
            <scheme val="minor"/>
          </rPr>
          <t>Introduzca un codigo UNSPSC</t>
        </r>
      </text>
    </comment>
    <comment ref="B708" authorId="1" shapeId="0" xr:uid="{00000000-0006-0000-0100-0000CE020000}">
      <text>
        <r>
          <rPr>
            <sz val="11"/>
            <color theme="1"/>
            <rFont val="Calibri"/>
            <family val="2"/>
            <scheme val="minor"/>
          </rPr>
          <t>Descripción calculada automáticamente a partir de código del artículo</t>
        </r>
      </text>
    </comment>
    <comment ref="C708" authorId="1" shapeId="0" xr:uid="{00000000-0006-0000-0100-0000CF020000}">
      <text>
        <r>
          <rPr>
            <sz val="11"/>
            <color theme="1"/>
            <rFont val="Calibri"/>
            <family val="2"/>
            <scheme val="minor"/>
          </rPr>
          <t>Seleccione un valor de la lista</t>
        </r>
      </text>
    </comment>
    <comment ref="D708" authorId="1" shapeId="0" xr:uid="{00000000-0006-0000-0100-0000D0020000}">
      <text>
        <r>
          <rPr>
            <sz val="11"/>
            <color theme="1"/>
            <rFont val="Calibri"/>
            <family val="2"/>
            <scheme val="minor"/>
          </rPr>
          <t>Introduzca un número con dos decimales como máximo. Debe ser igual o mayor a la "Cantidad Real Consumida"</t>
        </r>
      </text>
    </comment>
    <comment ref="E708" authorId="1" shapeId="0" xr:uid="{00000000-0006-0000-0100-0000D1020000}">
      <text>
        <r>
          <rPr>
            <sz val="11"/>
            <color theme="1"/>
            <rFont val="Calibri"/>
            <family val="2"/>
            <scheme val="minor"/>
          </rPr>
          <t>Introduzca un número con dos decimales como máximo</t>
        </r>
      </text>
    </comment>
    <comment ref="F708" authorId="1" shapeId="0" xr:uid="{00000000-0006-0000-0100-0000D2020000}">
      <text>
        <r>
          <rPr>
            <sz val="11"/>
            <color theme="1"/>
            <rFont val="Calibri"/>
            <family val="2"/>
            <scheme val="minor"/>
          </rPr>
          <t>Monto calculado automáticamente por el sistema</t>
        </r>
      </text>
    </comment>
    <comment ref="A715" authorId="1" shapeId="0" xr:uid="{00000000-0006-0000-0100-0000D3020000}">
      <text>
        <r>
          <rPr>
            <sz val="11"/>
            <color theme="1"/>
            <rFont val="Calibri"/>
            <family val="2"/>
            <scheme val="minor"/>
          </rPr>
          <t>Introducir un texto con el nombre o referencia de la contratación</t>
        </r>
      </text>
    </comment>
    <comment ref="B715" authorId="1" shapeId="0" xr:uid="{00000000-0006-0000-0100-0000D4020000}">
      <text>
        <r>
          <rPr>
            <sz val="11"/>
            <color theme="1"/>
            <rFont val="Calibri"/>
            <family val="2"/>
            <scheme val="minor"/>
          </rPr>
          <t>Introduzca un texto con la finalidad de la contratación</t>
        </r>
      </text>
    </comment>
    <comment ref="C715" authorId="1" shapeId="0" xr:uid="{00000000-0006-0000-0100-0000D5020000}">
      <text>
        <r>
          <rPr>
            <sz val="11"/>
            <color theme="1"/>
            <rFont val="Calibri"/>
            <family val="2"/>
            <scheme val="minor"/>
          </rPr>
          <t>Seleccionar un valor del listado</t>
        </r>
      </text>
    </comment>
    <comment ref="D715" authorId="1" shapeId="0" xr:uid="{00000000-0006-0000-0100-0000D6020000}">
      <text>
        <r>
          <rPr>
            <sz val="11"/>
            <color theme="1"/>
            <rFont val="Calibri"/>
            <family val="2"/>
            <scheme val="minor"/>
          </rPr>
          <t>Seleccione el tipo de procedimiento</t>
        </r>
      </text>
    </comment>
    <comment ref="E715" authorId="1" shapeId="0" xr:uid="{00000000-0006-0000-0100-0000D7020000}">
      <text>
        <r>
          <rPr>
            <sz val="11"/>
            <color theme="1"/>
            <rFont val="Calibri"/>
            <family val="2"/>
            <scheme val="minor"/>
          </rPr>
          <t>Seleccione un valor de la lista</t>
        </r>
      </text>
    </comment>
    <comment ref="F715" authorId="1" shapeId="0" xr:uid="{00000000-0006-0000-0100-0000D8020000}">
      <text>
        <r>
          <rPr>
            <sz val="11"/>
            <color theme="1"/>
            <rFont val="Calibri"/>
            <family val="2"/>
            <scheme val="minor"/>
          </rPr>
          <t>Introduzca el código SNIP</t>
        </r>
      </text>
    </comment>
    <comment ref="C716" authorId="1" shapeId="0" xr:uid="{00000000-0006-0000-0100-0000D9020000}">
      <text>
        <r>
          <rPr>
            <sz val="11"/>
            <color theme="1"/>
            <rFont val="Calibri"/>
            <family val="2"/>
            <scheme val="minor"/>
          </rPr>
          <t>Introduzca la fecha de inicio del proceso, en formato dd-mm-aaaa</t>
        </r>
      </text>
    </comment>
    <comment ref="F716" authorId="1" shapeId="0" xr:uid="{00000000-0006-0000-0100-0000D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7" authorId="1" shapeId="0" xr:uid="{00000000-0006-0000-0100-0000DC020000}">
      <text/>
    </comment>
    <comment ref="C718" authorId="1" shapeId="0" xr:uid="{00000000-0006-0000-0100-0000DA020000}">
      <text>
        <r>
          <rPr>
            <sz val="11"/>
            <color theme="1"/>
            <rFont val="Calibri"/>
            <family val="2"/>
            <scheme val="minor"/>
          </rPr>
          <t>Introduzca la fecha prevista de adjudicación, en formato dd-mm-aaaa</t>
        </r>
      </text>
    </comment>
    <comment ref="F718" authorId="1" shapeId="0" xr:uid="{00000000-0006-0000-0100-0000DD020000}">
      <text/>
    </comment>
    <comment ref="F719" authorId="1" shapeId="0" xr:uid="{00000000-0006-0000-0100-0000DE020000}">
      <text/>
    </comment>
    <comment ref="A721" authorId="1" shapeId="0" xr:uid="{00000000-0006-0000-0100-0000DF020000}">
      <text>
        <r>
          <rPr>
            <sz val="11"/>
            <color theme="1"/>
            <rFont val="Calibri"/>
            <family val="2"/>
            <scheme val="minor"/>
          </rPr>
          <t>Introduzca un codigo UNSPSC</t>
        </r>
      </text>
    </comment>
    <comment ref="B721" authorId="1" shapeId="0" xr:uid="{00000000-0006-0000-0100-0000E0020000}">
      <text>
        <r>
          <rPr>
            <sz val="11"/>
            <color theme="1"/>
            <rFont val="Calibri"/>
            <family val="2"/>
            <scheme val="minor"/>
          </rPr>
          <t>Descripción calculada automáticamente a partir de código del artículo</t>
        </r>
      </text>
    </comment>
    <comment ref="C721" authorId="1" shapeId="0" xr:uid="{00000000-0006-0000-0100-0000E1020000}">
      <text>
        <r>
          <rPr>
            <sz val="11"/>
            <color theme="1"/>
            <rFont val="Calibri"/>
            <family val="2"/>
            <scheme val="minor"/>
          </rPr>
          <t>Seleccione un valor de la lista</t>
        </r>
      </text>
    </comment>
    <comment ref="D721" authorId="1" shapeId="0" xr:uid="{00000000-0006-0000-0100-0000E2020000}">
      <text>
        <r>
          <rPr>
            <sz val="11"/>
            <color theme="1"/>
            <rFont val="Calibri"/>
            <family val="2"/>
            <scheme val="minor"/>
          </rPr>
          <t>Introduzca un número con dos decimales como máximo. Debe ser igual o mayor a la "Cantidad Real Consumida"</t>
        </r>
      </text>
    </comment>
    <comment ref="E721" authorId="1" shapeId="0" xr:uid="{00000000-0006-0000-0100-0000E3020000}">
      <text>
        <r>
          <rPr>
            <sz val="11"/>
            <color theme="1"/>
            <rFont val="Calibri"/>
            <family val="2"/>
            <scheme val="minor"/>
          </rPr>
          <t>Introduzca un número con dos decimales como máximo</t>
        </r>
      </text>
    </comment>
    <comment ref="F721" authorId="1" shapeId="0" xr:uid="{00000000-0006-0000-0100-0000E4020000}">
      <text>
        <r>
          <rPr>
            <sz val="11"/>
            <color theme="1"/>
            <rFont val="Calibri"/>
            <family val="2"/>
            <scheme val="minor"/>
          </rPr>
          <t>Monto calculado automáticamente por el sistema</t>
        </r>
      </text>
    </comment>
    <comment ref="A727" authorId="1" shapeId="0" xr:uid="{00000000-0006-0000-0100-0000E5020000}">
      <text>
        <r>
          <rPr>
            <sz val="11"/>
            <color theme="1"/>
            <rFont val="Calibri"/>
            <family val="2"/>
            <scheme val="minor"/>
          </rPr>
          <t>Introducir un texto con el nombre o referencia de la contratación</t>
        </r>
      </text>
    </comment>
    <comment ref="B727" authorId="1" shapeId="0" xr:uid="{00000000-0006-0000-0100-0000E6020000}">
      <text>
        <r>
          <rPr>
            <sz val="11"/>
            <color theme="1"/>
            <rFont val="Calibri"/>
            <family val="2"/>
            <scheme val="minor"/>
          </rPr>
          <t>Introduzca un texto con la finalidad de la contratación</t>
        </r>
      </text>
    </comment>
    <comment ref="C727" authorId="1" shapeId="0" xr:uid="{00000000-0006-0000-0100-0000E7020000}">
      <text>
        <r>
          <rPr>
            <sz val="11"/>
            <color theme="1"/>
            <rFont val="Calibri"/>
            <family val="2"/>
            <scheme val="minor"/>
          </rPr>
          <t>Seleccionar un valor del listado</t>
        </r>
      </text>
    </comment>
    <comment ref="D727" authorId="1" shapeId="0" xr:uid="{00000000-0006-0000-0100-0000E8020000}">
      <text>
        <r>
          <rPr>
            <sz val="11"/>
            <color theme="1"/>
            <rFont val="Calibri"/>
            <family val="2"/>
            <scheme val="minor"/>
          </rPr>
          <t>Seleccione el tipo de procedimiento</t>
        </r>
      </text>
    </comment>
    <comment ref="E727" authorId="1" shapeId="0" xr:uid="{00000000-0006-0000-0100-0000E9020000}">
      <text>
        <r>
          <rPr>
            <sz val="11"/>
            <color theme="1"/>
            <rFont val="Calibri"/>
            <family val="2"/>
            <scheme val="minor"/>
          </rPr>
          <t>Seleccione un valor de la lista</t>
        </r>
      </text>
    </comment>
    <comment ref="F727" authorId="1" shapeId="0" xr:uid="{00000000-0006-0000-0100-0000EA020000}">
      <text>
        <r>
          <rPr>
            <sz val="11"/>
            <color theme="1"/>
            <rFont val="Calibri"/>
            <family val="2"/>
            <scheme val="minor"/>
          </rPr>
          <t>Introduzca el código SNIP</t>
        </r>
      </text>
    </comment>
    <comment ref="C728" authorId="1" shapeId="0" xr:uid="{00000000-0006-0000-0100-0000EB020000}">
      <text>
        <r>
          <rPr>
            <sz val="11"/>
            <color theme="1"/>
            <rFont val="Calibri"/>
            <family val="2"/>
            <scheme val="minor"/>
          </rPr>
          <t>Introduzca la fecha de inicio del proceso, en formato dd-mm-aaaa</t>
        </r>
      </text>
    </comment>
    <comment ref="F728" authorId="1" shapeId="0" xr:uid="{00000000-0006-0000-0100-0000E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9" authorId="1" shapeId="0" xr:uid="{00000000-0006-0000-0100-0000EE020000}">
      <text/>
    </comment>
    <comment ref="C730" authorId="1" shapeId="0" xr:uid="{00000000-0006-0000-0100-0000EC020000}">
      <text>
        <r>
          <rPr>
            <sz val="11"/>
            <color theme="1"/>
            <rFont val="Calibri"/>
            <family val="2"/>
            <scheme val="minor"/>
          </rPr>
          <t>Introduzca la fecha prevista de adjudicación, en formato dd-mm-aaaa</t>
        </r>
      </text>
    </comment>
    <comment ref="F730" authorId="1" shapeId="0" xr:uid="{00000000-0006-0000-0100-0000EF020000}">
      <text/>
    </comment>
    <comment ref="F731" authorId="1" shapeId="0" xr:uid="{00000000-0006-0000-0100-0000F0020000}">
      <text/>
    </comment>
    <comment ref="A733" authorId="1" shapeId="0" xr:uid="{00000000-0006-0000-0100-0000F1020000}">
      <text>
        <r>
          <rPr>
            <sz val="11"/>
            <color theme="1"/>
            <rFont val="Calibri"/>
            <family val="2"/>
            <scheme val="minor"/>
          </rPr>
          <t>Introduzca un codigo UNSPSC</t>
        </r>
      </text>
    </comment>
    <comment ref="B733" authorId="1" shapeId="0" xr:uid="{00000000-0006-0000-0100-0000F2020000}">
      <text>
        <r>
          <rPr>
            <sz val="11"/>
            <color theme="1"/>
            <rFont val="Calibri"/>
            <family val="2"/>
            <scheme val="minor"/>
          </rPr>
          <t>Descripción calculada automáticamente a partir de código del artículo</t>
        </r>
      </text>
    </comment>
    <comment ref="C733" authorId="1" shapeId="0" xr:uid="{00000000-0006-0000-0100-0000F3020000}">
      <text>
        <r>
          <rPr>
            <sz val="11"/>
            <color theme="1"/>
            <rFont val="Calibri"/>
            <family val="2"/>
            <scheme val="minor"/>
          </rPr>
          <t>Seleccione un valor de la lista</t>
        </r>
      </text>
    </comment>
    <comment ref="D733" authorId="1" shapeId="0" xr:uid="{00000000-0006-0000-0100-0000F4020000}">
      <text>
        <r>
          <rPr>
            <sz val="11"/>
            <color theme="1"/>
            <rFont val="Calibri"/>
            <family val="2"/>
            <scheme val="minor"/>
          </rPr>
          <t>Introduzca un número con dos decimales como máximo. Debe ser igual o mayor a la "Cantidad Real Consumida"</t>
        </r>
      </text>
    </comment>
    <comment ref="E733" authorId="1" shapeId="0" xr:uid="{00000000-0006-0000-0100-0000F5020000}">
      <text>
        <r>
          <rPr>
            <sz val="11"/>
            <color theme="1"/>
            <rFont val="Calibri"/>
            <family val="2"/>
            <scheme val="minor"/>
          </rPr>
          <t>Introduzca un número con dos decimales como máximo</t>
        </r>
      </text>
    </comment>
    <comment ref="F733" authorId="1" shapeId="0" xr:uid="{00000000-0006-0000-0100-0000F6020000}">
      <text>
        <r>
          <rPr>
            <sz val="11"/>
            <color theme="1"/>
            <rFont val="Calibri"/>
            <family val="2"/>
            <scheme val="minor"/>
          </rPr>
          <t>Monto calculado automáticamente por el sistema</t>
        </r>
      </text>
    </comment>
    <comment ref="A738" authorId="1" shapeId="0" xr:uid="{00000000-0006-0000-0100-0000F7020000}">
      <text>
        <r>
          <rPr>
            <sz val="11"/>
            <color theme="1"/>
            <rFont val="Calibri"/>
            <family val="2"/>
            <scheme val="minor"/>
          </rPr>
          <t>Introducir un texto con el nombre o referencia de la contratación</t>
        </r>
      </text>
    </comment>
    <comment ref="B738" authorId="1" shapeId="0" xr:uid="{00000000-0006-0000-0100-0000F8020000}">
      <text>
        <r>
          <rPr>
            <sz val="11"/>
            <color theme="1"/>
            <rFont val="Calibri"/>
            <family val="2"/>
            <scheme val="minor"/>
          </rPr>
          <t>Introduzca un texto con la finalidad de la contratación</t>
        </r>
      </text>
    </comment>
    <comment ref="C738" authorId="1" shapeId="0" xr:uid="{00000000-0006-0000-0100-0000F9020000}">
      <text>
        <r>
          <rPr>
            <sz val="11"/>
            <color theme="1"/>
            <rFont val="Calibri"/>
            <family val="2"/>
            <scheme val="minor"/>
          </rPr>
          <t>Seleccionar un valor del listado</t>
        </r>
      </text>
    </comment>
    <comment ref="D738" authorId="1" shapeId="0" xr:uid="{00000000-0006-0000-0100-0000FA020000}">
      <text>
        <r>
          <rPr>
            <sz val="11"/>
            <color theme="1"/>
            <rFont val="Calibri"/>
            <family val="2"/>
            <scheme val="minor"/>
          </rPr>
          <t>Seleccione el tipo de procedimiento</t>
        </r>
      </text>
    </comment>
    <comment ref="E738" authorId="1" shapeId="0" xr:uid="{00000000-0006-0000-0100-0000FB020000}">
      <text>
        <r>
          <rPr>
            <sz val="11"/>
            <color theme="1"/>
            <rFont val="Calibri"/>
            <family val="2"/>
            <scheme val="minor"/>
          </rPr>
          <t>Seleccione un valor de la lista</t>
        </r>
      </text>
    </comment>
    <comment ref="F738" authorId="1" shapeId="0" xr:uid="{00000000-0006-0000-0100-0000FC020000}">
      <text>
        <r>
          <rPr>
            <sz val="11"/>
            <color theme="1"/>
            <rFont val="Calibri"/>
            <family val="2"/>
            <scheme val="minor"/>
          </rPr>
          <t>Introduzca el código SNIP</t>
        </r>
      </text>
    </comment>
    <comment ref="C739" authorId="1" shapeId="0" xr:uid="{00000000-0006-0000-0100-0000FD020000}">
      <text>
        <r>
          <rPr>
            <sz val="11"/>
            <color theme="1"/>
            <rFont val="Calibri"/>
            <family val="2"/>
            <scheme val="minor"/>
          </rPr>
          <t>Introduzca la fecha de inicio del proceso, en formato dd-mm-aaaa</t>
        </r>
      </text>
    </comment>
    <comment ref="F739" authorId="1" shapeId="0" xr:uid="{00000000-0006-0000-0100-0000F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0" authorId="1" shapeId="0" xr:uid="{00000000-0006-0000-0100-000000030000}">
      <text/>
    </comment>
    <comment ref="C741" authorId="1" shapeId="0" xr:uid="{00000000-0006-0000-0100-0000FE020000}">
      <text>
        <r>
          <rPr>
            <sz val="11"/>
            <color theme="1"/>
            <rFont val="Calibri"/>
            <family val="2"/>
            <scheme val="minor"/>
          </rPr>
          <t>Introduzca la fecha prevista de adjudicación, en formato dd-mm-aaaa</t>
        </r>
      </text>
    </comment>
    <comment ref="F741" authorId="1" shapeId="0" xr:uid="{00000000-0006-0000-0100-000001030000}">
      <text/>
    </comment>
    <comment ref="F742" authorId="1" shapeId="0" xr:uid="{00000000-0006-0000-0100-000002030000}">
      <text/>
    </comment>
    <comment ref="A744" authorId="1" shapeId="0" xr:uid="{00000000-0006-0000-0100-000003030000}">
      <text>
        <r>
          <rPr>
            <sz val="11"/>
            <color theme="1"/>
            <rFont val="Calibri"/>
            <family val="2"/>
            <scheme val="minor"/>
          </rPr>
          <t>Introduzca un codigo UNSPSC</t>
        </r>
      </text>
    </comment>
    <comment ref="B744" authorId="1" shapeId="0" xr:uid="{00000000-0006-0000-0100-000004030000}">
      <text>
        <r>
          <rPr>
            <sz val="11"/>
            <color theme="1"/>
            <rFont val="Calibri"/>
            <family val="2"/>
            <scheme val="minor"/>
          </rPr>
          <t>Descripción calculada automáticamente a partir de código del artículo</t>
        </r>
      </text>
    </comment>
    <comment ref="C744" authorId="1" shapeId="0" xr:uid="{00000000-0006-0000-0100-000005030000}">
      <text>
        <r>
          <rPr>
            <sz val="11"/>
            <color theme="1"/>
            <rFont val="Calibri"/>
            <family val="2"/>
            <scheme val="minor"/>
          </rPr>
          <t>Seleccione un valor de la lista</t>
        </r>
      </text>
    </comment>
    <comment ref="D744" authorId="1" shapeId="0" xr:uid="{00000000-0006-0000-0100-000006030000}">
      <text>
        <r>
          <rPr>
            <sz val="11"/>
            <color theme="1"/>
            <rFont val="Calibri"/>
            <family val="2"/>
            <scheme val="minor"/>
          </rPr>
          <t>Introduzca un número con dos decimales como máximo. Debe ser igual o mayor a la "Cantidad Real Consumida"</t>
        </r>
      </text>
    </comment>
    <comment ref="E744" authorId="1" shapeId="0" xr:uid="{00000000-0006-0000-0100-000007030000}">
      <text>
        <r>
          <rPr>
            <sz val="11"/>
            <color theme="1"/>
            <rFont val="Calibri"/>
            <family val="2"/>
            <scheme val="minor"/>
          </rPr>
          <t>Introduzca un número con dos decimales como máximo</t>
        </r>
      </text>
    </comment>
    <comment ref="F744" authorId="1" shapeId="0" xr:uid="{00000000-0006-0000-0100-000008030000}">
      <text>
        <r>
          <rPr>
            <sz val="11"/>
            <color theme="1"/>
            <rFont val="Calibri"/>
            <family val="2"/>
            <scheme val="minor"/>
          </rPr>
          <t>Monto calculado automáticamente por el sistema</t>
        </r>
      </text>
    </comment>
    <comment ref="A750" authorId="1" shapeId="0" xr:uid="{00000000-0006-0000-0100-000009030000}">
      <text>
        <r>
          <rPr>
            <sz val="11"/>
            <color theme="1"/>
            <rFont val="Calibri"/>
            <family val="2"/>
            <scheme val="minor"/>
          </rPr>
          <t>Introducir un texto con el nombre o referencia de la contratación</t>
        </r>
      </text>
    </comment>
    <comment ref="B750" authorId="1" shapeId="0" xr:uid="{00000000-0006-0000-0100-00000A030000}">
      <text>
        <r>
          <rPr>
            <sz val="11"/>
            <color theme="1"/>
            <rFont val="Calibri"/>
            <family val="2"/>
            <scheme val="minor"/>
          </rPr>
          <t>Introduzca un texto con la finalidad de la contratación</t>
        </r>
      </text>
    </comment>
    <comment ref="C750" authorId="1" shapeId="0" xr:uid="{00000000-0006-0000-0100-00000B030000}">
      <text>
        <r>
          <rPr>
            <sz val="11"/>
            <color theme="1"/>
            <rFont val="Calibri"/>
            <family val="2"/>
            <scheme val="minor"/>
          </rPr>
          <t>Seleccionar un valor del listado</t>
        </r>
      </text>
    </comment>
    <comment ref="D750" authorId="1" shapeId="0" xr:uid="{00000000-0006-0000-0100-00000C030000}">
      <text>
        <r>
          <rPr>
            <sz val="11"/>
            <color theme="1"/>
            <rFont val="Calibri"/>
            <family val="2"/>
            <scheme val="minor"/>
          </rPr>
          <t>Seleccione el tipo de procedimiento</t>
        </r>
      </text>
    </comment>
    <comment ref="E750" authorId="1" shapeId="0" xr:uid="{00000000-0006-0000-0100-00000D030000}">
      <text>
        <r>
          <rPr>
            <sz val="11"/>
            <color theme="1"/>
            <rFont val="Calibri"/>
            <family val="2"/>
            <scheme val="minor"/>
          </rPr>
          <t>Seleccione un valor de la lista</t>
        </r>
      </text>
    </comment>
    <comment ref="F750" authorId="1" shapeId="0" xr:uid="{00000000-0006-0000-0100-00000E030000}">
      <text>
        <r>
          <rPr>
            <sz val="11"/>
            <color theme="1"/>
            <rFont val="Calibri"/>
            <family val="2"/>
            <scheme val="minor"/>
          </rPr>
          <t>Introduzca el código SNIP</t>
        </r>
      </text>
    </comment>
    <comment ref="C751" authorId="1" shapeId="0" xr:uid="{00000000-0006-0000-0100-00000F030000}">
      <text>
        <r>
          <rPr>
            <sz val="11"/>
            <color theme="1"/>
            <rFont val="Calibri"/>
            <family val="2"/>
            <scheme val="minor"/>
          </rPr>
          <t>Introduzca la fecha de inicio del proceso, en formato dd-mm-aaaa</t>
        </r>
      </text>
    </comment>
    <comment ref="F751" authorId="1" shapeId="0" xr:uid="{00000000-0006-0000-0100-00001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2" authorId="1" shapeId="0" xr:uid="{00000000-0006-0000-0100-000012030000}">
      <text/>
    </comment>
    <comment ref="C753" authorId="1" shapeId="0" xr:uid="{00000000-0006-0000-0100-000010030000}">
      <text>
        <r>
          <rPr>
            <sz val="11"/>
            <color theme="1"/>
            <rFont val="Calibri"/>
            <family val="2"/>
            <scheme val="minor"/>
          </rPr>
          <t>Introduzca la fecha prevista de adjudicación, en formato dd-mm-aaaa</t>
        </r>
      </text>
    </comment>
    <comment ref="F753" authorId="1" shapeId="0" xr:uid="{00000000-0006-0000-0100-000013030000}">
      <text/>
    </comment>
    <comment ref="F754" authorId="1" shapeId="0" xr:uid="{00000000-0006-0000-0100-000014030000}">
      <text/>
    </comment>
    <comment ref="A756" authorId="1" shapeId="0" xr:uid="{00000000-0006-0000-0100-000015030000}">
      <text>
        <r>
          <rPr>
            <sz val="11"/>
            <color theme="1"/>
            <rFont val="Calibri"/>
            <family val="2"/>
            <scheme val="minor"/>
          </rPr>
          <t>Introduzca un codigo UNSPSC</t>
        </r>
      </text>
    </comment>
    <comment ref="B756" authorId="1" shapeId="0" xr:uid="{00000000-0006-0000-0100-000016030000}">
      <text>
        <r>
          <rPr>
            <sz val="11"/>
            <color theme="1"/>
            <rFont val="Calibri"/>
            <family val="2"/>
            <scheme val="minor"/>
          </rPr>
          <t>Descripción calculada automáticamente a partir de código del artículo</t>
        </r>
      </text>
    </comment>
    <comment ref="C756" authorId="1" shapeId="0" xr:uid="{00000000-0006-0000-0100-000017030000}">
      <text>
        <r>
          <rPr>
            <sz val="11"/>
            <color theme="1"/>
            <rFont val="Calibri"/>
            <family val="2"/>
            <scheme val="minor"/>
          </rPr>
          <t>Seleccione un valor de la lista</t>
        </r>
      </text>
    </comment>
    <comment ref="D756" authorId="1" shapeId="0" xr:uid="{00000000-0006-0000-0100-000018030000}">
      <text>
        <r>
          <rPr>
            <sz val="11"/>
            <color theme="1"/>
            <rFont val="Calibri"/>
            <family val="2"/>
            <scheme val="minor"/>
          </rPr>
          <t>Introduzca un número con dos decimales como máximo. Debe ser igual o mayor a la "Cantidad Real Consumida"</t>
        </r>
      </text>
    </comment>
    <comment ref="E756" authorId="1" shapeId="0" xr:uid="{00000000-0006-0000-0100-000019030000}">
      <text>
        <r>
          <rPr>
            <sz val="11"/>
            <color theme="1"/>
            <rFont val="Calibri"/>
            <family val="2"/>
            <scheme val="minor"/>
          </rPr>
          <t>Introduzca un número con dos decimales como máximo</t>
        </r>
      </text>
    </comment>
    <comment ref="F756" authorId="1" shapeId="0" xr:uid="{00000000-0006-0000-0100-00001A030000}">
      <text>
        <r>
          <rPr>
            <sz val="11"/>
            <color theme="1"/>
            <rFont val="Calibri"/>
            <family val="2"/>
            <scheme val="minor"/>
          </rPr>
          <t>Monto calculado automáticamente por el sistema</t>
        </r>
      </text>
    </comment>
    <comment ref="A761" authorId="1" shapeId="0" xr:uid="{00000000-0006-0000-0100-00001B030000}">
      <text>
        <r>
          <rPr>
            <sz val="11"/>
            <color theme="1"/>
            <rFont val="Calibri"/>
            <family val="2"/>
            <scheme val="minor"/>
          </rPr>
          <t>Introducir un texto con el nombre o referencia de la contratación</t>
        </r>
      </text>
    </comment>
    <comment ref="B761" authorId="1" shapeId="0" xr:uid="{00000000-0006-0000-0100-00001C030000}">
      <text>
        <r>
          <rPr>
            <sz val="11"/>
            <color theme="1"/>
            <rFont val="Calibri"/>
            <family val="2"/>
            <scheme val="minor"/>
          </rPr>
          <t>Introduzca un texto con la finalidad de la contratación</t>
        </r>
      </text>
    </comment>
    <comment ref="C761" authorId="1" shapeId="0" xr:uid="{00000000-0006-0000-0100-00001D030000}">
      <text>
        <r>
          <rPr>
            <sz val="11"/>
            <color theme="1"/>
            <rFont val="Calibri"/>
            <family val="2"/>
            <scheme val="minor"/>
          </rPr>
          <t>Seleccionar un valor del listado</t>
        </r>
      </text>
    </comment>
    <comment ref="D761" authorId="1" shapeId="0" xr:uid="{00000000-0006-0000-0100-00001E030000}">
      <text>
        <r>
          <rPr>
            <sz val="11"/>
            <color theme="1"/>
            <rFont val="Calibri"/>
            <family val="2"/>
            <scheme val="minor"/>
          </rPr>
          <t>Seleccione el tipo de procedimiento</t>
        </r>
      </text>
    </comment>
    <comment ref="E761" authorId="1" shapeId="0" xr:uid="{00000000-0006-0000-0100-00001F030000}">
      <text>
        <r>
          <rPr>
            <sz val="11"/>
            <color theme="1"/>
            <rFont val="Calibri"/>
            <family val="2"/>
            <scheme val="minor"/>
          </rPr>
          <t>Seleccione un valor de la lista</t>
        </r>
      </text>
    </comment>
    <comment ref="F761" authorId="1" shapeId="0" xr:uid="{00000000-0006-0000-0100-000020030000}">
      <text>
        <r>
          <rPr>
            <sz val="11"/>
            <color theme="1"/>
            <rFont val="Calibri"/>
            <family val="2"/>
            <scheme val="minor"/>
          </rPr>
          <t>Introduzca el código SNIP</t>
        </r>
      </text>
    </comment>
    <comment ref="C762" authorId="1" shapeId="0" xr:uid="{00000000-0006-0000-0100-000021030000}">
      <text>
        <r>
          <rPr>
            <sz val="11"/>
            <color theme="1"/>
            <rFont val="Calibri"/>
            <family val="2"/>
            <scheme val="minor"/>
          </rPr>
          <t>Introduzca la fecha de inicio del proceso, en formato dd-mm-aaaa</t>
        </r>
      </text>
    </comment>
    <comment ref="F762" authorId="1" shapeId="0" xr:uid="{00000000-0006-0000-0100-00002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3" authorId="1" shapeId="0" xr:uid="{00000000-0006-0000-0100-000024030000}">
      <text/>
    </comment>
    <comment ref="C764" authorId="1" shapeId="0" xr:uid="{00000000-0006-0000-0100-000022030000}">
      <text>
        <r>
          <rPr>
            <sz val="11"/>
            <color theme="1"/>
            <rFont val="Calibri"/>
            <family val="2"/>
            <scheme val="minor"/>
          </rPr>
          <t>Introduzca la fecha prevista de adjudicación, en formato dd-mm-aaaa</t>
        </r>
      </text>
    </comment>
    <comment ref="F764" authorId="1" shapeId="0" xr:uid="{00000000-0006-0000-0100-000025030000}">
      <text/>
    </comment>
    <comment ref="F765" authorId="1" shapeId="0" xr:uid="{00000000-0006-0000-0100-000026030000}">
      <text/>
    </comment>
    <comment ref="A767" authorId="1" shapeId="0" xr:uid="{00000000-0006-0000-0100-000027030000}">
      <text>
        <r>
          <rPr>
            <sz val="11"/>
            <color theme="1"/>
            <rFont val="Calibri"/>
            <family val="2"/>
            <scheme val="minor"/>
          </rPr>
          <t>Introduzca un codigo UNSPSC</t>
        </r>
      </text>
    </comment>
    <comment ref="B767" authorId="1" shapeId="0" xr:uid="{00000000-0006-0000-0100-000028030000}">
      <text>
        <r>
          <rPr>
            <sz val="11"/>
            <color theme="1"/>
            <rFont val="Calibri"/>
            <family val="2"/>
            <scheme val="minor"/>
          </rPr>
          <t>Descripción calculada automáticamente a partir de código del artículo</t>
        </r>
      </text>
    </comment>
    <comment ref="C767" authorId="1" shapeId="0" xr:uid="{00000000-0006-0000-0100-000029030000}">
      <text>
        <r>
          <rPr>
            <sz val="11"/>
            <color theme="1"/>
            <rFont val="Calibri"/>
            <family val="2"/>
            <scheme val="minor"/>
          </rPr>
          <t>Seleccione un valor de la lista</t>
        </r>
      </text>
    </comment>
    <comment ref="D767" authorId="1" shapeId="0" xr:uid="{00000000-0006-0000-0100-00002A030000}">
      <text>
        <r>
          <rPr>
            <sz val="11"/>
            <color theme="1"/>
            <rFont val="Calibri"/>
            <family val="2"/>
            <scheme val="minor"/>
          </rPr>
          <t>Introduzca un número con dos decimales como máximo. Debe ser igual o mayor a la "Cantidad Real Consumida"</t>
        </r>
      </text>
    </comment>
    <comment ref="E767" authorId="1" shapeId="0" xr:uid="{00000000-0006-0000-0100-00002B030000}">
      <text>
        <r>
          <rPr>
            <sz val="11"/>
            <color theme="1"/>
            <rFont val="Calibri"/>
            <family val="2"/>
            <scheme val="minor"/>
          </rPr>
          <t>Introduzca un número con dos decimales como máximo</t>
        </r>
      </text>
    </comment>
    <comment ref="F767" authorId="1" shapeId="0" xr:uid="{00000000-0006-0000-0100-00002C030000}">
      <text>
        <r>
          <rPr>
            <sz val="11"/>
            <color theme="1"/>
            <rFont val="Calibri"/>
            <family val="2"/>
            <scheme val="minor"/>
          </rPr>
          <t>Monto calculado automáticamente por el sistema</t>
        </r>
      </text>
    </comment>
    <comment ref="A773" authorId="1" shapeId="0" xr:uid="{00000000-0006-0000-0100-00002D030000}">
      <text>
        <r>
          <rPr>
            <sz val="11"/>
            <color theme="1"/>
            <rFont val="Calibri"/>
            <family val="2"/>
            <scheme val="minor"/>
          </rPr>
          <t>Introducir un texto con el nombre o referencia de la contratación</t>
        </r>
      </text>
    </comment>
    <comment ref="B773" authorId="1" shapeId="0" xr:uid="{00000000-0006-0000-0100-00002E030000}">
      <text>
        <r>
          <rPr>
            <sz val="11"/>
            <color theme="1"/>
            <rFont val="Calibri"/>
            <family val="2"/>
            <scheme val="minor"/>
          </rPr>
          <t>Introduzca un texto con la finalidad de la contratación</t>
        </r>
      </text>
    </comment>
    <comment ref="C773" authorId="1" shapeId="0" xr:uid="{00000000-0006-0000-0100-00002F030000}">
      <text>
        <r>
          <rPr>
            <sz val="11"/>
            <color theme="1"/>
            <rFont val="Calibri"/>
            <family val="2"/>
            <scheme val="minor"/>
          </rPr>
          <t>Seleccionar un valor del listado</t>
        </r>
      </text>
    </comment>
    <comment ref="D773" authorId="1" shapeId="0" xr:uid="{00000000-0006-0000-0100-000030030000}">
      <text>
        <r>
          <rPr>
            <sz val="11"/>
            <color theme="1"/>
            <rFont val="Calibri"/>
            <family val="2"/>
            <scheme val="minor"/>
          </rPr>
          <t>Seleccione el tipo de procedimiento</t>
        </r>
      </text>
    </comment>
    <comment ref="E773" authorId="1" shapeId="0" xr:uid="{00000000-0006-0000-0100-000031030000}">
      <text>
        <r>
          <rPr>
            <sz val="11"/>
            <color theme="1"/>
            <rFont val="Calibri"/>
            <family val="2"/>
            <scheme val="minor"/>
          </rPr>
          <t>Seleccione un valor de la lista</t>
        </r>
      </text>
    </comment>
    <comment ref="F773" authorId="1" shapeId="0" xr:uid="{00000000-0006-0000-0100-000032030000}">
      <text>
        <r>
          <rPr>
            <sz val="11"/>
            <color theme="1"/>
            <rFont val="Calibri"/>
            <family val="2"/>
            <scheme val="minor"/>
          </rPr>
          <t>Introduzca el código SNIP</t>
        </r>
      </text>
    </comment>
    <comment ref="C774" authorId="1" shapeId="0" xr:uid="{00000000-0006-0000-0100-000033030000}">
      <text>
        <r>
          <rPr>
            <sz val="11"/>
            <color theme="1"/>
            <rFont val="Calibri"/>
            <family val="2"/>
            <scheme val="minor"/>
          </rPr>
          <t>Introduzca la fecha de inicio del proceso, en formato dd-mm-aaaa</t>
        </r>
      </text>
    </comment>
    <comment ref="F774" authorId="1" shapeId="0" xr:uid="{00000000-0006-0000-0100-00003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5" authorId="1" shapeId="0" xr:uid="{00000000-0006-0000-0100-000036030000}">
      <text/>
    </comment>
    <comment ref="C776" authorId="1" shapeId="0" xr:uid="{00000000-0006-0000-0100-000034030000}">
      <text>
        <r>
          <rPr>
            <sz val="11"/>
            <color theme="1"/>
            <rFont val="Calibri"/>
            <family val="2"/>
            <scheme val="minor"/>
          </rPr>
          <t>Introduzca la fecha prevista de adjudicación, en formato dd-mm-aaaa</t>
        </r>
      </text>
    </comment>
    <comment ref="F776" authorId="1" shapeId="0" xr:uid="{00000000-0006-0000-0100-000037030000}">
      <text/>
    </comment>
    <comment ref="F777" authorId="1" shapeId="0" xr:uid="{00000000-0006-0000-0100-000038030000}">
      <text/>
    </comment>
    <comment ref="A779" authorId="1" shapeId="0" xr:uid="{00000000-0006-0000-0100-000039030000}">
      <text>
        <r>
          <rPr>
            <sz val="11"/>
            <color theme="1"/>
            <rFont val="Calibri"/>
            <family val="2"/>
            <scheme val="minor"/>
          </rPr>
          <t>Introduzca un codigo UNSPSC</t>
        </r>
      </text>
    </comment>
    <comment ref="B779" authorId="1" shapeId="0" xr:uid="{00000000-0006-0000-0100-00003A030000}">
      <text>
        <r>
          <rPr>
            <sz val="11"/>
            <color theme="1"/>
            <rFont val="Calibri"/>
            <family val="2"/>
            <scheme val="minor"/>
          </rPr>
          <t>Descripción calculada automáticamente a partir de código del artículo</t>
        </r>
      </text>
    </comment>
    <comment ref="C779" authorId="1" shapeId="0" xr:uid="{00000000-0006-0000-0100-00003B030000}">
      <text>
        <r>
          <rPr>
            <sz val="11"/>
            <color theme="1"/>
            <rFont val="Calibri"/>
            <family val="2"/>
            <scheme val="minor"/>
          </rPr>
          <t>Seleccione un valor de la lista</t>
        </r>
      </text>
    </comment>
    <comment ref="D779" authorId="1" shapeId="0" xr:uid="{00000000-0006-0000-0100-00003C030000}">
      <text>
        <r>
          <rPr>
            <sz val="11"/>
            <color theme="1"/>
            <rFont val="Calibri"/>
            <family val="2"/>
            <scheme val="minor"/>
          </rPr>
          <t>Introduzca un número con dos decimales como máximo. Debe ser igual o mayor a la "Cantidad Real Consumida"</t>
        </r>
      </text>
    </comment>
    <comment ref="E779" authorId="1" shapeId="0" xr:uid="{00000000-0006-0000-0100-00003D030000}">
      <text>
        <r>
          <rPr>
            <sz val="11"/>
            <color theme="1"/>
            <rFont val="Calibri"/>
            <family val="2"/>
            <scheme val="minor"/>
          </rPr>
          <t>Introduzca un número con dos decimales como máximo</t>
        </r>
      </text>
    </comment>
    <comment ref="F779" authorId="1" shapeId="0" xr:uid="{00000000-0006-0000-0100-00003E030000}">
      <text>
        <r>
          <rPr>
            <sz val="11"/>
            <color theme="1"/>
            <rFont val="Calibri"/>
            <family val="2"/>
            <scheme val="minor"/>
          </rPr>
          <t>Monto calculado automáticamente por el sistema</t>
        </r>
      </text>
    </comment>
    <comment ref="A786" authorId="1" shapeId="0" xr:uid="{00000000-0006-0000-0100-00003F030000}">
      <text>
        <r>
          <rPr>
            <sz val="11"/>
            <color theme="1"/>
            <rFont val="Calibri"/>
            <family val="2"/>
            <scheme val="minor"/>
          </rPr>
          <t>Introducir un texto con el nombre o referencia de la contratación</t>
        </r>
      </text>
    </comment>
    <comment ref="B786" authorId="1" shapeId="0" xr:uid="{00000000-0006-0000-0100-000040030000}">
      <text>
        <r>
          <rPr>
            <sz val="11"/>
            <color theme="1"/>
            <rFont val="Calibri"/>
            <family val="2"/>
            <scheme val="minor"/>
          </rPr>
          <t>Introduzca un texto con la finalidad de la contratación</t>
        </r>
      </text>
    </comment>
    <comment ref="C786" authorId="1" shapeId="0" xr:uid="{00000000-0006-0000-0100-000041030000}">
      <text>
        <r>
          <rPr>
            <sz val="11"/>
            <color theme="1"/>
            <rFont val="Calibri"/>
            <family val="2"/>
            <scheme val="minor"/>
          </rPr>
          <t>Seleccionar un valor del listado</t>
        </r>
      </text>
    </comment>
    <comment ref="D786" authorId="1" shapeId="0" xr:uid="{00000000-0006-0000-0100-000042030000}">
      <text>
        <r>
          <rPr>
            <sz val="11"/>
            <color theme="1"/>
            <rFont val="Calibri"/>
            <family val="2"/>
            <scheme val="minor"/>
          </rPr>
          <t>Seleccione el tipo de procedimiento</t>
        </r>
      </text>
    </comment>
    <comment ref="E786" authorId="1" shapeId="0" xr:uid="{00000000-0006-0000-0100-000043030000}">
      <text>
        <r>
          <rPr>
            <sz val="11"/>
            <color theme="1"/>
            <rFont val="Calibri"/>
            <family val="2"/>
            <scheme val="minor"/>
          </rPr>
          <t>Seleccione un valor de la lista</t>
        </r>
      </text>
    </comment>
    <comment ref="F786" authorId="1" shapeId="0" xr:uid="{00000000-0006-0000-0100-000044030000}">
      <text>
        <r>
          <rPr>
            <sz val="11"/>
            <color theme="1"/>
            <rFont val="Calibri"/>
            <family val="2"/>
            <scheme val="minor"/>
          </rPr>
          <t>Introduzca el código SNIP</t>
        </r>
      </text>
    </comment>
    <comment ref="C787" authorId="1" shapeId="0" xr:uid="{00000000-0006-0000-0100-000045030000}">
      <text>
        <r>
          <rPr>
            <sz val="11"/>
            <color theme="1"/>
            <rFont val="Calibri"/>
            <family val="2"/>
            <scheme val="minor"/>
          </rPr>
          <t>Introduzca la fecha de inicio del proceso, en formato dd-mm-aaaa</t>
        </r>
      </text>
    </comment>
    <comment ref="F787" authorId="1" shapeId="0" xr:uid="{00000000-0006-0000-0100-00004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8" authorId="1" shapeId="0" xr:uid="{00000000-0006-0000-0100-000048030000}">
      <text/>
    </comment>
    <comment ref="C789" authorId="1" shapeId="0" xr:uid="{00000000-0006-0000-0100-000046030000}">
      <text>
        <r>
          <rPr>
            <sz val="11"/>
            <color theme="1"/>
            <rFont val="Calibri"/>
            <family val="2"/>
            <scheme val="minor"/>
          </rPr>
          <t>Introduzca la fecha prevista de adjudicación, en formato dd-mm-aaaa</t>
        </r>
      </text>
    </comment>
    <comment ref="F789" authorId="1" shapeId="0" xr:uid="{00000000-0006-0000-0100-000049030000}">
      <text/>
    </comment>
    <comment ref="F790" authorId="1" shapeId="0" xr:uid="{00000000-0006-0000-0100-00004A030000}">
      <text/>
    </comment>
    <comment ref="A792" authorId="1" shapeId="0" xr:uid="{00000000-0006-0000-0100-00004B030000}">
      <text>
        <r>
          <rPr>
            <sz val="11"/>
            <color theme="1"/>
            <rFont val="Calibri"/>
            <family val="2"/>
            <scheme val="minor"/>
          </rPr>
          <t>Introduzca un codigo UNSPSC</t>
        </r>
      </text>
    </comment>
    <comment ref="B792" authorId="1" shapeId="0" xr:uid="{00000000-0006-0000-0100-00004C030000}">
      <text>
        <r>
          <rPr>
            <sz val="11"/>
            <color theme="1"/>
            <rFont val="Calibri"/>
            <family val="2"/>
            <scheme val="minor"/>
          </rPr>
          <t>Descripción calculada automáticamente a partir de código del artículo</t>
        </r>
      </text>
    </comment>
    <comment ref="C792" authorId="1" shapeId="0" xr:uid="{00000000-0006-0000-0100-00004D030000}">
      <text>
        <r>
          <rPr>
            <sz val="11"/>
            <color theme="1"/>
            <rFont val="Calibri"/>
            <family val="2"/>
            <scheme val="minor"/>
          </rPr>
          <t>Seleccione un valor de la lista</t>
        </r>
      </text>
    </comment>
    <comment ref="D792" authorId="1" shapeId="0" xr:uid="{00000000-0006-0000-0100-00004E030000}">
      <text>
        <r>
          <rPr>
            <sz val="11"/>
            <color theme="1"/>
            <rFont val="Calibri"/>
            <family val="2"/>
            <scheme val="minor"/>
          </rPr>
          <t>Introduzca un número con dos decimales como máximo. Debe ser igual o mayor a la "Cantidad Real Consumida"</t>
        </r>
      </text>
    </comment>
    <comment ref="E792" authorId="1" shapeId="0" xr:uid="{00000000-0006-0000-0100-00004F030000}">
      <text>
        <r>
          <rPr>
            <sz val="11"/>
            <color theme="1"/>
            <rFont val="Calibri"/>
            <family val="2"/>
            <scheme val="minor"/>
          </rPr>
          <t>Introduzca un número con dos decimales como máximo</t>
        </r>
      </text>
    </comment>
    <comment ref="F792" authorId="1" shapeId="0" xr:uid="{00000000-0006-0000-0100-000050030000}">
      <text>
        <r>
          <rPr>
            <sz val="11"/>
            <color theme="1"/>
            <rFont val="Calibri"/>
            <family val="2"/>
            <scheme val="minor"/>
          </rPr>
          <t>Monto calculado automáticamente por el sistema</t>
        </r>
      </text>
    </comment>
    <comment ref="A799" authorId="1" shapeId="0" xr:uid="{00000000-0006-0000-0100-000051030000}">
      <text>
        <r>
          <rPr>
            <sz val="11"/>
            <color theme="1"/>
            <rFont val="Calibri"/>
            <family val="2"/>
            <scheme val="minor"/>
          </rPr>
          <t>Introducir un texto con el nombre o referencia de la contratación</t>
        </r>
      </text>
    </comment>
    <comment ref="B799" authorId="1" shapeId="0" xr:uid="{00000000-0006-0000-0100-000052030000}">
      <text>
        <r>
          <rPr>
            <sz val="11"/>
            <color theme="1"/>
            <rFont val="Calibri"/>
            <family val="2"/>
            <scheme val="minor"/>
          </rPr>
          <t>Introduzca un texto con la finalidad de la contratación</t>
        </r>
      </text>
    </comment>
    <comment ref="C799" authorId="1" shapeId="0" xr:uid="{00000000-0006-0000-0100-000053030000}">
      <text>
        <r>
          <rPr>
            <sz val="11"/>
            <color theme="1"/>
            <rFont val="Calibri"/>
            <family val="2"/>
            <scheme val="minor"/>
          </rPr>
          <t>Seleccionar un valor del listado</t>
        </r>
      </text>
    </comment>
    <comment ref="D799" authorId="1" shapeId="0" xr:uid="{00000000-0006-0000-0100-000054030000}">
      <text>
        <r>
          <rPr>
            <sz val="11"/>
            <color theme="1"/>
            <rFont val="Calibri"/>
            <family val="2"/>
            <scheme val="minor"/>
          </rPr>
          <t>Seleccione el tipo de procedimiento</t>
        </r>
      </text>
    </comment>
    <comment ref="E799" authorId="1" shapeId="0" xr:uid="{00000000-0006-0000-0100-000055030000}">
      <text>
        <r>
          <rPr>
            <sz val="11"/>
            <color theme="1"/>
            <rFont val="Calibri"/>
            <family val="2"/>
            <scheme val="minor"/>
          </rPr>
          <t>Seleccione un valor de la lista</t>
        </r>
      </text>
    </comment>
    <comment ref="F799" authorId="1" shapeId="0" xr:uid="{00000000-0006-0000-0100-000056030000}">
      <text>
        <r>
          <rPr>
            <sz val="11"/>
            <color theme="1"/>
            <rFont val="Calibri"/>
            <family val="2"/>
            <scheme val="minor"/>
          </rPr>
          <t>Introduzca el código SNIP</t>
        </r>
      </text>
    </comment>
    <comment ref="C800" authorId="1" shapeId="0" xr:uid="{00000000-0006-0000-0100-000057030000}">
      <text>
        <r>
          <rPr>
            <sz val="11"/>
            <color theme="1"/>
            <rFont val="Calibri"/>
            <family val="2"/>
            <scheme val="minor"/>
          </rPr>
          <t>Introduzca la fecha de inicio del proceso, en formato dd-mm-aaaa</t>
        </r>
      </text>
    </comment>
    <comment ref="F800" authorId="1" shapeId="0" xr:uid="{00000000-0006-0000-0100-00005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1" authorId="1" shapeId="0" xr:uid="{00000000-0006-0000-0100-00005A030000}">
      <text/>
    </comment>
    <comment ref="C802" authorId="1" shapeId="0" xr:uid="{00000000-0006-0000-0100-000058030000}">
      <text>
        <r>
          <rPr>
            <sz val="11"/>
            <color theme="1"/>
            <rFont val="Calibri"/>
            <family val="2"/>
            <scheme val="minor"/>
          </rPr>
          <t>Introduzca la fecha prevista de adjudicación, en formato dd-mm-aaaa</t>
        </r>
      </text>
    </comment>
    <comment ref="F802" authorId="1" shapeId="0" xr:uid="{00000000-0006-0000-0100-00005B030000}">
      <text/>
    </comment>
    <comment ref="F803" authorId="1" shapeId="0" xr:uid="{00000000-0006-0000-0100-00005C030000}">
      <text/>
    </comment>
    <comment ref="A805" authorId="1" shapeId="0" xr:uid="{00000000-0006-0000-0100-00005D030000}">
      <text>
        <r>
          <rPr>
            <sz val="11"/>
            <color theme="1"/>
            <rFont val="Calibri"/>
            <family val="2"/>
            <scheme val="minor"/>
          </rPr>
          <t>Introduzca un codigo UNSPSC</t>
        </r>
      </text>
    </comment>
    <comment ref="B805" authorId="1" shapeId="0" xr:uid="{00000000-0006-0000-0100-00005E030000}">
      <text>
        <r>
          <rPr>
            <sz val="11"/>
            <color theme="1"/>
            <rFont val="Calibri"/>
            <family val="2"/>
            <scheme val="minor"/>
          </rPr>
          <t>Descripción calculada automáticamente a partir de código del artículo</t>
        </r>
      </text>
    </comment>
    <comment ref="C805" authorId="1" shapeId="0" xr:uid="{00000000-0006-0000-0100-00005F030000}">
      <text>
        <r>
          <rPr>
            <sz val="11"/>
            <color theme="1"/>
            <rFont val="Calibri"/>
            <family val="2"/>
            <scheme val="minor"/>
          </rPr>
          <t>Seleccione un valor de la lista</t>
        </r>
      </text>
    </comment>
    <comment ref="D805" authorId="1" shapeId="0" xr:uid="{00000000-0006-0000-0100-000060030000}">
      <text>
        <r>
          <rPr>
            <sz val="11"/>
            <color theme="1"/>
            <rFont val="Calibri"/>
            <family val="2"/>
            <scheme val="minor"/>
          </rPr>
          <t>Introduzca un número con dos decimales como máximo. Debe ser igual o mayor a la "Cantidad Real Consumida"</t>
        </r>
      </text>
    </comment>
    <comment ref="E805" authorId="1" shapeId="0" xr:uid="{00000000-0006-0000-0100-000061030000}">
      <text>
        <r>
          <rPr>
            <sz val="11"/>
            <color theme="1"/>
            <rFont val="Calibri"/>
            <family val="2"/>
            <scheme val="minor"/>
          </rPr>
          <t>Introduzca un número con dos decimales como máximo</t>
        </r>
      </text>
    </comment>
    <comment ref="F805" authorId="1" shapeId="0" xr:uid="{00000000-0006-0000-0100-000062030000}">
      <text>
        <r>
          <rPr>
            <sz val="11"/>
            <color theme="1"/>
            <rFont val="Calibri"/>
            <family val="2"/>
            <scheme val="minor"/>
          </rPr>
          <t>Monto calculado automáticamente por el sistema</t>
        </r>
      </text>
    </comment>
    <comment ref="A810" authorId="1" shapeId="0" xr:uid="{00000000-0006-0000-0100-000063030000}">
      <text>
        <r>
          <rPr>
            <sz val="11"/>
            <color theme="1"/>
            <rFont val="Calibri"/>
            <family val="2"/>
            <scheme val="minor"/>
          </rPr>
          <t>Introducir un texto con el nombre o referencia de la contratación</t>
        </r>
      </text>
    </comment>
    <comment ref="B810" authorId="1" shapeId="0" xr:uid="{00000000-0006-0000-0100-000064030000}">
      <text>
        <r>
          <rPr>
            <sz val="11"/>
            <color theme="1"/>
            <rFont val="Calibri"/>
            <family val="2"/>
            <scheme val="minor"/>
          </rPr>
          <t>Introduzca un texto con la finalidad de la contratación</t>
        </r>
      </text>
    </comment>
    <comment ref="C810" authorId="1" shapeId="0" xr:uid="{00000000-0006-0000-0100-000065030000}">
      <text>
        <r>
          <rPr>
            <sz val="11"/>
            <color theme="1"/>
            <rFont val="Calibri"/>
            <family val="2"/>
            <scheme val="minor"/>
          </rPr>
          <t>Seleccionar un valor del listado</t>
        </r>
      </text>
    </comment>
    <comment ref="D810" authorId="1" shapeId="0" xr:uid="{00000000-0006-0000-0100-000066030000}">
      <text>
        <r>
          <rPr>
            <sz val="11"/>
            <color theme="1"/>
            <rFont val="Calibri"/>
            <family val="2"/>
            <scheme val="minor"/>
          </rPr>
          <t>Seleccione el tipo de procedimiento</t>
        </r>
      </text>
    </comment>
    <comment ref="E810" authorId="1" shapeId="0" xr:uid="{00000000-0006-0000-0100-000067030000}">
      <text>
        <r>
          <rPr>
            <sz val="11"/>
            <color theme="1"/>
            <rFont val="Calibri"/>
            <family val="2"/>
            <scheme val="minor"/>
          </rPr>
          <t>Seleccione un valor de la lista</t>
        </r>
      </text>
    </comment>
    <comment ref="F810" authorId="1" shapeId="0" xr:uid="{00000000-0006-0000-0100-000068030000}">
      <text>
        <r>
          <rPr>
            <sz val="11"/>
            <color theme="1"/>
            <rFont val="Calibri"/>
            <family val="2"/>
            <scheme val="minor"/>
          </rPr>
          <t>Introduzca el código SNIP</t>
        </r>
      </text>
    </comment>
    <comment ref="C811" authorId="1" shapeId="0" xr:uid="{00000000-0006-0000-0100-000069030000}">
      <text>
        <r>
          <rPr>
            <sz val="11"/>
            <color theme="1"/>
            <rFont val="Calibri"/>
            <family val="2"/>
            <scheme val="minor"/>
          </rPr>
          <t>Introduzca la fecha de inicio del proceso, en formato dd-mm-aaaa</t>
        </r>
      </text>
    </comment>
    <comment ref="F811" authorId="1" shapeId="0" xr:uid="{00000000-0006-0000-0100-00006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2" authorId="1" shapeId="0" xr:uid="{00000000-0006-0000-0100-00006C030000}">
      <text/>
    </comment>
    <comment ref="C813" authorId="1" shapeId="0" xr:uid="{00000000-0006-0000-0100-00006A030000}">
      <text>
        <r>
          <rPr>
            <sz val="11"/>
            <color theme="1"/>
            <rFont val="Calibri"/>
            <family val="2"/>
            <scheme val="minor"/>
          </rPr>
          <t>Introduzca la fecha prevista de adjudicación, en formato dd-mm-aaaa</t>
        </r>
      </text>
    </comment>
    <comment ref="F813" authorId="1" shapeId="0" xr:uid="{00000000-0006-0000-0100-00006D030000}">
      <text/>
    </comment>
    <comment ref="F814" authorId="1" shapeId="0" xr:uid="{00000000-0006-0000-0100-00006E030000}">
      <text/>
    </comment>
    <comment ref="A816" authorId="1" shapeId="0" xr:uid="{00000000-0006-0000-0100-00006F030000}">
      <text>
        <r>
          <rPr>
            <sz val="11"/>
            <color theme="1"/>
            <rFont val="Calibri"/>
            <family val="2"/>
            <scheme val="minor"/>
          </rPr>
          <t>Introduzca un codigo UNSPSC</t>
        </r>
      </text>
    </comment>
    <comment ref="B816" authorId="1" shapeId="0" xr:uid="{00000000-0006-0000-0100-000070030000}">
      <text>
        <r>
          <rPr>
            <sz val="11"/>
            <color theme="1"/>
            <rFont val="Calibri"/>
            <family val="2"/>
            <scheme val="minor"/>
          </rPr>
          <t>Descripción calculada automáticamente a partir de código del artículo</t>
        </r>
      </text>
    </comment>
    <comment ref="C816" authorId="1" shapeId="0" xr:uid="{00000000-0006-0000-0100-000071030000}">
      <text>
        <r>
          <rPr>
            <sz val="11"/>
            <color theme="1"/>
            <rFont val="Calibri"/>
            <family val="2"/>
            <scheme val="minor"/>
          </rPr>
          <t>Seleccione un valor de la lista</t>
        </r>
      </text>
    </comment>
    <comment ref="D816" authorId="1" shapeId="0" xr:uid="{00000000-0006-0000-0100-000072030000}">
      <text>
        <r>
          <rPr>
            <sz val="11"/>
            <color theme="1"/>
            <rFont val="Calibri"/>
            <family val="2"/>
            <scheme val="minor"/>
          </rPr>
          <t>Introduzca un número con dos decimales como máximo. Debe ser igual o mayor a la "Cantidad Real Consumida"</t>
        </r>
      </text>
    </comment>
    <comment ref="E816" authorId="1" shapeId="0" xr:uid="{00000000-0006-0000-0100-000073030000}">
      <text>
        <r>
          <rPr>
            <sz val="11"/>
            <color theme="1"/>
            <rFont val="Calibri"/>
            <family val="2"/>
            <scheme val="minor"/>
          </rPr>
          <t>Introduzca un número con dos decimales como máximo</t>
        </r>
      </text>
    </comment>
    <comment ref="F816" authorId="1" shapeId="0" xr:uid="{00000000-0006-0000-0100-000074030000}">
      <text>
        <r>
          <rPr>
            <sz val="11"/>
            <color theme="1"/>
            <rFont val="Calibri"/>
            <family val="2"/>
            <scheme val="minor"/>
          </rPr>
          <t>Monto calculado automáticamente por el sistema</t>
        </r>
      </text>
    </comment>
    <comment ref="A821" authorId="1" shapeId="0" xr:uid="{00000000-0006-0000-0100-000075030000}">
      <text>
        <r>
          <rPr>
            <sz val="11"/>
            <color theme="1"/>
            <rFont val="Calibri"/>
            <family val="2"/>
            <scheme val="minor"/>
          </rPr>
          <t>Introducir un texto con el nombre o referencia de la contratación</t>
        </r>
      </text>
    </comment>
    <comment ref="B821" authorId="1" shapeId="0" xr:uid="{00000000-0006-0000-0100-000076030000}">
      <text>
        <r>
          <rPr>
            <sz val="11"/>
            <color theme="1"/>
            <rFont val="Calibri"/>
            <family val="2"/>
            <scheme val="minor"/>
          </rPr>
          <t>Introduzca un texto con la finalidad de la contratación</t>
        </r>
      </text>
    </comment>
    <comment ref="C821" authorId="1" shapeId="0" xr:uid="{00000000-0006-0000-0100-000077030000}">
      <text>
        <r>
          <rPr>
            <sz val="11"/>
            <color theme="1"/>
            <rFont val="Calibri"/>
            <family val="2"/>
            <scheme val="minor"/>
          </rPr>
          <t>Seleccionar un valor del listado</t>
        </r>
      </text>
    </comment>
    <comment ref="D821" authorId="1" shapeId="0" xr:uid="{00000000-0006-0000-0100-000078030000}">
      <text>
        <r>
          <rPr>
            <sz val="11"/>
            <color theme="1"/>
            <rFont val="Calibri"/>
            <family val="2"/>
            <scheme val="minor"/>
          </rPr>
          <t>Seleccione el tipo de procedimiento</t>
        </r>
      </text>
    </comment>
    <comment ref="E821" authorId="1" shapeId="0" xr:uid="{00000000-0006-0000-0100-000079030000}">
      <text>
        <r>
          <rPr>
            <sz val="11"/>
            <color theme="1"/>
            <rFont val="Calibri"/>
            <family val="2"/>
            <scheme val="minor"/>
          </rPr>
          <t>Seleccione un valor de la lista</t>
        </r>
      </text>
    </comment>
    <comment ref="F821" authorId="1" shapeId="0" xr:uid="{00000000-0006-0000-0100-00007A030000}">
      <text>
        <r>
          <rPr>
            <sz val="11"/>
            <color theme="1"/>
            <rFont val="Calibri"/>
            <family val="2"/>
            <scheme val="minor"/>
          </rPr>
          <t>Introduzca el código SNIP</t>
        </r>
      </text>
    </comment>
    <comment ref="C822" authorId="1" shapeId="0" xr:uid="{00000000-0006-0000-0100-00007B030000}">
      <text>
        <r>
          <rPr>
            <sz val="11"/>
            <color theme="1"/>
            <rFont val="Calibri"/>
            <family val="2"/>
            <scheme val="minor"/>
          </rPr>
          <t>Introduzca la fecha de inicio del proceso, en formato dd-mm-aaaa</t>
        </r>
      </text>
    </comment>
    <comment ref="F822" authorId="1" shapeId="0" xr:uid="{00000000-0006-0000-0100-00007D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3" authorId="1" shapeId="0" xr:uid="{00000000-0006-0000-0100-00007E030000}">
      <text/>
    </comment>
    <comment ref="C824" authorId="1" shapeId="0" xr:uid="{00000000-0006-0000-0100-00007C030000}">
      <text>
        <r>
          <rPr>
            <sz val="11"/>
            <color theme="1"/>
            <rFont val="Calibri"/>
            <family val="2"/>
            <scheme val="minor"/>
          </rPr>
          <t>Introduzca la fecha prevista de adjudicación, en formato dd-mm-aaaa</t>
        </r>
      </text>
    </comment>
    <comment ref="F824" authorId="1" shapeId="0" xr:uid="{00000000-0006-0000-0100-00007F030000}">
      <text/>
    </comment>
    <comment ref="F825" authorId="1" shapeId="0" xr:uid="{00000000-0006-0000-0100-000080030000}">
      <text/>
    </comment>
    <comment ref="A827" authorId="1" shapeId="0" xr:uid="{00000000-0006-0000-0100-000081030000}">
      <text>
        <r>
          <rPr>
            <sz val="11"/>
            <color theme="1"/>
            <rFont val="Calibri"/>
            <family val="2"/>
            <scheme val="minor"/>
          </rPr>
          <t>Introduzca un codigo UNSPSC</t>
        </r>
      </text>
    </comment>
    <comment ref="B827" authorId="1" shapeId="0" xr:uid="{00000000-0006-0000-0100-000082030000}">
      <text>
        <r>
          <rPr>
            <sz val="11"/>
            <color theme="1"/>
            <rFont val="Calibri"/>
            <family val="2"/>
            <scheme val="minor"/>
          </rPr>
          <t>Descripción calculada automáticamente a partir de código del artículo</t>
        </r>
      </text>
    </comment>
    <comment ref="C827" authorId="1" shapeId="0" xr:uid="{00000000-0006-0000-0100-000083030000}">
      <text>
        <r>
          <rPr>
            <sz val="11"/>
            <color theme="1"/>
            <rFont val="Calibri"/>
            <family val="2"/>
            <scheme val="minor"/>
          </rPr>
          <t>Seleccione un valor de la lista</t>
        </r>
      </text>
    </comment>
    <comment ref="D827" authorId="1" shapeId="0" xr:uid="{00000000-0006-0000-0100-000084030000}">
      <text>
        <r>
          <rPr>
            <sz val="11"/>
            <color theme="1"/>
            <rFont val="Calibri"/>
            <family val="2"/>
            <scheme val="minor"/>
          </rPr>
          <t>Introduzca un número con dos decimales como máximo. Debe ser igual o mayor a la "Cantidad Real Consumida"</t>
        </r>
      </text>
    </comment>
    <comment ref="E827" authorId="1" shapeId="0" xr:uid="{00000000-0006-0000-0100-000085030000}">
      <text>
        <r>
          <rPr>
            <sz val="11"/>
            <color theme="1"/>
            <rFont val="Calibri"/>
            <family val="2"/>
            <scheme val="minor"/>
          </rPr>
          <t>Introduzca un número con dos decimales como máximo</t>
        </r>
      </text>
    </comment>
    <comment ref="F827" authorId="1" shapeId="0" xr:uid="{00000000-0006-0000-0100-000086030000}">
      <text>
        <r>
          <rPr>
            <sz val="11"/>
            <color theme="1"/>
            <rFont val="Calibri"/>
            <family val="2"/>
            <scheme val="minor"/>
          </rPr>
          <t>Monto calculado automáticamente por el sistema</t>
        </r>
      </text>
    </comment>
    <comment ref="A834" authorId="1" shapeId="0" xr:uid="{00000000-0006-0000-0100-000087030000}">
      <text>
        <r>
          <rPr>
            <sz val="11"/>
            <color theme="1"/>
            <rFont val="Calibri"/>
            <family val="2"/>
            <scheme val="minor"/>
          </rPr>
          <t>Introducir un texto con el nombre o referencia de la contratación</t>
        </r>
      </text>
    </comment>
    <comment ref="B834" authorId="1" shapeId="0" xr:uid="{00000000-0006-0000-0100-000088030000}">
      <text>
        <r>
          <rPr>
            <sz val="11"/>
            <color theme="1"/>
            <rFont val="Calibri"/>
            <family val="2"/>
            <scheme val="minor"/>
          </rPr>
          <t>Introduzca un texto con la finalidad de la contratación</t>
        </r>
      </text>
    </comment>
    <comment ref="C834" authorId="1" shapeId="0" xr:uid="{00000000-0006-0000-0100-000089030000}">
      <text>
        <r>
          <rPr>
            <sz val="11"/>
            <color theme="1"/>
            <rFont val="Calibri"/>
            <family val="2"/>
            <scheme val="minor"/>
          </rPr>
          <t>Seleccionar un valor del listado</t>
        </r>
      </text>
    </comment>
    <comment ref="D834" authorId="1" shapeId="0" xr:uid="{00000000-0006-0000-0100-00008A030000}">
      <text>
        <r>
          <rPr>
            <sz val="11"/>
            <color theme="1"/>
            <rFont val="Calibri"/>
            <family val="2"/>
            <scheme val="minor"/>
          </rPr>
          <t>Seleccione el tipo de procedimiento</t>
        </r>
      </text>
    </comment>
    <comment ref="E834" authorId="1" shapeId="0" xr:uid="{00000000-0006-0000-0100-00008B030000}">
      <text>
        <r>
          <rPr>
            <sz val="11"/>
            <color theme="1"/>
            <rFont val="Calibri"/>
            <family val="2"/>
            <scheme val="minor"/>
          </rPr>
          <t>Seleccione un valor de la lista</t>
        </r>
      </text>
    </comment>
    <comment ref="F834" authorId="1" shapeId="0" xr:uid="{00000000-0006-0000-0100-00008C030000}">
      <text>
        <r>
          <rPr>
            <sz val="11"/>
            <color theme="1"/>
            <rFont val="Calibri"/>
            <family val="2"/>
            <scheme val="minor"/>
          </rPr>
          <t>Introduzca el código SNIP</t>
        </r>
      </text>
    </comment>
    <comment ref="C835" authorId="1" shapeId="0" xr:uid="{00000000-0006-0000-0100-00008D030000}">
      <text>
        <r>
          <rPr>
            <sz val="11"/>
            <color theme="1"/>
            <rFont val="Calibri"/>
            <family val="2"/>
            <scheme val="minor"/>
          </rPr>
          <t>Introduzca la fecha de inicio del proceso, en formato dd-mm-aaaa</t>
        </r>
      </text>
    </comment>
    <comment ref="F835" authorId="1" shapeId="0" xr:uid="{00000000-0006-0000-0100-00008F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6" authorId="1" shapeId="0" xr:uid="{00000000-0006-0000-0100-000090030000}">
      <text/>
    </comment>
    <comment ref="C837" authorId="1" shapeId="0" xr:uid="{00000000-0006-0000-0100-00008E030000}">
      <text>
        <r>
          <rPr>
            <sz val="11"/>
            <color theme="1"/>
            <rFont val="Calibri"/>
            <family val="2"/>
            <scheme val="minor"/>
          </rPr>
          <t>Introduzca la fecha prevista de adjudicación, en formato dd-mm-aaaa</t>
        </r>
      </text>
    </comment>
    <comment ref="F837" authorId="1" shapeId="0" xr:uid="{00000000-0006-0000-0100-000091030000}">
      <text/>
    </comment>
    <comment ref="F838" authorId="1" shapeId="0" xr:uid="{00000000-0006-0000-0100-000092030000}">
      <text/>
    </comment>
    <comment ref="A840" authorId="1" shapeId="0" xr:uid="{00000000-0006-0000-0100-000093030000}">
      <text>
        <r>
          <rPr>
            <sz val="11"/>
            <color theme="1"/>
            <rFont val="Calibri"/>
            <family val="2"/>
            <scheme val="minor"/>
          </rPr>
          <t>Introduzca un codigo UNSPSC</t>
        </r>
      </text>
    </comment>
    <comment ref="B840" authorId="1" shapeId="0" xr:uid="{00000000-0006-0000-0100-000094030000}">
      <text>
        <r>
          <rPr>
            <sz val="11"/>
            <color theme="1"/>
            <rFont val="Calibri"/>
            <family val="2"/>
            <scheme val="minor"/>
          </rPr>
          <t>Descripción calculada automáticamente a partir de código del artículo</t>
        </r>
      </text>
    </comment>
    <comment ref="C840" authorId="1" shapeId="0" xr:uid="{00000000-0006-0000-0100-000095030000}">
      <text>
        <r>
          <rPr>
            <sz val="11"/>
            <color theme="1"/>
            <rFont val="Calibri"/>
            <family val="2"/>
            <scheme val="minor"/>
          </rPr>
          <t>Seleccione un valor de la lista</t>
        </r>
      </text>
    </comment>
    <comment ref="D840" authorId="1" shapeId="0" xr:uid="{00000000-0006-0000-0100-000096030000}">
      <text>
        <r>
          <rPr>
            <sz val="11"/>
            <color theme="1"/>
            <rFont val="Calibri"/>
            <family val="2"/>
            <scheme val="minor"/>
          </rPr>
          <t>Introduzca un número con dos decimales como máximo. Debe ser igual o mayor a la "Cantidad Real Consumida"</t>
        </r>
      </text>
    </comment>
    <comment ref="E840" authorId="1" shapeId="0" xr:uid="{00000000-0006-0000-0100-000097030000}">
      <text>
        <r>
          <rPr>
            <sz val="11"/>
            <color theme="1"/>
            <rFont val="Calibri"/>
            <family val="2"/>
            <scheme val="minor"/>
          </rPr>
          <t>Introduzca un número con dos decimales como máximo</t>
        </r>
      </text>
    </comment>
    <comment ref="F840" authorId="1" shapeId="0" xr:uid="{00000000-0006-0000-0100-000098030000}">
      <text>
        <r>
          <rPr>
            <sz val="11"/>
            <color theme="1"/>
            <rFont val="Calibri"/>
            <family val="2"/>
            <scheme val="minor"/>
          </rPr>
          <t>Monto calculado automáticamente por el sistema</t>
        </r>
      </text>
    </comment>
    <comment ref="A845" authorId="1" shapeId="0" xr:uid="{00000000-0006-0000-0100-000099030000}">
      <text>
        <r>
          <rPr>
            <sz val="11"/>
            <color theme="1"/>
            <rFont val="Calibri"/>
            <family val="2"/>
            <scheme val="minor"/>
          </rPr>
          <t>Introducir un texto con el nombre o referencia de la contratación</t>
        </r>
      </text>
    </comment>
    <comment ref="B845" authorId="1" shapeId="0" xr:uid="{00000000-0006-0000-0100-00009A030000}">
      <text>
        <r>
          <rPr>
            <sz val="11"/>
            <color theme="1"/>
            <rFont val="Calibri"/>
            <family val="2"/>
            <scheme val="minor"/>
          </rPr>
          <t>Introduzca un texto con la finalidad de la contratación</t>
        </r>
      </text>
    </comment>
    <comment ref="C845" authorId="1" shapeId="0" xr:uid="{00000000-0006-0000-0100-00009B030000}">
      <text>
        <r>
          <rPr>
            <sz val="11"/>
            <color theme="1"/>
            <rFont val="Calibri"/>
            <family val="2"/>
            <scheme val="minor"/>
          </rPr>
          <t>Seleccionar un valor del listado</t>
        </r>
      </text>
    </comment>
    <comment ref="D845" authorId="1" shapeId="0" xr:uid="{00000000-0006-0000-0100-00009C030000}">
      <text>
        <r>
          <rPr>
            <sz val="11"/>
            <color theme="1"/>
            <rFont val="Calibri"/>
            <family val="2"/>
            <scheme val="minor"/>
          </rPr>
          <t>Seleccione el tipo de procedimiento</t>
        </r>
      </text>
    </comment>
    <comment ref="E845" authorId="1" shapeId="0" xr:uid="{00000000-0006-0000-0100-00009D030000}">
      <text>
        <r>
          <rPr>
            <sz val="11"/>
            <color theme="1"/>
            <rFont val="Calibri"/>
            <family val="2"/>
            <scheme val="minor"/>
          </rPr>
          <t>Seleccione un valor de la lista</t>
        </r>
      </text>
    </comment>
    <comment ref="F845" authorId="1" shapeId="0" xr:uid="{00000000-0006-0000-0100-00009E030000}">
      <text>
        <r>
          <rPr>
            <sz val="11"/>
            <color theme="1"/>
            <rFont val="Calibri"/>
            <family val="2"/>
            <scheme val="minor"/>
          </rPr>
          <t>Introduzca el código SNIP</t>
        </r>
      </text>
    </comment>
    <comment ref="C846" authorId="1" shapeId="0" xr:uid="{00000000-0006-0000-0100-00009F030000}">
      <text>
        <r>
          <rPr>
            <sz val="11"/>
            <color theme="1"/>
            <rFont val="Calibri"/>
            <family val="2"/>
            <scheme val="minor"/>
          </rPr>
          <t>Introduzca la fecha de inicio del proceso, en formato dd-mm-aaaa</t>
        </r>
      </text>
    </comment>
    <comment ref="F846" authorId="1" shapeId="0" xr:uid="{00000000-0006-0000-0100-0000A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7" authorId="1" shapeId="0" xr:uid="{00000000-0006-0000-0100-0000A2030000}">
      <text/>
    </comment>
    <comment ref="C848" authorId="1" shapeId="0" xr:uid="{00000000-0006-0000-0100-0000A0030000}">
      <text>
        <r>
          <rPr>
            <sz val="11"/>
            <color theme="1"/>
            <rFont val="Calibri"/>
            <family val="2"/>
            <scheme val="minor"/>
          </rPr>
          <t>Introduzca la fecha prevista de adjudicación, en formato dd-mm-aaaa</t>
        </r>
      </text>
    </comment>
    <comment ref="F848" authorId="1" shapeId="0" xr:uid="{00000000-0006-0000-0100-0000A3030000}">
      <text/>
    </comment>
    <comment ref="F849" authorId="1" shapeId="0" xr:uid="{00000000-0006-0000-0100-0000A4030000}">
      <text/>
    </comment>
    <comment ref="A851" authorId="1" shapeId="0" xr:uid="{00000000-0006-0000-0100-0000A5030000}">
      <text>
        <r>
          <rPr>
            <sz val="11"/>
            <color theme="1"/>
            <rFont val="Calibri"/>
            <family val="2"/>
            <scheme val="minor"/>
          </rPr>
          <t>Introduzca un codigo UNSPSC</t>
        </r>
      </text>
    </comment>
    <comment ref="B851" authorId="1" shapeId="0" xr:uid="{00000000-0006-0000-0100-0000A6030000}">
      <text>
        <r>
          <rPr>
            <sz val="11"/>
            <color theme="1"/>
            <rFont val="Calibri"/>
            <family val="2"/>
            <scheme val="minor"/>
          </rPr>
          <t>Descripción calculada automáticamente a partir de código del artículo</t>
        </r>
      </text>
    </comment>
    <comment ref="C851" authorId="1" shapeId="0" xr:uid="{00000000-0006-0000-0100-0000A7030000}">
      <text>
        <r>
          <rPr>
            <sz val="11"/>
            <color theme="1"/>
            <rFont val="Calibri"/>
            <family val="2"/>
            <scheme val="minor"/>
          </rPr>
          <t>Seleccione un valor de la lista</t>
        </r>
      </text>
    </comment>
    <comment ref="D851" authorId="1" shapeId="0" xr:uid="{00000000-0006-0000-0100-0000A8030000}">
      <text>
        <r>
          <rPr>
            <sz val="11"/>
            <color theme="1"/>
            <rFont val="Calibri"/>
            <family val="2"/>
            <scheme val="minor"/>
          </rPr>
          <t>Introduzca un número con dos decimales como máximo. Debe ser igual o mayor a la "Cantidad Real Consumida"</t>
        </r>
      </text>
    </comment>
    <comment ref="E851" authorId="1" shapeId="0" xr:uid="{00000000-0006-0000-0100-0000A9030000}">
      <text>
        <r>
          <rPr>
            <sz val="11"/>
            <color theme="1"/>
            <rFont val="Calibri"/>
            <family val="2"/>
            <scheme val="minor"/>
          </rPr>
          <t>Introduzca un número con dos decimales como máximo</t>
        </r>
      </text>
    </comment>
    <comment ref="F851" authorId="1" shapeId="0" xr:uid="{00000000-0006-0000-0100-0000AA030000}">
      <text>
        <r>
          <rPr>
            <sz val="11"/>
            <color theme="1"/>
            <rFont val="Calibri"/>
            <family val="2"/>
            <scheme val="minor"/>
          </rPr>
          <t>Monto calculado automáticamente por el sistema</t>
        </r>
      </text>
    </comment>
    <comment ref="A868" authorId="1" shapeId="0" xr:uid="{00000000-0006-0000-0100-0000AB030000}">
      <text>
        <r>
          <rPr>
            <sz val="11"/>
            <color theme="1"/>
            <rFont val="Calibri"/>
            <family val="2"/>
            <scheme val="minor"/>
          </rPr>
          <t>Introducir un texto con el nombre o referencia de la contratación</t>
        </r>
      </text>
    </comment>
    <comment ref="B868" authorId="1" shapeId="0" xr:uid="{00000000-0006-0000-0100-0000AC030000}">
      <text>
        <r>
          <rPr>
            <sz val="11"/>
            <color theme="1"/>
            <rFont val="Calibri"/>
            <family val="2"/>
            <scheme val="minor"/>
          </rPr>
          <t>Introduzca un texto con la finalidad de la contratación</t>
        </r>
      </text>
    </comment>
    <comment ref="C868" authorId="1" shapeId="0" xr:uid="{00000000-0006-0000-0100-0000AD030000}">
      <text>
        <r>
          <rPr>
            <sz val="11"/>
            <color theme="1"/>
            <rFont val="Calibri"/>
            <family val="2"/>
            <scheme val="minor"/>
          </rPr>
          <t>Seleccionar un valor del listado</t>
        </r>
      </text>
    </comment>
    <comment ref="D868" authorId="1" shapeId="0" xr:uid="{00000000-0006-0000-0100-0000AE030000}">
      <text>
        <r>
          <rPr>
            <sz val="11"/>
            <color theme="1"/>
            <rFont val="Calibri"/>
            <family val="2"/>
            <scheme val="minor"/>
          </rPr>
          <t>Seleccione el tipo de procedimiento</t>
        </r>
      </text>
    </comment>
    <comment ref="E868" authorId="1" shapeId="0" xr:uid="{00000000-0006-0000-0100-0000AF030000}">
      <text>
        <r>
          <rPr>
            <sz val="11"/>
            <color theme="1"/>
            <rFont val="Calibri"/>
            <family val="2"/>
            <scheme val="minor"/>
          </rPr>
          <t>Seleccione un valor de la lista</t>
        </r>
      </text>
    </comment>
    <comment ref="F868" authorId="1" shapeId="0" xr:uid="{00000000-0006-0000-0100-0000B0030000}">
      <text>
        <r>
          <rPr>
            <sz val="11"/>
            <color theme="1"/>
            <rFont val="Calibri"/>
            <family val="2"/>
            <scheme val="minor"/>
          </rPr>
          <t>Introduzca el código SNIP</t>
        </r>
      </text>
    </comment>
    <comment ref="C869" authorId="1" shapeId="0" xr:uid="{00000000-0006-0000-0100-0000B1030000}">
      <text>
        <r>
          <rPr>
            <sz val="11"/>
            <color theme="1"/>
            <rFont val="Calibri"/>
            <family val="2"/>
            <scheme val="minor"/>
          </rPr>
          <t>Introduzca la fecha de inicio del proceso, en formato dd-mm-aaaa</t>
        </r>
      </text>
    </comment>
    <comment ref="F869" authorId="1" shapeId="0" xr:uid="{00000000-0006-0000-0100-0000B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0" authorId="1" shapeId="0" xr:uid="{00000000-0006-0000-0100-0000B4030000}">
      <text/>
    </comment>
    <comment ref="C871" authorId="1" shapeId="0" xr:uid="{00000000-0006-0000-0100-0000B2030000}">
      <text>
        <r>
          <rPr>
            <sz val="11"/>
            <color theme="1"/>
            <rFont val="Calibri"/>
            <family val="2"/>
            <scheme val="minor"/>
          </rPr>
          <t>Introduzca la fecha prevista de adjudicación, en formato dd-mm-aaaa</t>
        </r>
      </text>
    </comment>
    <comment ref="F871" authorId="1" shapeId="0" xr:uid="{00000000-0006-0000-0100-0000B5030000}">
      <text/>
    </comment>
    <comment ref="F872" authorId="1" shapeId="0" xr:uid="{00000000-0006-0000-0100-0000B6030000}">
      <text/>
    </comment>
    <comment ref="A874" authorId="1" shapeId="0" xr:uid="{00000000-0006-0000-0100-0000B7030000}">
      <text>
        <r>
          <rPr>
            <sz val="11"/>
            <color theme="1"/>
            <rFont val="Calibri"/>
            <family val="2"/>
            <scheme val="minor"/>
          </rPr>
          <t>Introduzca un codigo UNSPSC</t>
        </r>
      </text>
    </comment>
    <comment ref="B874" authorId="1" shapeId="0" xr:uid="{00000000-0006-0000-0100-0000B8030000}">
      <text>
        <r>
          <rPr>
            <sz val="11"/>
            <color theme="1"/>
            <rFont val="Calibri"/>
            <family val="2"/>
            <scheme val="minor"/>
          </rPr>
          <t>Descripción calculada automáticamente a partir de código del artículo</t>
        </r>
      </text>
    </comment>
    <comment ref="C874" authorId="1" shapeId="0" xr:uid="{00000000-0006-0000-0100-0000B9030000}">
      <text>
        <r>
          <rPr>
            <sz val="11"/>
            <color theme="1"/>
            <rFont val="Calibri"/>
            <family val="2"/>
            <scheme val="minor"/>
          </rPr>
          <t>Seleccione un valor de la lista</t>
        </r>
      </text>
    </comment>
    <comment ref="D874" authorId="1" shapeId="0" xr:uid="{00000000-0006-0000-0100-0000BA030000}">
      <text>
        <r>
          <rPr>
            <sz val="11"/>
            <color theme="1"/>
            <rFont val="Calibri"/>
            <family val="2"/>
            <scheme val="minor"/>
          </rPr>
          <t>Introduzca un número con dos decimales como máximo. Debe ser igual o mayor a la "Cantidad Real Consumida"</t>
        </r>
      </text>
    </comment>
    <comment ref="E874" authorId="1" shapeId="0" xr:uid="{00000000-0006-0000-0100-0000BB030000}">
      <text>
        <r>
          <rPr>
            <sz val="11"/>
            <color theme="1"/>
            <rFont val="Calibri"/>
            <family val="2"/>
            <scheme val="minor"/>
          </rPr>
          <t>Introduzca un número con dos decimales como máximo</t>
        </r>
      </text>
    </comment>
    <comment ref="F874" authorId="1" shapeId="0" xr:uid="{00000000-0006-0000-0100-0000BC030000}">
      <text>
        <r>
          <rPr>
            <sz val="11"/>
            <color theme="1"/>
            <rFont val="Calibri"/>
            <family val="2"/>
            <scheme val="minor"/>
          </rPr>
          <t>Monto calculado automáticamente por el sistema</t>
        </r>
      </text>
    </comment>
    <comment ref="A880" authorId="1" shapeId="0" xr:uid="{00000000-0006-0000-0100-0000BD030000}">
      <text>
        <r>
          <rPr>
            <sz val="11"/>
            <color theme="1"/>
            <rFont val="Calibri"/>
            <family val="2"/>
            <scheme val="minor"/>
          </rPr>
          <t>Introducir un texto con el nombre o referencia de la contratación</t>
        </r>
      </text>
    </comment>
    <comment ref="B880" authorId="1" shapeId="0" xr:uid="{00000000-0006-0000-0100-0000BE030000}">
      <text>
        <r>
          <rPr>
            <sz val="11"/>
            <color theme="1"/>
            <rFont val="Calibri"/>
            <family val="2"/>
            <scheme val="minor"/>
          </rPr>
          <t>Introduzca un texto con la finalidad de la contratación</t>
        </r>
      </text>
    </comment>
    <comment ref="C880" authorId="1" shapeId="0" xr:uid="{00000000-0006-0000-0100-0000BF030000}">
      <text>
        <r>
          <rPr>
            <sz val="11"/>
            <color theme="1"/>
            <rFont val="Calibri"/>
            <family val="2"/>
            <scheme val="minor"/>
          </rPr>
          <t>Seleccionar un valor del listado</t>
        </r>
      </text>
    </comment>
    <comment ref="D880" authorId="1" shapeId="0" xr:uid="{00000000-0006-0000-0100-0000C0030000}">
      <text>
        <r>
          <rPr>
            <sz val="11"/>
            <color theme="1"/>
            <rFont val="Calibri"/>
            <family val="2"/>
            <scheme val="minor"/>
          </rPr>
          <t>Seleccione el tipo de procedimiento</t>
        </r>
      </text>
    </comment>
    <comment ref="E880" authorId="1" shapeId="0" xr:uid="{00000000-0006-0000-0100-0000C1030000}">
      <text>
        <r>
          <rPr>
            <sz val="11"/>
            <color theme="1"/>
            <rFont val="Calibri"/>
            <family val="2"/>
            <scheme val="minor"/>
          </rPr>
          <t>Seleccione un valor de la lista</t>
        </r>
      </text>
    </comment>
    <comment ref="F880" authorId="1" shapeId="0" xr:uid="{00000000-0006-0000-0100-0000C2030000}">
      <text>
        <r>
          <rPr>
            <sz val="11"/>
            <color theme="1"/>
            <rFont val="Calibri"/>
            <family val="2"/>
            <scheme val="minor"/>
          </rPr>
          <t>Introduzca el código SNIP</t>
        </r>
      </text>
    </comment>
    <comment ref="C881" authorId="1" shapeId="0" xr:uid="{00000000-0006-0000-0100-0000C3030000}">
      <text>
        <r>
          <rPr>
            <sz val="11"/>
            <color theme="1"/>
            <rFont val="Calibri"/>
            <family val="2"/>
            <scheme val="minor"/>
          </rPr>
          <t>Introduzca la fecha de inicio del proceso, en formato dd-mm-aaaa</t>
        </r>
      </text>
    </comment>
    <comment ref="F881" authorId="1" shapeId="0" xr:uid="{00000000-0006-0000-0100-0000C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2" authorId="1" shapeId="0" xr:uid="{00000000-0006-0000-0100-0000C6030000}">
      <text/>
    </comment>
    <comment ref="C883" authorId="1" shapeId="0" xr:uid="{00000000-0006-0000-0100-0000C4030000}">
      <text>
        <r>
          <rPr>
            <sz val="11"/>
            <color theme="1"/>
            <rFont val="Calibri"/>
            <family val="2"/>
            <scheme val="minor"/>
          </rPr>
          <t>Introduzca la fecha prevista de adjudicación, en formato dd-mm-aaaa</t>
        </r>
      </text>
    </comment>
    <comment ref="F883" authorId="1" shapeId="0" xr:uid="{00000000-0006-0000-0100-0000C7030000}">
      <text/>
    </comment>
    <comment ref="F884" authorId="1" shapeId="0" xr:uid="{00000000-0006-0000-0100-0000C8030000}">
      <text/>
    </comment>
    <comment ref="A886" authorId="1" shapeId="0" xr:uid="{00000000-0006-0000-0100-0000C9030000}">
      <text>
        <r>
          <rPr>
            <sz val="11"/>
            <color theme="1"/>
            <rFont val="Calibri"/>
            <family val="2"/>
            <scheme val="minor"/>
          </rPr>
          <t>Introduzca un codigo UNSPSC</t>
        </r>
      </text>
    </comment>
    <comment ref="B886" authorId="1" shapeId="0" xr:uid="{00000000-0006-0000-0100-0000CA030000}">
      <text>
        <r>
          <rPr>
            <sz val="11"/>
            <color theme="1"/>
            <rFont val="Calibri"/>
            <family val="2"/>
            <scheme val="minor"/>
          </rPr>
          <t>Descripción calculada automáticamente a partir de código del artículo</t>
        </r>
      </text>
    </comment>
    <comment ref="C886" authorId="1" shapeId="0" xr:uid="{00000000-0006-0000-0100-0000CB030000}">
      <text>
        <r>
          <rPr>
            <sz val="11"/>
            <color theme="1"/>
            <rFont val="Calibri"/>
            <family val="2"/>
            <scheme val="minor"/>
          </rPr>
          <t>Seleccione un valor de la lista</t>
        </r>
      </text>
    </comment>
    <comment ref="D886" authorId="1" shapeId="0" xr:uid="{00000000-0006-0000-0100-0000CC030000}">
      <text>
        <r>
          <rPr>
            <sz val="11"/>
            <color theme="1"/>
            <rFont val="Calibri"/>
            <family val="2"/>
            <scheme val="minor"/>
          </rPr>
          <t>Introduzca un número con dos decimales como máximo. Debe ser igual o mayor a la "Cantidad Real Consumida"</t>
        </r>
      </text>
    </comment>
    <comment ref="E886" authorId="1" shapeId="0" xr:uid="{00000000-0006-0000-0100-0000CD030000}">
      <text>
        <r>
          <rPr>
            <sz val="11"/>
            <color theme="1"/>
            <rFont val="Calibri"/>
            <family val="2"/>
            <scheme val="minor"/>
          </rPr>
          <t>Introduzca un número con dos decimales como máximo</t>
        </r>
      </text>
    </comment>
    <comment ref="F886" authorId="1" shapeId="0" xr:uid="{00000000-0006-0000-0100-0000CE030000}">
      <text>
        <r>
          <rPr>
            <sz val="11"/>
            <color theme="1"/>
            <rFont val="Calibri"/>
            <family val="2"/>
            <scheme val="minor"/>
          </rPr>
          <t>Monto calculado automáticamente por el sistema</t>
        </r>
      </text>
    </comment>
    <comment ref="A896" authorId="1" shapeId="0" xr:uid="{00000000-0006-0000-0100-0000CF030000}">
      <text>
        <r>
          <rPr>
            <sz val="11"/>
            <color theme="1"/>
            <rFont val="Calibri"/>
            <family val="2"/>
            <scheme val="minor"/>
          </rPr>
          <t>Introducir un texto con el nombre o referencia de la contratación</t>
        </r>
      </text>
    </comment>
    <comment ref="B896" authorId="1" shapeId="0" xr:uid="{00000000-0006-0000-0100-0000D0030000}">
      <text>
        <r>
          <rPr>
            <sz val="11"/>
            <color theme="1"/>
            <rFont val="Calibri"/>
            <family val="2"/>
            <scheme val="minor"/>
          </rPr>
          <t>Introduzca un texto con la finalidad de la contratación</t>
        </r>
      </text>
    </comment>
    <comment ref="C896" authorId="1" shapeId="0" xr:uid="{00000000-0006-0000-0100-0000D1030000}">
      <text>
        <r>
          <rPr>
            <sz val="11"/>
            <color theme="1"/>
            <rFont val="Calibri"/>
            <family val="2"/>
            <scheme val="minor"/>
          </rPr>
          <t>Seleccionar un valor del listado</t>
        </r>
      </text>
    </comment>
    <comment ref="D896" authorId="1" shapeId="0" xr:uid="{00000000-0006-0000-0100-0000D2030000}">
      <text>
        <r>
          <rPr>
            <sz val="11"/>
            <color theme="1"/>
            <rFont val="Calibri"/>
            <family val="2"/>
            <scheme val="minor"/>
          </rPr>
          <t>Seleccione el tipo de procedimiento</t>
        </r>
      </text>
    </comment>
    <comment ref="E896" authorId="1" shapeId="0" xr:uid="{00000000-0006-0000-0100-0000D3030000}">
      <text>
        <r>
          <rPr>
            <sz val="11"/>
            <color theme="1"/>
            <rFont val="Calibri"/>
            <family val="2"/>
            <scheme val="minor"/>
          </rPr>
          <t>Seleccione un valor de la lista</t>
        </r>
      </text>
    </comment>
    <comment ref="F896" authorId="1" shapeId="0" xr:uid="{00000000-0006-0000-0100-0000D4030000}">
      <text>
        <r>
          <rPr>
            <sz val="11"/>
            <color theme="1"/>
            <rFont val="Calibri"/>
            <family val="2"/>
            <scheme val="minor"/>
          </rPr>
          <t>Introduzca el código SNIP</t>
        </r>
      </text>
    </comment>
    <comment ref="C897" authorId="1" shapeId="0" xr:uid="{00000000-0006-0000-0100-0000D5030000}">
      <text>
        <r>
          <rPr>
            <sz val="11"/>
            <color theme="1"/>
            <rFont val="Calibri"/>
            <family val="2"/>
            <scheme val="minor"/>
          </rPr>
          <t>Introduzca la fecha de inicio del proceso, en formato dd-mm-aaaa</t>
        </r>
      </text>
    </comment>
    <comment ref="F897" authorId="1" shapeId="0" xr:uid="{00000000-0006-0000-0100-0000D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8" authorId="1" shapeId="0" xr:uid="{00000000-0006-0000-0100-0000D8030000}">
      <text/>
    </comment>
    <comment ref="C899" authorId="1" shapeId="0" xr:uid="{00000000-0006-0000-0100-0000D6030000}">
      <text>
        <r>
          <rPr>
            <sz val="11"/>
            <color theme="1"/>
            <rFont val="Calibri"/>
            <family val="2"/>
            <scheme val="minor"/>
          </rPr>
          <t>Introduzca la fecha prevista de adjudicación, en formato dd-mm-aaaa</t>
        </r>
      </text>
    </comment>
    <comment ref="F899" authorId="1" shapeId="0" xr:uid="{00000000-0006-0000-0100-0000D9030000}">
      <text/>
    </comment>
    <comment ref="F900" authorId="1" shapeId="0" xr:uid="{00000000-0006-0000-0100-0000DA030000}">
      <text/>
    </comment>
    <comment ref="A902" authorId="1" shapeId="0" xr:uid="{00000000-0006-0000-0100-0000DB030000}">
      <text>
        <r>
          <rPr>
            <sz val="11"/>
            <color theme="1"/>
            <rFont val="Calibri"/>
            <family val="2"/>
            <scheme val="minor"/>
          </rPr>
          <t>Introduzca un codigo UNSPSC</t>
        </r>
      </text>
    </comment>
    <comment ref="B902" authorId="1" shapeId="0" xr:uid="{00000000-0006-0000-0100-0000DC030000}">
      <text>
        <r>
          <rPr>
            <sz val="11"/>
            <color theme="1"/>
            <rFont val="Calibri"/>
            <family val="2"/>
            <scheme val="minor"/>
          </rPr>
          <t>Descripción calculada automáticamente a partir de código del artículo</t>
        </r>
      </text>
    </comment>
    <comment ref="C902" authorId="1" shapeId="0" xr:uid="{00000000-0006-0000-0100-0000DD030000}">
      <text>
        <r>
          <rPr>
            <sz val="11"/>
            <color theme="1"/>
            <rFont val="Calibri"/>
            <family val="2"/>
            <scheme val="minor"/>
          </rPr>
          <t>Seleccione un valor de la lista</t>
        </r>
      </text>
    </comment>
    <comment ref="D902" authorId="1" shapeId="0" xr:uid="{00000000-0006-0000-0100-0000DE030000}">
      <text>
        <r>
          <rPr>
            <sz val="11"/>
            <color theme="1"/>
            <rFont val="Calibri"/>
            <family val="2"/>
            <scheme val="minor"/>
          </rPr>
          <t>Introduzca un número con dos decimales como máximo. Debe ser igual o mayor a la "Cantidad Real Consumida"</t>
        </r>
      </text>
    </comment>
    <comment ref="E902" authorId="1" shapeId="0" xr:uid="{00000000-0006-0000-0100-0000DF030000}">
      <text>
        <r>
          <rPr>
            <sz val="11"/>
            <color theme="1"/>
            <rFont val="Calibri"/>
            <family val="2"/>
            <scheme val="minor"/>
          </rPr>
          <t>Introduzca un número con dos decimales como máximo</t>
        </r>
      </text>
    </comment>
    <comment ref="F902" authorId="1" shapeId="0" xr:uid="{00000000-0006-0000-0100-0000E0030000}">
      <text>
        <r>
          <rPr>
            <sz val="11"/>
            <color theme="1"/>
            <rFont val="Calibri"/>
            <family val="2"/>
            <scheme val="minor"/>
          </rPr>
          <t>Monto calculado automáticamente por el sistema</t>
        </r>
      </text>
    </comment>
    <comment ref="A908" authorId="1" shapeId="0" xr:uid="{00000000-0006-0000-0100-0000E1030000}">
      <text>
        <r>
          <rPr>
            <sz val="11"/>
            <color theme="1"/>
            <rFont val="Calibri"/>
            <family val="2"/>
            <scheme val="minor"/>
          </rPr>
          <t>Introducir un texto con el nombre o referencia de la contratación</t>
        </r>
      </text>
    </comment>
    <comment ref="B908" authorId="1" shapeId="0" xr:uid="{00000000-0006-0000-0100-0000E2030000}">
      <text>
        <r>
          <rPr>
            <sz val="11"/>
            <color theme="1"/>
            <rFont val="Calibri"/>
            <family val="2"/>
            <scheme val="minor"/>
          </rPr>
          <t>Introduzca un texto con la finalidad de la contratación</t>
        </r>
      </text>
    </comment>
    <comment ref="C908" authorId="1" shapeId="0" xr:uid="{00000000-0006-0000-0100-0000E3030000}">
      <text>
        <r>
          <rPr>
            <sz val="11"/>
            <color theme="1"/>
            <rFont val="Calibri"/>
            <family val="2"/>
            <scheme val="minor"/>
          </rPr>
          <t>Seleccionar un valor del listado</t>
        </r>
      </text>
    </comment>
    <comment ref="D908" authorId="1" shapeId="0" xr:uid="{00000000-0006-0000-0100-0000E4030000}">
      <text>
        <r>
          <rPr>
            <sz val="11"/>
            <color theme="1"/>
            <rFont val="Calibri"/>
            <family val="2"/>
            <scheme val="minor"/>
          </rPr>
          <t>Seleccione el tipo de procedimiento</t>
        </r>
      </text>
    </comment>
    <comment ref="E908" authorId="1" shapeId="0" xr:uid="{00000000-0006-0000-0100-0000E5030000}">
      <text>
        <r>
          <rPr>
            <sz val="11"/>
            <color theme="1"/>
            <rFont val="Calibri"/>
            <family val="2"/>
            <scheme val="minor"/>
          </rPr>
          <t>Seleccione un valor de la lista</t>
        </r>
      </text>
    </comment>
    <comment ref="F908" authorId="1" shapeId="0" xr:uid="{00000000-0006-0000-0100-0000E6030000}">
      <text>
        <r>
          <rPr>
            <sz val="11"/>
            <color theme="1"/>
            <rFont val="Calibri"/>
            <family val="2"/>
            <scheme val="minor"/>
          </rPr>
          <t>Introduzca el código SNIP</t>
        </r>
      </text>
    </comment>
    <comment ref="C909" authorId="1" shapeId="0" xr:uid="{00000000-0006-0000-0100-0000E7030000}">
      <text>
        <r>
          <rPr>
            <sz val="11"/>
            <color theme="1"/>
            <rFont val="Calibri"/>
            <family val="2"/>
            <scheme val="minor"/>
          </rPr>
          <t>Introduzca la fecha de inicio del proceso, en formato dd-mm-aaaa</t>
        </r>
      </text>
    </comment>
    <comment ref="F909" authorId="1" shapeId="0" xr:uid="{00000000-0006-0000-0100-0000E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0" authorId="1" shapeId="0" xr:uid="{00000000-0006-0000-0100-0000EA030000}">
      <text/>
    </comment>
    <comment ref="C911" authorId="1" shapeId="0" xr:uid="{00000000-0006-0000-0100-0000E8030000}">
      <text>
        <r>
          <rPr>
            <sz val="11"/>
            <color theme="1"/>
            <rFont val="Calibri"/>
            <family val="2"/>
            <scheme val="minor"/>
          </rPr>
          <t>Introduzca la fecha prevista de adjudicación, en formato dd-mm-aaaa</t>
        </r>
      </text>
    </comment>
    <comment ref="F911" authorId="1" shapeId="0" xr:uid="{00000000-0006-0000-0100-0000EB030000}">
      <text/>
    </comment>
    <comment ref="F912" authorId="1" shapeId="0" xr:uid="{00000000-0006-0000-0100-0000EC030000}">
      <text/>
    </comment>
    <comment ref="A914" authorId="1" shapeId="0" xr:uid="{00000000-0006-0000-0100-0000ED030000}">
      <text>
        <r>
          <rPr>
            <sz val="11"/>
            <color theme="1"/>
            <rFont val="Calibri"/>
            <family val="2"/>
            <scheme val="minor"/>
          </rPr>
          <t>Introduzca un codigo UNSPSC</t>
        </r>
      </text>
    </comment>
    <comment ref="B914" authorId="1" shapeId="0" xr:uid="{00000000-0006-0000-0100-0000EE030000}">
      <text>
        <r>
          <rPr>
            <sz val="11"/>
            <color theme="1"/>
            <rFont val="Calibri"/>
            <family val="2"/>
            <scheme val="minor"/>
          </rPr>
          <t>Descripción calculada automáticamente a partir de código del artículo</t>
        </r>
      </text>
    </comment>
    <comment ref="C914" authorId="1" shapeId="0" xr:uid="{00000000-0006-0000-0100-0000EF030000}">
      <text>
        <r>
          <rPr>
            <sz val="11"/>
            <color theme="1"/>
            <rFont val="Calibri"/>
            <family val="2"/>
            <scheme val="minor"/>
          </rPr>
          <t>Seleccione un valor de la lista</t>
        </r>
      </text>
    </comment>
    <comment ref="D914" authorId="1" shapeId="0" xr:uid="{00000000-0006-0000-0100-0000F0030000}">
      <text>
        <r>
          <rPr>
            <sz val="11"/>
            <color theme="1"/>
            <rFont val="Calibri"/>
            <family val="2"/>
            <scheme val="minor"/>
          </rPr>
          <t>Introduzca un número con dos decimales como máximo. Debe ser igual o mayor a la "Cantidad Real Consumida"</t>
        </r>
      </text>
    </comment>
    <comment ref="E914" authorId="1" shapeId="0" xr:uid="{00000000-0006-0000-0100-0000F1030000}">
      <text>
        <r>
          <rPr>
            <sz val="11"/>
            <color theme="1"/>
            <rFont val="Calibri"/>
            <family val="2"/>
            <scheme val="minor"/>
          </rPr>
          <t>Introduzca un número con dos decimales como máximo</t>
        </r>
      </text>
    </comment>
    <comment ref="F914" authorId="1" shapeId="0" xr:uid="{00000000-0006-0000-0100-0000F2030000}">
      <text>
        <r>
          <rPr>
            <sz val="11"/>
            <color theme="1"/>
            <rFont val="Calibri"/>
            <family val="2"/>
            <scheme val="minor"/>
          </rPr>
          <t>Monto calculado automáticamente por el sistema</t>
        </r>
      </text>
    </comment>
    <comment ref="A919" authorId="1" shapeId="0" xr:uid="{00000000-0006-0000-0100-0000F3030000}">
      <text>
        <r>
          <rPr>
            <sz val="11"/>
            <color theme="1"/>
            <rFont val="Calibri"/>
            <family val="2"/>
            <scheme val="minor"/>
          </rPr>
          <t>Introducir un texto con el nombre o referencia de la contratación</t>
        </r>
      </text>
    </comment>
    <comment ref="B919" authorId="1" shapeId="0" xr:uid="{00000000-0006-0000-0100-0000F4030000}">
      <text>
        <r>
          <rPr>
            <sz val="11"/>
            <color theme="1"/>
            <rFont val="Calibri"/>
            <family val="2"/>
            <scheme val="minor"/>
          </rPr>
          <t>Introduzca un texto con la finalidad de la contratación</t>
        </r>
      </text>
    </comment>
    <comment ref="C919" authorId="1" shapeId="0" xr:uid="{00000000-0006-0000-0100-0000F5030000}">
      <text>
        <r>
          <rPr>
            <sz val="11"/>
            <color theme="1"/>
            <rFont val="Calibri"/>
            <family val="2"/>
            <scheme val="minor"/>
          </rPr>
          <t>Seleccionar un valor del listado</t>
        </r>
      </text>
    </comment>
    <comment ref="D919" authorId="1" shapeId="0" xr:uid="{00000000-0006-0000-0100-0000F6030000}">
      <text>
        <r>
          <rPr>
            <sz val="11"/>
            <color theme="1"/>
            <rFont val="Calibri"/>
            <family val="2"/>
            <scheme val="minor"/>
          </rPr>
          <t>Seleccione el tipo de procedimiento</t>
        </r>
      </text>
    </comment>
    <comment ref="E919" authorId="1" shapeId="0" xr:uid="{00000000-0006-0000-0100-0000F7030000}">
      <text>
        <r>
          <rPr>
            <sz val="11"/>
            <color theme="1"/>
            <rFont val="Calibri"/>
            <family val="2"/>
            <scheme val="minor"/>
          </rPr>
          <t>Seleccione un valor de la lista</t>
        </r>
      </text>
    </comment>
    <comment ref="F919" authorId="1" shapeId="0" xr:uid="{00000000-0006-0000-0100-0000F8030000}">
      <text>
        <r>
          <rPr>
            <sz val="11"/>
            <color theme="1"/>
            <rFont val="Calibri"/>
            <family val="2"/>
            <scheme val="minor"/>
          </rPr>
          <t>Introduzca el código SNIP</t>
        </r>
      </text>
    </comment>
    <comment ref="C920" authorId="1" shapeId="0" xr:uid="{00000000-0006-0000-0100-0000F9030000}">
      <text>
        <r>
          <rPr>
            <sz val="11"/>
            <color theme="1"/>
            <rFont val="Calibri"/>
            <family val="2"/>
            <scheme val="minor"/>
          </rPr>
          <t>Introduzca la fecha de inicio del proceso, en formato dd-mm-aaaa</t>
        </r>
      </text>
    </comment>
    <comment ref="F920" authorId="1" shapeId="0" xr:uid="{00000000-0006-0000-0100-0000F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1" authorId="1" shapeId="0" xr:uid="{00000000-0006-0000-0100-0000FC030000}">
      <text/>
    </comment>
    <comment ref="C922" authorId="1" shapeId="0" xr:uid="{00000000-0006-0000-0100-0000FA030000}">
      <text>
        <r>
          <rPr>
            <sz val="11"/>
            <color theme="1"/>
            <rFont val="Calibri"/>
            <family val="2"/>
            <scheme val="minor"/>
          </rPr>
          <t>Introduzca la fecha prevista de adjudicación, en formato dd-mm-aaaa</t>
        </r>
      </text>
    </comment>
    <comment ref="F922" authorId="1" shapeId="0" xr:uid="{00000000-0006-0000-0100-0000FD030000}">
      <text/>
    </comment>
    <comment ref="F923" authorId="1" shapeId="0" xr:uid="{00000000-0006-0000-0100-0000FE030000}">
      <text/>
    </comment>
    <comment ref="A925" authorId="1" shapeId="0" xr:uid="{00000000-0006-0000-0100-0000FF030000}">
      <text>
        <r>
          <rPr>
            <sz val="11"/>
            <color theme="1"/>
            <rFont val="Calibri"/>
            <family val="2"/>
            <scheme val="minor"/>
          </rPr>
          <t>Introduzca un codigo UNSPSC</t>
        </r>
      </text>
    </comment>
    <comment ref="B925" authorId="1" shapeId="0" xr:uid="{00000000-0006-0000-0100-000000040000}">
      <text>
        <r>
          <rPr>
            <sz val="11"/>
            <color theme="1"/>
            <rFont val="Calibri"/>
            <family val="2"/>
            <scheme val="minor"/>
          </rPr>
          <t>Descripción calculada automáticamente a partir de código del artículo</t>
        </r>
      </text>
    </comment>
    <comment ref="C925" authorId="1" shapeId="0" xr:uid="{00000000-0006-0000-0100-000001040000}">
      <text>
        <r>
          <rPr>
            <sz val="11"/>
            <color theme="1"/>
            <rFont val="Calibri"/>
            <family val="2"/>
            <scheme val="minor"/>
          </rPr>
          <t>Seleccione un valor de la lista</t>
        </r>
      </text>
    </comment>
    <comment ref="D925" authorId="1" shapeId="0" xr:uid="{00000000-0006-0000-0100-000002040000}">
      <text>
        <r>
          <rPr>
            <sz val="11"/>
            <color theme="1"/>
            <rFont val="Calibri"/>
            <family val="2"/>
            <scheme val="minor"/>
          </rPr>
          <t>Introduzca un número con dos decimales como máximo. Debe ser igual o mayor a la "Cantidad Real Consumida"</t>
        </r>
      </text>
    </comment>
    <comment ref="E925" authorId="1" shapeId="0" xr:uid="{00000000-0006-0000-0100-000003040000}">
      <text>
        <r>
          <rPr>
            <sz val="11"/>
            <color theme="1"/>
            <rFont val="Calibri"/>
            <family val="2"/>
            <scheme val="minor"/>
          </rPr>
          <t>Introduzca un número con dos decimales como máximo</t>
        </r>
      </text>
    </comment>
    <comment ref="F925" authorId="1" shapeId="0" xr:uid="{00000000-0006-0000-0100-000004040000}">
      <text>
        <r>
          <rPr>
            <sz val="11"/>
            <color theme="1"/>
            <rFont val="Calibri"/>
            <family val="2"/>
            <scheme val="minor"/>
          </rPr>
          <t>Monto calculado automáticamente por el sistema</t>
        </r>
      </text>
    </comment>
    <comment ref="A932" authorId="1" shapeId="0" xr:uid="{00000000-0006-0000-0100-000005040000}">
      <text>
        <r>
          <rPr>
            <sz val="11"/>
            <color theme="1"/>
            <rFont val="Calibri"/>
            <family val="2"/>
            <scheme val="minor"/>
          </rPr>
          <t>Introducir un texto con el nombre o referencia de la contratación</t>
        </r>
      </text>
    </comment>
    <comment ref="B932" authorId="1" shapeId="0" xr:uid="{00000000-0006-0000-0100-000006040000}">
      <text>
        <r>
          <rPr>
            <sz val="11"/>
            <color theme="1"/>
            <rFont val="Calibri"/>
            <family val="2"/>
            <scheme val="minor"/>
          </rPr>
          <t>Introduzca un texto con la finalidad de la contratación</t>
        </r>
      </text>
    </comment>
    <comment ref="C932" authorId="1" shapeId="0" xr:uid="{00000000-0006-0000-0100-000007040000}">
      <text>
        <r>
          <rPr>
            <sz val="11"/>
            <color theme="1"/>
            <rFont val="Calibri"/>
            <family val="2"/>
            <scheme val="minor"/>
          </rPr>
          <t>Seleccionar un valor del listado</t>
        </r>
      </text>
    </comment>
    <comment ref="D932" authorId="1" shapeId="0" xr:uid="{00000000-0006-0000-0100-000008040000}">
      <text>
        <r>
          <rPr>
            <sz val="11"/>
            <color theme="1"/>
            <rFont val="Calibri"/>
            <family val="2"/>
            <scheme val="minor"/>
          </rPr>
          <t>Seleccione el tipo de procedimiento</t>
        </r>
      </text>
    </comment>
    <comment ref="E932" authorId="1" shapeId="0" xr:uid="{00000000-0006-0000-0100-000009040000}">
      <text>
        <r>
          <rPr>
            <sz val="11"/>
            <color theme="1"/>
            <rFont val="Calibri"/>
            <family val="2"/>
            <scheme val="minor"/>
          </rPr>
          <t>Seleccione un valor de la lista</t>
        </r>
      </text>
    </comment>
    <comment ref="F932" authorId="1" shapeId="0" xr:uid="{00000000-0006-0000-0100-00000A040000}">
      <text>
        <r>
          <rPr>
            <sz val="11"/>
            <color theme="1"/>
            <rFont val="Calibri"/>
            <family val="2"/>
            <scheme val="minor"/>
          </rPr>
          <t>Introduzca el código SNIP</t>
        </r>
      </text>
    </comment>
    <comment ref="C933" authorId="1" shapeId="0" xr:uid="{00000000-0006-0000-0100-00000B040000}">
      <text>
        <r>
          <rPr>
            <sz val="11"/>
            <color theme="1"/>
            <rFont val="Calibri"/>
            <family val="2"/>
            <scheme val="minor"/>
          </rPr>
          <t>Introduzca la fecha de inicio del proceso, en formato dd-mm-aaaa</t>
        </r>
      </text>
    </comment>
    <comment ref="F933" authorId="1" shapeId="0" xr:uid="{00000000-0006-0000-0100-00000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4" authorId="1" shapeId="0" xr:uid="{00000000-0006-0000-0100-00000E040000}">
      <text/>
    </comment>
    <comment ref="C935" authorId="1" shapeId="0" xr:uid="{00000000-0006-0000-0100-00000C040000}">
      <text>
        <r>
          <rPr>
            <sz val="11"/>
            <color theme="1"/>
            <rFont val="Calibri"/>
            <family val="2"/>
            <scheme val="minor"/>
          </rPr>
          <t>Introduzca la fecha prevista de adjudicación, en formato dd-mm-aaaa</t>
        </r>
      </text>
    </comment>
    <comment ref="F935" authorId="1" shapeId="0" xr:uid="{00000000-0006-0000-0100-00000F040000}">
      <text/>
    </comment>
    <comment ref="F936" authorId="1" shapeId="0" xr:uid="{00000000-0006-0000-0100-000010040000}">
      <text/>
    </comment>
    <comment ref="A938" authorId="1" shapeId="0" xr:uid="{00000000-0006-0000-0100-000011040000}">
      <text>
        <r>
          <rPr>
            <sz val="11"/>
            <color theme="1"/>
            <rFont val="Calibri"/>
            <family val="2"/>
            <scheme val="minor"/>
          </rPr>
          <t>Introduzca un codigo UNSPSC</t>
        </r>
      </text>
    </comment>
    <comment ref="B938" authorId="1" shapeId="0" xr:uid="{00000000-0006-0000-0100-000012040000}">
      <text>
        <r>
          <rPr>
            <sz val="11"/>
            <color theme="1"/>
            <rFont val="Calibri"/>
            <family val="2"/>
            <scheme val="minor"/>
          </rPr>
          <t>Descripción calculada automáticamente a partir de código del artículo</t>
        </r>
      </text>
    </comment>
    <comment ref="C938" authorId="1" shapeId="0" xr:uid="{00000000-0006-0000-0100-000013040000}">
      <text>
        <r>
          <rPr>
            <sz val="11"/>
            <color theme="1"/>
            <rFont val="Calibri"/>
            <family val="2"/>
            <scheme val="minor"/>
          </rPr>
          <t>Seleccione un valor de la lista</t>
        </r>
      </text>
    </comment>
    <comment ref="D938" authorId="1" shapeId="0" xr:uid="{00000000-0006-0000-0100-000014040000}">
      <text>
        <r>
          <rPr>
            <sz val="11"/>
            <color theme="1"/>
            <rFont val="Calibri"/>
            <family val="2"/>
            <scheme val="minor"/>
          </rPr>
          <t>Introduzca un número con dos decimales como máximo. Debe ser igual o mayor a la "Cantidad Real Consumida"</t>
        </r>
      </text>
    </comment>
    <comment ref="E938" authorId="1" shapeId="0" xr:uid="{00000000-0006-0000-0100-000015040000}">
      <text>
        <r>
          <rPr>
            <sz val="11"/>
            <color theme="1"/>
            <rFont val="Calibri"/>
            <family val="2"/>
            <scheme val="minor"/>
          </rPr>
          <t>Introduzca un número con dos decimales como máximo</t>
        </r>
      </text>
    </comment>
    <comment ref="F938" authorId="1" shapeId="0" xr:uid="{00000000-0006-0000-0100-000016040000}">
      <text>
        <r>
          <rPr>
            <sz val="11"/>
            <color theme="1"/>
            <rFont val="Calibri"/>
            <family val="2"/>
            <scheme val="minor"/>
          </rPr>
          <t>Monto calculado automáticamente por el sistema</t>
        </r>
      </text>
    </comment>
    <comment ref="A943" authorId="1" shapeId="0" xr:uid="{00000000-0006-0000-0100-000017040000}">
      <text>
        <r>
          <rPr>
            <sz val="11"/>
            <color theme="1"/>
            <rFont val="Calibri"/>
            <family val="2"/>
            <scheme val="minor"/>
          </rPr>
          <t>Introducir un texto con el nombre o referencia de la contratación</t>
        </r>
      </text>
    </comment>
    <comment ref="B943" authorId="1" shapeId="0" xr:uid="{00000000-0006-0000-0100-000018040000}">
      <text>
        <r>
          <rPr>
            <sz val="11"/>
            <color theme="1"/>
            <rFont val="Calibri"/>
            <family val="2"/>
            <scheme val="minor"/>
          </rPr>
          <t>Introduzca un texto con la finalidad de la contratación</t>
        </r>
      </text>
    </comment>
    <comment ref="C943" authorId="1" shapeId="0" xr:uid="{00000000-0006-0000-0100-000019040000}">
      <text>
        <r>
          <rPr>
            <sz val="11"/>
            <color theme="1"/>
            <rFont val="Calibri"/>
            <family val="2"/>
            <scheme val="minor"/>
          </rPr>
          <t>Seleccionar un valor del listado</t>
        </r>
      </text>
    </comment>
    <comment ref="D943" authorId="1" shapeId="0" xr:uid="{00000000-0006-0000-0100-00001A040000}">
      <text>
        <r>
          <rPr>
            <sz val="11"/>
            <color theme="1"/>
            <rFont val="Calibri"/>
            <family val="2"/>
            <scheme val="minor"/>
          </rPr>
          <t>Seleccione el tipo de procedimiento</t>
        </r>
      </text>
    </comment>
    <comment ref="E943" authorId="1" shapeId="0" xr:uid="{00000000-0006-0000-0100-00001B040000}">
      <text>
        <r>
          <rPr>
            <sz val="11"/>
            <color theme="1"/>
            <rFont val="Calibri"/>
            <family val="2"/>
            <scheme val="minor"/>
          </rPr>
          <t>Seleccione un valor de la lista</t>
        </r>
      </text>
    </comment>
    <comment ref="F943" authorId="1" shapeId="0" xr:uid="{00000000-0006-0000-0100-00001C040000}">
      <text>
        <r>
          <rPr>
            <sz val="11"/>
            <color theme="1"/>
            <rFont val="Calibri"/>
            <family val="2"/>
            <scheme val="minor"/>
          </rPr>
          <t>Introduzca el código SNIP</t>
        </r>
      </text>
    </comment>
    <comment ref="C944" authorId="1" shapeId="0" xr:uid="{00000000-0006-0000-0100-00001D040000}">
      <text>
        <r>
          <rPr>
            <sz val="11"/>
            <color theme="1"/>
            <rFont val="Calibri"/>
            <family val="2"/>
            <scheme val="minor"/>
          </rPr>
          <t>Introduzca la fecha de inicio del proceso, en formato dd-mm-aaaa</t>
        </r>
      </text>
    </comment>
    <comment ref="F944" authorId="1" shapeId="0" xr:uid="{00000000-0006-0000-0100-00001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5" authorId="1" shapeId="0" xr:uid="{00000000-0006-0000-0100-000020040000}">
      <text/>
    </comment>
    <comment ref="C946" authorId="1" shapeId="0" xr:uid="{00000000-0006-0000-0100-00001E040000}">
      <text>
        <r>
          <rPr>
            <sz val="11"/>
            <color theme="1"/>
            <rFont val="Calibri"/>
            <family val="2"/>
            <scheme val="minor"/>
          </rPr>
          <t>Introduzca la fecha prevista de adjudicación, en formato dd-mm-aaaa</t>
        </r>
      </text>
    </comment>
    <comment ref="F946" authorId="1" shapeId="0" xr:uid="{00000000-0006-0000-0100-000021040000}">
      <text/>
    </comment>
    <comment ref="F947" authorId="1" shapeId="0" xr:uid="{00000000-0006-0000-0100-000022040000}">
      <text/>
    </comment>
    <comment ref="A949" authorId="1" shapeId="0" xr:uid="{00000000-0006-0000-0100-000023040000}">
      <text>
        <r>
          <rPr>
            <sz val="11"/>
            <color theme="1"/>
            <rFont val="Calibri"/>
            <family val="2"/>
            <scheme val="minor"/>
          </rPr>
          <t>Introduzca un codigo UNSPSC</t>
        </r>
      </text>
    </comment>
    <comment ref="B949" authorId="1" shapeId="0" xr:uid="{00000000-0006-0000-0100-000024040000}">
      <text>
        <r>
          <rPr>
            <sz val="11"/>
            <color theme="1"/>
            <rFont val="Calibri"/>
            <family val="2"/>
            <scheme val="minor"/>
          </rPr>
          <t>Descripción calculada automáticamente a partir de código del artículo</t>
        </r>
      </text>
    </comment>
    <comment ref="C949" authorId="1" shapeId="0" xr:uid="{00000000-0006-0000-0100-000025040000}">
      <text>
        <r>
          <rPr>
            <sz val="11"/>
            <color theme="1"/>
            <rFont val="Calibri"/>
            <family val="2"/>
            <scheme val="minor"/>
          </rPr>
          <t>Seleccione un valor de la lista</t>
        </r>
      </text>
    </comment>
    <comment ref="D949" authorId="1" shapeId="0" xr:uid="{00000000-0006-0000-0100-000026040000}">
      <text>
        <r>
          <rPr>
            <sz val="11"/>
            <color theme="1"/>
            <rFont val="Calibri"/>
            <family val="2"/>
            <scheme val="minor"/>
          </rPr>
          <t>Introduzca un número con dos decimales como máximo. Debe ser igual o mayor a la "Cantidad Real Consumida"</t>
        </r>
      </text>
    </comment>
    <comment ref="E949" authorId="1" shapeId="0" xr:uid="{00000000-0006-0000-0100-000027040000}">
      <text>
        <r>
          <rPr>
            <sz val="11"/>
            <color theme="1"/>
            <rFont val="Calibri"/>
            <family val="2"/>
            <scheme val="minor"/>
          </rPr>
          <t>Introduzca un número con dos decimales como máximo</t>
        </r>
      </text>
    </comment>
    <comment ref="F949" authorId="1" shapeId="0" xr:uid="{00000000-0006-0000-0100-000028040000}">
      <text>
        <r>
          <rPr>
            <sz val="11"/>
            <color theme="1"/>
            <rFont val="Calibri"/>
            <family val="2"/>
            <scheme val="minor"/>
          </rPr>
          <t>Monto calculado automáticamente por el sistema</t>
        </r>
      </text>
    </comment>
    <comment ref="A955" authorId="1" shapeId="0" xr:uid="{00000000-0006-0000-0100-000029040000}">
      <text>
        <r>
          <rPr>
            <sz val="11"/>
            <color theme="1"/>
            <rFont val="Calibri"/>
            <family val="2"/>
            <scheme val="minor"/>
          </rPr>
          <t>Introducir un texto con el nombre o referencia de la contratación</t>
        </r>
      </text>
    </comment>
    <comment ref="B955" authorId="1" shapeId="0" xr:uid="{00000000-0006-0000-0100-00002A040000}">
      <text>
        <r>
          <rPr>
            <sz val="11"/>
            <color theme="1"/>
            <rFont val="Calibri"/>
            <family val="2"/>
            <scheme val="minor"/>
          </rPr>
          <t>Introduzca un texto con la finalidad de la contratación</t>
        </r>
      </text>
    </comment>
    <comment ref="C955" authorId="1" shapeId="0" xr:uid="{00000000-0006-0000-0100-00002B040000}">
      <text>
        <r>
          <rPr>
            <sz val="11"/>
            <color theme="1"/>
            <rFont val="Calibri"/>
            <family val="2"/>
            <scheme val="minor"/>
          </rPr>
          <t>Seleccionar un valor del listado</t>
        </r>
      </text>
    </comment>
    <comment ref="D955" authorId="1" shapeId="0" xr:uid="{00000000-0006-0000-0100-00002C040000}">
      <text>
        <r>
          <rPr>
            <sz val="11"/>
            <color theme="1"/>
            <rFont val="Calibri"/>
            <family val="2"/>
            <scheme val="minor"/>
          </rPr>
          <t>Seleccione el tipo de procedimiento</t>
        </r>
      </text>
    </comment>
    <comment ref="E955" authorId="1" shapeId="0" xr:uid="{00000000-0006-0000-0100-00002D040000}">
      <text>
        <r>
          <rPr>
            <sz val="11"/>
            <color theme="1"/>
            <rFont val="Calibri"/>
            <family val="2"/>
            <scheme val="minor"/>
          </rPr>
          <t>Seleccione un valor de la lista</t>
        </r>
      </text>
    </comment>
    <comment ref="F955" authorId="1" shapeId="0" xr:uid="{00000000-0006-0000-0100-00002E040000}">
      <text>
        <r>
          <rPr>
            <sz val="11"/>
            <color theme="1"/>
            <rFont val="Calibri"/>
            <family val="2"/>
            <scheme val="minor"/>
          </rPr>
          <t>Introduzca el código SNIP</t>
        </r>
      </text>
    </comment>
    <comment ref="C956" authorId="1" shapeId="0" xr:uid="{00000000-0006-0000-0100-00002F040000}">
      <text>
        <r>
          <rPr>
            <sz val="11"/>
            <color theme="1"/>
            <rFont val="Calibri"/>
            <family val="2"/>
            <scheme val="minor"/>
          </rPr>
          <t>Introduzca la fecha de inicio del proceso, en formato dd-mm-aaaa</t>
        </r>
      </text>
    </comment>
    <comment ref="F956" authorId="1" shapeId="0" xr:uid="{00000000-0006-0000-0100-00003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7" authorId="1" shapeId="0" xr:uid="{00000000-0006-0000-0100-000032040000}">
      <text/>
    </comment>
    <comment ref="C958" authorId="1" shapeId="0" xr:uid="{00000000-0006-0000-0100-000030040000}">
      <text>
        <r>
          <rPr>
            <sz val="11"/>
            <color theme="1"/>
            <rFont val="Calibri"/>
            <family val="2"/>
            <scheme val="minor"/>
          </rPr>
          <t>Introduzca la fecha prevista de adjudicación, en formato dd-mm-aaaa</t>
        </r>
      </text>
    </comment>
    <comment ref="F958" authorId="1" shapeId="0" xr:uid="{00000000-0006-0000-0100-000033040000}">
      <text/>
    </comment>
    <comment ref="F959" authorId="1" shapeId="0" xr:uid="{00000000-0006-0000-0100-000034040000}">
      <text/>
    </comment>
    <comment ref="A961" authorId="1" shapeId="0" xr:uid="{00000000-0006-0000-0100-000035040000}">
      <text>
        <r>
          <rPr>
            <sz val="11"/>
            <color theme="1"/>
            <rFont val="Calibri"/>
            <family val="2"/>
            <scheme val="minor"/>
          </rPr>
          <t>Introduzca un codigo UNSPSC</t>
        </r>
      </text>
    </comment>
    <comment ref="B961" authorId="1" shapeId="0" xr:uid="{00000000-0006-0000-0100-000036040000}">
      <text>
        <r>
          <rPr>
            <sz val="11"/>
            <color theme="1"/>
            <rFont val="Calibri"/>
            <family val="2"/>
            <scheme val="minor"/>
          </rPr>
          <t>Descripción calculada automáticamente a partir de código del artículo</t>
        </r>
      </text>
    </comment>
    <comment ref="C961" authorId="1" shapeId="0" xr:uid="{00000000-0006-0000-0100-000037040000}">
      <text>
        <r>
          <rPr>
            <sz val="11"/>
            <color theme="1"/>
            <rFont val="Calibri"/>
            <family val="2"/>
            <scheme val="minor"/>
          </rPr>
          <t>Seleccione un valor de la lista</t>
        </r>
      </text>
    </comment>
    <comment ref="D961" authorId="1" shapeId="0" xr:uid="{00000000-0006-0000-0100-000038040000}">
      <text>
        <r>
          <rPr>
            <sz val="11"/>
            <color theme="1"/>
            <rFont val="Calibri"/>
            <family val="2"/>
            <scheme val="minor"/>
          </rPr>
          <t>Introduzca un número con dos decimales como máximo. Debe ser igual o mayor a la "Cantidad Real Consumida"</t>
        </r>
      </text>
    </comment>
    <comment ref="E961" authorId="1" shapeId="0" xr:uid="{00000000-0006-0000-0100-000039040000}">
      <text>
        <r>
          <rPr>
            <sz val="11"/>
            <color theme="1"/>
            <rFont val="Calibri"/>
            <family val="2"/>
            <scheme val="minor"/>
          </rPr>
          <t>Introduzca un número con dos decimales como máximo</t>
        </r>
      </text>
    </comment>
    <comment ref="F961" authorId="1" shapeId="0" xr:uid="{00000000-0006-0000-0100-00003A040000}">
      <text>
        <r>
          <rPr>
            <sz val="11"/>
            <color theme="1"/>
            <rFont val="Calibri"/>
            <family val="2"/>
            <scheme val="minor"/>
          </rPr>
          <t>Monto calculado automáticamente por el sistema</t>
        </r>
      </text>
    </comment>
    <comment ref="A977" authorId="1" shapeId="0" xr:uid="{00000000-0006-0000-0100-00003B040000}">
      <text>
        <r>
          <rPr>
            <sz val="11"/>
            <color theme="1"/>
            <rFont val="Calibri"/>
            <family val="2"/>
            <scheme val="minor"/>
          </rPr>
          <t>Introducir un texto con el nombre o referencia de la contratación</t>
        </r>
      </text>
    </comment>
    <comment ref="B977" authorId="1" shapeId="0" xr:uid="{00000000-0006-0000-0100-00003C040000}">
      <text>
        <r>
          <rPr>
            <sz val="11"/>
            <color theme="1"/>
            <rFont val="Calibri"/>
            <family val="2"/>
            <scheme val="minor"/>
          </rPr>
          <t>Introduzca un texto con la finalidad de la contratación</t>
        </r>
      </text>
    </comment>
    <comment ref="C977" authorId="1" shapeId="0" xr:uid="{00000000-0006-0000-0100-00003D040000}">
      <text>
        <r>
          <rPr>
            <sz val="11"/>
            <color theme="1"/>
            <rFont val="Calibri"/>
            <family val="2"/>
            <scheme val="minor"/>
          </rPr>
          <t>Seleccionar un valor del listado</t>
        </r>
      </text>
    </comment>
    <comment ref="D977" authorId="1" shapeId="0" xr:uid="{00000000-0006-0000-0100-00003E040000}">
      <text>
        <r>
          <rPr>
            <sz val="11"/>
            <color theme="1"/>
            <rFont val="Calibri"/>
            <family val="2"/>
            <scheme val="minor"/>
          </rPr>
          <t>Seleccione el tipo de procedimiento</t>
        </r>
      </text>
    </comment>
    <comment ref="E977" authorId="1" shapeId="0" xr:uid="{00000000-0006-0000-0100-00003F040000}">
      <text>
        <r>
          <rPr>
            <sz val="11"/>
            <color theme="1"/>
            <rFont val="Calibri"/>
            <family val="2"/>
            <scheme val="minor"/>
          </rPr>
          <t>Seleccione un valor de la lista</t>
        </r>
      </text>
    </comment>
    <comment ref="F977" authorId="1" shapeId="0" xr:uid="{00000000-0006-0000-0100-000040040000}">
      <text>
        <r>
          <rPr>
            <sz val="11"/>
            <color theme="1"/>
            <rFont val="Calibri"/>
            <family val="2"/>
            <scheme val="minor"/>
          </rPr>
          <t>Introduzca el código SNIP</t>
        </r>
      </text>
    </comment>
    <comment ref="C978" authorId="1" shapeId="0" xr:uid="{00000000-0006-0000-0100-000041040000}">
      <text>
        <r>
          <rPr>
            <sz val="11"/>
            <color theme="1"/>
            <rFont val="Calibri"/>
            <family val="2"/>
            <scheme val="minor"/>
          </rPr>
          <t>Introduzca la fecha de inicio del proceso, en formato dd-mm-aaaa</t>
        </r>
      </text>
    </comment>
    <comment ref="F978" authorId="1" shapeId="0" xr:uid="{00000000-0006-0000-0100-00004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9" authorId="1" shapeId="0" xr:uid="{00000000-0006-0000-0100-000044040000}">
      <text/>
    </comment>
    <comment ref="C980" authorId="1" shapeId="0" xr:uid="{00000000-0006-0000-0100-000042040000}">
      <text>
        <r>
          <rPr>
            <sz val="11"/>
            <color theme="1"/>
            <rFont val="Calibri"/>
            <family val="2"/>
            <scheme val="minor"/>
          </rPr>
          <t>Introduzca la fecha prevista de adjudicación, en formato dd-mm-aaaa</t>
        </r>
      </text>
    </comment>
    <comment ref="F980" authorId="1" shapeId="0" xr:uid="{00000000-0006-0000-0100-000045040000}">
      <text/>
    </comment>
    <comment ref="F981" authorId="1" shapeId="0" xr:uid="{00000000-0006-0000-0100-000046040000}">
      <text/>
    </comment>
    <comment ref="A983" authorId="1" shapeId="0" xr:uid="{00000000-0006-0000-0100-000047040000}">
      <text>
        <r>
          <rPr>
            <sz val="11"/>
            <color theme="1"/>
            <rFont val="Calibri"/>
            <family val="2"/>
            <scheme val="minor"/>
          </rPr>
          <t>Introduzca un codigo UNSPSC</t>
        </r>
      </text>
    </comment>
    <comment ref="B983" authorId="1" shapeId="0" xr:uid="{00000000-0006-0000-0100-000048040000}">
      <text>
        <r>
          <rPr>
            <sz val="11"/>
            <color theme="1"/>
            <rFont val="Calibri"/>
            <family val="2"/>
            <scheme val="minor"/>
          </rPr>
          <t>Descripción calculada automáticamente a partir de código del artículo</t>
        </r>
      </text>
    </comment>
    <comment ref="C983" authorId="1" shapeId="0" xr:uid="{00000000-0006-0000-0100-000049040000}">
      <text>
        <r>
          <rPr>
            <sz val="11"/>
            <color theme="1"/>
            <rFont val="Calibri"/>
            <family val="2"/>
            <scheme val="minor"/>
          </rPr>
          <t>Seleccione un valor de la lista</t>
        </r>
      </text>
    </comment>
    <comment ref="D983" authorId="1" shapeId="0" xr:uid="{00000000-0006-0000-0100-00004A040000}">
      <text>
        <r>
          <rPr>
            <sz val="11"/>
            <color theme="1"/>
            <rFont val="Calibri"/>
            <family val="2"/>
            <scheme val="minor"/>
          </rPr>
          <t>Introduzca un número con dos decimales como máximo. Debe ser igual o mayor a la "Cantidad Real Consumida"</t>
        </r>
      </text>
    </comment>
    <comment ref="E983" authorId="1" shapeId="0" xr:uid="{00000000-0006-0000-0100-00004B040000}">
      <text>
        <r>
          <rPr>
            <sz val="11"/>
            <color theme="1"/>
            <rFont val="Calibri"/>
            <family val="2"/>
            <scheme val="minor"/>
          </rPr>
          <t>Introduzca un número con dos decimales como máximo</t>
        </r>
      </text>
    </comment>
    <comment ref="F983" authorId="1" shapeId="0" xr:uid="{00000000-0006-0000-0100-00004C040000}">
      <text>
        <r>
          <rPr>
            <sz val="11"/>
            <color theme="1"/>
            <rFont val="Calibri"/>
            <family val="2"/>
            <scheme val="minor"/>
          </rPr>
          <t>Monto calculado automáticamente por el sistema</t>
        </r>
      </text>
    </comment>
    <comment ref="A989" authorId="1" shapeId="0" xr:uid="{00000000-0006-0000-0100-00004D040000}">
      <text>
        <r>
          <rPr>
            <sz val="11"/>
            <color theme="1"/>
            <rFont val="Calibri"/>
            <family val="2"/>
            <scheme val="minor"/>
          </rPr>
          <t>Introducir un texto con el nombre o referencia de la contratación</t>
        </r>
      </text>
    </comment>
    <comment ref="B989" authorId="1" shapeId="0" xr:uid="{00000000-0006-0000-0100-00004E040000}">
      <text>
        <r>
          <rPr>
            <sz val="11"/>
            <color theme="1"/>
            <rFont val="Calibri"/>
            <family val="2"/>
            <scheme val="minor"/>
          </rPr>
          <t>Introduzca un texto con la finalidad de la contratación</t>
        </r>
      </text>
    </comment>
    <comment ref="C989" authorId="1" shapeId="0" xr:uid="{00000000-0006-0000-0100-00004F040000}">
      <text>
        <r>
          <rPr>
            <sz val="11"/>
            <color theme="1"/>
            <rFont val="Calibri"/>
            <family val="2"/>
            <scheme val="minor"/>
          </rPr>
          <t>Seleccionar un valor del listado</t>
        </r>
      </text>
    </comment>
    <comment ref="D989" authorId="1" shapeId="0" xr:uid="{00000000-0006-0000-0100-000050040000}">
      <text>
        <r>
          <rPr>
            <sz val="11"/>
            <color theme="1"/>
            <rFont val="Calibri"/>
            <family val="2"/>
            <scheme val="minor"/>
          </rPr>
          <t>Seleccione el tipo de procedimiento</t>
        </r>
      </text>
    </comment>
    <comment ref="E989" authorId="1" shapeId="0" xr:uid="{00000000-0006-0000-0100-000051040000}">
      <text>
        <r>
          <rPr>
            <sz val="11"/>
            <color theme="1"/>
            <rFont val="Calibri"/>
            <family val="2"/>
            <scheme val="minor"/>
          </rPr>
          <t>Seleccione un valor de la lista</t>
        </r>
      </text>
    </comment>
    <comment ref="F989" authorId="1" shapeId="0" xr:uid="{00000000-0006-0000-0100-000052040000}">
      <text>
        <r>
          <rPr>
            <sz val="11"/>
            <color theme="1"/>
            <rFont val="Calibri"/>
            <family val="2"/>
            <scheme val="minor"/>
          </rPr>
          <t>Introduzca el código SNIP</t>
        </r>
      </text>
    </comment>
    <comment ref="C990" authorId="1" shapeId="0" xr:uid="{00000000-0006-0000-0100-000053040000}">
      <text>
        <r>
          <rPr>
            <sz val="11"/>
            <color theme="1"/>
            <rFont val="Calibri"/>
            <family val="2"/>
            <scheme val="minor"/>
          </rPr>
          <t>Introduzca la fecha de inicio del proceso, en formato dd-mm-aaaa</t>
        </r>
      </text>
    </comment>
    <comment ref="F990" authorId="1" shapeId="0" xr:uid="{00000000-0006-0000-0100-00005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91" authorId="1" shapeId="0" xr:uid="{00000000-0006-0000-0100-000056040000}">
      <text/>
    </comment>
    <comment ref="C992" authorId="1" shapeId="0" xr:uid="{00000000-0006-0000-0100-000054040000}">
      <text>
        <r>
          <rPr>
            <sz val="11"/>
            <color theme="1"/>
            <rFont val="Calibri"/>
            <family val="2"/>
            <scheme val="minor"/>
          </rPr>
          <t>Introduzca la fecha prevista de adjudicación, en formato dd-mm-aaaa</t>
        </r>
      </text>
    </comment>
    <comment ref="F992" authorId="1" shapeId="0" xr:uid="{00000000-0006-0000-0100-000057040000}">
      <text/>
    </comment>
    <comment ref="F993" authorId="1" shapeId="0" xr:uid="{00000000-0006-0000-0100-000058040000}">
      <text/>
    </comment>
    <comment ref="A995" authorId="1" shapeId="0" xr:uid="{00000000-0006-0000-0100-000059040000}">
      <text>
        <r>
          <rPr>
            <sz val="11"/>
            <color theme="1"/>
            <rFont val="Calibri"/>
            <family val="2"/>
            <scheme val="minor"/>
          </rPr>
          <t>Introduzca un codigo UNSPSC</t>
        </r>
      </text>
    </comment>
    <comment ref="B995" authorId="1" shapeId="0" xr:uid="{00000000-0006-0000-0100-00005A040000}">
      <text>
        <r>
          <rPr>
            <sz val="11"/>
            <color theme="1"/>
            <rFont val="Calibri"/>
            <family val="2"/>
            <scheme val="minor"/>
          </rPr>
          <t>Descripción calculada automáticamente a partir de código del artículo</t>
        </r>
      </text>
    </comment>
    <comment ref="C995" authorId="1" shapeId="0" xr:uid="{00000000-0006-0000-0100-00005B040000}">
      <text>
        <r>
          <rPr>
            <sz val="11"/>
            <color theme="1"/>
            <rFont val="Calibri"/>
            <family val="2"/>
            <scheme val="minor"/>
          </rPr>
          <t>Seleccione un valor de la lista</t>
        </r>
      </text>
    </comment>
    <comment ref="D995" authorId="1" shapeId="0" xr:uid="{00000000-0006-0000-0100-00005C040000}">
      <text>
        <r>
          <rPr>
            <sz val="11"/>
            <color theme="1"/>
            <rFont val="Calibri"/>
            <family val="2"/>
            <scheme val="minor"/>
          </rPr>
          <t>Introduzca un número con dos decimales como máximo. Debe ser igual o mayor a la "Cantidad Real Consumida"</t>
        </r>
      </text>
    </comment>
    <comment ref="E995" authorId="1" shapeId="0" xr:uid="{00000000-0006-0000-0100-00005D040000}">
      <text>
        <r>
          <rPr>
            <sz val="11"/>
            <color theme="1"/>
            <rFont val="Calibri"/>
            <family val="2"/>
            <scheme val="minor"/>
          </rPr>
          <t>Introduzca un número con dos decimales como máximo</t>
        </r>
      </text>
    </comment>
    <comment ref="F995" authorId="1" shapeId="0" xr:uid="{00000000-0006-0000-0100-00005E040000}">
      <text>
        <r>
          <rPr>
            <sz val="11"/>
            <color theme="1"/>
            <rFont val="Calibri"/>
            <family val="2"/>
            <scheme val="minor"/>
          </rPr>
          <t>Monto calculado automáticamente por el sistema</t>
        </r>
      </text>
    </comment>
    <comment ref="A1001" authorId="1" shapeId="0" xr:uid="{00000000-0006-0000-0100-00005F040000}">
      <text>
        <r>
          <rPr>
            <sz val="11"/>
            <color theme="1"/>
            <rFont val="Calibri"/>
            <family val="2"/>
            <scheme val="minor"/>
          </rPr>
          <t>Introducir un texto con el nombre o referencia de la contratación</t>
        </r>
      </text>
    </comment>
    <comment ref="B1001" authorId="1" shapeId="0" xr:uid="{00000000-0006-0000-0100-000060040000}">
      <text>
        <r>
          <rPr>
            <sz val="11"/>
            <color theme="1"/>
            <rFont val="Calibri"/>
            <family val="2"/>
            <scheme val="minor"/>
          </rPr>
          <t>Introduzca un texto con la finalidad de la contratación</t>
        </r>
      </text>
    </comment>
    <comment ref="C1001" authorId="1" shapeId="0" xr:uid="{00000000-0006-0000-0100-000061040000}">
      <text>
        <r>
          <rPr>
            <sz val="11"/>
            <color theme="1"/>
            <rFont val="Calibri"/>
            <family val="2"/>
            <scheme val="minor"/>
          </rPr>
          <t>Seleccionar un valor del listado</t>
        </r>
      </text>
    </comment>
    <comment ref="D1001" authorId="1" shapeId="0" xr:uid="{00000000-0006-0000-0100-000062040000}">
      <text>
        <r>
          <rPr>
            <sz val="11"/>
            <color theme="1"/>
            <rFont val="Calibri"/>
            <family val="2"/>
            <scheme val="minor"/>
          </rPr>
          <t>Seleccione el tipo de procedimiento</t>
        </r>
      </text>
    </comment>
    <comment ref="E1001" authorId="1" shapeId="0" xr:uid="{00000000-0006-0000-0100-000063040000}">
      <text>
        <r>
          <rPr>
            <sz val="11"/>
            <color theme="1"/>
            <rFont val="Calibri"/>
            <family val="2"/>
            <scheme val="minor"/>
          </rPr>
          <t>Seleccione un valor de la lista</t>
        </r>
      </text>
    </comment>
    <comment ref="F1001" authorId="1" shapeId="0" xr:uid="{00000000-0006-0000-0100-000064040000}">
      <text>
        <r>
          <rPr>
            <sz val="11"/>
            <color theme="1"/>
            <rFont val="Calibri"/>
            <family val="2"/>
            <scheme val="minor"/>
          </rPr>
          <t>Introduzca el código SNIP</t>
        </r>
      </text>
    </comment>
    <comment ref="C1002" authorId="1" shapeId="0" xr:uid="{00000000-0006-0000-0100-000065040000}">
      <text>
        <r>
          <rPr>
            <sz val="11"/>
            <color theme="1"/>
            <rFont val="Calibri"/>
            <family val="2"/>
            <scheme val="minor"/>
          </rPr>
          <t>Introduzca la fecha de inicio del proceso, en formato dd-mm-aaaa</t>
        </r>
      </text>
    </comment>
    <comment ref="F1002" authorId="1" shapeId="0" xr:uid="{00000000-0006-0000-0100-00006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3" authorId="1" shapeId="0" xr:uid="{00000000-0006-0000-0100-000068040000}">
      <text/>
    </comment>
    <comment ref="C1004" authorId="1" shapeId="0" xr:uid="{00000000-0006-0000-0100-000066040000}">
      <text>
        <r>
          <rPr>
            <sz val="11"/>
            <color theme="1"/>
            <rFont val="Calibri"/>
            <family val="2"/>
            <scheme val="minor"/>
          </rPr>
          <t>Introduzca la fecha prevista de adjudicación, en formato dd-mm-aaaa</t>
        </r>
      </text>
    </comment>
    <comment ref="F1004" authorId="1" shapeId="0" xr:uid="{00000000-0006-0000-0100-000069040000}">
      <text/>
    </comment>
    <comment ref="F1005" authorId="1" shapeId="0" xr:uid="{00000000-0006-0000-0100-00006A040000}">
      <text/>
    </comment>
    <comment ref="A1007" authorId="1" shapeId="0" xr:uid="{00000000-0006-0000-0100-00006B040000}">
      <text>
        <r>
          <rPr>
            <sz val="11"/>
            <color theme="1"/>
            <rFont val="Calibri"/>
            <family val="2"/>
            <scheme val="minor"/>
          </rPr>
          <t>Introduzca un codigo UNSPSC</t>
        </r>
      </text>
    </comment>
    <comment ref="B1007" authorId="1" shapeId="0" xr:uid="{00000000-0006-0000-0100-00006C040000}">
      <text>
        <r>
          <rPr>
            <sz val="11"/>
            <color theme="1"/>
            <rFont val="Calibri"/>
            <family val="2"/>
            <scheme val="minor"/>
          </rPr>
          <t>Descripción calculada automáticamente a partir de código del artículo</t>
        </r>
      </text>
    </comment>
    <comment ref="C1007" authorId="1" shapeId="0" xr:uid="{00000000-0006-0000-0100-00006D040000}">
      <text>
        <r>
          <rPr>
            <sz val="11"/>
            <color theme="1"/>
            <rFont val="Calibri"/>
            <family val="2"/>
            <scheme val="minor"/>
          </rPr>
          <t>Seleccione un valor de la lista</t>
        </r>
      </text>
    </comment>
    <comment ref="D1007" authorId="1" shapeId="0" xr:uid="{00000000-0006-0000-0100-00006E040000}">
      <text>
        <r>
          <rPr>
            <sz val="11"/>
            <color theme="1"/>
            <rFont val="Calibri"/>
            <family val="2"/>
            <scheme val="minor"/>
          </rPr>
          <t>Introduzca un número con dos decimales como máximo. Debe ser igual o mayor a la "Cantidad Real Consumida"</t>
        </r>
      </text>
    </comment>
    <comment ref="E1007" authorId="1" shapeId="0" xr:uid="{00000000-0006-0000-0100-00006F040000}">
      <text>
        <r>
          <rPr>
            <sz val="11"/>
            <color theme="1"/>
            <rFont val="Calibri"/>
            <family val="2"/>
            <scheme val="minor"/>
          </rPr>
          <t>Introduzca un número con dos decimales como máximo</t>
        </r>
      </text>
    </comment>
    <comment ref="F1007" authorId="1" shapeId="0" xr:uid="{00000000-0006-0000-0100-000070040000}">
      <text>
        <r>
          <rPr>
            <sz val="11"/>
            <color theme="1"/>
            <rFont val="Calibri"/>
            <family val="2"/>
            <scheme val="minor"/>
          </rPr>
          <t>Monto calculado automáticamente por el sistema</t>
        </r>
      </text>
    </comment>
    <comment ref="A1013" authorId="1" shapeId="0" xr:uid="{00000000-0006-0000-0100-000071040000}">
      <text>
        <r>
          <rPr>
            <sz val="11"/>
            <color theme="1"/>
            <rFont val="Calibri"/>
            <family val="2"/>
            <scheme val="minor"/>
          </rPr>
          <t>Introducir un texto con el nombre o referencia de la contratación</t>
        </r>
      </text>
    </comment>
    <comment ref="B1013" authorId="1" shapeId="0" xr:uid="{00000000-0006-0000-0100-000072040000}">
      <text>
        <r>
          <rPr>
            <sz val="11"/>
            <color theme="1"/>
            <rFont val="Calibri"/>
            <family val="2"/>
            <scheme val="minor"/>
          </rPr>
          <t>Introduzca un texto con la finalidad de la contratación</t>
        </r>
      </text>
    </comment>
    <comment ref="C1013" authorId="1" shapeId="0" xr:uid="{00000000-0006-0000-0100-000073040000}">
      <text>
        <r>
          <rPr>
            <sz val="11"/>
            <color theme="1"/>
            <rFont val="Calibri"/>
            <family val="2"/>
            <scheme val="minor"/>
          </rPr>
          <t>Seleccionar un valor del listado</t>
        </r>
      </text>
    </comment>
    <comment ref="D1013" authorId="1" shapeId="0" xr:uid="{00000000-0006-0000-0100-000074040000}">
      <text>
        <r>
          <rPr>
            <sz val="11"/>
            <color theme="1"/>
            <rFont val="Calibri"/>
            <family val="2"/>
            <scheme val="minor"/>
          </rPr>
          <t>Seleccione el tipo de procedimiento</t>
        </r>
      </text>
    </comment>
    <comment ref="E1013" authorId="1" shapeId="0" xr:uid="{00000000-0006-0000-0100-000075040000}">
      <text>
        <r>
          <rPr>
            <sz val="11"/>
            <color theme="1"/>
            <rFont val="Calibri"/>
            <family val="2"/>
            <scheme val="minor"/>
          </rPr>
          <t>Seleccione un valor de la lista</t>
        </r>
      </text>
    </comment>
    <comment ref="F1013" authorId="1" shapeId="0" xr:uid="{00000000-0006-0000-0100-000076040000}">
      <text>
        <r>
          <rPr>
            <sz val="11"/>
            <color theme="1"/>
            <rFont val="Calibri"/>
            <family val="2"/>
            <scheme val="minor"/>
          </rPr>
          <t>Introduzca el código SNIP</t>
        </r>
      </text>
    </comment>
    <comment ref="C1014" authorId="1" shapeId="0" xr:uid="{00000000-0006-0000-0100-000077040000}">
      <text>
        <r>
          <rPr>
            <sz val="11"/>
            <color theme="1"/>
            <rFont val="Calibri"/>
            <family val="2"/>
            <scheme val="minor"/>
          </rPr>
          <t>Introduzca la fecha de inicio del proceso, en formato dd-mm-aaaa</t>
        </r>
      </text>
    </comment>
    <comment ref="F1014" authorId="1" shapeId="0" xr:uid="{00000000-0006-0000-0100-000079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5" authorId="1" shapeId="0" xr:uid="{00000000-0006-0000-0100-00007A040000}">
      <text/>
    </comment>
    <comment ref="C1016" authorId="1" shapeId="0" xr:uid="{00000000-0006-0000-0100-000078040000}">
      <text>
        <r>
          <rPr>
            <sz val="11"/>
            <color theme="1"/>
            <rFont val="Calibri"/>
            <family val="2"/>
            <scheme val="minor"/>
          </rPr>
          <t>Introduzca la fecha prevista de adjudicación, en formato dd-mm-aaaa</t>
        </r>
      </text>
    </comment>
    <comment ref="F1016" authorId="1" shapeId="0" xr:uid="{00000000-0006-0000-0100-00007B040000}">
      <text/>
    </comment>
    <comment ref="F1017" authorId="1" shapeId="0" xr:uid="{00000000-0006-0000-0100-00007C040000}">
      <text/>
    </comment>
    <comment ref="A1019" authorId="1" shapeId="0" xr:uid="{00000000-0006-0000-0100-00007D040000}">
      <text>
        <r>
          <rPr>
            <sz val="11"/>
            <color theme="1"/>
            <rFont val="Calibri"/>
            <family val="2"/>
            <scheme val="minor"/>
          </rPr>
          <t>Introduzca un codigo UNSPSC</t>
        </r>
      </text>
    </comment>
    <comment ref="B1019" authorId="1" shapeId="0" xr:uid="{00000000-0006-0000-0100-00007E040000}">
      <text>
        <r>
          <rPr>
            <sz val="11"/>
            <color theme="1"/>
            <rFont val="Calibri"/>
            <family val="2"/>
            <scheme val="minor"/>
          </rPr>
          <t>Descripción calculada automáticamente a partir de código del artículo</t>
        </r>
      </text>
    </comment>
    <comment ref="C1019" authorId="1" shapeId="0" xr:uid="{00000000-0006-0000-0100-00007F040000}">
      <text>
        <r>
          <rPr>
            <sz val="11"/>
            <color theme="1"/>
            <rFont val="Calibri"/>
            <family val="2"/>
            <scheme val="minor"/>
          </rPr>
          <t>Seleccione un valor de la lista</t>
        </r>
      </text>
    </comment>
    <comment ref="D1019" authorId="1" shapeId="0" xr:uid="{00000000-0006-0000-0100-000080040000}">
      <text>
        <r>
          <rPr>
            <sz val="11"/>
            <color theme="1"/>
            <rFont val="Calibri"/>
            <family val="2"/>
            <scheme val="minor"/>
          </rPr>
          <t>Introduzca un número con dos decimales como máximo. Debe ser igual o mayor a la "Cantidad Real Consumida"</t>
        </r>
      </text>
    </comment>
    <comment ref="E1019" authorId="1" shapeId="0" xr:uid="{00000000-0006-0000-0100-000081040000}">
      <text>
        <r>
          <rPr>
            <sz val="11"/>
            <color theme="1"/>
            <rFont val="Calibri"/>
            <family val="2"/>
            <scheme val="minor"/>
          </rPr>
          <t>Introduzca un número con dos decimales como máximo</t>
        </r>
      </text>
    </comment>
    <comment ref="F1019" authorId="1" shapeId="0" xr:uid="{00000000-0006-0000-0100-000082040000}">
      <text>
        <r>
          <rPr>
            <sz val="11"/>
            <color theme="1"/>
            <rFont val="Calibri"/>
            <family val="2"/>
            <scheme val="minor"/>
          </rPr>
          <t>Monto calculado automáticamente por el sistema</t>
        </r>
      </text>
    </comment>
    <comment ref="A1112" authorId="1" shapeId="0" xr:uid="{00000000-0006-0000-0100-000083040000}">
      <text>
        <r>
          <rPr>
            <sz val="11"/>
            <color theme="1"/>
            <rFont val="Calibri"/>
            <family val="2"/>
            <scheme val="minor"/>
          </rPr>
          <t>Introducir un texto con el nombre o referencia de la contratación</t>
        </r>
      </text>
    </comment>
    <comment ref="B1112" authorId="1" shapeId="0" xr:uid="{00000000-0006-0000-0100-000084040000}">
      <text>
        <r>
          <rPr>
            <sz val="11"/>
            <color theme="1"/>
            <rFont val="Calibri"/>
            <family val="2"/>
            <scheme val="minor"/>
          </rPr>
          <t>Introduzca un texto con la finalidad de la contratación</t>
        </r>
      </text>
    </comment>
    <comment ref="C1112" authorId="1" shapeId="0" xr:uid="{00000000-0006-0000-0100-000085040000}">
      <text>
        <r>
          <rPr>
            <sz val="11"/>
            <color theme="1"/>
            <rFont val="Calibri"/>
            <family val="2"/>
            <scheme val="minor"/>
          </rPr>
          <t>Seleccionar un valor del listado</t>
        </r>
      </text>
    </comment>
    <comment ref="D1112" authorId="1" shapeId="0" xr:uid="{00000000-0006-0000-0100-000086040000}">
      <text>
        <r>
          <rPr>
            <sz val="11"/>
            <color theme="1"/>
            <rFont val="Calibri"/>
            <family val="2"/>
            <scheme val="minor"/>
          </rPr>
          <t>Seleccione el tipo de procedimiento</t>
        </r>
      </text>
    </comment>
    <comment ref="E1112" authorId="1" shapeId="0" xr:uid="{00000000-0006-0000-0100-000087040000}">
      <text>
        <r>
          <rPr>
            <sz val="11"/>
            <color theme="1"/>
            <rFont val="Calibri"/>
            <family val="2"/>
            <scheme val="minor"/>
          </rPr>
          <t>Seleccione un valor de la lista</t>
        </r>
      </text>
    </comment>
    <comment ref="F1112" authorId="1" shapeId="0" xr:uid="{00000000-0006-0000-0100-000088040000}">
      <text>
        <r>
          <rPr>
            <sz val="11"/>
            <color theme="1"/>
            <rFont val="Calibri"/>
            <family val="2"/>
            <scheme val="minor"/>
          </rPr>
          <t>Introduzca el código SNIP</t>
        </r>
      </text>
    </comment>
    <comment ref="C1113" authorId="1" shapeId="0" xr:uid="{00000000-0006-0000-0100-000089040000}">
      <text>
        <r>
          <rPr>
            <sz val="11"/>
            <color theme="1"/>
            <rFont val="Calibri"/>
            <family val="2"/>
            <scheme val="minor"/>
          </rPr>
          <t>Introduzca la fecha de inicio del proceso, en formato dd-mm-aaaa</t>
        </r>
      </text>
    </comment>
    <comment ref="F1113" authorId="1" shapeId="0" xr:uid="{00000000-0006-0000-0100-00008B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4" authorId="1" shapeId="0" xr:uid="{00000000-0006-0000-0100-00008C040000}">
      <text/>
    </comment>
    <comment ref="C1115" authorId="1" shapeId="0" xr:uid="{00000000-0006-0000-0100-00008A040000}">
      <text>
        <r>
          <rPr>
            <sz val="11"/>
            <color theme="1"/>
            <rFont val="Calibri"/>
            <family val="2"/>
            <scheme val="minor"/>
          </rPr>
          <t>Introduzca la fecha prevista de adjudicación, en formato dd-mm-aaaa</t>
        </r>
      </text>
    </comment>
    <comment ref="F1115" authorId="1" shapeId="0" xr:uid="{00000000-0006-0000-0100-00008D040000}">
      <text/>
    </comment>
    <comment ref="F1116" authorId="1" shapeId="0" xr:uid="{00000000-0006-0000-0100-00008E040000}">
      <text/>
    </comment>
    <comment ref="A1118" authorId="1" shapeId="0" xr:uid="{00000000-0006-0000-0100-00008F040000}">
      <text>
        <r>
          <rPr>
            <sz val="11"/>
            <color theme="1"/>
            <rFont val="Calibri"/>
            <family val="2"/>
            <scheme val="minor"/>
          </rPr>
          <t>Introduzca un codigo UNSPSC</t>
        </r>
      </text>
    </comment>
    <comment ref="B1118" authorId="1" shapeId="0" xr:uid="{00000000-0006-0000-0100-000090040000}">
      <text>
        <r>
          <rPr>
            <sz val="11"/>
            <color theme="1"/>
            <rFont val="Calibri"/>
            <family val="2"/>
            <scheme val="minor"/>
          </rPr>
          <t>Descripción calculada automáticamente a partir de código del artículo</t>
        </r>
      </text>
    </comment>
    <comment ref="C1118" authorId="1" shapeId="0" xr:uid="{00000000-0006-0000-0100-000091040000}">
      <text>
        <r>
          <rPr>
            <sz val="11"/>
            <color theme="1"/>
            <rFont val="Calibri"/>
            <family val="2"/>
            <scheme val="minor"/>
          </rPr>
          <t>Seleccione un valor de la lista</t>
        </r>
      </text>
    </comment>
    <comment ref="D1118" authorId="1" shapeId="0" xr:uid="{00000000-0006-0000-0100-000092040000}">
      <text>
        <r>
          <rPr>
            <sz val="11"/>
            <color theme="1"/>
            <rFont val="Calibri"/>
            <family val="2"/>
            <scheme val="minor"/>
          </rPr>
          <t>Introduzca un número con dos decimales como máximo. Debe ser igual o mayor a la "Cantidad Real Consumida"</t>
        </r>
      </text>
    </comment>
    <comment ref="E1118" authorId="1" shapeId="0" xr:uid="{00000000-0006-0000-0100-000093040000}">
      <text>
        <r>
          <rPr>
            <sz val="11"/>
            <color theme="1"/>
            <rFont val="Calibri"/>
            <family val="2"/>
            <scheme val="minor"/>
          </rPr>
          <t>Introduzca un número con dos decimales como máximo</t>
        </r>
      </text>
    </comment>
    <comment ref="F1118" authorId="1" shapeId="0" xr:uid="{00000000-0006-0000-0100-000094040000}">
      <text>
        <r>
          <rPr>
            <sz val="11"/>
            <color theme="1"/>
            <rFont val="Calibri"/>
            <family val="2"/>
            <scheme val="minor"/>
          </rPr>
          <t>Monto calculado automáticamente por el sistema</t>
        </r>
      </text>
    </comment>
    <comment ref="A1145" authorId="1" shapeId="0" xr:uid="{00000000-0006-0000-0100-000095040000}">
      <text>
        <r>
          <rPr>
            <sz val="11"/>
            <color theme="1"/>
            <rFont val="Calibri"/>
            <family val="2"/>
            <scheme val="minor"/>
          </rPr>
          <t>Introducir un texto con el nombre o referencia de la contratación</t>
        </r>
      </text>
    </comment>
    <comment ref="B1145" authorId="1" shapeId="0" xr:uid="{00000000-0006-0000-0100-000096040000}">
      <text>
        <r>
          <rPr>
            <sz val="11"/>
            <color theme="1"/>
            <rFont val="Calibri"/>
            <family val="2"/>
            <scheme val="minor"/>
          </rPr>
          <t>Introduzca un texto con la finalidad de la contratación</t>
        </r>
      </text>
    </comment>
    <comment ref="C1145" authorId="1" shapeId="0" xr:uid="{00000000-0006-0000-0100-000097040000}">
      <text>
        <r>
          <rPr>
            <sz val="11"/>
            <color theme="1"/>
            <rFont val="Calibri"/>
            <family val="2"/>
            <scheme val="minor"/>
          </rPr>
          <t>Seleccionar un valor del listado</t>
        </r>
      </text>
    </comment>
    <comment ref="D1145" authorId="1" shapeId="0" xr:uid="{00000000-0006-0000-0100-000098040000}">
      <text>
        <r>
          <rPr>
            <sz val="11"/>
            <color theme="1"/>
            <rFont val="Calibri"/>
            <family val="2"/>
            <scheme val="minor"/>
          </rPr>
          <t>Seleccione el tipo de procedimiento</t>
        </r>
      </text>
    </comment>
    <comment ref="E1145" authorId="1" shapeId="0" xr:uid="{00000000-0006-0000-0100-000099040000}">
      <text>
        <r>
          <rPr>
            <sz val="11"/>
            <color theme="1"/>
            <rFont val="Calibri"/>
            <family val="2"/>
            <scheme val="minor"/>
          </rPr>
          <t>Seleccione un valor de la lista</t>
        </r>
      </text>
    </comment>
    <comment ref="F1145" authorId="1" shapeId="0" xr:uid="{00000000-0006-0000-0100-00009A040000}">
      <text>
        <r>
          <rPr>
            <sz val="11"/>
            <color theme="1"/>
            <rFont val="Calibri"/>
            <family val="2"/>
            <scheme val="minor"/>
          </rPr>
          <t>Introduzca el código SNIP</t>
        </r>
      </text>
    </comment>
    <comment ref="C1146" authorId="1" shapeId="0" xr:uid="{00000000-0006-0000-0100-00009B040000}">
      <text>
        <r>
          <rPr>
            <sz val="11"/>
            <color theme="1"/>
            <rFont val="Calibri"/>
            <family val="2"/>
            <scheme val="minor"/>
          </rPr>
          <t>Introduzca la fecha de inicio del proceso, en formato dd-mm-aaaa</t>
        </r>
      </text>
    </comment>
    <comment ref="F1146" authorId="1" shapeId="0" xr:uid="{00000000-0006-0000-0100-00009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7" authorId="1" shapeId="0" xr:uid="{00000000-0006-0000-0100-00009E040000}">
      <text/>
    </comment>
    <comment ref="C1148" authorId="1" shapeId="0" xr:uid="{00000000-0006-0000-0100-00009C040000}">
      <text>
        <r>
          <rPr>
            <sz val="11"/>
            <color theme="1"/>
            <rFont val="Calibri"/>
            <family val="2"/>
            <scheme val="minor"/>
          </rPr>
          <t>Introduzca la fecha prevista de adjudicación, en formato dd-mm-aaaa</t>
        </r>
      </text>
    </comment>
    <comment ref="F1148" authorId="1" shapeId="0" xr:uid="{00000000-0006-0000-0100-00009F040000}">
      <text/>
    </comment>
    <comment ref="F1149" authorId="1" shapeId="0" xr:uid="{00000000-0006-0000-0100-0000A0040000}">
      <text/>
    </comment>
    <comment ref="A1151" authorId="1" shapeId="0" xr:uid="{00000000-0006-0000-0100-0000A1040000}">
      <text>
        <r>
          <rPr>
            <sz val="11"/>
            <color theme="1"/>
            <rFont val="Calibri"/>
            <family val="2"/>
            <scheme val="minor"/>
          </rPr>
          <t>Introduzca un codigo UNSPSC</t>
        </r>
      </text>
    </comment>
    <comment ref="B1151" authorId="1" shapeId="0" xr:uid="{00000000-0006-0000-0100-0000A2040000}">
      <text>
        <r>
          <rPr>
            <sz val="11"/>
            <color theme="1"/>
            <rFont val="Calibri"/>
            <family val="2"/>
            <scheme val="minor"/>
          </rPr>
          <t>Descripción calculada automáticamente a partir de código del artículo</t>
        </r>
      </text>
    </comment>
    <comment ref="C1151" authorId="1" shapeId="0" xr:uid="{00000000-0006-0000-0100-0000A3040000}">
      <text>
        <r>
          <rPr>
            <sz val="11"/>
            <color theme="1"/>
            <rFont val="Calibri"/>
            <family val="2"/>
            <scheme val="minor"/>
          </rPr>
          <t>Seleccione un valor de la lista</t>
        </r>
      </text>
    </comment>
    <comment ref="D1151" authorId="1" shapeId="0" xr:uid="{00000000-0006-0000-0100-0000A4040000}">
      <text>
        <r>
          <rPr>
            <sz val="11"/>
            <color theme="1"/>
            <rFont val="Calibri"/>
            <family val="2"/>
            <scheme val="minor"/>
          </rPr>
          <t>Introduzca un número con dos decimales como máximo. Debe ser igual o mayor a la "Cantidad Real Consumida"</t>
        </r>
      </text>
    </comment>
    <comment ref="E1151" authorId="1" shapeId="0" xr:uid="{00000000-0006-0000-0100-0000A5040000}">
      <text>
        <r>
          <rPr>
            <sz val="11"/>
            <color theme="1"/>
            <rFont val="Calibri"/>
            <family val="2"/>
            <scheme val="minor"/>
          </rPr>
          <t>Introduzca un número con dos decimales como máximo</t>
        </r>
      </text>
    </comment>
    <comment ref="F1151" authorId="1" shapeId="0" xr:uid="{00000000-0006-0000-0100-0000A6040000}">
      <text>
        <r>
          <rPr>
            <sz val="11"/>
            <color theme="1"/>
            <rFont val="Calibri"/>
            <family val="2"/>
            <scheme val="minor"/>
          </rPr>
          <t>Monto calculado automáticamente por el sistema</t>
        </r>
      </text>
    </comment>
    <comment ref="A1170" authorId="1" shapeId="0" xr:uid="{00000000-0006-0000-0100-0000A7040000}">
      <text>
        <r>
          <rPr>
            <sz val="11"/>
            <color theme="1"/>
            <rFont val="Calibri"/>
            <family val="2"/>
            <scheme val="minor"/>
          </rPr>
          <t>Introducir un texto con el nombre o referencia de la contratación</t>
        </r>
      </text>
    </comment>
    <comment ref="B1170" authorId="1" shapeId="0" xr:uid="{00000000-0006-0000-0100-0000A8040000}">
      <text>
        <r>
          <rPr>
            <sz val="11"/>
            <color theme="1"/>
            <rFont val="Calibri"/>
            <family val="2"/>
            <scheme val="minor"/>
          </rPr>
          <t>Introduzca un texto con la finalidad de la contratación</t>
        </r>
      </text>
    </comment>
    <comment ref="C1170" authorId="1" shapeId="0" xr:uid="{00000000-0006-0000-0100-0000A9040000}">
      <text>
        <r>
          <rPr>
            <sz val="11"/>
            <color theme="1"/>
            <rFont val="Calibri"/>
            <family val="2"/>
            <scheme val="minor"/>
          </rPr>
          <t>Seleccionar un valor del listado</t>
        </r>
      </text>
    </comment>
    <comment ref="D1170" authorId="1" shapeId="0" xr:uid="{00000000-0006-0000-0100-0000AA040000}">
      <text>
        <r>
          <rPr>
            <sz val="11"/>
            <color theme="1"/>
            <rFont val="Calibri"/>
            <family val="2"/>
            <scheme val="minor"/>
          </rPr>
          <t>Seleccione el tipo de procedimiento</t>
        </r>
      </text>
    </comment>
    <comment ref="E1170" authorId="1" shapeId="0" xr:uid="{00000000-0006-0000-0100-0000AB040000}">
      <text>
        <r>
          <rPr>
            <sz val="11"/>
            <color theme="1"/>
            <rFont val="Calibri"/>
            <family val="2"/>
            <scheme val="minor"/>
          </rPr>
          <t>Seleccione un valor de la lista</t>
        </r>
      </text>
    </comment>
    <comment ref="F1170" authorId="1" shapeId="0" xr:uid="{00000000-0006-0000-0100-0000AC040000}">
      <text>
        <r>
          <rPr>
            <sz val="11"/>
            <color theme="1"/>
            <rFont val="Calibri"/>
            <family val="2"/>
            <scheme val="minor"/>
          </rPr>
          <t>Introduzca el código SNIP</t>
        </r>
      </text>
    </comment>
    <comment ref="C1171" authorId="1" shapeId="0" xr:uid="{00000000-0006-0000-0100-0000AD040000}">
      <text>
        <r>
          <rPr>
            <sz val="11"/>
            <color theme="1"/>
            <rFont val="Calibri"/>
            <family val="2"/>
            <scheme val="minor"/>
          </rPr>
          <t>Introduzca la fecha de inicio del proceso, en formato dd-mm-aaaa</t>
        </r>
      </text>
    </comment>
    <comment ref="F1171" authorId="1" shapeId="0" xr:uid="{00000000-0006-0000-0100-0000A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2" authorId="1" shapeId="0" xr:uid="{00000000-0006-0000-0100-0000B0040000}">
      <text/>
    </comment>
    <comment ref="C1173" authorId="1" shapeId="0" xr:uid="{00000000-0006-0000-0100-0000AE040000}">
      <text>
        <r>
          <rPr>
            <sz val="11"/>
            <color theme="1"/>
            <rFont val="Calibri"/>
            <family val="2"/>
            <scheme val="minor"/>
          </rPr>
          <t>Introduzca la fecha prevista de adjudicación, en formato dd-mm-aaaa</t>
        </r>
      </text>
    </comment>
    <comment ref="F1173" authorId="1" shapeId="0" xr:uid="{00000000-0006-0000-0100-0000B1040000}">
      <text/>
    </comment>
    <comment ref="F1174" authorId="1" shapeId="0" xr:uid="{00000000-0006-0000-0100-0000B2040000}">
      <text/>
    </comment>
    <comment ref="A1176" authorId="1" shapeId="0" xr:uid="{00000000-0006-0000-0100-0000B3040000}">
      <text>
        <r>
          <rPr>
            <sz val="11"/>
            <color theme="1"/>
            <rFont val="Calibri"/>
            <family val="2"/>
            <scheme val="minor"/>
          </rPr>
          <t>Introduzca un codigo UNSPSC</t>
        </r>
      </text>
    </comment>
    <comment ref="B1176" authorId="1" shapeId="0" xr:uid="{00000000-0006-0000-0100-0000B4040000}">
      <text>
        <r>
          <rPr>
            <sz val="11"/>
            <color theme="1"/>
            <rFont val="Calibri"/>
            <family val="2"/>
            <scheme val="minor"/>
          </rPr>
          <t>Descripción calculada automáticamente a partir de código del artículo</t>
        </r>
      </text>
    </comment>
    <comment ref="C1176" authorId="1" shapeId="0" xr:uid="{00000000-0006-0000-0100-0000B5040000}">
      <text>
        <r>
          <rPr>
            <sz val="11"/>
            <color theme="1"/>
            <rFont val="Calibri"/>
            <family val="2"/>
            <scheme val="minor"/>
          </rPr>
          <t>Seleccione un valor de la lista</t>
        </r>
      </text>
    </comment>
    <comment ref="D1176" authorId="1" shapeId="0" xr:uid="{00000000-0006-0000-0100-0000B6040000}">
      <text>
        <r>
          <rPr>
            <sz val="11"/>
            <color theme="1"/>
            <rFont val="Calibri"/>
            <family val="2"/>
            <scheme val="minor"/>
          </rPr>
          <t>Introduzca un número con dos decimales como máximo. Debe ser igual o mayor a la "Cantidad Real Consumida"</t>
        </r>
      </text>
    </comment>
    <comment ref="E1176" authorId="1" shapeId="0" xr:uid="{00000000-0006-0000-0100-0000B7040000}">
      <text>
        <r>
          <rPr>
            <sz val="11"/>
            <color theme="1"/>
            <rFont val="Calibri"/>
            <family val="2"/>
            <scheme val="minor"/>
          </rPr>
          <t>Introduzca un número con dos decimales como máximo</t>
        </r>
      </text>
    </comment>
    <comment ref="F1176" authorId="1" shapeId="0" xr:uid="{00000000-0006-0000-0100-0000B8040000}">
      <text>
        <r>
          <rPr>
            <sz val="11"/>
            <color theme="1"/>
            <rFont val="Calibri"/>
            <family val="2"/>
            <scheme val="minor"/>
          </rPr>
          <t>Monto calculado automáticamente por el sistema</t>
        </r>
      </text>
    </comment>
    <comment ref="A1181" authorId="1" shapeId="0" xr:uid="{00000000-0006-0000-0100-0000B9040000}">
      <text>
        <r>
          <rPr>
            <sz val="11"/>
            <color theme="1"/>
            <rFont val="Calibri"/>
            <family val="2"/>
            <scheme val="minor"/>
          </rPr>
          <t>Introducir un texto con el nombre o referencia de la contratación</t>
        </r>
      </text>
    </comment>
    <comment ref="B1181" authorId="1" shapeId="0" xr:uid="{00000000-0006-0000-0100-0000BA040000}">
      <text>
        <r>
          <rPr>
            <sz val="11"/>
            <color theme="1"/>
            <rFont val="Calibri"/>
            <family val="2"/>
            <scheme val="minor"/>
          </rPr>
          <t>Introduzca un texto con la finalidad de la contratación</t>
        </r>
      </text>
    </comment>
    <comment ref="C1181" authorId="1" shapeId="0" xr:uid="{00000000-0006-0000-0100-0000BB040000}">
      <text>
        <r>
          <rPr>
            <sz val="11"/>
            <color theme="1"/>
            <rFont val="Calibri"/>
            <family val="2"/>
            <scheme val="minor"/>
          </rPr>
          <t>Seleccionar un valor del listado</t>
        </r>
      </text>
    </comment>
    <comment ref="D1181" authorId="1" shapeId="0" xr:uid="{00000000-0006-0000-0100-0000BC040000}">
      <text>
        <r>
          <rPr>
            <sz val="11"/>
            <color theme="1"/>
            <rFont val="Calibri"/>
            <family val="2"/>
            <scheme val="minor"/>
          </rPr>
          <t>Seleccione el tipo de procedimiento</t>
        </r>
      </text>
    </comment>
    <comment ref="E1181" authorId="1" shapeId="0" xr:uid="{00000000-0006-0000-0100-0000BD040000}">
      <text>
        <r>
          <rPr>
            <sz val="11"/>
            <color theme="1"/>
            <rFont val="Calibri"/>
            <family val="2"/>
            <scheme val="minor"/>
          </rPr>
          <t>Seleccione un valor de la lista</t>
        </r>
      </text>
    </comment>
    <comment ref="F1181" authorId="1" shapeId="0" xr:uid="{00000000-0006-0000-0100-0000BE040000}">
      <text>
        <r>
          <rPr>
            <sz val="11"/>
            <color theme="1"/>
            <rFont val="Calibri"/>
            <family val="2"/>
            <scheme val="minor"/>
          </rPr>
          <t>Introduzca el código SNIP</t>
        </r>
      </text>
    </comment>
    <comment ref="C1182" authorId="1" shapeId="0" xr:uid="{00000000-0006-0000-0100-0000BF040000}">
      <text>
        <r>
          <rPr>
            <sz val="11"/>
            <color theme="1"/>
            <rFont val="Calibri"/>
            <family val="2"/>
            <scheme val="minor"/>
          </rPr>
          <t>Introduzca la fecha de inicio del proceso, en formato dd-mm-aaaa</t>
        </r>
      </text>
    </comment>
    <comment ref="F1182" authorId="1" shapeId="0" xr:uid="{00000000-0006-0000-0100-0000C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3" authorId="1" shapeId="0" xr:uid="{00000000-0006-0000-0100-0000C2040000}">
      <text/>
    </comment>
    <comment ref="C1184" authorId="1" shapeId="0" xr:uid="{00000000-0006-0000-0100-0000C0040000}">
      <text>
        <r>
          <rPr>
            <sz val="11"/>
            <color theme="1"/>
            <rFont val="Calibri"/>
            <family val="2"/>
            <scheme val="minor"/>
          </rPr>
          <t>Introduzca la fecha prevista de adjudicación, en formato dd-mm-aaaa</t>
        </r>
      </text>
    </comment>
    <comment ref="F1184" authorId="1" shapeId="0" xr:uid="{00000000-0006-0000-0100-0000C3040000}">
      <text/>
    </comment>
    <comment ref="F1185" authorId="1" shapeId="0" xr:uid="{00000000-0006-0000-0100-0000C4040000}">
      <text/>
    </comment>
    <comment ref="A1187" authorId="1" shapeId="0" xr:uid="{00000000-0006-0000-0100-0000C5040000}">
      <text>
        <r>
          <rPr>
            <sz val="11"/>
            <color theme="1"/>
            <rFont val="Calibri"/>
            <family val="2"/>
            <scheme val="minor"/>
          </rPr>
          <t>Introduzca un codigo UNSPSC</t>
        </r>
      </text>
    </comment>
    <comment ref="B1187" authorId="1" shapeId="0" xr:uid="{00000000-0006-0000-0100-0000C6040000}">
      <text>
        <r>
          <rPr>
            <sz val="11"/>
            <color theme="1"/>
            <rFont val="Calibri"/>
            <family val="2"/>
            <scheme val="minor"/>
          </rPr>
          <t>Descripción calculada automáticamente a partir de código del artículo</t>
        </r>
      </text>
    </comment>
    <comment ref="C1187" authorId="1" shapeId="0" xr:uid="{00000000-0006-0000-0100-0000C7040000}">
      <text>
        <r>
          <rPr>
            <sz val="11"/>
            <color theme="1"/>
            <rFont val="Calibri"/>
            <family val="2"/>
            <scheme val="minor"/>
          </rPr>
          <t>Seleccione un valor de la lista</t>
        </r>
      </text>
    </comment>
    <comment ref="D1187" authorId="1" shapeId="0" xr:uid="{00000000-0006-0000-0100-0000C8040000}">
      <text>
        <r>
          <rPr>
            <sz val="11"/>
            <color theme="1"/>
            <rFont val="Calibri"/>
            <family val="2"/>
            <scheme val="minor"/>
          </rPr>
          <t>Introduzca un número con dos decimales como máximo. Debe ser igual o mayor a la "Cantidad Real Consumida"</t>
        </r>
      </text>
    </comment>
    <comment ref="E1187" authorId="1" shapeId="0" xr:uid="{00000000-0006-0000-0100-0000C9040000}">
      <text>
        <r>
          <rPr>
            <sz val="11"/>
            <color theme="1"/>
            <rFont val="Calibri"/>
            <family val="2"/>
            <scheme val="minor"/>
          </rPr>
          <t>Introduzca un número con dos decimales como máximo</t>
        </r>
      </text>
    </comment>
    <comment ref="F1187" authorId="1" shapeId="0" xr:uid="{00000000-0006-0000-0100-0000CA040000}">
      <text>
        <r>
          <rPr>
            <sz val="11"/>
            <color theme="1"/>
            <rFont val="Calibri"/>
            <family val="2"/>
            <scheme val="minor"/>
          </rPr>
          <t>Monto calculado automáticamente por el sistema</t>
        </r>
      </text>
    </comment>
    <comment ref="A1200" authorId="1" shapeId="0" xr:uid="{00000000-0006-0000-0100-0000CB040000}">
      <text>
        <r>
          <rPr>
            <sz val="11"/>
            <color theme="1"/>
            <rFont val="Calibri"/>
            <family val="2"/>
            <scheme val="minor"/>
          </rPr>
          <t>Introducir un texto con el nombre o referencia de la contratación</t>
        </r>
      </text>
    </comment>
    <comment ref="B1200" authorId="1" shapeId="0" xr:uid="{00000000-0006-0000-0100-0000CC040000}">
      <text>
        <r>
          <rPr>
            <sz val="11"/>
            <color theme="1"/>
            <rFont val="Calibri"/>
            <family val="2"/>
            <scheme val="minor"/>
          </rPr>
          <t>Introduzca un texto con la finalidad de la contratación</t>
        </r>
      </text>
    </comment>
    <comment ref="C1200" authorId="1" shapeId="0" xr:uid="{00000000-0006-0000-0100-0000CD040000}">
      <text>
        <r>
          <rPr>
            <sz val="11"/>
            <color theme="1"/>
            <rFont val="Calibri"/>
            <family val="2"/>
            <scheme val="minor"/>
          </rPr>
          <t>Seleccionar un valor del listado</t>
        </r>
      </text>
    </comment>
    <comment ref="D1200" authorId="1" shapeId="0" xr:uid="{00000000-0006-0000-0100-0000CE040000}">
      <text>
        <r>
          <rPr>
            <sz val="11"/>
            <color theme="1"/>
            <rFont val="Calibri"/>
            <family val="2"/>
            <scheme val="minor"/>
          </rPr>
          <t>Seleccione el tipo de procedimiento</t>
        </r>
      </text>
    </comment>
    <comment ref="E1200" authorId="1" shapeId="0" xr:uid="{00000000-0006-0000-0100-0000CF040000}">
      <text>
        <r>
          <rPr>
            <sz val="11"/>
            <color theme="1"/>
            <rFont val="Calibri"/>
            <family val="2"/>
            <scheme val="minor"/>
          </rPr>
          <t>Seleccione un valor de la lista</t>
        </r>
      </text>
    </comment>
    <comment ref="F1200" authorId="1" shapeId="0" xr:uid="{00000000-0006-0000-0100-0000D0040000}">
      <text>
        <r>
          <rPr>
            <sz val="11"/>
            <color theme="1"/>
            <rFont val="Calibri"/>
            <family val="2"/>
            <scheme val="minor"/>
          </rPr>
          <t>Introduzca el código SNIP</t>
        </r>
      </text>
    </comment>
    <comment ref="C1201" authorId="1" shapeId="0" xr:uid="{00000000-0006-0000-0100-0000D1040000}">
      <text>
        <r>
          <rPr>
            <sz val="11"/>
            <color theme="1"/>
            <rFont val="Calibri"/>
            <family val="2"/>
            <scheme val="minor"/>
          </rPr>
          <t>Introduzca la fecha de inicio del proceso, en formato dd-mm-aaaa</t>
        </r>
      </text>
    </comment>
    <comment ref="F1201" authorId="1" shapeId="0" xr:uid="{00000000-0006-0000-0100-0000D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2" authorId="1" shapeId="0" xr:uid="{00000000-0006-0000-0100-0000D4040000}">
      <text/>
    </comment>
    <comment ref="C1203" authorId="1" shapeId="0" xr:uid="{00000000-0006-0000-0100-0000D2040000}">
      <text>
        <r>
          <rPr>
            <sz val="11"/>
            <color theme="1"/>
            <rFont val="Calibri"/>
            <family val="2"/>
            <scheme val="minor"/>
          </rPr>
          <t>Introduzca la fecha prevista de adjudicación, en formato dd-mm-aaaa</t>
        </r>
      </text>
    </comment>
    <comment ref="F1203" authorId="1" shapeId="0" xr:uid="{00000000-0006-0000-0100-0000D5040000}">
      <text/>
    </comment>
    <comment ref="F1204" authorId="1" shapeId="0" xr:uid="{00000000-0006-0000-0100-0000D6040000}">
      <text/>
    </comment>
    <comment ref="A1206" authorId="1" shapeId="0" xr:uid="{00000000-0006-0000-0100-0000D7040000}">
      <text>
        <r>
          <rPr>
            <sz val="11"/>
            <color theme="1"/>
            <rFont val="Calibri"/>
            <family val="2"/>
            <scheme val="minor"/>
          </rPr>
          <t>Introduzca un codigo UNSPSC</t>
        </r>
      </text>
    </comment>
    <comment ref="B1206" authorId="1" shapeId="0" xr:uid="{00000000-0006-0000-0100-0000D8040000}">
      <text>
        <r>
          <rPr>
            <sz val="11"/>
            <color theme="1"/>
            <rFont val="Calibri"/>
            <family val="2"/>
            <scheme val="minor"/>
          </rPr>
          <t>Descripción calculada automáticamente a partir de código del artículo</t>
        </r>
      </text>
    </comment>
    <comment ref="C1206" authorId="1" shapeId="0" xr:uid="{00000000-0006-0000-0100-0000D9040000}">
      <text>
        <r>
          <rPr>
            <sz val="11"/>
            <color theme="1"/>
            <rFont val="Calibri"/>
            <family val="2"/>
            <scheme val="minor"/>
          </rPr>
          <t>Seleccione un valor de la lista</t>
        </r>
      </text>
    </comment>
    <comment ref="D1206" authorId="1" shapeId="0" xr:uid="{00000000-0006-0000-0100-0000DA040000}">
      <text>
        <r>
          <rPr>
            <sz val="11"/>
            <color theme="1"/>
            <rFont val="Calibri"/>
            <family val="2"/>
            <scheme val="minor"/>
          </rPr>
          <t>Introduzca un número con dos decimales como máximo. Debe ser igual o mayor a la "Cantidad Real Consumida"</t>
        </r>
      </text>
    </comment>
    <comment ref="E1206" authorId="1" shapeId="0" xr:uid="{00000000-0006-0000-0100-0000DB040000}">
      <text>
        <r>
          <rPr>
            <sz val="11"/>
            <color theme="1"/>
            <rFont val="Calibri"/>
            <family val="2"/>
            <scheme val="minor"/>
          </rPr>
          <t>Introduzca un número con dos decimales como máximo</t>
        </r>
      </text>
    </comment>
    <comment ref="F1206" authorId="1" shapeId="0" xr:uid="{00000000-0006-0000-0100-0000DC040000}">
      <text>
        <r>
          <rPr>
            <sz val="11"/>
            <color theme="1"/>
            <rFont val="Calibri"/>
            <family val="2"/>
            <scheme val="minor"/>
          </rPr>
          <t>Monto calculado automáticamente por el sistema</t>
        </r>
      </text>
    </comment>
    <comment ref="A1213" authorId="1" shapeId="0" xr:uid="{00000000-0006-0000-0100-0000DD040000}">
      <text>
        <r>
          <rPr>
            <sz val="11"/>
            <color theme="1"/>
            <rFont val="Calibri"/>
            <family val="2"/>
            <scheme val="minor"/>
          </rPr>
          <t>Introducir un texto con el nombre o referencia de la contratación</t>
        </r>
      </text>
    </comment>
    <comment ref="B1213" authorId="1" shapeId="0" xr:uid="{00000000-0006-0000-0100-0000DE040000}">
      <text>
        <r>
          <rPr>
            <sz val="11"/>
            <color theme="1"/>
            <rFont val="Calibri"/>
            <family val="2"/>
            <scheme val="minor"/>
          </rPr>
          <t>Introduzca un texto con la finalidad de la contratación</t>
        </r>
      </text>
    </comment>
    <comment ref="C1213" authorId="1" shapeId="0" xr:uid="{00000000-0006-0000-0100-0000DF040000}">
      <text>
        <r>
          <rPr>
            <sz val="11"/>
            <color theme="1"/>
            <rFont val="Calibri"/>
            <family val="2"/>
            <scheme val="minor"/>
          </rPr>
          <t>Seleccionar un valor del listado</t>
        </r>
      </text>
    </comment>
    <comment ref="D1213" authorId="1" shapeId="0" xr:uid="{00000000-0006-0000-0100-0000E0040000}">
      <text>
        <r>
          <rPr>
            <sz val="11"/>
            <color theme="1"/>
            <rFont val="Calibri"/>
            <family val="2"/>
            <scheme val="minor"/>
          </rPr>
          <t>Seleccione el tipo de procedimiento</t>
        </r>
      </text>
    </comment>
    <comment ref="E1213" authorId="1" shapeId="0" xr:uid="{00000000-0006-0000-0100-0000E1040000}">
      <text>
        <r>
          <rPr>
            <sz val="11"/>
            <color theme="1"/>
            <rFont val="Calibri"/>
            <family val="2"/>
            <scheme val="minor"/>
          </rPr>
          <t>Seleccione un valor de la lista</t>
        </r>
      </text>
    </comment>
    <comment ref="F1213" authorId="1" shapeId="0" xr:uid="{00000000-0006-0000-0100-0000E2040000}">
      <text>
        <r>
          <rPr>
            <sz val="11"/>
            <color theme="1"/>
            <rFont val="Calibri"/>
            <family val="2"/>
            <scheme val="minor"/>
          </rPr>
          <t>Introduzca el código SNIP</t>
        </r>
      </text>
    </comment>
    <comment ref="C1214" authorId="1" shapeId="0" xr:uid="{00000000-0006-0000-0100-0000E3040000}">
      <text>
        <r>
          <rPr>
            <sz val="11"/>
            <color theme="1"/>
            <rFont val="Calibri"/>
            <family val="2"/>
            <scheme val="minor"/>
          </rPr>
          <t>Introduzca la fecha de inicio del proceso, en formato dd-mm-aaaa</t>
        </r>
      </text>
    </comment>
    <comment ref="F1214" authorId="1" shapeId="0" xr:uid="{00000000-0006-0000-0100-0000E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5" authorId="1" shapeId="0" xr:uid="{00000000-0006-0000-0100-0000E6040000}">
      <text/>
    </comment>
    <comment ref="C1216" authorId="1" shapeId="0" xr:uid="{00000000-0006-0000-0100-0000E4040000}">
      <text>
        <r>
          <rPr>
            <sz val="11"/>
            <color theme="1"/>
            <rFont val="Calibri"/>
            <family val="2"/>
            <scheme val="minor"/>
          </rPr>
          <t>Introduzca la fecha prevista de adjudicación, en formato dd-mm-aaaa</t>
        </r>
      </text>
    </comment>
    <comment ref="F1216" authorId="1" shapeId="0" xr:uid="{00000000-0006-0000-0100-0000E7040000}">
      <text/>
    </comment>
    <comment ref="F1217" authorId="1" shapeId="0" xr:uid="{00000000-0006-0000-0100-0000E8040000}">
      <text/>
    </comment>
    <comment ref="A1219" authorId="1" shapeId="0" xr:uid="{00000000-0006-0000-0100-0000E9040000}">
      <text>
        <r>
          <rPr>
            <sz val="11"/>
            <color theme="1"/>
            <rFont val="Calibri"/>
            <family val="2"/>
            <scheme val="minor"/>
          </rPr>
          <t>Introduzca un codigo UNSPSC</t>
        </r>
      </text>
    </comment>
    <comment ref="B1219" authorId="1" shapeId="0" xr:uid="{00000000-0006-0000-0100-0000EA040000}">
      <text>
        <r>
          <rPr>
            <sz val="11"/>
            <color theme="1"/>
            <rFont val="Calibri"/>
            <family val="2"/>
            <scheme val="minor"/>
          </rPr>
          <t>Descripción calculada automáticamente a partir de código del artículo</t>
        </r>
      </text>
    </comment>
    <comment ref="C1219" authorId="1" shapeId="0" xr:uid="{00000000-0006-0000-0100-0000EB040000}">
      <text>
        <r>
          <rPr>
            <sz val="11"/>
            <color theme="1"/>
            <rFont val="Calibri"/>
            <family val="2"/>
            <scheme val="minor"/>
          </rPr>
          <t>Seleccione un valor de la lista</t>
        </r>
      </text>
    </comment>
    <comment ref="D1219" authorId="1" shapeId="0" xr:uid="{00000000-0006-0000-0100-0000EC040000}">
      <text>
        <r>
          <rPr>
            <sz val="11"/>
            <color theme="1"/>
            <rFont val="Calibri"/>
            <family val="2"/>
            <scheme val="minor"/>
          </rPr>
          <t>Introduzca un número con dos decimales como máximo. Debe ser igual o mayor a la "Cantidad Real Consumida"</t>
        </r>
      </text>
    </comment>
    <comment ref="E1219" authorId="1" shapeId="0" xr:uid="{00000000-0006-0000-0100-0000ED040000}">
      <text>
        <r>
          <rPr>
            <sz val="11"/>
            <color theme="1"/>
            <rFont val="Calibri"/>
            <family val="2"/>
            <scheme val="minor"/>
          </rPr>
          <t>Introduzca un número con dos decimales como máximo</t>
        </r>
      </text>
    </comment>
    <comment ref="F1219" authorId="1" shapeId="0" xr:uid="{00000000-0006-0000-0100-0000EE040000}">
      <text>
        <r>
          <rPr>
            <sz val="11"/>
            <color theme="1"/>
            <rFont val="Calibri"/>
            <family val="2"/>
            <scheme val="minor"/>
          </rPr>
          <t>Monto calculado automáticamente por el sistema</t>
        </r>
      </text>
    </comment>
    <comment ref="A1226" authorId="1" shapeId="0" xr:uid="{00000000-0006-0000-0100-0000EF040000}">
      <text>
        <r>
          <rPr>
            <sz val="11"/>
            <color theme="1"/>
            <rFont val="Calibri"/>
            <family val="2"/>
            <scheme val="minor"/>
          </rPr>
          <t>Introducir un texto con el nombre o referencia de la contratación</t>
        </r>
      </text>
    </comment>
    <comment ref="B1226" authorId="1" shapeId="0" xr:uid="{00000000-0006-0000-0100-0000F0040000}">
      <text>
        <r>
          <rPr>
            <sz val="11"/>
            <color theme="1"/>
            <rFont val="Calibri"/>
            <family val="2"/>
            <scheme val="minor"/>
          </rPr>
          <t>Introduzca un texto con la finalidad de la contratación</t>
        </r>
      </text>
    </comment>
    <comment ref="C1226" authorId="1" shapeId="0" xr:uid="{00000000-0006-0000-0100-0000F1040000}">
      <text>
        <r>
          <rPr>
            <sz val="11"/>
            <color theme="1"/>
            <rFont val="Calibri"/>
            <family val="2"/>
            <scheme val="minor"/>
          </rPr>
          <t>Seleccionar un valor del listado</t>
        </r>
      </text>
    </comment>
    <comment ref="D1226" authorId="1" shapeId="0" xr:uid="{00000000-0006-0000-0100-0000F2040000}">
      <text>
        <r>
          <rPr>
            <sz val="11"/>
            <color theme="1"/>
            <rFont val="Calibri"/>
            <family val="2"/>
            <scheme val="minor"/>
          </rPr>
          <t>Seleccione el tipo de procedimiento</t>
        </r>
      </text>
    </comment>
    <comment ref="E1226" authorId="1" shapeId="0" xr:uid="{00000000-0006-0000-0100-0000F3040000}">
      <text>
        <r>
          <rPr>
            <sz val="11"/>
            <color theme="1"/>
            <rFont val="Calibri"/>
            <family val="2"/>
            <scheme val="minor"/>
          </rPr>
          <t>Seleccione un valor de la lista</t>
        </r>
      </text>
    </comment>
    <comment ref="F1226" authorId="1" shapeId="0" xr:uid="{00000000-0006-0000-0100-0000F4040000}">
      <text>
        <r>
          <rPr>
            <sz val="11"/>
            <color theme="1"/>
            <rFont val="Calibri"/>
            <family val="2"/>
            <scheme val="minor"/>
          </rPr>
          <t>Introduzca el código SNIP</t>
        </r>
      </text>
    </comment>
    <comment ref="C1227" authorId="1" shapeId="0" xr:uid="{00000000-0006-0000-0100-0000F5040000}">
      <text>
        <r>
          <rPr>
            <sz val="11"/>
            <color theme="1"/>
            <rFont val="Calibri"/>
            <family val="2"/>
            <scheme val="minor"/>
          </rPr>
          <t>Introduzca la fecha de inicio del proceso, en formato dd-mm-aaaa</t>
        </r>
      </text>
    </comment>
    <comment ref="F1227" authorId="1" shapeId="0" xr:uid="{00000000-0006-0000-0100-0000F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8" authorId="1" shapeId="0" xr:uid="{00000000-0006-0000-0100-0000F8040000}">
      <text/>
    </comment>
    <comment ref="C1229" authorId="1" shapeId="0" xr:uid="{00000000-0006-0000-0100-0000F6040000}">
      <text>
        <r>
          <rPr>
            <sz val="11"/>
            <color theme="1"/>
            <rFont val="Calibri"/>
            <family val="2"/>
            <scheme val="minor"/>
          </rPr>
          <t>Introduzca la fecha prevista de adjudicación, en formato dd-mm-aaaa</t>
        </r>
      </text>
    </comment>
    <comment ref="F1229" authorId="1" shapeId="0" xr:uid="{00000000-0006-0000-0100-0000F9040000}">
      <text/>
    </comment>
    <comment ref="F1230" authorId="1" shapeId="0" xr:uid="{00000000-0006-0000-0100-0000FA040000}">
      <text/>
    </comment>
    <comment ref="A1232" authorId="1" shapeId="0" xr:uid="{00000000-0006-0000-0100-0000FB040000}">
      <text>
        <r>
          <rPr>
            <sz val="11"/>
            <color theme="1"/>
            <rFont val="Calibri"/>
            <family val="2"/>
            <scheme val="minor"/>
          </rPr>
          <t>Introduzca un codigo UNSPSC</t>
        </r>
      </text>
    </comment>
    <comment ref="B1232" authorId="1" shapeId="0" xr:uid="{00000000-0006-0000-0100-0000FC040000}">
      <text>
        <r>
          <rPr>
            <sz val="11"/>
            <color theme="1"/>
            <rFont val="Calibri"/>
            <family val="2"/>
            <scheme val="minor"/>
          </rPr>
          <t>Descripción calculada automáticamente a partir de código del artículo</t>
        </r>
      </text>
    </comment>
    <comment ref="C1232" authorId="1" shapeId="0" xr:uid="{00000000-0006-0000-0100-0000FD040000}">
      <text>
        <r>
          <rPr>
            <sz val="11"/>
            <color theme="1"/>
            <rFont val="Calibri"/>
            <family val="2"/>
            <scheme val="minor"/>
          </rPr>
          <t>Seleccione un valor de la lista</t>
        </r>
      </text>
    </comment>
    <comment ref="D1232" authorId="1" shapeId="0" xr:uid="{00000000-0006-0000-0100-0000FE040000}">
      <text>
        <r>
          <rPr>
            <sz val="11"/>
            <color theme="1"/>
            <rFont val="Calibri"/>
            <family val="2"/>
            <scheme val="minor"/>
          </rPr>
          <t>Introduzca un número con dos decimales como máximo. Debe ser igual o mayor a la "Cantidad Real Consumida"</t>
        </r>
      </text>
    </comment>
    <comment ref="E1232" authorId="1" shapeId="0" xr:uid="{00000000-0006-0000-0100-0000FF040000}">
      <text>
        <r>
          <rPr>
            <sz val="11"/>
            <color theme="1"/>
            <rFont val="Calibri"/>
            <family val="2"/>
            <scheme val="minor"/>
          </rPr>
          <t>Introduzca un número con dos decimales como máximo</t>
        </r>
      </text>
    </comment>
    <comment ref="F1232" authorId="1" shapeId="0" xr:uid="{00000000-0006-0000-0100-000000050000}">
      <text>
        <r>
          <rPr>
            <sz val="11"/>
            <color theme="1"/>
            <rFont val="Calibri"/>
            <family val="2"/>
            <scheme val="minor"/>
          </rPr>
          <t>Monto calculado automáticamente por el sistema</t>
        </r>
      </text>
    </comment>
    <comment ref="A1239" authorId="1" shapeId="0" xr:uid="{00000000-0006-0000-0100-000001050000}">
      <text>
        <r>
          <rPr>
            <sz val="11"/>
            <color theme="1"/>
            <rFont val="Calibri"/>
            <family val="2"/>
            <scheme val="minor"/>
          </rPr>
          <t>Introducir un texto con el nombre o referencia de la contratación</t>
        </r>
      </text>
    </comment>
    <comment ref="B1239" authorId="1" shapeId="0" xr:uid="{00000000-0006-0000-0100-000002050000}">
      <text>
        <r>
          <rPr>
            <sz val="11"/>
            <color theme="1"/>
            <rFont val="Calibri"/>
            <family val="2"/>
            <scheme val="minor"/>
          </rPr>
          <t>Introduzca un texto con la finalidad de la contratación</t>
        </r>
      </text>
    </comment>
    <comment ref="C1239" authorId="1" shapeId="0" xr:uid="{00000000-0006-0000-0100-000003050000}">
      <text>
        <r>
          <rPr>
            <sz val="11"/>
            <color theme="1"/>
            <rFont val="Calibri"/>
            <family val="2"/>
            <scheme val="minor"/>
          </rPr>
          <t>Seleccionar un valor del listado</t>
        </r>
      </text>
    </comment>
    <comment ref="D1239" authorId="1" shapeId="0" xr:uid="{00000000-0006-0000-0100-000004050000}">
      <text>
        <r>
          <rPr>
            <sz val="11"/>
            <color theme="1"/>
            <rFont val="Calibri"/>
            <family val="2"/>
            <scheme val="minor"/>
          </rPr>
          <t>Seleccione el tipo de procedimiento</t>
        </r>
      </text>
    </comment>
    <comment ref="E1239" authorId="1" shapeId="0" xr:uid="{00000000-0006-0000-0100-000005050000}">
      <text>
        <r>
          <rPr>
            <sz val="11"/>
            <color theme="1"/>
            <rFont val="Calibri"/>
            <family val="2"/>
            <scheme val="minor"/>
          </rPr>
          <t>Seleccione un valor de la lista</t>
        </r>
      </text>
    </comment>
    <comment ref="F1239" authorId="1" shapeId="0" xr:uid="{00000000-0006-0000-0100-000006050000}">
      <text>
        <r>
          <rPr>
            <sz val="11"/>
            <color theme="1"/>
            <rFont val="Calibri"/>
            <family val="2"/>
            <scheme val="minor"/>
          </rPr>
          <t>Introduzca el código SNIP</t>
        </r>
      </text>
    </comment>
    <comment ref="C1240" authorId="1" shapeId="0" xr:uid="{00000000-0006-0000-0100-000007050000}">
      <text>
        <r>
          <rPr>
            <sz val="11"/>
            <color theme="1"/>
            <rFont val="Calibri"/>
            <family val="2"/>
            <scheme val="minor"/>
          </rPr>
          <t>Introduzca la fecha de inicio del proceso, en formato dd-mm-aaaa</t>
        </r>
      </text>
    </comment>
    <comment ref="F1240" authorId="1" shapeId="0" xr:uid="{00000000-0006-0000-0100-000009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1" authorId="1" shapeId="0" xr:uid="{00000000-0006-0000-0100-00000A050000}">
      <text/>
    </comment>
    <comment ref="C1242" authorId="1" shapeId="0" xr:uid="{00000000-0006-0000-0100-000008050000}">
      <text>
        <r>
          <rPr>
            <sz val="11"/>
            <color theme="1"/>
            <rFont val="Calibri"/>
            <family val="2"/>
            <scheme val="minor"/>
          </rPr>
          <t>Introduzca la fecha prevista de adjudicación, en formato dd-mm-aaaa</t>
        </r>
      </text>
    </comment>
    <comment ref="F1242" authorId="1" shapeId="0" xr:uid="{00000000-0006-0000-0100-00000B050000}">
      <text/>
    </comment>
    <comment ref="F1243" authorId="1" shapeId="0" xr:uid="{00000000-0006-0000-0100-00000C050000}">
      <text/>
    </comment>
    <comment ref="A1245" authorId="1" shapeId="0" xr:uid="{00000000-0006-0000-0100-00000D050000}">
      <text>
        <r>
          <rPr>
            <sz val="11"/>
            <color theme="1"/>
            <rFont val="Calibri"/>
            <family val="2"/>
            <scheme val="minor"/>
          </rPr>
          <t>Introduzca un codigo UNSPSC</t>
        </r>
      </text>
    </comment>
    <comment ref="B1245" authorId="1" shapeId="0" xr:uid="{00000000-0006-0000-0100-00000E050000}">
      <text>
        <r>
          <rPr>
            <sz val="11"/>
            <color theme="1"/>
            <rFont val="Calibri"/>
            <family val="2"/>
            <scheme val="minor"/>
          </rPr>
          <t>Descripción calculada automáticamente a partir de código del artículo</t>
        </r>
      </text>
    </comment>
    <comment ref="C1245" authorId="1" shapeId="0" xr:uid="{00000000-0006-0000-0100-00000F050000}">
      <text>
        <r>
          <rPr>
            <sz val="11"/>
            <color theme="1"/>
            <rFont val="Calibri"/>
            <family val="2"/>
            <scheme val="minor"/>
          </rPr>
          <t>Seleccione un valor de la lista</t>
        </r>
      </text>
    </comment>
    <comment ref="D1245" authorId="1" shapeId="0" xr:uid="{00000000-0006-0000-0100-000010050000}">
      <text>
        <r>
          <rPr>
            <sz val="11"/>
            <color theme="1"/>
            <rFont val="Calibri"/>
            <family val="2"/>
            <scheme val="minor"/>
          </rPr>
          <t>Introduzca un número con dos decimales como máximo. Debe ser igual o mayor a la "Cantidad Real Consumida"</t>
        </r>
      </text>
    </comment>
    <comment ref="E1245" authorId="1" shapeId="0" xr:uid="{00000000-0006-0000-0100-000011050000}">
      <text>
        <r>
          <rPr>
            <sz val="11"/>
            <color theme="1"/>
            <rFont val="Calibri"/>
            <family val="2"/>
            <scheme val="minor"/>
          </rPr>
          <t>Introduzca un número con dos decimales como máximo</t>
        </r>
      </text>
    </comment>
    <comment ref="F1245" authorId="1" shapeId="0" xr:uid="{00000000-0006-0000-0100-000012050000}">
      <text>
        <r>
          <rPr>
            <sz val="11"/>
            <color theme="1"/>
            <rFont val="Calibri"/>
            <family val="2"/>
            <scheme val="minor"/>
          </rPr>
          <t>Monto calculado automáticamente por el sistema</t>
        </r>
      </text>
    </comment>
    <comment ref="A1251" authorId="1" shapeId="0" xr:uid="{00000000-0006-0000-0100-000013050000}">
      <text>
        <r>
          <rPr>
            <sz val="11"/>
            <color theme="1"/>
            <rFont val="Calibri"/>
            <family val="2"/>
            <scheme val="minor"/>
          </rPr>
          <t>Introducir un texto con el nombre o referencia de la contratación</t>
        </r>
      </text>
    </comment>
    <comment ref="B1251" authorId="1" shapeId="0" xr:uid="{00000000-0006-0000-0100-000014050000}">
      <text>
        <r>
          <rPr>
            <sz val="11"/>
            <color theme="1"/>
            <rFont val="Calibri"/>
            <family val="2"/>
            <scheme val="minor"/>
          </rPr>
          <t>Introduzca un texto con la finalidad de la contratación</t>
        </r>
      </text>
    </comment>
    <comment ref="C1251" authorId="1" shapeId="0" xr:uid="{00000000-0006-0000-0100-000015050000}">
      <text>
        <r>
          <rPr>
            <sz val="11"/>
            <color theme="1"/>
            <rFont val="Calibri"/>
            <family val="2"/>
            <scheme val="minor"/>
          </rPr>
          <t>Seleccionar un valor del listado</t>
        </r>
      </text>
    </comment>
    <comment ref="D1251" authorId="1" shapeId="0" xr:uid="{00000000-0006-0000-0100-000016050000}">
      <text>
        <r>
          <rPr>
            <sz val="11"/>
            <color theme="1"/>
            <rFont val="Calibri"/>
            <family val="2"/>
            <scheme val="minor"/>
          </rPr>
          <t>Seleccione el tipo de procedimiento</t>
        </r>
      </text>
    </comment>
    <comment ref="E1251" authorId="1" shapeId="0" xr:uid="{00000000-0006-0000-0100-000017050000}">
      <text>
        <r>
          <rPr>
            <sz val="11"/>
            <color theme="1"/>
            <rFont val="Calibri"/>
            <family val="2"/>
            <scheme val="minor"/>
          </rPr>
          <t>Seleccione un valor de la lista</t>
        </r>
      </text>
    </comment>
    <comment ref="F1251" authorId="1" shapeId="0" xr:uid="{00000000-0006-0000-0100-000018050000}">
      <text>
        <r>
          <rPr>
            <sz val="11"/>
            <color theme="1"/>
            <rFont val="Calibri"/>
            <family val="2"/>
            <scheme val="minor"/>
          </rPr>
          <t>Introduzca el código SNIP</t>
        </r>
      </text>
    </comment>
    <comment ref="C1252" authorId="1" shapeId="0" xr:uid="{00000000-0006-0000-0100-000019050000}">
      <text>
        <r>
          <rPr>
            <sz val="11"/>
            <color theme="1"/>
            <rFont val="Calibri"/>
            <family val="2"/>
            <scheme val="minor"/>
          </rPr>
          <t>Introduzca la fecha de inicio del proceso, en formato dd-mm-aaaa</t>
        </r>
      </text>
    </comment>
    <comment ref="F1252" authorId="1" shapeId="0" xr:uid="{00000000-0006-0000-0100-00001B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3" authorId="1" shapeId="0" xr:uid="{00000000-0006-0000-0100-00001C050000}">
      <text/>
    </comment>
    <comment ref="C1254" authorId="1" shapeId="0" xr:uid="{00000000-0006-0000-0100-00001A050000}">
      <text>
        <r>
          <rPr>
            <sz val="11"/>
            <color theme="1"/>
            <rFont val="Calibri"/>
            <family val="2"/>
            <scheme val="minor"/>
          </rPr>
          <t>Introduzca la fecha prevista de adjudicación, en formato dd-mm-aaaa</t>
        </r>
      </text>
    </comment>
    <comment ref="F1254" authorId="1" shapeId="0" xr:uid="{00000000-0006-0000-0100-00001D050000}">
      <text/>
    </comment>
    <comment ref="F1255" authorId="1" shapeId="0" xr:uid="{00000000-0006-0000-0100-00001E050000}">
      <text/>
    </comment>
    <comment ref="A1257" authorId="1" shapeId="0" xr:uid="{00000000-0006-0000-0100-00001F050000}">
      <text>
        <r>
          <rPr>
            <sz val="11"/>
            <color theme="1"/>
            <rFont val="Calibri"/>
            <family val="2"/>
            <scheme val="minor"/>
          </rPr>
          <t>Introduzca un codigo UNSPSC</t>
        </r>
      </text>
    </comment>
    <comment ref="B1257" authorId="1" shapeId="0" xr:uid="{00000000-0006-0000-0100-000020050000}">
      <text>
        <r>
          <rPr>
            <sz val="11"/>
            <color theme="1"/>
            <rFont val="Calibri"/>
            <family val="2"/>
            <scheme val="minor"/>
          </rPr>
          <t>Descripción calculada automáticamente a partir de código del artículo</t>
        </r>
      </text>
    </comment>
    <comment ref="C1257" authorId="1" shapeId="0" xr:uid="{00000000-0006-0000-0100-000021050000}">
      <text>
        <r>
          <rPr>
            <sz val="11"/>
            <color theme="1"/>
            <rFont val="Calibri"/>
            <family val="2"/>
            <scheme val="minor"/>
          </rPr>
          <t>Seleccione un valor de la lista</t>
        </r>
      </text>
    </comment>
    <comment ref="D1257" authorId="1" shapeId="0" xr:uid="{00000000-0006-0000-0100-000022050000}">
      <text>
        <r>
          <rPr>
            <sz val="11"/>
            <color theme="1"/>
            <rFont val="Calibri"/>
            <family val="2"/>
            <scheme val="minor"/>
          </rPr>
          <t>Introduzca un número con dos decimales como máximo. Debe ser igual o mayor a la "Cantidad Real Consumida"</t>
        </r>
      </text>
    </comment>
    <comment ref="E1257" authorId="1" shapeId="0" xr:uid="{00000000-0006-0000-0100-000023050000}">
      <text>
        <r>
          <rPr>
            <sz val="11"/>
            <color theme="1"/>
            <rFont val="Calibri"/>
            <family val="2"/>
            <scheme val="minor"/>
          </rPr>
          <t>Introduzca un número con dos decimales como máximo</t>
        </r>
      </text>
    </comment>
    <comment ref="F1257" authorId="1" shapeId="0" xr:uid="{00000000-0006-0000-0100-000024050000}">
      <text>
        <r>
          <rPr>
            <sz val="11"/>
            <color theme="1"/>
            <rFont val="Calibri"/>
            <family val="2"/>
            <scheme val="minor"/>
          </rPr>
          <t>Monto calculado automáticamente por el sistema</t>
        </r>
      </text>
    </comment>
    <comment ref="A1263" authorId="1" shapeId="0" xr:uid="{00000000-0006-0000-0100-000025050000}">
      <text>
        <r>
          <rPr>
            <sz val="11"/>
            <color theme="1"/>
            <rFont val="Calibri"/>
            <family val="2"/>
            <scheme val="minor"/>
          </rPr>
          <t>Introducir un texto con el nombre o referencia de la contratación</t>
        </r>
      </text>
    </comment>
    <comment ref="B1263" authorId="1" shapeId="0" xr:uid="{00000000-0006-0000-0100-000026050000}">
      <text>
        <r>
          <rPr>
            <sz val="11"/>
            <color theme="1"/>
            <rFont val="Calibri"/>
            <family val="2"/>
            <scheme val="minor"/>
          </rPr>
          <t>Introduzca un texto con la finalidad de la contratación</t>
        </r>
      </text>
    </comment>
    <comment ref="C1263" authorId="1" shapeId="0" xr:uid="{00000000-0006-0000-0100-000027050000}">
      <text>
        <r>
          <rPr>
            <sz val="11"/>
            <color theme="1"/>
            <rFont val="Calibri"/>
            <family val="2"/>
            <scheme val="minor"/>
          </rPr>
          <t>Seleccionar un valor del listado</t>
        </r>
      </text>
    </comment>
    <comment ref="D1263" authorId="1" shapeId="0" xr:uid="{00000000-0006-0000-0100-000028050000}">
      <text>
        <r>
          <rPr>
            <sz val="11"/>
            <color theme="1"/>
            <rFont val="Calibri"/>
            <family val="2"/>
            <scheme val="minor"/>
          </rPr>
          <t>Seleccione el tipo de procedimiento</t>
        </r>
      </text>
    </comment>
    <comment ref="E1263" authorId="1" shapeId="0" xr:uid="{00000000-0006-0000-0100-000029050000}">
      <text>
        <r>
          <rPr>
            <sz val="11"/>
            <color theme="1"/>
            <rFont val="Calibri"/>
            <family val="2"/>
            <scheme val="minor"/>
          </rPr>
          <t>Seleccione un valor de la lista</t>
        </r>
      </text>
    </comment>
    <comment ref="F1263" authorId="1" shapeId="0" xr:uid="{00000000-0006-0000-0100-00002A050000}">
      <text>
        <r>
          <rPr>
            <sz val="11"/>
            <color theme="1"/>
            <rFont val="Calibri"/>
            <family val="2"/>
            <scheme val="minor"/>
          </rPr>
          <t>Introduzca el código SNIP</t>
        </r>
      </text>
    </comment>
    <comment ref="C1264" authorId="1" shapeId="0" xr:uid="{00000000-0006-0000-0100-00002B050000}">
      <text>
        <r>
          <rPr>
            <sz val="11"/>
            <color theme="1"/>
            <rFont val="Calibri"/>
            <family val="2"/>
            <scheme val="minor"/>
          </rPr>
          <t>Introduzca la fecha de inicio del proceso, en formato dd-mm-aaaa</t>
        </r>
      </text>
    </comment>
    <comment ref="F1264" authorId="1" shapeId="0" xr:uid="{00000000-0006-0000-0100-00002D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65" authorId="1" shapeId="0" xr:uid="{00000000-0006-0000-0100-00002E050000}">
      <text/>
    </comment>
    <comment ref="C1266" authorId="1" shapeId="0" xr:uid="{00000000-0006-0000-0100-00002C050000}">
      <text>
        <r>
          <rPr>
            <sz val="11"/>
            <color theme="1"/>
            <rFont val="Calibri"/>
            <family val="2"/>
            <scheme val="minor"/>
          </rPr>
          <t>Introduzca la fecha prevista de adjudicación, en formato dd-mm-aaaa</t>
        </r>
      </text>
    </comment>
    <comment ref="F1266" authorId="1" shapeId="0" xr:uid="{00000000-0006-0000-0100-00002F050000}">
      <text/>
    </comment>
    <comment ref="F1267" authorId="1" shapeId="0" xr:uid="{00000000-0006-0000-0100-000030050000}">
      <text/>
    </comment>
    <comment ref="A1269" authorId="1" shapeId="0" xr:uid="{00000000-0006-0000-0100-000031050000}">
      <text>
        <r>
          <rPr>
            <sz val="11"/>
            <color theme="1"/>
            <rFont val="Calibri"/>
            <family val="2"/>
            <scheme val="minor"/>
          </rPr>
          <t>Introduzca un codigo UNSPSC</t>
        </r>
      </text>
    </comment>
    <comment ref="B1269" authorId="1" shapeId="0" xr:uid="{00000000-0006-0000-0100-000032050000}">
      <text>
        <r>
          <rPr>
            <sz val="11"/>
            <color theme="1"/>
            <rFont val="Calibri"/>
            <family val="2"/>
            <scheme val="minor"/>
          </rPr>
          <t>Descripción calculada automáticamente a partir de código del artículo</t>
        </r>
      </text>
    </comment>
    <comment ref="C1269" authorId="1" shapeId="0" xr:uid="{00000000-0006-0000-0100-000033050000}">
      <text>
        <r>
          <rPr>
            <sz val="11"/>
            <color theme="1"/>
            <rFont val="Calibri"/>
            <family val="2"/>
            <scheme val="minor"/>
          </rPr>
          <t>Seleccione un valor de la lista</t>
        </r>
      </text>
    </comment>
    <comment ref="D1269" authorId="1" shapeId="0" xr:uid="{00000000-0006-0000-0100-000034050000}">
      <text>
        <r>
          <rPr>
            <sz val="11"/>
            <color theme="1"/>
            <rFont val="Calibri"/>
            <family val="2"/>
            <scheme val="minor"/>
          </rPr>
          <t>Introduzca un número con dos decimales como máximo. Debe ser igual o mayor a la "Cantidad Real Consumida"</t>
        </r>
      </text>
    </comment>
    <comment ref="E1269" authorId="1" shapeId="0" xr:uid="{00000000-0006-0000-0100-000035050000}">
      <text>
        <r>
          <rPr>
            <sz val="11"/>
            <color theme="1"/>
            <rFont val="Calibri"/>
            <family val="2"/>
            <scheme val="minor"/>
          </rPr>
          <t>Introduzca un número con dos decimales como máximo</t>
        </r>
      </text>
    </comment>
    <comment ref="F1269" authorId="1" shapeId="0" xr:uid="{00000000-0006-0000-0100-000036050000}">
      <text>
        <r>
          <rPr>
            <sz val="11"/>
            <color theme="1"/>
            <rFont val="Calibri"/>
            <family val="2"/>
            <scheme val="minor"/>
          </rPr>
          <t>Monto calculado automáticamente por el sistema</t>
        </r>
      </text>
    </comment>
    <comment ref="A1274" authorId="1" shapeId="0" xr:uid="{00000000-0006-0000-0100-000037050000}">
      <text>
        <r>
          <rPr>
            <sz val="11"/>
            <color theme="1"/>
            <rFont val="Calibri"/>
            <family val="2"/>
            <scheme val="minor"/>
          </rPr>
          <t>Introducir un texto con el nombre o referencia de la contratación</t>
        </r>
      </text>
    </comment>
    <comment ref="B1274" authorId="1" shapeId="0" xr:uid="{00000000-0006-0000-0100-000038050000}">
      <text>
        <r>
          <rPr>
            <sz val="11"/>
            <color theme="1"/>
            <rFont val="Calibri"/>
            <family val="2"/>
            <scheme val="minor"/>
          </rPr>
          <t>Introduzca un texto con la finalidad de la contratación</t>
        </r>
      </text>
    </comment>
    <comment ref="C1274" authorId="1" shapeId="0" xr:uid="{00000000-0006-0000-0100-000039050000}">
      <text>
        <r>
          <rPr>
            <sz val="11"/>
            <color theme="1"/>
            <rFont val="Calibri"/>
            <family val="2"/>
            <scheme val="minor"/>
          </rPr>
          <t>Seleccionar un valor del listado</t>
        </r>
      </text>
    </comment>
    <comment ref="D1274" authorId="1" shapeId="0" xr:uid="{00000000-0006-0000-0100-00003A050000}">
      <text>
        <r>
          <rPr>
            <sz val="11"/>
            <color theme="1"/>
            <rFont val="Calibri"/>
            <family val="2"/>
            <scheme val="minor"/>
          </rPr>
          <t>Seleccione el tipo de procedimiento</t>
        </r>
      </text>
    </comment>
    <comment ref="E1274" authorId="1" shapeId="0" xr:uid="{00000000-0006-0000-0100-00003B050000}">
      <text>
        <r>
          <rPr>
            <sz val="11"/>
            <color theme="1"/>
            <rFont val="Calibri"/>
            <family val="2"/>
            <scheme val="minor"/>
          </rPr>
          <t>Seleccione un valor de la lista</t>
        </r>
      </text>
    </comment>
    <comment ref="F1274" authorId="1" shapeId="0" xr:uid="{00000000-0006-0000-0100-00003C050000}">
      <text>
        <r>
          <rPr>
            <sz val="11"/>
            <color theme="1"/>
            <rFont val="Calibri"/>
            <family val="2"/>
            <scheme val="minor"/>
          </rPr>
          <t>Introduzca el código SNIP</t>
        </r>
      </text>
    </comment>
    <comment ref="C1275" authorId="1" shapeId="0" xr:uid="{00000000-0006-0000-0100-00003D050000}">
      <text>
        <r>
          <rPr>
            <sz val="11"/>
            <color theme="1"/>
            <rFont val="Calibri"/>
            <family val="2"/>
            <scheme val="minor"/>
          </rPr>
          <t>Introduzca la fecha de inicio del proceso, en formato dd-mm-aaaa</t>
        </r>
      </text>
    </comment>
    <comment ref="F1275" authorId="1" shapeId="0" xr:uid="{00000000-0006-0000-0100-00003F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76" authorId="1" shapeId="0" xr:uid="{00000000-0006-0000-0100-000040050000}">
      <text/>
    </comment>
    <comment ref="C1277" authorId="1" shapeId="0" xr:uid="{00000000-0006-0000-0100-00003E050000}">
      <text>
        <r>
          <rPr>
            <sz val="11"/>
            <color theme="1"/>
            <rFont val="Calibri"/>
            <family val="2"/>
            <scheme val="minor"/>
          </rPr>
          <t>Introduzca la fecha prevista de adjudicación, en formato dd-mm-aaaa</t>
        </r>
      </text>
    </comment>
    <comment ref="F1277" authorId="1" shapeId="0" xr:uid="{00000000-0006-0000-0100-000041050000}">
      <text/>
    </comment>
    <comment ref="F1278" authorId="1" shapeId="0" xr:uid="{00000000-0006-0000-0100-000042050000}">
      <text/>
    </comment>
    <comment ref="A1280" authorId="1" shapeId="0" xr:uid="{00000000-0006-0000-0100-000043050000}">
      <text>
        <r>
          <rPr>
            <sz val="11"/>
            <color theme="1"/>
            <rFont val="Calibri"/>
            <family val="2"/>
            <scheme val="minor"/>
          </rPr>
          <t>Introduzca un codigo UNSPSC</t>
        </r>
      </text>
    </comment>
    <comment ref="B1280" authorId="1" shapeId="0" xr:uid="{00000000-0006-0000-0100-000044050000}">
      <text>
        <r>
          <rPr>
            <sz val="11"/>
            <color theme="1"/>
            <rFont val="Calibri"/>
            <family val="2"/>
            <scheme val="minor"/>
          </rPr>
          <t>Descripción calculada automáticamente a partir de código del artículo</t>
        </r>
      </text>
    </comment>
    <comment ref="C1280" authorId="1" shapeId="0" xr:uid="{00000000-0006-0000-0100-000045050000}">
      <text>
        <r>
          <rPr>
            <sz val="11"/>
            <color theme="1"/>
            <rFont val="Calibri"/>
            <family val="2"/>
            <scheme val="minor"/>
          </rPr>
          <t>Seleccione un valor de la lista</t>
        </r>
      </text>
    </comment>
    <comment ref="D1280" authorId="1" shapeId="0" xr:uid="{00000000-0006-0000-0100-000046050000}">
      <text>
        <r>
          <rPr>
            <sz val="11"/>
            <color theme="1"/>
            <rFont val="Calibri"/>
            <family val="2"/>
            <scheme val="minor"/>
          </rPr>
          <t>Introduzca un número con dos decimales como máximo. Debe ser igual o mayor a la "Cantidad Real Consumida"</t>
        </r>
      </text>
    </comment>
    <comment ref="E1280" authorId="1" shapeId="0" xr:uid="{00000000-0006-0000-0100-000047050000}">
      <text>
        <r>
          <rPr>
            <sz val="11"/>
            <color theme="1"/>
            <rFont val="Calibri"/>
            <family val="2"/>
            <scheme val="minor"/>
          </rPr>
          <t>Introduzca un número con dos decimales como máximo</t>
        </r>
      </text>
    </comment>
    <comment ref="F1280" authorId="1" shapeId="0" xr:uid="{00000000-0006-0000-0100-000048050000}">
      <text>
        <r>
          <rPr>
            <sz val="11"/>
            <color theme="1"/>
            <rFont val="Calibri"/>
            <family val="2"/>
            <scheme val="minor"/>
          </rPr>
          <t>Monto calculado automáticamente por el sistema</t>
        </r>
      </text>
    </comment>
    <comment ref="A1285" authorId="1" shapeId="0" xr:uid="{00000000-0006-0000-0100-000049050000}">
      <text>
        <r>
          <rPr>
            <sz val="11"/>
            <color theme="1"/>
            <rFont val="Calibri"/>
            <family val="2"/>
            <scheme val="minor"/>
          </rPr>
          <t>Introducir un texto con el nombre o referencia de la contratación</t>
        </r>
      </text>
    </comment>
    <comment ref="B1285" authorId="1" shapeId="0" xr:uid="{00000000-0006-0000-0100-00004A050000}">
      <text>
        <r>
          <rPr>
            <sz val="11"/>
            <color theme="1"/>
            <rFont val="Calibri"/>
            <family val="2"/>
            <scheme val="minor"/>
          </rPr>
          <t>Introduzca un texto con la finalidad de la contratación</t>
        </r>
      </text>
    </comment>
    <comment ref="C1285" authorId="1" shapeId="0" xr:uid="{00000000-0006-0000-0100-00004B050000}">
      <text>
        <r>
          <rPr>
            <sz val="11"/>
            <color theme="1"/>
            <rFont val="Calibri"/>
            <family val="2"/>
            <scheme val="minor"/>
          </rPr>
          <t>Seleccionar un valor del listado</t>
        </r>
      </text>
    </comment>
    <comment ref="D1285" authorId="1" shapeId="0" xr:uid="{00000000-0006-0000-0100-00004C050000}">
      <text>
        <r>
          <rPr>
            <sz val="11"/>
            <color theme="1"/>
            <rFont val="Calibri"/>
            <family val="2"/>
            <scheme val="minor"/>
          </rPr>
          <t>Seleccione el tipo de procedimiento</t>
        </r>
      </text>
    </comment>
    <comment ref="E1285" authorId="1" shapeId="0" xr:uid="{00000000-0006-0000-0100-00004D050000}">
      <text>
        <r>
          <rPr>
            <sz val="11"/>
            <color theme="1"/>
            <rFont val="Calibri"/>
            <family val="2"/>
            <scheme val="minor"/>
          </rPr>
          <t>Seleccione un valor de la lista</t>
        </r>
      </text>
    </comment>
    <comment ref="F1285" authorId="1" shapeId="0" xr:uid="{00000000-0006-0000-0100-00004E050000}">
      <text>
        <r>
          <rPr>
            <sz val="11"/>
            <color theme="1"/>
            <rFont val="Calibri"/>
            <family val="2"/>
            <scheme val="minor"/>
          </rPr>
          <t>Introduzca el código SNIP</t>
        </r>
      </text>
    </comment>
    <comment ref="C1286" authorId="1" shapeId="0" xr:uid="{00000000-0006-0000-0100-00004F050000}">
      <text>
        <r>
          <rPr>
            <sz val="11"/>
            <color theme="1"/>
            <rFont val="Calibri"/>
            <family val="2"/>
            <scheme val="minor"/>
          </rPr>
          <t>Introduzca la fecha de inicio del proceso, en formato dd-mm-aaaa</t>
        </r>
      </text>
    </comment>
    <comment ref="F1286" authorId="1" shapeId="0" xr:uid="{00000000-0006-0000-0100-000051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7" authorId="1" shapeId="0" xr:uid="{00000000-0006-0000-0100-000052050000}">
      <text/>
    </comment>
    <comment ref="C1288" authorId="1" shapeId="0" xr:uid="{00000000-0006-0000-0100-000050050000}">
      <text>
        <r>
          <rPr>
            <sz val="11"/>
            <color theme="1"/>
            <rFont val="Calibri"/>
            <family val="2"/>
            <scheme val="minor"/>
          </rPr>
          <t>Introduzca la fecha prevista de adjudicación, en formato dd-mm-aaaa</t>
        </r>
      </text>
    </comment>
    <comment ref="F1288" authorId="1" shapeId="0" xr:uid="{00000000-0006-0000-0100-000053050000}">
      <text/>
    </comment>
    <comment ref="F1289" authorId="1" shapeId="0" xr:uid="{00000000-0006-0000-0100-000054050000}">
      <text/>
    </comment>
    <comment ref="A1291" authorId="1" shapeId="0" xr:uid="{00000000-0006-0000-0100-000055050000}">
      <text>
        <r>
          <rPr>
            <sz val="11"/>
            <color theme="1"/>
            <rFont val="Calibri"/>
            <family val="2"/>
            <scheme val="minor"/>
          </rPr>
          <t>Introduzca un codigo UNSPSC</t>
        </r>
      </text>
    </comment>
    <comment ref="B1291" authorId="1" shapeId="0" xr:uid="{00000000-0006-0000-0100-000056050000}">
      <text>
        <r>
          <rPr>
            <sz val="11"/>
            <color theme="1"/>
            <rFont val="Calibri"/>
            <family val="2"/>
            <scheme val="minor"/>
          </rPr>
          <t>Descripción calculada automáticamente a partir de código del artículo</t>
        </r>
      </text>
    </comment>
    <comment ref="C1291" authorId="1" shapeId="0" xr:uid="{00000000-0006-0000-0100-000057050000}">
      <text>
        <r>
          <rPr>
            <sz val="11"/>
            <color theme="1"/>
            <rFont val="Calibri"/>
            <family val="2"/>
            <scheme val="minor"/>
          </rPr>
          <t>Seleccione un valor de la lista</t>
        </r>
      </text>
    </comment>
    <comment ref="D1291" authorId="1" shapeId="0" xr:uid="{00000000-0006-0000-0100-000058050000}">
      <text>
        <r>
          <rPr>
            <sz val="11"/>
            <color theme="1"/>
            <rFont val="Calibri"/>
            <family val="2"/>
            <scheme val="minor"/>
          </rPr>
          <t>Introduzca un número con dos decimales como máximo. Debe ser igual o mayor a la "Cantidad Real Consumida"</t>
        </r>
      </text>
    </comment>
    <comment ref="E1291" authorId="1" shapeId="0" xr:uid="{00000000-0006-0000-0100-000059050000}">
      <text>
        <r>
          <rPr>
            <sz val="11"/>
            <color theme="1"/>
            <rFont val="Calibri"/>
            <family val="2"/>
            <scheme val="minor"/>
          </rPr>
          <t>Introduzca un número con dos decimales como máximo</t>
        </r>
      </text>
    </comment>
    <comment ref="F1291" authorId="1" shapeId="0" xr:uid="{00000000-0006-0000-0100-00005A050000}">
      <text>
        <r>
          <rPr>
            <sz val="11"/>
            <color theme="1"/>
            <rFont val="Calibri"/>
            <family val="2"/>
            <scheme val="minor"/>
          </rPr>
          <t>Monto calculado automáticamente por el sistema</t>
        </r>
      </text>
    </comment>
    <comment ref="A1298" authorId="1" shapeId="0" xr:uid="{00000000-0006-0000-0100-00005B050000}">
      <text>
        <r>
          <rPr>
            <sz val="11"/>
            <color theme="1"/>
            <rFont val="Calibri"/>
            <family val="2"/>
            <scheme val="minor"/>
          </rPr>
          <t>Introducir un texto con el nombre o referencia de la contratación</t>
        </r>
      </text>
    </comment>
    <comment ref="B1298" authorId="1" shapeId="0" xr:uid="{00000000-0006-0000-0100-00005C050000}">
      <text>
        <r>
          <rPr>
            <sz val="11"/>
            <color theme="1"/>
            <rFont val="Calibri"/>
            <family val="2"/>
            <scheme val="minor"/>
          </rPr>
          <t>Introduzca un texto con la finalidad de la contratación</t>
        </r>
      </text>
    </comment>
    <comment ref="C1298" authorId="1" shapeId="0" xr:uid="{00000000-0006-0000-0100-00005D050000}">
      <text>
        <r>
          <rPr>
            <sz val="11"/>
            <color theme="1"/>
            <rFont val="Calibri"/>
            <family val="2"/>
            <scheme val="minor"/>
          </rPr>
          <t>Seleccionar un valor del listado</t>
        </r>
      </text>
    </comment>
    <comment ref="D1298" authorId="1" shapeId="0" xr:uid="{00000000-0006-0000-0100-00005E050000}">
      <text>
        <r>
          <rPr>
            <sz val="11"/>
            <color theme="1"/>
            <rFont val="Calibri"/>
            <family val="2"/>
            <scheme val="minor"/>
          </rPr>
          <t>Seleccione el tipo de procedimiento</t>
        </r>
      </text>
    </comment>
    <comment ref="E1298" authorId="1" shapeId="0" xr:uid="{00000000-0006-0000-0100-00005F050000}">
      <text>
        <r>
          <rPr>
            <sz val="11"/>
            <color theme="1"/>
            <rFont val="Calibri"/>
            <family val="2"/>
            <scheme val="minor"/>
          </rPr>
          <t>Seleccione un valor de la lista</t>
        </r>
      </text>
    </comment>
    <comment ref="F1298" authorId="1" shapeId="0" xr:uid="{00000000-0006-0000-0100-000060050000}">
      <text>
        <r>
          <rPr>
            <sz val="11"/>
            <color theme="1"/>
            <rFont val="Calibri"/>
            <family val="2"/>
            <scheme val="minor"/>
          </rPr>
          <t>Introduzca el código SNIP</t>
        </r>
      </text>
    </comment>
    <comment ref="C1299" authorId="1" shapeId="0" xr:uid="{00000000-0006-0000-0100-000061050000}">
      <text>
        <r>
          <rPr>
            <sz val="11"/>
            <color theme="1"/>
            <rFont val="Calibri"/>
            <family val="2"/>
            <scheme val="minor"/>
          </rPr>
          <t>Introduzca la fecha de inicio del proceso, en formato dd-mm-aaaa</t>
        </r>
      </text>
    </comment>
    <comment ref="F1299" authorId="1" shapeId="0" xr:uid="{00000000-0006-0000-0100-000063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0" authorId="1" shapeId="0" xr:uid="{00000000-0006-0000-0100-000064050000}">
      <text/>
    </comment>
    <comment ref="C1301" authorId="1" shapeId="0" xr:uid="{00000000-0006-0000-0100-000062050000}">
      <text>
        <r>
          <rPr>
            <sz val="11"/>
            <color theme="1"/>
            <rFont val="Calibri"/>
            <family val="2"/>
            <scheme val="minor"/>
          </rPr>
          <t>Introduzca la fecha prevista de adjudicación, en formato dd-mm-aaaa</t>
        </r>
      </text>
    </comment>
    <comment ref="F1301" authorId="1" shapeId="0" xr:uid="{00000000-0006-0000-0100-000065050000}">
      <text/>
    </comment>
    <comment ref="F1302" authorId="1" shapeId="0" xr:uid="{00000000-0006-0000-0100-000066050000}">
      <text/>
    </comment>
    <comment ref="A1304" authorId="1" shapeId="0" xr:uid="{00000000-0006-0000-0100-000067050000}">
      <text>
        <r>
          <rPr>
            <sz val="11"/>
            <color theme="1"/>
            <rFont val="Calibri"/>
            <family val="2"/>
            <scheme val="minor"/>
          </rPr>
          <t>Introduzca un codigo UNSPSC</t>
        </r>
      </text>
    </comment>
    <comment ref="B1304" authorId="1" shapeId="0" xr:uid="{00000000-0006-0000-0100-000068050000}">
      <text>
        <r>
          <rPr>
            <sz val="11"/>
            <color theme="1"/>
            <rFont val="Calibri"/>
            <family val="2"/>
            <scheme val="minor"/>
          </rPr>
          <t>Descripción calculada automáticamente a partir de código del artículo</t>
        </r>
      </text>
    </comment>
    <comment ref="C1304" authorId="1" shapeId="0" xr:uid="{00000000-0006-0000-0100-000069050000}">
      <text>
        <r>
          <rPr>
            <sz val="11"/>
            <color theme="1"/>
            <rFont val="Calibri"/>
            <family val="2"/>
            <scheme val="minor"/>
          </rPr>
          <t>Seleccione un valor de la lista</t>
        </r>
      </text>
    </comment>
    <comment ref="D1304" authorId="1" shapeId="0" xr:uid="{00000000-0006-0000-0100-00006A050000}">
      <text>
        <r>
          <rPr>
            <sz val="11"/>
            <color theme="1"/>
            <rFont val="Calibri"/>
            <family val="2"/>
            <scheme val="minor"/>
          </rPr>
          <t>Introduzca un número con dos decimales como máximo. Debe ser igual o mayor a la "Cantidad Real Consumida"</t>
        </r>
      </text>
    </comment>
    <comment ref="E1304" authorId="1" shapeId="0" xr:uid="{00000000-0006-0000-0100-00006B050000}">
      <text>
        <r>
          <rPr>
            <sz val="11"/>
            <color theme="1"/>
            <rFont val="Calibri"/>
            <family val="2"/>
            <scheme val="minor"/>
          </rPr>
          <t>Introduzca un número con dos decimales como máximo</t>
        </r>
      </text>
    </comment>
    <comment ref="F1304" authorId="1" shapeId="0" xr:uid="{00000000-0006-0000-0100-00006C050000}">
      <text>
        <r>
          <rPr>
            <sz val="11"/>
            <color theme="1"/>
            <rFont val="Calibri"/>
            <family val="2"/>
            <scheme val="minor"/>
          </rPr>
          <t>Monto calculado automáticamente por el sistema</t>
        </r>
      </text>
    </comment>
    <comment ref="A1312" authorId="1" shapeId="0" xr:uid="{00000000-0006-0000-0100-00006D050000}">
      <text>
        <r>
          <rPr>
            <sz val="11"/>
            <color theme="1"/>
            <rFont val="Calibri"/>
            <family val="2"/>
            <scheme val="minor"/>
          </rPr>
          <t>Introducir un texto con el nombre o referencia de la contratación</t>
        </r>
      </text>
    </comment>
    <comment ref="B1312" authorId="1" shapeId="0" xr:uid="{00000000-0006-0000-0100-00006E050000}">
      <text>
        <r>
          <rPr>
            <sz val="11"/>
            <color theme="1"/>
            <rFont val="Calibri"/>
            <family val="2"/>
            <scheme val="minor"/>
          </rPr>
          <t>Introduzca un texto con la finalidad de la contratación</t>
        </r>
      </text>
    </comment>
    <comment ref="C1312" authorId="1" shapeId="0" xr:uid="{00000000-0006-0000-0100-00006F050000}">
      <text>
        <r>
          <rPr>
            <sz val="11"/>
            <color theme="1"/>
            <rFont val="Calibri"/>
            <family val="2"/>
            <scheme val="minor"/>
          </rPr>
          <t>Seleccionar un valor del listado</t>
        </r>
      </text>
    </comment>
    <comment ref="D1312" authorId="1" shapeId="0" xr:uid="{00000000-0006-0000-0100-000070050000}">
      <text>
        <r>
          <rPr>
            <sz val="11"/>
            <color theme="1"/>
            <rFont val="Calibri"/>
            <family val="2"/>
            <scheme val="minor"/>
          </rPr>
          <t>Seleccione el tipo de procedimiento</t>
        </r>
      </text>
    </comment>
    <comment ref="E1312" authorId="1" shapeId="0" xr:uid="{00000000-0006-0000-0100-000071050000}">
      <text>
        <r>
          <rPr>
            <sz val="11"/>
            <color theme="1"/>
            <rFont val="Calibri"/>
            <family val="2"/>
            <scheme val="minor"/>
          </rPr>
          <t>Seleccione un valor de la lista</t>
        </r>
      </text>
    </comment>
    <comment ref="F1312" authorId="1" shapeId="0" xr:uid="{00000000-0006-0000-0100-000072050000}">
      <text>
        <r>
          <rPr>
            <sz val="11"/>
            <color theme="1"/>
            <rFont val="Calibri"/>
            <family val="2"/>
            <scheme val="minor"/>
          </rPr>
          <t>Introduzca el código SNIP</t>
        </r>
      </text>
    </comment>
    <comment ref="C1313" authorId="1" shapeId="0" xr:uid="{00000000-0006-0000-0100-000073050000}">
      <text>
        <r>
          <rPr>
            <sz val="11"/>
            <color theme="1"/>
            <rFont val="Calibri"/>
            <family val="2"/>
            <scheme val="minor"/>
          </rPr>
          <t>Introduzca la fecha de inicio del proceso, en formato dd-mm-aaaa</t>
        </r>
      </text>
    </comment>
    <comment ref="F1313" authorId="1" shapeId="0" xr:uid="{00000000-0006-0000-0100-000075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4" authorId="1" shapeId="0" xr:uid="{00000000-0006-0000-0100-000076050000}">
      <text/>
    </comment>
    <comment ref="C1315" authorId="1" shapeId="0" xr:uid="{00000000-0006-0000-0100-000074050000}">
      <text>
        <r>
          <rPr>
            <sz val="11"/>
            <color theme="1"/>
            <rFont val="Calibri"/>
            <family val="2"/>
            <scheme val="minor"/>
          </rPr>
          <t>Introduzca la fecha prevista de adjudicación, en formato dd-mm-aaaa</t>
        </r>
      </text>
    </comment>
    <comment ref="F1315" authorId="1" shapeId="0" xr:uid="{00000000-0006-0000-0100-000077050000}">
      <text/>
    </comment>
    <comment ref="F1316" authorId="1" shapeId="0" xr:uid="{00000000-0006-0000-0100-000078050000}">
      <text/>
    </comment>
    <comment ref="A1318" authorId="1" shapeId="0" xr:uid="{00000000-0006-0000-0100-000079050000}">
      <text>
        <r>
          <rPr>
            <sz val="11"/>
            <color theme="1"/>
            <rFont val="Calibri"/>
            <family val="2"/>
            <scheme val="minor"/>
          </rPr>
          <t>Introduzca un codigo UNSPSC</t>
        </r>
      </text>
    </comment>
    <comment ref="B1318" authorId="1" shapeId="0" xr:uid="{00000000-0006-0000-0100-00007A050000}">
      <text>
        <r>
          <rPr>
            <sz val="11"/>
            <color theme="1"/>
            <rFont val="Calibri"/>
            <family val="2"/>
            <scheme val="minor"/>
          </rPr>
          <t>Descripción calculada automáticamente a partir de código del artículo</t>
        </r>
      </text>
    </comment>
    <comment ref="C1318" authorId="1" shapeId="0" xr:uid="{00000000-0006-0000-0100-00007B050000}">
      <text>
        <r>
          <rPr>
            <sz val="11"/>
            <color theme="1"/>
            <rFont val="Calibri"/>
            <family val="2"/>
            <scheme val="minor"/>
          </rPr>
          <t>Seleccione un valor de la lista</t>
        </r>
      </text>
    </comment>
    <comment ref="D1318" authorId="1" shapeId="0" xr:uid="{00000000-0006-0000-0100-00007C050000}">
      <text>
        <r>
          <rPr>
            <sz val="11"/>
            <color theme="1"/>
            <rFont val="Calibri"/>
            <family val="2"/>
            <scheme val="minor"/>
          </rPr>
          <t>Introduzca un número con dos decimales como máximo. Debe ser igual o mayor a la "Cantidad Real Consumida"</t>
        </r>
      </text>
    </comment>
    <comment ref="E1318" authorId="1" shapeId="0" xr:uid="{00000000-0006-0000-0100-00007D050000}">
      <text>
        <r>
          <rPr>
            <sz val="11"/>
            <color theme="1"/>
            <rFont val="Calibri"/>
            <family val="2"/>
            <scheme val="minor"/>
          </rPr>
          <t>Introduzca un número con dos decimales como máximo</t>
        </r>
      </text>
    </comment>
    <comment ref="F1318" authorId="1" shapeId="0" xr:uid="{00000000-0006-0000-0100-00007E050000}">
      <text>
        <r>
          <rPr>
            <sz val="11"/>
            <color theme="1"/>
            <rFont val="Calibri"/>
            <family val="2"/>
            <scheme val="minor"/>
          </rPr>
          <t>Monto calculado automáticamente por el sistema</t>
        </r>
      </text>
    </comment>
    <comment ref="A1331" authorId="1" shapeId="0" xr:uid="{00000000-0006-0000-0100-00007F050000}">
      <text>
        <r>
          <rPr>
            <sz val="11"/>
            <color theme="1"/>
            <rFont val="Calibri"/>
            <family val="2"/>
            <scheme val="minor"/>
          </rPr>
          <t>Introducir un texto con el nombre o referencia de la contratación</t>
        </r>
      </text>
    </comment>
    <comment ref="B1331" authorId="1" shapeId="0" xr:uid="{00000000-0006-0000-0100-000080050000}">
      <text>
        <r>
          <rPr>
            <sz val="11"/>
            <color theme="1"/>
            <rFont val="Calibri"/>
            <family val="2"/>
            <scheme val="minor"/>
          </rPr>
          <t>Introduzca un texto con la finalidad de la contratación</t>
        </r>
      </text>
    </comment>
    <comment ref="C1331" authorId="1" shapeId="0" xr:uid="{00000000-0006-0000-0100-000081050000}">
      <text>
        <r>
          <rPr>
            <sz val="11"/>
            <color theme="1"/>
            <rFont val="Calibri"/>
            <family val="2"/>
            <scheme val="minor"/>
          </rPr>
          <t>Seleccionar un valor del listado</t>
        </r>
      </text>
    </comment>
    <comment ref="D1331" authorId="1" shapeId="0" xr:uid="{00000000-0006-0000-0100-000082050000}">
      <text>
        <r>
          <rPr>
            <sz val="11"/>
            <color theme="1"/>
            <rFont val="Calibri"/>
            <family val="2"/>
            <scheme val="minor"/>
          </rPr>
          <t>Seleccione el tipo de procedimiento</t>
        </r>
      </text>
    </comment>
    <comment ref="E1331" authorId="1" shapeId="0" xr:uid="{00000000-0006-0000-0100-000083050000}">
      <text>
        <r>
          <rPr>
            <sz val="11"/>
            <color theme="1"/>
            <rFont val="Calibri"/>
            <family val="2"/>
            <scheme val="minor"/>
          </rPr>
          <t>Seleccione un valor de la lista</t>
        </r>
      </text>
    </comment>
    <comment ref="F1331" authorId="1" shapeId="0" xr:uid="{00000000-0006-0000-0100-000084050000}">
      <text>
        <r>
          <rPr>
            <sz val="11"/>
            <color theme="1"/>
            <rFont val="Calibri"/>
            <family val="2"/>
            <scheme val="minor"/>
          </rPr>
          <t>Introduzca el código SNIP</t>
        </r>
      </text>
    </comment>
    <comment ref="C1332" authorId="1" shapeId="0" xr:uid="{00000000-0006-0000-0100-000085050000}">
      <text>
        <r>
          <rPr>
            <sz val="11"/>
            <color theme="1"/>
            <rFont val="Calibri"/>
            <family val="2"/>
            <scheme val="minor"/>
          </rPr>
          <t>Introduzca la fecha de inicio del proceso, en formato dd-mm-aaaa</t>
        </r>
      </text>
    </comment>
    <comment ref="F1332" authorId="1" shapeId="0" xr:uid="{00000000-0006-0000-0100-000087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33" authorId="1" shapeId="0" xr:uid="{00000000-0006-0000-0100-000088050000}">
      <text/>
    </comment>
    <comment ref="C1334" authorId="1" shapeId="0" xr:uid="{00000000-0006-0000-0100-000086050000}">
      <text>
        <r>
          <rPr>
            <sz val="11"/>
            <color theme="1"/>
            <rFont val="Calibri"/>
            <family val="2"/>
            <scheme val="minor"/>
          </rPr>
          <t>Introduzca la fecha prevista de adjudicación, en formato dd-mm-aaaa</t>
        </r>
      </text>
    </comment>
    <comment ref="F1334" authorId="1" shapeId="0" xr:uid="{00000000-0006-0000-0100-000089050000}">
      <text/>
    </comment>
    <comment ref="F1335" authorId="1" shapeId="0" xr:uid="{00000000-0006-0000-0100-00008A050000}">
      <text/>
    </comment>
    <comment ref="A1337" authorId="1" shapeId="0" xr:uid="{00000000-0006-0000-0100-00008B050000}">
      <text>
        <r>
          <rPr>
            <sz val="11"/>
            <color theme="1"/>
            <rFont val="Calibri"/>
            <family val="2"/>
            <scheme val="minor"/>
          </rPr>
          <t>Introduzca un codigo UNSPSC</t>
        </r>
      </text>
    </comment>
    <comment ref="B1337" authorId="1" shapeId="0" xr:uid="{00000000-0006-0000-0100-00008C050000}">
      <text>
        <r>
          <rPr>
            <sz val="11"/>
            <color theme="1"/>
            <rFont val="Calibri"/>
            <family val="2"/>
            <scheme val="minor"/>
          </rPr>
          <t>Descripción calculada automáticamente a partir de código del artículo</t>
        </r>
      </text>
    </comment>
    <comment ref="C1337" authorId="1" shapeId="0" xr:uid="{00000000-0006-0000-0100-00008D050000}">
      <text>
        <r>
          <rPr>
            <sz val="11"/>
            <color theme="1"/>
            <rFont val="Calibri"/>
            <family val="2"/>
            <scheme val="minor"/>
          </rPr>
          <t>Seleccione un valor de la lista</t>
        </r>
      </text>
    </comment>
    <comment ref="D1337" authorId="1" shapeId="0" xr:uid="{00000000-0006-0000-0100-00008E050000}">
      <text>
        <r>
          <rPr>
            <sz val="11"/>
            <color theme="1"/>
            <rFont val="Calibri"/>
            <family val="2"/>
            <scheme val="minor"/>
          </rPr>
          <t>Introduzca un número con dos decimales como máximo. Debe ser igual o mayor a la "Cantidad Real Consumida"</t>
        </r>
      </text>
    </comment>
    <comment ref="E1337" authorId="1" shapeId="0" xr:uid="{00000000-0006-0000-0100-00008F050000}">
      <text>
        <r>
          <rPr>
            <sz val="11"/>
            <color theme="1"/>
            <rFont val="Calibri"/>
            <family val="2"/>
            <scheme val="minor"/>
          </rPr>
          <t>Introduzca un número con dos decimales como máximo</t>
        </r>
      </text>
    </comment>
    <comment ref="F1337" authorId="1" shapeId="0" xr:uid="{00000000-0006-0000-0100-000090050000}">
      <text>
        <r>
          <rPr>
            <sz val="11"/>
            <color theme="1"/>
            <rFont val="Calibri"/>
            <family val="2"/>
            <scheme val="minor"/>
          </rPr>
          <t>Monto calculado automáticamente por el sistema</t>
        </r>
      </text>
    </comment>
    <comment ref="A1352" authorId="1" shapeId="0" xr:uid="{00000000-0006-0000-0100-000091050000}">
      <text>
        <r>
          <rPr>
            <sz val="11"/>
            <color theme="1"/>
            <rFont val="Calibri"/>
            <family val="2"/>
            <scheme val="minor"/>
          </rPr>
          <t>Introducir un texto con el nombre o referencia de la contratación</t>
        </r>
      </text>
    </comment>
    <comment ref="B1352" authorId="1" shapeId="0" xr:uid="{00000000-0006-0000-0100-000092050000}">
      <text>
        <r>
          <rPr>
            <sz val="11"/>
            <color theme="1"/>
            <rFont val="Calibri"/>
            <family val="2"/>
            <scheme val="minor"/>
          </rPr>
          <t>Introduzca un texto con la finalidad de la contratación</t>
        </r>
      </text>
    </comment>
    <comment ref="C1352" authorId="1" shapeId="0" xr:uid="{00000000-0006-0000-0100-000093050000}">
      <text>
        <r>
          <rPr>
            <sz val="11"/>
            <color theme="1"/>
            <rFont val="Calibri"/>
            <family val="2"/>
            <scheme val="minor"/>
          </rPr>
          <t>Seleccionar un valor del listado</t>
        </r>
      </text>
    </comment>
    <comment ref="D1352" authorId="1" shapeId="0" xr:uid="{00000000-0006-0000-0100-000094050000}">
      <text>
        <r>
          <rPr>
            <sz val="11"/>
            <color theme="1"/>
            <rFont val="Calibri"/>
            <family val="2"/>
            <scheme val="minor"/>
          </rPr>
          <t>Seleccione el tipo de procedimiento</t>
        </r>
      </text>
    </comment>
    <comment ref="E1352" authorId="1" shapeId="0" xr:uid="{00000000-0006-0000-0100-000095050000}">
      <text>
        <r>
          <rPr>
            <sz val="11"/>
            <color theme="1"/>
            <rFont val="Calibri"/>
            <family val="2"/>
            <scheme val="minor"/>
          </rPr>
          <t>Seleccione un valor de la lista</t>
        </r>
      </text>
    </comment>
    <comment ref="F1352" authorId="1" shapeId="0" xr:uid="{00000000-0006-0000-0100-000096050000}">
      <text>
        <r>
          <rPr>
            <sz val="11"/>
            <color theme="1"/>
            <rFont val="Calibri"/>
            <family val="2"/>
            <scheme val="minor"/>
          </rPr>
          <t>Introduzca el código SNIP</t>
        </r>
      </text>
    </comment>
    <comment ref="C1353" authorId="1" shapeId="0" xr:uid="{00000000-0006-0000-0100-000097050000}">
      <text>
        <r>
          <rPr>
            <sz val="11"/>
            <color theme="1"/>
            <rFont val="Calibri"/>
            <family val="2"/>
            <scheme val="minor"/>
          </rPr>
          <t>Introduzca la fecha de inicio del proceso, en formato dd-mm-aaaa</t>
        </r>
      </text>
    </comment>
    <comment ref="F1353" authorId="1" shapeId="0" xr:uid="{00000000-0006-0000-0100-000099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4" authorId="1" shapeId="0" xr:uid="{00000000-0006-0000-0100-00009A050000}">
      <text/>
    </comment>
    <comment ref="C1355" authorId="1" shapeId="0" xr:uid="{00000000-0006-0000-0100-000098050000}">
      <text>
        <r>
          <rPr>
            <sz val="11"/>
            <color theme="1"/>
            <rFont val="Calibri"/>
            <family val="2"/>
            <scheme val="minor"/>
          </rPr>
          <t>Introduzca la fecha prevista de adjudicación, en formato dd-mm-aaaa</t>
        </r>
      </text>
    </comment>
    <comment ref="F1355" authorId="1" shapeId="0" xr:uid="{00000000-0006-0000-0100-00009B050000}">
      <text/>
    </comment>
    <comment ref="F1356" authorId="1" shapeId="0" xr:uid="{00000000-0006-0000-0100-00009C050000}">
      <text/>
    </comment>
    <comment ref="A1358" authorId="1" shapeId="0" xr:uid="{00000000-0006-0000-0100-00009D050000}">
      <text>
        <r>
          <rPr>
            <sz val="11"/>
            <color theme="1"/>
            <rFont val="Calibri"/>
            <family val="2"/>
            <scheme val="minor"/>
          </rPr>
          <t>Introduzca un codigo UNSPSC</t>
        </r>
      </text>
    </comment>
    <comment ref="B1358" authorId="1" shapeId="0" xr:uid="{00000000-0006-0000-0100-00009E050000}">
      <text>
        <r>
          <rPr>
            <sz val="11"/>
            <color theme="1"/>
            <rFont val="Calibri"/>
            <family val="2"/>
            <scheme val="minor"/>
          </rPr>
          <t>Descripción calculada automáticamente a partir de código del artículo</t>
        </r>
      </text>
    </comment>
    <comment ref="C1358" authorId="1" shapeId="0" xr:uid="{00000000-0006-0000-0100-00009F050000}">
      <text>
        <r>
          <rPr>
            <sz val="11"/>
            <color theme="1"/>
            <rFont val="Calibri"/>
            <family val="2"/>
            <scheme val="minor"/>
          </rPr>
          <t>Seleccione un valor de la lista</t>
        </r>
      </text>
    </comment>
    <comment ref="D1358" authorId="1" shapeId="0" xr:uid="{00000000-0006-0000-0100-0000A0050000}">
      <text>
        <r>
          <rPr>
            <sz val="11"/>
            <color theme="1"/>
            <rFont val="Calibri"/>
            <family val="2"/>
            <scheme val="minor"/>
          </rPr>
          <t>Introduzca un número con dos decimales como máximo. Debe ser igual o mayor a la "Cantidad Real Consumida"</t>
        </r>
      </text>
    </comment>
    <comment ref="E1358" authorId="1" shapeId="0" xr:uid="{00000000-0006-0000-0100-0000A1050000}">
      <text>
        <r>
          <rPr>
            <sz val="11"/>
            <color theme="1"/>
            <rFont val="Calibri"/>
            <family val="2"/>
            <scheme val="minor"/>
          </rPr>
          <t>Introduzca un número con dos decimales como máximo</t>
        </r>
      </text>
    </comment>
    <comment ref="F1358" authorId="1" shapeId="0" xr:uid="{00000000-0006-0000-0100-0000A2050000}">
      <text>
        <r>
          <rPr>
            <sz val="11"/>
            <color theme="1"/>
            <rFont val="Calibri"/>
            <family val="2"/>
            <scheme val="minor"/>
          </rPr>
          <t>Monto calculado automáticamente por el sistema</t>
        </r>
      </text>
    </comment>
    <comment ref="A1365" authorId="1" shapeId="0" xr:uid="{00000000-0006-0000-0100-0000A3050000}">
      <text>
        <r>
          <rPr>
            <sz val="11"/>
            <color theme="1"/>
            <rFont val="Calibri"/>
            <family val="2"/>
            <scheme val="minor"/>
          </rPr>
          <t>Introducir un texto con el nombre o referencia de la contratación</t>
        </r>
      </text>
    </comment>
    <comment ref="B1365" authorId="1" shapeId="0" xr:uid="{00000000-0006-0000-0100-0000A4050000}">
      <text>
        <r>
          <rPr>
            <sz val="11"/>
            <color theme="1"/>
            <rFont val="Calibri"/>
            <family val="2"/>
            <scheme val="minor"/>
          </rPr>
          <t>Introduzca un texto con la finalidad de la contratación</t>
        </r>
      </text>
    </comment>
    <comment ref="C1365" authorId="1" shapeId="0" xr:uid="{00000000-0006-0000-0100-0000A5050000}">
      <text>
        <r>
          <rPr>
            <sz val="11"/>
            <color theme="1"/>
            <rFont val="Calibri"/>
            <family val="2"/>
            <scheme val="minor"/>
          </rPr>
          <t>Seleccionar un valor del listado</t>
        </r>
      </text>
    </comment>
    <comment ref="D1365" authorId="1" shapeId="0" xr:uid="{00000000-0006-0000-0100-0000A6050000}">
      <text>
        <r>
          <rPr>
            <sz val="11"/>
            <color theme="1"/>
            <rFont val="Calibri"/>
            <family val="2"/>
            <scheme val="minor"/>
          </rPr>
          <t>Seleccione el tipo de procedimiento</t>
        </r>
      </text>
    </comment>
    <comment ref="E1365" authorId="1" shapeId="0" xr:uid="{00000000-0006-0000-0100-0000A7050000}">
      <text>
        <r>
          <rPr>
            <sz val="11"/>
            <color theme="1"/>
            <rFont val="Calibri"/>
            <family val="2"/>
            <scheme val="minor"/>
          </rPr>
          <t>Seleccione un valor de la lista</t>
        </r>
      </text>
    </comment>
    <comment ref="F1365" authorId="1" shapeId="0" xr:uid="{00000000-0006-0000-0100-0000A8050000}">
      <text>
        <r>
          <rPr>
            <sz val="11"/>
            <color theme="1"/>
            <rFont val="Calibri"/>
            <family val="2"/>
            <scheme val="minor"/>
          </rPr>
          <t>Introduzca el código SNIP</t>
        </r>
      </text>
    </comment>
    <comment ref="C1366" authorId="1" shapeId="0" xr:uid="{00000000-0006-0000-0100-0000A9050000}">
      <text>
        <r>
          <rPr>
            <sz val="11"/>
            <color theme="1"/>
            <rFont val="Calibri"/>
            <family val="2"/>
            <scheme val="minor"/>
          </rPr>
          <t>Introduzca la fecha de inicio del proceso, en formato dd-mm-aaaa</t>
        </r>
      </text>
    </comment>
    <comment ref="F1366" authorId="1" shapeId="0" xr:uid="{00000000-0006-0000-0100-0000AB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67" authorId="1" shapeId="0" xr:uid="{00000000-0006-0000-0100-0000AC050000}">
      <text/>
    </comment>
    <comment ref="C1368" authorId="1" shapeId="0" xr:uid="{00000000-0006-0000-0100-0000AA050000}">
      <text>
        <r>
          <rPr>
            <sz val="11"/>
            <color theme="1"/>
            <rFont val="Calibri"/>
            <family val="2"/>
            <scheme val="minor"/>
          </rPr>
          <t>Introduzca la fecha prevista de adjudicación, en formato dd-mm-aaaa</t>
        </r>
      </text>
    </comment>
    <comment ref="F1368" authorId="1" shapeId="0" xr:uid="{00000000-0006-0000-0100-0000AD050000}">
      <text/>
    </comment>
    <comment ref="F1369" authorId="1" shapeId="0" xr:uid="{00000000-0006-0000-0100-0000AE050000}">
      <text/>
    </comment>
    <comment ref="A1371" authorId="1" shapeId="0" xr:uid="{00000000-0006-0000-0100-0000AF050000}">
      <text>
        <r>
          <rPr>
            <sz val="11"/>
            <color theme="1"/>
            <rFont val="Calibri"/>
            <family val="2"/>
            <scheme val="minor"/>
          </rPr>
          <t>Introduzca un codigo UNSPSC</t>
        </r>
      </text>
    </comment>
    <comment ref="B1371" authorId="1" shapeId="0" xr:uid="{00000000-0006-0000-0100-0000B0050000}">
      <text>
        <r>
          <rPr>
            <sz val="11"/>
            <color theme="1"/>
            <rFont val="Calibri"/>
            <family val="2"/>
            <scheme val="minor"/>
          </rPr>
          <t>Descripción calculada automáticamente a partir de código del artículo</t>
        </r>
      </text>
    </comment>
    <comment ref="C1371" authorId="1" shapeId="0" xr:uid="{00000000-0006-0000-0100-0000B1050000}">
      <text>
        <r>
          <rPr>
            <sz val="11"/>
            <color theme="1"/>
            <rFont val="Calibri"/>
            <family val="2"/>
            <scheme val="minor"/>
          </rPr>
          <t>Seleccione un valor de la lista</t>
        </r>
      </text>
    </comment>
    <comment ref="D1371" authorId="1" shapeId="0" xr:uid="{00000000-0006-0000-0100-0000B2050000}">
      <text>
        <r>
          <rPr>
            <sz val="11"/>
            <color theme="1"/>
            <rFont val="Calibri"/>
            <family val="2"/>
            <scheme val="minor"/>
          </rPr>
          <t>Introduzca un número con dos decimales como máximo. Debe ser igual o mayor a la "Cantidad Real Consumida"</t>
        </r>
      </text>
    </comment>
    <comment ref="E1371" authorId="1" shapeId="0" xr:uid="{00000000-0006-0000-0100-0000B3050000}">
      <text>
        <r>
          <rPr>
            <sz val="11"/>
            <color theme="1"/>
            <rFont val="Calibri"/>
            <family val="2"/>
            <scheme val="minor"/>
          </rPr>
          <t>Introduzca un número con dos decimales como máximo</t>
        </r>
      </text>
    </comment>
    <comment ref="F1371" authorId="1" shapeId="0" xr:uid="{00000000-0006-0000-0100-0000B4050000}">
      <text>
        <r>
          <rPr>
            <sz val="11"/>
            <color theme="1"/>
            <rFont val="Calibri"/>
            <family val="2"/>
            <scheme val="minor"/>
          </rPr>
          <t>Monto calculado automáticamente por el sistema</t>
        </r>
      </text>
    </comment>
    <comment ref="A1380" authorId="1" shapeId="0" xr:uid="{00000000-0006-0000-0100-0000B5050000}">
      <text>
        <r>
          <rPr>
            <sz val="11"/>
            <color theme="1"/>
            <rFont val="Calibri"/>
            <family val="2"/>
            <scheme val="minor"/>
          </rPr>
          <t>Introducir un texto con el nombre o referencia de la contratación</t>
        </r>
      </text>
    </comment>
    <comment ref="B1380" authorId="1" shapeId="0" xr:uid="{00000000-0006-0000-0100-0000B6050000}">
      <text>
        <r>
          <rPr>
            <sz val="11"/>
            <color theme="1"/>
            <rFont val="Calibri"/>
            <family val="2"/>
            <scheme val="minor"/>
          </rPr>
          <t>Introduzca un texto con la finalidad de la contratación</t>
        </r>
      </text>
    </comment>
    <comment ref="C1380" authorId="1" shapeId="0" xr:uid="{00000000-0006-0000-0100-0000B7050000}">
      <text>
        <r>
          <rPr>
            <sz val="11"/>
            <color theme="1"/>
            <rFont val="Calibri"/>
            <family val="2"/>
            <scheme val="minor"/>
          </rPr>
          <t>Seleccionar un valor del listado</t>
        </r>
      </text>
    </comment>
    <comment ref="D1380" authorId="1" shapeId="0" xr:uid="{00000000-0006-0000-0100-0000B8050000}">
      <text>
        <r>
          <rPr>
            <sz val="11"/>
            <color theme="1"/>
            <rFont val="Calibri"/>
            <family val="2"/>
            <scheme val="minor"/>
          </rPr>
          <t>Seleccione el tipo de procedimiento</t>
        </r>
      </text>
    </comment>
    <comment ref="E1380" authorId="1" shapeId="0" xr:uid="{00000000-0006-0000-0100-0000B9050000}">
      <text>
        <r>
          <rPr>
            <sz val="11"/>
            <color theme="1"/>
            <rFont val="Calibri"/>
            <family val="2"/>
            <scheme val="minor"/>
          </rPr>
          <t>Seleccione un valor de la lista</t>
        </r>
      </text>
    </comment>
    <comment ref="F1380" authorId="1" shapeId="0" xr:uid="{00000000-0006-0000-0100-0000BA050000}">
      <text>
        <r>
          <rPr>
            <sz val="11"/>
            <color theme="1"/>
            <rFont val="Calibri"/>
            <family val="2"/>
            <scheme val="minor"/>
          </rPr>
          <t>Introduzca el código SNIP</t>
        </r>
      </text>
    </comment>
    <comment ref="C1381" authorId="1" shapeId="0" xr:uid="{00000000-0006-0000-0100-0000BB050000}">
      <text>
        <r>
          <rPr>
            <sz val="11"/>
            <color theme="1"/>
            <rFont val="Calibri"/>
            <family val="2"/>
            <scheme val="minor"/>
          </rPr>
          <t>Introduzca la fecha de inicio del proceso, en formato dd-mm-aaaa</t>
        </r>
      </text>
    </comment>
    <comment ref="F1381" authorId="1" shapeId="0" xr:uid="{00000000-0006-0000-0100-0000BD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82" authorId="1" shapeId="0" xr:uid="{00000000-0006-0000-0100-0000BE050000}">
      <text/>
    </comment>
    <comment ref="C1383" authorId="1" shapeId="0" xr:uid="{00000000-0006-0000-0100-0000BC050000}">
      <text>
        <r>
          <rPr>
            <sz val="11"/>
            <color theme="1"/>
            <rFont val="Calibri"/>
            <family val="2"/>
            <scheme val="minor"/>
          </rPr>
          <t>Introduzca la fecha prevista de adjudicación, en formato dd-mm-aaaa</t>
        </r>
      </text>
    </comment>
    <comment ref="F1383" authorId="1" shapeId="0" xr:uid="{00000000-0006-0000-0100-0000BF050000}">
      <text/>
    </comment>
    <comment ref="F1384" authorId="1" shapeId="0" xr:uid="{00000000-0006-0000-0100-0000C0050000}">
      <text/>
    </comment>
    <comment ref="A1386" authorId="1" shapeId="0" xr:uid="{00000000-0006-0000-0100-0000C1050000}">
      <text>
        <r>
          <rPr>
            <sz val="11"/>
            <color theme="1"/>
            <rFont val="Calibri"/>
            <family val="2"/>
            <scheme val="minor"/>
          </rPr>
          <t>Introduzca un codigo UNSPSC</t>
        </r>
      </text>
    </comment>
    <comment ref="B1386" authorId="1" shapeId="0" xr:uid="{00000000-0006-0000-0100-0000C2050000}">
      <text>
        <r>
          <rPr>
            <sz val="11"/>
            <color theme="1"/>
            <rFont val="Calibri"/>
            <family val="2"/>
            <scheme val="minor"/>
          </rPr>
          <t>Descripción calculada automáticamente a partir de código del artículo</t>
        </r>
      </text>
    </comment>
    <comment ref="C1386" authorId="1" shapeId="0" xr:uid="{00000000-0006-0000-0100-0000C3050000}">
      <text>
        <r>
          <rPr>
            <sz val="11"/>
            <color theme="1"/>
            <rFont val="Calibri"/>
            <family val="2"/>
            <scheme val="minor"/>
          </rPr>
          <t>Seleccione un valor de la lista</t>
        </r>
      </text>
    </comment>
    <comment ref="D1386" authorId="1" shapeId="0" xr:uid="{00000000-0006-0000-0100-0000C4050000}">
      <text>
        <r>
          <rPr>
            <sz val="11"/>
            <color theme="1"/>
            <rFont val="Calibri"/>
            <family val="2"/>
            <scheme val="minor"/>
          </rPr>
          <t>Introduzca un número con dos decimales como máximo. Debe ser igual o mayor a la "Cantidad Real Consumida"</t>
        </r>
      </text>
    </comment>
    <comment ref="E1386" authorId="1" shapeId="0" xr:uid="{00000000-0006-0000-0100-0000C5050000}">
      <text>
        <r>
          <rPr>
            <sz val="11"/>
            <color theme="1"/>
            <rFont val="Calibri"/>
            <family val="2"/>
            <scheme val="minor"/>
          </rPr>
          <t>Introduzca un número con dos decimales como máximo</t>
        </r>
      </text>
    </comment>
    <comment ref="F1386" authorId="1" shapeId="0" xr:uid="{00000000-0006-0000-0100-0000C6050000}">
      <text>
        <r>
          <rPr>
            <sz val="11"/>
            <color theme="1"/>
            <rFont val="Calibri"/>
            <family val="2"/>
            <scheme val="minor"/>
          </rPr>
          <t>Monto calculado automáticamente por el sistema</t>
        </r>
      </text>
    </comment>
    <comment ref="A1392" authorId="1" shapeId="0" xr:uid="{00000000-0006-0000-0100-0000C7050000}">
      <text>
        <r>
          <rPr>
            <sz val="11"/>
            <color theme="1"/>
            <rFont val="Calibri"/>
            <family val="2"/>
            <scheme val="minor"/>
          </rPr>
          <t>Introducir un texto con el nombre o referencia de la contratación</t>
        </r>
      </text>
    </comment>
    <comment ref="B1392" authorId="1" shapeId="0" xr:uid="{00000000-0006-0000-0100-0000C8050000}">
      <text>
        <r>
          <rPr>
            <sz val="11"/>
            <color theme="1"/>
            <rFont val="Calibri"/>
            <family val="2"/>
            <scheme val="minor"/>
          </rPr>
          <t>Introduzca un texto con la finalidad de la contratación</t>
        </r>
      </text>
    </comment>
    <comment ref="C1392" authorId="1" shapeId="0" xr:uid="{00000000-0006-0000-0100-0000C9050000}">
      <text>
        <r>
          <rPr>
            <sz val="11"/>
            <color theme="1"/>
            <rFont val="Calibri"/>
            <family val="2"/>
            <scheme val="minor"/>
          </rPr>
          <t>Seleccionar un valor del listado</t>
        </r>
      </text>
    </comment>
    <comment ref="D1392" authorId="1" shapeId="0" xr:uid="{00000000-0006-0000-0100-0000CA050000}">
      <text>
        <r>
          <rPr>
            <sz val="11"/>
            <color theme="1"/>
            <rFont val="Calibri"/>
            <family val="2"/>
            <scheme val="minor"/>
          </rPr>
          <t>Seleccione el tipo de procedimiento</t>
        </r>
      </text>
    </comment>
    <comment ref="E1392" authorId="1" shapeId="0" xr:uid="{00000000-0006-0000-0100-0000CB050000}">
      <text>
        <r>
          <rPr>
            <sz val="11"/>
            <color theme="1"/>
            <rFont val="Calibri"/>
            <family val="2"/>
            <scheme val="minor"/>
          </rPr>
          <t>Seleccione un valor de la lista</t>
        </r>
      </text>
    </comment>
    <comment ref="F1392" authorId="1" shapeId="0" xr:uid="{00000000-0006-0000-0100-0000CC050000}">
      <text>
        <r>
          <rPr>
            <sz val="11"/>
            <color theme="1"/>
            <rFont val="Calibri"/>
            <family val="2"/>
            <scheme val="minor"/>
          </rPr>
          <t>Introduzca el código SNIP</t>
        </r>
      </text>
    </comment>
    <comment ref="C1393" authorId="1" shapeId="0" xr:uid="{00000000-0006-0000-0100-0000CD050000}">
      <text>
        <r>
          <rPr>
            <sz val="11"/>
            <color theme="1"/>
            <rFont val="Calibri"/>
            <family val="2"/>
            <scheme val="minor"/>
          </rPr>
          <t>Introduzca la fecha de inicio del proceso, en formato dd-mm-aaaa</t>
        </r>
      </text>
    </comment>
    <comment ref="F1393" authorId="1" shapeId="0" xr:uid="{00000000-0006-0000-0100-0000CF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94" authorId="1" shapeId="0" xr:uid="{00000000-0006-0000-0100-0000D0050000}">
      <text/>
    </comment>
    <comment ref="C1395" authorId="1" shapeId="0" xr:uid="{00000000-0006-0000-0100-0000CE050000}">
      <text>
        <r>
          <rPr>
            <sz val="11"/>
            <color theme="1"/>
            <rFont val="Calibri"/>
            <family val="2"/>
            <scheme val="minor"/>
          </rPr>
          <t>Introduzca la fecha prevista de adjudicación, en formato dd-mm-aaaa</t>
        </r>
      </text>
    </comment>
    <comment ref="F1395" authorId="1" shapeId="0" xr:uid="{00000000-0006-0000-0100-0000D1050000}">
      <text/>
    </comment>
    <comment ref="F1396" authorId="1" shapeId="0" xr:uid="{00000000-0006-0000-0100-0000D2050000}">
      <text/>
    </comment>
    <comment ref="A1398" authorId="1" shapeId="0" xr:uid="{00000000-0006-0000-0100-0000D3050000}">
      <text>
        <r>
          <rPr>
            <sz val="11"/>
            <color theme="1"/>
            <rFont val="Calibri"/>
            <family val="2"/>
            <scheme val="minor"/>
          </rPr>
          <t>Introduzca un codigo UNSPSC</t>
        </r>
      </text>
    </comment>
    <comment ref="B1398" authorId="1" shapeId="0" xr:uid="{00000000-0006-0000-0100-0000D4050000}">
      <text>
        <r>
          <rPr>
            <sz val="11"/>
            <color theme="1"/>
            <rFont val="Calibri"/>
            <family val="2"/>
            <scheme val="minor"/>
          </rPr>
          <t>Descripción calculada automáticamente a partir de código del artículo</t>
        </r>
      </text>
    </comment>
    <comment ref="C1398" authorId="1" shapeId="0" xr:uid="{00000000-0006-0000-0100-0000D5050000}">
      <text>
        <r>
          <rPr>
            <sz val="11"/>
            <color theme="1"/>
            <rFont val="Calibri"/>
            <family val="2"/>
            <scheme val="minor"/>
          </rPr>
          <t>Seleccione un valor de la lista</t>
        </r>
      </text>
    </comment>
    <comment ref="D1398" authorId="1" shapeId="0" xr:uid="{00000000-0006-0000-0100-0000D6050000}">
      <text>
        <r>
          <rPr>
            <sz val="11"/>
            <color theme="1"/>
            <rFont val="Calibri"/>
            <family val="2"/>
            <scheme val="minor"/>
          </rPr>
          <t>Introduzca un número con dos decimales como máximo. Debe ser igual o mayor a la "Cantidad Real Consumida"</t>
        </r>
      </text>
    </comment>
    <comment ref="E1398" authorId="1" shapeId="0" xr:uid="{00000000-0006-0000-0100-0000D7050000}">
      <text>
        <r>
          <rPr>
            <sz val="11"/>
            <color theme="1"/>
            <rFont val="Calibri"/>
            <family val="2"/>
            <scheme val="minor"/>
          </rPr>
          <t>Introduzca un número con dos decimales como máximo</t>
        </r>
      </text>
    </comment>
    <comment ref="F1398" authorId="1" shapeId="0" xr:uid="{00000000-0006-0000-0100-0000D8050000}">
      <text>
        <r>
          <rPr>
            <sz val="11"/>
            <color theme="1"/>
            <rFont val="Calibri"/>
            <family val="2"/>
            <scheme val="minor"/>
          </rPr>
          <t>Monto calculado automáticamente por el sistema</t>
        </r>
      </text>
    </comment>
    <comment ref="A1403" authorId="1" shapeId="0" xr:uid="{00000000-0006-0000-0100-0000D9050000}">
      <text>
        <r>
          <rPr>
            <sz val="11"/>
            <color theme="1"/>
            <rFont val="Calibri"/>
            <family val="2"/>
            <scheme val="minor"/>
          </rPr>
          <t>Introducir un texto con el nombre o referencia de la contratación</t>
        </r>
      </text>
    </comment>
    <comment ref="B1403" authorId="1" shapeId="0" xr:uid="{00000000-0006-0000-0100-0000DA050000}">
      <text>
        <r>
          <rPr>
            <sz val="11"/>
            <color theme="1"/>
            <rFont val="Calibri"/>
            <family val="2"/>
            <scheme val="minor"/>
          </rPr>
          <t>Introduzca un texto con la finalidad de la contratación</t>
        </r>
      </text>
    </comment>
    <comment ref="C1403" authorId="1" shapeId="0" xr:uid="{00000000-0006-0000-0100-0000DB050000}">
      <text>
        <r>
          <rPr>
            <sz val="11"/>
            <color theme="1"/>
            <rFont val="Calibri"/>
            <family val="2"/>
            <scheme val="minor"/>
          </rPr>
          <t>Seleccionar un valor del listado</t>
        </r>
      </text>
    </comment>
    <comment ref="D1403" authorId="1" shapeId="0" xr:uid="{00000000-0006-0000-0100-0000DC050000}">
      <text>
        <r>
          <rPr>
            <sz val="11"/>
            <color theme="1"/>
            <rFont val="Calibri"/>
            <family val="2"/>
            <scheme val="minor"/>
          </rPr>
          <t>Seleccione el tipo de procedimiento</t>
        </r>
      </text>
    </comment>
    <comment ref="E1403" authorId="1" shapeId="0" xr:uid="{00000000-0006-0000-0100-0000DD050000}">
      <text>
        <r>
          <rPr>
            <sz val="11"/>
            <color theme="1"/>
            <rFont val="Calibri"/>
            <family val="2"/>
            <scheme val="minor"/>
          </rPr>
          <t>Seleccione un valor de la lista</t>
        </r>
      </text>
    </comment>
    <comment ref="F1403" authorId="1" shapeId="0" xr:uid="{00000000-0006-0000-0100-0000DE050000}">
      <text>
        <r>
          <rPr>
            <sz val="11"/>
            <color theme="1"/>
            <rFont val="Calibri"/>
            <family val="2"/>
            <scheme val="minor"/>
          </rPr>
          <t>Introduzca el código SNIP</t>
        </r>
      </text>
    </comment>
    <comment ref="C1404" authorId="1" shapeId="0" xr:uid="{00000000-0006-0000-0100-0000DF050000}">
      <text>
        <r>
          <rPr>
            <sz val="11"/>
            <color theme="1"/>
            <rFont val="Calibri"/>
            <family val="2"/>
            <scheme val="minor"/>
          </rPr>
          <t>Introduzca la fecha de inicio del proceso, en formato dd-mm-aaaa</t>
        </r>
      </text>
    </comment>
    <comment ref="F1404" authorId="1" shapeId="0" xr:uid="{00000000-0006-0000-0100-0000E1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05" authorId="1" shapeId="0" xr:uid="{00000000-0006-0000-0100-0000E2050000}">
      <text/>
    </comment>
    <comment ref="C1406" authorId="1" shapeId="0" xr:uid="{00000000-0006-0000-0100-0000E0050000}">
      <text>
        <r>
          <rPr>
            <sz val="11"/>
            <color theme="1"/>
            <rFont val="Calibri"/>
            <family val="2"/>
            <scheme val="minor"/>
          </rPr>
          <t>Introduzca la fecha prevista de adjudicación, en formato dd-mm-aaaa</t>
        </r>
      </text>
    </comment>
    <comment ref="F1406" authorId="1" shapeId="0" xr:uid="{00000000-0006-0000-0100-0000E3050000}">
      <text/>
    </comment>
    <comment ref="F1407" authorId="1" shapeId="0" xr:uid="{00000000-0006-0000-0100-0000E4050000}">
      <text/>
    </comment>
    <comment ref="A1409" authorId="1" shapeId="0" xr:uid="{00000000-0006-0000-0100-0000E5050000}">
      <text>
        <r>
          <rPr>
            <sz val="11"/>
            <color theme="1"/>
            <rFont val="Calibri"/>
            <family val="2"/>
            <scheme val="minor"/>
          </rPr>
          <t>Introduzca un codigo UNSPSC</t>
        </r>
      </text>
    </comment>
    <comment ref="B1409" authorId="1" shapeId="0" xr:uid="{00000000-0006-0000-0100-0000E6050000}">
      <text>
        <r>
          <rPr>
            <sz val="11"/>
            <color theme="1"/>
            <rFont val="Calibri"/>
            <family val="2"/>
            <scheme val="minor"/>
          </rPr>
          <t>Descripción calculada automáticamente a partir de código del artículo</t>
        </r>
      </text>
    </comment>
    <comment ref="C1409" authorId="1" shapeId="0" xr:uid="{00000000-0006-0000-0100-0000E7050000}">
      <text>
        <r>
          <rPr>
            <sz val="11"/>
            <color theme="1"/>
            <rFont val="Calibri"/>
            <family val="2"/>
            <scheme val="minor"/>
          </rPr>
          <t>Seleccione un valor de la lista</t>
        </r>
      </text>
    </comment>
    <comment ref="D1409" authorId="1" shapeId="0" xr:uid="{00000000-0006-0000-0100-0000E8050000}">
      <text>
        <r>
          <rPr>
            <sz val="11"/>
            <color theme="1"/>
            <rFont val="Calibri"/>
            <family val="2"/>
            <scheme val="minor"/>
          </rPr>
          <t>Introduzca un número con dos decimales como máximo. Debe ser igual o mayor a la "Cantidad Real Consumida"</t>
        </r>
      </text>
    </comment>
    <comment ref="E1409" authorId="1" shapeId="0" xr:uid="{00000000-0006-0000-0100-0000E9050000}">
      <text>
        <r>
          <rPr>
            <sz val="11"/>
            <color theme="1"/>
            <rFont val="Calibri"/>
            <family val="2"/>
            <scheme val="minor"/>
          </rPr>
          <t>Introduzca un número con dos decimales como máximo</t>
        </r>
      </text>
    </comment>
    <comment ref="F1409" authorId="1" shapeId="0" xr:uid="{00000000-0006-0000-0100-0000EA050000}">
      <text>
        <r>
          <rPr>
            <sz val="11"/>
            <color theme="1"/>
            <rFont val="Calibri"/>
            <family val="2"/>
            <scheme val="minor"/>
          </rPr>
          <t>Monto calculado automáticamente por el sistema</t>
        </r>
      </text>
    </comment>
    <comment ref="A1429" authorId="1" shapeId="0" xr:uid="{00000000-0006-0000-0100-0000EB050000}">
      <text>
        <r>
          <rPr>
            <sz val="11"/>
            <color theme="1"/>
            <rFont val="Calibri"/>
            <family val="2"/>
            <scheme val="minor"/>
          </rPr>
          <t>Introducir un texto con el nombre o referencia de la contratación</t>
        </r>
      </text>
    </comment>
    <comment ref="B1429" authorId="1" shapeId="0" xr:uid="{00000000-0006-0000-0100-0000EC050000}">
      <text>
        <r>
          <rPr>
            <sz val="11"/>
            <color theme="1"/>
            <rFont val="Calibri"/>
            <family val="2"/>
            <scheme val="minor"/>
          </rPr>
          <t>Introduzca un texto con la finalidad de la contratación</t>
        </r>
      </text>
    </comment>
    <comment ref="C1429" authorId="1" shapeId="0" xr:uid="{00000000-0006-0000-0100-0000ED050000}">
      <text>
        <r>
          <rPr>
            <sz val="11"/>
            <color theme="1"/>
            <rFont val="Calibri"/>
            <family val="2"/>
            <scheme val="minor"/>
          </rPr>
          <t>Seleccionar un valor del listado</t>
        </r>
      </text>
    </comment>
    <comment ref="D1429" authorId="1" shapeId="0" xr:uid="{00000000-0006-0000-0100-0000EE050000}">
      <text>
        <r>
          <rPr>
            <sz val="11"/>
            <color theme="1"/>
            <rFont val="Calibri"/>
            <family val="2"/>
            <scheme val="minor"/>
          </rPr>
          <t>Seleccione el tipo de procedimiento</t>
        </r>
      </text>
    </comment>
    <comment ref="E1429" authorId="1" shapeId="0" xr:uid="{00000000-0006-0000-0100-0000EF050000}">
      <text>
        <r>
          <rPr>
            <sz val="11"/>
            <color theme="1"/>
            <rFont val="Calibri"/>
            <family val="2"/>
            <scheme val="minor"/>
          </rPr>
          <t>Seleccione un valor de la lista</t>
        </r>
      </text>
    </comment>
    <comment ref="F1429" authorId="1" shapeId="0" xr:uid="{00000000-0006-0000-0100-0000F0050000}">
      <text>
        <r>
          <rPr>
            <sz val="11"/>
            <color theme="1"/>
            <rFont val="Calibri"/>
            <family val="2"/>
            <scheme val="minor"/>
          </rPr>
          <t>Introduzca el código SNIP</t>
        </r>
      </text>
    </comment>
    <comment ref="C1430" authorId="1" shapeId="0" xr:uid="{00000000-0006-0000-0100-0000F1050000}">
      <text>
        <r>
          <rPr>
            <sz val="11"/>
            <color theme="1"/>
            <rFont val="Calibri"/>
            <family val="2"/>
            <scheme val="minor"/>
          </rPr>
          <t>Introduzca la fecha de inicio del proceso, en formato dd-mm-aaaa</t>
        </r>
      </text>
    </comment>
    <comment ref="F1430" authorId="1" shapeId="0" xr:uid="{00000000-0006-0000-0100-0000F3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31" authorId="1" shapeId="0" xr:uid="{00000000-0006-0000-0100-0000F4050000}">
      <text/>
    </comment>
    <comment ref="C1432" authorId="1" shapeId="0" xr:uid="{00000000-0006-0000-0100-0000F2050000}">
      <text>
        <r>
          <rPr>
            <sz val="11"/>
            <color theme="1"/>
            <rFont val="Calibri"/>
            <family val="2"/>
            <scheme val="minor"/>
          </rPr>
          <t>Introduzca la fecha prevista de adjudicación, en formato dd-mm-aaaa</t>
        </r>
      </text>
    </comment>
    <comment ref="F1432" authorId="1" shapeId="0" xr:uid="{00000000-0006-0000-0100-0000F5050000}">
      <text/>
    </comment>
    <comment ref="F1433" authorId="1" shapeId="0" xr:uid="{00000000-0006-0000-0100-0000F6050000}">
      <text/>
    </comment>
    <comment ref="A1435" authorId="1" shapeId="0" xr:uid="{00000000-0006-0000-0100-0000F7050000}">
      <text>
        <r>
          <rPr>
            <sz val="11"/>
            <color theme="1"/>
            <rFont val="Calibri"/>
            <family val="2"/>
            <scheme val="minor"/>
          </rPr>
          <t>Introduzca un codigo UNSPSC</t>
        </r>
      </text>
    </comment>
    <comment ref="B1435" authorId="1" shapeId="0" xr:uid="{00000000-0006-0000-0100-0000F8050000}">
      <text>
        <r>
          <rPr>
            <sz val="11"/>
            <color theme="1"/>
            <rFont val="Calibri"/>
            <family val="2"/>
            <scheme val="minor"/>
          </rPr>
          <t>Descripción calculada automáticamente a partir de código del artículo</t>
        </r>
      </text>
    </comment>
    <comment ref="C1435" authorId="1" shapeId="0" xr:uid="{00000000-0006-0000-0100-0000F9050000}">
      <text>
        <r>
          <rPr>
            <sz val="11"/>
            <color theme="1"/>
            <rFont val="Calibri"/>
            <family val="2"/>
            <scheme val="minor"/>
          </rPr>
          <t>Seleccione un valor de la lista</t>
        </r>
      </text>
    </comment>
    <comment ref="D1435" authorId="1" shapeId="0" xr:uid="{00000000-0006-0000-0100-0000FA050000}">
      <text>
        <r>
          <rPr>
            <sz val="11"/>
            <color theme="1"/>
            <rFont val="Calibri"/>
            <family val="2"/>
            <scheme val="minor"/>
          </rPr>
          <t>Introduzca un número con dos decimales como máximo. Debe ser igual o mayor a la "Cantidad Real Consumida"</t>
        </r>
      </text>
    </comment>
    <comment ref="E1435" authorId="1" shapeId="0" xr:uid="{00000000-0006-0000-0100-0000FB050000}">
      <text>
        <r>
          <rPr>
            <sz val="11"/>
            <color theme="1"/>
            <rFont val="Calibri"/>
            <family val="2"/>
            <scheme val="minor"/>
          </rPr>
          <t>Introduzca un número con dos decimales como máximo</t>
        </r>
      </text>
    </comment>
    <comment ref="F1435" authorId="1" shapeId="0" xr:uid="{00000000-0006-0000-0100-0000FC050000}">
      <text>
        <r>
          <rPr>
            <sz val="11"/>
            <color theme="1"/>
            <rFont val="Calibri"/>
            <family val="2"/>
            <scheme val="minor"/>
          </rPr>
          <t>Monto calculado automáticamente por el sistema</t>
        </r>
      </text>
    </comment>
    <comment ref="A1450" authorId="1" shapeId="0" xr:uid="{00000000-0006-0000-0100-0000FD050000}">
      <text>
        <r>
          <rPr>
            <sz val="11"/>
            <color theme="1"/>
            <rFont val="Calibri"/>
            <family val="2"/>
            <scheme val="minor"/>
          </rPr>
          <t>Introducir un texto con el nombre o referencia de la contratación</t>
        </r>
      </text>
    </comment>
    <comment ref="B1450" authorId="1" shapeId="0" xr:uid="{00000000-0006-0000-0100-0000FE050000}">
      <text>
        <r>
          <rPr>
            <sz val="11"/>
            <color theme="1"/>
            <rFont val="Calibri"/>
            <family val="2"/>
            <scheme val="minor"/>
          </rPr>
          <t>Introduzca un texto con la finalidad de la contratación</t>
        </r>
      </text>
    </comment>
    <comment ref="C1450" authorId="1" shapeId="0" xr:uid="{00000000-0006-0000-0100-0000FF050000}">
      <text>
        <r>
          <rPr>
            <sz val="11"/>
            <color theme="1"/>
            <rFont val="Calibri"/>
            <family val="2"/>
            <scheme val="minor"/>
          </rPr>
          <t>Seleccionar un valor del listado</t>
        </r>
      </text>
    </comment>
    <comment ref="D1450" authorId="1" shapeId="0" xr:uid="{00000000-0006-0000-0100-000000060000}">
      <text>
        <r>
          <rPr>
            <sz val="11"/>
            <color theme="1"/>
            <rFont val="Calibri"/>
            <family val="2"/>
            <scheme val="minor"/>
          </rPr>
          <t>Seleccione el tipo de procedimiento</t>
        </r>
      </text>
    </comment>
    <comment ref="E1450" authorId="1" shapeId="0" xr:uid="{00000000-0006-0000-0100-000001060000}">
      <text>
        <r>
          <rPr>
            <sz val="11"/>
            <color theme="1"/>
            <rFont val="Calibri"/>
            <family val="2"/>
            <scheme val="minor"/>
          </rPr>
          <t>Seleccione un valor de la lista</t>
        </r>
      </text>
    </comment>
    <comment ref="F1450" authorId="1" shapeId="0" xr:uid="{00000000-0006-0000-0100-000002060000}">
      <text>
        <r>
          <rPr>
            <sz val="11"/>
            <color theme="1"/>
            <rFont val="Calibri"/>
            <family val="2"/>
            <scheme val="minor"/>
          </rPr>
          <t>Introduzca el código SNIP</t>
        </r>
      </text>
    </comment>
    <comment ref="C1451" authorId="1" shapeId="0" xr:uid="{00000000-0006-0000-0100-000003060000}">
      <text>
        <r>
          <rPr>
            <sz val="11"/>
            <color theme="1"/>
            <rFont val="Calibri"/>
            <family val="2"/>
            <scheme val="minor"/>
          </rPr>
          <t>Introduzca la fecha de inicio del proceso, en formato dd-mm-aaaa</t>
        </r>
      </text>
    </comment>
    <comment ref="F1451" authorId="1" shapeId="0" xr:uid="{00000000-0006-0000-0100-000005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52" authorId="1" shapeId="0" xr:uid="{00000000-0006-0000-0100-000006060000}">
      <text/>
    </comment>
    <comment ref="C1453" authorId="1" shapeId="0" xr:uid="{00000000-0006-0000-0100-000004060000}">
      <text>
        <r>
          <rPr>
            <sz val="11"/>
            <color theme="1"/>
            <rFont val="Calibri"/>
            <family val="2"/>
            <scheme val="minor"/>
          </rPr>
          <t>Introduzca la fecha prevista de adjudicación, en formato dd-mm-aaaa</t>
        </r>
      </text>
    </comment>
    <comment ref="F1453" authorId="1" shapeId="0" xr:uid="{00000000-0006-0000-0100-000007060000}">
      <text/>
    </comment>
    <comment ref="F1454" authorId="1" shapeId="0" xr:uid="{00000000-0006-0000-0100-000008060000}">
      <text/>
    </comment>
    <comment ref="A1456" authorId="1" shapeId="0" xr:uid="{00000000-0006-0000-0100-000009060000}">
      <text>
        <r>
          <rPr>
            <sz val="11"/>
            <color theme="1"/>
            <rFont val="Calibri"/>
            <family val="2"/>
            <scheme val="minor"/>
          </rPr>
          <t>Introduzca un codigo UNSPSC</t>
        </r>
      </text>
    </comment>
    <comment ref="B1456" authorId="1" shapeId="0" xr:uid="{00000000-0006-0000-0100-00000A060000}">
      <text>
        <r>
          <rPr>
            <sz val="11"/>
            <color theme="1"/>
            <rFont val="Calibri"/>
            <family val="2"/>
            <scheme val="minor"/>
          </rPr>
          <t>Descripción calculada automáticamente a partir de código del artículo</t>
        </r>
      </text>
    </comment>
    <comment ref="C1456" authorId="1" shapeId="0" xr:uid="{00000000-0006-0000-0100-00000B060000}">
      <text>
        <r>
          <rPr>
            <sz val="11"/>
            <color theme="1"/>
            <rFont val="Calibri"/>
            <family val="2"/>
            <scheme val="minor"/>
          </rPr>
          <t>Seleccione un valor de la lista</t>
        </r>
      </text>
    </comment>
    <comment ref="D1456" authorId="1" shapeId="0" xr:uid="{00000000-0006-0000-0100-00000C060000}">
      <text>
        <r>
          <rPr>
            <sz val="11"/>
            <color theme="1"/>
            <rFont val="Calibri"/>
            <family val="2"/>
            <scheme val="minor"/>
          </rPr>
          <t>Introduzca un número con dos decimales como máximo. Debe ser igual o mayor a la "Cantidad Real Consumida"</t>
        </r>
      </text>
    </comment>
    <comment ref="E1456" authorId="1" shapeId="0" xr:uid="{00000000-0006-0000-0100-00000D060000}">
      <text>
        <r>
          <rPr>
            <sz val="11"/>
            <color theme="1"/>
            <rFont val="Calibri"/>
            <family val="2"/>
            <scheme val="minor"/>
          </rPr>
          <t>Introduzca un número con dos decimales como máximo</t>
        </r>
      </text>
    </comment>
    <comment ref="F1456" authorId="1" shapeId="0" xr:uid="{00000000-0006-0000-0100-00000E060000}">
      <text>
        <r>
          <rPr>
            <sz val="11"/>
            <color theme="1"/>
            <rFont val="Calibri"/>
            <family val="2"/>
            <scheme val="minor"/>
          </rPr>
          <t>Monto calculado automáticamente por el sistema</t>
        </r>
      </text>
    </comment>
    <comment ref="A1461" authorId="1" shapeId="0" xr:uid="{00000000-0006-0000-0100-00000F060000}">
      <text>
        <r>
          <rPr>
            <sz val="11"/>
            <color theme="1"/>
            <rFont val="Calibri"/>
            <family val="2"/>
            <scheme val="minor"/>
          </rPr>
          <t>Introducir un texto con el nombre o referencia de la contratación</t>
        </r>
      </text>
    </comment>
    <comment ref="B1461" authorId="1" shapeId="0" xr:uid="{00000000-0006-0000-0100-000010060000}">
      <text>
        <r>
          <rPr>
            <sz val="11"/>
            <color theme="1"/>
            <rFont val="Calibri"/>
            <family val="2"/>
            <scheme val="minor"/>
          </rPr>
          <t>Introduzca un texto con la finalidad de la contratación</t>
        </r>
      </text>
    </comment>
    <comment ref="C1461" authorId="1" shapeId="0" xr:uid="{00000000-0006-0000-0100-000011060000}">
      <text>
        <r>
          <rPr>
            <sz val="11"/>
            <color theme="1"/>
            <rFont val="Calibri"/>
            <family val="2"/>
            <scheme val="minor"/>
          </rPr>
          <t>Seleccionar un valor del listado</t>
        </r>
      </text>
    </comment>
    <comment ref="D1461" authorId="1" shapeId="0" xr:uid="{00000000-0006-0000-0100-000012060000}">
      <text>
        <r>
          <rPr>
            <sz val="11"/>
            <color theme="1"/>
            <rFont val="Calibri"/>
            <family val="2"/>
            <scheme val="minor"/>
          </rPr>
          <t>Seleccione el tipo de procedimiento</t>
        </r>
      </text>
    </comment>
    <comment ref="E1461" authorId="1" shapeId="0" xr:uid="{00000000-0006-0000-0100-000013060000}">
      <text>
        <r>
          <rPr>
            <sz val="11"/>
            <color theme="1"/>
            <rFont val="Calibri"/>
            <family val="2"/>
            <scheme val="minor"/>
          </rPr>
          <t>Seleccione un valor de la lista</t>
        </r>
      </text>
    </comment>
    <comment ref="F1461" authorId="1" shapeId="0" xr:uid="{00000000-0006-0000-0100-000014060000}">
      <text>
        <r>
          <rPr>
            <sz val="11"/>
            <color theme="1"/>
            <rFont val="Calibri"/>
            <family val="2"/>
            <scheme val="minor"/>
          </rPr>
          <t>Introduzca el código SNIP</t>
        </r>
      </text>
    </comment>
    <comment ref="C1462" authorId="1" shapeId="0" xr:uid="{00000000-0006-0000-0100-000015060000}">
      <text>
        <r>
          <rPr>
            <sz val="11"/>
            <color theme="1"/>
            <rFont val="Calibri"/>
            <family val="2"/>
            <scheme val="minor"/>
          </rPr>
          <t>Introduzca la fecha de inicio del proceso, en formato dd-mm-aaaa</t>
        </r>
      </text>
    </comment>
    <comment ref="F1462" authorId="1" shapeId="0" xr:uid="{00000000-0006-0000-0100-000017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63" authorId="1" shapeId="0" xr:uid="{00000000-0006-0000-0100-000018060000}">
      <text/>
    </comment>
    <comment ref="C1464" authorId="1" shapeId="0" xr:uid="{00000000-0006-0000-0100-000016060000}">
      <text>
        <r>
          <rPr>
            <sz val="11"/>
            <color theme="1"/>
            <rFont val="Calibri"/>
            <family val="2"/>
            <scheme val="minor"/>
          </rPr>
          <t>Introduzca la fecha prevista de adjudicación, en formato dd-mm-aaaa</t>
        </r>
      </text>
    </comment>
    <comment ref="F1464" authorId="1" shapeId="0" xr:uid="{00000000-0006-0000-0100-000019060000}">
      <text/>
    </comment>
    <comment ref="F1465" authorId="1" shapeId="0" xr:uid="{00000000-0006-0000-0100-00001A060000}">
      <text/>
    </comment>
    <comment ref="A1467" authorId="1" shapeId="0" xr:uid="{00000000-0006-0000-0100-00001B060000}">
      <text>
        <r>
          <rPr>
            <sz val="11"/>
            <color theme="1"/>
            <rFont val="Calibri"/>
            <family val="2"/>
            <scheme val="minor"/>
          </rPr>
          <t>Introduzca un codigo UNSPSC</t>
        </r>
      </text>
    </comment>
    <comment ref="B1467" authorId="1" shapeId="0" xr:uid="{00000000-0006-0000-0100-00001C060000}">
      <text>
        <r>
          <rPr>
            <sz val="11"/>
            <color theme="1"/>
            <rFont val="Calibri"/>
            <family val="2"/>
            <scheme val="minor"/>
          </rPr>
          <t>Descripción calculada automáticamente a partir de código del artículo</t>
        </r>
      </text>
    </comment>
    <comment ref="C1467" authorId="1" shapeId="0" xr:uid="{00000000-0006-0000-0100-00001D060000}">
      <text>
        <r>
          <rPr>
            <sz val="11"/>
            <color theme="1"/>
            <rFont val="Calibri"/>
            <family val="2"/>
            <scheme val="minor"/>
          </rPr>
          <t>Seleccione un valor de la lista</t>
        </r>
      </text>
    </comment>
    <comment ref="D1467" authorId="1" shapeId="0" xr:uid="{00000000-0006-0000-0100-00001E060000}">
      <text>
        <r>
          <rPr>
            <sz val="11"/>
            <color theme="1"/>
            <rFont val="Calibri"/>
            <family val="2"/>
            <scheme val="minor"/>
          </rPr>
          <t>Introduzca un número con dos decimales como máximo. Debe ser igual o mayor a la "Cantidad Real Consumida"</t>
        </r>
      </text>
    </comment>
    <comment ref="E1467" authorId="1" shapeId="0" xr:uid="{00000000-0006-0000-0100-00001F060000}">
      <text>
        <r>
          <rPr>
            <sz val="11"/>
            <color theme="1"/>
            <rFont val="Calibri"/>
            <family val="2"/>
            <scheme val="minor"/>
          </rPr>
          <t>Introduzca un número con dos decimales como máximo</t>
        </r>
      </text>
    </comment>
    <comment ref="F1467" authorId="1" shapeId="0" xr:uid="{00000000-0006-0000-0100-000020060000}">
      <text>
        <r>
          <rPr>
            <sz val="11"/>
            <color theme="1"/>
            <rFont val="Calibri"/>
            <family val="2"/>
            <scheme val="minor"/>
          </rPr>
          <t>Monto calculado automáticamente por el sistema</t>
        </r>
      </text>
    </comment>
    <comment ref="A1472" authorId="1" shapeId="0" xr:uid="{00000000-0006-0000-0100-000021060000}">
      <text>
        <r>
          <rPr>
            <sz val="11"/>
            <color theme="1"/>
            <rFont val="Calibri"/>
            <family val="2"/>
            <scheme val="minor"/>
          </rPr>
          <t>Introducir un texto con el nombre o referencia de la contratación</t>
        </r>
      </text>
    </comment>
    <comment ref="B1472" authorId="1" shapeId="0" xr:uid="{00000000-0006-0000-0100-000022060000}">
      <text>
        <r>
          <rPr>
            <sz val="11"/>
            <color theme="1"/>
            <rFont val="Calibri"/>
            <family val="2"/>
            <scheme val="minor"/>
          </rPr>
          <t>Introduzca un texto con la finalidad de la contratación</t>
        </r>
      </text>
    </comment>
    <comment ref="C1472" authorId="1" shapeId="0" xr:uid="{00000000-0006-0000-0100-000023060000}">
      <text>
        <r>
          <rPr>
            <sz val="11"/>
            <color theme="1"/>
            <rFont val="Calibri"/>
            <family val="2"/>
            <scheme val="minor"/>
          </rPr>
          <t>Seleccionar un valor del listado</t>
        </r>
      </text>
    </comment>
    <comment ref="D1472" authorId="1" shapeId="0" xr:uid="{00000000-0006-0000-0100-000024060000}">
      <text>
        <r>
          <rPr>
            <sz val="11"/>
            <color theme="1"/>
            <rFont val="Calibri"/>
            <family val="2"/>
            <scheme val="minor"/>
          </rPr>
          <t>Seleccione el tipo de procedimiento</t>
        </r>
      </text>
    </comment>
    <comment ref="E1472" authorId="1" shapeId="0" xr:uid="{00000000-0006-0000-0100-000025060000}">
      <text>
        <r>
          <rPr>
            <sz val="11"/>
            <color theme="1"/>
            <rFont val="Calibri"/>
            <family val="2"/>
            <scheme val="minor"/>
          </rPr>
          <t>Seleccione un valor de la lista</t>
        </r>
      </text>
    </comment>
    <comment ref="F1472" authorId="1" shapeId="0" xr:uid="{00000000-0006-0000-0100-000026060000}">
      <text>
        <r>
          <rPr>
            <sz val="11"/>
            <color theme="1"/>
            <rFont val="Calibri"/>
            <family val="2"/>
            <scheme val="minor"/>
          </rPr>
          <t>Introduzca el código SNIP</t>
        </r>
      </text>
    </comment>
    <comment ref="C1473" authorId="1" shapeId="0" xr:uid="{00000000-0006-0000-0100-000027060000}">
      <text>
        <r>
          <rPr>
            <sz val="11"/>
            <color theme="1"/>
            <rFont val="Calibri"/>
            <family val="2"/>
            <scheme val="minor"/>
          </rPr>
          <t>Introduzca la fecha de inicio del proceso, en formato dd-mm-aaaa</t>
        </r>
      </text>
    </comment>
    <comment ref="F1473" authorId="1" shapeId="0" xr:uid="{00000000-0006-0000-0100-000029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74" authorId="1" shapeId="0" xr:uid="{00000000-0006-0000-0100-00002A060000}">
      <text/>
    </comment>
    <comment ref="C1475" authorId="1" shapeId="0" xr:uid="{00000000-0006-0000-0100-000028060000}">
      <text>
        <r>
          <rPr>
            <sz val="11"/>
            <color theme="1"/>
            <rFont val="Calibri"/>
            <family val="2"/>
            <scheme val="minor"/>
          </rPr>
          <t>Introduzca la fecha prevista de adjudicación, en formato dd-mm-aaaa</t>
        </r>
      </text>
    </comment>
    <comment ref="F1475" authorId="1" shapeId="0" xr:uid="{00000000-0006-0000-0100-00002B060000}">
      <text/>
    </comment>
    <comment ref="F1476" authorId="1" shapeId="0" xr:uid="{00000000-0006-0000-0100-00002C060000}">
      <text/>
    </comment>
    <comment ref="A1478" authorId="1" shapeId="0" xr:uid="{00000000-0006-0000-0100-00002D060000}">
      <text>
        <r>
          <rPr>
            <sz val="11"/>
            <color theme="1"/>
            <rFont val="Calibri"/>
            <family val="2"/>
            <scheme val="minor"/>
          </rPr>
          <t>Introduzca un codigo UNSPSC</t>
        </r>
      </text>
    </comment>
    <comment ref="B1478" authorId="1" shapeId="0" xr:uid="{00000000-0006-0000-0100-00002E060000}">
      <text>
        <r>
          <rPr>
            <sz val="11"/>
            <color theme="1"/>
            <rFont val="Calibri"/>
            <family val="2"/>
            <scheme val="minor"/>
          </rPr>
          <t>Descripción calculada automáticamente a partir de código del artículo</t>
        </r>
      </text>
    </comment>
    <comment ref="C1478" authorId="1" shapeId="0" xr:uid="{00000000-0006-0000-0100-00002F060000}">
      <text>
        <r>
          <rPr>
            <sz val="11"/>
            <color theme="1"/>
            <rFont val="Calibri"/>
            <family val="2"/>
            <scheme val="minor"/>
          </rPr>
          <t>Seleccione un valor de la lista</t>
        </r>
      </text>
    </comment>
    <comment ref="D1478" authorId="1" shapeId="0" xr:uid="{00000000-0006-0000-0100-000030060000}">
      <text>
        <r>
          <rPr>
            <sz val="11"/>
            <color theme="1"/>
            <rFont val="Calibri"/>
            <family val="2"/>
            <scheme val="minor"/>
          </rPr>
          <t>Introduzca un número con dos decimales como máximo. Debe ser igual o mayor a la "Cantidad Real Consumida"</t>
        </r>
      </text>
    </comment>
    <comment ref="E1478" authorId="1" shapeId="0" xr:uid="{00000000-0006-0000-0100-000031060000}">
      <text>
        <r>
          <rPr>
            <sz val="11"/>
            <color theme="1"/>
            <rFont val="Calibri"/>
            <family val="2"/>
            <scheme val="minor"/>
          </rPr>
          <t>Introduzca un número con dos decimales como máximo</t>
        </r>
      </text>
    </comment>
    <comment ref="F1478" authorId="1" shapeId="0" xr:uid="{00000000-0006-0000-0100-000032060000}">
      <text>
        <r>
          <rPr>
            <sz val="11"/>
            <color theme="1"/>
            <rFont val="Calibri"/>
            <family val="2"/>
            <scheme val="minor"/>
          </rPr>
          <t>Monto calculado automáticamente por el sistema</t>
        </r>
      </text>
    </comment>
    <comment ref="A1485" authorId="1" shapeId="0" xr:uid="{00000000-0006-0000-0100-000033060000}">
      <text>
        <r>
          <rPr>
            <sz val="11"/>
            <color theme="1"/>
            <rFont val="Calibri"/>
            <family val="2"/>
            <scheme val="minor"/>
          </rPr>
          <t>Introducir un texto con el nombre o referencia de la contratación</t>
        </r>
      </text>
    </comment>
    <comment ref="B1485" authorId="1" shapeId="0" xr:uid="{00000000-0006-0000-0100-000034060000}">
      <text>
        <r>
          <rPr>
            <sz val="11"/>
            <color theme="1"/>
            <rFont val="Calibri"/>
            <family val="2"/>
            <scheme val="minor"/>
          </rPr>
          <t>Introduzca un texto con la finalidad de la contratación</t>
        </r>
      </text>
    </comment>
    <comment ref="C1485" authorId="1" shapeId="0" xr:uid="{00000000-0006-0000-0100-000035060000}">
      <text>
        <r>
          <rPr>
            <sz val="11"/>
            <color theme="1"/>
            <rFont val="Calibri"/>
            <family val="2"/>
            <scheme val="minor"/>
          </rPr>
          <t>Seleccionar un valor del listado</t>
        </r>
      </text>
    </comment>
    <comment ref="D1485" authorId="1" shapeId="0" xr:uid="{00000000-0006-0000-0100-000036060000}">
      <text>
        <r>
          <rPr>
            <sz val="11"/>
            <color theme="1"/>
            <rFont val="Calibri"/>
            <family val="2"/>
            <scheme val="minor"/>
          </rPr>
          <t>Seleccione el tipo de procedimiento</t>
        </r>
      </text>
    </comment>
    <comment ref="E1485" authorId="1" shapeId="0" xr:uid="{00000000-0006-0000-0100-000037060000}">
      <text>
        <r>
          <rPr>
            <sz val="11"/>
            <color theme="1"/>
            <rFont val="Calibri"/>
            <family val="2"/>
            <scheme val="minor"/>
          </rPr>
          <t>Seleccione un valor de la lista</t>
        </r>
      </text>
    </comment>
    <comment ref="F1485" authorId="1" shapeId="0" xr:uid="{00000000-0006-0000-0100-000038060000}">
      <text>
        <r>
          <rPr>
            <sz val="11"/>
            <color theme="1"/>
            <rFont val="Calibri"/>
            <family val="2"/>
            <scheme val="minor"/>
          </rPr>
          <t>Introduzca el código SNIP</t>
        </r>
      </text>
    </comment>
    <comment ref="C1486" authorId="1" shapeId="0" xr:uid="{00000000-0006-0000-0100-000039060000}">
      <text>
        <r>
          <rPr>
            <sz val="11"/>
            <color theme="1"/>
            <rFont val="Calibri"/>
            <family val="2"/>
            <scheme val="minor"/>
          </rPr>
          <t>Introduzca la fecha de inicio del proceso, en formato dd-mm-aaaa</t>
        </r>
      </text>
    </comment>
    <comment ref="F1486" authorId="1" shapeId="0" xr:uid="{00000000-0006-0000-0100-00003B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87" authorId="1" shapeId="0" xr:uid="{00000000-0006-0000-0100-00003C060000}">
      <text/>
    </comment>
    <comment ref="C1488" authorId="1" shapeId="0" xr:uid="{00000000-0006-0000-0100-00003A060000}">
      <text>
        <r>
          <rPr>
            <sz val="11"/>
            <color theme="1"/>
            <rFont val="Calibri"/>
            <family val="2"/>
            <scheme val="minor"/>
          </rPr>
          <t>Introduzca la fecha prevista de adjudicación, en formato dd-mm-aaaa</t>
        </r>
      </text>
    </comment>
    <comment ref="F1488" authorId="1" shapeId="0" xr:uid="{00000000-0006-0000-0100-00003D060000}">
      <text/>
    </comment>
    <comment ref="F1489" authorId="1" shapeId="0" xr:uid="{00000000-0006-0000-0100-00003E060000}">
      <text/>
    </comment>
    <comment ref="A1491" authorId="1" shapeId="0" xr:uid="{00000000-0006-0000-0100-00003F060000}">
      <text>
        <r>
          <rPr>
            <sz val="11"/>
            <color theme="1"/>
            <rFont val="Calibri"/>
            <family val="2"/>
            <scheme val="minor"/>
          </rPr>
          <t>Introduzca un codigo UNSPSC</t>
        </r>
      </text>
    </comment>
    <comment ref="B1491" authorId="1" shapeId="0" xr:uid="{00000000-0006-0000-0100-000040060000}">
      <text>
        <r>
          <rPr>
            <sz val="11"/>
            <color theme="1"/>
            <rFont val="Calibri"/>
            <family val="2"/>
            <scheme val="minor"/>
          </rPr>
          <t>Descripción calculada automáticamente a partir de código del artículo</t>
        </r>
      </text>
    </comment>
    <comment ref="C1491" authorId="1" shapeId="0" xr:uid="{00000000-0006-0000-0100-000041060000}">
      <text>
        <r>
          <rPr>
            <sz val="11"/>
            <color theme="1"/>
            <rFont val="Calibri"/>
            <family val="2"/>
            <scheme val="minor"/>
          </rPr>
          <t>Seleccione un valor de la lista</t>
        </r>
      </text>
    </comment>
    <comment ref="D1491" authorId="1" shapeId="0" xr:uid="{00000000-0006-0000-0100-000042060000}">
      <text>
        <r>
          <rPr>
            <sz val="11"/>
            <color theme="1"/>
            <rFont val="Calibri"/>
            <family val="2"/>
            <scheme val="minor"/>
          </rPr>
          <t>Introduzca un número con dos decimales como máximo. Debe ser igual o mayor a la "Cantidad Real Consumida"</t>
        </r>
      </text>
    </comment>
    <comment ref="E1491" authorId="1" shapeId="0" xr:uid="{00000000-0006-0000-0100-000043060000}">
      <text>
        <r>
          <rPr>
            <sz val="11"/>
            <color theme="1"/>
            <rFont val="Calibri"/>
            <family val="2"/>
            <scheme val="minor"/>
          </rPr>
          <t>Introduzca un número con dos decimales como máximo</t>
        </r>
      </text>
    </comment>
    <comment ref="F1491" authorId="1" shapeId="0" xr:uid="{00000000-0006-0000-0100-000044060000}">
      <text>
        <r>
          <rPr>
            <sz val="11"/>
            <color theme="1"/>
            <rFont val="Calibri"/>
            <family val="2"/>
            <scheme val="minor"/>
          </rPr>
          <t>Monto calculado automáticamente por el sistema</t>
        </r>
      </text>
    </comment>
    <comment ref="A1498" authorId="1" shapeId="0" xr:uid="{00000000-0006-0000-0100-000045060000}">
      <text>
        <r>
          <rPr>
            <sz val="11"/>
            <color theme="1"/>
            <rFont val="Calibri"/>
            <family val="2"/>
            <scheme val="minor"/>
          </rPr>
          <t>Introducir un texto con el nombre o referencia de la contratación</t>
        </r>
      </text>
    </comment>
    <comment ref="B1498" authorId="1" shapeId="0" xr:uid="{00000000-0006-0000-0100-000046060000}">
      <text>
        <r>
          <rPr>
            <sz val="11"/>
            <color theme="1"/>
            <rFont val="Calibri"/>
            <family val="2"/>
            <scheme val="minor"/>
          </rPr>
          <t>Introduzca un texto con la finalidad de la contratación</t>
        </r>
      </text>
    </comment>
    <comment ref="C1498" authorId="1" shapeId="0" xr:uid="{00000000-0006-0000-0100-000047060000}">
      <text>
        <r>
          <rPr>
            <sz val="11"/>
            <color theme="1"/>
            <rFont val="Calibri"/>
            <family val="2"/>
            <scheme val="minor"/>
          </rPr>
          <t>Seleccionar un valor del listado</t>
        </r>
      </text>
    </comment>
    <comment ref="D1498" authorId="1" shapeId="0" xr:uid="{00000000-0006-0000-0100-000048060000}">
      <text>
        <r>
          <rPr>
            <sz val="11"/>
            <color theme="1"/>
            <rFont val="Calibri"/>
            <family val="2"/>
            <scheme val="minor"/>
          </rPr>
          <t>Seleccione el tipo de procedimiento</t>
        </r>
      </text>
    </comment>
    <comment ref="E1498" authorId="1" shapeId="0" xr:uid="{00000000-0006-0000-0100-000049060000}">
      <text>
        <r>
          <rPr>
            <sz val="11"/>
            <color theme="1"/>
            <rFont val="Calibri"/>
            <family val="2"/>
            <scheme val="minor"/>
          </rPr>
          <t>Seleccione un valor de la lista</t>
        </r>
      </text>
    </comment>
    <comment ref="F1498" authorId="1" shapeId="0" xr:uid="{00000000-0006-0000-0100-00004A060000}">
      <text>
        <r>
          <rPr>
            <sz val="11"/>
            <color theme="1"/>
            <rFont val="Calibri"/>
            <family val="2"/>
            <scheme val="minor"/>
          </rPr>
          <t>Introduzca el código SNIP</t>
        </r>
      </text>
    </comment>
    <comment ref="C1499" authorId="1" shapeId="0" xr:uid="{00000000-0006-0000-0100-00004B060000}">
      <text>
        <r>
          <rPr>
            <sz val="11"/>
            <color theme="1"/>
            <rFont val="Calibri"/>
            <family val="2"/>
            <scheme val="minor"/>
          </rPr>
          <t>Introduzca la fecha de inicio del proceso, en formato dd-mm-aaaa</t>
        </r>
      </text>
    </comment>
    <comment ref="F1499" authorId="1" shapeId="0" xr:uid="{00000000-0006-0000-0100-00004D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00" authorId="1" shapeId="0" xr:uid="{00000000-0006-0000-0100-00004E060000}">
      <text/>
    </comment>
    <comment ref="C1501" authorId="1" shapeId="0" xr:uid="{00000000-0006-0000-0100-00004C060000}">
      <text>
        <r>
          <rPr>
            <sz val="11"/>
            <color theme="1"/>
            <rFont val="Calibri"/>
            <family val="2"/>
            <scheme val="minor"/>
          </rPr>
          <t>Introduzca la fecha prevista de adjudicación, en formato dd-mm-aaaa</t>
        </r>
      </text>
    </comment>
    <comment ref="F1501" authorId="1" shapeId="0" xr:uid="{00000000-0006-0000-0100-00004F060000}">
      <text/>
    </comment>
    <comment ref="F1502" authorId="1" shapeId="0" xr:uid="{00000000-0006-0000-0100-000050060000}">
      <text/>
    </comment>
    <comment ref="A1504" authorId="1" shapeId="0" xr:uid="{00000000-0006-0000-0100-000051060000}">
      <text>
        <r>
          <rPr>
            <sz val="11"/>
            <color theme="1"/>
            <rFont val="Calibri"/>
            <family val="2"/>
            <scheme val="minor"/>
          </rPr>
          <t>Introduzca un codigo UNSPSC</t>
        </r>
      </text>
    </comment>
    <comment ref="B1504" authorId="1" shapeId="0" xr:uid="{00000000-0006-0000-0100-000052060000}">
      <text>
        <r>
          <rPr>
            <sz val="11"/>
            <color theme="1"/>
            <rFont val="Calibri"/>
            <family val="2"/>
            <scheme val="minor"/>
          </rPr>
          <t>Descripción calculada automáticamente a partir de código del artículo</t>
        </r>
      </text>
    </comment>
    <comment ref="C1504" authorId="1" shapeId="0" xr:uid="{00000000-0006-0000-0100-000053060000}">
      <text>
        <r>
          <rPr>
            <sz val="11"/>
            <color theme="1"/>
            <rFont val="Calibri"/>
            <family val="2"/>
            <scheme val="minor"/>
          </rPr>
          <t>Seleccione un valor de la lista</t>
        </r>
      </text>
    </comment>
    <comment ref="D1504" authorId="1" shapeId="0" xr:uid="{00000000-0006-0000-0100-000054060000}">
      <text>
        <r>
          <rPr>
            <sz val="11"/>
            <color theme="1"/>
            <rFont val="Calibri"/>
            <family val="2"/>
            <scheme val="minor"/>
          </rPr>
          <t>Introduzca un número con dos decimales como máximo. Debe ser igual o mayor a la "Cantidad Real Consumida"</t>
        </r>
      </text>
    </comment>
    <comment ref="E1504" authorId="1" shapeId="0" xr:uid="{00000000-0006-0000-0100-000055060000}">
      <text>
        <r>
          <rPr>
            <sz val="11"/>
            <color theme="1"/>
            <rFont val="Calibri"/>
            <family val="2"/>
            <scheme val="minor"/>
          </rPr>
          <t>Introduzca un número con dos decimales como máximo</t>
        </r>
      </text>
    </comment>
    <comment ref="F1504" authorId="1" shapeId="0" xr:uid="{00000000-0006-0000-0100-000056060000}">
      <text>
        <r>
          <rPr>
            <sz val="11"/>
            <color theme="1"/>
            <rFont val="Calibri"/>
            <family val="2"/>
            <scheme val="minor"/>
          </rPr>
          <t>Monto calculado automáticamente por el sistema</t>
        </r>
      </text>
    </comment>
    <comment ref="A1571" authorId="1" shapeId="0" xr:uid="{00000000-0006-0000-0100-000057060000}">
      <text>
        <r>
          <rPr>
            <sz val="11"/>
            <color theme="1"/>
            <rFont val="Calibri"/>
            <family val="2"/>
            <scheme val="minor"/>
          </rPr>
          <t>Introducir un texto con el nombre o referencia de la contratación</t>
        </r>
      </text>
    </comment>
    <comment ref="B1571" authorId="1" shapeId="0" xr:uid="{00000000-0006-0000-0100-000058060000}">
      <text>
        <r>
          <rPr>
            <sz val="11"/>
            <color theme="1"/>
            <rFont val="Calibri"/>
            <family val="2"/>
            <scheme val="minor"/>
          </rPr>
          <t>Introduzca un texto con la finalidad de la contratación</t>
        </r>
      </text>
    </comment>
    <comment ref="C1571" authorId="1" shapeId="0" xr:uid="{00000000-0006-0000-0100-000059060000}">
      <text>
        <r>
          <rPr>
            <sz val="11"/>
            <color theme="1"/>
            <rFont val="Calibri"/>
            <family val="2"/>
            <scheme val="minor"/>
          </rPr>
          <t>Seleccionar un valor del listado</t>
        </r>
      </text>
    </comment>
    <comment ref="D1571" authorId="1" shapeId="0" xr:uid="{00000000-0006-0000-0100-00005A060000}">
      <text>
        <r>
          <rPr>
            <sz val="11"/>
            <color theme="1"/>
            <rFont val="Calibri"/>
            <family val="2"/>
            <scheme val="minor"/>
          </rPr>
          <t>Seleccione el tipo de procedimiento</t>
        </r>
      </text>
    </comment>
    <comment ref="E1571" authorId="1" shapeId="0" xr:uid="{00000000-0006-0000-0100-00005B060000}">
      <text>
        <r>
          <rPr>
            <sz val="11"/>
            <color theme="1"/>
            <rFont val="Calibri"/>
            <family val="2"/>
            <scheme val="minor"/>
          </rPr>
          <t>Seleccione un valor de la lista</t>
        </r>
      </text>
    </comment>
    <comment ref="F1571" authorId="1" shapeId="0" xr:uid="{00000000-0006-0000-0100-00005C060000}">
      <text>
        <r>
          <rPr>
            <sz val="11"/>
            <color theme="1"/>
            <rFont val="Calibri"/>
            <family val="2"/>
            <scheme val="minor"/>
          </rPr>
          <t>Introduzca el código SNIP</t>
        </r>
      </text>
    </comment>
    <comment ref="C1572" authorId="1" shapeId="0" xr:uid="{00000000-0006-0000-0100-00005D060000}">
      <text>
        <r>
          <rPr>
            <sz val="11"/>
            <color theme="1"/>
            <rFont val="Calibri"/>
            <family val="2"/>
            <scheme val="minor"/>
          </rPr>
          <t>Introduzca la fecha de inicio del proceso, en formato dd-mm-aaaa</t>
        </r>
      </text>
    </comment>
    <comment ref="F1572" authorId="1" shapeId="0" xr:uid="{00000000-0006-0000-0100-00005F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73" authorId="1" shapeId="0" xr:uid="{00000000-0006-0000-0100-000060060000}">
      <text/>
    </comment>
    <comment ref="C1574" authorId="1" shapeId="0" xr:uid="{00000000-0006-0000-0100-00005E060000}">
      <text>
        <r>
          <rPr>
            <sz val="11"/>
            <color theme="1"/>
            <rFont val="Calibri"/>
            <family val="2"/>
            <scheme val="minor"/>
          </rPr>
          <t>Introduzca la fecha prevista de adjudicación, en formato dd-mm-aaaa</t>
        </r>
      </text>
    </comment>
    <comment ref="F1574" authorId="1" shapeId="0" xr:uid="{00000000-0006-0000-0100-000061060000}">
      <text/>
    </comment>
    <comment ref="F1575" authorId="1" shapeId="0" xr:uid="{00000000-0006-0000-0100-000062060000}">
      <text/>
    </comment>
    <comment ref="A1577" authorId="1" shapeId="0" xr:uid="{00000000-0006-0000-0100-000063060000}">
      <text>
        <r>
          <rPr>
            <sz val="11"/>
            <color theme="1"/>
            <rFont val="Calibri"/>
            <family val="2"/>
            <scheme val="minor"/>
          </rPr>
          <t>Introduzca un codigo UNSPSC</t>
        </r>
      </text>
    </comment>
    <comment ref="B1577" authorId="1" shapeId="0" xr:uid="{00000000-0006-0000-0100-000064060000}">
      <text>
        <r>
          <rPr>
            <sz val="11"/>
            <color theme="1"/>
            <rFont val="Calibri"/>
            <family val="2"/>
            <scheme val="minor"/>
          </rPr>
          <t>Descripción calculada automáticamente a partir de código del artículo</t>
        </r>
      </text>
    </comment>
    <comment ref="C1577" authorId="1" shapeId="0" xr:uid="{00000000-0006-0000-0100-000065060000}">
      <text>
        <r>
          <rPr>
            <sz val="11"/>
            <color theme="1"/>
            <rFont val="Calibri"/>
            <family val="2"/>
            <scheme val="minor"/>
          </rPr>
          <t>Seleccione un valor de la lista</t>
        </r>
      </text>
    </comment>
    <comment ref="D1577" authorId="1" shapeId="0" xr:uid="{00000000-0006-0000-0100-000066060000}">
      <text>
        <r>
          <rPr>
            <sz val="11"/>
            <color theme="1"/>
            <rFont val="Calibri"/>
            <family val="2"/>
            <scheme val="minor"/>
          </rPr>
          <t>Introduzca un número con dos decimales como máximo. Debe ser igual o mayor a la "Cantidad Real Consumida"</t>
        </r>
      </text>
    </comment>
    <comment ref="E1577" authorId="1" shapeId="0" xr:uid="{00000000-0006-0000-0100-000067060000}">
      <text>
        <r>
          <rPr>
            <sz val="11"/>
            <color theme="1"/>
            <rFont val="Calibri"/>
            <family val="2"/>
            <scheme val="minor"/>
          </rPr>
          <t>Introduzca un número con dos decimales como máximo</t>
        </r>
      </text>
    </comment>
    <comment ref="F1577" authorId="1" shapeId="0" xr:uid="{00000000-0006-0000-0100-000068060000}">
      <text>
        <r>
          <rPr>
            <sz val="11"/>
            <color theme="1"/>
            <rFont val="Calibri"/>
            <family val="2"/>
            <scheme val="minor"/>
          </rPr>
          <t>Monto calculado automáticamente por el sistema</t>
        </r>
      </text>
    </comment>
    <comment ref="A1633" authorId="1" shapeId="0" xr:uid="{00000000-0006-0000-0100-000069060000}">
      <text>
        <r>
          <rPr>
            <sz val="11"/>
            <color theme="1"/>
            <rFont val="Calibri"/>
            <family val="2"/>
            <scheme val="minor"/>
          </rPr>
          <t>Introducir un texto con el nombre o referencia de la contratación</t>
        </r>
      </text>
    </comment>
    <comment ref="B1633" authorId="1" shapeId="0" xr:uid="{00000000-0006-0000-0100-00006A060000}">
      <text>
        <r>
          <rPr>
            <sz val="11"/>
            <color theme="1"/>
            <rFont val="Calibri"/>
            <family val="2"/>
            <scheme val="minor"/>
          </rPr>
          <t>Introduzca un texto con la finalidad de la contratación</t>
        </r>
      </text>
    </comment>
    <comment ref="C1633" authorId="1" shapeId="0" xr:uid="{00000000-0006-0000-0100-00006B060000}">
      <text>
        <r>
          <rPr>
            <sz val="11"/>
            <color theme="1"/>
            <rFont val="Calibri"/>
            <family val="2"/>
            <scheme val="minor"/>
          </rPr>
          <t>Seleccionar un valor del listado</t>
        </r>
      </text>
    </comment>
    <comment ref="D1633" authorId="1" shapeId="0" xr:uid="{00000000-0006-0000-0100-00006C060000}">
      <text>
        <r>
          <rPr>
            <sz val="11"/>
            <color theme="1"/>
            <rFont val="Calibri"/>
            <family val="2"/>
            <scheme val="minor"/>
          </rPr>
          <t>Seleccione el tipo de procedimiento</t>
        </r>
      </text>
    </comment>
    <comment ref="E1633" authorId="1" shapeId="0" xr:uid="{00000000-0006-0000-0100-00006D060000}">
      <text>
        <r>
          <rPr>
            <sz val="11"/>
            <color theme="1"/>
            <rFont val="Calibri"/>
            <family val="2"/>
            <scheme val="minor"/>
          </rPr>
          <t>Seleccione un valor de la lista</t>
        </r>
      </text>
    </comment>
    <comment ref="F1633" authorId="1" shapeId="0" xr:uid="{00000000-0006-0000-0100-00006E060000}">
      <text>
        <r>
          <rPr>
            <sz val="11"/>
            <color theme="1"/>
            <rFont val="Calibri"/>
            <family val="2"/>
            <scheme val="minor"/>
          </rPr>
          <t>Introduzca el código SNIP</t>
        </r>
      </text>
    </comment>
    <comment ref="C1634" authorId="1" shapeId="0" xr:uid="{00000000-0006-0000-0100-00006F060000}">
      <text>
        <r>
          <rPr>
            <sz val="11"/>
            <color theme="1"/>
            <rFont val="Calibri"/>
            <family val="2"/>
            <scheme val="minor"/>
          </rPr>
          <t>Introduzca la fecha de inicio del proceso, en formato dd-mm-aaaa</t>
        </r>
      </text>
    </comment>
    <comment ref="F1634" authorId="1" shapeId="0" xr:uid="{00000000-0006-0000-0100-000071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35" authorId="1" shapeId="0" xr:uid="{00000000-0006-0000-0100-000072060000}">
      <text/>
    </comment>
    <comment ref="C1636" authorId="1" shapeId="0" xr:uid="{00000000-0006-0000-0100-000070060000}">
      <text>
        <r>
          <rPr>
            <sz val="11"/>
            <color theme="1"/>
            <rFont val="Calibri"/>
            <family val="2"/>
            <scheme val="minor"/>
          </rPr>
          <t>Introduzca la fecha prevista de adjudicación, en formato dd-mm-aaaa</t>
        </r>
      </text>
    </comment>
    <comment ref="F1636" authorId="1" shapeId="0" xr:uid="{00000000-0006-0000-0100-000073060000}">
      <text/>
    </comment>
    <comment ref="F1637" authorId="1" shapeId="0" xr:uid="{00000000-0006-0000-0100-000074060000}">
      <text/>
    </comment>
    <comment ref="A1639" authorId="1" shapeId="0" xr:uid="{00000000-0006-0000-0100-000075060000}">
      <text>
        <r>
          <rPr>
            <sz val="11"/>
            <color theme="1"/>
            <rFont val="Calibri"/>
            <family val="2"/>
            <scheme val="minor"/>
          </rPr>
          <t>Introduzca un codigo UNSPSC</t>
        </r>
      </text>
    </comment>
    <comment ref="B1639" authorId="1" shapeId="0" xr:uid="{00000000-0006-0000-0100-000076060000}">
      <text>
        <r>
          <rPr>
            <sz val="11"/>
            <color theme="1"/>
            <rFont val="Calibri"/>
            <family val="2"/>
            <scheme val="minor"/>
          </rPr>
          <t>Descripción calculada automáticamente a partir de código del artículo</t>
        </r>
      </text>
    </comment>
    <comment ref="C1639" authorId="1" shapeId="0" xr:uid="{00000000-0006-0000-0100-000077060000}">
      <text>
        <r>
          <rPr>
            <sz val="11"/>
            <color theme="1"/>
            <rFont val="Calibri"/>
            <family val="2"/>
            <scheme val="minor"/>
          </rPr>
          <t>Seleccione un valor de la lista</t>
        </r>
      </text>
    </comment>
    <comment ref="D1639" authorId="1" shapeId="0" xr:uid="{00000000-0006-0000-0100-000078060000}">
      <text>
        <r>
          <rPr>
            <sz val="11"/>
            <color theme="1"/>
            <rFont val="Calibri"/>
            <family val="2"/>
            <scheme val="minor"/>
          </rPr>
          <t>Introduzca un número con dos decimales como máximo. Debe ser igual o mayor a la "Cantidad Real Consumida"</t>
        </r>
      </text>
    </comment>
    <comment ref="E1639" authorId="1" shapeId="0" xr:uid="{00000000-0006-0000-0100-000079060000}">
      <text>
        <r>
          <rPr>
            <sz val="11"/>
            <color theme="1"/>
            <rFont val="Calibri"/>
            <family val="2"/>
            <scheme val="minor"/>
          </rPr>
          <t>Introduzca un número con dos decimales como máximo</t>
        </r>
      </text>
    </comment>
    <comment ref="F1639" authorId="1" shapeId="0" xr:uid="{00000000-0006-0000-0100-00007A060000}">
      <text>
        <r>
          <rPr>
            <sz val="11"/>
            <color theme="1"/>
            <rFont val="Calibri"/>
            <family val="2"/>
            <scheme val="minor"/>
          </rPr>
          <t>Monto calculado automáticamente por el sistema</t>
        </r>
      </text>
    </comment>
    <comment ref="A1691" authorId="1" shapeId="0" xr:uid="{00000000-0006-0000-0100-00007B060000}">
      <text>
        <r>
          <rPr>
            <sz val="11"/>
            <color theme="1"/>
            <rFont val="Calibri"/>
            <family val="2"/>
            <scheme val="minor"/>
          </rPr>
          <t>Introducir un texto con el nombre o referencia de la contratación</t>
        </r>
      </text>
    </comment>
    <comment ref="B1691" authorId="1" shapeId="0" xr:uid="{00000000-0006-0000-0100-00007C060000}">
      <text>
        <r>
          <rPr>
            <sz val="11"/>
            <color theme="1"/>
            <rFont val="Calibri"/>
            <family val="2"/>
            <scheme val="minor"/>
          </rPr>
          <t>Introduzca un texto con la finalidad de la contratación</t>
        </r>
      </text>
    </comment>
    <comment ref="C1691" authorId="1" shapeId="0" xr:uid="{00000000-0006-0000-0100-00007D060000}">
      <text>
        <r>
          <rPr>
            <sz val="11"/>
            <color theme="1"/>
            <rFont val="Calibri"/>
            <family val="2"/>
            <scheme val="minor"/>
          </rPr>
          <t>Seleccionar un valor del listado</t>
        </r>
      </text>
    </comment>
    <comment ref="D1691" authorId="1" shapeId="0" xr:uid="{00000000-0006-0000-0100-00007E060000}">
      <text>
        <r>
          <rPr>
            <sz val="11"/>
            <color theme="1"/>
            <rFont val="Calibri"/>
            <family val="2"/>
            <scheme val="minor"/>
          </rPr>
          <t>Seleccione el tipo de procedimiento</t>
        </r>
      </text>
    </comment>
    <comment ref="E1691" authorId="1" shapeId="0" xr:uid="{00000000-0006-0000-0100-00007F060000}">
      <text>
        <r>
          <rPr>
            <sz val="11"/>
            <color theme="1"/>
            <rFont val="Calibri"/>
            <family val="2"/>
            <scheme val="minor"/>
          </rPr>
          <t>Seleccione un valor de la lista</t>
        </r>
      </text>
    </comment>
    <comment ref="F1691" authorId="1" shapeId="0" xr:uid="{00000000-0006-0000-0100-000080060000}">
      <text>
        <r>
          <rPr>
            <sz val="11"/>
            <color theme="1"/>
            <rFont val="Calibri"/>
            <family val="2"/>
            <scheme val="minor"/>
          </rPr>
          <t>Introduzca el código SNIP</t>
        </r>
      </text>
    </comment>
    <comment ref="C1692" authorId="1" shapeId="0" xr:uid="{00000000-0006-0000-0100-000081060000}">
      <text>
        <r>
          <rPr>
            <sz val="11"/>
            <color theme="1"/>
            <rFont val="Calibri"/>
            <family val="2"/>
            <scheme val="minor"/>
          </rPr>
          <t>Introduzca la fecha de inicio del proceso, en formato dd-mm-aaaa</t>
        </r>
      </text>
    </comment>
    <comment ref="F1692" authorId="1" shapeId="0" xr:uid="{00000000-0006-0000-0100-000083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93" authorId="1" shapeId="0" xr:uid="{00000000-0006-0000-0100-000084060000}">
      <text/>
    </comment>
    <comment ref="C1694" authorId="1" shapeId="0" xr:uid="{00000000-0006-0000-0100-000082060000}">
      <text>
        <r>
          <rPr>
            <sz val="11"/>
            <color theme="1"/>
            <rFont val="Calibri"/>
            <family val="2"/>
            <scheme val="minor"/>
          </rPr>
          <t>Introduzca la fecha prevista de adjudicación, en formato dd-mm-aaaa</t>
        </r>
      </text>
    </comment>
    <comment ref="F1694" authorId="1" shapeId="0" xr:uid="{00000000-0006-0000-0100-000085060000}">
      <text/>
    </comment>
    <comment ref="F1695" authorId="1" shapeId="0" xr:uid="{00000000-0006-0000-0100-000086060000}">
      <text/>
    </comment>
    <comment ref="A1697" authorId="1" shapeId="0" xr:uid="{00000000-0006-0000-0100-000087060000}">
      <text>
        <r>
          <rPr>
            <sz val="11"/>
            <color theme="1"/>
            <rFont val="Calibri"/>
            <family val="2"/>
            <scheme val="minor"/>
          </rPr>
          <t>Introduzca un codigo UNSPSC</t>
        </r>
      </text>
    </comment>
    <comment ref="B1697" authorId="1" shapeId="0" xr:uid="{00000000-0006-0000-0100-000088060000}">
      <text>
        <r>
          <rPr>
            <sz val="11"/>
            <color theme="1"/>
            <rFont val="Calibri"/>
            <family val="2"/>
            <scheme val="minor"/>
          </rPr>
          <t>Descripción calculada automáticamente a partir de código del artículo</t>
        </r>
      </text>
    </comment>
    <comment ref="C1697" authorId="1" shapeId="0" xr:uid="{00000000-0006-0000-0100-000089060000}">
      <text>
        <r>
          <rPr>
            <sz val="11"/>
            <color theme="1"/>
            <rFont val="Calibri"/>
            <family val="2"/>
            <scheme val="minor"/>
          </rPr>
          <t>Seleccione un valor de la lista</t>
        </r>
      </text>
    </comment>
    <comment ref="D1697" authorId="1" shapeId="0" xr:uid="{00000000-0006-0000-0100-00008A060000}">
      <text>
        <r>
          <rPr>
            <sz val="11"/>
            <color theme="1"/>
            <rFont val="Calibri"/>
            <family val="2"/>
            <scheme val="minor"/>
          </rPr>
          <t>Introduzca un número con dos decimales como máximo. Debe ser igual o mayor a la "Cantidad Real Consumida"</t>
        </r>
      </text>
    </comment>
    <comment ref="E1697" authorId="1" shapeId="0" xr:uid="{00000000-0006-0000-0100-00008B060000}">
      <text>
        <r>
          <rPr>
            <sz val="11"/>
            <color theme="1"/>
            <rFont val="Calibri"/>
            <family val="2"/>
            <scheme val="minor"/>
          </rPr>
          <t>Introduzca un número con dos decimales como máximo</t>
        </r>
      </text>
    </comment>
    <comment ref="F1697" authorId="1" shapeId="0" xr:uid="{00000000-0006-0000-0100-00008C060000}">
      <text>
        <r>
          <rPr>
            <sz val="11"/>
            <color theme="1"/>
            <rFont val="Calibri"/>
            <family val="2"/>
            <scheme val="minor"/>
          </rPr>
          <t>Monto calculado automáticamente por el sistema</t>
        </r>
      </text>
    </comment>
    <comment ref="A1749" authorId="1" shapeId="0" xr:uid="{00000000-0006-0000-0100-00008D060000}">
      <text>
        <r>
          <rPr>
            <sz val="11"/>
            <color theme="1"/>
            <rFont val="Calibri"/>
            <family val="2"/>
            <scheme val="minor"/>
          </rPr>
          <t>Introducir un texto con el nombre o referencia de la contratación</t>
        </r>
      </text>
    </comment>
    <comment ref="B1749" authorId="1" shapeId="0" xr:uid="{00000000-0006-0000-0100-00008E060000}">
      <text>
        <r>
          <rPr>
            <sz val="11"/>
            <color theme="1"/>
            <rFont val="Calibri"/>
            <family val="2"/>
            <scheme val="minor"/>
          </rPr>
          <t>Introduzca un texto con la finalidad de la contratación</t>
        </r>
      </text>
    </comment>
    <comment ref="C1749" authorId="1" shapeId="0" xr:uid="{00000000-0006-0000-0100-00008F060000}">
      <text>
        <r>
          <rPr>
            <sz val="11"/>
            <color theme="1"/>
            <rFont val="Calibri"/>
            <family val="2"/>
            <scheme val="minor"/>
          </rPr>
          <t>Seleccionar un valor del listado</t>
        </r>
      </text>
    </comment>
    <comment ref="D1749" authorId="1" shapeId="0" xr:uid="{00000000-0006-0000-0100-000090060000}">
      <text>
        <r>
          <rPr>
            <sz val="11"/>
            <color theme="1"/>
            <rFont val="Calibri"/>
            <family val="2"/>
            <scheme val="minor"/>
          </rPr>
          <t>Seleccione el tipo de procedimiento</t>
        </r>
      </text>
    </comment>
    <comment ref="E1749" authorId="1" shapeId="0" xr:uid="{00000000-0006-0000-0100-000091060000}">
      <text>
        <r>
          <rPr>
            <sz val="11"/>
            <color theme="1"/>
            <rFont val="Calibri"/>
            <family val="2"/>
            <scheme val="minor"/>
          </rPr>
          <t>Seleccione un valor de la lista</t>
        </r>
      </text>
    </comment>
    <comment ref="F1749" authorId="1" shapeId="0" xr:uid="{00000000-0006-0000-0100-000092060000}">
      <text>
        <r>
          <rPr>
            <sz val="11"/>
            <color theme="1"/>
            <rFont val="Calibri"/>
            <family val="2"/>
            <scheme val="minor"/>
          </rPr>
          <t>Introduzca el código SNIP</t>
        </r>
      </text>
    </comment>
    <comment ref="C1750" authorId="1" shapeId="0" xr:uid="{00000000-0006-0000-0100-000093060000}">
      <text>
        <r>
          <rPr>
            <sz val="11"/>
            <color theme="1"/>
            <rFont val="Calibri"/>
            <family val="2"/>
            <scheme val="minor"/>
          </rPr>
          <t>Introduzca la fecha de inicio del proceso, en formato dd-mm-aaaa</t>
        </r>
      </text>
    </comment>
    <comment ref="F1750" authorId="1" shapeId="0" xr:uid="{00000000-0006-0000-0100-000095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51" authorId="1" shapeId="0" xr:uid="{00000000-0006-0000-0100-000096060000}">
      <text/>
    </comment>
    <comment ref="C1752" authorId="1" shapeId="0" xr:uid="{00000000-0006-0000-0100-000094060000}">
      <text>
        <r>
          <rPr>
            <sz val="11"/>
            <color theme="1"/>
            <rFont val="Calibri"/>
            <family val="2"/>
            <scheme val="minor"/>
          </rPr>
          <t>Introduzca la fecha prevista de adjudicación, en formato dd-mm-aaaa</t>
        </r>
      </text>
    </comment>
    <comment ref="F1752" authorId="1" shapeId="0" xr:uid="{00000000-0006-0000-0100-000097060000}">
      <text/>
    </comment>
    <comment ref="F1753" authorId="1" shapeId="0" xr:uid="{00000000-0006-0000-0100-000098060000}">
      <text/>
    </comment>
    <comment ref="A1755" authorId="1" shapeId="0" xr:uid="{00000000-0006-0000-0100-000099060000}">
      <text>
        <r>
          <rPr>
            <sz val="11"/>
            <color theme="1"/>
            <rFont val="Calibri"/>
            <family val="2"/>
            <scheme val="minor"/>
          </rPr>
          <t>Introduzca un codigo UNSPSC</t>
        </r>
      </text>
    </comment>
    <comment ref="B1755" authorId="1" shapeId="0" xr:uid="{00000000-0006-0000-0100-00009A060000}">
      <text>
        <r>
          <rPr>
            <sz val="11"/>
            <color theme="1"/>
            <rFont val="Calibri"/>
            <family val="2"/>
            <scheme val="minor"/>
          </rPr>
          <t>Descripción calculada automáticamente a partir de código del artículo</t>
        </r>
      </text>
    </comment>
    <comment ref="C1755" authorId="1" shapeId="0" xr:uid="{00000000-0006-0000-0100-00009B060000}">
      <text>
        <r>
          <rPr>
            <sz val="11"/>
            <color theme="1"/>
            <rFont val="Calibri"/>
            <family val="2"/>
            <scheme val="minor"/>
          </rPr>
          <t>Seleccione un valor de la lista</t>
        </r>
      </text>
    </comment>
    <comment ref="D1755" authorId="1" shapeId="0" xr:uid="{00000000-0006-0000-0100-00009C060000}">
      <text>
        <r>
          <rPr>
            <sz val="11"/>
            <color theme="1"/>
            <rFont val="Calibri"/>
            <family val="2"/>
            <scheme val="minor"/>
          </rPr>
          <t>Introduzca un número con dos decimales como máximo. Debe ser igual o mayor a la "Cantidad Real Consumida"</t>
        </r>
      </text>
    </comment>
    <comment ref="E1755" authorId="1" shapeId="0" xr:uid="{00000000-0006-0000-0100-00009D060000}">
      <text>
        <r>
          <rPr>
            <sz val="11"/>
            <color theme="1"/>
            <rFont val="Calibri"/>
            <family val="2"/>
            <scheme val="minor"/>
          </rPr>
          <t>Introduzca un número con dos decimales como máximo</t>
        </r>
      </text>
    </comment>
    <comment ref="F1755" authorId="1" shapeId="0" xr:uid="{00000000-0006-0000-0100-00009E060000}">
      <text>
        <r>
          <rPr>
            <sz val="11"/>
            <color theme="1"/>
            <rFont val="Calibri"/>
            <family val="2"/>
            <scheme val="minor"/>
          </rPr>
          <t>Monto calculado automáticamente por el sistema</t>
        </r>
      </text>
    </comment>
    <comment ref="A1763" authorId="1" shapeId="0" xr:uid="{00000000-0006-0000-0100-00009F060000}">
      <text>
        <r>
          <rPr>
            <sz val="11"/>
            <color theme="1"/>
            <rFont val="Calibri"/>
            <family val="2"/>
            <scheme val="minor"/>
          </rPr>
          <t>Introducir un texto con el nombre o referencia de la contratación</t>
        </r>
      </text>
    </comment>
    <comment ref="B1763" authorId="1" shapeId="0" xr:uid="{00000000-0006-0000-0100-0000A0060000}">
      <text>
        <r>
          <rPr>
            <sz val="11"/>
            <color theme="1"/>
            <rFont val="Calibri"/>
            <family val="2"/>
            <scheme val="minor"/>
          </rPr>
          <t>Introduzca un texto con la finalidad de la contratación</t>
        </r>
      </text>
    </comment>
    <comment ref="C1763" authorId="1" shapeId="0" xr:uid="{00000000-0006-0000-0100-0000A1060000}">
      <text>
        <r>
          <rPr>
            <sz val="11"/>
            <color theme="1"/>
            <rFont val="Calibri"/>
            <family val="2"/>
            <scheme val="minor"/>
          </rPr>
          <t>Seleccionar un valor del listado</t>
        </r>
      </text>
    </comment>
    <comment ref="D1763" authorId="1" shapeId="0" xr:uid="{00000000-0006-0000-0100-0000A2060000}">
      <text>
        <r>
          <rPr>
            <sz val="11"/>
            <color theme="1"/>
            <rFont val="Calibri"/>
            <family val="2"/>
            <scheme val="minor"/>
          </rPr>
          <t>Seleccione el tipo de procedimiento</t>
        </r>
      </text>
    </comment>
    <comment ref="E1763" authorId="1" shapeId="0" xr:uid="{00000000-0006-0000-0100-0000A3060000}">
      <text>
        <r>
          <rPr>
            <sz val="11"/>
            <color theme="1"/>
            <rFont val="Calibri"/>
            <family val="2"/>
            <scheme val="minor"/>
          </rPr>
          <t>Seleccione un valor de la lista</t>
        </r>
      </text>
    </comment>
    <comment ref="F1763" authorId="1" shapeId="0" xr:uid="{00000000-0006-0000-0100-0000A4060000}">
      <text>
        <r>
          <rPr>
            <sz val="11"/>
            <color theme="1"/>
            <rFont val="Calibri"/>
            <family val="2"/>
            <scheme val="minor"/>
          </rPr>
          <t>Introduzca el código SNIP</t>
        </r>
      </text>
    </comment>
    <comment ref="C1764" authorId="1" shapeId="0" xr:uid="{00000000-0006-0000-0100-0000A5060000}">
      <text>
        <r>
          <rPr>
            <sz val="11"/>
            <color theme="1"/>
            <rFont val="Calibri"/>
            <family val="2"/>
            <scheme val="minor"/>
          </rPr>
          <t>Introduzca la fecha de inicio del proceso, en formato dd-mm-aaaa</t>
        </r>
      </text>
    </comment>
    <comment ref="F1764" authorId="1" shapeId="0" xr:uid="{00000000-0006-0000-0100-0000A7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65" authorId="1" shapeId="0" xr:uid="{00000000-0006-0000-0100-0000A8060000}">
      <text/>
    </comment>
    <comment ref="C1766" authorId="1" shapeId="0" xr:uid="{00000000-0006-0000-0100-0000A6060000}">
      <text>
        <r>
          <rPr>
            <sz val="11"/>
            <color theme="1"/>
            <rFont val="Calibri"/>
            <family val="2"/>
            <scheme val="minor"/>
          </rPr>
          <t>Introduzca la fecha prevista de adjudicación, en formato dd-mm-aaaa</t>
        </r>
      </text>
    </comment>
    <comment ref="F1766" authorId="1" shapeId="0" xr:uid="{00000000-0006-0000-0100-0000A9060000}">
      <text/>
    </comment>
    <comment ref="F1767" authorId="1" shapeId="0" xr:uid="{00000000-0006-0000-0100-0000AA060000}">
      <text/>
    </comment>
    <comment ref="A1769" authorId="1" shapeId="0" xr:uid="{00000000-0006-0000-0100-0000AB060000}">
      <text>
        <r>
          <rPr>
            <sz val="11"/>
            <color theme="1"/>
            <rFont val="Calibri"/>
            <family val="2"/>
            <scheme val="minor"/>
          </rPr>
          <t>Introduzca un codigo UNSPSC</t>
        </r>
      </text>
    </comment>
    <comment ref="B1769" authorId="1" shapeId="0" xr:uid="{00000000-0006-0000-0100-0000AC060000}">
      <text>
        <r>
          <rPr>
            <sz val="11"/>
            <color theme="1"/>
            <rFont val="Calibri"/>
            <family val="2"/>
            <scheme val="minor"/>
          </rPr>
          <t>Descripción calculada automáticamente a partir de código del artículo</t>
        </r>
      </text>
    </comment>
    <comment ref="C1769" authorId="1" shapeId="0" xr:uid="{00000000-0006-0000-0100-0000AD060000}">
      <text>
        <r>
          <rPr>
            <sz val="11"/>
            <color theme="1"/>
            <rFont val="Calibri"/>
            <family val="2"/>
            <scheme val="minor"/>
          </rPr>
          <t>Seleccione un valor de la lista</t>
        </r>
      </text>
    </comment>
    <comment ref="D1769" authorId="1" shapeId="0" xr:uid="{00000000-0006-0000-0100-0000AE060000}">
      <text>
        <r>
          <rPr>
            <sz val="11"/>
            <color theme="1"/>
            <rFont val="Calibri"/>
            <family val="2"/>
            <scheme val="minor"/>
          </rPr>
          <t>Introduzca un número con dos decimales como máximo. Debe ser igual o mayor a la "Cantidad Real Consumida"</t>
        </r>
      </text>
    </comment>
    <comment ref="E1769" authorId="1" shapeId="0" xr:uid="{00000000-0006-0000-0100-0000AF060000}">
      <text>
        <r>
          <rPr>
            <sz val="11"/>
            <color theme="1"/>
            <rFont val="Calibri"/>
            <family val="2"/>
            <scheme val="minor"/>
          </rPr>
          <t>Introduzca un número con dos decimales como máximo</t>
        </r>
      </text>
    </comment>
    <comment ref="F1769" authorId="1" shapeId="0" xr:uid="{00000000-0006-0000-0100-0000B0060000}">
      <text>
        <r>
          <rPr>
            <sz val="11"/>
            <color theme="1"/>
            <rFont val="Calibri"/>
            <family val="2"/>
            <scheme val="minor"/>
          </rPr>
          <t>Monto calculado automáticamente por el sistema</t>
        </r>
      </text>
    </comment>
    <comment ref="A1775" authorId="1" shapeId="0" xr:uid="{00000000-0006-0000-0100-0000B1060000}">
      <text>
        <r>
          <rPr>
            <sz val="11"/>
            <color theme="1"/>
            <rFont val="Calibri"/>
            <family val="2"/>
            <scheme val="minor"/>
          </rPr>
          <t>Introducir un texto con el nombre o referencia de la contratación</t>
        </r>
      </text>
    </comment>
    <comment ref="B1775" authorId="1" shapeId="0" xr:uid="{00000000-0006-0000-0100-0000B2060000}">
      <text>
        <r>
          <rPr>
            <sz val="11"/>
            <color theme="1"/>
            <rFont val="Calibri"/>
            <family val="2"/>
            <scheme val="minor"/>
          </rPr>
          <t>Introduzca un texto con la finalidad de la contratación</t>
        </r>
      </text>
    </comment>
    <comment ref="C1775" authorId="1" shapeId="0" xr:uid="{00000000-0006-0000-0100-0000B3060000}">
      <text>
        <r>
          <rPr>
            <sz val="11"/>
            <color theme="1"/>
            <rFont val="Calibri"/>
            <family val="2"/>
            <scheme val="minor"/>
          </rPr>
          <t>Seleccionar un valor del listado</t>
        </r>
      </text>
    </comment>
    <comment ref="D1775" authorId="1" shapeId="0" xr:uid="{00000000-0006-0000-0100-0000B4060000}">
      <text>
        <r>
          <rPr>
            <sz val="11"/>
            <color theme="1"/>
            <rFont val="Calibri"/>
            <family val="2"/>
            <scheme val="minor"/>
          </rPr>
          <t>Seleccione el tipo de procedimiento</t>
        </r>
      </text>
    </comment>
    <comment ref="E1775" authorId="1" shapeId="0" xr:uid="{00000000-0006-0000-0100-0000B5060000}">
      <text>
        <r>
          <rPr>
            <sz val="11"/>
            <color theme="1"/>
            <rFont val="Calibri"/>
            <family val="2"/>
            <scheme val="minor"/>
          </rPr>
          <t>Seleccione un valor de la lista</t>
        </r>
      </text>
    </comment>
    <comment ref="F1775" authorId="1" shapeId="0" xr:uid="{00000000-0006-0000-0100-0000B6060000}">
      <text>
        <r>
          <rPr>
            <sz val="11"/>
            <color theme="1"/>
            <rFont val="Calibri"/>
            <family val="2"/>
            <scheme val="minor"/>
          </rPr>
          <t>Introduzca el código SNIP</t>
        </r>
      </text>
    </comment>
    <comment ref="C1776" authorId="1" shapeId="0" xr:uid="{00000000-0006-0000-0100-0000B7060000}">
      <text>
        <r>
          <rPr>
            <sz val="11"/>
            <color theme="1"/>
            <rFont val="Calibri"/>
            <family val="2"/>
            <scheme val="minor"/>
          </rPr>
          <t>Introduzca la fecha de inicio del proceso, en formato dd-mm-aaaa</t>
        </r>
      </text>
    </comment>
    <comment ref="F1776" authorId="1" shapeId="0" xr:uid="{00000000-0006-0000-0100-0000B9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77" authorId="1" shapeId="0" xr:uid="{00000000-0006-0000-0100-0000BA060000}">
      <text/>
    </comment>
    <comment ref="C1778" authorId="1" shapeId="0" xr:uid="{00000000-0006-0000-0100-0000B8060000}">
      <text>
        <r>
          <rPr>
            <sz val="11"/>
            <color theme="1"/>
            <rFont val="Calibri"/>
            <family val="2"/>
            <scheme val="minor"/>
          </rPr>
          <t>Introduzca la fecha prevista de adjudicación, en formato dd-mm-aaaa</t>
        </r>
      </text>
    </comment>
    <comment ref="F1778" authorId="1" shapeId="0" xr:uid="{00000000-0006-0000-0100-0000BB060000}">
      <text/>
    </comment>
    <comment ref="F1779" authorId="1" shapeId="0" xr:uid="{00000000-0006-0000-0100-0000BC060000}">
      <text/>
    </comment>
    <comment ref="A1781" authorId="1" shapeId="0" xr:uid="{00000000-0006-0000-0100-0000BD060000}">
      <text>
        <r>
          <rPr>
            <sz val="11"/>
            <color theme="1"/>
            <rFont val="Calibri"/>
            <family val="2"/>
            <scheme val="minor"/>
          </rPr>
          <t>Introduzca un codigo UNSPSC</t>
        </r>
      </text>
    </comment>
    <comment ref="B1781" authorId="1" shapeId="0" xr:uid="{00000000-0006-0000-0100-0000BE060000}">
      <text>
        <r>
          <rPr>
            <sz val="11"/>
            <color theme="1"/>
            <rFont val="Calibri"/>
            <family val="2"/>
            <scheme val="minor"/>
          </rPr>
          <t>Descripción calculada automáticamente a partir de código del artículo</t>
        </r>
      </text>
    </comment>
    <comment ref="C1781" authorId="1" shapeId="0" xr:uid="{00000000-0006-0000-0100-0000BF060000}">
      <text>
        <r>
          <rPr>
            <sz val="11"/>
            <color theme="1"/>
            <rFont val="Calibri"/>
            <family val="2"/>
            <scheme val="minor"/>
          </rPr>
          <t>Seleccione un valor de la lista</t>
        </r>
      </text>
    </comment>
    <comment ref="D1781" authorId="1" shapeId="0" xr:uid="{00000000-0006-0000-0100-0000C0060000}">
      <text>
        <r>
          <rPr>
            <sz val="11"/>
            <color theme="1"/>
            <rFont val="Calibri"/>
            <family val="2"/>
            <scheme val="minor"/>
          </rPr>
          <t>Introduzca un número con dos decimales como máximo. Debe ser igual o mayor a la "Cantidad Real Consumida"</t>
        </r>
      </text>
    </comment>
    <comment ref="E1781" authorId="1" shapeId="0" xr:uid="{00000000-0006-0000-0100-0000C1060000}">
      <text>
        <r>
          <rPr>
            <sz val="11"/>
            <color theme="1"/>
            <rFont val="Calibri"/>
            <family val="2"/>
            <scheme val="minor"/>
          </rPr>
          <t>Introduzca un número con dos decimales como máximo</t>
        </r>
      </text>
    </comment>
    <comment ref="F1781" authorId="1" shapeId="0" xr:uid="{00000000-0006-0000-0100-0000C2060000}">
      <text>
        <r>
          <rPr>
            <sz val="11"/>
            <color theme="1"/>
            <rFont val="Calibri"/>
            <family val="2"/>
            <scheme val="minor"/>
          </rPr>
          <t>Monto calculado automáticamente por el sistema</t>
        </r>
      </text>
    </comment>
    <comment ref="A1829" authorId="1" shapeId="0" xr:uid="{00000000-0006-0000-0100-0000C3060000}">
      <text>
        <r>
          <rPr>
            <sz val="11"/>
            <color theme="1"/>
            <rFont val="Calibri"/>
            <family val="2"/>
            <scheme val="minor"/>
          </rPr>
          <t>Introducir un texto con el nombre o referencia de la contratación</t>
        </r>
      </text>
    </comment>
    <comment ref="B1829" authorId="1" shapeId="0" xr:uid="{00000000-0006-0000-0100-0000C4060000}">
      <text>
        <r>
          <rPr>
            <sz val="11"/>
            <color theme="1"/>
            <rFont val="Calibri"/>
            <family val="2"/>
            <scheme val="minor"/>
          </rPr>
          <t>Introduzca un texto con la finalidad de la contratación</t>
        </r>
      </text>
    </comment>
    <comment ref="C1829" authorId="1" shapeId="0" xr:uid="{00000000-0006-0000-0100-0000C5060000}">
      <text>
        <r>
          <rPr>
            <sz val="11"/>
            <color theme="1"/>
            <rFont val="Calibri"/>
            <family val="2"/>
            <scheme val="minor"/>
          </rPr>
          <t>Seleccionar un valor del listado</t>
        </r>
      </text>
    </comment>
    <comment ref="D1829" authorId="1" shapeId="0" xr:uid="{00000000-0006-0000-0100-0000C6060000}">
      <text>
        <r>
          <rPr>
            <sz val="11"/>
            <color theme="1"/>
            <rFont val="Calibri"/>
            <family val="2"/>
            <scheme val="minor"/>
          </rPr>
          <t>Seleccione el tipo de procedimiento</t>
        </r>
      </text>
    </comment>
    <comment ref="E1829" authorId="1" shapeId="0" xr:uid="{00000000-0006-0000-0100-0000C7060000}">
      <text>
        <r>
          <rPr>
            <sz val="11"/>
            <color theme="1"/>
            <rFont val="Calibri"/>
            <family val="2"/>
            <scheme val="minor"/>
          </rPr>
          <t>Seleccione un valor de la lista</t>
        </r>
      </text>
    </comment>
    <comment ref="F1829" authorId="1" shapeId="0" xr:uid="{00000000-0006-0000-0100-0000C8060000}">
      <text>
        <r>
          <rPr>
            <sz val="11"/>
            <color theme="1"/>
            <rFont val="Calibri"/>
            <family val="2"/>
            <scheme val="minor"/>
          </rPr>
          <t>Introduzca el código SNIP</t>
        </r>
      </text>
    </comment>
    <comment ref="C1830" authorId="1" shapeId="0" xr:uid="{00000000-0006-0000-0100-0000C9060000}">
      <text>
        <r>
          <rPr>
            <sz val="11"/>
            <color theme="1"/>
            <rFont val="Calibri"/>
            <family val="2"/>
            <scheme val="minor"/>
          </rPr>
          <t>Introduzca la fecha de inicio del proceso, en formato dd-mm-aaaa</t>
        </r>
      </text>
    </comment>
    <comment ref="F1830" authorId="1" shapeId="0" xr:uid="{00000000-0006-0000-0100-0000CB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31" authorId="1" shapeId="0" xr:uid="{00000000-0006-0000-0100-0000CC060000}">
      <text/>
    </comment>
    <comment ref="C1832" authorId="1" shapeId="0" xr:uid="{00000000-0006-0000-0100-0000CA060000}">
      <text>
        <r>
          <rPr>
            <sz val="11"/>
            <color theme="1"/>
            <rFont val="Calibri"/>
            <family val="2"/>
            <scheme val="minor"/>
          </rPr>
          <t>Introduzca la fecha prevista de adjudicación, en formato dd-mm-aaaa</t>
        </r>
      </text>
    </comment>
    <comment ref="F1832" authorId="1" shapeId="0" xr:uid="{00000000-0006-0000-0100-0000CD060000}">
      <text/>
    </comment>
    <comment ref="F1833" authorId="1" shapeId="0" xr:uid="{00000000-0006-0000-0100-0000CE060000}">
      <text/>
    </comment>
    <comment ref="A1835" authorId="1" shapeId="0" xr:uid="{00000000-0006-0000-0100-0000CF060000}">
      <text>
        <r>
          <rPr>
            <sz val="11"/>
            <color theme="1"/>
            <rFont val="Calibri"/>
            <family val="2"/>
            <scheme val="minor"/>
          </rPr>
          <t>Introduzca un codigo UNSPSC</t>
        </r>
      </text>
    </comment>
    <comment ref="B1835" authorId="1" shapeId="0" xr:uid="{00000000-0006-0000-0100-0000D0060000}">
      <text>
        <r>
          <rPr>
            <sz val="11"/>
            <color theme="1"/>
            <rFont val="Calibri"/>
            <family val="2"/>
            <scheme val="minor"/>
          </rPr>
          <t>Descripción calculada automáticamente a partir de código del artículo</t>
        </r>
      </text>
    </comment>
    <comment ref="C1835" authorId="1" shapeId="0" xr:uid="{00000000-0006-0000-0100-0000D1060000}">
      <text>
        <r>
          <rPr>
            <sz val="11"/>
            <color theme="1"/>
            <rFont val="Calibri"/>
            <family val="2"/>
            <scheme val="minor"/>
          </rPr>
          <t>Seleccione un valor de la lista</t>
        </r>
      </text>
    </comment>
    <comment ref="D1835" authorId="1" shapeId="0" xr:uid="{00000000-0006-0000-0100-0000D2060000}">
      <text>
        <r>
          <rPr>
            <sz val="11"/>
            <color theme="1"/>
            <rFont val="Calibri"/>
            <family val="2"/>
            <scheme val="minor"/>
          </rPr>
          <t>Introduzca un número con dos decimales como máximo. Debe ser igual o mayor a la "Cantidad Real Consumida"</t>
        </r>
      </text>
    </comment>
    <comment ref="E1835" authorId="1" shapeId="0" xr:uid="{00000000-0006-0000-0100-0000D3060000}">
      <text>
        <r>
          <rPr>
            <sz val="11"/>
            <color theme="1"/>
            <rFont val="Calibri"/>
            <family val="2"/>
            <scheme val="minor"/>
          </rPr>
          <t>Introduzca un número con dos decimales como máximo</t>
        </r>
      </text>
    </comment>
    <comment ref="F1835" authorId="1" shapeId="0" xr:uid="{00000000-0006-0000-0100-0000D4060000}">
      <text>
        <r>
          <rPr>
            <sz val="11"/>
            <color theme="1"/>
            <rFont val="Calibri"/>
            <family val="2"/>
            <scheme val="minor"/>
          </rPr>
          <t>Monto calculado automáticamente por el sistema</t>
        </r>
      </text>
    </comment>
    <comment ref="A1876" authorId="1" shapeId="0" xr:uid="{00000000-0006-0000-0100-0000D5060000}">
      <text>
        <r>
          <rPr>
            <sz val="11"/>
            <color theme="1"/>
            <rFont val="Calibri"/>
            <family val="2"/>
            <scheme val="minor"/>
          </rPr>
          <t>Introducir un texto con el nombre o referencia de la contratación</t>
        </r>
      </text>
    </comment>
    <comment ref="B1876" authorId="1" shapeId="0" xr:uid="{00000000-0006-0000-0100-0000D6060000}">
      <text>
        <r>
          <rPr>
            <sz val="11"/>
            <color theme="1"/>
            <rFont val="Calibri"/>
            <family val="2"/>
            <scheme val="minor"/>
          </rPr>
          <t>Introduzca un texto con la finalidad de la contratación</t>
        </r>
      </text>
    </comment>
    <comment ref="C1876" authorId="1" shapeId="0" xr:uid="{00000000-0006-0000-0100-0000D7060000}">
      <text>
        <r>
          <rPr>
            <sz val="11"/>
            <color theme="1"/>
            <rFont val="Calibri"/>
            <family val="2"/>
            <scheme val="minor"/>
          </rPr>
          <t>Seleccionar un valor del listado</t>
        </r>
      </text>
    </comment>
    <comment ref="D1876" authorId="1" shapeId="0" xr:uid="{00000000-0006-0000-0100-0000D8060000}">
      <text>
        <r>
          <rPr>
            <sz val="11"/>
            <color theme="1"/>
            <rFont val="Calibri"/>
            <family val="2"/>
            <scheme val="minor"/>
          </rPr>
          <t>Seleccione el tipo de procedimiento</t>
        </r>
      </text>
    </comment>
    <comment ref="E1876" authorId="1" shapeId="0" xr:uid="{00000000-0006-0000-0100-0000D9060000}">
      <text>
        <r>
          <rPr>
            <sz val="11"/>
            <color theme="1"/>
            <rFont val="Calibri"/>
            <family val="2"/>
            <scheme val="minor"/>
          </rPr>
          <t>Seleccione un valor de la lista</t>
        </r>
      </text>
    </comment>
    <comment ref="F1876" authorId="1" shapeId="0" xr:uid="{00000000-0006-0000-0100-0000DA060000}">
      <text>
        <r>
          <rPr>
            <sz val="11"/>
            <color theme="1"/>
            <rFont val="Calibri"/>
            <family val="2"/>
            <scheme val="minor"/>
          </rPr>
          <t>Introduzca el código SNIP</t>
        </r>
      </text>
    </comment>
    <comment ref="C1877" authorId="1" shapeId="0" xr:uid="{00000000-0006-0000-0100-0000DB060000}">
      <text>
        <r>
          <rPr>
            <sz val="11"/>
            <color theme="1"/>
            <rFont val="Calibri"/>
            <family val="2"/>
            <scheme val="minor"/>
          </rPr>
          <t>Introduzca la fecha de inicio del proceso, en formato dd-mm-aaaa</t>
        </r>
      </text>
    </comment>
    <comment ref="F1877" authorId="1" shapeId="0" xr:uid="{00000000-0006-0000-0100-0000DD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78" authorId="1" shapeId="0" xr:uid="{00000000-0006-0000-0100-0000DE060000}">
      <text/>
    </comment>
    <comment ref="C1879" authorId="1" shapeId="0" xr:uid="{00000000-0006-0000-0100-0000DC060000}">
      <text>
        <r>
          <rPr>
            <sz val="11"/>
            <color theme="1"/>
            <rFont val="Calibri"/>
            <family val="2"/>
            <scheme val="minor"/>
          </rPr>
          <t>Introduzca la fecha prevista de adjudicación, en formato dd-mm-aaaa</t>
        </r>
      </text>
    </comment>
    <comment ref="F1879" authorId="1" shapeId="0" xr:uid="{00000000-0006-0000-0100-0000DF060000}">
      <text/>
    </comment>
    <comment ref="F1880" authorId="1" shapeId="0" xr:uid="{00000000-0006-0000-0100-0000E0060000}">
      <text/>
    </comment>
    <comment ref="A1882" authorId="1" shapeId="0" xr:uid="{00000000-0006-0000-0100-0000E1060000}">
      <text>
        <r>
          <rPr>
            <sz val="11"/>
            <color theme="1"/>
            <rFont val="Calibri"/>
            <family val="2"/>
            <scheme val="minor"/>
          </rPr>
          <t>Introduzca un codigo UNSPSC</t>
        </r>
      </text>
    </comment>
    <comment ref="B1882" authorId="1" shapeId="0" xr:uid="{00000000-0006-0000-0100-0000E2060000}">
      <text>
        <r>
          <rPr>
            <sz val="11"/>
            <color theme="1"/>
            <rFont val="Calibri"/>
            <family val="2"/>
            <scheme val="minor"/>
          </rPr>
          <t>Descripción calculada automáticamente a partir de código del artículo</t>
        </r>
      </text>
    </comment>
    <comment ref="C1882" authorId="1" shapeId="0" xr:uid="{00000000-0006-0000-0100-0000E3060000}">
      <text>
        <r>
          <rPr>
            <sz val="11"/>
            <color theme="1"/>
            <rFont val="Calibri"/>
            <family val="2"/>
            <scheme val="minor"/>
          </rPr>
          <t>Seleccione un valor de la lista</t>
        </r>
      </text>
    </comment>
    <comment ref="D1882" authorId="1" shapeId="0" xr:uid="{00000000-0006-0000-0100-0000E4060000}">
      <text>
        <r>
          <rPr>
            <sz val="11"/>
            <color theme="1"/>
            <rFont val="Calibri"/>
            <family val="2"/>
            <scheme val="minor"/>
          </rPr>
          <t>Introduzca un número con dos decimales como máximo. Debe ser igual o mayor a la "Cantidad Real Consumida"</t>
        </r>
      </text>
    </comment>
    <comment ref="E1882" authorId="1" shapeId="0" xr:uid="{00000000-0006-0000-0100-0000E5060000}">
      <text>
        <r>
          <rPr>
            <sz val="11"/>
            <color theme="1"/>
            <rFont val="Calibri"/>
            <family val="2"/>
            <scheme val="minor"/>
          </rPr>
          <t>Introduzca un número con dos decimales como máximo</t>
        </r>
      </text>
    </comment>
    <comment ref="F1882" authorId="1" shapeId="0" xr:uid="{00000000-0006-0000-0100-0000E6060000}">
      <text>
        <r>
          <rPr>
            <sz val="11"/>
            <color theme="1"/>
            <rFont val="Calibri"/>
            <family val="2"/>
            <scheme val="minor"/>
          </rPr>
          <t>Monto calculado automáticamente por el sistema</t>
        </r>
      </text>
    </comment>
    <comment ref="A1890" authorId="1" shapeId="0" xr:uid="{00000000-0006-0000-0100-0000E7060000}">
      <text>
        <r>
          <rPr>
            <sz val="11"/>
            <color theme="1"/>
            <rFont val="Calibri"/>
            <family val="2"/>
            <scheme val="minor"/>
          </rPr>
          <t>Introducir un texto con el nombre o referencia de la contratación</t>
        </r>
      </text>
    </comment>
    <comment ref="B1890" authorId="1" shapeId="0" xr:uid="{00000000-0006-0000-0100-0000E8060000}">
      <text>
        <r>
          <rPr>
            <sz val="11"/>
            <color theme="1"/>
            <rFont val="Calibri"/>
            <family val="2"/>
            <scheme val="minor"/>
          </rPr>
          <t>Introduzca un texto con la finalidad de la contratación</t>
        </r>
      </text>
    </comment>
    <comment ref="C1890" authorId="1" shapeId="0" xr:uid="{00000000-0006-0000-0100-0000E9060000}">
      <text>
        <r>
          <rPr>
            <sz val="11"/>
            <color theme="1"/>
            <rFont val="Calibri"/>
            <family val="2"/>
            <scheme val="minor"/>
          </rPr>
          <t>Seleccionar un valor del listado</t>
        </r>
      </text>
    </comment>
    <comment ref="D1890" authorId="1" shapeId="0" xr:uid="{00000000-0006-0000-0100-0000EA060000}">
      <text>
        <r>
          <rPr>
            <sz val="11"/>
            <color theme="1"/>
            <rFont val="Calibri"/>
            <family val="2"/>
            <scheme val="minor"/>
          </rPr>
          <t>Seleccione el tipo de procedimiento</t>
        </r>
      </text>
    </comment>
    <comment ref="E1890" authorId="1" shapeId="0" xr:uid="{00000000-0006-0000-0100-0000EB060000}">
      <text>
        <r>
          <rPr>
            <sz val="11"/>
            <color theme="1"/>
            <rFont val="Calibri"/>
            <family val="2"/>
            <scheme val="minor"/>
          </rPr>
          <t>Seleccione un valor de la lista</t>
        </r>
      </text>
    </comment>
    <comment ref="F1890" authorId="1" shapeId="0" xr:uid="{00000000-0006-0000-0100-0000EC060000}">
      <text>
        <r>
          <rPr>
            <sz val="11"/>
            <color theme="1"/>
            <rFont val="Calibri"/>
            <family val="2"/>
            <scheme val="minor"/>
          </rPr>
          <t>Introduzca el código SNIP</t>
        </r>
      </text>
    </comment>
    <comment ref="C1891" authorId="1" shapeId="0" xr:uid="{00000000-0006-0000-0100-0000ED060000}">
      <text>
        <r>
          <rPr>
            <sz val="11"/>
            <color theme="1"/>
            <rFont val="Calibri"/>
            <family val="2"/>
            <scheme val="minor"/>
          </rPr>
          <t>Introduzca la fecha de inicio del proceso, en formato dd-mm-aaaa</t>
        </r>
      </text>
    </comment>
    <comment ref="F1891" authorId="1" shapeId="0" xr:uid="{00000000-0006-0000-0100-0000EF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92" authorId="1" shapeId="0" xr:uid="{00000000-0006-0000-0100-0000F0060000}">
      <text/>
    </comment>
    <comment ref="C1893" authorId="1" shapeId="0" xr:uid="{00000000-0006-0000-0100-0000EE060000}">
      <text>
        <r>
          <rPr>
            <sz val="11"/>
            <color theme="1"/>
            <rFont val="Calibri"/>
            <family val="2"/>
            <scheme val="minor"/>
          </rPr>
          <t>Introduzca la fecha prevista de adjudicación, en formato dd-mm-aaaa</t>
        </r>
      </text>
    </comment>
    <comment ref="F1893" authorId="1" shapeId="0" xr:uid="{00000000-0006-0000-0100-0000F1060000}">
      <text/>
    </comment>
    <comment ref="F1894" authorId="1" shapeId="0" xr:uid="{00000000-0006-0000-0100-0000F2060000}">
      <text/>
    </comment>
    <comment ref="A1896" authorId="1" shapeId="0" xr:uid="{00000000-0006-0000-0100-0000F3060000}">
      <text>
        <r>
          <rPr>
            <sz val="11"/>
            <color theme="1"/>
            <rFont val="Calibri"/>
            <family val="2"/>
            <scheme val="minor"/>
          </rPr>
          <t>Introduzca un codigo UNSPSC</t>
        </r>
      </text>
    </comment>
    <comment ref="B1896" authorId="1" shapeId="0" xr:uid="{00000000-0006-0000-0100-0000F4060000}">
      <text>
        <r>
          <rPr>
            <sz val="11"/>
            <color theme="1"/>
            <rFont val="Calibri"/>
            <family val="2"/>
            <scheme val="minor"/>
          </rPr>
          <t>Descripción calculada automáticamente a partir de código del artículo</t>
        </r>
      </text>
    </comment>
    <comment ref="C1896" authorId="1" shapeId="0" xr:uid="{00000000-0006-0000-0100-0000F5060000}">
      <text>
        <r>
          <rPr>
            <sz val="11"/>
            <color theme="1"/>
            <rFont val="Calibri"/>
            <family val="2"/>
            <scheme val="minor"/>
          </rPr>
          <t>Seleccione un valor de la lista</t>
        </r>
      </text>
    </comment>
    <comment ref="D1896" authorId="1" shapeId="0" xr:uid="{00000000-0006-0000-0100-0000F6060000}">
      <text>
        <r>
          <rPr>
            <sz val="11"/>
            <color theme="1"/>
            <rFont val="Calibri"/>
            <family val="2"/>
            <scheme val="minor"/>
          </rPr>
          <t>Introduzca un número con dos decimales como máximo. Debe ser igual o mayor a la "Cantidad Real Consumida"</t>
        </r>
      </text>
    </comment>
    <comment ref="E1896" authorId="1" shapeId="0" xr:uid="{00000000-0006-0000-0100-0000F7060000}">
      <text>
        <r>
          <rPr>
            <sz val="11"/>
            <color theme="1"/>
            <rFont val="Calibri"/>
            <family val="2"/>
            <scheme val="minor"/>
          </rPr>
          <t>Introduzca un número con dos decimales como máximo</t>
        </r>
      </text>
    </comment>
    <comment ref="F1896" authorId="1" shapeId="0" xr:uid="{00000000-0006-0000-0100-0000F8060000}">
      <text>
        <r>
          <rPr>
            <sz val="11"/>
            <color theme="1"/>
            <rFont val="Calibri"/>
            <family val="2"/>
            <scheme val="minor"/>
          </rPr>
          <t>Monto calculado automáticamente por el sistema</t>
        </r>
      </text>
    </comment>
    <comment ref="A1901" authorId="1" shapeId="0" xr:uid="{00000000-0006-0000-0100-0000F9060000}">
      <text>
        <r>
          <rPr>
            <sz val="11"/>
            <color theme="1"/>
            <rFont val="Calibri"/>
            <family val="2"/>
            <scheme val="minor"/>
          </rPr>
          <t>Introducir un texto con el nombre o referencia de la contratación</t>
        </r>
      </text>
    </comment>
    <comment ref="B1901" authorId="1" shapeId="0" xr:uid="{00000000-0006-0000-0100-0000FA060000}">
      <text>
        <r>
          <rPr>
            <sz val="11"/>
            <color theme="1"/>
            <rFont val="Calibri"/>
            <family val="2"/>
            <scheme val="minor"/>
          </rPr>
          <t>Introduzca un texto con la finalidad de la contratación</t>
        </r>
      </text>
    </comment>
    <comment ref="C1901" authorId="1" shapeId="0" xr:uid="{00000000-0006-0000-0100-0000FB060000}">
      <text>
        <r>
          <rPr>
            <sz val="11"/>
            <color theme="1"/>
            <rFont val="Calibri"/>
            <family val="2"/>
            <scheme val="minor"/>
          </rPr>
          <t>Seleccionar un valor del listado</t>
        </r>
      </text>
    </comment>
    <comment ref="D1901" authorId="1" shapeId="0" xr:uid="{00000000-0006-0000-0100-0000FC060000}">
      <text>
        <r>
          <rPr>
            <sz val="11"/>
            <color theme="1"/>
            <rFont val="Calibri"/>
            <family val="2"/>
            <scheme val="minor"/>
          </rPr>
          <t>Seleccione el tipo de procedimiento</t>
        </r>
      </text>
    </comment>
    <comment ref="E1901" authorId="1" shapeId="0" xr:uid="{00000000-0006-0000-0100-0000FD060000}">
      <text>
        <r>
          <rPr>
            <sz val="11"/>
            <color theme="1"/>
            <rFont val="Calibri"/>
            <family val="2"/>
            <scheme val="minor"/>
          </rPr>
          <t>Seleccione un valor de la lista</t>
        </r>
      </text>
    </comment>
    <comment ref="F1901" authorId="1" shapeId="0" xr:uid="{00000000-0006-0000-0100-0000FE060000}">
      <text>
        <r>
          <rPr>
            <sz val="11"/>
            <color theme="1"/>
            <rFont val="Calibri"/>
            <family val="2"/>
            <scheme val="minor"/>
          </rPr>
          <t>Introduzca el código SNIP</t>
        </r>
      </text>
    </comment>
    <comment ref="C1902" authorId="1" shapeId="0" xr:uid="{00000000-0006-0000-0100-0000FF060000}">
      <text>
        <r>
          <rPr>
            <sz val="11"/>
            <color theme="1"/>
            <rFont val="Calibri"/>
            <family val="2"/>
            <scheme val="minor"/>
          </rPr>
          <t>Introduzca la fecha de inicio del proceso, en formato dd-mm-aaaa</t>
        </r>
      </text>
    </comment>
    <comment ref="F1902" authorId="1" shapeId="0" xr:uid="{00000000-0006-0000-0100-000001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03" authorId="1" shapeId="0" xr:uid="{00000000-0006-0000-0100-000002070000}">
      <text/>
    </comment>
    <comment ref="C1904" authorId="1" shapeId="0" xr:uid="{00000000-0006-0000-0100-000000070000}">
      <text>
        <r>
          <rPr>
            <sz val="11"/>
            <color theme="1"/>
            <rFont val="Calibri"/>
            <family val="2"/>
            <scheme val="minor"/>
          </rPr>
          <t>Introduzca la fecha prevista de adjudicación, en formato dd-mm-aaaa</t>
        </r>
      </text>
    </comment>
    <comment ref="F1904" authorId="1" shapeId="0" xr:uid="{00000000-0006-0000-0100-000003070000}">
      <text/>
    </comment>
    <comment ref="F1905" authorId="1" shapeId="0" xr:uid="{00000000-0006-0000-0100-000004070000}">
      <text/>
    </comment>
    <comment ref="A1907" authorId="1" shapeId="0" xr:uid="{00000000-0006-0000-0100-000005070000}">
      <text>
        <r>
          <rPr>
            <sz val="11"/>
            <color theme="1"/>
            <rFont val="Calibri"/>
            <family val="2"/>
            <scheme val="minor"/>
          </rPr>
          <t>Introduzca un codigo UNSPSC</t>
        </r>
      </text>
    </comment>
    <comment ref="B1907" authorId="1" shapeId="0" xr:uid="{00000000-0006-0000-0100-000006070000}">
      <text>
        <r>
          <rPr>
            <sz val="11"/>
            <color theme="1"/>
            <rFont val="Calibri"/>
            <family val="2"/>
            <scheme val="minor"/>
          </rPr>
          <t>Descripción calculada automáticamente a partir de código del artículo</t>
        </r>
      </text>
    </comment>
    <comment ref="C1907" authorId="1" shapeId="0" xr:uid="{00000000-0006-0000-0100-000007070000}">
      <text>
        <r>
          <rPr>
            <sz val="11"/>
            <color theme="1"/>
            <rFont val="Calibri"/>
            <family val="2"/>
            <scheme val="minor"/>
          </rPr>
          <t>Seleccione un valor de la lista</t>
        </r>
      </text>
    </comment>
    <comment ref="D1907" authorId="1" shapeId="0" xr:uid="{00000000-0006-0000-0100-000008070000}">
      <text>
        <r>
          <rPr>
            <sz val="11"/>
            <color theme="1"/>
            <rFont val="Calibri"/>
            <family val="2"/>
            <scheme val="minor"/>
          </rPr>
          <t>Introduzca un número con dos decimales como máximo. Debe ser igual o mayor a la "Cantidad Real Consumida"</t>
        </r>
      </text>
    </comment>
    <comment ref="E1907" authorId="1" shapeId="0" xr:uid="{00000000-0006-0000-0100-000009070000}">
      <text>
        <r>
          <rPr>
            <sz val="11"/>
            <color theme="1"/>
            <rFont val="Calibri"/>
            <family val="2"/>
            <scheme val="minor"/>
          </rPr>
          <t>Introduzca un número con dos decimales como máximo</t>
        </r>
      </text>
    </comment>
    <comment ref="F1907" authorId="1" shapeId="0" xr:uid="{00000000-0006-0000-0100-00000A070000}">
      <text>
        <r>
          <rPr>
            <sz val="11"/>
            <color theme="1"/>
            <rFont val="Calibri"/>
            <family val="2"/>
            <scheme val="minor"/>
          </rPr>
          <t>Monto calculado automáticamente por el sistema</t>
        </r>
      </text>
    </comment>
    <comment ref="A1915" authorId="1" shapeId="0" xr:uid="{00000000-0006-0000-0100-00000B070000}">
      <text>
        <r>
          <rPr>
            <sz val="11"/>
            <color theme="1"/>
            <rFont val="Calibri"/>
            <family val="2"/>
            <scheme val="minor"/>
          </rPr>
          <t>Introducir un texto con el nombre o referencia de la contratación</t>
        </r>
      </text>
    </comment>
    <comment ref="B1915" authorId="1" shapeId="0" xr:uid="{00000000-0006-0000-0100-00000C070000}">
      <text>
        <r>
          <rPr>
            <sz val="11"/>
            <color theme="1"/>
            <rFont val="Calibri"/>
            <family val="2"/>
            <scheme val="minor"/>
          </rPr>
          <t>Introduzca un texto con la finalidad de la contratación</t>
        </r>
      </text>
    </comment>
    <comment ref="C1915" authorId="1" shapeId="0" xr:uid="{00000000-0006-0000-0100-00000D070000}">
      <text>
        <r>
          <rPr>
            <sz val="11"/>
            <color theme="1"/>
            <rFont val="Calibri"/>
            <family val="2"/>
            <scheme val="minor"/>
          </rPr>
          <t>Seleccionar un valor del listado</t>
        </r>
      </text>
    </comment>
    <comment ref="D1915" authorId="1" shapeId="0" xr:uid="{00000000-0006-0000-0100-00000E070000}">
      <text>
        <r>
          <rPr>
            <sz val="11"/>
            <color theme="1"/>
            <rFont val="Calibri"/>
            <family val="2"/>
            <scheme val="minor"/>
          </rPr>
          <t>Seleccione el tipo de procedimiento</t>
        </r>
      </text>
    </comment>
    <comment ref="E1915" authorId="1" shapeId="0" xr:uid="{00000000-0006-0000-0100-00000F070000}">
      <text>
        <r>
          <rPr>
            <sz val="11"/>
            <color theme="1"/>
            <rFont val="Calibri"/>
            <family val="2"/>
            <scheme val="minor"/>
          </rPr>
          <t>Seleccione un valor de la lista</t>
        </r>
      </text>
    </comment>
    <comment ref="F1915" authorId="1" shapeId="0" xr:uid="{00000000-0006-0000-0100-000010070000}">
      <text>
        <r>
          <rPr>
            <sz val="11"/>
            <color theme="1"/>
            <rFont val="Calibri"/>
            <family val="2"/>
            <scheme val="minor"/>
          </rPr>
          <t>Introduzca el código SNIP</t>
        </r>
      </text>
    </comment>
    <comment ref="C1916" authorId="1" shapeId="0" xr:uid="{00000000-0006-0000-0100-000011070000}">
      <text>
        <r>
          <rPr>
            <sz val="11"/>
            <color theme="1"/>
            <rFont val="Calibri"/>
            <family val="2"/>
            <scheme val="minor"/>
          </rPr>
          <t>Introduzca la fecha de inicio del proceso, en formato dd-mm-aaaa</t>
        </r>
      </text>
    </comment>
    <comment ref="F1916" authorId="1" shapeId="0" xr:uid="{00000000-0006-0000-0100-000013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17" authorId="1" shapeId="0" xr:uid="{00000000-0006-0000-0100-000014070000}">
      <text/>
    </comment>
    <comment ref="C1918" authorId="1" shapeId="0" xr:uid="{00000000-0006-0000-0100-000012070000}">
      <text>
        <r>
          <rPr>
            <sz val="11"/>
            <color theme="1"/>
            <rFont val="Calibri"/>
            <family val="2"/>
            <scheme val="minor"/>
          </rPr>
          <t>Introduzca la fecha prevista de adjudicación, en formato dd-mm-aaaa</t>
        </r>
      </text>
    </comment>
    <comment ref="F1918" authorId="1" shapeId="0" xr:uid="{00000000-0006-0000-0100-000015070000}">
      <text/>
    </comment>
    <comment ref="F1919" authorId="1" shapeId="0" xr:uid="{00000000-0006-0000-0100-000016070000}">
      <text/>
    </comment>
    <comment ref="A1921" authorId="1" shapeId="0" xr:uid="{00000000-0006-0000-0100-000017070000}">
      <text>
        <r>
          <rPr>
            <sz val="11"/>
            <color theme="1"/>
            <rFont val="Calibri"/>
            <family val="2"/>
            <scheme val="minor"/>
          </rPr>
          <t>Introduzca un codigo UNSPSC</t>
        </r>
      </text>
    </comment>
    <comment ref="B1921" authorId="1" shapeId="0" xr:uid="{00000000-0006-0000-0100-000018070000}">
      <text>
        <r>
          <rPr>
            <sz val="11"/>
            <color theme="1"/>
            <rFont val="Calibri"/>
            <family val="2"/>
            <scheme val="minor"/>
          </rPr>
          <t>Descripción calculada automáticamente a partir de código del artículo</t>
        </r>
      </text>
    </comment>
    <comment ref="C1921" authorId="1" shapeId="0" xr:uid="{00000000-0006-0000-0100-000019070000}">
      <text>
        <r>
          <rPr>
            <sz val="11"/>
            <color theme="1"/>
            <rFont val="Calibri"/>
            <family val="2"/>
            <scheme val="minor"/>
          </rPr>
          <t>Seleccione un valor de la lista</t>
        </r>
      </text>
    </comment>
    <comment ref="D1921" authorId="1" shapeId="0" xr:uid="{00000000-0006-0000-0100-00001A070000}">
      <text>
        <r>
          <rPr>
            <sz val="11"/>
            <color theme="1"/>
            <rFont val="Calibri"/>
            <family val="2"/>
            <scheme val="minor"/>
          </rPr>
          <t>Introduzca un número con dos decimales como máximo. Debe ser igual o mayor a la "Cantidad Real Consumida"</t>
        </r>
      </text>
    </comment>
    <comment ref="E1921" authorId="1" shapeId="0" xr:uid="{00000000-0006-0000-0100-00001B070000}">
      <text>
        <r>
          <rPr>
            <sz val="11"/>
            <color theme="1"/>
            <rFont val="Calibri"/>
            <family val="2"/>
            <scheme val="minor"/>
          </rPr>
          <t>Introduzca un número con dos decimales como máximo</t>
        </r>
      </text>
    </comment>
    <comment ref="F1921" authorId="1" shapeId="0" xr:uid="{00000000-0006-0000-0100-00001C070000}">
      <text>
        <r>
          <rPr>
            <sz val="11"/>
            <color theme="1"/>
            <rFont val="Calibri"/>
            <family val="2"/>
            <scheme val="minor"/>
          </rPr>
          <t>Monto calculado automáticamente por el sistema</t>
        </r>
      </text>
    </comment>
    <comment ref="A1926" authorId="1" shapeId="0" xr:uid="{00000000-0006-0000-0100-00001D070000}">
      <text>
        <r>
          <rPr>
            <sz val="11"/>
            <color theme="1"/>
            <rFont val="Calibri"/>
            <family val="2"/>
            <scheme val="minor"/>
          </rPr>
          <t>Introducir un texto con el nombre o referencia de la contratación</t>
        </r>
      </text>
    </comment>
    <comment ref="B1926" authorId="1" shapeId="0" xr:uid="{00000000-0006-0000-0100-00001E070000}">
      <text>
        <r>
          <rPr>
            <sz val="11"/>
            <color theme="1"/>
            <rFont val="Calibri"/>
            <family val="2"/>
            <scheme val="minor"/>
          </rPr>
          <t>Introduzca un texto con la finalidad de la contratación</t>
        </r>
      </text>
    </comment>
    <comment ref="C1926" authorId="1" shapeId="0" xr:uid="{00000000-0006-0000-0100-00001F070000}">
      <text>
        <r>
          <rPr>
            <sz val="11"/>
            <color theme="1"/>
            <rFont val="Calibri"/>
            <family val="2"/>
            <scheme val="minor"/>
          </rPr>
          <t>Seleccionar un valor del listado</t>
        </r>
      </text>
    </comment>
    <comment ref="D1926" authorId="1" shapeId="0" xr:uid="{00000000-0006-0000-0100-000020070000}">
      <text>
        <r>
          <rPr>
            <sz val="11"/>
            <color theme="1"/>
            <rFont val="Calibri"/>
            <family val="2"/>
            <scheme val="minor"/>
          </rPr>
          <t>Seleccione el tipo de procedimiento</t>
        </r>
      </text>
    </comment>
    <comment ref="E1926" authorId="1" shapeId="0" xr:uid="{00000000-0006-0000-0100-000021070000}">
      <text>
        <r>
          <rPr>
            <sz val="11"/>
            <color theme="1"/>
            <rFont val="Calibri"/>
            <family val="2"/>
            <scheme val="minor"/>
          </rPr>
          <t>Seleccione un valor de la lista</t>
        </r>
      </text>
    </comment>
    <comment ref="F1926" authorId="1" shapeId="0" xr:uid="{00000000-0006-0000-0100-000022070000}">
      <text>
        <r>
          <rPr>
            <sz val="11"/>
            <color theme="1"/>
            <rFont val="Calibri"/>
            <family val="2"/>
            <scheme val="minor"/>
          </rPr>
          <t>Introduzca el código SNIP</t>
        </r>
      </text>
    </comment>
    <comment ref="C1927" authorId="1" shapeId="0" xr:uid="{00000000-0006-0000-0100-000023070000}">
      <text>
        <r>
          <rPr>
            <sz val="11"/>
            <color theme="1"/>
            <rFont val="Calibri"/>
            <family val="2"/>
            <scheme val="minor"/>
          </rPr>
          <t>Introduzca la fecha de inicio del proceso, en formato dd-mm-aaaa</t>
        </r>
      </text>
    </comment>
    <comment ref="F1927" authorId="1" shapeId="0" xr:uid="{00000000-0006-0000-0100-000025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28" authorId="1" shapeId="0" xr:uid="{00000000-0006-0000-0100-000026070000}">
      <text/>
    </comment>
    <comment ref="C1929" authorId="1" shapeId="0" xr:uid="{00000000-0006-0000-0100-000024070000}">
      <text>
        <r>
          <rPr>
            <sz val="11"/>
            <color theme="1"/>
            <rFont val="Calibri"/>
            <family val="2"/>
            <scheme val="minor"/>
          </rPr>
          <t>Introduzca la fecha prevista de adjudicación, en formato dd-mm-aaaa</t>
        </r>
      </text>
    </comment>
    <comment ref="F1929" authorId="1" shapeId="0" xr:uid="{00000000-0006-0000-0100-000027070000}">
      <text/>
    </comment>
    <comment ref="F1930" authorId="1" shapeId="0" xr:uid="{00000000-0006-0000-0100-000028070000}">
      <text/>
    </comment>
    <comment ref="A1932" authorId="1" shapeId="0" xr:uid="{00000000-0006-0000-0100-000029070000}">
      <text>
        <r>
          <rPr>
            <sz val="11"/>
            <color theme="1"/>
            <rFont val="Calibri"/>
            <family val="2"/>
            <scheme val="minor"/>
          </rPr>
          <t>Introduzca un codigo UNSPSC</t>
        </r>
      </text>
    </comment>
    <comment ref="B1932" authorId="1" shapeId="0" xr:uid="{00000000-0006-0000-0100-00002A070000}">
      <text>
        <r>
          <rPr>
            <sz val="11"/>
            <color theme="1"/>
            <rFont val="Calibri"/>
            <family val="2"/>
            <scheme val="minor"/>
          </rPr>
          <t>Descripción calculada automáticamente a partir de código del artículo</t>
        </r>
      </text>
    </comment>
    <comment ref="C1932" authorId="1" shapeId="0" xr:uid="{00000000-0006-0000-0100-00002B070000}">
      <text>
        <r>
          <rPr>
            <sz val="11"/>
            <color theme="1"/>
            <rFont val="Calibri"/>
            <family val="2"/>
            <scheme val="minor"/>
          </rPr>
          <t>Seleccione un valor de la lista</t>
        </r>
      </text>
    </comment>
    <comment ref="D1932" authorId="1" shapeId="0" xr:uid="{00000000-0006-0000-0100-00002C070000}">
      <text>
        <r>
          <rPr>
            <sz val="11"/>
            <color theme="1"/>
            <rFont val="Calibri"/>
            <family val="2"/>
            <scheme val="minor"/>
          </rPr>
          <t>Introduzca un número con dos decimales como máximo. Debe ser igual o mayor a la "Cantidad Real Consumida"</t>
        </r>
      </text>
    </comment>
    <comment ref="E1932" authorId="1" shapeId="0" xr:uid="{00000000-0006-0000-0100-00002D070000}">
      <text>
        <r>
          <rPr>
            <sz val="11"/>
            <color theme="1"/>
            <rFont val="Calibri"/>
            <family val="2"/>
            <scheme val="minor"/>
          </rPr>
          <t>Introduzca un número con dos decimales como máximo</t>
        </r>
      </text>
    </comment>
    <comment ref="F1932" authorId="1" shapeId="0" xr:uid="{00000000-0006-0000-0100-00002E070000}">
      <text>
        <r>
          <rPr>
            <sz val="11"/>
            <color theme="1"/>
            <rFont val="Calibri"/>
            <family val="2"/>
            <scheme val="minor"/>
          </rPr>
          <t>Monto calculado automáticamente por el sistema</t>
        </r>
      </text>
    </comment>
    <comment ref="A1956" authorId="1" shapeId="0" xr:uid="{00000000-0006-0000-0100-00002F070000}">
      <text>
        <r>
          <rPr>
            <sz val="11"/>
            <color theme="1"/>
            <rFont val="Calibri"/>
            <family val="2"/>
            <scheme val="minor"/>
          </rPr>
          <t>Introducir un texto con el nombre o referencia de la contratación</t>
        </r>
      </text>
    </comment>
    <comment ref="B1956" authorId="1" shapeId="0" xr:uid="{00000000-0006-0000-0100-000030070000}">
      <text>
        <r>
          <rPr>
            <sz val="11"/>
            <color theme="1"/>
            <rFont val="Calibri"/>
            <family val="2"/>
            <scheme val="minor"/>
          </rPr>
          <t>Introduzca un texto con la finalidad de la contratación</t>
        </r>
      </text>
    </comment>
    <comment ref="C1956" authorId="1" shapeId="0" xr:uid="{00000000-0006-0000-0100-000031070000}">
      <text>
        <r>
          <rPr>
            <sz val="11"/>
            <color theme="1"/>
            <rFont val="Calibri"/>
            <family val="2"/>
            <scheme val="minor"/>
          </rPr>
          <t>Seleccionar un valor del listado</t>
        </r>
      </text>
    </comment>
    <comment ref="D1956" authorId="1" shapeId="0" xr:uid="{00000000-0006-0000-0100-000032070000}">
      <text>
        <r>
          <rPr>
            <sz val="11"/>
            <color theme="1"/>
            <rFont val="Calibri"/>
            <family val="2"/>
            <scheme val="minor"/>
          </rPr>
          <t>Seleccione el tipo de procedimiento</t>
        </r>
      </text>
    </comment>
    <comment ref="E1956" authorId="1" shapeId="0" xr:uid="{00000000-0006-0000-0100-000033070000}">
      <text>
        <r>
          <rPr>
            <sz val="11"/>
            <color theme="1"/>
            <rFont val="Calibri"/>
            <family val="2"/>
            <scheme val="minor"/>
          </rPr>
          <t>Seleccione un valor de la lista</t>
        </r>
      </text>
    </comment>
    <comment ref="F1956" authorId="1" shapeId="0" xr:uid="{00000000-0006-0000-0100-000034070000}">
      <text>
        <r>
          <rPr>
            <sz val="11"/>
            <color theme="1"/>
            <rFont val="Calibri"/>
            <family val="2"/>
            <scheme val="minor"/>
          </rPr>
          <t>Introduzca el código SNIP</t>
        </r>
      </text>
    </comment>
    <comment ref="C1957" authorId="1" shapeId="0" xr:uid="{00000000-0006-0000-0100-000035070000}">
      <text>
        <r>
          <rPr>
            <sz val="11"/>
            <color theme="1"/>
            <rFont val="Calibri"/>
            <family val="2"/>
            <scheme val="minor"/>
          </rPr>
          <t>Introduzca la fecha de inicio del proceso, en formato dd-mm-aaaa</t>
        </r>
      </text>
    </comment>
    <comment ref="F1957" authorId="1" shapeId="0" xr:uid="{00000000-0006-0000-0100-000037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58" authorId="1" shapeId="0" xr:uid="{00000000-0006-0000-0100-000038070000}">
      <text/>
    </comment>
    <comment ref="C1959" authorId="1" shapeId="0" xr:uid="{00000000-0006-0000-0100-000036070000}">
      <text>
        <r>
          <rPr>
            <sz val="11"/>
            <color theme="1"/>
            <rFont val="Calibri"/>
            <family val="2"/>
            <scheme val="minor"/>
          </rPr>
          <t>Introduzca la fecha prevista de adjudicación, en formato dd-mm-aaaa</t>
        </r>
      </text>
    </comment>
    <comment ref="F1959" authorId="1" shapeId="0" xr:uid="{00000000-0006-0000-0100-000039070000}">
      <text/>
    </comment>
    <comment ref="F1960" authorId="1" shapeId="0" xr:uid="{00000000-0006-0000-0100-00003A070000}">
      <text/>
    </comment>
    <comment ref="A1962" authorId="1" shapeId="0" xr:uid="{00000000-0006-0000-0100-00003B070000}">
      <text>
        <r>
          <rPr>
            <sz val="11"/>
            <color theme="1"/>
            <rFont val="Calibri"/>
            <family val="2"/>
            <scheme val="minor"/>
          </rPr>
          <t>Introduzca un codigo UNSPSC</t>
        </r>
      </text>
    </comment>
    <comment ref="B1962" authorId="1" shapeId="0" xr:uid="{00000000-0006-0000-0100-00003C070000}">
      <text>
        <r>
          <rPr>
            <sz val="11"/>
            <color theme="1"/>
            <rFont val="Calibri"/>
            <family val="2"/>
            <scheme val="minor"/>
          </rPr>
          <t>Descripción calculada automáticamente a partir de código del artículo</t>
        </r>
      </text>
    </comment>
    <comment ref="C1962" authorId="1" shapeId="0" xr:uid="{00000000-0006-0000-0100-00003D070000}">
      <text>
        <r>
          <rPr>
            <sz val="11"/>
            <color theme="1"/>
            <rFont val="Calibri"/>
            <family val="2"/>
            <scheme val="minor"/>
          </rPr>
          <t>Seleccione un valor de la lista</t>
        </r>
      </text>
    </comment>
    <comment ref="D1962" authorId="1" shapeId="0" xr:uid="{00000000-0006-0000-0100-00003E070000}">
      <text>
        <r>
          <rPr>
            <sz val="11"/>
            <color theme="1"/>
            <rFont val="Calibri"/>
            <family val="2"/>
            <scheme val="minor"/>
          </rPr>
          <t>Introduzca un número con dos decimales como máximo. Debe ser igual o mayor a la "Cantidad Real Consumida"</t>
        </r>
      </text>
    </comment>
    <comment ref="E1962" authorId="1" shapeId="0" xr:uid="{00000000-0006-0000-0100-00003F070000}">
      <text>
        <r>
          <rPr>
            <sz val="11"/>
            <color theme="1"/>
            <rFont val="Calibri"/>
            <family val="2"/>
            <scheme val="minor"/>
          </rPr>
          <t>Introduzca un número con dos decimales como máximo</t>
        </r>
      </text>
    </comment>
    <comment ref="F1962" authorId="1" shapeId="0" xr:uid="{00000000-0006-0000-0100-000040070000}">
      <text>
        <r>
          <rPr>
            <sz val="11"/>
            <color theme="1"/>
            <rFont val="Calibri"/>
            <family val="2"/>
            <scheme val="minor"/>
          </rPr>
          <t>Monto calculado automáticamente por el sistema</t>
        </r>
      </text>
    </comment>
    <comment ref="A1972" authorId="1" shapeId="0" xr:uid="{00000000-0006-0000-0100-000041070000}">
      <text>
        <r>
          <rPr>
            <sz val="11"/>
            <color theme="1"/>
            <rFont val="Calibri"/>
            <family val="2"/>
            <scheme val="minor"/>
          </rPr>
          <t>Introducir un texto con el nombre o referencia de la contratación</t>
        </r>
      </text>
    </comment>
    <comment ref="B1972" authorId="1" shapeId="0" xr:uid="{00000000-0006-0000-0100-000042070000}">
      <text>
        <r>
          <rPr>
            <sz val="11"/>
            <color theme="1"/>
            <rFont val="Calibri"/>
            <family val="2"/>
            <scheme val="minor"/>
          </rPr>
          <t>Introduzca un texto con la finalidad de la contratación</t>
        </r>
      </text>
    </comment>
    <comment ref="C1972" authorId="1" shapeId="0" xr:uid="{00000000-0006-0000-0100-000043070000}">
      <text>
        <r>
          <rPr>
            <sz val="11"/>
            <color theme="1"/>
            <rFont val="Calibri"/>
            <family val="2"/>
            <scheme val="minor"/>
          </rPr>
          <t>Seleccionar un valor del listado</t>
        </r>
      </text>
    </comment>
    <comment ref="D1972" authorId="1" shapeId="0" xr:uid="{00000000-0006-0000-0100-000044070000}">
      <text>
        <r>
          <rPr>
            <sz val="11"/>
            <color theme="1"/>
            <rFont val="Calibri"/>
            <family val="2"/>
            <scheme val="minor"/>
          </rPr>
          <t>Seleccione el tipo de procedimiento</t>
        </r>
      </text>
    </comment>
    <comment ref="E1972" authorId="1" shapeId="0" xr:uid="{00000000-0006-0000-0100-000045070000}">
      <text>
        <r>
          <rPr>
            <sz val="11"/>
            <color theme="1"/>
            <rFont val="Calibri"/>
            <family val="2"/>
            <scheme val="minor"/>
          </rPr>
          <t>Seleccione un valor de la lista</t>
        </r>
      </text>
    </comment>
    <comment ref="F1972" authorId="1" shapeId="0" xr:uid="{00000000-0006-0000-0100-000046070000}">
      <text>
        <r>
          <rPr>
            <sz val="11"/>
            <color theme="1"/>
            <rFont val="Calibri"/>
            <family val="2"/>
            <scheme val="minor"/>
          </rPr>
          <t>Introduzca el código SNIP</t>
        </r>
      </text>
    </comment>
    <comment ref="C1973" authorId="1" shapeId="0" xr:uid="{00000000-0006-0000-0100-000047070000}">
      <text>
        <r>
          <rPr>
            <sz val="11"/>
            <color theme="1"/>
            <rFont val="Calibri"/>
            <family val="2"/>
            <scheme val="minor"/>
          </rPr>
          <t>Introduzca la fecha de inicio del proceso, en formato dd-mm-aaaa</t>
        </r>
      </text>
    </comment>
    <comment ref="F1973" authorId="1" shapeId="0" xr:uid="{00000000-0006-0000-0100-000049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74" authorId="1" shapeId="0" xr:uid="{00000000-0006-0000-0100-00004A070000}">
      <text/>
    </comment>
    <comment ref="C1975" authorId="1" shapeId="0" xr:uid="{00000000-0006-0000-0100-000048070000}">
      <text>
        <r>
          <rPr>
            <sz val="11"/>
            <color theme="1"/>
            <rFont val="Calibri"/>
            <family val="2"/>
            <scheme val="minor"/>
          </rPr>
          <t>Introduzca la fecha prevista de adjudicación, en formato dd-mm-aaaa</t>
        </r>
      </text>
    </comment>
    <comment ref="F1975" authorId="1" shapeId="0" xr:uid="{00000000-0006-0000-0100-00004B070000}">
      <text/>
    </comment>
    <comment ref="F1976" authorId="1" shapeId="0" xr:uid="{00000000-0006-0000-0100-00004C070000}">
      <text/>
    </comment>
    <comment ref="A1978" authorId="1" shapeId="0" xr:uid="{00000000-0006-0000-0100-00004D070000}">
      <text>
        <r>
          <rPr>
            <sz val="11"/>
            <color theme="1"/>
            <rFont val="Calibri"/>
            <family val="2"/>
            <scheme val="minor"/>
          </rPr>
          <t>Introduzca un codigo UNSPSC</t>
        </r>
      </text>
    </comment>
    <comment ref="B1978" authorId="1" shapeId="0" xr:uid="{00000000-0006-0000-0100-00004E070000}">
      <text>
        <r>
          <rPr>
            <sz val="11"/>
            <color theme="1"/>
            <rFont val="Calibri"/>
            <family val="2"/>
            <scheme val="minor"/>
          </rPr>
          <t>Descripción calculada automáticamente a partir de código del artículo</t>
        </r>
      </text>
    </comment>
    <comment ref="C1978" authorId="1" shapeId="0" xr:uid="{00000000-0006-0000-0100-00004F070000}">
      <text>
        <r>
          <rPr>
            <sz val="11"/>
            <color theme="1"/>
            <rFont val="Calibri"/>
            <family val="2"/>
            <scheme val="minor"/>
          </rPr>
          <t>Seleccione un valor de la lista</t>
        </r>
      </text>
    </comment>
    <comment ref="D1978" authorId="1" shapeId="0" xr:uid="{00000000-0006-0000-0100-000050070000}">
      <text>
        <r>
          <rPr>
            <sz val="11"/>
            <color theme="1"/>
            <rFont val="Calibri"/>
            <family val="2"/>
            <scheme val="minor"/>
          </rPr>
          <t>Introduzca un número con dos decimales como máximo. Debe ser igual o mayor a la "Cantidad Real Consumida"</t>
        </r>
      </text>
    </comment>
    <comment ref="E1978" authorId="1" shapeId="0" xr:uid="{00000000-0006-0000-0100-000051070000}">
      <text>
        <r>
          <rPr>
            <sz val="11"/>
            <color theme="1"/>
            <rFont val="Calibri"/>
            <family val="2"/>
            <scheme val="minor"/>
          </rPr>
          <t>Introduzca un número con dos decimales como máximo</t>
        </r>
      </text>
    </comment>
    <comment ref="F1978" authorId="1" shapeId="0" xr:uid="{00000000-0006-0000-0100-000052070000}">
      <text>
        <r>
          <rPr>
            <sz val="11"/>
            <color theme="1"/>
            <rFont val="Calibri"/>
            <family val="2"/>
            <scheme val="minor"/>
          </rPr>
          <t>Monto calculado automáticamente por el sistema</t>
        </r>
      </text>
    </comment>
    <comment ref="A1988" authorId="1" shapeId="0" xr:uid="{00000000-0006-0000-0100-000053070000}">
      <text>
        <r>
          <rPr>
            <sz val="11"/>
            <color theme="1"/>
            <rFont val="Calibri"/>
            <family val="2"/>
            <scheme val="minor"/>
          </rPr>
          <t>Introducir un texto con el nombre o referencia de la contratación</t>
        </r>
      </text>
    </comment>
    <comment ref="B1988" authorId="1" shapeId="0" xr:uid="{00000000-0006-0000-0100-000054070000}">
      <text>
        <r>
          <rPr>
            <sz val="11"/>
            <color theme="1"/>
            <rFont val="Calibri"/>
            <family val="2"/>
            <scheme val="minor"/>
          </rPr>
          <t>Introduzca un texto con la finalidad de la contratación</t>
        </r>
      </text>
    </comment>
    <comment ref="C1988" authorId="1" shapeId="0" xr:uid="{00000000-0006-0000-0100-000055070000}">
      <text>
        <r>
          <rPr>
            <sz val="11"/>
            <color theme="1"/>
            <rFont val="Calibri"/>
            <family val="2"/>
            <scheme val="minor"/>
          </rPr>
          <t>Seleccionar un valor del listado</t>
        </r>
      </text>
    </comment>
    <comment ref="D1988" authorId="1" shapeId="0" xr:uid="{00000000-0006-0000-0100-000056070000}">
      <text>
        <r>
          <rPr>
            <sz val="11"/>
            <color theme="1"/>
            <rFont val="Calibri"/>
            <family val="2"/>
            <scheme val="minor"/>
          </rPr>
          <t>Seleccione el tipo de procedimiento</t>
        </r>
      </text>
    </comment>
    <comment ref="E1988" authorId="1" shapeId="0" xr:uid="{00000000-0006-0000-0100-000057070000}">
      <text>
        <r>
          <rPr>
            <sz val="11"/>
            <color theme="1"/>
            <rFont val="Calibri"/>
            <family val="2"/>
            <scheme val="minor"/>
          </rPr>
          <t>Seleccione un valor de la lista</t>
        </r>
      </text>
    </comment>
    <comment ref="F1988" authorId="1" shapeId="0" xr:uid="{00000000-0006-0000-0100-000058070000}">
      <text>
        <r>
          <rPr>
            <sz val="11"/>
            <color theme="1"/>
            <rFont val="Calibri"/>
            <family val="2"/>
            <scheme val="minor"/>
          </rPr>
          <t>Introduzca el código SNIP</t>
        </r>
      </text>
    </comment>
    <comment ref="C1989" authorId="1" shapeId="0" xr:uid="{00000000-0006-0000-0100-000059070000}">
      <text>
        <r>
          <rPr>
            <sz val="11"/>
            <color theme="1"/>
            <rFont val="Calibri"/>
            <family val="2"/>
            <scheme val="minor"/>
          </rPr>
          <t>Introduzca la fecha de inicio del proceso, en formato dd-mm-aaaa</t>
        </r>
      </text>
    </comment>
    <comment ref="F1989" authorId="1" shapeId="0" xr:uid="{00000000-0006-0000-0100-00005B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90" authorId="1" shapeId="0" xr:uid="{00000000-0006-0000-0100-00005C070000}">
      <text/>
    </comment>
    <comment ref="C1991" authorId="1" shapeId="0" xr:uid="{00000000-0006-0000-0100-00005A070000}">
      <text>
        <r>
          <rPr>
            <sz val="11"/>
            <color theme="1"/>
            <rFont val="Calibri"/>
            <family val="2"/>
            <scheme val="minor"/>
          </rPr>
          <t>Introduzca la fecha prevista de adjudicación, en formato dd-mm-aaaa</t>
        </r>
      </text>
    </comment>
    <comment ref="F1991" authorId="1" shapeId="0" xr:uid="{00000000-0006-0000-0100-00005D070000}">
      <text/>
    </comment>
    <comment ref="F1992" authorId="1" shapeId="0" xr:uid="{00000000-0006-0000-0100-00005E070000}">
      <text/>
    </comment>
    <comment ref="A1994" authorId="1" shapeId="0" xr:uid="{00000000-0006-0000-0100-00005F070000}">
      <text>
        <r>
          <rPr>
            <sz val="11"/>
            <color theme="1"/>
            <rFont val="Calibri"/>
            <family val="2"/>
            <scheme val="minor"/>
          </rPr>
          <t>Introduzca un codigo UNSPSC</t>
        </r>
      </text>
    </comment>
    <comment ref="B1994" authorId="1" shapeId="0" xr:uid="{00000000-0006-0000-0100-000060070000}">
      <text>
        <r>
          <rPr>
            <sz val="11"/>
            <color theme="1"/>
            <rFont val="Calibri"/>
            <family val="2"/>
            <scheme val="minor"/>
          </rPr>
          <t>Descripción calculada automáticamente a partir de código del artículo</t>
        </r>
      </text>
    </comment>
    <comment ref="C1994" authorId="1" shapeId="0" xr:uid="{00000000-0006-0000-0100-000061070000}">
      <text>
        <r>
          <rPr>
            <sz val="11"/>
            <color theme="1"/>
            <rFont val="Calibri"/>
            <family val="2"/>
            <scheme val="minor"/>
          </rPr>
          <t>Seleccione un valor de la lista</t>
        </r>
      </text>
    </comment>
    <comment ref="D1994" authorId="1" shapeId="0" xr:uid="{00000000-0006-0000-0100-000062070000}">
      <text>
        <r>
          <rPr>
            <sz val="11"/>
            <color theme="1"/>
            <rFont val="Calibri"/>
            <family val="2"/>
            <scheme val="minor"/>
          </rPr>
          <t>Introduzca un número con dos decimales como máximo. Debe ser igual o mayor a la "Cantidad Real Consumida"</t>
        </r>
      </text>
    </comment>
    <comment ref="E1994" authorId="1" shapeId="0" xr:uid="{00000000-0006-0000-0100-000063070000}">
      <text>
        <r>
          <rPr>
            <sz val="11"/>
            <color theme="1"/>
            <rFont val="Calibri"/>
            <family val="2"/>
            <scheme val="minor"/>
          </rPr>
          <t>Introduzca un número con dos decimales como máximo</t>
        </r>
      </text>
    </comment>
    <comment ref="F1994" authorId="1" shapeId="0" xr:uid="{00000000-0006-0000-0100-000064070000}">
      <text>
        <r>
          <rPr>
            <sz val="11"/>
            <color theme="1"/>
            <rFont val="Calibri"/>
            <family val="2"/>
            <scheme val="minor"/>
          </rPr>
          <t>Monto calculado automáticamente por el sistema</t>
        </r>
      </text>
    </comment>
    <comment ref="A2003" authorId="1" shapeId="0" xr:uid="{00000000-0006-0000-0100-000065070000}">
      <text>
        <r>
          <rPr>
            <sz val="11"/>
            <color theme="1"/>
            <rFont val="Calibri"/>
            <family val="2"/>
            <scheme val="minor"/>
          </rPr>
          <t>Introducir un texto con el nombre o referencia de la contratación</t>
        </r>
      </text>
    </comment>
    <comment ref="B2003" authorId="1" shapeId="0" xr:uid="{00000000-0006-0000-0100-000066070000}">
      <text>
        <r>
          <rPr>
            <sz val="11"/>
            <color theme="1"/>
            <rFont val="Calibri"/>
            <family val="2"/>
            <scheme val="minor"/>
          </rPr>
          <t>Introduzca un texto con la finalidad de la contratación</t>
        </r>
      </text>
    </comment>
    <comment ref="C2003" authorId="1" shapeId="0" xr:uid="{00000000-0006-0000-0100-000067070000}">
      <text>
        <r>
          <rPr>
            <sz val="11"/>
            <color theme="1"/>
            <rFont val="Calibri"/>
            <family val="2"/>
            <scheme val="minor"/>
          </rPr>
          <t>Seleccionar un valor del listado</t>
        </r>
      </text>
    </comment>
    <comment ref="D2003" authorId="1" shapeId="0" xr:uid="{00000000-0006-0000-0100-000068070000}">
      <text>
        <r>
          <rPr>
            <sz val="11"/>
            <color theme="1"/>
            <rFont val="Calibri"/>
            <family val="2"/>
            <scheme val="minor"/>
          </rPr>
          <t>Seleccione el tipo de procedimiento</t>
        </r>
      </text>
    </comment>
    <comment ref="E2003" authorId="1" shapeId="0" xr:uid="{00000000-0006-0000-0100-000069070000}">
      <text>
        <r>
          <rPr>
            <sz val="11"/>
            <color theme="1"/>
            <rFont val="Calibri"/>
            <family val="2"/>
            <scheme val="minor"/>
          </rPr>
          <t>Seleccione un valor de la lista</t>
        </r>
      </text>
    </comment>
    <comment ref="F2003" authorId="1" shapeId="0" xr:uid="{00000000-0006-0000-0100-00006A070000}">
      <text>
        <r>
          <rPr>
            <sz val="11"/>
            <color theme="1"/>
            <rFont val="Calibri"/>
            <family val="2"/>
            <scheme val="minor"/>
          </rPr>
          <t>Introduzca el código SNIP</t>
        </r>
      </text>
    </comment>
    <comment ref="C2004" authorId="1" shapeId="0" xr:uid="{00000000-0006-0000-0100-00006B070000}">
      <text>
        <r>
          <rPr>
            <sz val="11"/>
            <color theme="1"/>
            <rFont val="Calibri"/>
            <family val="2"/>
            <scheme val="minor"/>
          </rPr>
          <t>Introduzca la fecha de inicio del proceso, en formato dd-mm-aaaa</t>
        </r>
      </text>
    </comment>
    <comment ref="F2004" authorId="1" shapeId="0" xr:uid="{00000000-0006-0000-0100-00006D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05" authorId="1" shapeId="0" xr:uid="{00000000-0006-0000-0100-00006E070000}">
      <text/>
    </comment>
    <comment ref="C2006" authorId="1" shapeId="0" xr:uid="{00000000-0006-0000-0100-00006C070000}">
      <text>
        <r>
          <rPr>
            <sz val="11"/>
            <color theme="1"/>
            <rFont val="Calibri"/>
            <family val="2"/>
            <scheme val="minor"/>
          </rPr>
          <t>Introduzca la fecha prevista de adjudicación, en formato dd-mm-aaaa</t>
        </r>
      </text>
    </comment>
    <comment ref="F2006" authorId="1" shapeId="0" xr:uid="{00000000-0006-0000-0100-00006F070000}">
      <text/>
    </comment>
    <comment ref="F2007" authorId="1" shapeId="0" xr:uid="{00000000-0006-0000-0100-000070070000}">
      <text/>
    </comment>
    <comment ref="A2009" authorId="1" shapeId="0" xr:uid="{00000000-0006-0000-0100-000071070000}">
      <text>
        <r>
          <rPr>
            <sz val="11"/>
            <color theme="1"/>
            <rFont val="Calibri"/>
            <family val="2"/>
            <scheme val="minor"/>
          </rPr>
          <t>Introduzca un codigo UNSPSC</t>
        </r>
      </text>
    </comment>
    <comment ref="B2009" authorId="1" shapeId="0" xr:uid="{00000000-0006-0000-0100-000072070000}">
      <text>
        <r>
          <rPr>
            <sz val="11"/>
            <color theme="1"/>
            <rFont val="Calibri"/>
            <family val="2"/>
            <scheme val="minor"/>
          </rPr>
          <t>Descripción calculada automáticamente a partir de código del artículo</t>
        </r>
      </text>
    </comment>
    <comment ref="C2009" authorId="1" shapeId="0" xr:uid="{00000000-0006-0000-0100-000073070000}">
      <text>
        <r>
          <rPr>
            <sz val="11"/>
            <color theme="1"/>
            <rFont val="Calibri"/>
            <family val="2"/>
            <scheme val="minor"/>
          </rPr>
          <t>Seleccione un valor de la lista</t>
        </r>
      </text>
    </comment>
    <comment ref="D2009" authorId="1" shapeId="0" xr:uid="{00000000-0006-0000-0100-000074070000}">
      <text>
        <r>
          <rPr>
            <sz val="11"/>
            <color theme="1"/>
            <rFont val="Calibri"/>
            <family val="2"/>
            <scheme val="minor"/>
          </rPr>
          <t>Introduzca un número con dos decimales como máximo. Debe ser igual o mayor a la "Cantidad Real Consumida"</t>
        </r>
      </text>
    </comment>
    <comment ref="E2009" authorId="1" shapeId="0" xr:uid="{00000000-0006-0000-0100-000075070000}">
      <text>
        <r>
          <rPr>
            <sz val="11"/>
            <color theme="1"/>
            <rFont val="Calibri"/>
            <family val="2"/>
            <scheme val="minor"/>
          </rPr>
          <t>Introduzca un número con dos decimales como máximo</t>
        </r>
      </text>
    </comment>
    <comment ref="F2009" authorId="1" shapeId="0" xr:uid="{00000000-0006-0000-0100-000076070000}">
      <text>
        <r>
          <rPr>
            <sz val="11"/>
            <color theme="1"/>
            <rFont val="Calibri"/>
            <family val="2"/>
            <scheme val="minor"/>
          </rPr>
          <t>Monto calculado automáticamente por el sistema</t>
        </r>
      </text>
    </comment>
    <comment ref="A2039" authorId="1" shapeId="0" xr:uid="{00000000-0006-0000-0100-000077070000}">
      <text>
        <r>
          <rPr>
            <sz val="11"/>
            <color theme="1"/>
            <rFont val="Calibri"/>
            <family val="2"/>
            <scheme val="minor"/>
          </rPr>
          <t>Introducir un texto con el nombre o referencia de la contratación</t>
        </r>
      </text>
    </comment>
    <comment ref="B2039" authorId="1" shapeId="0" xr:uid="{00000000-0006-0000-0100-000078070000}">
      <text>
        <r>
          <rPr>
            <sz val="11"/>
            <color theme="1"/>
            <rFont val="Calibri"/>
            <family val="2"/>
            <scheme val="minor"/>
          </rPr>
          <t>Introduzca un texto con la finalidad de la contratación</t>
        </r>
      </text>
    </comment>
    <comment ref="C2039" authorId="1" shapeId="0" xr:uid="{00000000-0006-0000-0100-000079070000}">
      <text>
        <r>
          <rPr>
            <sz val="11"/>
            <color theme="1"/>
            <rFont val="Calibri"/>
            <family val="2"/>
            <scheme val="minor"/>
          </rPr>
          <t>Seleccionar un valor del listado</t>
        </r>
      </text>
    </comment>
    <comment ref="D2039" authorId="1" shapeId="0" xr:uid="{00000000-0006-0000-0100-00007A070000}">
      <text>
        <r>
          <rPr>
            <sz val="11"/>
            <color theme="1"/>
            <rFont val="Calibri"/>
            <family val="2"/>
            <scheme val="minor"/>
          </rPr>
          <t>Seleccione el tipo de procedimiento</t>
        </r>
      </text>
    </comment>
    <comment ref="E2039" authorId="1" shapeId="0" xr:uid="{00000000-0006-0000-0100-00007B070000}">
      <text>
        <r>
          <rPr>
            <sz val="11"/>
            <color theme="1"/>
            <rFont val="Calibri"/>
            <family val="2"/>
            <scheme val="minor"/>
          </rPr>
          <t>Seleccione un valor de la lista</t>
        </r>
      </text>
    </comment>
    <comment ref="F2039" authorId="1" shapeId="0" xr:uid="{00000000-0006-0000-0100-00007C070000}">
      <text>
        <r>
          <rPr>
            <sz val="11"/>
            <color theme="1"/>
            <rFont val="Calibri"/>
            <family val="2"/>
            <scheme val="minor"/>
          </rPr>
          <t>Introduzca el código SNIP</t>
        </r>
      </text>
    </comment>
    <comment ref="C2040" authorId="1" shapeId="0" xr:uid="{00000000-0006-0000-0100-00007D070000}">
      <text>
        <r>
          <rPr>
            <sz val="11"/>
            <color theme="1"/>
            <rFont val="Calibri"/>
            <family val="2"/>
            <scheme val="minor"/>
          </rPr>
          <t>Introduzca la fecha de inicio del proceso, en formato dd-mm-aaaa</t>
        </r>
      </text>
    </comment>
    <comment ref="F2040" authorId="1" shapeId="0" xr:uid="{00000000-0006-0000-0100-00007F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41" authorId="1" shapeId="0" xr:uid="{00000000-0006-0000-0100-000080070000}">
      <text/>
    </comment>
    <comment ref="C2042" authorId="1" shapeId="0" xr:uid="{00000000-0006-0000-0100-00007E070000}">
      <text>
        <r>
          <rPr>
            <sz val="11"/>
            <color theme="1"/>
            <rFont val="Calibri"/>
            <family val="2"/>
            <scheme val="minor"/>
          </rPr>
          <t>Introduzca la fecha prevista de adjudicación, en formato dd-mm-aaaa</t>
        </r>
      </text>
    </comment>
    <comment ref="F2042" authorId="1" shapeId="0" xr:uid="{00000000-0006-0000-0100-000081070000}">
      <text/>
    </comment>
    <comment ref="F2043" authorId="1" shapeId="0" xr:uid="{00000000-0006-0000-0100-000082070000}">
      <text/>
    </comment>
    <comment ref="A2045" authorId="1" shapeId="0" xr:uid="{00000000-0006-0000-0100-000083070000}">
      <text>
        <r>
          <rPr>
            <sz val="11"/>
            <color theme="1"/>
            <rFont val="Calibri"/>
            <family val="2"/>
            <scheme val="minor"/>
          </rPr>
          <t>Introduzca un codigo UNSPSC</t>
        </r>
      </text>
    </comment>
    <comment ref="B2045" authorId="1" shapeId="0" xr:uid="{00000000-0006-0000-0100-000084070000}">
      <text>
        <r>
          <rPr>
            <sz val="11"/>
            <color theme="1"/>
            <rFont val="Calibri"/>
            <family val="2"/>
            <scheme val="minor"/>
          </rPr>
          <t>Descripción calculada automáticamente a partir de código del artículo</t>
        </r>
      </text>
    </comment>
    <comment ref="C2045" authorId="1" shapeId="0" xr:uid="{00000000-0006-0000-0100-000085070000}">
      <text>
        <r>
          <rPr>
            <sz val="11"/>
            <color theme="1"/>
            <rFont val="Calibri"/>
            <family val="2"/>
            <scheme val="minor"/>
          </rPr>
          <t>Seleccione un valor de la lista</t>
        </r>
      </text>
    </comment>
    <comment ref="D2045" authorId="1" shapeId="0" xr:uid="{00000000-0006-0000-0100-000086070000}">
      <text>
        <r>
          <rPr>
            <sz val="11"/>
            <color theme="1"/>
            <rFont val="Calibri"/>
            <family val="2"/>
            <scheme val="minor"/>
          </rPr>
          <t>Introduzca un número con dos decimales como máximo. Debe ser igual o mayor a la "Cantidad Real Consumida"</t>
        </r>
      </text>
    </comment>
    <comment ref="E2045" authorId="1" shapeId="0" xr:uid="{00000000-0006-0000-0100-000087070000}">
      <text>
        <r>
          <rPr>
            <sz val="11"/>
            <color theme="1"/>
            <rFont val="Calibri"/>
            <family val="2"/>
            <scheme val="minor"/>
          </rPr>
          <t>Introduzca un número con dos decimales como máximo</t>
        </r>
      </text>
    </comment>
    <comment ref="F2045" authorId="1" shapeId="0" xr:uid="{00000000-0006-0000-0100-000088070000}">
      <text>
        <r>
          <rPr>
            <sz val="11"/>
            <color theme="1"/>
            <rFont val="Calibri"/>
            <family val="2"/>
            <scheme val="minor"/>
          </rPr>
          <t>Monto calculado automáticamente por el sistema</t>
        </r>
      </text>
    </comment>
    <comment ref="A2055" authorId="1" shapeId="0" xr:uid="{00000000-0006-0000-0100-000089070000}">
      <text>
        <r>
          <rPr>
            <sz val="11"/>
            <color theme="1"/>
            <rFont val="Calibri"/>
            <family val="2"/>
            <scheme val="minor"/>
          </rPr>
          <t>Introducir un texto con el nombre o referencia de la contratación</t>
        </r>
      </text>
    </comment>
    <comment ref="B2055" authorId="1" shapeId="0" xr:uid="{00000000-0006-0000-0100-00008A070000}">
      <text>
        <r>
          <rPr>
            <sz val="11"/>
            <color theme="1"/>
            <rFont val="Calibri"/>
            <family val="2"/>
            <scheme val="minor"/>
          </rPr>
          <t>Introduzca un texto con la finalidad de la contratación</t>
        </r>
      </text>
    </comment>
    <comment ref="C2055" authorId="1" shapeId="0" xr:uid="{00000000-0006-0000-0100-00008B070000}">
      <text>
        <r>
          <rPr>
            <sz val="11"/>
            <color theme="1"/>
            <rFont val="Calibri"/>
            <family val="2"/>
            <scheme val="minor"/>
          </rPr>
          <t>Seleccionar un valor del listado</t>
        </r>
      </text>
    </comment>
    <comment ref="D2055" authorId="1" shapeId="0" xr:uid="{00000000-0006-0000-0100-00008C070000}">
      <text>
        <r>
          <rPr>
            <sz val="11"/>
            <color theme="1"/>
            <rFont val="Calibri"/>
            <family val="2"/>
            <scheme val="minor"/>
          </rPr>
          <t>Seleccione el tipo de procedimiento</t>
        </r>
      </text>
    </comment>
    <comment ref="E2055" authorId="1" shapeId="0" xr:uid="{00000000-0006-0000-0100-00008D070000}">
      <text>
        <r>
          <rPr>
            <sz val="11"/>
            <color theme="1"/>
            <rFont val="Calibri"/>
            <family val="2"/>
            <scheme val="minor"/>
          </rPr>
          <t>Seleccione un valor de la lista</t>
        </r>
      </text>
    </comment>
    <comment ref="F2055" authorId="1" shapeId="0" xr:uid="{00000000-0006-0000-0100-00008E070000}">
      <text>
        <r>
          <rPr>
            <sz val="11"/>
            <color theme="1"/>
            <rFont val="Calibri"/>
            <family val="2"/>
            <scheme val="minor"/>
          </rPr>
          <t>Introduzca el código SNIP</t>
        </r>
      </text>
    </comment>
    <comment ref="C2056" authorId="1" shapeId="0" xr:uid="{00000000-0006-0000-0100-00008F070000}">
      <text>
        <r>
          <rPr>
            <sz val="11"/>
            <color theme="1"/>
            <rFont val="Calibri"/>
            <family val="2"/>
            <scheme val="minor"/>
          </rPr>
          <t>Introduzca la fecha de inicio del proceso, en formato dd-mm-aaaa</t>
        </r>
      </text>
    </comment>
    <comment ref="F2056" authorId="1" shapeId="0" xr:uid="{00000000-0006-0000-0100-000091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57" authorId="1" shapeId="0" xr:uid="{00000000-0006-0000-0100-000092070000}">
      <text/>
    </comment>
    <comment ref="C2058" authorId="1" shapeId="0" xr:uid="{00000000-0006-0000-0100-000090070000}">
      <text>
        <r>
          <rPr>
            <sz val="11"/>
            <color theme="1"/>
            <rFont val="Calibri"/>
            <family val="2"/>
            <scheme val="minor"/>
          </rPr>
          <t>Introduzca la fecha prevista de adjudicación, en formato dd-mm-aaaa</t>
        </r>
      </text>
    </comment>
    <comment ref="F2058" authorId="1" shapeId="0" xr:uid="{00000000-0006-0000-0100-000093070000}">
      <text/>
    </comment>
    <comment ref="F2059" authorId="1" shapeId="0" xr:uid="{00000000-0006-0000-0100-000094070000}">
      <text/>
    </comment>
    <comment ref="A2061" authorId="1" shapeId="0" xr:uid="{00000000-0006-0000-0100-000095070000}">
      <text>
        <r>
          <rPr>
            <sz val="11"/>
            <color theme="1"/>
            <rFont val="Calibri"/>
            <family val="2"/>
            <scheme val="minor"/>
          </rPr>
          <t>Introduzca un codigo UNSPSC</t>
        </r>
      </text>
    </comment>
    <comment ref="B2061" authorId="1" shapeId="0" xr:uid="{00000000-0006-0000-0100-000096070000}">
      <text>
        <r>
          <rPr>
            <sz val="11"/>
            <color theme="1"/>
            <rFont val="Calibri"/>
            <family val="2"/>
            <scheme val="minor"/>
          </rPr>
          <t>Descripción calculada automáticamente a partir de código del artículo</t>
        </r>
      </text>
    </comment>
    <comment ref="C2061" authorId="1" shapeId="0" xr:uid="{00000000-0006-0000-0100-000097070000}">
      <text>
        <r>
          <rPr>
            <sz val="11"/>
            <color theme="1"/>
            <rFont val="Calibri"/>
            <family val="2"/>
            <scheme val="minor"/>
          </rPr>
          <t>Seleccione un valor de la lista</t>
        </r>
      </text>
    </comment>
    <comment ref="D2061" authorId="1" shapeId="0" xr:uid="{00000000-0006-0000-0100-000098070000}">
      <text>
        <r>
          <rPr>
            <sz val="11"/>
            <color theme="1"/>
            <rFont val="Calibri"/>
            <family val="2"/>
            <scheme val="minor"/>
          </rPr>
          <t>Introduzca un número con dos decimales como máximo. Debe ser igual o mayor a la "Cantidad Real Consumida"</t>
        </r>
      </text>
    </comment>
    <comment ref="E2061" authorId="1" shapeId="0" xr:uid="{00000000-0006-0000-0100-000099070000}">
      <text>
        <r>
          <rPr>
            <sz val="11"/>
            <color theme="1"/>
            <rFont val="Calibri"/>
            <family val="2"/>
            <scheme val="minor"/>
          </rPr>
          <t>Introduzca un número con dos decimales como máximo</t>
        </r>
      </text>
    </comment>
    <comment ref="F2061" authorId="1" shapeId="0" xr:uid="{00000000-0006-0000-0100-00009A070000}">
      <text>
        <r>
          <rPr>
            <sz val="11"/>
            <color theme="1"/>
            <rFont val="Calibri"/>
            <family val="2"/>
            <scheme val="minor"/>
          </rPr>
          <t>Monto calculado automáticamente por el sistema</t>
        </r>
      </text>
    </comment>
    <comment ref="A2067" authorId="1" shapeId="0" xr:uid="{00000000-0006-0000-0100-00009B070000}">
      <text>
        <r>
          <rPr>
            <sz val="11"/>
            <color theme="1"/>
            <rFont val="Calibri"/>
            <family val="2"/>
            <scheme val="minor"/>
          </rPr>
          <t>Introducir un texto con el nombre o referencia de la contratación</t>
        </r>
      </text>
    </comment>
    <comment ref="B2067" authorId="1" shapeId="0" xr:uid="{00000000-0006-0000-0100-00009C070000}">
      <text>
        <r>
          <rPr>
            <sz val="11"/>
            <color theme="1"/>
            <rFont val="Calibri"/>
            <family val="2"/>
            <scheme val="minor"/>
          </rPr>
          <t>Introduzca un texto con la finalidad de la contratación</t>
        </r>
      </text>
    </comment>
    <comment ref="C2067" authorId="1" shapeId="0" xr:uid="{00000000-0006-0000-0100-00009D070000}">
      <text>
        <r>
          <rPr>
            <sz val="11"/>
            <color theme="1"/>
            <rFont val="Calibri"/>
            <family val="2"/>
            <scheme val="minor"/>
          </rPr>
          <t>Seleccionar un valor del listado</t>
        </r>
      </text>
    </comment>
    <comment ref="D2067" authorId="1" shapeId="0" xr:uid="{00000000-0006-0000-0100-00009E070000}">
      <text>
        <r>
          <rPr>
            <sz val="11"/>
            <color theme="1"/>
            <rFont val="Calibri"/>
            <family val="2"/>
            <scheme val="minor"/>
          </rPr>
          <t>Seleccione el tipo de procedimiento</t>
        </r>
      </text>
    </comment>
    <comment ref="E2067" authorId="1" shapeId="0" xr:uid="{00000000-0006-0000-0100-00009F070000}">
      <text>
        <r>
          <rPr>
            <sz val="11"/>
            <color theme="1"/>
            <rFont val="Calibri"/>
            <family val="2"/>
            <scheme val="minor"/>
          </rPr>
          <t>Seleccione un valor de la lista</t>
        </r>
      </text>
    </comment>
    <comment ref="F2067" authorId="1" shapeId="0" xr:uid="{00000000-0006-0000-0100-0000A0070000}">
      <text>
        <r>
          <rPr>
            <sz val="11"/>
            <color theme="1"/>
            <rFont val="Calibri"/>
            <family val="2"/>
            <scheme val="minor"/>
          </rPr>
          <t>Introduzca el código SNIP</t>
        </r>
      </text>
    </comment>
    <comment ref="C2068" authorId="1" shapeId="0" xr:uid="{00000000-0006-0000-0100-0000A1070000}">
      <text>
        <r>
          <rPr>
            <sz val="11"/>
            <color theme="1"/>
            <rFont val="Calibri"/>
            <family val="2"/>
            <scheme val="minor"/>
          </rPr>
          <t>Introduzca la fecha de inicio del proceso, en formato dd-mm-aaaa</t>
        </r>
      </text>
    </comment>
    <comment ref="F2068" authorId="1" shapeId="0" xr:uid="{00000000-0006-0000-0100-0000A3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69" authorId="1" shapeId="0" xr:uid="{00000000-0006-0000-0100-0000A4070000}">
      <text/>
    </comment>
    <comment ref="C2070" authorId="1" shapeId="0" xr:uid="{00000000-0006-0000-0100-0000A2070000}">
      <text>
        <r>
          <rPr>
            <sz val="11"/>
            <color theme="1"/>
            <rFont val="Calibri"/>
            <family val="2"/>
            <scheme val="minor"/>
          </rPr>
          <t>Introduzca la fecha prevista de adjudicación, en formato dd-mm-aaaa</t>
        </r>
      </text>
    </comment>
    <comment ref="F2070" authorId="1" shapeId="0" xr:uid="{00000000-0006-0000-0100-0000A5070000}">
      <text/>
    </comment>
    <comment ref="F2071" authorId="1" shapeId="0" xr:uid="{00000000-0006-0000-0100-0000A6070000}">
      <text/>
    </comment>
    <comment ref="A2073" authorId="1" shapeId="0" xr:uid="{00000000-0006-0000-0100-0000A7070000}">
      <text>
        <r>
          <rPr>
            <sz val="11"/>
            <color theme="1"/>
            <rFont val="Calibri"/>
            <family val="2"/>
            <scheme val="minor"/>
          </rPr>
          <t>Introduzca un codigo UNSPSC</t>
        </r>
      </text>
    </comment>
    <comment ref="B2073" authorId="1" shapeId="0" xr:uid="{00000000-0006-0000-0100-0000A8070000}">
      <text>
        <r>
          <rPr>
            <sz val="11"/>
            <color theme="1"/>
            <rFont val="Calibri"/>
            <family val="2"/>
            <scheme val="minor"/>
          </rPr>
          <t>Descripción calculada automáticamente a partir de código del artículo</t>
        </r>
      </text>
    </comment>
    <comment ref="C2073" authorId="1" shapeId="0" xr:uid="{00000000-0006-0000-0100-0000A9070000}">
      <text>
        <r>
          <rPr>
            <sz val="11"/>
            <color theme="1"/>
            <rFont val="Calibri"/>
            <family val="2"/>
            <scheme val="minor"/>
          </rPr>
          <t>Seleccione un valor de la lista</t>
        </r>
      </text>
    </comment>
    <comment ref="D2073" authorId="1" shapeId="0" xr:uid="{00000000-0006-0000-0100-0000AA070000}">
      <text>
        <r>
          <rPr>
            <sz val="11"/>
            <color theme="1"/>
            <rFont val="Calibri"/>
            <family val="2"/>
            <scheme val="minor"/>
          </rPr>
          <t>Introduzca un número con dos decimales como máximo. Debe ser igual o mayor a la "Cantidad Real Consumida"</t>
        </r>
      </text>
    </comment>
    <comment ref="E2073" authorId="1" shapeId="0" xr:uid="{00000000-0006-0000-0100-0000AB070000}">
      <text>
        <r>
          <rPr>
            <sz val="11"/>
            <color theme="1"/>
            <rFont val="Calibri"/>
            <family val="2"/>
            <scheme val="minor"/>
          </rPr>
          <t>Introduzca un número con dos decimales como máximo</t>
        </r>
      </text>
    </comment>
    <comment ref="F2073" authorId="1" shapeId="0" xr:uid="{00000000-0006-0000-0100-0000AC070000}">
      <text>
        <r>
          <rPr>
            <sz val="11"/>
            <color theme="1"/>
            <rFont val="Calibri"/>
            <family val="2"/>
            <scheme val="minor"/>
          </rPr>
          <t>Monto calculado automáticamente por el sistema</t>
        </r>
      </text>
    </comment>
    <comment ref="A2081" authorId="1" shapeId="0" xr:uid="{00000000-0006-0000-0100-0000AD070000}">
      <text>
        <r>
          <rPr>
            <sz val="11"/>
            <color theme="1"/>
            <rFont val="Calibri"/>
            <family val="2"/>
            <scheme val="minor"/>
          </rPr>
          <t>Introducir un texto con el nombre o referencia de la contratación</t>
        </r>
      </text>
    </comment>
    <comment ref="B2081" authorId="1" shapeId="0" xr:uid="{00000000-0006-0000-0100-0000AE070000}">
      <text>
        <r>
          <rPr>
            <sz val="11"/>
            <color theme="1"/>
            <rFont val="Calibri"/>
            <family val="2"/>
            <scheme val="minor"/>
          </rPr>
          <t>Introduzca un texto con la finalidad de la contratación</t>
        </r>
      </text>
    </comment>
    <comment ref="C2081" authorId="1" shapeId="0" xr:uid="{00000000-0006-0000-0100-0000AF070000}">
      <text>
        <r>
          <rPr>
            <sz val="11"/>
            <color theme="1"/>
            <rFont val="Calibri"/>
            <family val="2"/>
            <scheme val="minor"/>
          </rPr>
          <t>Seleccionar un valor del listado</t>
        </r>
      </text>
    </comment>
    <comment ref="D2081" authorId="1" shapeId="0" xr:uid="{00000000-0006-0000-0100-0000B0070000}">
      <text>
        <r>
          <rPr>
            <sz val="11"/>
            <color theme="1"/>
            <rFont val="Calibri"/>
            <family val="2"/>
            <scheme val="minor"/>
          </rPr>
          <t>Seleccione el tipo de procedimiento</t>
        </r>
      </text>
    </comment>
    <comment ref="E2081" authorId="1" shapeId="0" xr:uid="{00000000-0006-0000-0100-0000B1070000}">
      <text>
        <r>
          <rPr>
            <sz val="11"/>
            <color theme="1"/>
            <rFont val="Calibri"/>
            <family val="2"/>
            <scheme val="minor"/>
          </rPr>
          <t>Seleccione un valor de la lista</t>
        </r>
      </text>
    </comment>
    <comment ref="F2081" authorId="1" shapeId="0" xr:uid="{00000000-0006-0000-0100-0000B2070000}">
      <text>
        <r>
          <rPr>
            <sz val="11"/>
            <color theme="1"/>
            <rFont val="Calibri"/>
            <family val="2"/>
            <scheme val="minor"/>
          </rPr>
          <t>Introduzca el código SNIP</t>
        </r>
      </text>
    </comment>
    <comment ref="C2082" authorId="1" shapeId="0" xr:uid="{00000000-0006-0000-0100-0000B3070000}">
      <text>
        <r>
          <rPr>
            <sz val="11"/>
            <color theme="1"/>
            <rFont val="Calibri"/>
            <family val="2"/>
            <scheme val="minor"/>
          </rPr>
          <t>Introduzca la fecha de inicio del proceso, en formato dd-mm-aaaa</t>
        </r>
      </text>
    </comment>
    <comment ref="F2082" authorId="1" shapeId="0" xr:uid="{00000000-0006-0000-0100-0000B5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83" authorId="1" shapeId="0" xr:uid="{00000000-0006-0000-0100-0000B6070000}">
      <text/>
    </comment>
    <comment ref="C2084" authorId="1" shapeId="0" xr:uid="{00000000-0006-0000-0100-0000B4070000}">
      <text>
        <r>
          <rPr>
            <sz val="11"/>
            <color theme="1"/>
            <rFont val="Calibri"/>
            <family val="2"/>
            <scheme val="minor"/>
          </rPr>
          <t>Introduzca la fecha prevista de adjudicación, en formato dd-mm-aaaa</t>
        </r>
      </text>
    </comment>
    <comment ref="F2084" authorId="1" shapeId="0" xr:uid="{00000000-0006-0000-0100-0000B7070000}">
      <text/>
    </comment>
    <comment ref="F2085" authorId="1" shapeId="0" xr:uid="{00000000-0006-0000-0100-0000B8070000}">
      <text/>
    </comment>
    <comment ref="A2087" authorId="1" shapeId="0" xr:uid="{00000000-0006-0000-0100-0000B9070000}">
      <text>
        <r>
          <rPr>
            <sz val="11"/>
            <color theme="1"/>
            <rFont val="Calibri"/>
            <family val="2"/>
            <scheme val="minor"/>
          </rPr>
          <t>Introduzca un codigo UNSPSC</t>
        </r>
      </text>
    </comment>
    <comment ref="B2087" authorId="1" shapeId="0" xr:uid="{00000000-0006-0000-0100-0000BA070000}">
      <text>
        <r>
          <rPr>
            <sz val="11"/>
            <color theme="1"/>
            <rFont val="Calibri"/>
            <family val="2"/>
            <scheme val="minor"/>
          </rPr>
          <t>Descripción calculada automáticamente a partir de código del artículo</t>
        </r>
      </text>
    </comment>
    <comment ref="C2087" authorId="1" shapeId="0" xr:uid="{00000000-0006-0000-0100-0000BB070000}">
      <text>
        <r>
          <rPr>
            <sz val="11"/>
            <color theme="1"/>
            <rFont val="Calibri"/>
            <family val="2"/>
            <scheme val="minor"/>
          </rPr>
          <t>Seleccione un valor de la lista</t>
        </r>
      </text>
    </comment>
    <comment ref="D2087" authorId="1" shapeId="0" xr:uid="{00000000-0006-0000-0100-0000BC070000}">
      <text>
        <r>
          <rPr>
            <sz val="11"/>
            <color theme="1"/>
            <rFont val="Calibri"/>
            <family val="2"/>
            <scheme val="minor"/>
          </rPr>
          <t>Introduzca un número con dos decimales como máximo. Debe ser igual o mayor a la "Cantidad Real Consumida"</t>
        </r>
      </text>
    </comment>
    <comment ref="E2087" authorId="1" shapeId="0" xr:uid="{00000000-0006-0000-0100-0000BD070000}">
      <text>
        <r>
          <rPr>
            <sz val="11"/>
            <color theme="1"/>
            <rFont val="Calibri"/>
            <family val="2"/>
            <scheme val="minor"/>
          </rPr>
          <t>Introduzca un número con dos decimales como máximo</t>
        </r>
      </text>
    </comment>
    <comment ref="F2087" authorId="1" shapeId="0" xr:uid="{00000000-0006-0000-0100-0000BE070000}">
      <text>
        <r>
          <rPr>
            <sz val="11"/>
            <color theme="1"/>
            <rFont val="Calibri"/>
            <family val="2"/>
            <scheme val="minor"/>
          </rPr>
          <t>Monto calculado automáticamente por el sistema</t>
        </r>
      </text>
    </comment>
    <comment ref="A2096" authorId="1" shapeId="0" xr:uid="{00000000-0006-0000-0100-0000BF070000}">
      <text>
        <r>
          <rPr>
            <sz val="11"/>
            <color theme="1"/>
            <rFont val="Calibri"/>
            <family val="2"/>
            <scheme val="minor"/>
          </rPr>
          <t>Introducir un texto con el nombre o referencia de la contratación</t>
        </r>
      </text>
    </comment>
    <comment ref="B2096" authorId="1" shapeId="0" xr:uid="{00000000-0006-0000-0100-0000C0070000}">
      <text>
        <r>
          <rPr>
            <sz val="11"/>
            <color theme="1"/>
            <rFont val="Calibri"/>
            <family val="2"/>
            <scheme val="minor"/>
          </rPr>
          <t>Introduzca un texto con la finalidad de la contratación</t>
        </r>
      </text>
    </comment>
    <comment ref="C2096" authorId="1" shapeId="0" xr:uid="{00000000-0006-0000-0100-0000C1070000}">
      <text>
        <r>
          <rPr>
            <sz val="11"/>
            <color theme="1"/>
            <rFont val="Calibri"/>
            <family val="2"/>
            <scheme val="minor"/>
          </rPr>
          <t>Seleccionar un valor del listado</t>
        </r>
      </text>
    </comment>
    <comment ref="D2096" authorId="1" shapeId="0" xr:uid="{00000000-0006-0000-0100-0000C2070000}">
      <text>
        <r>
          <rPr>
            <sz val="11"/>
            <color theme="1"/>
            <rFont val="Calibri"/>
            <family val="2"/>
            <scheme val="minor"/>
          </rPr>
          <t>Seleccione el tipo de procedimiento</t>
        </r>
      </text>
    </comment>
    <comment ref="E2096" authorId="1" shapeId="0" xr:uid="{00000000-0006-0000-0100-0000C3070000}">
      <text>
        <r>
          <rPr>
            <sz val="11"/>
            <color theme="1"/>
            <rFont val="Calibri"/>
            <family val="2"/>
            <scheme val="minor"/>
          </rPr>
          <t>Seleccione un valor de la lista</t>
        </r>
      </text>
    </comment>
    <comment ref="F2096" authorId="1" shapeId="0" xr:uid="{00000000-0006-0000-0100-0000C4070000}">
      <text>
        <r>
          <rPr>
            <sz val="11"/>
            <color theme="1"/>
            <rFont val="Calibri"/>
            <family val="2"/>
            <scheme val="minor"/>
          </rPr>
          <t>Introduzca el código SNIP</t>
        </r>
      </text>
    </comment>
    <comment ref="C2097" authorId="1" shapeId="0" xr:uid="{00000000-0006-0000-0100-0000C5070000}">
      <text>
        <r>
          <rPr>
            <sz val="11"/>
            <color theme="1"/>
            <rFont val="Calibri"/>
            <family val="2"/>
            <scheme val="minor"/>
          </rPr>
          <t>Introduzca la fecha de inicio del proceso, en formato dd-mm-aaaa</t>
        </r>
      </text>
    </comment>
    <comment ref="F2097" authorId="1" shapeId="0" xr:uid="{00000000-0006-0000-0100-0000C7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98" authorId="1" shapeId="0" xr:uid="{00000000-0006-0000-0100-0000C8070000}">
      <text/>
    </comment>
    <comment ref="C2099" authorId="1" shapeId="0" xr:uid="{00000000-0006-0000-0100-0000C6070000}">
      <text>
        <r>
          <rPr>
            <sz val="11"/>
            <color theme="1"/>
            <rFont val="Calibri"/>
            <family val="2"/>
            <scheme val="minor"/>
          </rPr>
          <t>Introduzca la fecha prevista de adjudicación, en formato dd-mm-aaaa</t>
        </r>
      </text>
    </comment>
    <comment ref="F2099" authorId="1" shapeId="0" xr:uid="{00000000-0006-0000-0100-0000C9070000}">
      <text/>
    </comment>
    <comment ref="F2100" authorId="1" shapeId="0" xr:uid="{00000000-0006-0000-0100-0000CA070000}">
      <text/>
    </comment>
    <comment ref="A2102" authorId="1" shapeId="0" xr:uid="{00000000-0006-0000-0100-0000CB070000}">
      <text>
        <r>
          <rPr>
            <sz val="11"/>
            <color theme="1"/>
            <rFont val="Calibri"/>
            <family val="2"/>
            <scheme val="minor"/>
          </rPr>
          <t>Introduzca un codigo UNSPSC</t>
        </r>
      </text>
    </comment>
    <comment ref="B2102" authorId="1" shapeId="0" xr:uid="{00000000-0006-0000-0100-0000CC070000}">
      <text>
        <r>
          <rPr>
            <sz val="11"/>
            <color theme="1"/>
            <rFont val="Calibri"/>
            <family val="2"/>
            <scheme val="minor"/>
          </rPr>
          <t>Descripción calculada automáticamente a partir de código del artículo</t>
        </r>
      </text>
    </comment>
    <comment ref="C2102" authorId="1" shapeId="0" xr:uid="{00000000-0006-0000-0100-0000CD070000}">
      <text>
        <r>
          <rPr>
            <sz val="11"/>
            <color theme="1"/>
            <rFont val="Calibri"/>
            <family val="2"/>
            <scheme val="minor"/>
          </rPr>
          <t>Seleccione un valor de la lista</t>
        </r>
      </text>
    </comment>
    <comment ref="D2102" authorId="1" shapeId="0" xr:uid="{00000000-0006-0000-0100-0000CE070000}">
      <text>
        <r>
          <rPr>
            <sz val="11"/>
            <color theme="1"/>
            <rFont val="Calibri"/>
            <family val="2"/>
            <scheme val="minor"/>
          </rPr>
          <t>Introduzca un número con dos decimales como máximo. Debe ser igual o mayor a la "Cantidad Real Consumida"</t>
        </r>
      </text>
    </comment>
    <comment ref="E2102" authorId="1" shapeId="0" xr:uid="{00000000-0006-0000-0100-0000CF070000}">
      <text>
        <r>
          <rPr>
            <sz val="11"/>
            <color theme="1"/>
            <rFont val="Calibri"/>
            <family val="2"/>
            <scheme val="minor"/>
          </rPr>
          <t>Introduzca un número con dos decimales como máximo</t>
        </r>
      </text>
    </comment>
    <comment ref="F2102" authorId="1" shapeId="0" xr:uid="{00000000-0006-0000-0100-0000D0070000}">
      <text>
        <r>
          <rPr>
            <sz val="11"/>
            <color theme="1"/>
            <rFont val="Calibri"/>
            <family val="2"/>
            <scheme val="minor"/>
          </rPr>
          <t>Monto calculado automáticamente por el sistema</t>
        </r>
      </text>
    </comment>
    <comment ref="A2110" authorId="1" shapeId="0" xr:uid="{00000000-0006-0000-0100-0000D1070000}">
      <text>
        <r>
          <rPr>
            <sz val="11"/>
            <color theme="1"/>
            <rFont val="Calibri"/>
            <family val="2"/>
            <scheme val="minor"/>
          </rPr>
          <t>Introducir un texto con el nombre o referencia de la contratación</t>
        </r>
      </text>
    </comment>
    <comment ref="B2110" authorId="1" shapeId="0" xr:uid="{00000000-0006-0000-0100-0000D2070000}">
      <text>
        <r>
          <rPr>
            <sz val="11"/>
            <color theme="1"/>
            <rFont val="Calibri"/>
            <family val="2"/>
            <scheme val="minor"/>
          </rPr>
          <t>Introduzca un texto con la finalidad de la contratación</t>
        </r>
      </text>
    </comment>
    <comment ref="C2110" authorId="1" shapeId="0" xr:uid="{00000000-0006-0000-0100-0000D3070000}">
      <text>
        <r>
          <rPr>
            <sz val="11"/>
            <color theme="1"/>
            <rFont val="Calibri"/>
            <family val="2"/>
            <scheme val="minor"/>
          </rPr>
          <t>Seleccionar un valor del listado</t>
        </r>
      </text>
    </comment>
    <comment ref="D2110" authorId="1" shapeId="0" xr:uid="{00000000-0006-0000-0100-0000D4070000}">
      <text>
        <r>
          <rPr>
            <sz val="11"/>
            <color theme="1"/>
            <rFont val="Calibri"/>
            <family val="2"/>
            <scheme val="minor"/>
          </rPr>
          <t>Seleccione el tipo de procedimiento</t>
        </r>
      </text>
    </comment>
    <comment ref="E2110" authorId="1" shapeId="0" xr:uid="{00000000-0006-0000-0100-0000D5070000}">
      <text>
        <r>
          <rPr>
            <sz val="11"/>
            <color theme="1"/>
            <rFont val="Calibri"/>
            <family val="2"/>
            <scheme val="minor"/>
          </rPr>
          <t>Seleccione un valor de la lista</t>
        </r>
      </text>
    </comment>
    <comment ref="F2110" authorId="1" shapeId="0" xr:uid="{00000000-0006-0000-0100-0000D6070000}">
      <text>
        <r>
          <rPr>
            <sz val="11"/>
            <color theme="1"/>
            <rFont val="Calibri"/>
            <family val="2"/>
            <scheme val="minor"/>
          </rPr>
          <t>Introduzca el código SNIP</t>
        </r>
      </text>
    </comment>
    <comment ref="C2111" authorId="1" shapeId="0" xr:uid="{00000000-0006-0000-0100-0000D7070000}">
      <text>
        <r>
          <rPr>
            <sz val="11"/>
            <color theme="1"/>
            <rFont val="Calibri"/>
            <family val="2"/>
            <scheme val="minor"/>
          </rPr>
          <t>Introduzca la fecha de inicio del proceso, en formato dd-mm-aaaa</t>
        </r>
      </text>
    </comment>
    <comment ref="F2111" authorId="1" shapeId="0" xr:uid="{00000000-0006-0000-0100-0000D9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12" authorId="1" shapeId="0" xr:uid="{00000000-0006-0000-0100-0000DA070000}">
      <text/>
    </comment>
    <comment ref="C2113" authorId="1" shapeId="0" xr:uid="{00000000-0006-0000-0100-0000D8070000}">
      <text>
        <r>
          <rPr>
            <sz val="11"/>
            <color theme="1"/>
            <rFont val="Calibri"/>
            <family val="2"/>
            <scheme val="minor"/>
          </rPr>
          <t>Introduzca la fecha prevista de adjudicación, en formato dd-mm-aaaa</t>
        </r>
      </text>
    </comment>
    <comment ref="F2113" authorId="1" shapeId="0" xr:uid="{00000000-0006-0000-0100-0000DB070000}">
      <text/>
    </comment>
    <comment ref="F2114" authorId="1" shapeId="0" xr:uid="{00000000-0006-0000-0100-0000DC070000}">
      <text/>
    </comment>
    <comment ref="A2116" authorId="1" shapeId="0" xr:uid="{00000000-0006-0000-0100-0000DD070000}">
      <text>
        <r>
          <rPr>
            <sz val="11"/>
            <color theme="1"/>
            <rFont val="Calibri"/>
            <family val="2"/>
            <scheme val="minor"/>
          </rPr>
          <t>Introduzca un codigo UNSPSC</t>
        </r>
      </text>
    </comment>
    <comment ref="B2116" authorId="1" shapeId="0" xr:uid="{00000000-0006-0000-0100-0000DE070000}">
      <text>
        <r>
          <rPr>
            <sz val="11"/>
            <color theme="1"/>
            <rFont val="Calibri"/>
            <family val="2"/>
            <scheme val="minor"/>
          </rPr>
          <t>Descripción calculada automáticamente a partir de código del artículo</t>
        </r>
      </text>
    </comment>
    <comment ref="C2116" authorId="1" shapeId="0" xr:uid="{00000000-0006-0000-0100-0000DF070000}">
      <text>
        <r>
          <rPr>
            <sz val="11"/>
            <color theme="1"/>
            <rFont val="Calibri"/>
            <family val="2"/>
            <scheme val="minor"/>
          </rPr>
          <t>Seleccione un valor de la lista</t>
        </r>
      </text>
    </comment>
    <comment ref="D2116" authorId="1" shapeId="0" xr:uid="{00000000-0006-0000-0100-0000E0070000}">
      <text>
        <r>
          <rPr>
            <sz val="11"/>
            <color theme="1"/>
            <rFont val="Calibri"/>
            <family val="2"/>
            <scheme val="minor"/>
          </rPr>
          <t>Introduzca un número con dos decimales como máximo. Debe ser igual o mayor a la "Cantidad Real Consumida"</t>
        </r>
      </text>
    </comment>
    <comment ref="E2116" authorId="1" shapeId="0" xr:uid="{00000000-0006-0000-0100-0000E1070000}">
      <text>
        <r>
          <rPr>
            <sz val="11"/>
            <color theme="1"/>
            <rFont val="Calibri"/>
            <family val="2"/>
            <scheme val="minor"/>
          </rPr>
          <t>Introduzca un número con dos decimales como máximo</t>
        </r>
      </text>
    </comment>
    <comment ref="F2116" authorId="1" shapeId="0" xr:uid="{00000000-0006-0000-0100-0000E2070000}">
      <text>
        <r>
          <rPr>
            <sz val="11"/>
            <color theme="1"/>
            <rFont val="Calibri"/>
            <family val="2"/>
            <scheme val="minor"/>
          </rPr>
          <t>Monto calculado automáticamente por el sistema</t>
        </r>
      </text>
    </comment>
    <comment ref="A2124" authorId="1" shapeId="0" xr:uid="{00000000-0006-0000-0100-0000E3070000}">
      <text>
        <r>
          <rPr>
            <sz val="11"/>
            <color theme="1"/>
            <rFont val="Calibri"/>
            <family val="2"/>
            <scheme val="minor"/>
          </rPr>
          <t>Introducir un texto con el nombre o referencia de la contratación</t>
        </r>
      </text>
    </comment>
    <comment ref="B2124" authorId="1" shapeId="0" xr:uid="{00000000-0006-0000-0100-0000E4070000}">
      <text>
        <r>
          <rPr>
            <sz val="11"/>
            <color theme="1"/>
            <rFont val="Calibri"/>
            <family val="2"/>
            <scheme val="minor"/>
          </rPr>
          <t>Introduzca un texto con la finalidad de la contratación</t>
        </r>
      </text>
    </comment>
    <comment ref="C2124" authorId="1" shapeId="0" xr:uid="{00000000-0006-0000-0100-0000E5070000}">
      <text>
        <r>
          <rPr>
            <sz val="11"/>
            <color theme="1"/>
            <rFont val="Calibri"/>
            <family val="2"/>
            <scheme val="minor"/>
          </rPr>
          <t>Seleccionar un valor del listado</t>
        </r>
      </text>
    </comment>
    <comment ref="D2124" authorId="1" shapeId="0" xr:uid="{00000000-0006-0000-0100-0000E6070000}">
      <text>
        <r>
          <rPr>
            <sz val="11"/>
            <color theme="1"/>
            <rFont val="Calibri"/>
            <family val="2"/>
            <scheme val="minor"/>
          </rPr>
          <t>Seleccione el tipo de procedimiento</t>
        </r>
      </text>
    </comment>
    <comment ref="E2124" authorId="1" shapeId="0" xr:uid="{00000000-0006-0000-0100-0000E7070000}">
      <text>
        <r>
          <rPr>
            <sz val="11"/>
            <color theme="1"/>
            <rFont val="Calibri"/>
            <family val="2"/>
            <scheme val="minor"/>
          </rPr>
          <t>Seleccione un valor de la lista</t>
        </r>
      </text>
    </comment>
    <comment ref="F2124" authorId="1" shapeId="0" xr:uid="{00000000-0006-0000-0100-0000E8070000}">
      <text>
        <r>
          <rPr>
            <sz val="11"/>
            <color theme="1"/>
            <rFont val="Calibri"/>
            <family val="2"/>
            <scheme val="minor"/>
          </rPr>
          <t>Introduzca el código SNIP</t>
        </r>
      </text>
    </comment>
    <comment ref="C2125" authorId="1" shapeId="0" xr:uid="{00000000-0006-0000-0100-0000E9070000}">
      <text>
        <r>
          <rPr>
            <sz val="11"/>
            <color theme="1"/>
            <rFont val="Calibri"/>
            <family val="2"/>
            <scheme val="minor"/>
          </rPr>
          <t>Introduzca la fecha de inicio del proceso, en formato dd-mm-aaaa</t>
        </r>
      </text>
    </comment>
    <comment ref="F2125" authorId="1" shapeId="0" xr:uid="{00000000-0006-0000-0100-0000EB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26" authorId="1" shapeId="0" xr:uid="{00000000-0006-0000-0100-0000EC070000}">
      <text/>
    </comment>
    <comment ref="C2127" authorId="1" shapeId="0" xr:uid="{00000000-0006-0000-0100-0000EA070000}">
      <text>
        <r>
          <rPr>
            <sz val="11"/>
            <color theme="1"/>
            <rFont val="Calibri"/>
            <family val="2"/>
            <scheme val="minor"/>
          </rPr>
          <t>Introduzca la fecha prevista de adjudicación, en formato dd-mm-aaaa</t>
        </r>
      </text>
    </comment>
    <comment ref="F2127" authorId="1" shapeId="0" xr:uid="{00000000-0006-0000-0100-0000ED070000}">
      <text/>
    </comment>
    <comment ref="F2128" authorId="1" shapeId="0" xr:uid="{00000000-0006-0000-0100-0000EE070000}">
      <text/>
    </comment>
    <comment ref="A2130" authorId="1" shapeId="0" xr:uid="{00000000-0006-0000-0100-0000EF070000}">
      <text>
        <r>
          <rPr>
            <sz val="11"/>
            <color theme="1"/>
            <rFont val="Calibri"/>
            <family val="2"/>
            <scheme val="minor"/>
          </rPr>
          <t>Introduzca un codigo UNSPSC</t>
        </r>
      </text>
    </comment>
    <comment ref="B2130" authorId="1" shapeId="0" xr:uid="{00000000-0006-0000-0100-0000F0070000}">
      <text>
        <r>
          <rPr>
            <sz val="11"/>
            <color theme="1"/>
            <rFont val="Calibri"/>
            <family val="2"/>
            <scheme val="minor"/>
          </rPr>
          <t>Descripción calculada automáticamente a partir de código del artículo</t>
        </r>
      </text>
    </comment>
    <comment ref="C2130" authorId="1" shapeId="0" xr:uid="{00000000-0006-0000-0100-0000F1070000}">
      <text>
        <r>
          <rPr>
            <sz val="11"/>
            <color theme="1"/>
            <rFont val="Calibri"/>
            <family val="2"/>
            <scheme val="minor"/>
          </rPr>
          <t>Seleccione un valor de la lista</t>
        </r>
      </text>
    </comment>
    <comment ref="D2130" authorId="1" shapeId="0" xr:uid="{00000000-0006-0000-0100-0000F2070000}">
      <text>
        <r>
          <rPr>
            <sz val="11"/>
            <color theme="1"/>
            <rFont val="Calibri"/>
            <family val="2"/>
            <scheme val="minor"/>
          </rPr>
          <t>Introduzca un número con dos decimales como máximo. Debe ser igual o mayor a la "Cantidad Real Consumida"</t>
        </r>
      </text>
    </comment>
    <comment ref="E2130" authorId="1" shapeId="0" xr:uid="{00000000-0006-0000-0100-0000F3070000}">
      <text>
        <r>
          <rPr>
            <sz val="11"/>
            <color theme="1"/>
            <rFont val="Calibri"/>
            <family val="2"/>
            <scheme val="minor"/>
          </rPr>
          <t>Introduzca un número con dos decimales como máximo</t>
        </r>
      </text>
    </comment>
    <comment ref="F2130" authorId="1" shapeId="0" xr:uid="{00000000-0006-0000-0100-0000F4070000}">
      <text>
        <r>
          <rPr>
            <sz val="11"/>
            <color theme="1"/>
            <rFont val="Calibri"/>
            <family val="2"/>
            <scheme val="minor"/>
          </rPr>
          <t>Monto calculado automáticamente por el sistema</t>
        </r>
      </text>
    </comment>
    <comment ref="A2144" authorId="1" shapeId="0" xr:uid="{00000000-0006-0000-0100-0000F5070000}">
      <text>
        <r>
          <rPr>
            <sz val="11"/>
            <color theme="1"/>
            <rFont val="Calibri"/>
            <family val="2"/>
            <scheme val="minor"/>
          </rPr>
          <t>Introducir un texto con el nombre o referencia de la contratación</t>
        </r>
      </text>
    </comment>
    <comment ref="B2144" authorId="1" shapeId="0" xr:uid="{00000000-0006-0000-0100-0000F6070000}">
      <text>
        <r>
          <rPr>
            <sz val="11"/>
            <color theme="1"/>
            <rFont val="Calibri"/>
            <family val="2"/>
            <scheme val="minor"/>
          </rPr>
          <t>Introduzca un texto con la finalidad de la contratación</t>
        </r>
      </text>
    </comment>
    <comment ref="C2144" authorId="1" shapeId="0" xr:uid="{00000000-0006-0000-0100-0000F7070000}">
      <text>
        <r>
          <rPr>
            <sz val="11"/>
            <color theme="1"/>
            <rFont val="Calibri"/>
            <family val="2"/>
            <scheme val="minor"/>
          </rPr>
          <t>Seleccionar un valor del listado</t>
        </r>
      </text>
    </comment>
    <comment ref="D2144" authorId="1" shapeId="0" xr:uid="{00000000-0006-0000-0100-0000F8070000}">
      <text>
        <r>
          <rPr>
            <sz val="11"/>
            <color theme="1"/>
            <rFont val="Calibri"/>
            <family val="2"/>
            <scheme val="minor"/>
          </rPr>
          <t>Seleccione el tipo de procedimiento</t>
        </r>
      </text>
    </comment>
    <comment ref="E2144" authorId="1" shapeId="0" xr:uid="{00000000-0006-0000-0100-0000F9070000}">
      <text>
        <r>
          <rPr>
            <sz val="11"/>
            <color theme="1"/>
            <rFont val="Calibri"/>
            <family val="2"/>
            <scheme val="minor"/>
          </rPr>
          <t>Seleccione un valor de la lista</t>
        </r>
      </text>
    </comment>
    <comment ref="F2144" authorId="1" shapeId="0" xr:uid="{00000000-0006-0000-0100-0000FA070000}">
      <text>
        <r>
          <rPr>
            <sz val="11"/>
            <color theme="1"/>
            <rFont val="Calibri"/>
            <family val="2"/>
            <scheme val="minor"/>
          </rPr>
          <t>Introduzca el código SNIP</t>
        </r>
      </text>
    </comment>
    <comment ref="C2145" authorId="1" shapeId="0" xr:uid="{00000000-0006-0000-0100-0000FB070000}">
      <text>
        <r>
          <rPr>
            <sz val="11"/>
            <color theme="1"/>
            <rFont val="Calibri"/>
            <family val="2"/>
            <scheme val="minor"/>
          </rPr>
          <t>Introduzca la fecha de inicio del proceso, en formato dd-mm-aaaa</t>
        </r>
      </text>
    </comment>
    <comment ref="F2145" authorId="1" shapeId="0" xr:uid="{00000000-0006-0000-0100-0000FD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46" authorId="1" shapeId="0" xr:uid="{00000000-0006-0000-0100-0000FE070000}">
      <text/>
    </comment>
    <comment ref="C2147" authorId="1" shapeId="0" xr:uid="{00000000-0006-0000-0100-0000FC070000}">
      <text>
        <r>
          <rPr>
            <sz val="11"/>
            <color theme="1"/>
            <rFont val="Calibri"/>
            <family val="2"/>
            <scheme val="minor"/>
          </rPr>
          <t>Introduzca la fecha prevista de adjudicación, en formato dd-mm-aaaa</t>
        </r>
      </text>
    </comment>
    <comment ref="F2147" authorId="1" shapeId="0" xr:uid="{00000000-0006-0000-0100-0000FF070000}">
      <text/>
    </comment>
    <comment ref="F2148" authorId="1" shapeId="0" xr:uid="{00000000-0006-0000-0100-000000080000}">
      <text/>
    </comment>
    <comment ref="A2150" authorId="1" shapeId="0" xr:uid="{00000000-0006-0000-0100-000001080000}">
      <text>
        <r>
          <rPr>
            <sz val="11"/>
            <color theme="1"/>
            <rFont val="Calibri"/>
            <family val="2"/>
            <scheme val="minor"/>
          </rPr>
          <t>Introduzca un codigo UNSPSC</t>
        </r>
      </text>
    </comment>
    <comment ref="B2150" authorId="1" shapeId="0" xr:uid="{00000000-0006-0000-0100-000002080000}">
      <text>
        <r>
          <rPr>
            <sz val="11"/>
            <color theme="1"/>
            <rFont val="Calibri"/>
            <family val="2"/>
            <scheme val="minor"/>
          </rPr>
          <t>Descripción calculada automáticamente a partir de código del artículo</t>
        </r>
      </text>
    </comment>
    <comment ref="C2150" authorId="1" shapeId="0" xr:uid="{00000000-0006-0000-0100-000003080000}">
      <text>
        <r>
          <rPr>
            <sz val="11"/>
            <color theme="1"/>
            <rFont val="Calibri"/>
            <family val="2"/>
            <scheme val="minor"/>
          </rPr>
          <t>Seleccione un valor de la lista</t>
        </r>
      </text>
    </comment>
    <comment ref="D2150" authorId="1" shapeId="0" xr:uid="{00000000-0006-0000-0100-000004080000}">
      <text>
        <r>
          <rPr>
            <sz val="11"/>
            <color theme="1"/>
            <rFont val="Calibri"/>
            <family val="2"/>
            <scheme val="minor"/>
          </rPr>
          <t>Introduzca un número con dos decimales como máximo. Debe ser igual o mayor a la "Cantidad Real Consumida"</t>
        </r>
      </text>
    </comment>
    <comment ref="E2150" authorId="1" shapeId="0" xr:uid="{00000000-0006-0000-0100-000005080000}">
      <text>
        <r>
          <rPr>
            <sz val="11"/>
            <color theme="1"/>
            <rFont val="Calibri"/>
            <family val="2"/>
            <scheme val="minor"/>
          </rPr>
          <t>Introduzca un número con dos decimales como máximo</t>
        </r>
      </text>
    </comment>
    <comment ref="F2150" authorId="1" shapeId="0" xr:uid="{00000000-0006-0000-0100-000006080000}">
      <text>
        <r>
          <rPr>
            <sz val="11"/>
            <color theme="1"/>
            <rFont val="Calibri"/>
            <family val="2"/>
            <scheme val="minor"/>
          </rPr>
          <t>Monto calculado automáticamente por el sistema</t>
        </r>
      </text>
    </comment>
    <comment ref="A2157" authorId="1" shapeId="0" xr:uid="{00000000-0006-0000-0100-000007080000}">
      <text>
        <r>
          <rPr>
            <sz val="11"/>
            <color theme="1"/>
            <rFont val="Calibri"/>
            <family val="2"/>
            <scheme val="minor"/>
          </rPr>
          <t>Introducir un texto con el nombre o referencia de la contratación</t>
        </r>
      </text>
    </comment>
    <comment ref="B2157" authorId="1" shapeId="0" xr:uid="{00000000-0006-0000-0100-000008080000}">
      <text>
        <r>
          <rPr>
            <sz val="11"/>
            <color theme="1"/>
            <rFont val="Calibri"/>
            <family val="2"/>
            <scheme val="minor"/>
          </rPr>
          <t>Introduzca un texto con la finalidad de la contratación</t>
        </r>
      </text>
    </comment>
    <comment ref="C2157" authorId="1" shapeId="0" xr:uid="{00000000-0006-0000-0100-000009080000}">
      <text>
        <r>
          <rPr>
            <sz val="11"/>
            <color theme="1"/>
            <rFont val="Calibri"/>
            <family val="2"/>
            <scheme val="minor"/>
          </rPr>
          <t>Seleccionar un valor del listado</t>
        </r>
      </text>
    </comment>
    <comment ref="D2157" authorId="1" shapeId="0" xr:uid="{00000000-0006-0000-0100-00000A080000}">
      <text>
        <r>
          <rPr>
            <sz val="11"/>
            <color theme="1"/>
            <rFont val="Calibri"/>
            <family val="2"/>
            <scheme val="minor"/>
          </rPr>
          <t>Seleccione el tipo de procedimiento</t>
        </r>
      </text>
    </comment>
    <comment ref="E2157" authorId="1" shapeId="0" xr:uid="{00000000-0006-0000-0100-00000B080000}">
      <text>
        <r>
          <rPr>
            <sz val="11"/>
            <color theme="1"/>
            <rFont val="Calibri"/>
            <family val="2"/>
            <scheme val="minor"/>
          </rPr>
          <t>Seleccione un valor de la lista</t>
        </r>
      </text>
    </comment>
    <comment ref="F2157" authorId="1" shapeId="0" xr:uid="{00000000-0006-0000-0100-00000C080000}">
      <text>
        <r>
          <rPr>
            <sz val="11"/>
            <color theme="1"/>
            <rFont val="Calibri"/>
            <family val="2"/>
            <scheme val="minor"/>
          </rPr>
          <t>Introduzca el código SNIP</t>
        </r>
      </text>
    </comment>
    <comment ref="C2158" authorId="1" shapeId="0" xr:uid="{00000000-0006-0000-0100-00000D080000}">
      <text>
        <r>
          <rPr>
            <sz val="11"/>
            <color theme="1"/>
            <rFont val="Calibri"/>
            <family val="2"/>
            <scheme val="minor"/>
          </rPr>
          <t>Introduzca la fecha de inicio del proceso, en formato dd-mm-aaaa</t>
        </r>
      </text>
    </comment>
    <comment ref="F2158" authorId="1" shapeId="0" xr:uid="{00000000-0006-0000-0100-00000F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59" authorId="1" shapeId="0" xr:uid="{00000000-0006-0000-0100-000010080000}">
      <text/>
    </comment>
    <comment ref="C2160" authorId="1" shapeId="0" xr:uid="{00000000-0006-0000-0100-00000E080000}">
      <text>
        <r>
          <rPr>
            <sz val="11"/>
            <color theme="1"/>
            <rFont val="Calibri"/>
            <family val="2"/>
            <scheme val="minor"/>
          </rPr>
          <t>Introduzca la fecha prevista de adjudicación, en formato dd-mm-aaaa</t>
        </r>
      </text>
    </comment>
    <comment ref="F2160" authorId="1" shapeId="0" xr:uid="{00000000-0006-0000-0100-000011080000}">
      <text/>
    </comment>
    <comment ref="F2161" authorId="1" shapeId="0" xr:uid="{00000000-0006-0000-0100-000012080000}">
      <text/>
    </comment>
    <comment ref="A2163" authorId="1" shapeId="0" xr:uid="{00000000-0006-0000-0100-000013080000}">
      <text>
        <r>
          <rPr>
            <sz val="11"/>
            <color theme="1"/>
            <rFont val="Calibri"/>
            <family val="2"/>
            <scheme val="minor"/>
          </rPr>
          <t>Introduzca un codigo UNSPSC</t>
        </r>
      </text>
    </comment>
    <comment ref="B2163" authorId="1" shapeId="0" xr:uid="{00000000-0006-0000-0100-000014080000}">
      <text>
        <r>
          <rPr>
            <sz val="11"/>
            <color theme="1"/>
            <rFont val="Calibri"/>
            <family val="2"/>
            <scheme val="minor"/>
          </rPr>
          <t>Descripción calculada automáticamente a partir de código del artículo</t>
        </r>
      </text>
    </comment>
    <comment ref="C2163" authorId="1" shapeId="0" xr:uid="{00000000-0006-0000-0100-000015080000}">
      <text>
        <r>
          <rPr>
            <sz val="11"/>
            <color theme="1"/>
            <rFont val="Calibri"/>
            <family val="2"/>
            <scheme val="minor"/>
          </rPr>
          <t>Seleccione un valor de la lista</t>
        </r>
      </text>
    </comment>
    <comment ref="D2163" authorId="1" shapeId="0" xr:uid="{00000000-0006-0000-0100-000016080000}">
      <text>
        <r>
          <rPr>
            <sz val="11"/>
            <color theme="1"/>
            <rFont val="Calibri"/>
            <family val="2"/>
            <scheme val="minor"/>
          </rPr>
          <t>Introduzca un número con dos decimales como máximo. Debe ser igual o mayor a la "Cantidad Real Consumida"</t>
        </r>
      </text>
    </comment>
    <comment ref="E2163" authorId="1" shapeId="0" xr:uid="{00000000-0006-0000-0100-000017080000}">
      <text>
        <r>
          <rPr>
            <sz val="11"/>
            <color theme="1"/>
            <rFont val="Calibri"/>
            <family val="2"/>
            <scheme val="minor"/>
          </rPr>
          <t>Introduzca un número con dos decimales como máximo</t>
        </r>
      </text>
    </comment>
    <comment ref="F2163" authorId="1" shapeId="0" xr:uid="{00000000-0006-0000-0100-000018080000}">
      <text>
        <r>
          <rPr>
            <sz val="11"/>
            <color theme="1"/>
            <rFont val="Calibri"/>
            <family val="2"/>
            <scheme val="minor"/>
          </rPr>
          <t>Monto calculado automáticamente por el sistema</t>
        </r>
      </text>
    </comment>
    <comment ref="A2168" authorId="1" shapeId="0" xr:uid="{00000000-0006-0000-0100-000019080000}">
      <text>
        <r>
          <rPr>
            <sz val="11"/>
            <color theme="1"/>
            <rFont val="Calibri"/>
            <family val="2"/>
            <scheme val="minor"/>
          </rPr>
          <t>Introducir un texto con el nombre o referencia de la contratación</t>
        </r>
      </text>
    </comment>
    <comment ref="B2168" authorId="1" shapeId="0" xr:uid="{00000000-0006-0000-0100-00001A080000}">
      <text>
        <r>
          <rPr>
            <sz val="11"/>
            <color theme="1"/>
            <rFont val="Calibri"/>
            <family val="2"/>
            <scheme val="minor"/>
          </rPr>
          <t>Introduzca un texto con la finalidad de la contratación</t>
        </r>
      </text>
    </comment>
    <comment ref="C2168" authorId="1" shapeId="0" xr:uid="{00000000-0006-0000-0100-00001B080000}">
      <text>
        <r>
          <rPr>
            <sz val="11"/>
            <color theme="1"/>
            <rFont val="Calibri"/>
            <family val="2"/>
            <scheme val="minor"/>
          </rPr>
          <t>Seleccionar un valor del listado</t>
        </r>
      </text>
    </comment>
    <comment ref="D2168" authorId="1" shapeId="0" xr:uid="{00000000-0006-0000-0100-00001C080000}">
      <text>
        <r>
          <rPr>
            <sz val="11"/>
            <color theme="1"/>
            <rFont val="Calibri"/>
            <family val="2"/>
            <scheme val="minor"/>
          </rPr>
          <t>Seleccione el tipo de procedimiento</t>
        </r>
      </text>
    </comment>
    <comment ref="E2168" authorId="1" shapeId="0" xr:uid="{00000000-0006-0000-0100-00001D080000}">
      <text>
        <r>
          <rPr>
            <sz val="11"/>
            <color theme="1"/>
            <rFont val="Calibri"/>
            <family val="2"/>
            <scheme val="minor"/>
          </rPr>
          <t>Seleccione un valor de la lista</t>
        </r>
      </text>
    </comment>
    <comment ref="F2168" authorId="1" shapeId="0" xr:uid="{00000000-0006-0000-0100-00001E080000}">
      <text>
        <r>
          <rPr>
            <sz val="11"/>
            <color theme="1"/>
            <rFont val="Calibri"/>
            <family val="2"/>
            <scheme val="minor"/>
          </rPr>
          <t>Introduzca el código SNIP</t>
        </r>
      </text>
    </comment>
    <comment ref="C2169" authorId="1" shapeId="0" xr:uid="{00000000-0006-0000-0100-00001F080000}">
      <text>
        <r>
          <rPr>
            <sz val="11"/>
            <color theme="1"/>
            <rFont val="Calibri"/>
            <family val="2"/>
            <scheme val="minor"/>
          </rPr>
          <t>Introduzca la fecha de inicio del proceso, en formato dd-mm-aaaa</t>
        </r>
      </text>
    </comment>
    <comment ref="F2169" authorId="1" shapeId="0" xr:uid="{00000000-0006-0000-0100-000021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70" authorId="1" shapeId="0" xr:uid="{00000000-0006-0000-0100-000022080000}">
      <text/>
    </comment>
    <comment ref="C2171" authorId="1" shapeId="0" xr:uid="{00000000-0006-0000-0100-000020080000}">
      <text>
        <r>
          <rPr>
            <sz val="11"/>
            <color theme="1"/>
            <rFont val="Calibri"/>
            <family val="2"/>
            <scheme val="minor"/>
          </rPr>
          <t>Introduzca la fecha prevista de adjudicación, en formato dd-mm-aaaa</t>
        </r>
      </text>
    </comment>
    <comment ref="F2171" authorId="1" shapeId="0" xr:uid="{00000000-0006-0000-0100-000023080000}">
      <text/>
    </comment>
    <comment ref="F2172" authorId="1" shapeId="0" xr:uid="{00000000-0006-0000-0100-000024080000}">
      <text/>
    </comment>
    <comment ref="A2174" authorId="1" shapeId="0" xr:uid="{00000000-0006-0000-0100-000025080000}">
      <text>
        <r>
          <rPr>
            <sz val="11"/>
            <color theme="1"/>
            <rFont val="Calibri"/>
            <family val="2"/>
            <scheme val="minor"/>
          </rPr>
          <t>Introduzca un codigo UNSPSC</t>
        </r>
      </text>
    </comment>
    <comment ref="B2174" authorId="1" shapeId="0" xr:uid="{00000000-0006-0000-0100-000026080000}">
      <text>
        <r>
          <rPr>
            <sz val="11"/>
            <color theme="1"/>
            <rFont val="Calibri"/>
            <family val="2"/>
            <scheme val="minor"/>
          </rPr>
          <t>Descripción calculada automáticamente a partir de código del artículo</t>
        </r>
      </text>
    </comment>
    <comment ref="C2174" authorId="1" shapeId="0" xr:uid="{00000000-0006-0000-0100-000027080000}">
      <text>
        <r>
          <rPr>
            <sz val="11"/>
            <color theme="1"/>
            <rFont val="Calibri"/>
            <family val="2"/>
            <scheme val="minor"/>
          </rPr>
          <t>Seleccione un valor de la lista</t>
        </r>
      </text>
    </comment>
    <comment ref="D2174" authorId="1" shapeId="0" xr:uid="{00000000-0006-0000-0100-000028080000}">
      <text>
        <r>
          <rPr>
            <sz val="11"/>
            <color theme="1"/>
            <rFont val="Calibri"/>
            <family val="2"/>
            <scheme val="minor"/>
          </rPr>
          <t>Introduzca un número con dos decimales como máximo. Debe ser igual o mayor a la "Cantidad Real Consumida"</t>
        </r>
      </text>
    </comment>
    <comment ref="E2174" authorId="1" shapeId="0" xr:uid="{00000000-0006-0000-0100-000029080000}">
      <text>
        <r>
          <rPr>
            <sz val="11"/>
            <color theme="1"/>
            <rFont val="Calibri"/>
            <family val="2"/>
            <scheme val="minor"/>
          </rPr>
          <t>Introduzca un número con dos decimales como máximo</t>
        </r>
      </text>
    </comment>
    <comment ref="F2174" authorId="1" shapeId="0" xr:uid="{00000000-0006-0000-0100-00002A080000}">
      <text>
        <r>
          <rPr>
            <sz val="11"/>
            <color theme="1"/>
            <rFont val="Calibri"/>
            <family val="2"/>
            <scheme val="minor"/>
          </rPr>
          <t>Monto calculado automáticamente por el sistema</t>
        </r>
      </text>
    </comment>
    <comment ref="A2179" authorId="1" shapeId="0" xr:uid="{00000000-0006-0000-0100-00002B080000}">
      <text>
        <r>
          <rPr>
            <sz val="11"/>
            <color theme="1"/>
            <rFont val="Calibri"/>
            <family val="2"/>
            <scheme val="minor"/>
          </rPr>
          <t>Introducir un texto con el nombre o referencia de la contratación</t>
        </r>
      </text>
    </comment>
    <comment ref="B2179" authorId="1" shapeId="0" xr:uid="{00000000-0006-0000-0100-00002C080000}">
      <text>
        <r>
          <rPr>
            <sz val="11"/>
            <color theme="1"/>
            <rFont val="Calibri"/>
            <family val="2"/>
            <scheme val="minor"/>
          </rPr>
          <t>Introduzca un texto con la finalidad de la contratación</t>
        </r>
      </text>
    </comment>
    <comment ref="C2179" authorId="1" shapeId="0" xr:uid="{00000000-0006-0000-0100-00002D080000}">
      <text>
        <r>
          <rPr>
            <sz val="11"/>
            <color theme="1"/>
            <rFont val="Calibri"/>
            <family val="2"/>
            <scheme val="minor"/>
          </rPr>
          <t>Seleccionar un valor del listado</t>
        </r>
      </text>
    </comment>
    <comment ref="D2179" authorId="1" shapeId="0" xr:uid="{00000000-0006-0000-0100-00002E080000}">
      <text>
        <r>
          <rPr>
            <sz val="11"/>
            <color theme="1"/>
            <rFont val="Calibri"/>
            <family val="2"/>
            <scheme val="minor"/>
          </rPr>
          <t>Seleccione el tipo de procedimiento</t>
        </r>
      </text>
    </comment>
    <comment ref="E2179" authorId="1" shapeId="0" xr:uid="{00000000-0006-0000-0100-00002F080000}">
      <text>
        <r>
          <rPr>
            <sz val="11"/>
            <color theme="1"/>
            <rFont val="Calibri"/>
            <family val="2"/>
            <scheme val="minor"/>
          </rPr>
          <t>Seleccione un valor de la lista</t>
        </r>
      </text>
    </comment>
    <comment ref="F2179" authorId="1" shapeId="0" xr:uid="{00000000-0006-0000-0100-000030080000}">
      <text>
        <r>
          <rPr>
            <sz val="11"/>
            <color theme="1"/>
            <rFont val="Calibri"/>
            <family val="2"/>
            <scheme val="minor"/>
          </rPr>
          <t>Introduzca el código SNIP</t>
        </r>
      </text>
    </comment>
    <comment ref="C2180" authorId="1" shapeId="0" xr:uid="{00000000-0006-0000-0100-000031080000}">
      <text>
        <r>
          <rPr>
            <sz val="11"/>
            <color theme="1"/>
            <rFont val="Calibri"/>
            <family val="2"/>
            <scheme val="minor"/>
          </rPr>
          <t>Introduzca la fecha de inicio del proceso, en formato dd-mm-aaaa</t>
        </r>
      </text>
    </comment>
    <comment ref="F2180" authorId="1" shapeId="0" xr:uid="{00000000-0006-0000-0100-000033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81" authorId="1" shapeId="0" xr:uid="{00000000-0006-0000-0100-000034080000}">
      <text/>
    </comment>
    <comment ref="C2182" authorId="1" shapeId="0" xr:uid="{00000000-0006-0000-0100-000032080000}">
      <text>
        <r>
          <rPr>
            <sz val="11"/>
            <color theme="1"/>
            <rFont val="Calibri"/>
            <family val="2"/>
            <scheme val="minor"/>
          </rPr>
          <t>Introduzca la fecha prevista de adjudicación, en formato dd-mm-aaaa</t>
        </r>
      </text>
    </comment>
    <comment ref="F2182" authorId="1" shapeId="0" xr:uid="{00000000-0006-0000-0100-000035080000}">
      <text/>
    </comment>
    <comment ref="F2183" authorId="1" shapeId="0" xr:uid="{00000000-0006-0000-0100-000036080000}">
      <text/>
    </comment>
    <comment ref="A2185" authorId="1" shapeId="0" xr:uid="{00000000-0006-0000-0100-000037080000}">
      <text>
        <r>
          <rPr>
            <sz val="11"/>
            <color theme="1"/>
            <rFont val="Calibri"/>
            <family val="2"/>
            <scheme val="minor"/>
          </rPr>
          <t>Introduzca un codigo UNSPSC</t>
        </r>
      </text>
    </comment>
    <comment ref="B2185" authorId="1" shapeId="0" xr:uid="{00000000-0006-0000-0100-000038080000}">
      <text>
        <r>
          <rPr>
            <sz val="11"/>
            <color theme="1"/>
            <rFont val="Calibri"/>
            <family val="2"/>
            <scheme val="minor"/>
          </rPr>
          <t>Descripción calculada automáticamente a partir de código del artículo</t>
        </r>
      </text>
    </comment>
    <comment ref="C2185" authorId="1" shapeId="0" xr:uid="{00000000-0006-0000-0100-000039080000}">
      <text>
        <r>
          <rPr>
            <sz val="11"/>
            <color theme="1"/>
            <rFont val="Calibri"/>
            <family val="2"/>
            <scheme val="minor"/>
          </rPr>
          <t>Seleccione un valor de la lista</t>
        </r>
      </text>
    </comment>
    <comment ref="D2185" authorId="1" shapeId="0" xr:uid="{00000000-0006-0000-0100-00003A080000}">
      <text>
        <r>
          <rPr>
            <sz val="11"/>
            <color theme="1"/>
            <rFont val="Calibri"/>
            <family val="2"/>
            <scheme val="minor"/>
          </rPr>
          <t>Introduzca un número con dos decimales como máximo. Debe ser igual o mayor a la "Cantidad Real Consumida"</t>
        </r>
      </text>
    </comment>
    <comment ref="E2185" authorId="1" shapeId="0" xr:uid="{00000000-0006-0000-0100-00003B080000}">
      <text>
        <r>
          <rPr>
            <sz val="11"/>
            <color theme="1"/>
            <rFont val="Calibri"/>
            <family val="2"/>
            <scheme val="minor"/>
          </rPr>
          <t>Introduzca un número con dos decimales como máximo</t>
        </r>
      </text>
    </comment>
    <comment ref="F2185" authorId="1" shapeId="0" xr:uid="{00000000-0006-0000-0100-00003C080000}">
      <text>
        <r>
          <rPr>
            <sz val="11"/>
            <color theme="1"/>
            <rFont val="Calibri"/>
            <family val="2"/>
            <scheme val="minor"/>
          </rPr>
          <t>Monto calculado automáticamente por el sistema</t>
        </r>
      </text>
    </comment>
    <comment ref="A2190" authorId="1" shapeId="0" xr:uid="{00000000-0006-0000-0100-00003D080000}">
      <text>
        <r>
          <rPr>
            <sz val="11"/>
            <color theme="1"/>
            <rFont val="Calibri"/>
            <family val="2"/>
            <scheme val="minor"/>
          </rPr>
          <t>Introducir un texto con el nombre o referencia de la contratación</t>
        </r>
      </text>
    </comment>
    <comment ref="B2190" authorId="1" shapeId="0" xr:uid="{00000000-0006-0000-0100-00003E080000}">
      <text>
        <r>
          <rPr>
            <sz val="11"/>
            <color theme="1"/>
            <rFont val="Calibri"/>
            <family val="2"/>
            <scheme val="minor"/>
          </rPr>
          <t>Introduzca un texto con la finalidad de la contratación</t>
        </r>
      </text>
    </comment>
    <comment ref="C2190" authorId="1" shapeId="0" xr:uid="{00000000-0006-0000-0100-00003F080000}">
      <text>
        <r>
          <rPr>
            <sz val="11"/>
            <color theme="1"/>
            <rFont val="Calibri"/>
            <family val="2"/>
            <scheme val="minor"/>
          </rPr>
          <t>Seleccionar un valor del listado</t>
        </r>
      </text>
    </comment>
    <comment ref="D2190" authorId="1" shapeId="0" xr:uid="{00000000-0006-0000-0100-000040080000}">
      <text>
        <r>
          <rPr>
            <sz val="11"/>
            <color theme="1"/>
            <rFont val="Calibri"/>
            <family val="2"/>
            <scheme val="minor"/>
          </rPr>
          <t>Seleccione el tipo de procedimiento</t>
        </r>
      </text>
    </comment>
    <comment ref="E2190" authorId="1" shapeId="0" xr:uid="{00000000-0006-0000-0100-000041080000}">
      <text>
        <r>
          <rPr>
            <sz val="11"/>
            <color theme="1"/>
            <rFont val="Calibri"/>
            <family val="2"/>
            <scheme val="minor"/>
          </rPr>
          <t>Seleccione un valor de la lista</t>
        </r>
      </text>
    </comment>
    <comment ref="F2190" authorId="1" shapeId="0" xr:uid="{00000000-0006-0000-0100-000042080000}">
      <text>
        <r>
          <rPr>
            <sz val="11"/>
            <color theme="1"/>
            <rFont val="Calibri"/>
            <family val="2"/>
            <scheme val="minor"/>
          </rPr>
          <t>Introduzca el código SNIP</t>
        </r>
      </text>
    </comment>
    <comment ref="C2191" authorId="1" shapeId="0" xr:uid="{00000000-0006-0000-0100-000043080000}">
      <text>
        <r>
          <rPr>
            <sz val="11"/>
            <color theme="1"/>
            <rFont val="Calibri"/>
            <family val="2"/>
            <scheme val="minor"/>
          </rPr>
          <t>Introduzca la fecha de inicio del proceso, en formato dd-mm-aaaa</t>
        </r>
      </text>
    </comment>
    <comment ref="F2191" authorId="1" shapeId="0" xr:uid="{00000000-0006-0000-0100-000045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92" authorId="1" shapeId="0" xr:uid="{00000000-0006-0000-0100-000046080000}">
      <text/>
    </comment>
    <comment ref="C2193" authorId="1" shapeId="0" xr:uid="{00000000-0006-0000-0100-000044080000}">
      <text>
        <r>
          <rPr>
            <sz val="11"/>
            <color theme="1"/>
            <rFont val="Calibri"/>
            <family val="2"/>
            <scheme val="minor"/>
          </rPr>
          <t>Introduzca la fecha prevista de adjudicación, en formato dd-mm-aaaa</t>
        </r>
      </text>
    </comment>
    <comment ref="F2193" authorId="1" shapeId="0" xr:uid="{00000000-0006-0000-0100-000047080000}">
      <text/>
    </comment>
    <comment ref="F2194" authorId="1" shapeId="0" xr:uid="{00000000-0006-0000-0100-000048080000}">
      <text/>
    </comment>
    <comment ref="A2196" authorId="1" shapeId="0" xr:uid="{00000000-0006-0000-0100-000049080000}">
      <text>
        <r>
          <rPr>
            <sz val="11"/>
            <color theme="1"/>
            <rFont val="Calibri"/>
            <family val="2"/>
            <scheme val="minor"/>
          </rPr>
          <t>Introduzca un codigo UNSPSC</t>
        </r>
      </text>
    </comment>
    <comment ref="B2196" authorId="1" shapeId="0" xr:uid="{00000000-0006-0000-0100-00004A080000}">
      <text>
        <r>
          <rPr>
            <sz val="11"/>
            <color theme="1"/>
            <rFont val="Calibri"/>
            <family val="2"/>
            <scheme val="minor"/>
          </rPr>
          <t>Descripción calculada automáticamente a partir de código del artículo</t>
        </r>
      </text>
    </comment>
    <comment ref="C2196" authorId="1" shapeId="0" xr:uid="{00000000-0006-0000-0100-00004B080000}">
      <text>
        <r>
          <rPr>
            <sz val="11"/>
            <color theme="1"/>
            <rFont val="Calibri"/>
            <family val="2"/>
            <scheme val="minor"/>
          </rPr>
          <t>Seleccione un valor de la lista</t>
        </r>
      </text>
    </comment>
    <comment ref="D2196" authorId="1" shapeId="0" xr:uid="{00000000-0006-0000-0100-00004C080000}">
      <text>
        <r>
          <rPr>
            <sz val="11"/>
            <color theme="1"/>
            <rFont val="Calibri"/>
            <family val="2"/>
            <scheme val="minor"/>
          </rPr>
          <t>Introduzca un número con dos decimales como máximo. Debe ser igual o mayor a la "Cantidad Real Consumida"</t>
        </r>
      </text>
    </comment>
    <comment ref="E2196" authorId="1" shapeId="0" xr:uid="{00000000-0006-0000-0100-00004D080000}">
      <text>
        <r>
          <rPr>
            <sz val="11"/>
            <color theme="1"/>
            <rFont val="Calibri"/>
            <family val="2"/>
            <scheme val="minor"/>
          </rPr>
          <t>Introduzca un número con dos decimales como máximo</t>
        </r>
      </text>
    </comment>
    <comment ref="F2196" authorId="1" shapeId="0" xr:uid="{00000000-0006-0000-0100-00004E080000}">
      <text>
        <r>
          <rPr>
            <sz val="11"/>
            <color theme="1"/>
            <rFont val="Calibri"/>
            <family val="2"/>
            <scheme val="minor"/>
          </rPr>
          <t>Monto calculado automáticamente por el sistema</t>
        </r>
      </text>
    </comment>
    <comment ref="A2210" authorId="1" shapeId="0" xr:uid="{00000000-0006-0000-0100-00004F080000}">
      <text>
        <r>
          <rPr>
            <sz val="11"/>
            <color theme="1"/>
            <rFont val="Calibri"/>
            <family val="2"/>
            <scheme val="minor"/>
          </rPr>
          <t>Introducir un texto con el nombre o referencia de la contratación</t>
        </r>
      </text>
    </comment>
    <comment ref="B2210" authorId="1" shapeId="0" xr:uid="{00000000-0006-0000-0100-000050080000}">
      <text>
        <r>
          <rPr>
            <sz val="11"/>
            <color theme="1"/>
            <rFont val="Calibri"/>
            <family val="2"/>
            <scheme val="minor"/>
          </rPr>
          <t>Introduzca un texto con la finalidad de la contratación</t>
        </r>
      </text>
    </comment>
    <comment ref="C2210" authorId="1" shapeId="0" xr:uid="{00000000-0006-0000-0100-000051080000}">
      <text>
        <r>
          <rPr>
            <sz val="11"/>
            <color theme="1"/>
            <rFont val="Calibri"/>
            <family val="2"/>
            <scheme val="minor"/>
          </rPr>
          <t>Seleccionar un valor del listado</t>
        </r>
      </text>
    </comment>
    <comment ref="D2210" authorId="1" shapeId="0" xr:uid="{00000000-0006-0000-0100-000052080000}">
      <text>
        <r>
          <rPr>
            <sz val="11"/>
            <color theme="1"/>
            <rFont val="Calibri"/>
            <family val="2"/>
            <scheme val="minor"/>
          </rPr>
          <t>Seleccione el tipo de procedimiento</t>
        </r>
      </text>
    </comment>
    <comment ref="E2210" authorId="1" shapeId="0" xr:uid="{00000000-0006-0000-0100-000053080000}">
      <text>
        <r>
          <rPr>
            <sz val="11"/>
            <color theme="1"/>
            <rFont val="Calibri"/>
            <family val="2"/>
            <scheme val="minor"/>
          </rPr>
          <t>Seleccione un valor de la lista</t>
        </r>
      </text>
    </comment>
    <comment ref="F2210" authorId="1" shapeId="0" xr:uid="{00000000-0006-0000-0100-000054080000}">
      <text>
        <r>
          <rPr>
            <sz val="11"/>
            <color theme="1"/>
            <rFont val="Calibri"/>
            <family val="2"/>
            <scheme val="minor"/>
          </rPr>
          <t>Introduzca el código SNIP</t>
        </r>
      </text>
    </comment>
    <comment ref="C2211" authorId="1" shapeId="0" xr:uid="{00000000-0006-0000-0100-000055080000}">
      <text>
        <r>
          <rPr>
            <sz val="11"/>
            <color theme="1"/>
            <rFont val="Calibri"/>
            <family val="2"/>
            <scheme val="minor"/>
          </rPr>
          <t>Introduzca la fecha de inicio del proceso, en formato dd-mm-aaaa</t>
        </r>
      </text>
    </comment>
    <comment ref="F2211" authorId="1" shapeId="0" xr:uid="{00000000-0006-0000-0100-000057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12" authorId="1" shapeId="0" xr:uid="{00000000-0006-0000-0100-000058080000}">
      <text/>
    </comment>
    <comment ref="C2213" authorId="1" shapeId="0" xr:uid="{00000000-0006-0000-0100-000056080000}">
      <text>
        <r>
          <rPr>
            <sz val="11"/>
            <color theme="1"/>
            <rFont val="Calibri"/>
            <family val="2"/>
            <scheme val="minor"/>
          </rPr>
          <t>Introduzca la fecha prevista de adjudicación, en formato dd-mm-aaaa</t>
        </r>
      </text>
    </comment>
    <comment ref="F2213" authorId="1" shapeId="0" xr:uid="{00000000-0006-0000-0100-000059080000}">
      <text/>
    </comment>
    <comment ref="F2214" authorId="1" shapeId="0" xr:uid="{00000000-0006-0000-0100-00005A080000}">
      <text/>
    </comment>
    <comment ref="A2216" authorId="1" shapeId="0" xr:uid="{00000000-0006-0000-0100-00005B080000}">
      <text>
        <r>
          <rPr>
            <sz val="11"/>
            <color theme="1"/>
            <rFont val="Calibri"/>
            <family val="2"/>
            <scheme val="minor"/>
          </rPr>
          <t>Introduzca un codigo UNSPSC</t>
        </r>
      </text>
    </comment>
    <comment ref="B2216" authorId="1" shapeId="0" xr:uid="{00000000-0006-0000-0100-00005C080000}">
      <text>
        <r>
          <rPr>
            <sz val="11"/>
            <color theme="1"/>
            <rFont val="Calibri"/>
            <family val="2"/>
            <scheme val="minor"/>
          </rPr>
          <t>Descripción calculada automáticamente a partir de código del artículo</t>
        </r>
      </text>
    </comment>
    <comment ref="C2216" authorId="1" shapeId="0" xr:uid="{00000000-0006-0000-0100-00005D080000}">
      <text>
        <r>
          <rPr>
            <sz val="11"/>
            <color theme="1"/>
            <rFont val="Calibri"/>
            <family val="2"/>
            <scheme val="minor"/>
          </rPr>
          <t>Seleccione un valor de la lista</t>
        </r>
      </text>
    </comment>
    <comment ref="D2216" authorId="1" shapeId="0" xr:uid="{00000000-0006-0000-0100-00005E080000}">
      <text>
        <r>
          <rPr>
            <sz val="11"/>
            <color theme="1"/>
            <rFont val="Calibri"/>
            <family val="2"/>
            <scheme val="minor"/>
          </rPr>
          <t>Introduzca un número con dos decimales como máximo. Debe ser igual o mayor a la "Cantidad Real Consumida"</t>
        </r>
      </text>
    </comment>
    <comment ref="E2216" authorId="1" shapeId="0" xr:uid="{00000000-0006-0000-0100-00005F080000}">
      <text>
        <r>
          <rPr>
            <sz val="11"/>
            <color theme="1"/>
            <rFont val="Calibri"/>
            <family val="2"/>
            <scheme val="minor"/>
          </rPr>
          <t>Introduzca un número con dos decimales como máximo</t>
        </r>
      </text>
    </comment>
    <comment ref="F2216" authorId="1" shapeId="0" xr:uid="{00000000-0006-0000-0100-000060080000}">
      <text>
        <r>
          <rPr>
            <sz val="11"/>
            <color theme="1"/>
            <rFont val="Calibri"/>
            <family val="2"/>
            <scheme val="minor"/>
          </rPr>
          <t>Monto calculado automáticamente por el sistema</t>
        </r>
      </text>
    </comment>
    <comment ref="A2223" authorId="1" shapeId="0" xr:uid="{00000000-0006-0000-0100-000061080000}">
      <text>
        <r>
          <rPr>
            <sz val="11"/>
            <color theme="1"/>
            <rFont val="Calibri"/>
            <family val="2"/>
            <scheme val="minor"/>
          </rPr>
          <t>Introducir un texto con el nombre o referencia de la contratación</t>
        </r>
      </text>
    </comment>
    <comment ref="B2223" authorId="1" shapeId="0" xr:uid="{00000000-0006-0000-0100-000062080000}">
      <text>
        <r>
          <rPr>
            <sz val="11"/>
            <color theme="1"/>
            <rFont val="Calibri"/>
            <family val="2"/>
            <scheme val="minor"/>
          </rPr>
          <t>Introduzca un texto con la finalidad de la contratación</t>
        </r>
      </text>
    </comment>
    <comment ref="C2223" authorId="1" shapeId="0" xr:uid="{00000000-0006-0000-0100-000063080000}">
      <text>
        <r>
          <rPr>
            <sz val="11"/>
            <color theme="1"/>
            <rFont val="Calibri"/>
            <family val="2"/>
            <scheme val="minor"/>
          </rPr>
          <t>Seleccionar un valor del listado</t>
        </r>
      </text>
    </comment>
    <comment ref="D2223" authorId="1" shapeId="0" xr:uid="{00000000-0006-0000-0100-000064080000}">
      <text>
        <r>
          <rPr>
            <sz val="11"/>
            <color theme="1"/>
            <rFont val="Calibri"/>
            <family val="2"/>
            <scheme val="minor"/>
          </rPr>
          <t>Seleccione el tipo de procedimiento</t>
        </r>
      </text>
    </comment>
    <comment ref="E2223" authorId="1" shapeId="0" xr:uid="{00000000-0006-0000-0100-000065080000}">
      <text>
        <r>
          <rPr>
            <sz val="11"/>
            <color theme="1"/>
            <rFont val="Calibri"/>
            <family val="2"/>
            <scheme val="minor"/>
          </rPr>
          <t>Seleccione un valor de la lista</t>
        </r>
      </text>
    </comment>
    <comment ref="F2223" authorId="1" shapeId="0" xr:uid="{00000000-0006-0000-0100-000066080000}">
      <text>
        <r>
          <rPr>
            <sz val="11"/>
            <color theme="1"/>
            <rFont val="Calibri"/>
            <family val="2"/>
            <scheme val="minor"/>
          </rPr>
          <t>Introduzca el código SNIP</t>
        </r>
      </text>
    </comment>
    <comment ref="C2224" authorId="1" shapeId="0" xr:uid="{00000000-0006-0000-0100-000067080000}">
      <text>
        <r>
          <rPr>
            <sz val="11"/>
            <color theme="1"/>
            <rFont val="Calibri"/>
            <family val="2"/>
            <scheme val="minor"/>
          </rPr>
          <t>Introduzca la fecha de inicio del proceso, en formato dd-mm-aaaa</t>
        </r>
      </text>
    </comment>
    <comment ref="F2224" authorId="1" shapeId="0" xr:uid="{00000000-0006-0000-0100-000069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25" authorId="1" shapeId="0" xr:uid="{00000000-0006-0000-0100-00006A080000}">
      <text/>
    </comment>
    <comment ref="C2226" authorId="1" shapeId="0" xr:uid="{00000000-0006-0000-0100-000068080000}">
      <text>
        <r>
          <rPr>
            <sz val="11"/>
            <color theme="1"/>
            <rFont val="Calibri"/>
            <family val="2"/>
            <scheme val="minor"/>
          </rPr>
          <t>Introduzca la fecha prevista de adjudicación, en formato dd-mm-aaaa</t>
        </r>
      </text>
    </comment>
    <comment ref="F2226" authorId="1" shapeId="0" xr:uid="{00000000-0006-0000-0100-00006B080000}">
      <text/>
    </comment>
    <comment ref="F2227" authorId="1" shapeId="0" xr:uid="{00000000-0006-0000-0100-00006C080000}">
      <text/>
    </comment>
    <comment ref="A2229" authorId="1" shapeId="0" xr:uid="{00000000-0006-0000-0100-00006D080000}">
      <text>
        <r>
          <rPr>
            <sz val="11"/>
            <color theme="1"/>
            <rFont val="Calibri"/>
            <family val="2"/>
            <scheme val="minor"/>
          </rPr>
          <t>Introduzca un codigo UNSPSC</t>
        </r>
      </text>
    </comment>
    <comment ref="B2229" authorId="1" shapeId="0" xr:uid="{00000000-0006-0000-0100-00006E080000}">
      <text>
        <r>
          <rPr>
            <sz val="11"/>
            <color theme="1"/>
            <rFont val="Calibri"/>
            <family val="2"/>
            <scheme val="minor"/>
          </rPr>
          <t>Descripción calculada automáticamente a partir de código del artículo</t>
        </r>
      </text>
    </comment>
    <comment ref="C2229" authorId="1" shapeId="0" xr:uid="{00000000-0006-0000-0100-00006F080000}">
      <text>
        <r>
          <rPr>
            <sz val="11"/>
            <color theme="1"/>
            <rFont val="Calibri"/>
            <family val="2"/>
            <scheme val="minor"/>
          </rPr>
          <t>Seleccione un valor de la lista</t>
        </r>
      </text>
    </comment>
    <comment ref="D2229" authorId="1" shapeId="0" xr:uid="{00000000-0006-0000-0100-000070080000}">
      <text>
        <r>
          <rPr>
            <sz val="11"/>
            <color theme="1"/>
            <rFont val="Calibri"/>
            <family val="2"/>
            <scheme val="minor"/>
          </rPr>
          <t>Introduzca un número con dos decimales como máximo. Debe ser igual o mayor a la "Cantidad Real Consumida"</t>
        </r>
      </text>
    </comment>
    <comment ref="E2229" authorId="1" shapeId="0" xr:uid="{00000000-0006-0000-0100-000071080000}">
      <text>
        <r>
          <rPr>
            <sz val="11"/>
            <color theme="1"/>
            <rFont val="Calibri"/>
            <family val="2"/>
            <scheme val="minor"/>
          </rPr>
          <t>Introduzca un número con dos decimales como máximo</t>
        </r>
      </text>
    </comment>
    <comment ref="F2229" authorId="1" shapeId="0" xr:uid="{00000000-0006-0000-0100-000072080000}">
      <text>
        <r>
          <rPr>
            <sz val="11"/>
            <color theme="1"/>
            <rFont val="Calibri"/>
            <family val="2"/>
            <scheme val="minor"/>
          </rPr>
          <t>Monto calculado automáticamente por el sistema</t>
        </r>
      </text>
    </comment>
    <comment ref="A2235" authorId="1" shapeId="0" xr:uid="{00000000-0006-0000-0100-000073080000}">
      <text>
        <r>
          <rPr>
            <sz val="11"/>
            <color theme="1"/>
            <rFont val="Calibri"/>
            <family val="2"/>
            <scheme val="minor"/>
          </rPr>
          <t>Introducir un texto con el nombre o referencia de la contratación</t>
        </r>
      </text>
    </comment>
    <comment ref="B2235" authorId="1" shapeId="0" xr:uid="{00000000-0006-0000-0100-000074080000}">
      <text>
        <r>
          <rPr>
            <sz val="11"/>
            <color theme="1"/>
            <rFont val="Calibri"/>
            <family val="2"/>
            <scheme val="minor"/>
          </rPr>
          <t>Introduzca un texto con la finalidad de la contratación</t>
        </r>
      </text>
    </comment>
    <comment ref="C2235" authorId="1" shapeId="0" xr:uid="{00000000-0006-0000-0100-000075080000}">
      <text>
        <r>
          <rPr>
            <sz val="11"/>
            <color theme="1"/>
            <rFont val="Calibri"/>
            <family val="2"/>
            <scheme val="minor"/>
          </rPr>
          <t>Seleccionar un valor del listado</t>
        </r>
      </text>
    </comment>
    <comment ref="D2235" authorId="1" shapeId="0" xr:uid="{00000000-0006-0000-0100-000076080000}">
      <text>
        <r>
          <rPr>
            <sz val="11"/>
            <color theme="1"/>
            <rFont val="Calibri"/>
            <family val="2"/>
            <scheme val="minor"/>
          </rPr>
          <t>Seleccione el tipo de procedimiento</t>
        </r>
      </text>
    </comment>
    <comment ref="E2235" authorId="1" shapeId="0" xr:uid="{00000000-0006-0000-0100-000077080000}">
      <text>
        <r>
          <rPr>
            <sz val="11"/>
            <color theme="1"/>
            <rFont val="Calibri"/>
            <family val="2"/>
            <scheme val="minor"/>
          </rPr>
          <t>Seleccione un valor de la lista</t>
        </r>
      </text>
    </comment>
    <comment ref="F2235" authorId="1" shapeId="0" xr:uid="{00000000-0006-0000-0100-000078080000}">
      <text>
        <r>
          <rPr>
            <sz val="11"/>
            <color theme="1"/>
            <rFont val="Calibri"/>
            <family val="2"/>
            <scheme val="minor"/>
          </rPr>
          <t>Introduzca el código SNIP</t>
        </r>
      </text>
    </comment>
    <comment ref="C2236" authorId="1" shapeId="0" xr:uid="{00000000-0006-0000-0100-000079080000}">
      <text>
        <r>
          <rPr>
            <sz val="11"/>
            <color theme="1"/>
            <rFont val="Calibri"/>
            <family val="2"/>
            <scheme val="minor"/>
          </rPr>
          <t>Introduzca la fecha de inicio del proceso, en formato dd-mm-aaaa</t>
        </r>
      </text>
    </comment>
    <comment ref="F2236" authorId="1" shapeId="0" xr:uid="{00000000-0006-0000-0100-00007B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37" authorId="1" shapeId="0" xr:uid="{00000000-0006-0000-0100-00007C080000}">
      <text/>
    </comment>
    <comment ref="C2238" authorId="1" shapeId="0" xr:uid="{00000000-0006-0000-0100-00007A080000}">
      <text>
        <r>
          <rPr>
            <sz val="11"/>
            <color theme="1"/>
            <rFont val="Calibri"/>
            <family val="2"/>
            <scheme val="minor"/>
          </rPr>
          <t>Introduzca la fecha prevista de adjudicación, en formato dd-mm-aaaa</t>
        </r>
      </text>
    </comment>
    <comment ref="F2238" authorId="1" shapeId="0" xr:uid="{00000000-0006-0000-0100-00007D080000}">
      <text/>
    </comment>
    <comment ref="F2239" authorId="1" shapeId="0" xr:uid="{00000000-0006-0000-0100-00007E080000}">
      <text/>
    </comment>
    <comment ref="A2241" authorId="1" shapeId="0" xr:uid="{00000000-0006-0000-0100-00007F080000}">
      <text>
        <r>
          <rPr>
            <sz val="11"/>
            <color theme="1"/>
            <rFont val="Calibri"/>
            <family val="2"/>
            <scheme val="minor"/>
          </rPr>
          <t>Introduzca un codigo UNSPSC</t>
        </r>
      </text>
    </comment>
    <comment ref="B2241" authorId="1" shapeId="0" xr:uid="{00000000-0006-0000-0100-000080080000}">
      <text>
        <r>
          <rPr>
            <sz val="11"/>
            <color theme="1"/>
            <rFont val="Calibri"/>
            <family val="2"/>
            <scheme val="minor"/>
          </rPr>
          <t>Descripción calculada automáticamente a partir de código del artículo</t>
        </r>
      </text>
    </comment>
    <comment ref="C2241" authorId="1" shapeId="0" xr:uid="{00000000-0006-0000-0100-000081080000}">
      <text>
        <r>
          <rPr>
            <sz val="11"/>
            <color theme="1"/>
            <rFont val="Calibri"/>
            <family val="2"/>
            <scheme val="minor"/>
          </rPr>
          <t>Seleccione un valor de la lista</t>
        </r>
      </text>
    </comment>
    <comment ref="D2241" authorId="1" shapeId="0" xr:uid="{00000000-0006-0000-0100-000082080000}">
      <text>
        <r>
          <rPr>
            <sz val="11"/>
            <color theme="1"/>
            <rFont val="Calibri"/>
            <family val="2"/>
            <scheme val="minor"/>
          </rPr>
          <t>Introduzca un número con dos decimales como máximo. Debe ser igual o mayor a la "Cantidad Real Consumida"</t>
        </r>
      </text>
    </comment>
    <comment ref="E2241" authorId="1" shapeId="0" xr:uid="{00000000-0006-0000-0100-000083080000}">
      <text>
        <r>
          <rPr>
            <sz val="11"/>
            <color theme="1"/>
            <rFont val="Calibri"/>
            <family val="2"/>
            <scheme val="minor"/>
          </rPr>
          <t>Introduzca un número con dos decimales como máximo</t>
        </r>
      </text>
    </comment>
    <comment ref="F2241" authorId="1" shapeId="0" xr:uid="{00000000-0006-0000-0100-000084080000}">
      <text>
        <r>
          <rPr>
            <sz val="11"/>
            <color theme="1"/>
            <rFont val="Calibri"/>
            <family val="2"/>
            <scheme val="minor"/>
          </rPr>
          <t>Monto calculado automáticamente por el sistema</t>
        </r>
      </text>
    </comment>
    <comment ref="A2246" authorId="1" shapeId="0" xr:uid="{00000000-0006-0000-0100-000085080000}">
      <text>
        <r>
          <rPr>
            <sz val="11"/>
            <color theme="1"/>
            <rFont val="Calibri"/>
            <family val="2"/>
            <scheme val="minor"/>
          </rPr>
          <t>Introducir un texto con el nombre o referencia de la contratación</t>
        </r>
      </text>
    </comment>
    <comment ref="B2246" authorId="1" shapeId="0" xr:uid="{00000000-0006-0000-0100-000086080000}">
      <text>
        <r>
          <rPr>
            <sz val="11"/>
            <color theme="1"/>
            <rFont val="Calibri"/>
            <family val="2"/>
            <scheme val="minor"/>
          </rPr>
          <t>Introduzca un texto con la finalidad de la contratación</t>
        </r>
      </text>
    </comment>
    <comment ref="C2246" authorId="1" shapeId="0" xr:uid="{00000000-0006-0000-0100-000087080000}">
      <text>
        <r>
          <rPr>
            <sz val="11"/>
            <color theme="1"/>
            <rFont val="Calibri"/>
            <family val="2"/>
            <scheme val="minor"/>
          </rPr>
          <t>Seleccionar un valor del listado</t>
        </r>
      </text>
    </comment>
    <comment ref="D2246" authorId="1" shapeId="0" xr:uid="{00000000-0006-0000-0100-000088080000}">
      <text>
        <r>
          <rPr>
            <sz val="11"/>
            <color theme="1"/>
            <rFont val="Calibri"/>
            <family val="2"/>
            <scheme val="minor"/>
          </rPr>
          <t>Seleccione el tipo de procedimiento</t>
        </r>
      </text>
    </comment>
    <comment ref="E2246" authorId="1" shapeId="0" xr:uid="{00000000-0006-0000-0100-000089080000}">
      <text>
        <r>
          <rPr>
            <sz val="11"/>
            <color theme="1"/>
            <rFont val="Calibri"/>
            <family val="2"/>
            <scheme val="minor"/>
          </rPr>
          <t>Seleccione un valor de la lista</t>
        </r>
      </text>
    </comment>
    <comment ref="F2246" authorId="1" shapeId="0" xr:uid="{00000000-0006-0000-0100-00008A080000}">
      <text>
        <r>
          <rPr>
            <sz val="11"/>
            <color theme="1"/>
            <rFont val="Calibri"/>
            <family val="2"/>
            <scheme val="minor"/>
          </rPr>
          <t>Introduzca el código SNIP</t>
        </r>
      </text>
    </comment>
    <comment ref="C2247" authorId="1" shapeId="0" xr:uid="{00000000-0006-0000-0100-00008B080000}">
      <text>
        <r>
          <rPr>
            <sz val="11"/>
            <color theme="1"/>
            <rFont val="Calibri"/>
            <family val="2"/>
            <scheme val="minor"/>
          </rPr>
          <t>Introduzca la fecha de inicio del proceso, en formato dd-mm-aaaa</t>
        </r>
      </text>
    </comment>
    <comment ref="F2247" authorId="1" shapeId="0" xr:uid="{00000000-0006-0000-0100-00008D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48" authorId="1" shapeId="0" xr:uid="{00000000-0006-0000-0100-00008E080000}">
      <text/>
    </comment>
    <comment ref="C2249" authorId="1" shapeId="0" xr:uid="{00000000-0006-0000-0100-00008C080000}">
      <text>
        <r>
          <rPr>
            <sz val="11"/>
            <color theme="1"/>
            <rFont val="Calibri"/>
            <family val="2"/>
            <scheme val="minor"/>
          </rPr>
          <t>Introduzca la fecha prevista de adjudicación, en formato dd-mm-aaaa</t>
        </r>
      </text>
    </comment>
    <comment ref="F2249" authorId="1" shapeId="0" xr:uid="{00000000-0006-0000-0100-00008F080000}">
      <text/>
    </comment>
    <comment ref="F2250" authorId="1" shapeId="0" xr:uid="{00000000-0006-0000-0100-000090080000}">
      <text/>
    </comment>
    <comment ref="A2252" authorId="1" shapeId="0" xr:uid="{00000000-0006-0000-0100-000091080000}">
      <text>
        <r>
          <rPr>
            <sz val="11"/>
            <color theme="1"/>
            <rFont val="Calibri"/>
            <family val="2"/>
            <scheme val="minor"/>
          </rPr>
          <t>Introduzca un codigo UNSPSC</t>
        </r>
      </text>
    </comment>
    <comment ref="B2252" authorId="1" shapeId="0" xr:uid="{00000000-0006-0000-0100-000092080000}">
      <text>
        <r>
          <rPr>
            <sz val="11"/>
            <color theme="1"/>
            <rFont val="Calibri"/>
            <family val="2"/>
            <scheme val="minor"/>
          </rPr>
          <t>Descripción calculada automáticamente a partir de código del artículo</t>
        </r>
      </text>
    </comment>
    <comment ref="C2252" authorId="1" shapeId="0" xr:uid="{00000000-0006-0000-0100-000093080000}">
      <text>
        <r>
          <rPr>
            <sz val="11"/>
            <color theme="1"/>
            <rFont val="Calibri"/>
            <family val="2"/>
            <scheme val="minor"/>
          </rPr>
          <t>Seleccione un valor de la lista</t>
        </r>
      </text>
    </comment>
    <comment ref="D2252" authorId="1" shapeId="0" xr:uid="{00000000-0006-0000-0100-000094080000}">
      <text>
        <r>
          <rPr>
            <sz val="11"/>
            <color theme="1"/>
            <rFont val="Calibri"/>
            <family val="2"/>
            <scheme val="minor"/>
          </rPr>
          <t>Introduzca un número con dos decimales como máximo. Debe ser igual o mayor a la "Cantidad Real Consumida"</t>
        </r>
      </text>
    </comment>
    <comment ref="E2252" authorId="1" shapeId="0" xr:uid="{00000000-0006-0000-0100-000095080000}">
      <text>
        <r>
          <rPr>
            <sz val="11"/>
            <color theme="1"/>
            <rFont val="Calibri"/>
            <family val="2"/>
            <scheme val="minor"/>
          </rPr>
          <t>Introduzca un número con dos decimales como máximo</t>
        </r>
      </text>
    </comment>
    <comment ref="F2252" authorId="1" shapeId="0" xr:uid="{00000000-0006-0000-0100-000096080000}">
      <text>
        <r>
          <rPr>
            <sz val="11"/>
            <color theme="1"/>
            <rFont val="Calibri"/>
            <family val="2"/>
            <scheme val="minor"/>
          </rPr>
          <t>Monto calculado automáticamente por el sistema</t>
        </r>
      </text>
    </comment>
    <comment ref="A2258" authorId="1" shapeId="0" xr:uid="{00000000-0006-0000-0100-000097080000}">
      <text>
        <r>
          <rPr>
            <sz val="11"/>
            <color theme="1"/>
            <rFont val="Calibri"/>
            <family val="2"/>
            <scheme val="minor"/>
          </rPr>
          <t>Introducir un texto con el nombre o referencia de la contratación</t>
        </r>
      </text>
    </comment>
    <comment ref="B2258" authorId="1" shapeId="0" xr:uid="{00000000-0006-0000-0100-000098080000}">
      <text>
        <r>
          <rPr>
            <sz val="11"/>
            <color theme="1"/>
            <rFont val="Calibri"/>
            <family val="2"/>
            <scheme val="minor"/>
          </rPr>
          <t>Introduzca un texto con la finalidad de la contratación</t>
        </r>
      </text>
    </comment>
    <comment ref="C2258" authorId="1" shapeId="0" xr:uid="{00000000-0006-0000-0100-000099080000}">
      <text>
        <r>
          <rPr>
            <sz val="11"/>
            <color theme="1"/>
            <rFont val="Calibri"/>
            <family val="2"/>
            <scheme val="minor"/>
          </rPr>
          <t>Seleccionar un valor del listado</t>
        </r>
      </text>
    </comment>
    <comment ref="D2258" authorId="1" shapeId="0" xr:uid="{00000000-0006-0000-0100-00009A080000}">
      <text>
        <r>
          <rPr>
            <sz val="11"/>
            <color theme="1"/>
            <rFont val="Calibri"/>
            <family val="2"/>
            <scheme val="minor"/>
          </rPr>
          <t>Seleccione el tipo de procedimiento</t>
        </r>
      </text>
    </comment>
    <comment ref="E2258" authorId="1" shapeId="0" xr:uid="{00000000-0006-0000-0100-00009B080000}">
      <text>
        <r>
          <rPr>
            <sz val="11"/>
            <color theme="1"/>
            <rFont val="Calibri"/>
            <family val="2"/>
            <scheme val="minor"/>
          </rPr>
          <t>Seleccione un valor de la lista</t>
        </r>
      </text>
    </comment>
    <comment ref="F2258" authorId="1" shapeId="0" xr:uid="{00000000-0006-0000-0100-00009C080000}">
      <text>
        <r>
          <rPr>
            <sz val="11"/>
            <color theme="1"/>
            <rFont val="Calibri"/>
            <family val="2"/>
            <scheme val="minor"/>
          </rPr>
          <t>Introduzca el código SNIP</t>
        </r>
      </text>
    </comment>
    <comment ref="C2259" authorId="1" shapeId="0" xr:uid="{00000000-0006-0000-0100-00009D080000}">
      <text>
        <r>
          <rPr>
            <sz val="11"/>
            <color theme="1"/>
            <rFont val="Calibri"/>
            <family val="2"/>
            <scheme val="minor"/>
          </rPr>
          <t>Introduzca la fecha de inicio del proceso, en formato dd-mm-aaaa</t>
        </r>
      </text>
    </comment>
    <comment ref="F2259" authorId="1" shapeId="0" xr:uid="{00000000-0006-0000-0100-00009F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60" authorId="1" shapeId="0" xr:uid="{00000000-0006-0000-0100-0000A0080000}">
      <text/>
    </comment>
    <comment ref="C2261" authorId="1" shapeId="0" xr:uid="{00000000-0006-0000-0100-00009E080000}">
      <text>
        <r>
          <rPr>
            <sz val="11"/>
            <color theme="1"/>
            <rFont val="Calibri"/>
            <family val="2"/>
            <scheme val="minor"/>
          </rPr>
          <t>Introduzca la fecha prevista de adjudicación, en formato dd-mm-aaaa</t>
        </r>
      </text>
    </comment>
    <comment ref="F2261" authorId="1" shapeId="0" xr:uid="{00000000-0006-0000-0100-0000A1080000}">
      <text/>
    </comment>
    <comment ref="F2262" authorId="1" shapeId="0" xr:uid="{00000000-0006-0000-0100-0000A2080000}">
      <text/>
    </comment>
    <comment ref="A2264" authorId="1" shapeId="0" xr:uid="{00000000-0006-0000-0100-0000A3080000}">
      <text>
        <r>
          <rPr>
            <sz val="11"/>
            <color theme="1"/>
            <rFont val="Calibri"/>
            <family val="2"/>
            <scheme val="minor"/>
          </rPr>
          <t>Introduzca un codigo UNSPSC</t>
        </r>
      </text>
    </comment>
    <comment ref="B2264" authorId="1" shapeId="0" xr:uid="{00000000-0006-0000-0100-0000A4080000}">
      <text>
        <r>
          <rPr>
            <sz val="11"/>
            <color theme="1"/>
            <rFont val="Calibri"/>
            <family val="2"/>
            <scheme val="minor"/>
          </rPr>
          <t>Descripción calculada automáticamente a partir de código del artículo</t>
        </r>
      </text>
    </comment>
    <comment ref="C2264" authorId="1" shapeId="0" xr:uid="{00000000-0006-0000-0100-0000A5080000}">
      <text>
        <r>
          <rPr>
            <sz val="11"/>
            <color theme="1"/>
            <rFont val="Calibri"/>
            <family val="2"/>
            <scheme val="minor"/>
          </rPr>
          <t>Seleccione un valor de la lista</t>
        </r>
      </text>
    </comment>
    <comment ref="D2264" authorId="1" shapeId="0" xr:uid="{00000000-0006-0000-0100-0000A6080000}">
      <text>
        <r>
          <rPr>
            <sz val="11"/>
            <color theme="1"/>
            <rFont val="Calibri"/>
            <family val="2"/>
            <scheme val="minor"/>
          </rPr>
          <t>Introduzca un número con dos decimales como máximo. Debe ser igual o mayor a la "Cantidad Real Consumida"</t>
        </r>
      </text>
    </comment>
    <comment ref="E2264" authorId="1" shapeId="0" xr:uid="{00000000-0006-0000-0100-0000A7080000}">
      <text>
        <r>
          <rPr>
            <sz val="11"/>
            <color theme="1"/>
            <rFont val="Calibri"/>
            <family val="2"/>
            <scheme val="minor"/>
          </rPr>
          <t>Introduzca un número con dos decimales como máximo</t>
        </r>
      </text>
    </comment>
    <comment ref="F2264" authorId="1" shapeId="0" xr:uid="{00000000-0006-0000-0100-0000A8080000}">
      <text>
        <r>
          <rPr>
            <sz val="11"/>
            <color theme="1"/>
            <rFont val="Calibri"/>
            <family val="2"/>
            <scheme val="minor"/>
          </rPr>
          <t>Monto calculado automáticamente por el sistema</t>
        </r>
      </text>
    </comment>
    <comment ref="A2273" authorId="1" shapeId="0" xr:uid="{00000000-0006-0000-0100-0000A9080000}">
      <text>
        <r>
          <rPr>
            <sz val="11"/>
            <color theme="1"/>
            <rFont val="Calibri"/>
            <family val="2"/>
            <scheme val="minor"/>
          </rPr>
          <t>Introducir un texto con el nombre o referencia de la contratación</t>
        </r>
      </text>
    </comment>
    <comment ref="B2273" authorId="1" shapeId="0" xr:uid="{00000000-0006-0000-0100-0000AA080000}">
      <text>
        <r>
          <rPr>
            <sz val="11"/>
            <color theme="1"/>
            <rFont val="Calibri"/>
            <family val="2"/>
            <scheme val="minor"/>
          </rPr>
          <t>Introduzca un texto con la finalidad de la contratación</t>
        </r>
      </text>
    </comment>
    <comment ref="C2273" authorId="1" shapeId="0" xr:uid="{00000000-0006-0000-0100-0000AB080000}">
      <text>
        <r>
          <rPr>
            <sz val="11"/>
            <color theme="1"/>
            <rFont val="Calibri"/>
            <family val="2"/>
            <scheme val="minor"/>
          </rPr>
          <t>Seleccionar un valor del listado</t>
        </r>
      </text>
    </comment>
    <comment ref="D2273" authorId="1" shapeId="0" xr:uid="{00000000-0006-0000-0100-0000AC080000}">
      <text>
        <r>
          <rPr>
            <sz val="11"/>
            <color theme="1"/>
            <rFont val="Calibri"/>
            <family val="2"/>
            <scheme val="minor"/>
          </rPr>
          <t>Seleccione el tipo de procedimiento</t>
        </r>
      </text>
    </comment>
    <comment ref="E2273" authorId="1" shapeId="0" xr:uid="{00000000-0006-0000-0100-0000AD080000}">
      <text>
        <r>
          <rPr>
            <sz val="11"/>
            <color theme="1"/>
            <rFont val="Calibri"/>
            <family val="2"/>
            <scheme val="minor"/>
          </rPr>
          <t>Seleccione un valor de la lista</t>
        </r>
      </text>
    </comment>
    <comment ref="F2273" authorId="1" shapeId="0" xr:uid="{00000000-0006-0000-0100-0000AE080000}">
      <text>
        <r>
          <rPr>
            <sz val="11"/>
            <color theme="1"/>
            <rFont val="Calibri"/>
            <family val="2"/>
            <scheme val="minor"/>
          </rPr>
          <t>Introduzca el código SNIP</t>
        </r>
      </text>
    </comment>
    <comment ref="C2274" authorId="1" shapeId="0" xr:uid="{00000000-0006-0000-0100-0000AF080000}">
      <text>
        <r>
          <rPr>
            <sz val="11"/>
            <color theme="1"/>
            <rFont val="Calibri"/>
            <family val="2"/>
            <scheme val="minor"/>
          </rPr>
          <t>Introduzca la fecha de inicio del proceso, en formato dd-mm-aaaa</t>
        </r>
      </text>
    </comment>
    <comment ref="F2274" authorId="1" shapeId="0" xr:uid="{00000000-0006-0000-0100-0000B1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75" authorId="1" shapeId="0" xr:uid="{00000000-0006-0000-0100-0000B2080000}">
      <text/>
    </comment>
    <comment ref="C2276" authorId="1" shapeId="0" xr:uid="{00000000-0006-0000-0100-0000B0080000}">
      <text>
        <r>
          <rPr>
            <sz val="11"/>
            <color theme="1"/>
            <rFont val="Calibri"/>
            <family val="2"/>
            <scheme val="minor"/>
          </rPr>
          <t>Introduzca la fecha prevista de adjudicación, en formato dd-mm-aaaa</t>
        </r>
      </text>
    </comment>
    <comment ref="F2276" authorId="1" shapeId="0" xr:uid="{00000000-0006-0000-0100-0000B3080000}">
      <text/>
    </comment>
    <comment ref="F2277" authorId="1" shapeId="0" xr:uid="{00000000-0006-0000-0100-0000B4080000}">
      <text/>
    </comment>
    <comment ref="A2279" authorId="1" shapeId="0" xr:uid="{00000000-0006-0000-0100-0000B5080000}">
      <text>
        <r>
          <rPr>
            <sz val="11"/>
            <color theme="1"/>
            <rFont val="Calibri"/>
            <family val="2"/>
            <scheme val="minor"/>
          </rPr>
          <t>Introduzca un codigo UNSPSC</t>
        </r>
      </text>
    </comment>
    <comment ref="B2279" authorId="1" shapeId="0" xr:uid="{00000000-0006-0000-0100-0000B6080000}">
      <text>
        <r>
          <rPr>
            <sz val="11"/>
            <color theme="1"/>
            <rFont val="Calibri"/>
            <family val="2"/>
            <scheme val="minor"/>
          </rPr>
          <t>Descripción calculada automáticamente a partir de código del artículo</t>
        </r>
      </text>
    </comment>
    <comment ref="C2279" authorId="1" shapeId="0" xr:uid="{00000000-0006-0000-0100-0000B7080000}">
      <text>
        <r>
          <rPr>
            <sz val="11"/>
            <color theme="1"/>
            <rFont val="Calibri"/>
            <family val="2"/>
            <scheme val="minor"/>
          </rPr>
          <t>Seleccione un valor de la lista</t>
        </r>
      </text>
    </comment>
    <comment ref="D2279" authorId="1" shapeId="0" xr:uid="{00000000-0006-0000-0100-0000B8080000}">
      <text>
        <r>
          <rPr>
            <sz val="11"/>
            <color theme="1"/>
            <rFont val="Calibri"/>
            <family val="2"/>
            <scheme val="minor"/>
          </rPr>
          <t>Introduzca un número con dos decimales como máximo. Debe ser igual o mayor a la "Cantidad Real Consumida"</t>
        </r>
      </text>
    </comment>
    <comment ref="E2279" authorId="1" shapeId="0" xr:uid="{00000000-0006-0000-0100-0000B9080000}">
      <text>
        <r>
          <rPr>
            <sz val="11"/>
            <color theme="1"/>
            <rFont val="Calibri"/>
            <family val="2"/>
            <scheme val="minor"/>
          </rPr>
          <t>Introduzca un número con dos decimales como máximo</t>
        </r>
      </text>
    </comment>
    <comment ref="F2279" authorId="1" shapeId="0" xr:uid="{00000000-0006-0000-0100-0000BA080000}">
      <text>
        <r>
          <rPr>
            <sz val="11"/>
            <color theme="1"/>
            <rFont val="Calibri"/>
            <family val="2"/>
            <scheme val="minor"/>
          </rPr>
          <t>Monto calculado automáticamente por el sistema</t>
        </r>
      </text>
    </comment>
    <comment ref="A2300" authorId="1" shapeId="0" xr:uid="{00000000-0006-0000-0100-0000BB080000}">
      <text>
        <r>
          <rPr>
            <sz val="11"/>
            <color theme="1"/>
            <rFont val="Calibri"/>
            <family val="2"/>
            <scheme val="minor"/>
          </rPr>
          <t>Introducir un texto con el nombre o referencia de la contratación</t>
        </r>
      </text>
    </comment>
    <comment ref="B2300" authorId="1" shapeId="0" xr:uid="{00000000-0006-0000-0100-0000BC080000}">
      <text>
        <r>
          <rPr>
            <sz val="11"/>
            <color theme="1"/>
            <rFont val="Calibri"/>
            <family val="2"/>
            <scheme val="minor"/>
          </rPr>
          <t>Introduzca un texto con la finalidad de la contratación</t>
        </r>
      </text>
    </comment>
    <comment ref="C2300" authorId="1" shapeId="0" xr:uid="{00000000-0006-0000-0100-0000BD080000}">
      <text>
        <r>
          <rPr>
            <sz val="11"/>
            <color theme="1"/>
            <rFont val="Calibri"/>
            <family val="2"/>
            <scheme val="minor"/>
          </rPr>
          <t>Seleccionar un valor del listado</t>
        </r>
      </text>
    </comment>
    <comment ref="D2300" authorId="1" shapeId="0" xr:uid="{00000000-0006-0000-0100-0000BE080000}">
      <text>
        <r>
          <rPr>
            <sz val="11"/>
            <color theme="1"/>
            <rFont val="Calibri"/>
            <family val="2"/>
            <scheme val="minor"/>
          </rPr>
          <t>Seleccione el tipo de procedimiento</t>
        </r>
      </text>
    </comment>
    <comment ref="E2300" authorId="1" shapeId="0" xr:uid="{00000000-0006-0000-0100-0000BF080000}">
      <text>
        <r>
          <rPr>
            <sz val="11"/>
            <color theme="1"/>
            <rFont val="Calibri"/>
            <family val="2"/>
            <scheme val="minor"/>
          </rPr>
          <t>Seleccione un valor de la lista</t>
        </r>
      </text>
    </comment>
    <comment ref="F2300" authorId="1" shapeId="0" xr:uid="{00000000-0006-0000-0100-0000C0080000}">
      <text>
        <r>
          <rPr>
            <sz val="11"/>
            <color theme="1"/>
            <rFont val="Calibri"/>
            <family val="2"/>
            <scheme val="minor"/>
          </rPr>
          <t>Introduzca el código SNIP</t>
        </r>
      </text>
    </comment>
    <comment ref="C2301" authorId="1" shapeId="0" xr:uid="{00000000-0006-0000-0100-0000C1080000}">
      <text>
        <r>
          <rPr>
            <sz val="11"/>
            <color theme="1"/>
            <rFont val="Calibri"/>
            <family val="2"/>
            <scheme val="minor"/>
          </rPr>
          <t>Introduzca la fecha de inicio del proceso, en formato dd-mm-aaaa</t>
        </r>
      </text>
    </comment>
    <comment ref="F2301" authorId="1" shapeId="0" xr:uid="{00000000-0006-0000-0100-0000C3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02" authorId="1" shapeId="0" xr:uid="{00000000-0006-0000-0100-0000C4080000}">
      <text/>
    </comment>
    <comment ref="C2303" authorId="1" shapeId="0" xr:uid="{00000000-0006-0000-0100-0000C2080000}">
      <text>
        <r>
          <rPr>
            <sz val="11"/>
            <color theme="1"/>
            <rFont val="Calibri"/>
            <family val="2"/>
            <scheme val="minor"/>
          </rPr>
          <t>Introduzca la fecha prevista de adjudicación, en formato dd-mm-aaaa</t>
        </r>
      </text>
    </comment>
    <comment ref="F2303" authorId="1" shapeId="0" xr:uid="{00000000-0006-0000-0100-0000C5080000}">
      <text/>
    </comment>
    <comment ref="F2304" authorId="1" shapeId="0" xr:uid="{00000000-0006-0000-0100-0000C6080000}">
      <text/>
    </comment>
    <comment ref="A2306" authorId="1" shapeId="0" xr:uid="{00000000-0006-0000-0100-0000C7080000}">
      <text>
        <r>
          <rPr>
            <sz val="11"/>
            <color theme="1"/>
            <rFont val="Calibri"/>
            <family val="2"/>
            <scheme val="minor"/>
          </rPr>
          <t>Introduzca un codigo UNSPSC</t>
        </r>
      </text>
    </comment>
    <comment ref="B2306" authorId="1" shapeId="0" xr:uid="{00000000-0006-0000-0100-0000C8080000}">
      <text>
        <r>
          <rPr>
            <sz val="11"/>
            <color theme="1"/>
            <rFont val="Calibri"/>
            <family val="2"/>
            <scheme val="minor"/>
          </rPr>
          <t>Descripción calculada automáticamente a partir de código del artículo</t>
        </r>
      </text>
    </comment>
    <comment ref="C2306" authorId="1" shapeId="0" xr:uid="{00000000-0006-0000-0100-0000C9080000}">
      <text>
        <r>
          <rPr>
            <sz val="11"/>
            <color theme="1"/>
            <rFont val="Calibri"/>
            <family val="2"/>
            <scheme val="minor"/>
          </rPr>
          <t>Seleccione un valor de la lista</t>
        </r>
      </text>
    </comment>
    <comment ref="D2306" authorId="1" shapeId="0" xr:uid="{00000000-0006-0000-0100-0000CA080000}">
      <text>
        <r>
          <rPr>
            <sz val="11"/>
            <color theme="1"/>
            <rFont val="Calibri"/>
            <family val="2"/>
            <scheme val="minor"/>
          </rPr>
          <t>Introduzca un número con dos decimales como máximo. Debe ser igual o mayor a la "Cantidad Real Consumida"</t>
        </r>
      </text>
    </comment>
    <comment ref="E2306" authorId="1" shapeId="0" xr:uid="{00000000-0006-0000-0100-0000CB080000}">
      <text>
        <r>
          <rPr>
            <sz val="11"/>
            <color theme="1"/>
            <rFont val="Calibri"/>
            <family val="2"/>
            <scheme val="minor"/>
          </rPr>
          <t>Introduzca un número con dos decimales como máximo</t>
        </r>
      </text>
    </comment>
    <comment ref="F2306" authorId="1" shapeId="0" xr:uid="{00000000-0006-0000-0100-0000CC080000}">
      <text>
        <r>
          <rPr>
            <sz val="11"/>
            <color theme="1"/>
            <rFont val="Calibri"/>
            <family val="2"/>
            <scheme val="minor"/>
          </rPr>
          <t>Monto calculado automáticamente por el sistema</t>
        </r>
      </text>
    </comment>
    <comment ref="A2315" authorId="1" shapeId="0" xr:uid="{00000000-0006-0000-0100-0000CD080000}">
      <text>
        <r>
          <rPr>
            <sz val="11"/>
            <color theme="1"/>
            <rFont val="Calibri"/>
            <family val="2"/>
            <scheme val="minor"/>
          </rPr>
          <t>Introducir un texto con el nombre o referencia de la contratación</t>
        </r>
      </text>
    </comment>
    <comment ref="B2315" authorId="1" shapeId="0" xr:uid="{00000000-0006-0000-0100-0000CE080000}">
      <text>
        <r>
          <rPr>
            <sz val="11"/>
            <color theme="1"/>
            <rFont val="Calibri"/>
            <family val="2"/>
            <scheme val="minor"/>
          </rPr>
          <t>Introduzca un texto con la finalidad de la contratación</t>
        </r>
      </text>
    </comment>
    <comment ref="C2315" authorId="1" shapeId="0" xr:uid="{00000000-0006-0000-0100-0000CF080000}">
      <text>
        <r>
          <rPr>
            <sz val="11"/>
            <color theme="1"/>
            <rFont val="Calibri"/>
            <family val="2"/>
            <scheme val="minor"/>
          </rPr>
          <t>Seleccionar un valor del listado</t>
        </r>
      </text>
    </comment>
    <comment ref="D2315" authorId="1" shapeId="0" xr:uid="{00000000-0006-0000-0100-0000D0080000}">
      <text>
        <r>
          <rPr>
            <sz val="11"/>
            <color theme="1"/>
            <rFont val="Calibri"/>
            <family val="2"/>
            <scheme val="minor"/>
          </rPr>
          <t>Seleccione el tipo de procedimiento</t>
        </r>
      </text>
    </comment>
    <comment ref="E2315" authorId="1" shapeId="0" xr:uid="{00000000-0006-0000-0100-0000D1080000}">
      <text>
        <r>
          <rPr>
            <sz val="11"/>
            <color theme="1"/>
            <rFont val="Calibri"/>
            <family val="2"/>
            <scheme val="minor"/>
          </rPr>
          <t>Seleccione un valor de la lista</t>
        </r>
      </text>
    </comment>
    <comment ref="F2315" authorId="1" shapeId="0" xr:uid="{00000000-0006-0000-0100-0000D2080000}">
      <text>
        <r>
          <rPr>
            <sz val="11"/>
            <color theme="1"/>
            <rFont val="Calibri"/>
            <family val="2"/>
            <scheme val="minor"/>
          </rPr>
          <t>Introduzca el código SNIP</t>
        </r>
      </text>
    </comment>
    <comment ref="C2316" authorId="1" shapeId="0" xr:uid="{00000000-0006-0000-0100-0000D3080000}">
      <text>
        <r>
          <rPr>
            <sz val="11"/>
            <color theme="1"/>
            <rFont val="Calibri"/>
            <family val="2"/>
            <scheme val="minor"/>
          </rPr>
          <t>Introduzca la fecha de inicio del proceso, en formato dd-mm-aaaa</t>
        </r>
      </text>
    </comment>
    <comment ref="F2316" authorId="1" shapeId="0" xr:uid="{00000000-0006-0000-0100-0000D5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17" authorId="1" shapeId="0" xr:uid="{00000000-0006-0000-0100-0000D6080000}">
      <text/>
    </comment>
    <comment ref="C2318" authorId="1" shapeId="0" xr:uid="{00000000-0006-0000-0100-0000D4080000}">
      <text>
        <r>
          <rPr>
            <sz val="11"/>
            <color theme="1"/>
            <rFont val="Calibri"/>
            <family val="2"/>
            <scheme val="minor"/>
          </rPr>
          <t>Introduzca la fecha prevista de adjudicación, en formato dd-mm-aaaa</t>
        </r>
      </text>
    </comment>
    <comment ref="F2318" authorId="1" shapeId="0" xr:uid="{00000000-0006-0000-0100-0000D7080000}">
      <text/>
    </comment>
    <comment ref="F2319" authorId="1" shapeId="0" xr:uid="{00000000-0006-0000-0100-0000D8080000}">
      <text/>
    </comment>
    <comment ref="A2321" authorId="1" shapeId="0" xr:uid="{00000000-0006-0000-0100-0000D9080000}">
      <text>
        <r>
          <rPr>
            <sz val="11"/>
            <color theme="1"/>
            <rFont val="Calibri"/>
            <family val="2"/>
            <scheme val="minor"/>
          </rPr>
          <t>Introduzca un codigo UNSPSC</t>
        </r>
      </text>
    </comment>
    <comment ref="B2321" authorId="1" shapeId="0" xr:uid="{00000000-0006-0000-0100-0000DA080000}">
      <text>
        <r>
          <rPr>
            <sz val="11"/>
            <color theme="1"/>
            <rFont val="Calibri"/>
            <family val="2"/>
            <scheme val="minor"/>
          </rPr>
          <t>Descripción calculada automáticamente a partir de código del artículo</t>
        </r>
      </text>
    </comment>
    <comment ref="C2321" authorId="1" shapeId="0" xr:uid="{00000000-0006-0000-0100-0000DB080000}">
      <text>
        <r>
          <rPr>
            <sz val="11"/>
            <color theme="1"/>
            <rFont val="Calibri"/>
            <family val="2"/>
            <scheme val="minor"/>
          </rPr>
          <t>Seleccione un valor de la lista</t>
        </r>
      </text>
    </comment>
    <comment ref="D2321" authorId="1" shapeId="0" xr:uid="{00000000-0006-0000-0100-0000DC080000}">
      <text>
        <r>
          <rPr>
            <sz val="11"/>
            <color theme="1"/>
            <rFont val="Calibri"/>
            <family val="2"/>
            <scheme val="minor"/>
          </rPr>
          <t>Introduzca un número con dos decimales como máximo. Debe ser igual o mayor a la "Cantidad Real Consumida"</t>
        </r>
      </text>
    </comment>
    <comment ref="E2321" authorId="1" shapeId="0" xr:uid="{00000000-0006-0000-0100-0000DD080000}">
      <text>
        <r>
          <rPr>
            <sz val="11"/>
            <color theme="1"/>
            <rFont val="Calibri"/>
            <family val="2"/>
            <scheme val="minor"/>
          </rPr>
          <t>Introduzca un número con dos decimales como máximo</t>
        </r>
      </text>
    </comment>
    <comment ref="F2321" authorId="1" shapeId="0" xr:uid="{00000000-0006-0000-0100-0000DE080000}">
      <text>
        <r>
          <rPr>
            <sz val="11"/>
            <color theme="1"/>
            <rFont val="Calibri"/>
            <family val="2"/>
            <scheme val="minor"/>
          </rPr>
          <t>Monto calculado automáticamente por el sistema</t>
        </r>
      </text>
    </comment>
    <comment ref="A2332" authorId="1" shapeId="0" xr:uid="{00000000-0006-0000-0100-0000DF080000}">
      <text>
        <r>
          <rPr>
            <sz val="11"/>
            <color theme="1"/>
            <rFont val="Calibri"/>
            <family val="2"/>
            <scheme val="minor"/>
          </rPr>
          <t>Introducir un texto con el nombre o referencia de la contratación</t>
        </r>
      </text>
    </comment>
    <comment ref="B2332" authorId="1" shapeId="0" xr:uid="{00000000-0006-0000-0100-0000E0080000}">
      <text>
        <r>
          <rPr>
            <sz val="11"/>
            <color theme="1"/>
            <rFont val="Calibri"/>
            <family val="2"/>
            <scheme val="minor"/>
          </rPr>
          <t>Introduzca un texto con la finalidad de la contratación</t>
        </r>
      </text>
    </comment>
    <comment ref="C2332" authorId="1" shapeId="0" xr:uid="{00000000-0006-0000-0100-0000E1080000}">
      <text>
        <r>
          <rPr>
            <sz val="11"/>
            <color theme="1"/>
            <rFont val="Calibri"/>
            <family val="2"/>
            <scheme val="minor"/>
          </rPr>
          <t>Seleccionar un valor del listado</t>
        </r>
      </text>
    </comment>
    <comment ref="D2332" authorId="1" shapeId="0" xr:uid="{00000000-0006-0000-0100-0000E2080000}">
      <text>
        <r>
          <rPr>
            <sz val="11"/>
            <color theme="1"/>
            <rFont val="Calibri"/>
            <family val="2"/>
            <scheme val="minor"/>
          </rPr>
          <t>Seleccione el tipo de procedimiento</t>
        </r>
      </text>
    </comment>
    <comment ref="E2332" authorId="1" shapeId="0" xr:uid="{00000000-0006-0000-0100-0000E3080000}">
      <text>
        <r>
          <rPr>
            <sz val="11"/>
            <color theme="1"/>
            <rFont val="Calibri"/>
            <family val="2"/>
            <scheme val="minor"/>
          </rPr>
          <t>Seleccione un valor de la lista</t>
        </r>
      </text>
    </comment>
    <comment ref="F2332" authorId="1" shapeId="0" xr:uid="{00000000-0006-0000-0100-0000E4080000}">
      <text>
        <r>
          <rPr>
            <sz val="11"/>
            <color theme="1"/>
            <rFont val="Calibri"/>
            <family val="2"/>
            <scheme val="minor"/>
          </rPr>
          <t>Introduzca el código SNIP</t>
        </r>
      </text>
    </comment>
    <comment ref="C2333" authorId="1" shapeId="0" xr:uid="{00000000-0006-0000-0100-0000E5080000}">
      <text>
        <r>
          <rPr>
            <sz val="11"/>
            <color theme="1"/>
            <rFont val="Calibri"/>
            <family val="2"/>
            <scheme val="minor"/>
          </rPr>
          <t>Introduzca la fecha de inicio del proceso, en formato dd-mm-aaaa</t>
        </r>
      </text>
    </comment>
    <comment ref="F2333" authorId="1" shapeId="0" xr:uid="{00000000-0006-0000-0100-0000E7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34" authorId="1" shapeId="0" xr:uid="{00000000-0006-0000-0100-0000E8080000}">
      <text/>
    </comment>
    <comment ref="C2335" authorId="1" shapeId="0" xr:uid="{00000000-0006-0000-0100-0000E6080000}">
      <text>
        <r>
          <rPr>
            <sz val="11"/>
            <color theme="1"/>
            <rFont val="Calibri"/>
            <family val="2"/>
            <scheme val="minor"/>
          </rPr>
          <t>Introduzca la fecha prevista de adjudicación, en formato dd-mm-aaaa</t>
        </r>
      </text>
    </comment>
    <comment ref="F2335" authorId="1" shapeId="0" xr:uid="{00000000-0006-0000-0100-0000E9080000}">
      <text/>
    </comment>
    <comment ref="F2336" authorId="1" shapeId="0" xr:uid="{00000000-0006-0000-0100-0000EA080000}">
      <text/>
    </comment>
    <comment ref="A2338" authorId="1" shapeId="0" xr:uid="{00000000-0006-0000-0100-0000EB080000}">
      <text>
        <r>
          <rPr>
            <sz val="11"/>
            <color theme="1"/>
            <rFont val="Calibri"/>
            <family val="2"/>
            <scheme val="minor"/>
          </rPr>
          <t>Introduzca un codigo UNSPSC</t>
        </r>
      </text>
    </comment>
    <comment ref="B2338" authorId="1" shapeId="0" xr:uid="{00000000-0006-0000-0100-0000EC080000}">
      <text>
        <r>
          <rPr>
            <sz val="11"/>
            <color theme="1"/>
            <rFont val="Calibri"/>
            <family val="2"/>
            <scheme val="minor"/>
          </rPr>
          <t>Descripción calculada automáticamente a partir de código del artículo</t>
        </r>
      </text>
    </comment>
    <comment ref="C2338" authorId="1" shapeId="0" xr:uid="{00000000-0006-0000-0100-0000ED080000}">
      <text>
        <r>
          <rPr>
            <sz val="11"/>
            <color theme="1"/>
            <rFont val="Calibri"/>
            <family val="2"/>
            <scheme val="minor"/>
          </rPr>
          <t>Seleccione un valor de la lista</t>
        </r>
      </text>
    </comment>
    <comment ref="D2338" authorId="1" shapeId="0" xr:uid="{00000000-0006-0000-0100-0000EE080000}">
      <text>
        <r>
          <rPr>
            <sz val="11"/>
            <color theme="1"/>
            <rFont val="Calibri"/>
            <family val="2"/>
            <scheme val="minor"/>
          </rPr>
          <t>Introduzca un número con dos decimales como máximo. Debe ser igual o mayor a la "Cantidad Real Consumida"</t>
        </r>
      </text>
    </comment>
    <comment ref="E2338" authorId="1" shapeId="0" xr:uid="{00000000-0006-0000-0100-0000EF080000}">
      <text>
        <r>
          <rPr>
            <sz val="11"/>
            <color theme="1"/>
            <rFont val="Calibri"/>
            <family val="2"/>
            <scheme val="minor"/>
          </rPr>
          <t>Introduzca un número con dos decimales como máximo</t>
        </r>
      </text>
    </comment>
    <comment ref="F2338" authorId="1" shapeId="0" xr:uid="{00000000-0006-0000-0100-0000F0080000}">
      <text>
        <r>
          <rPr>
            <sz val="11"/>
            <color theme="1"/>
            <rFont val="Calibri"/>
            <family val="2"/>
            <scheme val="minor"/>
          </rPr>
          <t>Monto calculado automáticamente por el sistema</t>
        </r>
      </text>
    </comment>
    <comment ref="A2635" authorId="1" shapeId="0" xr:uid="{00000000-0006-0000-0100-0000F1080000}">
      <text>
        <r>
          <rPr>
            <sz val="11"/>
            <color theme="1"/>
            <rFont val="Calibri"/>
            <family val="2"/>
            <scheme val="minor"/>
          </rPr>
          <t>Introducir un texto con el nombre o referencia de la contratación</t>
        </r>
      </text>
    </comment>
    <comment ref="B2635" authorId="1" shapeId="0" xr:uid="{00000000-0006-0000-0100-0000F2080000}">
      <text>
        <r>
          <rPr>
            <sz val="11"/>
            <color theme="1"/>
            <rFont val="Calibri"/>
            <family val="2"/>
            <scheme val="minor"/>
          </rPr>
          <t>Introduzca un texto con la finalidad de la contratación</t>
        </r>
      </text>
    </comment>
    <comment ref="C2635" authorId="1" shapeId="0" xr:uid="{00000000-0006-0000-0100-0000F3080000}">
      <text>
        <r>
          <rPr>
            <sz val="11"/>
            <color theme="1"/>
            <rFont val="Calibri"/>
            <family val="2"/>
            <scheme val="minor"/>
          </rPr>
          <t>Seleccionar un valor del listado</t>
        </r>
      </text>
    </comment>
    <comment ref="D2635" authorId="1" shapeId="0" xr:uid="{00000000-0006-0000-0100-0000F4080000}">
      <text>
        <r>
          <rPr>
            <sz val="11"/>
            <color theme="1"/>
            <rFont val="Calibri"/>
            <family val="2"/>
            <scheme val="minor"/>
          </rPr>
          <t>Seleccione el tipo de procedimiento</t>
        </r>
      </text>
    </comment>
    <comment ref="E2635" authorId="1" shapeId="0" xr:uid="{00000000-0006-0000-0100-0000F5080000}">
      <text>
        <r>
          <rPr>
            <sz val="11"/>
            <color theme="1"/>
            <rFont val="Calibri"/>
            <family val="2"/>
            <scheme val="minor"/>
          </rPr>
          <t>Seleccione un valor de la lista</t>
        </r>
      </text>
    </comment>
    <comment ref="F2635" authorId="1" shapeId="0" xr:uid="{00000000-0006-0000-0100-0000F6080000}">
      <text>
        <r>
          <rPr>
            <sz val="11"/>
            <color theme="1"/>
            <rFont val="Calibri"/>
            <family val="2"/>
            <scheme val="minor"/>
          </rPr>
          <t>Introduzca el código SNIP</t>
        </r>
      </text>
    </comment>
    <comment ref="C2636" authorId="1" shapeId="0" xr:uid="{00000000-0006-0000-0100-0000F7080000}">
      <text>
        <r>
          <rPr>
            <sz val="11"/>
            <color theme="1"/>
            <rFont val="Calibri"/>
            <family val="2"/>
            <scheme val="minor"/>
          </rPr>
          <t>Introduzca la fecha de inicio del proceso, en formato dd-mm-aaaa</t>
        </r>
      </text>
    </comment>
    <comment ref="F2636" authorId="1" shapeId="0" xr:uid="{00000000-0006-0000-0100-0000F9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37" authorId="1" shapeId="0" xr:uid="{00000000-0006-0000-0100-0000FA080000}">
      <text/>
    </comment>
    <comment ref="C2638" authorId="1" shapeId="0" xr:uid="{00000000-0006-0000-0100-0000F8080000}">
      <text>
        <r>
          <rPr>
            <sz val="11"/>
            <color theme="1"/>
            <rFont val="Calibri"/>
            <family val="2"/>
            <scheme val="minor"/>
          </rPr>
          <t>Introduzca la fecha prevista de adjudicación, en formato dd-mm-aaaa</t>
        </r>
      </text>
    </comment>
    <comment ref="F2638" authorId="1" shapeId="0" xr:uid="{00000000-0006-0000-0100-0000FB080000}">
      <text/>
    </comment>
    <comment ref="F2639" authorId="1" shapeId="0" xr:uid="{00000000-0006-0000-0100-0000FC080000}">
      <text/>
    </comment>
    <comment ref="A2641" authorId="1" shapeId="0" xr:uid="{00000000-0006-0000-0100-0000FD080000}">
      <text>
        <r>
          <rPr>
            <sz val="11"/>
            <color theme="1"/>
            <rFont val="Calibri"/>
            <family val="2"/>
            <scheme val="minor"/>
          </rPr>
          <t>Introduzca un codigo UNSPSC</t>
        </r>
      </text>
    </comment>
    <comment ref="B2641" authorId="1" shapeId="0" xr:uid="{00000000-0006-0000-0100-0000FE080000}">
      <text>
        <r>
          <rPr>
            <sz val="11"/>
            <color theme="1"/>
            <rFont val="Calibri"/>
            <family val="2"/>
            <scheme val="minor"/>
          </rPr>
          <t>Descripción calculada automáticamente a partir de código del artículo</t>
        </r>
      </text>
    </comment>
    <comment ref="C2641" authorId="1" shapeId="0" xr:uid="{00000000-0006-0000-0100-0000FF080000}">
      <text>
        <r>
          <rPr>
            <sz val="11"/>
            <color theme="1"/>
            <rFont val="Calibri"/>
            <family val="2"/>
            <scheme val="minor"/>
          </rPr>
          <t>Seleccione un valor de la lista</t>
        </r>
      </text>
    </comment>
    <comment ref="D2641" authorId="1" shapeId="0" xr:uid="{00000000-0006-0000-0100-000000090000}">
      <text>
        <r>
          <rPr>
            <sz val="11"/>
            <color theme="1"/>
            <rFont val="Calibri"/>
            <family val="2"/>
            <scheme val="minor"/>
          </rPr>
          <t>Introduzca un número con dos decimales como máximo. Debe ser igual o mayor a la "Cantidad Real Consumida"</t>
        </r>
      </text>
    </comment>
    <comment ref="E2641" authorId="1" shapeId="0" xr:uid="{00000000-0006-0000-0100-000001090000}">
      <text>
        <r>
          <rPr>
            <sz val="11"/>
            <color theme="1"/>
            <rFont val="Calibri"/>
            <family val="2"/>
            <scheme val="minor"/>
          </rPr>
          <t>Introduzca un número con dos decimales como máximo</t>
        </r>
      </text>
    </comment>
    <comment ref="F2641" authorId="1" shapeId="0" xr:uid="{00000000-0006-0000-0100-000002090000}">
      <text>
        <r>
          <rPr>
            <sz val="11"/>
            <color theme="1"/>
            <rFont val="Calibri"/>
            <family val="2"/>
            <scheme val="minor"/>
          </rPr>
          <t>Monto calculado automáticamente por el sistema</t>
        </r>
      </text>
    </comment>
    <comment ref="A2647" authorId="1" shapeId="0" xr:uid="{00000000-0006-0000-0100-000003090000}">
      <text>
        <r>
          <rPr>
            <sz val="11"/>
            <color theme="1"/>
            <rFont val="Calibri"/>
            <family val="2"/>
            <scheme val="minor"/>
          </rPr>
          <t>Introducir un texto con el nombre o referencia de la contratación</t>
        </r>
      </text>
    </comment>
    <comment ref="B2647" authorId="1" shapeId="0" xr:uid="{00000000-0006-0000-0100-000004090000}">
      <text>
        <r>
          <rPr>
            <sz val="11"/>
            <color theme="1"/>
            <rFont val="Calibri"/>
            <family val="2"/>
            <scheme val="minor"/>
          </rPr>
          <t>Introduzca un texto con la finalidad de la contratación</t>
        </r>
      </text>
    </comment>
    <comment ref="C2647" authorId="1" shapeId="0" xr:uid="{00000000-0006-0000-0100-000005090000}">
      <text>
        <r>
          <rPr>
            <sz val="11"/>
            <color theme="1"/>
            <rFont val="Calibri"/>
            <family val="2"/>
            <scheme val="minor"/>
          </rPr>
          <t>Seleccionar un valor del listado</t>
        </r>
      </text>
    </comment>
    <comment ref="D2647" authorId="1" shapeId="0" xr:uid="{00000000-0006-0000-0100-000006090000}">
      <text>
        <r>
          <rPr>
            <sz val="11"/>
            <color theme="1"/>
            <rFont val="Calibri"/>
            <family val="2"/>
            <scheme val="minor"/>
          </rPr>
          <t>Seleccione el tipo de procedimiento</t>
        </r>
      </text>
    </comment>
    <comment ref="E2647" authorId="1" shapeId="0" xr:uid="{00000000-0006-0000-0100-000007090000}">
      <text>
        <r>
          <rPr>
            <sz val="11"/>
            <color theme="1"/>
            <rFont val="Calibri"/>
            <family val="2"/>
            <scheme val="minor"/>
          </rPr>
          <t>Seleccione un valor de la lista</t>
        </r>
      </text>
    </comment>
    <comment ref="F2647" authorId="1" shapeId="0" xr:uid="{00000000-0006-0000-0100-000008090000}">
      <text>
        <r>
          <rPr>
            <sz val="11"/>
            <color theme="1"/>
            <rFont val="Calibri"/>
            <family val="2"/>
            <scheme val="minor"/>
          </rPr>
          <t>Introduzca el código SNIP</t>
        </r>
      </text>
    </comment>
    <comment ref="C2648" authorId="1" shapeId="0" xr:uid="{00000000-0006-0000-0100-000009090000}">
      <text>
        <r>
          <rPr>
            <sz val="11"/>
            <color theme="1"/>
            <rFont val="Calibri"/>
            <family val="2"/>
            <scheme val="minor"/>
          </rPr>
          <t>Introduzca la fecha de inicio del proceso, en formato dd-mm-aaaa</t>
        </r>
      </text>
    </comment>
    <comment ref="F2648" authorId="1" shapeId="0" xr:uid="{00000000-0006-0000-0100-00000B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49" authorId="1" shapeId="0" xr:uid="{00000000-0006-0000-0100-00000C090000}">
      <text/>
    </comment>
    <comment ref="C2650" authorId="1" shapeId="0" xr:uid="{00000000-0006-0000-0100-00000A090000}">
      <text>
        <r>
          <rPr>
            <sz val="11"/>
            <color theme="1"/>
            <rFont val="Calibri"/>
            <family val="2"/>
            <scheme val="minor"/>
          </rPr>
          <t>Introduzca la fecha prevista de adjudicación, en formato dd-mm-aaaa</t>
        </r>
      </text>
    </comment>
    <comment ref="F2650" authorId="1" shapeId="0" xr:uid="{00000000-0006-0000-0100-00000D090000}">
      <text/>
    </comment>
    <comment ref="F2651" authorId="1" shapeId="0" xr:uid="{00000000-0006-0000-0100-00000E090000}">
      <text/>
    </comment>
    <comment ref="A2653" authorId="1" shapeId="0" xr:uid="{00000000-0006-0000-0100-00000F090000}">
      <text>
        <r>
          <rPr>
            <sz val="11"/>
            <color theme="1"/>
            <rFont val="Calibri"/>
            <family val="2"/>
            <scheme val="minor"/>
          </rPr>
          <t>Introduzca un codigo UNSPSC</t>
        </r>
      </text>
    </comment>
    <comment ref="B2653" authorId="1" shapeId="0" xr:uid="{00000000-0006-0000-0100-000010090000}">
      <text>
        <r>
          <rPr>
            <sz val="11"/>
            <color theme="1"/>
            <rFont val="Calibri"/>
            <family val="2"/>
            <scheme val="minor"/>
          </rPr>
          <t>Descripción calculada automáticamente a partir de código del artículo</t>
        </r>
      </text>
    </comment>
    <comment ref="C2653" authorId="1" shapeId="0" xr:uid="{00000000-0006-0000-0100-000011090000}">
      <text>
        <r>
          <rPr>
            <sz val="11"/>
            <color theme="1"/>
            <rFont val="Calibri"/>
            <family val="2"/>
            <scheme val="minor"/>
          </rPr>
          <t>Seleccione un valor de la lista</t>
        </r>
      </text>
    </comment>
    <comment ref="D2653" authorId="1" shapeId="0" xr:uid="{00000000-0006-0000-0100-000012090000}">
      <text>
        <r>
          <rPr>
            <sz val="11"/>
            <color theme="1"/>
            <rFont val="Calibri"/>
            <family val="2"/>
            <scheme val="minor"/>
          </rPr>
          <t>Introduzca un número con dos decimales como máximo. Debe ser igual o mayor a la "Cantidad Real Consumida"</t>
        </r>
      </text>
    </comment>
    <comment ref="E2653" authorId="1" shapeId="0" xr:uid="{00000000-0006-0000-0100-000013090000}">
      <text>
        <r>
          <rPr>
            <sz val="11"/>
            <color theme="1"/>
            <rFont val="Calibri"/>
            <family val="2"/>
            <scheme val="minor"/>
          </rPr>
          <t>Introduzca un número con dos decimales como máximo</t>
        </r>
      </text>
    </comment>
    <comment ref="F2653" authorId="1" shapeId="0" xr:uid="{00000000-0006-0000-0100-000014090000}">
      <text>
        <r>
          <rPr>
            <sz val="11"/>
            <color theme="1"/>
            <rFont val="Calibri"/>
            <family val="2"/>
            <scheme val="minor"/>
          </rPr>
          <t>Monto calculado automáticamente por el sistema</t>
        </r>
      </text>
    </comment>
    <comment ref="A2669" authorId="1" shapeId="0" xr:uid="{00000000-0006-0000-0100-000015090000}">
      <text>
        <r>
          <rPr>
            <sz val="11"/>
            <color theme="1"/>
            <rFont val="Calibri"/>
            <family val="2"/>
            <scheme val="minor"/>
          </rPr>
          <t>Introducir un texto con el nombre o referencia de la contratación</t>
        </r>
      </text>
    </comment>
    <comment ref="B2669" authorId="1" shapeId="0" xr:uid="{00000000-0006-0000-0100-000016090000}">
      <text>
        <r>
          <rPr>
            <sz val="11"/>
            <color theme="1"/>
            <rFont val="Calibri"/>
            <family val="2"/>
            <scheme val="minor"/>
          </rPr>
          <t>Introduzca un texto con la finalidad de la contratación</t>
        </r>
      </text>
    </comment>
    <comment ref="C2669" authorId="1" shapeId="0" xr:uid="{00000000-0006-0000-0100-000017090000}">
      <text>
        <r>
          <rPr>
            <sz val="11"/>
            <color theme="1"/>
            <rFont val="Calibri"/>
            <family val="2"/>
            <scheme val="minor"/>
          </rPr>
          <t>Seleccionar un valor del listado</t>
        </r>
      </text>
    </comment>
    <comment ref="D2669" authorId="1" shapeId="0" xr:uid="{00000000-0006-0000-0100-000018090000}">
      <text>
        <r>
          <rPr>
            <sz val="11"/>
            <color theme="1"/>
            <rFont val="Calibri"/>
            <family val="2"/>
            <scheme val="minor"/>
          </rPr>
          <t>Seleccione el tipo de procedimiento</t>
        </r>
      </text>
    </comment>
    <comment ref="E2669" authorId="1" shapeId="0" xr:uid="{00000000-0006-0000-0100-000019090000}">
      <text>
        <r>
          <rPr>
            <sz val="11"/>
            <color theme="1"/>
            <rFont val="Calibri"/>
            <family val="2"/>
            <scheme val="minor"/>
          </rPr>
          <t>Seleccione un valor de la lista</t>
        </r>
      </text>
    </comment>
    <comment ref="F2669" authorId="1" shapeId="0" xr:uid="{00000000-0006-0000-0100-00001A090000}">
      <text>
        <r>
          <rPr>
            <sz val="11"/>
            <color theme="1"/>
            <rFont val="Calibri"/>
            <family val="2"/>
            <scheme val="minor"/>
          </rPr>
          <t>Introduzca el código SNIP</t>
        </r>
      </text>
    </comment>
    <comment ref="C2670" authorId="1" shapeId="0" xr:uid="{00000000-0006-0000-0100-00001B090000}">
      <text>
        <r>
          <rPr>
            <sz val="11"/>
            <color theme="1"/>
            <rFont val="Calibri"/>
            <family val="2"/>
            <scheme val="minor"/>
          </rPr>
          <t>Introduzca la fecha de inicio del proceso, en formato dd-mm-aaaa</t>
        </r>
      </text>
    </comment>
    <comment ref="F2670" authorId="1" shapeId="0" xr:uid="{00000000-0006-0000-0100-00001D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71" authorId="1" shapeId="0" xr:uid="{00000000-0006-0000-0100-00001E090000}">
      <text/>
    </comment>
    <comment ref="C2672" authorId="1" shapeId="0" xr:uid="{00000000-0006-0000-0100-00001C090000}">
      <text>
        <r>
          <rPr>
            <sz val="11"/>
            <color theme="1"/>
            <rFont val="Calibri"/>
            <family val="2"/>
            <scheme val="minor"/>
          </rPr>
          <t>Introduzca la fecha prevista de adjudicación, en formato dd-mm-aaaa</t>
        </r>
      </text>
    </comment>
    <comment ref="F2672" authorId="1" shapeId="0" xr:uid="{00000000-0006-0000-0100-00001F090000}">
      <text/>
    </comment>
    <comment ref="F2673" authorId="1" shapeId="0" xr:uid="{00000000-0006-0000-0100-000020090000}">
      <text/>
    </comment>
    <comment ref="A2675" authorId="1" shapeId="0" xr:uid="{00000000-0006-0000-0100-000021090000}">
      <text>
        <r>
          <rPr>
            <sz val="11"/>
            <color theme="1"/>
            <rFont val="Calibri"/>
            <family val="2"/>
            <scheme val="minor"/>
          </rPr>
          <t>Introduzca un codigo UNSPSC</t>
        </r>
      </text>
    </comment>
    <comment ref="B2675" authorId="1" shapeId="0" xr:uid="{00000000-0006-0000-0100-000022090000}">
      <text>
        <r>
          <rPr>
            <sz val="11"/>
            <color theme="1"/>
            <rFont val="Calibri"/>
            <family val="2"/>
            <scheme val="minor"/>
          </rPr>
          <t>Descripción calculada automáticamente a partir de código del artículo</t>
        </r>
      </text>
    </comment>
    <comment ref="C2675" authorId="1" shapeId="0" xr:uid="{00000000-0006-0000-0100-000023090000}">
      <text>
        <r>
          <rPr>
            <sz val="11"/>
            <color theme="1"/>
            <rFont val="Calibri"/>
            <family val="2"/>
            <scheme val="minor"/>
          </rPr>
          <t>Seleccione un valor de la lista</t>
        </r>
      </text>
    </comment>
    <comment ref="D2675" authorId="1" shapeId="0" xr:uid="{00000000-0006-0000-0100-000024090000}">
      <text>
        <r>
          <rPr>
            <sz val="11"/>
            <color theme="1"/>
            <rFont val="Calibri"/>
            <family val="2"/>
            <scheme val="minor"/>
          </rPr>
          <t>Introduzca un número con dos decimales como máximo. Debe ser igual o mayor a la "Cantidad Real Consumida"</t>
        </r>
      </text>
    </comment>
    <comment ref="E2675" authorId="1" shapeId="0" xr:uid="{00000000-0006-0000-0100-000025090000}">
      <text>
        <r>
          <rPr>
            <sz val="11"/>
            <color theme="1"/>
            <rFont val="Calibri"/>
            <family val="2"/>
            <scheme val="minor"/>
          </rPr>
          <t>Introduzca un número con dos decimales como máximo</t>
        </r>
      </text>
    </comment>
    <comment ref="F2675" authorId="1" shapeId="0" xr:uid="{00000000-0006-0000-0100-000026090000}">
      <text>
        <r>
          <rPr>
            <sz val="11"/>
            <color theme="1"/>
            <rFont val="Calibri"/>
            <family val="2"/>
            <scheme val="minor"/>
          </rPr>
          <t>Monto calculado automáticamente por el sistema</t>
        </r>
      </text>
    </comment>
    <comment ref="A2723" authorId="1" shapeId="0" xr:uid="{00000000-0006-0000-0100-000027090000}">
      <text>
        <r>
          <rPr>
            <sz val="11"/>
            <color theme="1"/>
            <rFont val="Calibri"/>
            <family val="2"/>
            <scheme val="minor"/>
          </rPr>
          <t>Introducir un texto con el nombre o referencia de la contratación</t>
        </r>
      </text>
    </comment>
    <comment ref="B2723" authorId="1" shapeId="0" xr:uid="{00000000-0006-0000-0100-000028090000}">
      <text>
        <r>
          <rPr>
            <sz val="11"/>
            <color theme="1"/>
            <rFont val="Calibri"/>
            <family val="2"/>
            <scheme val="minor"/>
          </rPr>
          <t>Introduzca un texto con la finalidad de la contratación</t>
        </r>
      </text>
    </comment>
    <comment ref="C2723" authorId="1" shapeId="0" xr:uid="{00000000-0006-0000-0100-000029090000}">
      <text>
        <r>
          <rPr>
            <sz val="11"/>
            <color theme="1"/>
            <rFont val="Calibri"/>
            <family val="2"/>
            <scheme val="minor"/>
          </rPr>
          <t>Seleccionar un valor del listado</t>
        </r>
      </text>
    </comment>
    <comment ref="D2723" authorId="1" shapeId="0" xr:uid="{00000000-0006-0000-0100-00002A090000}">
      <text>
        <r>
          <rPr>
            <sz val="11"/>
            <color theme="1"/>
            <rFont val="Calibri"/>
            <family val="2"/>
            <scheme val="minor"/>
          </rPr>
          <t>Seleccione el tipo de procedimiento</t>
        </r>
      </text>
    </comment>
    <comment ref="E2723" authorId="1" shapeId="0" xr:uid="{00000000-0006-0000-0100-00002B090000}">
      <text>
        <r>
          <rPr>
            <sz val="11"/>
            <color theme="1"/>
            <rFont val="Calibri"/>
            <family val="2"/>
            <scheme val="minor"/>
          </rPr>
          <t>Seleccione un valor de la lista</t>
        </r>
      </text>
    </comment>
    <comment ref="F2723" authorId="1" shapeId="0" xr:uid="{00000000-0006-0000-0100-00002C090000}">
      <text>
        <r>
          <rPr>
            <sz val="11"/>
            <color theme="1"/>
            <rFont val="Calibri"/>
            <family val="2"/>
            <scheme val="minor"/>
          </rPr>
          <t>Introduzca el código SNIP</t>
        </r>
      </text>
    </comment>
    <comment ref="C2724" authorId="1" shapeId="0" xr:uid="{00000000-0006-0000-0100-00002D090000}">
      <text>
        <r>
          <rPr>
            <sz val="11"/>
            <color theme="1"/>
            <rFont val="Calibri"/>
            <family val="2"/>
            <scheme val="minor"/>
          </rPr>
          <t>Introduzca la fecha de inicio del proceso, en formato dd-mm-aaaa</t>
        </r>
      </text>
    </comment>
    <comment ref="F2724" authorId="1" shapeId="0" xr:uid="{00000000-0006-0000-0100-00002F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25" authorId="1" shapeId="0" xr:uid="{00000000-0006-0000-0100-000030090000}">
      <text/>
    </comment>
    <comment ref="C2726" authorId="1" shapeId="0" xr:uid="{00000000-0006-0000-0100-00002E090000}">
      <text>
        <r>
          <rPr>
            <sz val="11"/>
            <color theme="1"/>
            <rFont val="Calibri"/>
            <family val="2"/>
            <scheme val="minor"/>
          </rPr>
          <t>Introduzca la fecha prevista de adjudicación, en formato dd-mm-aaaa</t>
        </r>
      </text>
    </comment>
    <comment ref="F2726" authorId="1" shapeId="0" xr:uid="{00000000-0006-0000-0100-000031090000}">
      <text/>
    </comment>
    <comment ref="F2727" authorId="1" shapeId="0" xr:uid="{00000000-0006-0000-0100-000032090000}">
      <text/>
    </comment>
    <comment ref="A2729" authorId="1" shapeId="0" xr:uid="{00000000-0006-0000-0100-000033090000}">
      <text>
        <r>
          <rPr>
            <sz val="11"/>
            <color theme="1"/>
            <rFont val="Calibri"/>
            <family val="2"/>
            <scheme val="minor"/>
          </rPr>
          <t>Introduzca un codigo UNSPSC</t>
        </r>
      </text>
    </comment>
    <comment ref="B2729" authorId="1" shapeId="0" xr:uid="{00000000-0006-0000-0100-000034090000}">
      <text>
        <r>
          <rPr>
            <sz val="11"/>
            <color theme="1"/>
            <rFont val="Calibri"/>
            <family val="2"/>
            <scheme val="minor"/>
          </rPr>
          <t>Descripción calculada automáticamente a partir de código del artículo</t>
        </r>
      </text>
    </comment>
    <comment ref="C2729" authorId="1" shapeId="0" xr:uid="{00000000-0006-0000-0100-000035090000}">
      <text>
        <r>
          <rPr>
            <sz val="11"/>
            <color theme="1"/>
            <rFont val="Calibri"/>
            <family val="2"/>
            <scheme val="minor"/>
          </rPr>
          <t>Seleccione un valor de la lista</t>
        </r>
      </text>
    </comment>
    <comment ref="D2729" authorId="1" shapeId="0" xr:uid="{00000000-0006-0000-0100-000036090000}">
      <text>
        <r>
          <rPr>
            <sz val="11"/>
            <color theme="1"/>
            <rFont val="Calibri"/>
            <family val="2"/>
            <scheme val="minor"/>
          </rPr>
          <t>Introduzca un número con dos decimales como máximo. Debe ser igual o mayor a la "Cantidad Real Consumida"</t>
        </r>
      </text>
    </comment>
    <comment ref="E2729" authorId="1" shapeId="0" xr:uid="{00000000-0006-0000-0100-000037090000}">
      <text>
        <r>
          <rPr>
            <sz val="11"/>
            <color theme="1"/>
            <rFont val="Calibri"/>
            <family val="2"/>
            <scheme val="minor"/>
          </rPr>
          <t>Introduzca un número con dos decimales como máximo</t>
        </r>
      </text>
    </comment>
    <comment ref="F2729" authorId="1" shapeId="0" xr:uid="{00000000-0006-0000-0100-000038090000}">
      <text>
        <r>
          <rPr>
            <sz val="11"/>
            <color theme="1"/>
            <rFont val="Calibri"/>
            <family val="2"/>
            <scheme val="minor"/>
          </rPr>
          <t>Monto calculado automáticamente por el sistema</t>
        </r>
      </text>
    </comment>
    <comment ref="A2801" authorId="1" shapeId="0" xr:uid="{00000000-0006-0000-0100-000039090000}">
      <text>
        <r>
          <rPr>
            <sz val="11"/>
            <color theme="1"/>
            <rFont val="Calibri"/>
            <family val="2"/>
            <scheme val="minor"/>
          </rPr>
          <t>Introducir un texto con el nombre o referencia de la contratación</t>
        </r>
      </text>
    </comment>
    <comment ref="B2801" authorId="1" shapeId="0" xr:uid="{00000000-0006-0000-0100-00003A090000}">
      <text>
        <r>
          <rPr>
            <sz val="11"/>
            <color theme="1"/>
            <rFont val="Calibri"/>
            <family val="2"/>
            <scheme val="minor"/>
          </rPr>
          <t>Introduzca un texto con la finalidad de la contratación</t>
        </r>
      </text>
    </comment>
    <comment ref="C2801" authorId="1" shapeId="0" xr:uid="{00000000-0006-0000-0100-00003B090000}">
      <text>
        <r>
          <rPr>
            <sz val="11"/>
            <color theme="1"/>
            <rFont val="Calibri"/>
            <family val="2"/>
            <scheme val="minor"/>
          </rPr>
          <t>Seleccionar un valor del listado</t>
        </r>
      </text>
    </comment>
    <comment ref="D2801" authorId="1" shapeId="0" xr:uid="{00000000-0006-0000-0100-00003C090000}">
      <text>
        <r>
          <rPr>
            <sz val="11"/>
            <color theme="1"/>
            <rFont val="Calibri"/>
            <family val="2"/>
            <scheme val="minor"/>
          </rPr>
          <t>Seleccione el tipo de procedimiento</t>
        </r>
      </text>
    </comment>
    <comment ref="E2801" authorId="1" shapeId="0" xr:uid="{00000000-0006-0000-0100-00003D090000}">
      <text>
        <r>
          <rPr>
            <sz val="11"/>
            <color theme="1"/>
            <rFont val="Calibri"/>
            <family val="2"/>
            <scheme val="minor"/>
          </rPr>
          <t>Seleccione un valor de la lista</t>
        </r>
      </text>
    </comment>
    <comment ref="F2801" authorId="1" shapeId="0" xr:uid="{00000000-0006-0000-0100-00003E090000}">
      <text>
        <r>
          <rPr>
            <sz val="11"/>
            <color theme="1"/>
            <rFont val="Calibri"/>
            <family val="2"/>
            <scheme val="minor"/>
          </rPr>
          <t>Introduzca el código SNIP</t>
        </r>
      </text>
    </comment>
    <comment ref="C2802" authorId="1" shapeId="0" xr:uid="{00000000-0006-0000-0100-00003F090000}">
      <text>
        <r>
          <rPr>
            <sz val="11"/>
            <color theme="1"/>
            <rFont val="Calibri"/>
            <family val="2"/>
            <scheme val="minor"/>
          </rPr>
          <t>Introduzca la fecha de inicio del proceso, en formato dd-mm-aaaa</t>
        </r>
      </text>
    </comment>
    <comment ref="F2802" authorId="1" shapeId="0" xr:uid="{00000000-0006-0000-0100-000041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03" authorId="1" shapeId="0" xr:uid="{00000000-0006-0000-0100-000042090000}">
      <text/>
    </comment>
    <comment ref="C2804" authorId="1" shapeId="0" xr:uid="{00000000-0006-0000-0100-000040090000}">
      <text>
        <r>
          <rPr>
            <sz val="11"/>
            <color theme="1"/>
            <rFont val="Calibri"/>
            <family val="2"/>
            <scheme val="minor"/>
          </rPr>
          <t>Introduzca la fecha prevista de adjudicación, en formato dd-mm-aaaa</t>
        </r>
      </text>
    </comment>
    <comment ref="F2804" authorId="1" shapeId="0" xr:uid="{00000000-0006-0000-0100-000043090000}">
      <text/>
    </comment>
    <comment ref="F2805" authorId="1" shapeId="0" xr:uid="{00000000-0006-0000-0100-000044090000}">
      <text/>
    </comment>
    <comment ref="A2807" authorId="1" shapeId="0" xr:uid="{00000000-0006-0000-0100-000045090000}">
      <text>
        <r>
          <rPr>
            <sz val="11"/>
            <color theme="1"/>
            <rFont val="Calibri"/>
            <family val="2"/>
            <scheme val="minor"/>
          </rPr>
          <t>Introduzca un codigo UNSPSC</t>
        </r>
      </text>
    </comment>
    <comment ref="B2807" authorId="1" shapeId="0" xr:uid="{00000000-0006-0000-0100-000046090000}">
      <text>
        <r>
          <rPr>
            <sz val="11"/>
            <color theme="1"/>
            <rFont val="Calibri"/>
            <family val="2"/>
            <scheme val="minor"/>
          </rPr>
          <t>Descripción calculada automáticamente a partir de código del artículo</t>
        </r>
      </text>
    </comment>
    <comment ref="C2807" authorId="1" shapeId="0" xr:uid="{00000000-0006-0000-0100-000047090000}">
      <text>
        <r>
          <rPr>
            <sz val="11"/>
            <color theme="1"/>
            <rFont val="Calibri"/>
            <family val="2"/>
            <scheme val="minor"/>
          </rPr>
          <t>Seleccione un valor de la lista</t>
        </r>
      </text>
    </comment>
    <comment ref="D2807" authorId="1" shapeId="0" xr:uid="{00000000-0006-0000-0100-000048090000}">
      <text>
        <r>
          <rPr>
            <sz val="11"/>
            <color theme="1"/>
            <rFont val="Calibri"/>
            <family val="2"/>
            <scheme val="minor"/>
          </rPr>
          <t>Introduzca un número con dos decimales como máximo. Debe ser igual o mayor a la "Cantidad Real Consumida"</t>
        </r>
      </text>
    </comment>
    <comment ref="E2807" authorId="1" shapeId="0" xr:uid="{00000000-0006-0000-0100-000049090000}">
      <text>
        <r>
          <rPr>
            <sz val="11"/>
            <color theme="1"/>
            <rFont val="Calibri"/>
            <family val="2"/>
            <scheme val="minor"/>
          </rPr>
          <t>Introduzca un número con dos decimales como máximo</t>
        </r>
      </text>
    </comment>
    <comment ref="F2807" authorId="1" shapeId="0" xr:uid="{00000000-0006-0000-0100-00004A090000}">
      <text>
        <r>
          <rPr>
            <sz val="11"/>
            <color theme="1"/>
            <rFont val="Calibri"/>
            <family val="2"/>
            <scheme val="minor"/>
          </rPr>
          <t>Monto calculado automáticamente por el sistema</t>
        </r>
      </text>
    </comment>
    <comment ref="A2867" authorId="1" shapeId="0" xr:uid="{00000000-0006-0000-0100-00004B090000}">
      <text>
        <r>
          <rPr>
            <sz val="11"/>
            <color theme="1"/>
            <rFont val="Calibri"/>
            <family val="2"/>
            <scheme val="minor"/>
          </rPr>
          <t>Introducir un texto con el nombre o referencia de la contratación</t>
        </r>
      </text>
    </comment>
    <comment ref="B2867" authorId="1" shapeId="0" xr:uid="{00000000-0006-0000-0100-00004C090000}">
      <text>
        <r>
          <rPr>
            <sz val="11"/>
            <color theme="1"/>
            <rFont val="Calibri"/>
            <family val="2"/>
            <scheme val="minor"/>
          </rPr>
          <t>Introduzca un texto con la finalidad de la contratación</t>
        </r>
      </text>
    </comment>
    <comment ref="C2867" authorId="1" shapeId="0" xr:uid="{00000000-0006-0000-0100-00004D090000}">
      <text>
        <r>
          <rPr>
            <sz val="11"/>
            <color theme="1"/>
            <rFont val="Calibri"/>
            <family val="2"/>
            <scheme val="minor"/>
          </rPr>
          <t>Seleccionar un valor del listado</t>
        </r>
      </text>
    </comment>
    <comment ref="D2867" authorId="1" shapeId="0" xr:uid="{00000000-0006-0000-0100-00004E090000}">
      <text>
        <r>
          <rPr>
            <sz val="11"/>
            <color theme="1"/>
            <rFont val="Calibri"/>
            <family val="2"/>
            <scheme val="minor"/>
          </rPr>
          <t>Seleccione el tipo de procedimiento</t>
        </r>
      </text>
    </comment>
    <comment ref="E2867" authorId="1" shapeId="0" xr:uid="{00000000-0006-0000-0100-00004F090000}">
      <text>
        <r>
          <rPr>
            <sz val="11"/>
            <color theme="1"/>
            <rFont val="Calibri"/>
            <family val="2"/>
            <scheme val="minor"/>
          </rPr>
          <t>Seleccione un valor de la lista</t>
        </r>
      </text>
    </comment>
    <comment ref="F2867" authorId="1" shapeId="0" xr:uid="{00000000-0006-0000-0100-000050090000}">
      <text>
        <r>
          <rPr>
            <sz val="11"/>
            <color theme="1"/>
            <rFont val="Calibri"/>
            <family val="2"/>
            <scheme val="minor"/>
          </rPr>
          <t>Introduzca el código SNIP</t>
        </r>
      </text>
    </comment>
    <comment ref="C2868" authorId="1" shapeId="0" xr:uid="{00000000-0006-0000-0100-000051090000}">
      <text>
        <r>
          <rPr>
            <sz val="11"/>
            <color theme="1"/>
            <rFont val="Calibri"/>
            <family val="2"/>
            <scheme val="minor"/>
          </rPr>
          <t>Introduzca la fecha de inicio del proceso, en formato dd-mm-aaaa</t>
        </r>
      </text>
    </comment>
    <comment ref="F2868" authorId="1" shapeId="0" xr:uid="{00000000-0006-0000-0100-000053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69" authorId="1" shapeId="0" xr:uid="{00000000-0006-0000-0100-000054090000}">
      <text/>
    </comment>
    <comment ref="C2870" authorId="1" shapeId="0" xr:uid="{00000000-0006-0000-0100-000052090000}">
      <text>
        <r>
          <rPr>
            <sz val="11"/>
            <color theme="1"/>
            <rFont val="Calibri"/>
            <family val="2"/>
            <scheme val="minor"/>
          </rPr>
          <t>Introduzca la fecha prevista de adjudicación, en formato dd-mm-aaaa</t>
        </r>
      </text>
    </comment>
    <comment ref="F2870" authorId="1" shapeId="0" xr:uid="{00000000-0006-0000-0100-000055090000}">
      <text/>
    </comment>
    <comment ref="F2871" authorId="1" shapeId="0" xr:uid="{00000000-0006-0000-0100-000056090000}">
      <text/>
    </comment>
    <comment ref="A2873" authorId="1" shapeId="0" xr:uid="{00000000-0006-0000-0100-000057090000}">
      <text>
        <r>
          <rPr>
            <sz val="11"/>
            <color theme="1"/>
            <rFont val="Calibri"/>
            <family val="2"/>
            <scheme val="minor"/>
          </rPr>
          <t>Introduzca un codigo UNSPSC</t>
        </r>
      </text>
    </comment>
    <comment ref="B2873" authorId="1" shapeId="0" xr:uid="{00000000-0006-0000-0100-000058090000}">
      <text>
        <r>
          <rPr>
            <sz val="11"/>
            <color theme="1"/>
            <rFont val="Calibri"/>
            <family val="2"/>
            <scheme val="minor"/>
          </rPr>
          <t>Descripción calculada automáticamente a partir de código del artículo</t>
        </r>
      </text>
    </comment>
    <comment ref="C2873" authorId="1" shapeId="0" xr:uid="{00000000-0006-0000-0100-000059090000}">
      <text>
        <r>
          <rPr>
            <sz val="11"/>
            <color theme="1"/>
            <rFont val="Calibri"/>
            <family val="2"/>
            <scheme val="minor"/>
          </rPr>
          <t>Seleccione un valor de la lista</t>
        </r>
      </text>
    </comment>
    <comment ref="D2873" authorId="1" shapeId="0" xr:uid="{00000000-0006-0000-0100-00005A090000}">
      <text>
        <r>
          <rPr>
            <sz val="11"/>
            <color theme="1"/>
            <rFont val="Calibri"/>
            <family val="2"/>
            <scheme val="minor"/>
          </rPr>
          <t>Introduzca un número con dos decimales como máximo. Debe ser igual o mayor a la "Cantidad Real Consumida"</t>
        </r>
      </text>
    </comment>
    <comment ref="E2873" authorId="1" shapeId="0" xr:uid="{00000000-0006-0000-0100-00005B090000}">
      <text>
        <r>
          <rPr>
            <sz val="11"/>
            <color theme="1"/>
            <rFont val="Calibri"/>
            <family val="2"/>
            <scheme val="minor"/>
          </rPr>
          <t>Introduzca un número con dos decimales como máximo</t>
        </r>
      </text>
    </comment>
    <comment ref="F2873" authorId="1" shapeId="0" xr:uid="{00000000-0006-0000-0100-00005C090000}">
      <text>
        <r>
          <rPr>
            <sz val="11"/>
            <color theme="1"/>
            <rFont val="Calibri"/>
            <family val="2"/>
            <scheme val="minor"/>
          </rPr>
          <t>Monto calculado automáticamente por el sistema</t>
        </r>
      </text>
    </comment>
    <comment ref="A2923" authorId="1" shapeId="0" xr:uid="{00000000-0006-0000-0100-00005D090000}">
      <text>
        <r>
          <rPr>
            <sz val="11"/>
            <color theme="1"/>
            <rFont val="Calibri"/>
            <family val="2"/>
            <scheme val="minor"/>
          </rPr>
          <t>Introducir un texto con el nombre o referencia de la contratación</t>
        </r>
      </text>
    </comment>
    <comment ref="B2923" authorId="1" shapeId="0" xr:uid="{00000000-0006-0000-0100-00005E090000}">
      <text>
        <r>
          <rPr>
            <sz val="11"/>
            <color theme="1"/>
            <rFont val="Calibri"/>
            <family val="2"/>
            <scheme val="minor"/>
          </rPr>
          <t>Introduzca un texto con la finalidad de la contratación</t>
        </r>
      </text>
    </comment>
    <comment ref="C2923" authorId="1" shapeId="0" xr:uid="{00000000-0006-0000-0100-00005F090000}">
      <text>
        <r>
          <rPr>
            <sz val="11"/>
            <color theme="1"/>
            <rFont val="Calibri"/>
            <family val="2"/>
            <scheme val="minor"/>
          </rPr>
          <t>Seleccionar un valor del listado</t>
        </r>
      </text>
    </comment>
    <comment ref="D2923" authorId="1" shapeId="0" xr:uid="{00000000-0006-0000-0100-000060090000}">
      <text>
        <r>
          <rPr>
            <sz val="11"/>
            <color theme="1"/>
            <rFont val="Calibri"/>
            <family val="2"/>
            <scheme val="minor"/>
          </rPr>
          <t>Seleccione el tipo de procedimiento</t>
        </r>
      </text>
    </comment>
    <comment ref="E2923" authorId="1" shapeId="0" xr:uid="{00000000-0006-0000-0100-000061090000}">
      <text>
        <r>
          <rPr>
            <sz val="11"/>
            <color theme="1"/>
            <rFont val="Calibri"/>
            <family val="2"/>
            <scheme val="minor"/>
          </rPr>
          <t>Seleccione un valor de la lista</t>
        </r>
      </text>
    </comment>
    <comment ref="F2923" authorId="1" shapeId="0" xr:uid="{00000000-0006-0000-0100-000062090000}">
      <text>
        <r>
          <rPr>
            <sz val="11"/>
            <color theme="1"/>
            <rFont val="Calibri"/>
            <family val="2"/>
            <scheme val="minor"/>
          </rPr>
          <t>Introduzca el código SNIP</t>
        </r>
      </text>
    </comment>
    <comment ref="C2924" authorId="1" shapeId="0" xr:uid="{00000000-0006-0000-0100-000063090000}">
      <text>
        <r>
          <rPr>
            <sz val="11"/>
            <color theme="1"/>
            <rFont val="Calibri"/>
            <family val="2"/>
            <scheme val="minor"/>
          </rPr>
          <t>Introduzca la fecha de inicio del proceso, en formato dd-mm-aaaa</t>
        </r>
      </text>
    </comment>
    <comment ref="F2924" authorId="1" shapeId="0" xr:uid="{00000000-0006-0000-0100-000065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25" authorId="1" shapeId="0" xr:uid="{00000000-0006-0000-0100-000066090000}">
      <text/>
    </comment>
    <comment ref="C2926" authorId="1" shapeId="0" xr:uid="{00000000-0006-0000-0100-000064090000}">
      <text>
        <r>
          <rPr>
            <sz val="11"/>
            <color theme="1"/>
            <rFont val="Calibri"/>
            <family val="2"/>
            <scheme val="minor"/>
          </rPr>
          <t>Introduzca la fecha prevista de adjudicación, en formato dd-mm-aaaa</t>
        </r>
      </text>
    </comment>
    <comment ref="F2926" authorId="1" shapeId="0" xr:uid="{00000000-0006-0000-0100-000067090000}">
      <text/>
    </comment>
    <comment ref="F2927" authorId="1" shapeId="0" xr:uid="{00000000-0006-0000-0100-000068090000}">
      <text/>
    </comment>
    <comment ref="A2929" authorId="1" shapeId="0" xr:uid="{00000000-0006-0000-0100-000069090000}">
      <text>
        <r>
          <rPr>
            <sz val="11"/>
            <color theme="1"/>
            <rFont val="Calibri"/>
            <family val="2"/>
            <scheme val="minor"/>
          </rPr>
          <t>Introduzca un codigo UNSPSC</t>
        </r>
      </text>
    </comment>
    <comment ref="B2929" authorId="1" shapeId="0" xr:uid="{00000000-0006-0000-0100-00006A090000}">
      <text>
        <r>
          <rPr>
            <sz val="11"/>
            <color theme="1"/>
            <rFont val="Calibri"/>
            <family val="2"/>
            <scheme val="minor"/>
          </rPr>
          <t>Descripción calculada automáticamente a partir de código del artículo</t>
        </r>
      </text>
    </comment>
    <comment ref="C2929" authorId="1" shapeId="0" xr:uid="{00000000-0006-0000-0100-00006B090000}">
      <text>
        <r>
          <rPr>
            <sz val="11"/>
            <color theme="1"/>
            <rFont val="Calibri"/>
            <family val="2"/>
            <scheme val="minor"/>
          </rPr>
          <t>Seleccione un valor de la lista</t>
        </r>
      </text>
    </comment>
    <comment ref="D2929" authorId="1" shapeId="0" xr:uid="{00000000-0006-0000-0100-00006C090000}">
      <text>
        <r>
          <rPr>
            <sz val="11"/>
            <color theme="1"/>
            <rFont val="Calibri"/>
            <family val="2"/>
            <scheme val="minor"/>
          </rPr>
          <t>Introduzca un número con dos decimales como máximo. Debe ser igual o mayor a la "Cantidad Real Consumida"</t>
        </r>
      </text>
    </comment>
    <comment ref="E2929" authorId="1" shapeId="0" xr:uid="{00000000-0006-0000-0100-00006D090000}">
      <text>
        <r>
          <rPr>
            <sz val="11"/>
            <color theme="1"/>
            <rFont val="Calibri"/>
            <family val="2"/>
            <scheme val="minor"/>
          </rPr>
          <t>Introduzca un número con dos decimales como máximo</t>
        </r>
      </text>
    </comment>
    <comment ref="F2929" authorId="1" shapeId="0" xr:uid="{00000000-0006-0000-0100-00006E090000}">
      <text>
        <r>
          <rPr>
            <sz val="11"/>
            <color theme="1"/>
            <rFont val="Calibri"/>
            <family val="2"/>
            <scheme val="minor"/>
          </rPr>
          <t>Monto calculado automáticamente por el sistema</t>
        </r>
      </text>
    </comment>
    <comment ref="A2937" authorId="1" shapeId="0" xr:uid="{00000000-0006-0000-0100-00006F090000}">
      <text>
        <r>
          <rPr>
            <sz val="11"/>
            <color theme="1"/>
            <rFont val="Calibri"/>
            <family val="2"/>
            <scheme val="minor"/>
          </rPr>
          <t>Introducir un texto con el nombre o referencia de la contratación</t>
        </r>
      </text>
    </comment>
    <comment ref="B2937" authorId="1" shapeId="0" xr:uid="{00000000-0006-0000-0100-000070090000}">
      <text>
        <r>
          <rPr>
            <sz val="11"/>
            <color theme="1"/>
            <rFont val="Calibri"/>
            <family val="2"/>
            <scheme val="minor"/>
          </rPr>
          <t>Introduzca un texto con la finalidad de la contratación</t>
        </r>
      </text>
    </comment>
    <comment ref="C2937" authorId="1" shapeId="0" xr:uid="{00000000-0006-0000-0100-000071090000}">
      <text>
        <r>
          <rPr>
            <sz val="11"/>
            <color theme="1"/>
            <rFont val="Calibri"/>
            <family val="2"/>
            <scheme val="minor"/>
          </rPr>
          <t>Seleccionar un valor del listado</t>
        </r>
      </text>
    </comment>
    <comment ref="D2937" authorId="1" shapeId="0" xr:uid="{00000000-0006-0000-0100-000072090000}">
      <text>
        <r>
          <rPr>
            <sz val="11"/>
            <color theme="1"/>
            <rFont val="Calibri"/>
            <family val="2"/>
            <scheme val="minor"/>
          </rPr>
          <t>Seleccione el tipo de procedimiento</t>
        </r>
      </text>
    </comment>
    <comment ref="E2937" authorId="1" shapeId="0" xr:uid="{00000000-0006-0000-0100-000073090000}">
      <text>
        <r>
          <rPr>
            <sz val="11"/>
            <color theme="1"/>
            <rFont val="Calibri"/>
            <family val="2"/>
            <scheme val="minor"/>
          </rPr>
          <t>Seleccione un valor de la lista</t>
        </r>
      </text>
    </comment>
    <comment ref="F2937" authorId="1" shapeId="0" xr:uid="{00000000-0006-0000-0100-000074090000}">
      <text>
        <r>
          <rPr>
            <sz val="11"/>
            <color theme="1"/>
            <rFont val="Calibri"/>
            <family val="2"/>
            <scheme val="minor"/>
          </rPr>
          <t>Introduzca el código SNIP</t>
        </r>
      </text>
    </comment>
    <comment ref="C2938" authorId="1" shapeId="0" xr:uid="{00000000-0006-0000-0100-000075090000}">
      <text>
        <r>
          <rPr>
            <sz val="11"/>
            <color theme="1"/>
            <rFont val="Calibri"/>
            <family val="2"/>
            <scheme val="minor"/>
          </rPr>
          <t>Introduzca la fecha de inicio del proceso, en formato dd-mm-aaaa</t>
        </r>
      </text>
    </comment>
    <comment ref="F2938" authorId="1" shapeId="0" xr:uid="{00000000-0006-0000-0100-000077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39" authorId="1" shapeId="0" xr:uid="{00000000-0006-0000-0100-000078090000}">
      <text/>
    </comment>
    <comment ref="C2940" authorId="1" shapeId="0" xr:uid="{00000000-0006-0000-0100-000076090000}">
      <text>
        <r>
          <rPr>
            <sz val="11"/>
            <color theme="1"/>
            <rFont val="Calibri"/>
            <family val="2"/>
            <scheme val="minor"/>
          </rPr>
          <t>Introduzca la fecha prevista de adjudicación, en formato dd-mm-aaaa</t>
        </r>
      </text>
    </comment>
    <comment ref="F2940" authorId="1" shapeId="0" xr:uid="{00000000-0006-0000-0100-000079090000}">
      <text/>
    </comment>
    <comment ref="F2941" authorId="1" shapeId="0" xr:uid="{00000000-0006-0000-0100-00007A090000}">
      <text/>
    </comment>
    <comment ref="A2943" authorId="1" shapeId="0" xr:uid="{00000000-0006-0000-0100-00007B090000}">
      <text>
        <r>
          <rPr>
            <sz val="11"/>
            <color theme="1"/>
            <rFont val="Calibri"/>
            <family val="2"/>
            <scheme val="minor"/>
          </rPr>
          <t>Introduzca un codigo UNSPSC</t>
        </r>
      </text>
    </comment>
    <comment ref="B2943" authorId="1" shapeId="0" xr:uid="{00000000-0006-0000-0100-00007C090000}">
      <text>
        <r>
          <rPr>
            <sz val="11"/>
            <color theme="1"/>
            <rFont val="Calibri"/>
            <family val="2"/>
            <scheme val="minor"/>
          </rPr>
          <t>Descripción calculada automáticamente a partir de código del artículo</t>
        </r>
      </text>
    </comment>
    <comment ref="C2943" authorId="1" shapeId="0" xr:uid="{00000000-0006-0000-0100-00007D090000}">
      <text>
        <r>
          <rPr>
            <sz val="11"/>
            <color theme="1"/>
            <rFont val="Calibri"/>
            <family val="2"/>
            <scheme val="minor"/>
          </rPr>
          <t>Seleccione un valor de la lista</t>
        </r>
      </text>
    </comment>
    <comment ref="D2943" authorId="1" shapeId="0" xr:uid="{00000000-0006-0000-0100-00007E090000}">
      <text>
        <r>
          <rPr>
            <sz val="11"/>
            <color theme="1"/>
            <rFont val="Calibri"/>
            <family val="2"/>
            <scheme val="minor"/>
          </rPr>
          <t>Introduzca un número con dos decimales como máximo. Debe ser igual o mayor a la "Cantidad Real Consumida"</t>
        </r>
      </text>
    </comment>
    <comment ref="E2943" authorId="1" shapeId="0" xr:uid="{00000000-0006-0000-0100-00007F090000}">
      <text>
        <r>
          <rPr>
            <sz val="11"/>
            <color theme="1"/>
            <rFont val="Calibri"/>
            <family val="2"/>
            <scheme val="minor"/>
          </rPr>
          <t>Introduzca un número con dos decimales como máximo</t>
        </r>
      </text>
    </comment>
    <comment ref="F2943" authorId="1" shapeId="0" xr:uid="{00000000-0006-0000-0100-000080090000}">
      <text>
        <r>
          <rPr>
            <sz val="11"/>
            <color theme="1"/>
            <rFont val="Calibri"/>
            <family val="2"/>
            <scheme val="minor"/>
          </rPr>
          <t>Monto calculado automáticamente por el sistema</t>
        </r>
      </text>
    </comment>
    <comment ref="A2950" authorId="1" shapeId="0" xr:uid="{00000000-0006-0000-0100-000081090000}">
      <text>
        <r>
          <rPr>
            <sz val="11"/>
            <color theme="1"/>
            <rFont val="Calibri"/>
            <family val="2"/>
            <scheme val="minor"/>
          </rPr>
          <t>Introducir un texto con el nombre o referencia de la contratación</t>
        </r>
      </text>
    </comment>
    <comment ref="B2950" authorId="1" shapeId="0" xr:uid="{00000000-0006-0000-0100-000082090000}">
      <text>
        <r>
          <rPr>
            <sz val="11"/>
            <color theme="1"/>
            <rFont val="Calibri"/>
            <family val="2"/>
            <scheme val="minor"/>
          </rPr>
          <t>Introduzca un texto con la finalidad de la contratación</t>
        </r>
      </text>
    </comment>
    <comment ref="C2950" authorId="1" shapeId="0" xr:uid="{00000000-0006-0000-0100-000083090000}">
      <text>
        <r>
          <rPr>
            <sz val="11"/>
            <color theme="1"/>
            <rFont val="Calibri"/>
            <family val="2"/>
            <scheme val="minor"/>
          </rPr>
          <t>Seleccionar un valor del listado</t>
        </r>
      </text>
    </comment>
    <comment ref="D2950" authorId="1" shapeId="0" xr:uid="{00000000-0006-0000-0100-000084090000}">
      <text>
        <r>
          <rPr>
            <sz val="11"/>
            <color theme="1"/>
            <rFont val="Calibri"/>
            <family val="2"/>
            <scheme val="minor"/>
          </rPr>
          <t>Seleccione el tipo de procedimiento</t>
        </r>
      </text>
    </comment>
    <comment ref="E2950" authorId="1" shapeId="0" xr:uid="{00000000-0006-0000-0100-000085090000}">
      <text>
        <r>
          <rPr>
            <sz val="11"/>
            <color theme="1"/>
            <rFont val="Calibri"/>
            <family val="2"/>
            <scheme val="minor"/>
          </rPr>
          <t>Seleccione un valor de la lista</t>
        </r>
      </text>
    </comment>
    <comment ref="F2950" authorId="1" shapeId="0" xr:uid="{00000000-0006-0000-0100-000086090000}">
      <text>
        <r>
          <rPr>
            <sz val="11"/>
            <color theme="1"/>
            <rFont val="Calibri"/>
            <family val="2"/>
            <scheme val="minor"/>
          </rPr>
          <t>Introduzca el código SNIP</t>
        </r>
      </text>
    </comment>
    <comment ref="C2951" authorId="1" shapeId="0" xr:uid="{00000000-0006-0000-0100-000087090000}">
      <text>
        <r>
          <rPr>
            <sz val="11"/>
            <color theme="1"/>
            <rFont val="Calibri"/>
            <family val="2"/>
            <scheme val="minor"/>
          </rPr>
          <t>Introduzca la fecha de inicio del proceso, en formato dd-mm-aaaa</t>
        </r>
      </text>
    </comment>
    <comment ref="F2951" authorId="1" shapeId="0" xr:uid="{00000000-0006-0000-0100-000089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52" authorId="1" shapeId="0" xr:uid="{00000000-0006-0000-0100-00008A090000}">
      <text/>
    </comment>
    <comment ref="C2953" authorId="1" shapeId="0" xr:uid="{00000000-0006-0000-0100-000088090000}">
      <text>
        <r>
          <rPr>
            <sz val="11"/>
            <color theme="1"/>
            <rFont val="Calibri"/>
            <family val="2"/>
            <scheme val="minor"/>
          </rPr>
          <t>Introduzca la fecha prevista de adjudicación, en formato dd-mm-aaaa</t>
        </r>
      </text>
    </comment>
    <comment ref="F2953" authorId="1" shapeId="0" xr:uid="{00000000-0006-0000-0100-00008B090000}">
      <text/>
    </comment>
    <comment ref="F2954" authorId="1" shapeId="0" xr:uid="{00000000-0006-0000-0100-00008C090000}">
      <text/>
    </comment>
    <comment ref="A2956" authorId="1" shapeId="0" xr:uid="{00000000-0006-0000-0100-00008D090000}">
      <text>
        <r>
          <rPr>
            <sz val="11"/>
            <color theme="1"/>
            <rFont val="Calibri"/>
            <family val="2"/>
            <scheme val="minor"/>
          </rPr>
          <t>Introduzca un codigo UNSPSC</t>
        </r>
      </text>
    </comment>
    <comment ref="B2956" authorId="1" shapeId="0" xr:uid="{00000000-0006-0000-0100-00008E090000}">
      <text>
        <r>
          <rPr>
            <sz val="11"/>
            <color theme="1"/>
            <rFont val="Calibri"/>
            <family val="2"/>
            <scheme val="minor"/>
          </rPr>
          <t>Descripción calculada automáticamente a partir de código del artículo</t>
        </r>
      </text>
    </comment>
    <comment ref="C2956" authorId="1" shapeId="0" xr:uid="{00000000-0006-0000-0100-00008F090000}">
      <text>
        <r>
          <rPr>
            <sz val="11"/>
            <color theme="1"/>
            <rFont val="Calibri"/>
            <family val="2"/>
            <scheme val="minor"/>
          </rPr>
          <t>Seleccione un valor de la lista</t>
        </r>
      </text>
    </comment>
    <comment ref="D2956" authorId="1" shapeId="0" xr:uid="{00000000-0006-0000-0100-000090090000}">
      <text>
        <r>
          <rPr>
            <sz val="11"/>
            <color theme="1"/>
            <rFont val="Calibri"/>
            <family val="2"/>
            <scheme val="minor"/>
          </rPr>
          <t>Introduzca un número con dos decimales como máximo. Debe ser igual o mayor a la "Cantidad Real Consumida"</t>
        </r>
      </text>
    </comment>
    <comment ref="E2956" authorId="1" shapeId="0" xr:uid="{00000000-0006-0000-0100-000091090000}">
      <text>
        <r>
          <rPr>
            <sz val="11"/>
            <color theme="1"/>
            <rFont val="Calibri"/>
            <family val="2"/>
            <scheme val="minor"/>
          </rPr>
          <t>Introduzca un número con dos decimales como máximo</t>
        </r>
      </text>
    </comment>
    <comment ref="F2956" authorId="1" shapeId="0" xr:uid="{00000000-0006-0000-0100-000092090000}">
      <text>
        <r>
          <rPr>
            <sz val="11"/>
            <color theme="1"/>
            <rFont val="Calibri"/>
            <family val="2"/>
            <scheme val="minor"/>
          </rPr>
          <t>Monto calculado automáticamente por el sistema</t>
        </r>
      </text>
    </comment>
    <comment ref="A2963" authorId="1" shapeId="0" xr:uid="{00000000-0006-0000-0100-000093090000}">
      <text>
        <r>
          <rPr>
            <sz val="11"/>
            <color theme="1"/>
            <rFont val="Calibri"/>
            <family val="2"/>
            <scheme val="minor"/>
          </rPr>
          <t>Introducir un texto con el nombre o referencia de la contratación</t>
        </r>
      </text>
    </comment>
    <comment ref="B2963" authorId="1" shapeId="0" xr:uid="{00000000-0006-0000-0100-000094090000}">
      <text>
        <r>
          <rPr>
            <sz val="11"/>
            <color theme="1"/>
            <rFont val="Calibri"/>
            <family val="2"/>
            <scheme val="minor"/>
          </rPr>
          <t>Introduzca un texto con la finalidad de la contratación</t>
        </r>
      </text>
    </comment>
    <comment ref="C2963" authorId="1" shapeId="0" xr:uid="{00000000-0006-0000-0100-000095090000}">
      <text>
        <r>
          <rPr>
            <sz val="11"/>
            <color theme="1"/>
            <rFont val="Calibri"/>
            <family val="2"/>
            <scheme val="minor"/>
          </rPr>
          <t>Seleccionar un valor del listado</t>
        </r>
      </text>
    </comment>
    <comment ref="D2963" authorId="1" shapeId="0" xr:uid="{00000000-0006-0000-0100-000096090000}">
      <text>
        <r>
          <rPr>
            <sz val="11"/>
            <color theme="1"/>
            <rFont val="Calibri"/>
            <family val="2"/>
            <scheme val="minor"/>
          </rPr>
          <t>Seleccione el tipo de procedimiento</t>
        </r>
      </text>
    </comment>
    <comment ref="E2963" authorId="1" shapeId="0" xr:uid="{00000000-0006-0000-0100-000097090000}">
      <text>
        <r>
          <rPr>
            <sz val="11"/>
            <color theme="1"/>
            <rFont val="Calibri"/>
            <family val="2"/>
            <scheme val="minor"/>
          </rPr>
          <t>Seleccione un valor de la lista</t>
        </r>
      </text>
    </comment>
    <comment ref="F2963" authorId="1" shapeId="0" xr:uid="{00000000-0006-0000-0100-000098090000}">
      <text>
        <r>
          <rPr>
            <sz val="11"/>
            <color theme="1"/>
            <rFont val="Calibri"/>
            <family val="2"/>
            <scheme val="minor"/>
          </rPr>
          <t>Introduzca el código SNIP</t>
        </r>
      </text>
    </comment>
    <comment ref="C2964" authorId="1" shapeId="0" xr:uid="{00000000-0006-0000-0100-000099090000}">
      <text>
        <r>
          <rPr>
            <sz val="11"/>
            <color theme="1"/>
            <rFont val="Calibri"/>
            <family val="2"/>
            <scheme val="minor"/>
          </rPr>
          <t>Introduzca la fecha de inicio del proceso, en formato dd-mm-aaaa</t>
        </r>
      </text>
    </comment>
    <comment ref="F2964" authorId="1" shapeId="0" xr:uid="{00000000-0006-0000-0100-00009B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65" authorId="1" shapeId="0" xr:uid="{00000000-0006-0000-0100-00009C090000}">
      <text/>
    </comment>
    <comment ref="C2966" authorId="1" shapeId="0" xr:uid="{00000000-0006-0000-0100-00009A090000}">
      <text>
        <r>
          <rPr>
            <sz val="11"/>
            <color theme="1"/>
            <rFont val="Calibri"/>
            <family val="2"/>
            <scheme val="minor"/>
          </rPr>
          <t>Introduzca la fecha prevista de adjudicación, en formato dd-mm-aaaa</t>
        </r>
      </text>
    </comment>
    <comment ref="F2966" authorId="1" shapeId="0" xr:uid="{00000000-0006-0000-0100-00009D090000}">
      <text/>
    </comment>
    <comment ref="F2967" authorId="1" shapeId="0" xr:uid="{00000000-0006-0000-0100-00009E090000}">
      <text/>
    </comment>
    <comment ref="A2969" authorId="1" shapeId="0" xr:uid="{00000000-0006-0000-0100-00009F090000}">
      <text>
        <r>
          <rPr>
            <sz val="11"/>
            <color theme="1"/>
            <rFont val="Calibri"/>
            <family val="2"/>
            <scheme val="minor"/>
          </rPr>
          <t>Introduzca un codigo UNSPSC</t>
        </r>
      </text>
    </comment>
    <comment ref="B2969" authorId="1" shapeId="0" xr:uid="{00000000-0006-0000-0100-0000A0090000}">
      <text>
        <r>
          <rPr>
            <sz val="11"/>
            <color theme="1"/>
            <rFont val="Calibri"/>
            <family val="2"/>
            <scheme val="minor"/>
          </rPr>
          <t>Descripción calculada automáticamente a partir de código del artículo</t>
        </r>
      </text>
    </comment>
    <comment ref="C2969" authorId="1" shapeId="0" xr:uid="{00000000-0006-0000-0100-0000A1090000}">
      <text>
        <r>
          <rPr>
            <sz val="11"/>
            <color theme="1"/>
            <rFont val="Calibri"/>
            <family val="2"/>
            <scheme val="minor"/>
          </rPr>
          <t>Seleccione un valor de la lista</t>
        </r>
      </text>
    </comment>
    <comment ref="D2969" authorId="1" shapeId="0" xr:uid="{00000000-0006-0000-0100-0000A2090000}">
      <text>
        <r>
          <rPr>
            <sz val="11"/>
            <color theme="1"/>
            <rFont val="Calibri"/>
            <family val="2"/>
            <scheme val="minor"/>
          </rPr>
          <t>Introduzca un número con dos decimales como máximo. Debe ser igual o mayor a la "Cantidad Real Consumida"</t>
        </r>
      </text>
    </comment>
    <comment ref="E2969" authorId="1" shapeId="0" xr:uid="{00000000-0006-0000-0100-0000A3090000}">
      <text>
        <r>
          <rPr>
            <sz val="11"/>
            <color theme="1"/>
            <rFont val="Calibri"/>
            <family val="2"/>
            <scheme val="minor"/>
          </rPr>
          <t>Introduzca un número con dos decimales como máximo</t>
        </r>
      </text>
    </comment>
    <comment ref="F2969" authorId="1" shapeId="0" xr:uid="{00000000-0006-0000-0100-0000A4090000}">
      <text>
        <r>
          <rPr>
            <sz val="11"/>
            <color theme="1"/>
            <rFont val="Calibri"/>
            <family val="2"/>
            <scheme val="minor"/>
          </rPr>
          <t>Monto calculado automáticamente por el sistema</t>
        </r>
      </text>
    </comment>
    <comment ref="A2975" authorId="1" shapeId="0" xr:uid="{00000000-0006-0000-0100-0000A5090000}">
      <text>
        <r>
          <rPr>
            <sz val="11"/>
            <color theme="1"/>
            <rFont val="Calibri"/>
            <family val="2"/>
            <scheme val="minor"/>
          </rPr>
          <t>Introducir un texto con el nombre o referencia de la contratación</t>
        </r>
      </text>
    </comment>
    <comment ref="B2975" authorId="1" shapeId="0" xr:uid="{00000000-0006-0000-0100-0000A6090000}">
      <text>
        <r>
          <rPr>
            <sz val="11"/>
            <color theme="1"/>
            <rFont val="Calibri"/>
            <family val="2"/>
            <scheme val="minor"/>
          </rPr>
          <t>Introduzca un texto con la finalidad de la contratación</t>
        </r>
      </text>
    </comment>
    <comment ref="C2975" authorId="1" shapeId="0" xr:uid="{00000000-0006-0000-0100-0000A7090000}">
      <text>
        <r>
          <rPr>
            <sz val="11"/>
            <color theme="1"/>
            <rFont val="Calibri"/>
            <family val="2"/>
            <scheme val="minor"/>
          </rPr>
          <t>Seleccionar un valor del listado</t>
        </r>
      </text>
    </comment>
    <comment ref="D2975" authorId="1" shapeId="0" xr:uid="{00000000-0006-0000-0100-0000A8090000}">
      <text>
        <r>
          <rPr>
            <sz val="11"/>
            <color theme="1"/>
            <rFont val="Calibri"/>
            <family val="2"/>
            <scheme val="minor"/>
          </rPr>
          <t>Seleccione el tipo de procedimiento</t>
        </r>
      </text>
    </comment>
    <comment ref="E2975" authorId="1" shapeId="0" xr:uid="{00000000-0006-0000-0100-0000A9090000}">
      <text>
        <r>
          <rPr>
            <sz val="11"/>
            <color theme="1"/>
            <rFont val="Calibri"/>
            <family val="2"/>
            <scheme val="minor"/>
          </rPr>
          <t>Seleccione un valor de la lista</t>
        </r>
      </text>
    </comment>
    <comment ref="F2975" authorId="1" shapeId="0" xr:uid="{00000000-0006-0000-0100-0000AA090000}">
      <text>
        <r>
          <rPr>
            <sz val="11"/>
            <color theme="1"/>
            <rFont val="Calibri"/>
            <family val="2"/>
            <scheme val="minor"/>
          </rPr>
          <t>Introduzca el código SNIP</t>
        </r>
      </text>
    </comment>
    <comment ref="C2976" authorId="1" shapeId="0" xr:uid="{00000000-0006-0000-0100-0000AB090000}">
      <text>
        <r>
          <rPr>
            <sz val="11"/>
            <color theme="1"/>
            <rFont val="Calibri"/>
            <family val="2"/>
            <scheme val="minor"/>
          </rPr>
          <t>Introduzca la fecha de inicio del proceso, en formato dd-mm-aaaa</t>
        </r>
      </text>
    </comment>
    <comment ref="F2976" authorId="1" shapeId="0" xr:uid="{00000000-0006-0000-0100-0000AD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77" authorId="1" shapeId="0" xr:uid="{00000000-0006-0000-0100-0000AE090000}">
      <text/>
    </comment>
    <comment ref="C2978" authorId="1" shapeId="0" xr:uid="{00000000-0006-0000-0100-0000AC090000}">
      <text>
        <r>
          <rPr>
            <sz val="11"/>
            <color theme="1"/>
            <rFont val="Calibri"/>
            <family val="2"/>
            <scheme val="minor"/>
          </rPr>
          <t>Introduzca la fecha prevista de adjudicación, en formato dd-mm-aaaa</t>
        </r>
      </text>
    </comment>
    <comment ref="F2978" authorId="1" shapeId="0" xr:uid="{00000000-0006-0000-0100-0000AF090000}">
      <text/>
    </comment>
    <comment ref="F2979" authorId="1" shapeId="0" xr:uid="{00000000-0006-0000-0100-0000B0090000}">
      <text/>
    </comment>
    <comment ref="A2981" authorId="1" shapeId="0" xr:uid="{00000000-0006-0000-0100-0000B1090000}">
      <text>
        <r>
          <rPr>
            <sz val="11"/>
            <color theme="1"/>
            <rFont val="Calibri"/>
            <family val="2"/>
            <scheme val="minor"/>
          </rPr>
          <t>Introduzca un codigo UNSPSC</t>
        </r>
      </text>
    </comment>
    <comment ref="B2981" authorId="1" shapeId="0" xr:uid="{00000000-0006-0000-0100-0000B2090000}">
      <text>
        <r>
          <rPr>
            <sz val="11"/>
            <color theme="1"/>
            <rFont val="Calibri"/>
            <family val="2"/>
            <scheme val="minor"/>
          </rPr>
          <t>Descripción calculada automáticamente a partir de código del artículo</t>
        </r>
      </text>
    </comment>
    <comment ref="C2981" authorId="1" shapeId="0" xr:uid="{00000000-0006-0000-0100-0000B3090000}">
      <text>
        <r>
          <rPr>
            <sz val="11"/>
            <color theme="1"/>
            <rFont val="Calibri"/>
            <family val="2"/>
            <scheme val="minor"/>
          </rPr>
          <t>Seleccione un valor de la lista</t>
        </r>
      </text>
    </comment>
    <comment ref="D2981" authorId="1" shapeId="0" xr:uid="{00000000-0006-0000-0100-0000B4090000}">
      <text>
        <r>
          <rPr>
            <sz val="11"/>
            <color theme="1"/>
            <rFont val="Calibri"/>
            <family val="2"/>
            <scheme val="minor"/>
          </rPr>
          <t>Introduzca un número con dos decimales como máximo. Debe ser igual o mayor a la "Cantidad Real Consumida"</t>
        </r>
      </text>
    </comment>
    <comment ref="E2981" authorId="1" shapeId="0" xr:uid="{00000000-0006-0000-0100-0000B5090000}">
      <text>
        <r>
          <rPr>
            <sz val="11"/>
            <color theme="1"/>
            <rFont val="Calibri"/>
            <family val="2"/>
            <scheme val="minor"/>
          </rPr>
          <t>Introduzca un número con dos decimales como máximo</t>
        </r>
      </text>
    </comment>
    <comment ref="F2981" authorId="1" shapeId="0" xr:uid="{00000000-0006-0000-0100-0000B6090000}">
      <text>
        <r>
          <rPr>
            <sz val="11"/>
            <color theme="1"/>
            <rFont val="Calibri"/>
            <family val="2"/>
            <scheme val="minor"/>
          </rPr>
          <t>Monto calculado automáticamente por el sistema</t>
        </r>
      </text>
    </comment>
    <comment ref="A2986" authorId="1" shapeId="0" xr:uid="{00000000-0006-0000-0100-0000B7090000}">
      <text>
        <r>
          <rPr>
            <sz val="11"/>
            <color theme="1"/>
            <rFont val="Calibri"/>
            <family val="2"/>
            <scheme val="minor"/>
          </rPr>
          <t>Introducir un texto con el nombre o referencia de la contratación</t>
        </r>
      </text>
    </comment>
    <comment ref="B2986" authorId="1" shapeId="0" xr:uid="{00000000-0006-0000-0100-0000B8090000}">
      <text>
        <r>
          <rPr>
            <sz val="11"/>
            <color theme="1"/>
            <rFont val="Calibri"/>
            <family val="2"/>
            <scheme val="minor"/>
          </rPr>
          <t>Introduzca un texto con la finalidad de la contratación</t>
        </r>
      </text>
    </comment>
    <comment ref="C2986" authorId="1" shapeId="0" xr:uid="{00000000-0006-0000-0100-0000B9090000}">
      <text>
        <r>
          <rPr>
            <sz val="11"/>
            <color theme="1"/>
            <rFont val="Calibri"/>
            <family val="2"/>
            <scheme val="minor"/>
          </rPr>
          <t>Seleccionar un valor del listado</t>
        </r>
      </text>
    </comment>
    <comment ref="D2986" authorId="1" shapeId="0" xr:uid="{00000000-0006-0000-0100-0000BA090000}">
      <text>
        <r>
          <rPr>
            <sz val="11"/>
            <color theme="1"/>
            <rFont val="Calibri"/>
            <family val="2"/>
            <scheme val="minor"/>
          </rPr>
          <t>Seleccione el tipo de procedimiento</t>
        </r>
      </text>
    </comment>
    <comment ref="E2986" authorId="1" shapeId="0" xr:uid="{00000000-0006-0000-0100-0000BB090000}">
      <text>
        <r>
          <rPr>
            <sz val="11"/>
            <color theme="1"/>
            <rFont val="Calibri"/>
            <family val="2"/>
            <scheme val="minor"/>
          </rPr>
          <t>Seleccione un valor de la lista</t>
        </r>
      </text>
    </comment>
    <comment ref="F2986" authorId="1" shapeId="0" xr:uid="{00000000-0006-0000-0100-0000BC090000}">
      <text>
        <r>
          <rPr>
            <sz val="11"/>
            <color theme="1"/>
            <rFont val="Calibri"/>
            <family val="2"/>
            <scheme val="minor"/>
          </rPr>
          <t>Introduzca el código SNIP</t>
        </r>
      </text>
    </comment>
    <comment ref="C2987" authorId="1" shapeId="0" xr:uid="{00000000-0006-0000-0100-0000BD090000}">
      <text>
        <r>
          <rPr>
            <sz val="11"/>
            <color theme="1"/>
            <rFont val="Calibri"/>
            <family val="2"/>
            <scheme val="minor"/>
          </rPr>
          <t>Introduzca la fecha de inicio del proceso, en formato dd-mm-aaaa</t>
        </r>
      </text>
    </comment>
    <comment ref="F2987" authorId="1" shapeId="0" xr:uid="{00000000-0006-0000-0100-0000BF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88" authorId="1" shapeId="0" xr:uid="{00000000-0006-0000-0100-0000C0090000}">
      <text/>
    </comment>
    <comment ref="C2989" authorId="1" shapeId="0" xr:uid="{00000000-0006-0000-0100-0000BE090000}">
      <text>
        <r>
          <rPr>
            <sz val="11"/>
            <color theme="1"/>
            <rFont val="Calibri"/>
            <family val="2"/>
            <scheme val="minor"/>
          </rPr>
          <t>Introduzca la fecha prevista de adjudicación, en formato dd-mm-aaaa</t>
        </r>
      </text>
    </comment>
    <comment ref="F2989" authorId="1" shapeId="0" xr:uid="{00000000-0006-0000-0100-0000C1090000}">
      <text/>
    </comment>
    <comment ref="F2990" authorId="1" shapeId="0" xr:uid="{00000000-0006-0000-0100-0000C2090000}">
      <text/>
    </comment>
    <comment ref="A2992" authorId="1" shapeId="0" xr:uid="{00000000-0006-0000-0100-0000C3090000}">
      <text>
        <r>
          <rPr>
            <sz val="11"/>
            <color theme="1"/>
            <rFont val="Calibri"/>
            <family val="2"/>
            <scheme val="minor"/>
          </rPr>
          <t>Introduzca un codigo UNSPSC</t>
        </r>
      </text>
    </comment>
    <comment ref="B2992" authorId="1" shapeId="0" xr:uid="{00000000-0006-0000-0100-0000C4090000}">
      <text>
        <r>
          <rPr>
            <sz val="11"/>
            <color theme="1"/>
            <rFont val="Calibri"/>
            <family val="2"/>
            <scheme val="minor"/>
          </rPr>
          <t>Descripción calculada automáticamente a partir de código del artículo</t>
        </r>
      </text>
    </comment>
    <comment ref="C2992" authorId="1" shapeId="0" xr:uid="{00000000-0006-0000-0100-0000C5090000}">
      <text>
        <r>
          <rPr>
            <sz val="11"/>
            <color theme="1"/>
            <rFont val="Calibri"/>
            <family val="2"/>
            <scheme val="minor"/>
          </rPr>
          <t>Seleccione un valor de la lista</t>
        </r>
      </text>
    </comment>
    <comment ref="D2992" authorId="1" shapeId="0" xr:uid="{00000000-0006-0000-0100-0000C6090000}">
      <text>
        <r>
          <rPr>
            <sz val="11"/>
            <color theme="1"/>
            <rFont val="Calibri"/>
            <family val="2"/>
            <scheme val="minor"/>
          </rPr>
          <t>Introduzca un número con dos decimales como máximo. Debe ser igual o mayor a la "Cantidad Real Consumida"</t>
        </r>
      </text>
    </comment>
    <comment ref="E2992" authorId="1" shapeId="0" xr:uid="{00000000-0006-0000-0100-0000C7090000}">
      <text>
        <r>
          <rPr>
            <sz val="11"/>
            <color theme="1"/>
            <rFont val="Calibri"/>
            <family val="2"/>
            <scheme val="minor"/>
          </rPr>
          <t>Introduzca un número con dos decimales como máximo</t>
        </r>
      </text>
    </comment>
    <comment ref="F2992" authorId="1" shapeId="0" xr:uid="{00000000-0006-0000-0100-0000C8090000}">
      <text>
        <r>
          <rPr>
            <sz val="11"/>
            <color theme="1"/>
            <rFont val="Calibri"/>
            <family val="2"/>
            <scheme val="minor"/>
          </rPr>
          <t>Monto calculado automáticamente por el sistema</t>
        </r>
      </text>
    </comment>
    <comment ref="A2997" authorId="1" shapeId="0" xr:uid="{00000000-0006-0000-0100-0000C9090000}">
      <text>
        <r>
          <rPr>
            <sz val="11"/>
            <color theme="1"/>
            <rFont val="Calibri"/>
            <family val="2"/>
            <scheme val="minor"/>
          </rPr>
          <t>Introducir un texto con el nombre o referencia de la contratación</t>
        </r>
      </text>
    </comment>
    <comment ref="B2997" authorId="1" shapeId="0" xr:uid="{00000000-0006-0000-0100-0000CA090000}">
      <text>
        <r>
          <rPr>
            <sz val="11"/>
            <color theme="1"/>
            <rFont val="Calibri"/>
            <family val="2"/>
            <scheme val="minor"/>
          </rPr>
          <t>Introduzca un texto con la finalidad de la contratación</t>
        </r>
      </text>
    </comment>
    <comment ref="C2997" authorId="1" shapeId="0" xr:uid="{00000000-0006-0000-0100-0000CB090000}">
      <text>
        <r>
          <rPr>
            <sz val="11"/>
            <color theme="1"/>
            <rFont val="Calibri"/>
            <family val="2"/>
            <scheme val="minor"/>
          </rPr>
          <t>Seleccionar un valor del listado</t>
        </r>
      </text>
    </comment>
    <comment ref="D2997" authorId="1" shapeId="0" xr:uid="{00000000-0006-0000-0100-0000CC090000}">
      <text>
        <r>
          <rPr>
            <sz val="11"/>
            <color theme="1"/>
            <rFont val="Calibri"/>
            <family val="2"/>
            <scheme val="minor"/>
          </rPr>
          <t>Seleccione el tipo de procedimiento</t>
        </r>
      </text>
    </comment>
    <comment ref="E2997" authorId="1" shapeId="0" xr:uid="{00000000-0006-0000-0100-0000CD090000}">
      <text>
        <r>
          <rPr>
            <sz val="11"/>
            <color theme="1"/>
            <rFont val="Calibri"/>
            <family val="2"/>
            <scheme val="minor"/>
          </rPr>
          <t>Seleccione un valor de la lista</t>
        </r>
      </text>
    </comment>
    <comment ref="F2997" authorId="1" shapeId="0" xr:uid="{00000000-0006-0000-0100-0000CE090000}">
      <text>
        <r>
          <rPr>
            <sz val="11"/>
            <color theme="1"/>
            <rFont val="Calibri"/>
            <family val="2"/>
            <scheme val="minor"/>
          </rPr>
          <t>Introduzca el código SNIP</t>
        </r>
      </text>
    </comment>
    <comment ref="C2998" authorId="1" shapeId="0" xr:uid="{00000000-0006-0000-0100-0000CF090000}">
      <text>
        <r>
          <rPr>
            <sz val="11"/>
            <color theme="1"/>
            <rFont val="Calibri"/>
            <family val="2"/>
            <scheme val="minor"/>
          </rPr>
          <t>Introduzca la fecha de inicio del proceso, en formato dd-mm-aaaa</t>
        </r>
      </text>
    </comment>
    <comment ref="F2998" authorId="1" shapeId="0" xr:uid="{00000000-0006-0000-0100-0000D1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99" authorId="1" shapeId="0" xr:uid="{00000000-0006-0000-0100-0000D2090000}">
      <text/>
    </comment>
    <comment ref="C3000" authorId="1" shapeId="0" xr:uid="{00000000-0006-0000-0100-0000D0090000}">
      <text>
        <r>
          <rPr>
            <sz val="11"/>
            <color theme="1"/>
            <rFont val="Calibri"/>
            <family val="2"/>
            <scheme val="minor"/>
          </rPr>
          <t>Introduzca la fecha prevista de adjudicación, en formato dd-mm-aaaa</t>
        </r>
      </text>
    </comment>
    <comment ref="F3000" authorId="1" shapeId="0" xr:uid="{00000000-0006-0000-0100-0000D3090000}">
      <text/>
    </comment>
    <comment ref="F3001" authorId="1" shapeId="0" xr:uid="{00000000-0006-0000-0100-0000D4090000}">
      <text/>
    </comment>
    <comment ref="A3003" authorId="1" shapeId="0" xr:uid="{00000000-0006-0000-0100-0000D5090000}">
      <text>
        <r>
          <rPr>
            <sz val="11"/>
            <color theme="1"/>
            <rFont val="Calibri"/>
            <family val="2"/>
            <scheme val="minor"/>
          </rPr>
          <t>Introduzca un codigo UNSPSC</t>
        </r>
      </text>
    </comment>
    <comment ref="B3003" authorId="1" shapeId="0" xr:uid="{00000000-0006-0000-0100-0000D6090000}">
      <text>
        <r>
          <rPr>
            <sz val="11"/>
            <color theme="1"/>
            <rFont val="Calibri"/>
            <family val="2"/>
            <scheme val="minor"/>
          </rPr>
          <t>Descripción calculada automáticamente a partir de código del artículo</t>
        </r>
      </text>
    </comment>
    <comment ref="C3003" authorId="1" shapeId="0" xr:uid="{00000000-0006-0000-0100-0000D7090000}">
      <text>
        <r>
          <rPr>
            <sz val="11"/>
            <color theme="1"/>
            <rFont val="Calibri"/>
            <family val="2"/>
            <scheme val="minor"/>
          </rPr>
          <t>Seleccione un valor de la lista</t>
        </r>
      </text>
    </comment>
    <comment ref="D3003" authorId="1" shapeId="0" xr:uid="{00000000-0006-0000-0100-0000D8090000}">
      <text>
        <r>
          <rPr>
            <sz val="11"/>
            <color theme="1"/>
            <rFont val="Calibri"/>
            <family val="2"/>
            <scheme val="minor"/>
          </rPr>
          <t>Introduzca un número con dos decimales como máximo. Debe ser igual o mayor a la "Cantidad Real Consumida"</t>
        </r>
      </text>
    </comment>
    <comment ref="E3003" authorId="1" shapeId="0" xr:uid="{00000000-0006-0000-0100-0000D9090000}">
      <text>
        <r>
          <rPr>
            <sz val="11"/>
            <color theme="1"/>
            <rFont val="Calibri"/>
            <family val="2"/>
            <scheme val="minor"/>
          </rPr>
          <t>Introduzca un número con dos decimales como máximo</t>
        </r>
      </text>
    </comment>
    <comment ref="F3003" authorId="1" shapeId="0" xr:uid="{00000000-0006-0000-0100-0000DA090000}">
      <text>
        <r>
          <rPr>
            <sz val="11"/>
            <color theme="1"/>
            <rFont val="Calibri"/>
            <family val="2"/>
            <scheme val="minor"/>
          </rPr>
          <t>Monto calculado automáticamente por el sistema</t>
        </r>
      </text>
    </comment>
    <comment ref="A3008" authorId="1" shapeId="0" xr:uid="{00000000-0006-0000-0100-0000DB090000}">
      <text>
        <r>
          <rPr>
            <sz val="11"/>
            <color theme="1"/>
            <rFont val="Calibri"/>
            <family val="2"/>
            <scheme val="minor"/>
          </rPr>
          <t>Introducir un texto con el nombre o referencia de la contratación</t>
        </r>
      </text>
    </comment>
    <comment ref="B3008" authorId="1" shapeId="0" xr:uid="{00000000-0006-0000-0100-0000DC090000}">
      <text>
        <r>
          <rPr>
            <sz val="11"/>
            <color theme="1"/>
            <rFont val="Calibri"/>
            <family val="2"/>
            <scheme val="minor"/>
          </rPr>
          <t>Introduzca un texto con la finalidad de la contratación</t>
        </r>
      </text>
    </comment>
    <comment ref="C3008" authorId="1" shapeId="0" xr:uid="{00000000-0006-0000-0100-0000DD090000}">
      <text>
        <r>
          <rPr>
            <sz val="11"/>
            <color theme="1"/>
            <rFont val="Calibri"/>
            <family val="2"/>
            <scheme val="minor"/>
          </rPr>
          <t>Seleccionar un valor del listado</t>
        </r>
      </text>
    </comment>
    <comment ref="D3008" authorId="1" shapeId="0" xr:uid="{00000000-0006-0000-0100-0000DE090000}">
      <text>
        <r>
          <rPr>
            <sz val="11"/>
            <color theme="1"/>
            <rFont val="Calibri"/>
            <family val="2"/>
            <scheme val="minor"/>
          </rPr>
          <t>Seleccione el tipo de procedimiento</t>
        </r>
      </text>
    </comment>
    <comment ref="E3008" authorId="1" shapeId="0" xr:uid="{00000000-0006-0000-0100-0000DF090000}">
      <text>
        <r>
          <rPr>
            <sz val="11"/>
            <color theme="1"/>
            <rFont val="Calibri"/>
            <family val="2"/>
            <scheme val="minor"/>
          </rPr>
          <t>Seleccione un valor de la lista</t>
        </r>
      </text>
    </comment>
    <comment ref="F3008" authorId="1" shapeId="0" xr:uid="{00000000-0006-0000-0100-0000E0090000}">
      <text>
        <r>
          <rPr>
            <sz val="11"/>
            <color theme="1"/>
            <rFont val="Calibri"/>
            <family val="2"/>
            <scheme val="minor"/>
          </rPr>
          <t>Introduzca el código SNIP</t>
        </r>
      </text>
    </comment>
    <comment ref="C3009" authorId="1" shapeId="0" xr:uid="{00000000-0006-0000-0100-0000E1090000}">
      <text>
        <r>
          <rPr>
            <sz val="11"/>
            <color theme="1"/>
            <rFont val="Calibri"/>
            <family val="2"/>
            <scheme val="minor"/>
          </rPr>
          <t>Introduzca la fecha de inicio del proceso, en formato dd-mm-aaaa</t>
        </r>
      </text>
    </comment>
    <comment ref="F3009" authorId="1" shapeId="0" xr:uid="{00000000-0006-0000-0100-0000E3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10" authorId="1" shapeId="0" xr:uid="{00000000-0006-0000-0100-0000E4090000}">
      <text/>
    </comment>
    <comment ref="C3011" authorId="1" shapeId="0" xr:uid="{00000000-0006-0000-0100-0000E2090000}">
      <text>
        <r>
          <rPr>
            <sz val="11"/>
            <color theme="1"/>
            <rFont val="Calibri"/>
            <family val="2"/>
            <scheme val="minor"/>
          </rPr>
          <t>Introduzca la fecha prevista de adjudicación, en formato dd-mm-aaaa</t>
        </r>
      </text>
    </comment>
    <comment ref="F3011" authorId="1" shapeId="0" xr:uid="{00000000-0006-0000-0100-0000E5090000}">
      <text/>
    </comment>
    <comment ref="F3012" authorId="1" shapeId="0" xr:uid="{00000000-0006-0000-0100-0000E6090000}">
      <text/>
    </comment>
    <comment ref="A3014" authorId="1" shapeId="0" xr:uid="{00000000-0006-0000-0100-0000E7090000}">
      <text>
        <r>
          <rPr>
            <sz val="11"/>
            <color theme="1"/>
            <rFont val="Calibri"/>
            <family val="2"/>
            <scheme val="minor"/>
          </rPr>
          <t>Introduzca un codigo UNSPSC</t>
        </r>
      </text>
    </comment>
    <comment ref="B3014" authorId="1" shapeId="0" xr:uid="{00000000-0006-0000-0100-0000E8090000}">
      <text>
        <r>
          <rPr>
            <sz val="11"/>
            <color theme="1"/>
            <rFont val="Calibri"/>
            <family val="2"/>
            <scheme val="minor"/>
          </rPr>
          <t>Descripción calculada automáticamente a partir de código del artículo</t>
        </r>
      </text>
    </comment>
    <comment ref="C3014" authorId="1" shapeId="0" xr:uid="{00000000-0006-0000-0100-0000E9090000}">
      <text>
        <r>
          <rPr>
            <sz val="11"/>
            <color theme="1"/>
            <rFont val="Calibri"/>
            <family val="2"/>
            <scheme val="minor"/>
          </rPr>
          <t>Seleccione un valor de la lista</t>
        </r>
      </text>
    </comment>
    <comment ref="D3014" authorId="1" shapeId="0" xr:uid="{00000000-0006-0000-0100-0000EA090000}">
      <text>
        <r>
          <rPr>
            <sz val="11"/>
            <color theme="1"/>
            <rFont val="Calibri"/>
            <family val="2"/>
            <scheme val="minor"/>
          </rPr>
          <t>Introduzca un número con dos decimales como máximo. Debe ser igual o mayor a la "Cantidad Real Consumida"</t>
        </r>
      </text>
    </comment>
    <comment ref="E3014" authorId="1" shapeId="0" xr:uid="{00000000-0006-0000-0100-0000EB090000}">
      <text>
        <r>
          <rPr>
            <sz val="11"/>
            <color theme="1"/>
            <rFont val="Calibri"/>
            <family val="2"/>
            <scheme val="minor"/>
          </rPr>
          <t>Introduzca un número con dos decimales como máximo</t>
        </r>
      </text>
    </comment>
    <comment ref="F3014" authorId="1" shapeId="0" xr:uid="{00000000-0006-0000-0100-0000EC090000}">
      <text>
        <r>
          <rPr>
            <sz val="11"/>
            <color theme="1"/>
            <rFont val="Calibri"/>
            <family val="2"/>
            <scheme val="minor"/>
          </rPr>
          <t>Monto calculado automáticamente por el sistema</t>
        </r>
      </text>
    </comment>
    <comment ref="A3019" authorId="1" shapeId="0" xr:uid="{00000000-0006-0000-0100-0000ED090000}">
      <text>
        <r>
          <rPr>
            <sz val="11"/>
            <color theme="1"/>
            <rFont val="Calibri"/>
            <family val="2"/>
            <scheme val="minor"/>
          </rPr>
          <t>Introducir un texto con el nombre o referencia de la contratación</t>
        </r>
      </text>
    </comment>
    <comment ref="B3019" authorId="1" shapeId="0" xr:uid="{00000000-0006-0000-0100-0000EE090000}">
      <text>
        <r>
          <rPr>
            <sz val="11"/>
            <color theme="1"/>
            <rFont val="Calibri"/>
            <family val="2"/>
            <scheme val="minor"/>
          </rPr>
          <t>Introduzca un texto con la finalidad de la contratación</t>
        </r>
      </text>
    </comment>
    <comment ref="C3019" authorId="1" shapeId="0" xr:uid="{00000000-0006-0000-0100-0000EF090000}">
      <text>
        <r>
          <rPr>
            <sz val="11"/>
            <color theme="1"/>
            <rFont val="Calibri"/>
            <family val="2"/>
            <scheme val="minor"/>
          </rPr>
          <t>Seleccionar un valor del listado</t>
        </r>
      </text>
    </comment>
    <comment ref="D3019" authorId="1" shapeId="0" xr:uid="{00000000-0006-0000-0100-0000F0090000}">
      <text>
        <r>
          <rPr>
            <sz val="11"/>
            <color theme="1"/>
            <rFont val="Calibri"/>
            <family val="2"/>
            <scheme val="minor"/>
          </rPr>
          <t>Seleccione el tipo de procedimiento</t>
        </r>
      </text>
    </comment>
    <comment ref="E3019" authorId="1" shapeId="0" xr:uid="{00000000-0006-0000-0100-0000F1090000}">
      <text>
        <r>
          <rPr>
            <sz val="11"/>
            <color theme="1"/>
            <rFont val="Calibri"/>
            <family val="2"/>
            <scheme val="minor"/>
          </rPr>
          <t>Seleccione un valor de la lista</t>
        </r>
      </text>
    </comment>
    <comment ref="F3019" authorId="1" shapeId="0" xr:uid="{00000000-0006-0000-0100-0000F2090000}">
      <text>
        <r>
          <rPr>
            <sz val="11"/>
            <color theme="1"/>
            <rFont val="Calibri"/>
            <family val="2"/>
            <scheme val="minor"/>
          </rPr>
          <t>Introduzca el código SNIP</t>
        </r>
      </text>
    </comment>
    <comment ref="C3020" authorId="1" shapeId="0" xr:uid="{00000000-0006-0000-0100-0000F3090000}">
      <text>
        <r>
          <rPr>
            <sz val="11"/>
            <color theme="1"/>
            <rFont val="Calibri"/>
            <family val="2"/>
            <scheme val="minor"/>
          </rPr>
          <t>Introduzca la fecha de inicio del proceso, en formato dd-mm-aaaa</t>
        </r>
      </text>
    </comment>
    <comment ref="F3020" authorId="1" shapeId="0" xr:uid="{00000000-0006-0000-0100-0000F5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21" authorId="1" shapeId="0" xr:uid="{00000000-0006-0000-0100-0000F6090000}">
      <text/>
    </comment>
    <comment ref="C3022" authorId="1" shapeId="0" xr:uid="{00000000-0006-0000-0100-0000F4090000}">
      <text>
        <r>
          <rPr>
            <sz val="11"/>
            <color theme="1"/>
            <rFont val="Calibri"/>
            <family val="2"/>
            <scheme val="minor"/>
          </rPr>
          <t>Introduzca la fecha prevista de adjudicación, en formato dd-mm-aaaa</t>
        </r>
      </text>
    </comment>
    <comment ref="F3022" authorId="1" shapeId="0" xr:uid="{00000000-0006-0000-0100-0000F7090000}">
      <text/>
    </comment>
    <comment ref="F3023" authorId="1" shapeId="0" xr:uid="{00000000-0006-0000-0100-0000F8090000}">
      <text/>
    </comment>
    <comment ref="A3025" authorId="1" shapeId="0" xr:uid="{00000000-0006-0000-0100-0000F9090000}">
      <text>
        <r>
          <rPr>
            <sz val="11"/>
            <color theme="1"/>
            <rFont val="Calibri"/>
            <family val="2"/>
            <scheme val="minor"/>
          </rPr>
          <t>Introduzca un codigo UNSPSC</t>
        </r>
      </text>
    </comment>
    <comment ref="B3025" authorId="1" shapeId="0" xr:uid="{00000000-0006-0000-0100-0000FA090000}">
      <text>
        <r>
          <rPr>
            <sz val="11"/>
            <color theme="1"/>
            <rFont val="Calibri"/>
            <family val="2"/>
            <scheme val="minor"/>
          </rPr>
          <t>Descripción calculada automáticamente a partir de código del artículo</t>
        </r>
      </text>
    </comment>
    <comment ref="C3025" authorId="1" shapeId="0" xr:uid="{00000000-0006-0000-0100-0000FB090000}">
      <text>
        <r>
          <rPr>
            <sz val="11"/>
            <color theme="1"/>
            <rFont val="Calibri"/>
            <family val="2"/>
            <scheme val="minor"/>
          </rPr>
          <t>Seleccione un valor de la lista</t>
        </r>
      </text>
    </comment>
    <comment ref="D3025" authorId="1" shapeId="0" xr:uid="{00000000-0006-0000-0100-0000FC090000}">
      <text>
        <r>
          <rPr>
            <sz val="11"/>
            <color theme="1"/>
            <rFont val="Calibri"/>
            <family val="2"/>
            <scheme val="minor"/>
          </rPr>
          <t>Introduzca un número con dos decimales como máximo. Debe ser igual o mayor a la "Cantidad Real Consumida"</t>
        </r>
      </text>
    </comment>
    <comment ref="E3025" authorId="1" shapeId="0" xr:uid="{00000000-0006-0000-0100-0000FD090000}">
      <text>
        <r>
          <rPr>
            <sz val="11"/>
            <color theme="1"/>
            <rFont val="Calibri"/>
            <family val="2"/>
            <scheme val="minor"/>
          </rPr>
          <t>Introduzca un número con dos decimales como máximo</t>
        </r>
      </text>
    </comment>
    <comment ref="F3025" authorId="1" shapeId="0" xr:uid="{00000000-0006-0000-0100-0000FE090000}">
      <text>
        <r>
          <rPr>
            <sz val="11"/>
            <color theme="1"/>
            <rFont val="Calibri"/>
            <family val="2"/>
            <scheme val="minor"/>
          </rPr>
          <t>Monto calculado automáticamente por el sistema</t>
        </r>
      </text>
    </comment>
    <comment ref="A3030" authorId="1" shapeId="0" xr:uid="{00000000-0006-0000-0100-0000FF090000}">
      <text>
        <r>
          <rPr>
            <sz val="11"/>
            <color theme="1"/>
            <rFont val="Calibri"/>
            <family val="2"/>
            <scheme val="minor"/>
          </rPr>
          <t>Introducir un texto con el nombre o referencia de la contratación</t>
        </r>
      </text>
    </comment>
    <comment ref="B3030" authorId="1" shapeId="0" xr:uid="{00000000-0006-0000-0100-0000000A0000}">
      <text>
        <r>
          <rPr>
            <sz val="11"/>
            <color theme="1"/>
            <rFont val="Calibri"/>
            <family val="2"/>
            <scheme val="minor"/>
          </rPr>
          <t>Introduzca un texto con la finalidad de la contratación</t>
        </r>
      </text>
    </comment>
    <comment ref="C3030" authorId="1" shapeId="0" xr:uid="{00000000-0006-0000-0100-0000010A0000}">
      <text>
        <r>
          <rPr>
            <sz val="11"/>
            <color theme="1"/>
            <rFont val="Calibri"/>
            <family val="2"/>
            <scheme val="minor"/>
          </rPr>
          <t>Seleccionar un valor del listado</t>
        </r>
      </text>
    </comment>
    <comment ref="D3030" authorId="1" shapeId="0" xr:uid="{00000000-0006-0000-0100-0000020A0000}">
      <text>
        <r>
          <rPr>
            <sz val="11"/>
            <color theme="1"/>
            <rFont val="Calibri"/>
            <family val="2"/>
            <scheme val="minor"/>
          </rPr>
          <t>Seleccione el tipo de procedimiento</t>
        </r>
      </text>
    </comment>
    <comment ref="E3030" authorId="1" shapeId="0" xr:uid="{00000000-0006-0000-0100-0000030A0000}">
      <text>
        <r>
          <rPr>
            <sz val="11"/>
            <color theme="1"/>
            <rFont val="Calibri"/>
            <family val="2"/>
            <scheme val="minor"/>
          </rPr>
          <t>Seleccione un valor de la lista</t>
        </r>
      </text>
    </comment>
    <comment ref="F3030" authorId="1" shapeId="0" xr:uid="{00000000-0006-0000-0100-0000040A0000}">
      <text>
        <r>
          <rPr>
            <sz val="11"/>
            <color theme="1"/>
            <rFont val="Calibri"/>
            <family val="2"/>
            <scheme val="minor"/>
          </rPr>
          <t>Introduzca el código SNIP</t>
        </r>
      </text>
    </comment>
    <comment ref="C3031" authorId="1" shapeId="0" xr:uid="{00000000-0006-0000-0100-0000050A0000}">
      <text>
        <r>
          <rPr>
            <sz val="11"/>
            <color theme="1"/>
            <rFont val="Calibri"/>
            <family val="2"/>
            <scheme val="minor"/>
          </rPr>
          <t>Introduzca la fecha de inicio del proceso, en formato dd-mm-aaaa</t>
        </r>
      </text>
    </comment>
    <comment ref="F3031" authorId="1" shapeId="0" xr:uid="{00000000-0006-0000-0100-000007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32" authorId="1" shapeId="0" xr:uid="{00000000-0006-0000-0100-0000080A0000}">
      <text/>
    </comment>
    <comment ref="C3033" authorId="1" shapeId="0" xr:uid="{00000000-0006-0000-0100-0000060A0000}">
      <text>
        <r>
          <rPr>
            <sz val="11"/>
            <color theme="1"/>
            <rFont val="Calibri"/>
            <family val="2"/>
            <scheme val="minor"/>
          </rPr>
          <t>Introduzca la fecha prevista de adjudicación, en formato dd-mm-aaaa</t>
        </r>
      </text>
    </comment>
    <comment ref="F3033" authorId="1" shapeId="0" xr:uid="{00000000-0006-0000-0100-0000090A0000}">
      <text/>
    </comment>
    <comment ref="F3034" authorId="1" shapeId="0" xr:uid="{00000000-0006-0000-0100-00000A0A0000}">
      <text/>
    </comment>
    <comment ref="A3036" authorId="1" shapeId="0" xr:uid="{00000000-0006-0000-0100-00000B0A0000}">
      <text>
        <r>
          <rPr>
            <sz val="11"/>
            <color theme="1"/>
            <rFont val="Calibri"/>
            <family val="2"/>
            <scheme val="minor"/>
          </rPr>
          <t>Introduzca un codigo UNSPSC</t>
        </r>
      </text>
    </comment>
    <comment ref="B3036" authorId="1" shapeId="0" xr:uid="{00000000-0006-0000-0100-00000C0A0000}">
      <text>
        <r>
          <rPr>
            <sz val="11"/>
            <color theme="1"/>
            <rFont val="Calibri"/>
            <family val="2"/>
            <scheme val="minor"/>
          </rPr>
          <t>Descripción calculada automáticamente a partir de código del artículo</t>
        </r>
      </text>
    </comment>
    <comment ref="C3036" authorId="1" shapeId="0" xr:uid="{00000000-0006-0000-0100-00000D0A0000}">
      <text>
        <r>
          <rPr>
            <sz val="11"/>
            <color theme="1"/>
            <rFont val="Calibri"/>
            <family val="2"/>
            <scheme val="minor"/>
          </rPr>
          <t>Seleccione un valor de la lista</t>
        </r>
      </text>
    </comment>
    <comment ref="D3036" authorId="1" shapeId="0" xr:uid="{00000000-0006-0000-0100-00000E0A0000}">
      <text>
        <r>
          <rPr>
            <sz val="11"/>
            <color theme="1"/>
            <rFont val="Calibri"/>
            <family val="2"/>
            <scheme val="minor"/>
          </rPr>
          <t>Introduzca un número con dos decimales como máximo. Debe ser igual o mayor a la "Cantidad Real Consumida"</t>
        </r>
      </text>
    </comment>
    <comment ref="E3036" authorId="1" shapeId="0" xr:uid="{00000000-0006-0000-0100-00000F0A0000}">
      <text>
        <r>
          <rPr>
            <sz val="11"/>
            <color theme="1"/>
            <rFont val="Calibri"/>
            <family val="2"/>
            <scheme val="minor"/>
          </rPr>
          <t>Introduzca un número con dos decimales como máximo</t>
        </r>
      </text>
    </comment>
    <comment ref="F3036" authorId="1" shapeId="0" xr:uid="{00000000-0006-0000-0100-0000100A0000}">
      <text>
        <r>
          <rPr>
            <sz val="11"/>
            <color theme="1"/>
            <rFont val="Calibri"/>
            <family val="2"/>
            <scheme val="minor"/>
          </rPr>
          <t>Monto calculado automáticamente por el sistema</t>
        </r>
      </text>
    </comment>
    <comment ref="A3041" authorId="1" shapeId="0" xr:uid="{00000000-0006-0000-0100-0000110A0000}">
      <text>
        <r>
          <rPr>
            <sz val="11"/>
            <color theme="1"/>
            <rFont val="Calibri"/>
            <family val="2"/>
            <scheme val="minor"/>
          </rPr>
          <t>Introducir un texto con el nombre o referencia de la contratación</t>
        </r>
      </text>
    </comment>
    <comment ref="B3041" authorId="1" shapeId="0" xr:uid="{00000000-0006-0000-0100-0000120A0000}">
      <text>
        <r>
          <rPr>
            <sz val="11"/>
            <color theme="1"/>
            <rFont val="Calibri"/>
            <family val="2"/>
            <scheme val="minor"/>
          </rPr>
          <t>Introduzca un texto con la finalidad de la contratación</t>
        </r>
      </text>
    </comment>
    <comment ref="C3041" authorId="1" shapeId="0" xr:uid="{00000000-0006-0000-0100-0000130A0000}">
      <text>
        <r>
          <rPr>
            <sz val="11"/>
            <color theme="1"/>
            <rFont val="Calibri"/>
            <family val="2"/>
            <scheme val="minor"/>
          </rPr>
          <t>Seleccionar un valor del listado</t>
        </r>
      </text>
    </comment>
    <comment ref="D3041" authorId="1" shapeId="0" xr:uid="{00000000-0006-0000-0100-0000140A0000}">
      <text>
        <r>
          <rPr>
            <sz val="11"/>
            <color theme="1"/>
            <rFont val="Calibri"/>
            <family val="2"/>
            <scheme val="minor"/>
          </rPr>
          <t>Seleccione el tipo de procedimiento</t>
        </r>
      </text>
    </comment>
    <comment ref="E3041" authorId="1" shapeId="0" xr:uid="{00000000-0006-0000-0100-0000150A0000}">
      <text>
        <r>
          <rPr>
            <sz val="11"/>
            <color theme="1"/>
            <rFont val="Calibri"/>
            <family val="2"/>
            <scheme val="minor"/>
          </rPr>
          <t>Seleccione un valor de la lista</t>
        </r>
      </text>
    </comment>
    <comment ref="F3041" authorId="1" shapeId="0" xr:uid="{00000000-0006-0000-0100-0000160A0000}">
      <text>
        <r>
          <rPr>
            <sz val="11"/>
            <color theme="1"/>
            <rFont val="Calibri"/>
            <family val="2"/>
            <scheme val="minor"/>
          </rPr>
          <t>Introduzca el código SNIP</t>
        </r>
      </text>
    </comment>
    <comment ref="C3042" authorId="1" shapeId="0" xr:uid="{00000000-0006-0000-0100-0000170A0000}">
      <text>
        <r>
          <rPr>
            <sz val="11"/>
            <color theme="1"/>
            <rFont val="Calibri"/>
            <family val="2"/>
            <scheme val="minor"/>
          </rPr>
          <t>Introduzca la fecha de inicio del proceso, en formato dd-mm-aaaa</t>
        </r>
      </text>
    </comment>
    <comment ref="F3042" authorId="1" shapeId="0" xr:uid="{00000000-0006-0000-0100-000019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43" authorId="1" shapeId="0" xr:uid="{00000000-0006-0000-0100-00001A0A0000}">
      <text/>
    </comment>
    <comment ref="C3044" authorId="1" shapeId="0" xr:uid="{00000000-0006-0000-0100-0000180A0000}">
      <text>
        <r>
          <rPr>
            <sz val="11"/>
            <color theme="1"/>
            <rFont val="Calibri"/>
            <family val="2"/>
            <scheme val="minor"/>
          </rPr>
          <t>Introduzca la fecha prevista de adjudicación, en formato dd-mm-aaaa</t>
        </r>
      </text>
    </comment>
    <comment ref="F3044" authorId="1" shapeId="0" xr:uid="{00000000-0006-0000-0100-00001B0A0000}">
      <text/>
    </comment>
    <comment ref="F3045" authorId="1" shapeId="0" xr:uid="{00000000-0006-0000-0100-00001C0A0000}">
      <text/>
    </comment>
    <comment ref="A3047" authorId="1" shapeId="0" xr:uid="{00000000-0006-0000-0100-00001D0A0000}">
      <text>
        <r>
          <rPr>
            <sz val="11"/>
            <color theme="1"/>
            <rFont val="Calibri"/>
            <family val="2"/>
            <scheme val="minor"/>
          </rPr>
          <t>Introduzca un codigo UNSPSC</t>
        </r>
      </text>
    </comment>
    <comment ref="B3047" authorId="1" shapeId="0" xr:uid="{00000000-0006-0000-0100-00001E0A0000}">
      <text>
        <r>
          <rPr>
            <sz val="11"/>
            <color theme="1"/>
            <rFont val="Calibri"/>
            <family val="2"/>
            <scheme val="minor"/>
          </rPr>
          <t>Descripción calculada automáticamente a partir de código del artículo</t>
        </r>
      </text>
    </comment>
    <comment ref="C3047" authorId="1" shapeId="0" xr:uid="{00000000-0006-0000-0100-00001F0A0000}">
      <text>
        <r>
          <rPr>
            <sz val="11"/>
            <color theme="1"/>
            <rFont val="Calibri"/>
            <family val="2"/>
            <scheme val="minor"/>
          </rPr>
          <t>Seleccione un valor de la lista</t>
        </r>
      </text>
    </comment>
    <comment ref="D3047" authorId="1" shapeId="0" xr:uid="{00000000-0006-0000-0100-0000200A0000}">
      <text>
        <r>
          <rPr>
            <sz val="11"/>
            <color theme="1"/>
            <rFont val="Calibri"/>
            <family val="2"/>
            <scheme val="minor"/>
          </rPr>
          <t>Introduzca un número con dos decimales como máximo. Debe ser igual o mayor a la "Cantidad Real Consumida"</t>
        </r>
      </text>
    </comment>
    <comment ref="E3047" authorId="1" shapeId="0" xr:uid="{00000000-0006-0000-0100-0000210A0000}">
      <text>
        <r>
          <rPr>
            <sz val="11"/>
            <color theme="1"/>
            <rFont val="Calibri"/>
            <family val="2"/>
            <scheme val="minor"/>
          </rPr>
          <t>Introduzca un número con dos decimales como máximo</t>
        </r>
      </text>
    </comment>
    <comment ref="F3047" authorId="1" shapeId="0" xr:uid="{00000000-0006-0000-0100-0000220A0000}">
      <text>
        <r>
          <rPr>
            <sz val="11"/>
            <color theme="1"/>
            <rFont val="Calibri"/>
            <family val="2"/>
            <scheme val="minor"/>
          </rPr>
          <t>Monto calculado automáticamente por el sistema</t>
        </r>
      </text>
    </comment>
    <comment ref="A3052" authorId="1" shapeId="0" xr:uid="{00000000-0006-0000-0100-0000230A0000}">
      <text>
        <r>
          <rPr>
            <sz val="11"/>
            <color theme="1"/>
            <rFont val="Calibri"/>
            <family val="2"/>
            <scheme val="minor"/>
          </rPr>
          <t>Introducir un texto con el nombre o referencia de la contratación</t>
        </r>
      </text>
    </comment>
    <comment ref="B3052" authorId="1" shapeId="0" xr:uid="{00000000-0006-0000-0100-0000240A0000}">
      <text>
        <r>
          <rPr>
            <sz val="11"/>
            <color theme="1"/>
            <rFont val="Calibri"/>
            <family val="2"/>
            <scheme val="minor"/>
          </rPr>
          <t>Introduzca un texto con la finalidad de la contratación</t>
        </r>
      </text>
    </comment>
    <comment ref="C3052" authorId="1" shapeId="0" xr:uid="{00000000-0006-0000-0100-0000250A0000}">
      <text>
        <r>
          <rPr>
            <sz val="11"/>
            <color theme="1"/>
            <rFont val="Calibri"/>
            <family val="2"/>
            <scheme val="minor"/>
          </rPr>
          <t>Seleccionar un valor del listado</t>
        </r>
      </text>
    </comment>
    <comment ref="D3052" authorId="1" shapeId="0" xr:uid="{00000000-0006-0000-0100-0000260A0000}">
      <text>
        <r>
          <rPr>
            <sz val="11"/>
            <color theme="1"/>
            <rFont val="Calibri"/>
            <family val="2"/>
            <scheme val="minor"/>
          </rPr>
          <t>Seleccione el tipo de procedimiento</t>
        </r>
      </text>
    </comment>
    <comment ref="E3052" authorId="1" shapeId="0" xr:uid="{00000000-0006-0000-0100-0000270A0000}">
      <text>
        <r>
          <rPr>
            <sz val="11"/>
            <color theme="1"/>
            <rFont val="Calibri"/>
            <family val="2"/>
            <scheme val="minor"/>
          </rPr>
          <t>Seleccione un valor de la lista</t>
        </r>
      </text>
    </comment>
    <comment ref="F3052" authorId="1" shapeId="0" xr:uid="{00000000-0006-0000-0100-0000280A0000}">
      <text>
        <r>
          <rPr>
            <sz val="11"/>
            <color theme="1"/>
            <rFont val="Calibri"/>
            <family val="2"/>
            <scheme val="minor"/>
          </rPr>
          <t>Introduzca el código SNIP</t>
        </r>
      </text>
    </comment>
    <comment ref="C3053" authorId="1" shapeId="0" xr:uid="{00000000-0006-0000-0100-0000290A0000}">
      <text>
        <r>
          <rPr>
            <sz val="11"/>
            <color theme="1"/>
            <rFont val="Calibri"/>
            <family val="2"/>
            <scheme val="minor"/>
          </rPr>
          <t>Introduzca la fecha de inicio del proceso, en formato dd-mm-aaaa</t>
        </r>
      </text>
    </comment>
    <comment ref="F3053" authorId="1" shapeId="0" xr:uid="{00000000-0006-0000-0100-00002B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54" authorId="1" shapeId="0" xr:uid="{00000000-0006-0000-0100-00002C0A0000}">
      <text/>
    </comment>
    <comment ref="C3055" authorId="1" shapeId="0" xr:uid="{00000000-0006-0000-0100-00002A0A0000}">
      <text>
        <r>
          <rPr>
            <sz val="11"/>
            <color theme="1"/>
            <rFont val="Calibri"/>
            <family val="2"/>
            <scheme val="minor"/>
          </rPr>
          <t>Introduzca la fecha prevista de adjudicación, en formato dd-mm-aaaa</t>
        </r>
      </text>
    </comment>
    <comment ref="F3055" authorId="1" shapeId="0" xr:uid="{00000000-0006-0000-0100-00002D0A0000}">
      <text/>
    </comment>
    <comment ref="F3056" authorId="1" shapeId="0" xr:uid="{00000000-0006-0000-0100-00002E0A0000}">
      <text/>
    </comment>
    <comment ref="A3058" authorId="1" shapeId="0" xr:uid="{00000000-0006-0000-0100-00002F0A0000}">
      <text>
        <r>
          <rPr>
            <sz val="11"/>
            <color theme="1"/>
            <rFont val="Calibri"/>
            <family val="2"/>
            <scheme val="minor"/>
          </rPr>
          <t>Introduzca un codigo UNSPSC</t>
        </r>
      </text>
    </comment>
    <comment ref="B3058" authorId="1" shapeId="0" xr:uid="{00000000-0006-0000-0100-0000300A0000}">
      <text>
        <r>
          <rPr>
            <sz val="11"/>
            <color theme="1"/>
            <rFont val="Calibri"/>
            <family val="2"/>
            <scheme val="minor"/>
          </rPr>
          <t>Descripción calculada automáticamente a partir de código del artículo</t>
        </r>
      </text>
    </comment>
    <comment ref="C3058" authorId="1" shapeId="0" xr:uid="{00000000-0006-0000-0100-0000310A0000}">
      <text>
        <r>
          <rPr>
            <sz val="11"/>
            <color theme="1"/>
            <rFont val="Calibri"/>
            <family val="2"/>
            <scheme val="minor"/>
          </rPr>
          <t>Seleccione un valor de la lista</t>
        </r>
      </text>
    </comment>
    <comment ref="D3058" authorId="1" shapeId="0" xr:uid="{00000000-0006-0000-0100-0000320A0000}">
      <text>
        <r>
          <rPr>
            <sz val="11"/>
            <color theme="1"/>
            <rFont val="Calibri"/>
            <family val="2"/>
            <scheme val="minor"/>
          </rPr>
          <t>Introduzca un número con dos decimales como máximo. Debe ser igual o mayor a la "Cantidad Real Consumida"</t>
        </r>
      </text>
    </comment>
    <comment ref="E3058" authorId="1" shapeId="0" xr:uid="{00000000-0006-0000-0100-0000330A0000}">
      <text>
        <r>
          <rPr>
            <sz val="11"/>
            <color theme="1"/>
            <rFont val="Calibri"/>
            <family val="2"/>
            <scheme val="minor"/>
          </rPr>
          <t>Introduzca un número con dos decimales como máximo</t>
        </r>
      </text>
    </comment>
    <comment ref="F3058" authorId="1" shapeId="0" xr:uid="{00000000-0006-0000-0100-0000340A0000}">
      <text>
        <r>
          <rPr>
            <sz val="11"/>
            <color theme="1"/>
            <rFont val="Calibri"/>
            <family val="2"/>
            <scheme val="minor"/>
          </rPr>
          <t>Monto calculado automáticamente por el sistema</t>
        </r>
      </text>
    </comment>
    <comment ref="A3063" authorId="1" shapeId="0" xr:uid="{00000000-0006-0000-0100-0000350A0000}">
      <text>
        <r>
          <rPr>
            <sz val="11"/>
            <color theme="1"/>
            <rFont val="Calibri"/>
            <family val="2"/>
            <scheme val="minor"/>
          </rPr>
          <t>Introducir un texto con el nombre o referencia de la contratación</t>
        </r>
      </text>
    </comment>
    <comment ref="B3063" authorId="1" shapeId="0" xr:uid="{00000000-0006-0000-0100-0000360A0000}">
      <text>
        <r>
          <rPr>
            <sz val="11"/>
            <color theme="1"/>
            <rFont val="Calibri"/>
            <family val="2"/>
            <scheme val="minor"/>
          </rPr>
          <t>Introduzca un texto con la finalidad de la contratación</t>
        </r>
      </text>
    </comment>
    <comment ref="C3063" authorId="1" shapeId="0" xr:uid="{00000000-0006-0000-0100-0000370A0000}">
      <text>
        <r>
          <rPr>
            <sz val="11"/>
            <color theme="1"/>
            <rFont val="Calibri"/>
            <family val="2"/>
            <scheme val="minor"/>
          </rPr>
          <t>Seleccionar un valor del listado</t>
        </r>
      </text>
    </comment>
    <comment ref="D3063" authorId="1" shapeId="0" xr:uid="{00000000-0006-0000-0100-0000380A0000}">
      <text>
        <r>
          <rPr>
            <sz val="11"/>
            <color theme="1"/>
            <rFont val="Calibri"/>
            <family val="2"/>
            <scheme val="minor"/>
          </rPr>
          <t>Seleccione el tipo de procedimiento</t>
        </r>
      </text>
    </comment>
    <comment ref="E3063" authorId="1" shapeId="0" xr:uid="{00000000-0006-0000-0100-0000390A0000}">
      <text>
        <r>
          <rPr>
            <sz val="11"/>
            <color theme="1"/>
            <rFont val="Calibri"/>
            <family val="2"/>
            <scheme val="minor"/>
          </rPr>
          <t>Seleccione un valor de la lista</t>
        </r>
      </text>
    </comment>
    <comment ref="F3063" authorId="1" shapeId="0" xr:uid="{00000000-0006-0000-0100-00003A0A0000}">
      <text>
        <r>
          <rPr>
            <sz val="11"/>
            <color theme="1"/>
            <rFont val="Calibri"/>
            <family val="2"/>
            <scheme val="minor"/>
          </rPr>
          <t>Introduzca el código SNIP</t>
        </r>
      </text>
    </comment>
    <comment ref="C3064" authorId="1" shapeId="0" xr:uid="{00000000-0006-0000-0100-00003B0A0000}">
      <text>
        <r>
          <rPr>
            <sz val="11"/>
            <color theme="1"/>
            <rFont val="Calibri"/>
            <family val="2"/>
            <scheme val="minor"/>
          </rPr>
          <t>Introduzca la fecha de inicio del proceso, en formato dd-mm-aaaa</t>
        </r>
      </text>
    </comment>
    <comment ref="F3064" authorId="1" shapeId="0" xr:uid="{00000000-0006-0000-0100-00003D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65" authorId="1" shapeId="0" xr:uid="{00000000-0006-0000-0100-00003E0A0000}">
      <text/>
    </comment>
    <comment ref="C3066" authorId="1" shapeId="0" xr:uid="{00000000-0006-0000-0100-00003C0A0000}">
      <text>
        <r>
          <rPr>
            <sz val="11"/>
            <color theme="1"/>
            <rFont val="Calibri"/>
            <family val="2"/>
            <scheme val="minor"/>
          </rPr>
          <t>Introduzca la fecha prevista de adjudicación, en formato dd-mm-aaaa</t>
        </r>
      </text>
    </comment>
    <comment ref="F3066" authorId="1" shapeId="0" xr:uid="{00000000-0006-0000-0100-00003F0A0000}">
      <text/>
    </comment>
    <comment ref="F3067" authorId="1" shapeId="0" xr:uid="{00000000-0006-0000-0100-0000400A0000}">
      <text/>
    </comment>
    <comment ref="A3069" authorId="1" shapeId="0" xr:uid="{00000000-0006-0000-0100-0000410A0000}">
      <text>
        <r>
          <rPr>
            <sz val="11"/>
            <color theme="1"/>
            <rFont val="Calibri"/>
            <family val="2"/>
            <scheme val="minor"/>
          </rPr>
          <t>Introduzca un codigo UNSPSC</t>
        </r>
      </text>
    </comment>
    <comment ref="B3069" authorId="1" shapeId="0" xr:uid="{00000000-0006-0000-0100-0000420A0000}">
      <text>
        <r>
          <rPr>
            <sz val="11"/>
            <color theme="1"/>
            <rFont val="Calibri"/>
            <family val="2"/>
            <scheme val="minor"/>
          </rPr>
          <t>Descripción calculada automáticamente a partir de código del artículo</t>
        </r>
      </text>
    </comment>
    <comment ref="C3069" authorId="1" shapeId="0" xr:uid="{00000000-0006-0000-0100-0000430A0000}">
      <text>
        <r>
          <rPr>
            <sz val="11"/>
            <color theme="1"/>
            <rFont val="Calibri"/>
            <family val="2"/>
            <scheme val="minor"/>
          </rPr>
          <t>Seleccione un valor de la lista</t>
        </r>
      </text>
    </comment>
    <comment ref="D3069" authorId="1" shapeId="0" xr:uid="{00000000-0006-0000-0100-0000440A0000}">
      <text>
        <r>
          <rPr>
            <sz val="11"/>
            <color theme="1"/>
            <rFont val="Calibri"/>
            <family val="2"/>
            <scheme val="minor"/>
          </rPr>
          <t>Introduzca un número con dos decimales como máximo. Debe ser igual o mayor a la "Cantidad Real Consumida"</t>
        </r>
      </text>
    </comment>
    <comment ref="E3069" authorId="1" shapeId="0" xr:uid="{00000000-0006-0000-0100-0000450A0000}">
      <text>
        <r>
          <rPr>
            <sz val="11"/>
            <color theme="1"/>
            <rFont val="Calibri"/>
            <family val="2"/>
            <scheme val="minor"/>
          </rPr>
          <t>Introduzca un número con dos decimales como máximo</t>
        </r>
      </text>
    </comment>
    <comment ref="F3069" authorId="1" shapeId="0" xr:uid="{00000000-0006-0000-0100-0000460A0000}">
      <text>
        <r>
          <rPr>
            <sz val="11"/>
            <color theme="1"/>
            <rFont val="Calibri"/>
            <family val="2"/>
            <scheme val="minor"/>
          </rPr>
          <t>Monto calculado automáticamente por el sistema</t>
        </r>
      </text>
    </comment>
    <comment ref="A3074" authorId="1" shapeId="0" xr:uid="{00000000-0006-0000-0100-0000470A0000}">
      <text>
        <r>
          <rPr>
            <sz val="11"/>
            <color theme="1"/>
            <rFont val="Calibri"/>
            <family val="2"/>
            <scheme val="minor"/>
          </rPr>
          <t>Introducir un texto con el nombre o referencia de la contratación</t>
        </r>
      </text>
    </comment>
    <comment ref="B3074" authorId="1" shapeId="0" xr:uid="{00000000-0006-0000-0100-0000480A0000}">
      <text>
        <r>
          <rPr>
            <sz val="11"/>
            <color theme="1"/>
            <rFont val="Calibri"/>
            <family val="2"/>
            <scheme val="minor"/>
          </rPr>
          <t>Introduzca un texto con la finalidad de la contratación</t>
        </r>
      </text>
    </comment>
    <comment ref="C3074" authorId="1" shapeId="0" xr:uid="{00000000-0006-0000-0100-0000490A0000}">
      <text>
        <r>
          <rPr>
            <sz val="11"/>
            <color theme="1"/>
            <rFont val="Calibri"/>
            <family val="2"/>
            <scheme val="minor"/>
          </rPr>
          <t>Seleccionar un valor del listado</t>
        </r>
      </text>
    </comment>
    <comment ref="D3074" authorId="1" shapeId="0" xr:uid="{00000000-0006-0000-0100-00004A0A0000}">
      <text>
        <r>
          <rPr>
            <sz val="11"/>
            <color theme="1"/>
            <rFont val="Calibri"/>
            <family val="2"/>
            <scheme val="minor"/>
          </rPr>
          <t>Seleccione el tipo de procedimiento</t>
        </r>
      </text>
    </comment>
    <comment ref="E3074" authorId="1" shapeId="0" xr:uid="{00000000-0006-0000-0100-00004B0A0000}">
      <text>
        <r>
          <rPr>
            <sz val="11"/>
            <color theme="1"/>
            <rFont val="Calibri"/>
            <family val="2"/>
            <scheme val="minor"/>
          </rPr>
          <t>Seleccione un valor de la lista</t>
        </r>
      </text>
    </comment>
    <comment ref="F3074" authorId="1" shapeId="0" xr:uid="{00000000-0006-0000-0100-00004C0A0000}">
      <text>
        <r>
          <rPr>
            <sz val="11"/>
            <color theme="1"/>
            <rFont val="Calibri"/>
            <family val="2"/>
            <scheme val="minor"/>
          </rPr>
          <t>Introduzca el código SNIP</t>
        </r>
      </text>
    </comment>
    <comment ref="C3075" authorId="1" shapeId="0" xr:uid="{00000000-0006-0000-0100-00004D0A0000}">
      <text>
        <r>
          <rPr>
            <sz val="11"/>
            <color theme="1"/>
            <rFont val="Calibri"/>
            <family val="2"/>
            <scheme val="minor"/>
          </rPr>
          <t>Introduzca la fecha de inicio del proceso, en formato dd-mm-aaaa</t>
        </r>
      </text>
    </comment>
    <comment ref="F3075" authorId="1" shapeId="0" xr:uid="{00000000-0006-0000-0100-00004F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76" authorId="1" shapeId="0" xr:uid="{00000000-0006-0000-0100-0000500A0000}">
      <text/>
    </comment>
    <comment ref="C3077" authorId="1" shapeId="0" xr:uid="{00000000-0006-0000-0100-00004E0A0000}">
      <text>
        <r>
          <rPr>
            <sz val="11"/>
            <color theme="1"/>
            <rFont val="Calibri"/>
            <family val="2"/>
            <scheme val="minor"/>
          </rPr>
          <t>Introduzca la fecha prevista de adjudicación, en formato dd-mm-aaaa</t>
        </r>
      </text>
    </comment>
    <comment ref="F3077" authorId="1" shapeId="0" xr:uid="{00000000-0006-0000-0100-0000510A0000}">
      <text/>
    </comment>
    <comment ref="F3078" authorId="1" shapeId="0" xr:uid="{00000000-0006-0000-0100-0000520A0000}">
      <text/>
    </comment>
    <comment ref="A3080" authorId="1" shapeId="0" xr:uid="{00000000-0006-0000-0100-0000530A0000}">
      <text>
        <r>
          <rPr>
            <sz val="11"/>
            <color theme="1"/>
            <rFont val="Calibri"/>
            <family val="2"/>
            <scheme val="minor"/>
          </rPr>
          <t>Introduzca un codigo UNSPSC</t>
        </r>
      </text>
    </comment>
    <comment ref="B3080" authorId="1" shapeId="0" xr:uid="{00000000-0006-0000-0100-0000540A0000}">
      <text>
        <r>
          <rPr>
            <sz val="11"/>
            <color theme="1"/>
            <rFont val="Calibri"/>
            <family val="2"/>
            <scheme val="minor"/>
          </rPr>
          <t>Descripción calculada automáticamente a partir de código del artículo</t>
        </r>
      </text>
    </comment>
    <comment ref="C3080" authorId="1" shapeId="0" xr:uid="{00000000-0006-0000-0100-0000550A0000}">
      <text>
        <r>
          <rPr>
            <sz val="11"/>
            <color theme="1"/>
            <rFont val="Calibri"/>
            <family val="2"/>
            <scheme val="minor"/>
          </rPr>
          <t>Seleccione un valor de la lista</t>
        </r>
      </text>
    </comment>
    <comment ref="D3080" authorId="1" shapeId="0" xr:uid="{00000000-0006-0000-0100-0000560A0000}">
      <text>
        <r>
          <rPr>
            <sz val="11"/>
            <color theme="1"/>
            <rFont val="Calibri"/>
            <family val="2"/>
            <scheme val="minor"/>
          </rPr>
          <t>Introduzca un número con dos decimales como máximo. Debe ser igual o mayor a la "Cantidad Real Consumida"</t>
        </r>
      </text>
    </comment>
    <comment ref="E3080" authorId="1" shapeId="0" xr:uid="{00000000-0006-0000-0100-0000570A0000}">
      <text>
        <r>
          <rPr>
            <sz val="11"/>
            <color theme="1"/>
            <rFont val="Calibri"/>
            <family val="2"/>
            <scheme val="minor"/>
          </rPr>
          <t>Introduzca un número con dos decimales como máximo</t>
        </r>
      </text>
    </comment>
    <comment ref="F3080" authorId="1" shapeId="0" xr:uid="{00000000-0006-0000-0100-0000580A0000}">
      <text>
        <r>
          <rPr>
            <sz val="11"/>
            <color theme="1"/>
            <rFont val="Calibri"/>
            <family val="2"/>
            <scheme val="minor"/>
          </rPr>
          <t>Monto calculado automáticamente por el sistema</t>
        </r>
      </text>
    </comment>
    <comment ref="A3085" authorId="1" shapeId="0" xr:uid="{00000000-0006-0000-0100-0000590A0000}">
      <text>
        <r>
          <rPr>
            <sz val="11"/>
            <color theme="1"/>
            <rFont val="Calibri"/>
            <family val="2"/>
            <scheme val="minor"/>
          </rPr>
          <t>Introducir un texto con el nombre o referencia de la contratación</t>
        </r>
      </text>
    </comment>
    <comment ref="B3085" authorId="1" shapeId="0" xr:uid="{00000000-0006-0000-0100-00005A0A0000}">
      <text>
        <r>
          <rPr>
            <sz val="11"/>
            <color theme="1"/>
            <rFont val="Calibri"/>
            <family val="2"/>
            <scheme val="minor"/>
          </rPr>
          <t>Introduzca un texto con la finalidad de la contratación</t>
        </r>
      </text>
    </comment>
    <comment ref="C3085" authorId="1" shapeId="0" xr:uid="{00000000-0006-0000-0100-00005B0A0000}">
      <text>
        <r>
          <rPr>
            <sz val="11"/>
            <color theme="1"/>
            <rFont val="Calibri"/>
            <family val="2"/>
            <scheme val="minor"/>
          </rPr>
          <t>Seleccionar un valor del listado</t>
        </r>
      </text>
    </comment>
    <comment ref="D3085" authorId="1" shapeId="0" xr:uid="{00000000-0006-0000-0100-00005C0A0000}">
      <text>
        <r>
          <rPr>
            <sz val="11"/>
            <color theme="1"/>
            <rFont val="Calibri"/>
            <family val="2"/>
            <scheme val="minor"/>
          </rPr>
          <t>Seleccione el tipo de procedimiento</t>
        </r>
      </text>
    </comment>
    <comment ref="E3085" authorId="1" shapeId="0" xr:uid="{00000000-0006-0000-0100-00005D0A0000}">
      <text>
        <r>
          <rPr>
            <sz val="11"/>
            <color theme="1"/>
            <rFont val="Calibri"/>
            <family val="2"/>
            <scheme val="minor"/>
          </rPr>
          <t>Seleccione un valor de la lista</t>
        </r>
      </text>
    </comment>
    <comment ref="F3085" authorId="1" shapeId="0" xr:uid="{00000000-0006-0000-0100-00005E0A0000}">
      <text>
        <r>
          <rPr>
            <sz val="11"/>
            <color theme="1"/>
            <rFont val="Calibri"/>
            <family val="2"/>
            <scheme val="minor"/>
          </rPr>
          <t>Introduzca el código SNIP</t>
        </r>
      </text>
    </comment>
    <comment ref="C3086" authorId="1" shapeId="0" xr:uid="{00000000-0006-0000-0100-00005F0A0000}">
      <text>
        <r>
          <rPr>
            <sz val="11"/>
            <color theme="1"/>
            <rFont val="Calibri"/>
            <family val="2"/>
            <scheme val="minor"/>
          </rPr>
          <t>Introduzca la fecha de inicio del proceso, en formato dd-mm-aaaa</t>
        </r>
      </text>
    </comment>
    <comment ref="F3086" authorId="1" shapeId="0" xr:uid="{00000000-0006-0000-0100-000061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87" authorId="1" shapeId="0" xr:uid="{00000000-0006-0000-0100-0000620A0000}">
      <text/>
    </comment>
    <comment ref="C3088" authorId="1" shapeId="0" xr:uid="{00000000-0006-0000-0100-0000600A0000}">
      <text>
        <r>
          <rPr>
            <sz val="11"/>
            <color theme="1"/>
            <rFont val="Calibri"/>
            <family val="2"/>
            <scheme val="minor"/>
          </rPr>
          <t>Introduzca la fecha prevista de adjudicación, en formato dd-mm-aaaa</t>
        </r>
      </text>
    </comment>
    <comment ref="F3088" authorId="1" shapeId="0" xr:uid="{00000000-0006-0000-0100-0000630A0000}">
      <text/>
    </comment>
    <comment ref="F3089" authorId="1" shapeId="0" xr:uid="{00000000-0006-0000-0100-0000640A0000}">
      <text/>
    </comment>
    <comment ref="A3091" authorId="1" shapeId="0" xr:uid="{00000000-0006-0000-0100-0000650A0000}">
      <text>
        <r>
          <rPr>
            <sz val="11"/>
            <color theme="1"/>
            <rFont val="Calibri"/>
            <family val="2"/>
            <scheme val="minor"/>
          </rPr>
          <t>Introduzca un codigo UNSPSC</t>
        </r>
      </text>
    </comment>
    <comment ref="B3091" authorId="1" shapeId="0" xr:uid="{00000000-0006-0000-0100-0000660A0000}">
      <text>
        <r>
          <rPr>
            <sz val="11"/>
            <color theme="1"/>
            <rFont val="Calibri"/>
            <family val="2"/>
            <scheme val="minor"/>
          </rPr>
          <t>Descripción calculada automáticamente a partir de código del artículo</t>
        </r>
      </text>
    </comment>
    <comment ref="C3091" authorId="1" shapeId="0" xr:uid="{00000000-0006-0000-0100-0000670A0000}">
      <text>
        <r>
          <rPr>
            <sz val="11"/>
            <color theme="1"/>
            <rFont val="Calibri"/>
            <family val="2"/>
            <scheme val="minor"/>
          </rPr>
          <t>Seleccione un valor de la lista</t>
        </r>
      </text>
    </comment>
    <comment ref="D3091" authorId="1" shapeId="0" xr:uid="{00000000-0006-0000-0100-0000680A0000}">
      <text>
        <r>
          <rPr>
            <sz val="11"/>
            <color theme="1"/>
            <rFont val="Calibri"/>
            <family val="2"/>
            <scheme val="minor"/>
          </rPr>
          <t>Introduzca un número con dos decimales como máximo. Debe ser igual o mayor a la "Cantidad Real Consumida"</t>
        </r>
      </text>
    </comment>
    <comment ref="E3091" authorId="1" shapeId="0" xr:uid="{00000000-0006-0000-0100-0000690A0000}">
      <text>
        <r>
          <rPr>
            <sz val="11"/>
            <color theme="1"/>
            <rFont val="Calibri"/>
            <family val="2"/>
            <scheme val="minor"/>
          </rPr>
          <t>Introduzca un número con dos decimales como máximo</t>
        </r>
      </text>
    </comment>
    <comment ref="F3091" authorId="1" shapeId="0" xr:uid="{00000000-0006-0000-0100-00006A0A0000}">
      <text>
        <r>
          <rPr>
            <sz val="11"/>
            <color theme="1"/>
            <rFont val="Calibri"/>
            <family val="2"/>
            <scheme val="minor"/>
          </rPr>
          <t>Monto calculado automáticamente por el sistema</t>
        </r>
      </text>
    </comment>
    <comment ref="A3098" authorId="1" shapeId="0" xr:uid="{00000000-0006-0000-0100-00006B0A0000}">
      <text>
        <r>
          <rPr>
            <sz val="11"/>
            <color theme="1"/>
            <rFont val="Calibri"/>
            <family val="2"/>
            <scheme val="minor"/>
          </rPr>
          <t>Introducir un texto con el nombre o referencia de la contratación</t>
        </r>
      </text>
    </comment>
    <comment ref="B3098" authorId="1" shapeId="0" xr:uid="{00000000-0006-0000-0100-00006C0A0000}">
      <text>
        <r>
          <rPr>
            <sz val="11"/>
            <color theme="1"/>
            <rFont val="Calibri"/>
            <family val="2"/>
            <scheme val="minor"/>
          </rPr>
          <t>Introduzca un texto con la finalidad de la contratación</t>
        </r>
      </text>
    </comment>
    <comment ref="C3098" authorId="1" shapeId="0" xr:uid="{00000000-0006-0000-0100-00006D0A0000}">
      <text>
        <r>
          <rPr>
            <sz val="11"/>
            <color theme="1"/>
            <rFont val="Calibri"/>
            <family val="2"/>
            <scheme val="minor"/>
          </rPr>
          <t>Seleccionar un valor del listado</t>
        </r>
      </text>
    </comment>
    <comment ref="D3098" authorId="1" shapeId="0" xr:uid="{00000000-0006-0000-0100-00006E0A0000}">
      <text>
        <r>
          <rPr>
            <sz val="11"/>
            <color theme="1"/>
            <rFont val="Calibri"/>
            <family val="2"/>
            <scheme val="minor"/>
          </rPr>
          <t>Seleccione el tipo de procedimiento</t>
        </r>
      </text>
    </comment>
    <comment ref="E3098" authorId="1" shapeId="0" xr:uid="{00000000-0006-0000-0100-00006F0A0000}">
      <text>
        <r>
          <rPr>
            <sz val="11"/>
            <color theme="1"/>
            <rFont val="Calibri"/>
            <family val="2"/>
            <scheme val="minor"/>
          </rPr>
          <t>Seleccione un valor de la lista</t>
        </r>
      </text>
    </comment>
    <comment ref="F3098" authorId="1" shapeId="0" xr:uid="{00000000-0006-0000-0100-0000700A0000}">
      <text>
        <r>
          <rPr>
            <sz val="11"/>
            <color theme="1"/>
            <rFont val="Calibri"/>
            <family val="2"/>
            <scheme val="minor"/>
          </rPr>
          <t>Introduzca el código SNIP</t>
        </r>
      </text>
    </comment>
    <comment ref="C3099" authorId="1" shapeId="0" xr:uid="{00000000-0006-0000-0100-0000710A0000}">
      <text>
        <r>
          <rPr>
            <sz val="11"/>
            <color theme="1"/>
            <rFont val="Calibri"/>
            <family val="2"/>
            <scheme val="minor"/>
          </rPr>
          <t>Introduzca la fecha de inicio del proceso, en formato dd-mm-aaaa</t>
        </r>
      </text>
    </comment>
    <comment ref="F3099" authorId="1" shapeId="0" xr:uid="{00000000-0006-0000-0100-000073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00" authorId="1" shapeId="0" xr:uid="{00000000-0006-0000-0100-0000740A0000}">
      <text/>
    </comment>
    <comment ref="C3101" authorId="1" shapeId="0" xr:uid="{00000000-0006-0000-0100-0000720A0000}">
      <text>
        <r>
          <rPr>
            <sz val="11"/>
            <color theme="1"/>
            <rFont val="Calibri"/>
            <family val="2"/>
            <scheme val="minor"/>
          </rPr>
          <t>Introduzca la fecha prevista de adjudicación, en formato dd-mm-aaaa</t>
        </r>
      </text>
    </comment>
    <comment ref="F3101" authorId="1" shapeId="0" xr:uid="{00000000-0006-0000-0100-0000750A0000}">
      <text/>
    </comment>
    <comment ref="F3102" authorId="1" shapeId="0" xr:uid="{00000000-0006-0000-0100-0000760A0000}">
      <text/>
    </comment>
    <comment ref="A3104" authorId="1" shapeId="0" xr:uid="{00000000-0006-0000-0100-0000770A0000}">
      <text>
        <r>
          <rPr>
            <sz val="11"/>
            <color theme="1"/>
            <rFont val="Calibri"/>
            <family val="2"/>
            <scheme val="minor"/>
          </rPr>
          <t>Introduzca un codigo UNSPSC</t>
        </r>
      </text>
    </comment>
    <comment ref="B3104" authorId="1" shapeId="0" xr:uid="{00000000-0006-0000-0100-0000780A0000}">
      <text>
        <r>
          <rPr>
            <sz val="11"/>
            <color theme="1"/>
            <rFont val="Calibri"/>
            <family val="2"/>
            <scheme val="minor"/>
          </rPr>
          <t>Descripción calculada automáticamente a partir de código del artículo</t>
        </r>
      </text>
    </comment>
    <comment ref="C3104" authorId="1" shapeId="0" xr:uid="{00000000-0006-0000-0100-0000790A0000}">
      <text>
        <r>
          <rPr>
            <sz val="11"/>
            <color theme="1"/>
            <rFont val="Calibri"/>
            <family val="2"/>
            <scheme val="minor"/>
          </rPr>
          <t>Seleccione un valor de la lista</t>
        </r>
      </text>
    </comment>
    <comment ref="D3104" authorId="1" shapeId="0" xr:uid="{00000000-0006-0000-0100-00007A0A0000}">
      <text>
        <r>
          <rPr>
            <sz val="11"/>
            <color theme="1"/>
            <rFont val="Calibri"/>
            <family val="2"/>
            <scheme val="minor"/>
          </rPr>
          <t>Introduzca un número con dos decimales como máximo. Debe ser igual o mayor a la "Cantidad Real Consumida"</t>
        </r>
      </text>
    </comment>
    <comment ref="E3104" authorId="1" shapeId="0" xr:uid="{00000000-0006-0000-0100-00007B0A0000}">
      <text>
        <r>
          <rPr>
            <sz val="11"/>
            <color theme="1"/>
            <rFont val="Calibri"/>
            <family val="2"/>
            <scheme val="minor"/>
          </rPr>
          <t>Introduzca un número con dos decimales como máximo</t>
        </r>
      </text>
    </comment>
    <comment ref="F3104" authorId="1" shapeId="0" xr:uid="{00000000-0006-0000-0100-00007C0A0000}">
      <text>
        <r>
          <rPr>
            <sz val="11"/>
            <color theme="1"/>
            <rFont val="Calibri"/>
            <family val="2"/>
            <scheme val="minor"/>
          </rPr>
          <t>Monto calculado automáticamente por el sistema</t>
        </r>
      </text>
    </comment>
    <comment ref="A3109" authorId="1" shapeId="0" xr:uid="{00000000-0006-0000-0100-00007D0A0000}">
      <text>
        <r>
          <rPr>
            <sz val="11"/>
            <color theme="1"/>
            <rFont val="Calibri"/>
            <family val="2"/>
            <scheme val="minor"/>
          </rPr>
          <t>Introducir un texto con el nombre o referencia de la contratación</t>
        </r>
      </text>
    </comment>
    <comment ref="B3109" authorId="1" shapeId="0" xr:uid="{00000000-0006-0000-0100-00007E0A0000}">
      <text>
        <r>
          <rPr>
            <sz val="11"/>
            <color theme="1"/>
            <rFont val="Calibri"/>
            <family val="2"/>
            <scheme val="minor"/>
          </rPr>
          <t>Introduzca un texto con la finalidad de la contratación</t>
        </r>
      </text>
    </comment>
    <comment ref="C3109" authorId="1" shapeId="0" xr:uid="{00000000-0006-0000-0100-00007F0A0000}">
      <text>
        <r>
          <rPr>
            <sz val="11"/>
            <color theme="1"/>
            <rFont val="Calibri"/>
            <family val="2"/>
            <scheme val="minor"/>
          </rPr>
          <t>Seleccionar un valor del listado</t>
        </r>
      </text>
    </comment>
    <comment ref="D3109" authorId="1" shapeId="0" xr:uid="{00000000-0006-0000-0100-0000800A0000}">
      <text>
        <r>
          <rPr>
            <sz val="11"/>
            <color theme="1"/>
            <rFont val="Calibri"/>
            <family val="2"/>
            <scheme val="minor"/>
          </rPr>
          <t>Seleccione el tipo de procedimiento</t>
        </r>
      </text>
    </comment>
    <comment ref="E3109" authorId="1" shapeId="0" xr:uid="{00000000-0006-0000-0100-0000810A0000}">
      <text>
        <r>
          <rPr>
            <sz val="11"/>
            <color theme="1"/>
            <rFont val="Calibri"/>
            <family val="2"/>
            <scheme val="minor"/>
          </rPr>
          <t>Seleccione un valor de la lista</t>
        </r>
      </text>
    </comment>
    <comment ref="F3109" authorId="1" shapeId="0" xr:uid="{00000000-0006-0000-0100-0000820A0000}">
      <text>
        <r>
          <rPr>
            <sz val="11"/>
            <color theme="1"/>
            <rFont val="Calibri"/>
            <family val="2"/>
            <scheme val="minor"/>
          </rPr>
          <t>Introduzca el código SNIP</t>
        </r>
      </text>
    </comment>
    <comment ref="C3110" authorId="1" shapeId="0" xr:uid="{00000000-0006-0000-0100-0000830A0000}">
      <text>
        <r>
          <rPr>
            <sz val="11"/>
            <color theme="1"/>
            <rFont val="Calibri"/>
            <family val="2"/>
            <scheme val="minor"/>
          </rPr>
          <t>Introduzca la fecha de inicio del proceso, en formato dd-mm-aaaa</t>
        </r>
      </text>
    </comment>
    <comment ref="F3110" authorId="1" shapeId="0" xr:uid="{00000000-0006-0000-0100-000085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11" authorId="1" shapeId="0" xr:uid="{00000000-0006-0000-0100-0000860A0000}">
      <text/>
    </comment>
    <comment ref="C3112" authorId="1" shapeId="0" xr:uid="{00000000-0006-0000-0100-0000840A0000}">
      <text>
        <r>
          <rPr>
            <sz val="11"/>
            <color theme="1"/>
            <rFont val="Calibri"/>
            <family val="2"/>
            <scheme val="minor"/>
          </rPr>
          <t>Introduzca la fecha prevista de adjudicación, en formato dd-mm-aaaa</t>
        </r>
      </text>
    </comment>
    <comment ref="F3112" authorId="1" shapeId="0" xr:uid="{00000000-0006-0000-0100-0000870A0000}">
      <text/>
    </comment>
    <comment ref="F3113" authorId="1" shapeId="0" xr:uid="{00000000-0006-0000-0100-0000880A0000}">
      <text/>
    </comment>
    <comment ref="A3115" authorId="1" shapeId="0" xr:uid="{00000000-0006-0000-0100-0000890A0000}">
      <text>
        <r>
          <rPr>
            <sz val="11"/>
            <color theme="1"/>
            <rFont val="Calibri"/>
            <family val="2"/>
            <scheme val="minor"/>
          </rPr>
          <t>Introduzca un codigo UNSPSC</t>
        </r>
      </text>
    </comment>
    <comment ref="B3115" authorId="1" shapeId="0" xr:uid="{00000000-0006-0000-0100-00008A0A0000}">
      <text>
        <r>
          <rPr>
            <sz val="11"/>
            <color theme="1"/>
            <rFont val="Calibri"/>
            <family val="2"/>
            <scheme val="minor"/>
          </rPr>
          <t>Descripción calculada automáticamente a partir de código del artículo</t>
        </r>
      </text>
    </comment>
    <comment ref="C3115" authorId="1" shapeId="0" xr:uid="{00000000-0006-0000-0100-00008B0A0000}">
      <text>
        <r>
          <rPr>
            <sz val="11"/>
            <color theme="1"/>
            <rFont val="Calibri"/>
            <family val="2"/>
            <scheme val="minor"/>
          </rPr>
          <t>Seleccione un valor de la lista</t>
        </r>
      </text>
    </comment>
    <comment ref="D3115" authorId="1" shapeId="0" xr:uid="{00000000-0006-0000-0100-00008C0A0000}">
      <text>
        <r>
          <rPr>
            <sz val="11"/>
            <color theme="1"/>
            <rFont val="Calibri"/>
            <family val="2"/>
            <scheme val="minor"/>
          </rPr>
          <t>Introduzca un número con dos decimales como máximo. Debe ser igual o mayor a la "Cantidad Real Consumida"</t>
        </r>
      </text>
    </comment>
    <comment ref="E3115" authorId="1" shapeId="0" xr:uid="{00000000-0006-0000-0100-00008D0A0000}">
      <text>
        <r>
          <rPr>
            <sz val="11"/>
            <color theme="1"/>
            <rFont val="Calibri"/>
            <family val="2"/>
            <scheme val="minor"/>
          </rPr>
          <t>Introduzca un número con dos decimales como máximo</t>
        </r>
      </text>
    </comment>
    <comment ref="F3115" authorId="1" shapeId="0" xr:uid="{00000000-0006-0000-0100-00008E0A0000}">
      <text>
        <r>
          <rPr>
            <sz val="11"/>
            <color theme="1"/>
            <rFont val="Calibri"/>
            <family val="2"/>
            <scheme val="minor"/>
          </rPr>
          <t>Monto calculado automáticamente por el sistema</t>
        </r>
      </text>
    </comment>
    <comment ref="A3122" authorId="1" shapeId="0" xr:uid="{00000000-0006-0000-0100-00008F0A0000}">
      <text>
        <r>
          <rPr>
            <sz val="11"/>
            <color theme="1"/>
            <rFont val="Calibri"/>
            <family val="2"/>
            <scheme val="minor"/>
          </rPr>
          <t>Introducir un texto con el nombre o referencia de la contratación</t>
        </r>
      </text>
    </comment>
    <comment ref="B3122" authorId="1" shapeId="0" xr:uid="{00000000-0006-0000-0100-0000900A0000}">
      <text>
        <r>
          <rPr>
            <sz val="11"/>
            <color theme="1"/>
            <rFont val="Calibri"/>
            <family val="2"/>
            <scheme val="minor"/>
          </rPr>
          <t>Introduzca un texto con la finalidad de la contratación</t>
        </r>
      </text>
    </comment>
    <comment ref="C3122" authorId="1" shapeId="0" xr:uid="{00000000-0006-0000-0100-0000910A0000}">
      <text>
        <r>
          <rPr>
            <sz val="11"/>
            <color theme="1"/>
            <rFont val="Calibri"/>
            <family val="2"/>
            <scheme val="minor"/>
          </rPr>
          <t>Seleccionar un valor del listado</t>
        </r>
      </text>
    </comment>
    <comment ref="D3122" authorId="1" shapeId="0" xr:uid="{00000000-0006-0000-0100-0000920A0000}">
      <text>
        <r>
          <rPr>
            <sz val="11"/>
            <color theme="1"/>
            <rFont val="Calibri"/>
            <family val="2"/>
            <scheme val="minor"/>
          </rPr>
          <t>Seleccione el tipo de procedimiento</t>
        </r>
      </text>
    </comment>
    <comment ref="E3122" authorId="1" shapeId="0" xr:uid="{00000000-0006-0000-0100-0000930A0000}">
      <text>
        <r>
          <rPr>
            <sz val="11"/>
            <color theme="1"/>
            <rFont val="Calibri"/>
            <family val="2"/>
            <scheme val="minor"/>
          </rPr>
          <t>Seleccione un valor de la lista</t>
        </r>
      </text>
    </comment>
    <comment ref="F3122" authorId="1" shapeId="0" xr:uid="{00000000-0006-0000-0100-0000940A0000}">
      <text>
        <r>
          <rPr>
            <sz val="11"/>
            <color theme="1"/>
            <rFont val="Calibri"/>
            <family val="2"/>
            <scheme val="minor"/>
          </rPr>
          <t>Introduzca el código SNIP</t>
        </r>
      </text>
    </comment>
    <comment ref="C3123" authorId="1" shapeId="0" xr:uid="{00000000-0006-0000-0100-0000950A0000}">
      <text>
        <r>
          <rPr>
            <sz val="11"/>
            <color theme="1"/>
            <rFont val="Calibri"/>
            <family val="2"/>
            <scheme val="minor"/>
          </rPr>
          <t>Introduzca la fecha de inicio del proceso, en formato dd-mm-aaaa</t>
        </r>
      </text>
    </comment>
    <comment ref="F3123" authorId="1" shapeId="0" xr:uid="{00000000-0006-0000-0100-000097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24" authorId="1" shapeId="0" xr:uid="{00000000-0006-0000-0100-0000980A0000}">
      <text/>
    </comment>
    <comment ref="C3125" authorId="1" shapeId="0" xr:uid="{00000000-0006-0000-0100-0000960A0000}">
      <text>
        <r>
          <rPr>
            <sz val="11"/>
            <color theme="1"/>
            <rFont val="Calibri"/>
            <family val="2"/>
            <scheme val="minor"/>
          </rPr>
          <t>Introduzca la fecha prevista de adjudicación, en formato dd-mm-aaaa</t>
        </r>
      </text>
    </comment>
    <comment ref="F3125" authorId="1" shapeId="0" xr:uid="{00000000-0006-0000-0100-0000990A0000}">
      <text/>
    </comment>
    <comment ref="F3126" authorId="1" shapeId="0" xr:uid="{00000000-0006-0000-0100-00009A0A0000}">
      <text/>
    </comment>
    <comment ref="A3128" authorId="1" shapeId="0" xr:uid="{00000000-0006-0000-0100-00009B0A0000}">
      <text>
        <r>
          <rPr>
            <sz val="11"/>
            <color theme="1"/>
            <rFont val="Calibri"/>
            <family val="2"/>
            <scheme val="minor"/>
          </rPr>
          <t>Introduzca un codigo UNSPSC</t>
        </r>
      </text>
    </comment>
    <comment ref="B3128" authorId="1" shapeId="0" xr:uid="{00000000-0006-0000-0100-00009C0A0000}">
      <text>
        <r>
          <rPr>
            <sz val="11"/>
            <color theme="1"/>
            <rFont val="Calibri"/>
            <family val="2"/>
            <scheme val="minor"/>
          </rPr>
          <t>Descripción calculada automáticamente a partir de código del artículo</t>
        </r>
      </text>
    </comment>
    <comment ref="C3128" authorId="1" shapeId="0" xr:uid="{00000000-0006-0000-0100-00009D0A0000}">
      <text>
        <r>
          <rPr>
            <sz val="11"/>
            <color theme="1"/>
            <rFont val="Calibri"/>
            <family val="2"/>
            <scheme val="minor"/>
          </rPr>
          <t>Seleccione un valor de la lista</t>
        </r>
      </text>
    </comment>
    <comment ref="D3128" authorId="1" shapeId="0" xr:uid="{00000000-0006-0000-0100-00009E0A0000}">
      <text>
        <r>
          <rPr>
            <sz val="11"/>
            <color theme="1"/>
            <rFont val="Calibri"/>
            <family val="2"/>
            <scheme val="minor"/>
          </rPr>
          <t>Introduzca un número con dos decimales como máximo. Debe ser igual o mayor a la "Cantidad Real Consumida"</t>
        </r>
      </text>
    </comment>
    <comment ref="E3128" authorId="1" shapeId="0" xr:uid="{00000000-0006-0000-0100-00009F0A0000}">
      <text>
        <r>
          <rPr>
            <sz val="11"/>
            <color theme="1"/>
            <rFont val="Calibri"/>
            <family val="2"/>
            <scheme val="minor"/>
          </rPr>
          <t>Introduzca un número con dos decimales como máximo</t>
        </r>
      </text>
    </comment>
    <comment ref="F3128" authorId="1" shapeId="0" xr:uid="{00000000-0006-0000-0100-0000A00A0000}">
      <text>
        <r>
          <rPr>
            <sz val="11"/>
            <color theme="1"/>
            <rFont val="Calibri"/>
            <family val="2"/>
            <scheme val="minor"/>
          </rPr>
          <t>Monto calculado automáticamente por el sistema</t>
        </r>
      </text>
    </comment>
    <comment ref="A3133" authorId="1" shapeId="0" xr:uid="{00000000-0006-0000-0100-0000A10A0000}">
      <text>
        <r>
          <rPr>
            <sz val="11"/>
            <color theme="1"/>
            <rFont val="Calibri"/>
            <family val="2"/>
            <scheme val="minor"/>
          </rPr>
          <t>Introducir un texto con el nombre o referencia de la contratación</t>
        </r>
      </text>
    </comment>
    <comment ref="B3133" authorId="1" shapeId="0" xr:uid="{00000000-0006-0000-0100-0000A20A0000}">
      <text>
        <r>
          <rPr>
            <sz val="11"/>
            <color theme="1"/>
            <rFont val="Calibri"/>
            <family val="2"/>
            <scheme val="minor"/>
          </rPr>
          <t>Introduzca un texto con la finalidad de la contratación</t>
        </r>
      </text>
    </comment>
    <comment ref="C3133" authorId="1" shapeId="0" xr:uid="{00000000-0006-0000-0100-0000A30A0000}">
      <text>
        <r>
          <rPr>
            <sz val="11"/>
            <color theme="1"/>
            <rFont val="Calibri"/>
            <family val="2"/>
            <scheme val="minor"/>
          </rPr>
          <t>Seleccionar un valor del listado</t>
        </r>
      </text>
    </comment>
    <comment ref="D3133" authorId="1" shapeId="0" xr:uid="{00000000-0006-0000-0100-0000A40A0000}">
      <text>
        <r>
          <rPr>
            <sz val="11"/>
            <color theme="1"/>
            <rFont val="Calibri"/>
            <family val="2"/>
            <scheme val="minor"/>
          </rPr>
          <t>Seleccione el tipo de procedimiento</t>
        </r>
      </text>
    </comment>
    <comment ref="E3133" authorId="1" shapeId="0" xr:uid="{00000000-0006-0000-0100-0000A50A0000}">
      <text>
        <r>
          <rPr>
            <sz val="11"/>
            <color theme="1"/>
            <rFont val="Calibri"/>
            <family val="2"/>
            <scheme val="minor"/>
          </rPr>
          <t>Seleccione un valor de la lista</t>
        </r>
      </text>
    </comment>
    <comment ref="F3133" authorId="1" shapeId="0" xr:uid="{00000000-0006-0000-0100-0000A60A0000}">
      <text>
        <r>
          <rPr>
            <sz val="11"/>
            <color theme="1"/>
            <rFont val="Calibri"/>
            <family val="2"/>
            <scheme val="minor"/>
          </rPr>
          <t>Introduzca el código SNIP</t>
        </r>
      </text>
    </comment>
    <comment ref="C3134" authorId="1" shapeId="0" xr:uid="{00000000-0006-0000-0100-0000A70A0000}">
      <text>
        <r>
          <rPr>
            <sz val="11"/>
            <color theme="1"/>
            <rFont val="Calibri"/>
            <family val="2"/>
            <scheme val="minor"/>
          </rPr>
          <t>Introduzca la fecha de inicio del proceso, en formato dd-mm-aaaa</t>
        </r>
      </text>
    </comment>
    <comment ref="F3134" authorId="1" shapeId="0" xr:uid="{00000000-0006-0000-0100-0000A9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35" authorId="1" shapeId="0" xr:uid="{00000000-0006-0000-0100-0000AA0A0000}">
      <text/>
    </comment>
    <comment ref="C3136" authorId="1" shapeId="0" xr:uid="{00000000-0006-0000-0100-0000A80A0000}">
      <text>
        <r>
          <rPr>
            <sz val="11"/>
            <color theme="1"/>
            <rFont val="Calibri"/>
            <family val="2"/>
            <scheme val="minor"/>
          </rPr>
          <t>Introduzca la fecha prevista de adjudicación, en formato dd-mm-aaaa</t>
        </r>
      </text>
    </comment>
    <comment ref="F3136" authorId="1" shapeId="0" xr:uid="{00000000-0006-0000-0100-0000AB0A0000}">
      <text/>
    </comment>
    <comment ref="F3137" authorId="1" shapeId="0" xr:uid="{00000000-0006-0000-0100-0000AC0A0000}">
      <text/>
    </comment>
    <comment ref="A3139" authorId="1" shapeId="0" xr:uid="{00000000-0006-0000-0100-0000AD0A0000}">
      <text>
        <r>
          <rPr>
            <sz val="11"/>
            <color theme="1"/>
            <rFont val="Calibri"/>
            <family val="2"/>
            <scheme val="minor"/>
          </rPr>
          <t>Introduzca un codigo UNSPSC</t>
        </r>
      </text>
    </comment>
    <comment ref="B3139" authorId="1" shapeId="0" xr:uid="{00000000-0006-0000-0100-0000AE0A0000}">
      <text>
        <r>
          <rPr>
            <sz val="11"/>
            <color theme="1"/>
            <rFont val="Calibri"/>
            <family val="2"/>
            <scheme val="minor"/>
          </rPr>
          <t>Descripción calculada automáticamente a partir de código del artículo</t>
        </r>
      </text>
    </comment>
    <comment ref="C3139" authorId="1" shapeId="0" xr:uid="{00000000-0006-0000-0100-0000AF0A0000}">
      <text>
        <r>
          <rPr>
            <sz val="11"/>
            <color theme="1"/>
            <rFont val="Calibri"/>
            <family val="2"/>
            <scheme val="minor"/>
          </rPr>
          <t>Seleccione un valor de la lista</t>
        </r>
      </text>
    </comment>
    <comment ref="D3139" authorId="1" shapeId="0" xr:uid="{00000000-0006-0000-0100-0000B00A0000}">
      <text>
        <r>
          <rPr>
            <sz val="11"/>
            <color theme="1"/>
            <rFont val="Calibri"/>
            <family val="2"/>
            <scheme val="minor"/>
          </rPr>
          <t>Introduzca un número con dos decimales como máximo. Debe ser igual o mayor a la "Cantidad Real Consumida"</t>
        </r>
      </text>
    </comment>
    <comment ref="E3139" authorId="1" shapeId="0" xr:uid="{00000000-0006-0000-0100-0000B10A0000}">
      <text>
        <r>
          <rPr>
            <sz val="11"/>
            <color theme="1"/>
            <rFont val="Calibri"/>
            <family val="2"/>
            <scheme val="minor"/>
          </rPr>
          <t>Introduzca un número con dos decimales como máximo</t>
        </r>
      </text>
    </comment>
    <comment ref="F3139" authorId="1" shapeId="0" xr:uid="{00000000-0006-0000-0100-0000B20A0000}">
      <text>
        <r>
          <rPr>
            <sz val="11"/>
            <color theme="1"/>
            <rFont val="Calibri"/>
            <family val="2"/>
            <scheme val="minor"/>
          </rPr>
          <t>Monto calculado automáticamente por el sistema</t>
        </r>
      </text>
    </comment>
    <comment ref="A3144" authorId="1" shapeId="0" xr:uid="{00000000-0006-0000-0100-0000B30A0000}">
      <text>
        <r>
          <rPr>
            <sz val="11"/>
            <color theme="1"/>
            <rFont val="Calibri"/>
            <family val="2"/>
            <scheme val="minor"/>
          </rPr>
          <t>Introducir un texto con el nombre o referencia de la contratación</t>
        </r>
      </text>
    </comment>
    <comment ref="B3144" authorId="1" shapeId="0" xr:uid="{00000000-0006-0000-0100-0000B40A0000}">
      <text>
        <r>
          <rPr>
            <sz val="11"/>
            <color theme="1"/>
            <rFont val="Calibri"/>
            <family val="2"/>
            <scheme val="minor"/>
          </rPr>
          <t>Introduzca un texto con la finalidad de la contratación</t>
        </r>
      </text>
    </comment>
    <comment ref="C3144" authorId="1" shapeId="0" xr:uid="{00000000-0006-0000-0100-0000B50A0000}">
      <text>
        <r>
          <rPr>
            <sz val="11"/>
            <color theme="1"/>
            <rFont val="Calibri"/>
            <family val="2"/>
            <scheme val="minor"/>
          </rPr>
          <t>Seleccionar un valor del listado</t>
        </r>
      </text>
    </comment>
    <comment ref="D3144" authorId="1" shapeId="0" xr:uid="{00000000-0006-0000-0100-0000B60A0000}">
      <text>
        <r>
          <rPr>
            <sz val="11"/>
            <color theme="1"/>
            <rFont val="Calibri"/>
            <family val="2"/>
            <scheme val="minor"/>
          </rPr>
          <t>Seleccione el tipo de procedimiento</t>
        </r>
      </text>
    </comment>
    <comment ref="E3144" authorId="1" shapeId="0" xr:uid="{00000000-0006-0000-0100-0000B70A0000}">
      <text>
        <r>
          <rPr>
            <sz val="11"/>
            <color theme="1"/>
            <rFont val="Calibri"/>
            <family val="2"/>
            <scheme val="minor"/>
          </rPr>
          <t>Seleccione un valor de la lista</t>
        </r>
      </text>
    </comment>
    <comment ref="F3144" authorId="1" shapeId="0" xr:uid="{00000000-0006-0000-0100-0000B80A0000}">
      <text>
        <r>
          <rPr>
            <sz val="11"/>
            <color theme="1"/>
            <rFont val="Calibri"/>
            <family val="2"/>
            <scheme val="minor"/>
          </rPr>
          <t>Introduzca el código SNIP</t>
        </r>
      </text>
    </comment>
    <comment ref="C3145" authorId="1" shapeId="0" xr:uid="{00000000-0006-0000-0100-0000B90A0000}">
      <text>
        <r>
          <rPr>
            <sz val="11"/>
            <color theme="1"/>
            <rFont val="Calibri"/>
            <family val="2"/>
            <scheme val="minor"/>
          </rPr>
          <t>Introduzca la fecha de inicio del proceso, en formato dd-mm-aaaa</t>
        </r>
      </text>
    </comment>
    <comment ref="F3145" authorId="1" shapeId="0" xr:uid="{00000000-0006-0000-0100-0000BB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46" authorId="1" shapeId="0" xr:uid="{00000000-0006-0000-0100-0000BC0A0000}">
      <text/>
    </comment>
    <comment ref="C3147" authorId="1" shapeId="0" xr:uid="{00000000-0006-0000-0100-0000BA0A0000}">
      <text>
        <r>
          <rPr>
            <sz val="11"/>
            <color theme="1"/>
            <rFont val="Calibri"/>
            <family val="2"/>
            <scheme val="minor"/>
          </rPr>
          <t>Introduzca la fecha prevista de adjudicación, en formato dd-mm-aaaa</t>
        </r>
      </text>
    </comment>
    <comment ref="F3147" authorId="1" shapeId="0" xr:uid="{00000000-0006-0000-0100-0000BD0A0000}">
      <text/>
    </comment>
    <comment ref="F3148" authorId="1" shapeId="0" xr:uid="{00000000-0006-0000-0100-0000BE0A0000}">
      <text/>
    </comment>
    <comment ref="A3150" authorId="1" shapeId="0" xr:uid="{00000000-0006-0000-0100-0000BF0A0000}">
      <text>
        <r>
          <rPr>
            <sz val="11"/>
            <color theme="1"/>
            <rFont val="Calibri"/>
            <family val="2"/>
            <scheme val="minor"/>
          </rPr>
          <t>Introduzca un codigo UNSPSC</t>
        </r>
      </text>
    </comment>
    <comment ref="B3150" authorId="1" shapeId="0" xr:uid="{00000000-0006-0000-0100-0000C00A0000}">
      <text>
        <r>
          <rPr>
            <sz val="11"/>
            <color theme="1"/>
            <rFont val="Calibri"/>
            <family val="2"/>
            <scheme val="minor"/>
          </rPr>
          <t>Descripción calculada automáticamente a partir de código del artículo</t>
        </r>
      </text>
    </comment>
    <comment ref="C3150" authorId="1" shapeId="0" xr:uid="{00000000-0006-0000-0100-0000C10A0000}">
      <text>
        <r>
          <rPr>
            <sz val="11"/>
            <color theme="1"/>
            <rFont val="Calibri"/>
            <family val="2"/>
            <scheme val="minor"/>
          </rPr>
          <t>Seleccione un valor de la lista</t>
        </r>
      </text>
    </comment>
    <comment ref="D3150" authorId="1" shapeId="0" xr:uid="{00000000-0006-0000-0100-0000C20A0000}">
      <text>
        <r>
          <rPr>
            <sz val="11"/>
            <color theme="1"/>
            <rFont val="Calibri"/>
            <family val="2"/>
            <scheme val="minor"/>
          </rPr>
          <t>Introduzca un número con dos decimales como máximo. Debe ser igual o mayor a la "Cantidad Real Consumida"</t>
        </r>
      </text>
    </comment>
    <comment ref="E3150" authorId="1" shapeId="0" xr:uid="{00000000-0006-0000-0100-0000C30A0000}">
      <text>
        <r>
          <rPr>
            <sz val="11"/>
            <color theme="1"/>
            <rFont val="Calibri"/>
            <family val="2"/>
            <scheme val="minor"/>
          </rPr>
          <t>Introduzca un número con dos decimales como máximo</t>
        </r>
      </text>
    </comment>
    <comment ref="F3150" authorId="1" shapeId="0" xr:uid="{00000000-0006-0000-0100-0000C40A0000}">
      <text>
        <r>
          <rPr>
            <sz val="11"/>
            <color theme="1"/>
            <rFont val="Calibri"/>
            <family val="2"/>
            <scheme val="minor"/>
          </rPr>
          <t>Monto calculado automáticamente por el sistema</t>
        </r>
      </text>
    </comment>
    <comment ref="A3155" authorId="1" shapeId="0" xr:uid="{00000000-0006-0000-0100-0000C50A0000}">
      <text>
        <r>
          <rPr>
            <sz val="11"/>
            <color theme="1"/>
            <rFont val="Calibri"/>
            <family val="2"/>
            <scheme val="minor"/>
          </rPr>
          <t>Introducir un texto con el nombre o referencia de la contratación</t>
        </r>
      </text>
    </comment>
    <comment ref="B3155" authorId="1" shapeId="0" xr:uid="{00000000-0006-0000-0100-0000C60A0000}">
      <text>
        <r>
          <rPr>
            <sz val="11"/>
            <color theme="1"/>
            <rFont val="Calibri"/>
            <family val="2"/>
            <scheme val="minor"/>
          </rPr>
          <t>Introduzca un texto con la finalidad de la contratación</t>
        </r>
      </text>
    </comment>
    <comment ref="C3155" authorId="1" shapeId="0" xr:uid="{00000000-0006-0000-0100-0000C70A0000}">
      <text>
        <r>
          <rPr>
            <sz val="11"/>
            <color theme="1"/>
            <rFont val="Calibri"/>
            <family val="2"/>
            <scheme val="minor"/>
          </rPr>
          <t>Seleccionar un valor del listado</t>
        </r>
      </text>
    </comment>
    <comment ref="D3155" authorId="1" shapeId="0" xr:uid="{00000000-0006-0000-0100-0000C80A0000}">
      <text>
        <r>
          <rPr>
            <sz val="11"/>
            <color theme="1"/>
            <rFont val="Calibri"/>
            <family val="2"/>
            <scheme val="minor"/>
          </rPr>
          <t>Seleccione el tipo de procedimiento</t>
        </r>
      </text>
    </comment>
    <comment ref="E3155" authorId="1" shapeId="0" xr:uid="{00000000-0006-0000-0100-0000C90A0000}">
      <text>
        <r>
          <rPr>
            <sz val="11"/>
            <color theme="1"/>
            <rFont val="Calibri"/>
            <family val="2"/>
            <scheme val="minor"/>
          </rPr>
          <t>Seleccione un valor de la lista</t>
        </r>
      </text>
    </comment>
    <comment ref="F3155" authorId="1" shapeId="0" xr:uid="{00000000-0006-0000-0100-0000CA0A0000}">
      <text>
        <r>
          <rPr>
            <sz val="11"/>
            <color theme="1"/>
            <rFont val="Calibri"/>
            <family val="2"/>
            <scheme val="minor"/>
          </rPr>
          <t>Introduzca el código SNIP</t>
        </r>
      </text>
    </comment>
    <comment ref="C3156" authorId="1" shapeId="0" xr:uid="{00000000-0006-0000-0100-0000CB0A0000}">
      <text>
        <r>
          <rPr>
            <sz val="11"/>
            <color theme="1"/>
            <rFont val="Calibri"/>
            <family val="2"/>
            <scheme val="minor"/>
          </rPr>
          <t>Introduzca la fecha de inicio del proceso, en formato dd-mm-aaaa</t>
        </r>
      </text>
    </comment>
    <comment ref="F3156" authorId="1" shapeId="0" xr:uid="{00000000-0006-0000-0100-0000CD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57" authorId="1" shapeId="0" xr:uid="{00000000-0006-0000-0100-0000CE0A0000}">
      <text/>
    </comment>
    <comment ref="C3158" authorId="1" shapeId="0" xr:uid="{00000000-0006-0000-0100-0000CC0A0000}">
      <text>
        <r>
          <rPr>
            <sz val="11"/>
            <color theme="1"/>
            <rFont val="Calibri"/>
            <family val="2"/>
            <scheme val="minor"/>
          </rPr>
          <t>Introduzca la fecha prevista de adjudicación, en formato dd-mm-aaaa</t>
        </r>
      </text>
    </comment>
    <comment ref="F3158" authorId="1" shapeId="0" xr:uid="{00000000-0006-0000-0100-0000CF0A0000}">
      <text/>
    </comment>
    <comment ref="F3159" authorId="1" shapeId="0" xr:uid="{00000000-0006-0000-0100-0000D00A0000}">
      <text/>
    </comment>
    <comment ref="A3161" authorId="1" shapeId="0" xr:uid="{00000000-0006-0000-0100-0000D10A0000}">
      <text>
        <r>
          <rPr>
            <sz val="11"/>
            <color theme="1"/>
            <rFont val="Calibri"/>
            <family val="2"/>
            <scheme val="minor"/>
          </rPr>
          <t>Introduzca un codigo UNSPSC</t>
        </r>
      </text>
    </comment>
    <comment ref="B3161" authorId="1" shapeId="0" xr:uid="{00000000-0006-0000-0100-0000D20A0000}">
      <text>
        <r>
          <rPr>
            <sz val="11"/>
            <color theme="1"/>
            <rFont val="Calibri"/>
            <family val="2"/>
            <scheme val="minor"/>
          </rPr>
          <t>Descripción calculada automáticamente a partir de código del artículo</t>
        </r>
      </text>
    </comment>
    <comment ref="C3161" authorId="1" shapeId="0" xr:uid="{00000000-0006-0000-0100-0000D30A0000}">
      <text>
        <r>
          <rPr>
            <sz val="11"/>
            <color theme="1"/>
            <rFont val="Calibri"/>
            <family val="2"/>
            <scheme val="minor"/>
          </rPr>
          <t>Seleccione un valor de la lista</t>
        </r>
      </text>
    </comment>
    <comment ref="D3161" authorId="1" shapeId="0" xr:uid="{00000000-0006-0000-0100-0000D40A0000}">
      <text>
        <r>
          <rPr>
            <sz val="11"/>
            <color theme="1"/>
            <rFont val="Calibri"/>
            <family val="2"/>
            <scheme val="minor"/>
          </rPr>
          <t>Introduzca un número con dos decimales como máximo. Debe ser igual o mayor a la "Cantidad Real Consumida"</t>
        </r>
      </text>
    </comment>
    <comment ref="E3161" authorId="1" shapeId="0" xr:uid="{00000000-0006-0000-0100-0000D50A0000}">
      <text>
        <r>
          <rPr>
            <sz val="11"/>
            <color theme="1"/>
            <rFont val="Calibri"/>
            <family val="2"/>
            <scheme val="minor"/>
          </rPr>
          <t>Introduzca un número con dos decimales como máximo</t>
        </r>
      </text>
    </comment>
    <comment ref="F3161" authorId="1" shapeId="0" xr:uid="{00000000-0006-0000-0100-0000D60A0000}">
      <text>
        <r>
          <rPr>
            <sz val="11"/>
            <color theme="1"/>
            <rFont val="Calibri"/>
            <family val="2"/>
            <scheme val="minor"/>
          </rPr>
          <t>Monto calculado automáticamente por el sistema</t>
        </r>
      </text>
    </comment>
    <comment ref="A3166" authorId="1" shapeId="0" xr:uid="{00000000-0006-0000-0100-0000D70A0000}">
      <text>
        <r>
          <rPr>
            <sz val="11"/>
            <color theme="1"/>
            <rFont val="Calibri"/>
            <family val="2"/>
            <scheme val="minor"/>
          </rPr>
          <t>Introducir un texto con el nombre o referencia de la contratación</t>
        </r>
      </text>
    </comment>
    <comment ref="B3166" authorId="1" shapeId="0" xr:uid="{00000000-0006-0000-0100-0000D80A0000}">
      <text>
        <r>
          <rPr>
            <sz val="11"/>
            <color theme="1"/>
            <rFont val="Calibri"/>
            <family val="2"/>
            <scheme val="minor"/>
          </rPr>
          <t>Introduzca un texto con la finalidad de la contratación</t>
        </r>
      </text>
    </comment>
    <comment ref="C3166" authorId="1" shapeId="0" xr:uid="{00000000-0006-0000-0100-0000D90A0000}">
      <text>
        <r>
          <rPr>
            <sz val="11"/>
            <color theme="1"/>
            <rFont val="Calibri"/>
            <family val="2"/>
            <scheme val="minor"/>
          </rPr>
          <t>Seleccionar un valor del listado</t>
        </r>
      </text>
    </comment>
    <comment ref="D3166" authorId="1" shapeId="0" xr:uid="{00000000-0006-0000-0100-0000DA0A0000}">
      <text>
        <r>
          <rPr>
            <sz val="11"/>
            <color theme="1"/>
            <rFont val="Calibri"/>
            <family val="2"/>
            <scheme val="minor"/>
          </rPr>
          <t>Seleccione el tipo de procedimiento</t>
        </r>
      </text>
    </comment>
    <comment ref="E3166" authorId="1" shapeId="0" xr:uid="{00000000-0006-0000-0100-0000DB0A0000}">
      <text>
        <r>
          <rPr>
            <sz val="11"/>
            <color theme="1"/>
            <rFont val="Calibri"/>
            <family val="2"/>
            <scheme val="minor"/>
          </rPr>
          <t>Seleccione un valor de la lista</t>
        </r>
      </text>
    </comment>
    <comment ref="F3166" authorId="1" shapeId="0" xr:uid="{00000000-0006-0000-0100-0000DC0A0000}">
      <text>
        <r>
          <rPr>
            <sz val="11"/>
            <color theme="1"/>
            <rFont val="Calibri"/>
            <family val="2"/>
            <scheme val="minor"/>
          </rPr>
          <t>Introduzca el código SNIP</t>
        </r>
      </text>
    </comment>
    <comment ref="C3167" authorId="1" shapeId="0" xr:uid="{00000000-0006-0000-0100-0000DD0A0000}">
      <text>
        <r>
          <rPr>
            <sz val="11"/>
            <color theme="1"/>
            <rFont val="Calibri"/>
            <family val="2"/>
            <scheme val="minor"/>
          </rPr>
          <t>Introduzca la fecha de inicio del proceso, en formato dd-mm-aaaa</t>
        </r>
      </text>
    </comment>
    <comment ref="F3167" authorId="1" shapeId="0" xr:uid="{00000000-0006-0000-0100-0000DF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68" authorId="1" shapeId="0" xr:uid="{00000000-0006-0000-0100-0000E00A0000}">
      <text/>
    </comment>
    <comment ref="C3169" authorId="1" shapeId="0" xr:uid="{00000000-0006-0000-0100-0000DE0A0000}">
      <text>
        <r>
          <rPr>
            <sz val="11"/>
            <color theme="1"/>
            <rFont val="Calibri"/>
            <family val="2"/>
            <scheme val="minor"/>
          </rPr>
          <t>Introduzca la fecha prevista de adjudicación, en formato dd-mm-aaaa</t>
        </r>
      </text>
    </comment>
    <comment ref="F3169" authorId="1" shapeId="0" xr:uid="{00000000-0006-0000-0100-0000E10A0000}">
      <text/>
    </comment>
    <comment ref="F3170" authorId="1" shapeId="0" xr:uid="{00000000-0006-0000-0100-0000E20A0000}">
      <text/>
    </comment>
    <comment ref="A3172" authorId="1" shapeId="0" xr:uid="{00000000-0006-0000-0100-0000E30A0000}">
      <text>
        <r>
          <rPr>
            <sz val="11"/>
            <color theme="1"/>
            <rFont val="Calibri"/>
            <family val="2"/>
            <scheme val="minor"/>
          </rPr>
          <t>Introduzca un codigo UNSPSC</t>
        </r>
      </text>
    </comment>
    <comment ref="B3172" authorId="1" shapeId="0" xr:uid="{00000000-0006-0000-0100-0000E40A0000}">
      <text>
        <r>
          <rPr>
            <sz val="11"/>
            <color theme="1"/>
            <rFont val="Calibri"/>
            <family val="2"/>
            <scheme val="minor"/>
          </rPr>
          <t>Descripción calculada automáticamente a partir de código del artículo</t>
        </r>
      </text>
    </comment>
    <comment ref="C3172" authorId="1" shapeId="0" xr:uid="{00000000-0006-0000-0100-0000E50A0000}">
      <text>
        <r>
          <rPr>
            <sz val="11"/>
            <color theme="1"/>
            <rFont val="Calibri"/>
            <family val="2"/>
            <scheme val="minor"/>
          </rPr>
          <t>Seleccione un valor de la lista</t>
        </r>
      </text>
    </comment>
    <comment ref="D3172" authorId="1" shapeId="0" xr:uid="{00000000-0006-0000-0100-0000E60A0000}">
      <text>
        <r>
          <rPr>
            <sz val="11"/>
            <color theme="1"/>
            <rFont val="Calibri"/>
            <family val="2"/>
            <scheme val="minor"/>
          </rPr>
          <t>Introduzca un número con dos decimales como máximo. Debe ser igual o mayor a la "Cantidad Real Consumida"</t>
        </r>
      </text>
    </comment>
    <comment ref="E3172" authorId="1" shapeId="0" xr:uid="{00000000-0006-0000-0100-0000E70A0000}">
      <text>
        <r>
          <rPr>
            <sz val="11"/>
            <color theme="1"/>
            <rFont val="Calibri"/>
            <family val="2"/>
            <scheme val="minor"/>
          </rPr>
          <t>Introduzca un número con dos decimales como máximo</t>
        </r>
      </text>
    </comment>
    <comment ref="F3172" authorId="1" shapeId="0" xr:uid="{00000000-0006-0000-0100-0000E80A0000}">
      <text>
        <r>
          <rPr>
            <sz val="11"/>
            <color theme="1"/>
            <rFont val="Calibri"/>
            <family val="2"/>
            <scheme val="minor"/>
          </rPr>
          <t>Monto calculado automáticamente por el sistema</t>
        </r>
      </text>
    </comment>
    <comment ref="A3177" authorId="1" shapeId="0" xr:uid="{00000000-0006-0000-0100-0000E90A0000}">
      <text>
        <r>
          <rPr>
            <sz val="11"/>
            <color theme="1"/>
            <rFont val="Calibri"/>
            <family val="2"/>
            <scheme val="minor"/>
          </rPr>
          <t>Introducir un texto con el nombre o referencia de la contratación</t>
        </r>
      </text>
    </comment>
    <comment ref="B3177" authorId="1" shapeId="0" xr:uid="{00000000-0006-0000-0100-0000EA0A0000}">
      <text>
        <r>
          <rPr>
            <sz val="11"/>
            <color theme="1"/>
            <rFont val="Calibri"/>
            <family val="2"/>
            <scheme val="minor"/>
          </rPr>
          <t>Introduzca un texto con la finalidad de la contratación</t>
        </r>
      </text>
    </comment>
    <comment ref="C3177" authorId="1" shapeId="0" xr:uid="{00000000-0006-0000-0100-0000EB0A0000}">
      <text>
        <r>
          <rPr>
            <sz val="11"/>
            <color theme="1"/>
            <rFont val="Calibri"/>
            <family val="2"/>
            <scheme val="minor"/>
          </rPr>
          <t>Seleccionar un valor del listado</t>
        </r>
      </text>
    </comment>
    <comment ref="D3177" authorId="1" shapeId="0" xr:uid="{00000000-0006-0000-0100-0000EC0A0000}">
      <text>
        <r>
          <rPr>
            <sz val="11"/>
            <color theme="1"/>
            <rFont val="Calibri"/>
            <family val="2"/>
            <scheme val="minor"/>
          </rPr>
          <t>Seleccione el tipo de procedimiento</t>
        </r>
      </text>
    </comment>
    <comment ref="E3177" authorId="1" shapeId="0" xr:uid="{00000000-0006-0000-0100-0000ED0A0000}">
      <text>
        <r>
          <rPr>
            <sz val="11"/>
            <color theme="1"/>
            <rFont val="Calibri"/>
            <family val="2"/>
            <scheme val="minor"/>
          </rPr>
          <t>Seleccione un valor de la lista</t>
        </r>
      </text>
    </comment>
    <comment ref="F3177" authorId="1" shapeId="0" xr:uid="{00000000-0006-0000-0100-0000EE0A0000}">
      <text>
        <r>
          <rPr>
            <sz val="11"/>
            <color theme="1"/>
            <rFont val="Calibri"/>
            <family val="2"/>
            <scheme val="minor"/>
          </rPr>
          <t>Introduzca el código SNIP</t>
        </r>
      </text>
    </comment>
    <comment ref="C3178" authorId="1" shapeId="0" xr:uid="{00000000-0006-0000-0100-0000EF0A0000}">
      <text>
        <r>
          <rPr>
            <sz val="11"/>
            <color theme="1"/>
            <rFont val="Calibri"/>
            <family val="2"/>
            <scheme val="minor"/>
          </rPr>
          <t>Introduzca la fecha de inicio del proceso, en formato dd-mm-aaaa</t>
        </r>
      </text>
    </comment>
    <comment ref="F3178" authorId="1" shapeId="0" xr:uid="{00000000-0006-0000-0100-0000F1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79" authorId="1" shapeId="0" xr:uid="{00000000-0006-0000-0100-0000F20A0000}">
      <text/>
    </comment>
    <comment ref="C3180" authorId="1" shapeId="0" xr:uid="{00000000-0006-0000-0100-0000F00A0000}">
      <text>
        <r>
          <rPr>
            <sz val="11"/>
            <color theme="1"/>
            <rFont val="Calibri"/>
            <family val="2"/>
            <scheme val="minor"/>
          </rPr>
          <t>Introduzca la fecha prevista de adjudicación, en formato dd-mm-aaaa</t>
        </r>
      </text>
    </comment>
    <comment ref="F3180" authorId="1" shapeId="0" xr:uid="{00000000-0006-0000-0100-0000F30A0000}">
      <text/>
    </comment>
    <comment ref="F3181" authorId="1" shapeId="0" xr:uid="{00000000-0006-0000-0100-0000F40A0000}">
      <text/>
    </comment>
    <comment ref="A3183" authorId="1" shapeId="0" xr:uid="{00000000-0006-0000-0100-0000F50A0000}">
      <text>
        <r>
          <rPr>
            <sz val="11"/>
            <color theme="1"/>
            <rFont val="Calibri"/>
            <family val="2"/>
            <scheme val="minor"/>
          </rPr>
          <t>Introduzca un codigo UNSPSC</t>
        </r>
      </text>
    </comment>
    <comment ref="B3183" authorId="1" shapeId="0" xr:uid="{00000000-0006-0000-0100-0000F60A0000}">
      <text>
        <r>
          <rPr>
            <sz val="11"/>
            <color theme="1"/>
            <rFont val="Calibri"/>
            <family val="2"/>
            <scheme val="minor"/>
          </rPr>
          <t>Descripción calculada automáticamente a partir de código del artículo</t>
        </r>
      </text>
    </comment>
    <comment ref="C3183" authorId="1" shapeId="0" xr:uid="{00000000-0006-0000-0100-0000F70A0000}">
      <text>
        <r>
          <rPr>
            <sz val="11"/>
            <color theme="1"/>
            <rFont val="Calibri"/>
            <family val="2"/>
            <scheme val="minor"/>
          </rPr>
          <t>Seleccione un valor de la lista</t>
        </r>
      </text>
    </comment>
    <comment ref="D3183" authorId="1" shapeId="0" xr:uid="{00000000-0006-0000-0100-0000F80A0000}">
      <text>
        <r>
          <rPr>
            <sz val="11"/>
            <color theme="1"/>
            <rFont val="Calibri"/>
            <family val="2"/>
            <scheme val="minor"/>
          </rPr>
          <t>Introduzca un número con dos decimales como máximo. Debe ser igual o mayor a la "Cantidad Real Consumida"</t>
        </r>
      </text>
    </comment>
    <comment ref="E3183" authorId="1" shapeId="0" xr:uid="{00000000-0006-0000-0100-0000F90A0000}">
      <text>
        <r>
          <rPr>
            <sz val="11"/>
            <color theme="1"/>
            <rFont val="Calibri"/>
            <family val="2"/>
            <scheme val="minor"/>
          </rPr>
          <t>Introduzca un número con dos decimales como máximo</t>
        </r>
      </text>
    </comment>
    <comment ref="F3183" authorId="1" shapeId="0" xr:uid="{00000000-0006-0000-0100-0000FA0A0000}">
      <text>
        <r>
          <rPr>
            <sz val="11"/>
            <color theme="1"/>
            <rFont val="Calibri"/>
            <family val="2"/>
            <scheme val="minor"/>
          </rPr>
          <t>Monto calculado automáticamente por el sistema</t>
        </r>
      </text>
    </comment>
    <comment ref="A3188" authorId="1" shapeId="0" xr:uid="{00000000-0006-0000-0100-0000FB0A0000}">
      <text>
        <r>
          <rPr>
            <sz val="11"/>
            <color theme="1"/>
            <rFont val="Calibri"/>
            <family val="2"/>
            <scheme val="minor"/>
          </rPr>
          <t>Introducir un texto con el nombre o referencia de la contratación</t>
        </r>
      </text>
    </comment>
    <comment ref="B3188" authorId="1" shapeId="0" xr:uid="{00000000-0006-0000-0100-0000FC0A0000}">
      <text>
        <r>
          <rPr>
            <sz val="11"/>
            <color theme="1"/>
            <rFont val="Calibri"/>
            <family val="2"/>
            <scheme val="minor"/>
          </rPr>
          <t>Introduzca un texto con la finalidad de la contratación</t>
        </r>
      </text>
    </comment>
    <comment ref="C3188" authorId="1" shapeId="0" xr:uid="{00000000-0006-0000-0100-0000FD0A0000}">
      <text>
        <r>
          <rPr>
            <sz val="11"/>
            <color theme="1"/>
            <rFont val="Calibri"/>
            <family val="2"/>
            <scheme val="minor"/>
          </rPr>
          <t>Seleccionar un valor del listado</t>
        </r>
      </text>
    </comment>
    <comment ref="D3188" authorId="1" shapeId="0" xr:uid="{00000000-0006-0000-0100-0000FE0A0000}">
      <text>
        <r>
          <rPr>
            <sz val="11"/>
            <color theme="1"/>
            <rFont val="Calibri"/>
            <family val="2"/>
            <scheme val="minor"/>
          </rPr>
          <t>Seleccione el tipo de procedimiento</t>
        </r>
      </text>
    </comment>
    <comment ref="E3188" authorId="1" shapeId="0" xr:uid="{00000000-0006-0000-0100-0000FF0A0000}">
      <text>
        <r>
          <rPr>
            <sz val="11"/>
            <color theme="1"/>
            <rFont val="Calibri"/>
            <family val="2"/>
            <scheme val="minor"/>
          </rPr>
          <t>Seleccione un valor de la lista</t>
        </r>
      </text>
    </comment>
    <comment ref="F3188" authorId="1" shapeId="0" xr:uid="{00000000-0006-0000-0100-0000000B0000}">
      <text>
        <r>
          <rPr>
            <sz val="11"/>
            <color theme="1"/>
            <rFont val="Calibri"/>
            <family val="2"/>
            <scheme val="minor"/>
          </rPr>
          <t>Introduzca el código SNIP</t>
        </r>
      </text>
    </comment>
    <comment ref="C3189" authorId="1" shapeId="0" xr:uid="{00000000-0006-0000-0100-0000010B0000}">
      <text>
        <r>
          <rPr>
            <sz val="11"/>
            <color theme="1"/>
            <rFont val="Calibri"/>
            <family val="2"/>
            <scheme val="minor"/>
          </rPr>
          <t>Introduzca la fecha de inicio del proceso, en formato dd-mm-aaaa</t>
        </r>
      </text>
    </comment>
    <comment ref="F3189" authorId="1" shapeId="0" xr:uid="{00000000-0006-0000-0100-000003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90" authorId="1" shapeId="0" xr:uid="{00000000-0006-0000-0100-0000040B0000}">
      <text/>
    </comment>
    <comment ref="C3191" authorId="1" shapeId="0" xr:uid="{00000000-0006-0000-0100-0000020B0000}">
      <text>
        <r>
          <rPr>
            <sz val="11"/>
            <color theme="1"/>
            <rFont val="Calibri"/>
            <family val="2"/>
            <scheme val="minor"/>
          </rPr>
          <t>Introduzca la fecha prevista de adjudicación, en formato dd-mm-aaaa</t>
        </r>
      </text>
    </comment>
    <comment ref="F3191" authorId="1" shapeId="0" xr:uid="{00000000-0006-0000-0100-0000050B0000}">
      <text/>
    </comment>
    <comment ref="F3192" authorId="1" shapeId="0" xr:uid="{00000000-0006-0000-0100-0000060B0000}">
      <text/>
    </comment>
    <comment ref="A3194" authorId="1" shapeId="0" xr:uid="{00000000-0006-0000-0100-0000070B0000}">
      <text>
        <r>
          <rPr>
            <sz val="11"/>
            <color theme="1"/>
            <rFont val="Calibri"/>
            <family val="2"/>
            <scheme val="minor"/>
          </rPr>
          <t>Introduzca un codigo UNSPSC</t>
        </r>
      </text>
    </comment>
    <comment ref="B3194" authorId="1" shapeId="0" xr:uid="{00000000-0006-0000-0100-0000080B0000}">
      <text>
        <r>
          <rPr>
            <sz val="11"/>
            <color theme="1"/>
            <rFont val="Calibri"/>
            <family val="2"/>
            <scheme val="minor"/>
          </rPr>
          <t>Descripción calculada automáticamente a partir de código del artículo</t>
        </r>
      </text>
    </comment>
    <comment ref="C3194" authorId="1" shapeId="0" xr:uid="{00000000-0006-0000-0100-0000090B0000}">
      <text>
        <r>
          <rPr>
            <sz val="11"/>
            <color theme="1"/>
            <rFont val="Calibri"/>
            <family val="2"/>
            <scheme val="minor"/>
          </rPr>
          <t>Seleccione un valor de la lista</t>
        </r>
      </text>
    </comment>
    <comment ref="D3194" authorId="1" shapeId="0" xr:uid="{00000000-0006-0000-0100-00000A0B0000}">
      <text>
        <r>
          <rPr>
            <sz val="11"/>
            <color theme="1"/>
            <rFont val="Calibri"/>
            <family val="2"/>
            <scheme val="minor"/>
          </rPr>
          <t>Introduzca un número con dos decimales como máximo. Debe ser igual o mayor a la "Cantidad Real Consumida"</t>
        </r>
      </text>
    </comment>
    <comment ref="E3194" authorId="1" shapeId="0" xr:uid="{00000000-0006-0000-0100-00000B0B0000}">
      <text>
        <r>
          <rPr>
            <sz val="11"/>
            <color theme="1"/>
            <rFont val="Calibri"/>
            <family val="2"/>
            <scheme val="minor"/>
          </rPr>
          <t>Introduzca un número con dos decimales como máximo</t>
        </r>
      </text>
    </comment>
    <comment ref="F3194" authorId="1" shapeId="0" xr:uid="{00000000-0006-0000-0100-00000C0B0000}">
      <text>
        <r>
          <rPr>
            <sz val="11"/>
            <color theme="1"/>
            <rFont val="Calibri"/>
            <family val="2"/>
            <scheme val="minor"/>
          </rPr>
          <t>Monto calculado automáticamente por el sistema</t>
        </r>
      </text>
    </comment>
    <comment ref="A3199" authorId="1" shapeId="0" xr:uid="{00000000-0006-0000-0100-00000D0B0000}">
      <text>
        <r>
          <rPr>
            <sz val="11"/>
            <color theme="1"/>
            <rFont val="Calibri"/>
            <family val="2"/>
            <scheme val="minor"/>
          </rPr>
          <t>Introducir un texto con el nombre o referencia de la contratación</t>
        </r>
      </text>
    </comment>
    <comment ref="B3199" authorId="1" shapeId="0" xr:uid="{00000000-0006-0000-0100-00000E0B0000}">
      <text>
        <r>
          <rPr>
            <sz val="11"/>
            <color theme="1"/>
            <rFont val="Calibri"/>
            <family val="2"/>
            <scheme val="minor"/>
          </rPr>
          <t>Introduzca un texto con la finalidad de la contratación</t>
        </r>
      </text>
    </comment>
    <comment ref="C3199" authorId="1" shapeId="0" xr:uid="{00000000-0006-0000-0100-00000F0B0000}">
      <text>
        <r>
          <rPr>
            <sz val="11"/>
            <color theme="1"/>
            <rFont val="Calibri"/>
            <family val="2"/>
            <scheme val="minor"/>
          </rPr>
          <t>Seleccionar un valor del listado</t>
        </r>
      </text>
    </comment>
    <comment ref="D3199" authorId="1" shapeId="0" xr:uid="{00000000-0006-0000-0100-0000100B0000}">
      <text>
        <r>
          <rPr>
            <sz val="11"/>
            <color theme="1"/>
            <rFont val="Calibri"/>
            <family val="2"/>
            <scheme val="minor"/>
          </rPr>
          <t>Seleccione el tipo de procedimiento</t>
        </r>
      </text>
    </comment>
    <comment ref="E3199" authorId="1" shapeId="0" xr:uid="{00000000-0006-0000-0100-0000110B0000}">
      <text>
        <r>
          <rPr>
            <sz val="11"/>
            <color theme="1"/>
            <rFont val="Calibri"/>
            <family val="2"/>
            <scheme val="minor"/>
          </rPr>
          <t>Seleccione un valor de la lista</t>
        </r>
      </text>
    </comment>
    <comment ref="F3199" authorId="1" shapeId="0" xr:uid="{00000000-0006-0000-0100-0000120B0000}">
      <text>
        <r>
          <rPr>
            <sz val="11"/>
            <color theme="1"/>
            <rFont val="Calibri"/>
            <family val="2"/>
            <scheme val="minor"/>
          </rPr>
          <t>Introduzca el código SNIP</t>
        </r>
      </text>
    </comment>
    <comment ref="C3200" authorId="1" shapeId="0" xr:uid="{00000000-0006-0000-0100-0000130B0000}">
      <text>
        <r>
          <rPr>
            <sz val="11"/>
            <color theme="1"/>
            <rFont val="Calibri"/>
            <family val="2"/>
            <scheme val="minor"/>
          </rPr>
          <t>Introduzca la fecha de inicio del proceso, en formato dd-mm-aaaa</t>
        </r>
      </text>
    </comment>
    <comment ref="F3200" authorId="1" shapeId="0" xr:uid="{00000000-0006-0000-0100-000015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01" authorId="1" shapeId="0" xr:uid="{00000000-0006-0000-0100-0000160B0000}">
      <text/>
    </comment>
    <comment ref="C3202" authorId="1" shapeId="0" xr:uid="{00000000-0006-0000-0100-0000140B0000}">
      <text>
        <r>
          <rPr>
            <sz val="11"/>
            <color theme="1"/>
            <rFont val="Calibri"/>
            <family val="2"/>
            <scheme val="minor"/>
          </rPr>
          <t>Introduzca la fecha prevista de adjudicación, en formato dd-mm-aaaa</t>
        </r>
      </text>
    </comment>
    <comment ref="F3202" authorId="1" shapeId="0" xr:uid="{00000000-0006-0000-0100-0000170B0000}">
      <text/>
    </comment>
    <comment ref="F3203" authorId="1" shapeId="0" xr:uid="{00000000-0006-0000-0100-0000180B0000}">
      <text/>
    </comment>
    <comment ref="A3205" authorId="1" shapeId="0" xr:uid="{00000000-0006-0000-0100-0000190B0000}">
      <text>
        <r>
          <rPr>
            <sz val="11"/>
            <color theme="1"/>
            <rFont val="Calibri"/>
            <family val="2"/>
            <scheme val="minor"/>
          </rPr>
          <t>Introduzca un codigo UNSPSC</t>
        </r>
      </text>
    </comment>
    <comment ref="B3205" authorId="1" shapeId="0" xr:uid="{00000000-0006-0000-0100-00001A0B0000}">
      <text>
        <r>
          <rPr>
            <sz val="11"/>
            <color theme="1"/>
            <rFont val="Calibri"/>
            <family val="2"/>
            <scheme val="minor"/>
          </rPr>
          <t>Descripción calculada automáticamente a partir de código del artículo</t>
        </r>
      </text>
    </comment>
    <comment ref="C3205" authorId="1" shapeId="0" xr:uid="{00000000-0006-0000-0100-00001B0B0000}">
      <text>
        <r>
          <rPr>
            <sz val="11"/>
            <color theme="1"/>
            <rFont val="Calibri"/>
            <family val="2"/>
            <scheme val="minor"/>
          </rPr>
          <t>Seleccione un valor de la lista</t>
        </r>
      </text>
    </comment>
    <comment ref="D3205" authorId="1" shapeId="0" xr:uid="{00000000-0006-0000-0100-00001C0B0000}">
      <text>
        <r>
          <rPr>
            <sz val="11"/>
            <color theme="1"/>
            <rFont val="Calibri"/>
            <family val="2"/>
            <scheme val="minor"/>
          </rPr>
          <t>Introduzca un número con dos decimales como máximo. Debe ser igual o mayor a la "Cantidad Real Consumida"</t>
        </r>
      </text>
    </comment>
    <comment ref="E3205" authorId="1" shapeId="0" xr:uid="{00000000-0006-0000-0100-00001D0B0000}">
      <text>
        <r>
          <rPr>
            <sz val="11"/>
            <color theme="1"/>
            <rFont val="Calibri"/>
            <family val="2"/>
            <scheme val="minor"/>
          </rPr>
          <t>Introduzca un número con dos decimales como máximo</t>
        </r>
      </text>
    </comment>
    <comment ref="F3205" authorId="1" shapeId="0" xr:uid="{00000000-0006-0000-0100-00001E0B0000}">
      <text>
        <r>
          <rPr>
            <sz val="11"/>
            <color theme="1"/>
            <rFont val="Calibri"/>
            <family val="2"/>
            <scheme val="minor"/>
          </rPr>
          <t>Monto calculado automáticamente por el sistema</t>
        </r>
      </text>
    </comment>
    <comment ref="A3210" authorId="1" shapeId="0" xr:uid="{00000000-0006-0000-0100-00001F0B0000}">
      <text>
        <r>
          <rPr>
            <sz val="11"/>
            <color theme="1"/>
            <rFont val="Calibri"/>
            <family val="2"/>
            <scheme val="minor"/>
          </rPr>
          <t>Introducir un texto con el nombre o referencia de la contratación</t>
        </r>
      </text>
    </comment>
    <comment ref="B3210" authorId="1" shapeId="0" xr:uid="{00000000-0006-0000-0100-0000200B0000}">
      <text>
        <r>
          <rPr>
            <sz val="11"/>
            <color theme="1"/>
            <rFont val="Calibri"/>
            <family val="2"/>
            <scheme val="minor"/>
          </rPr>
          <t>Introduzca un texto con la finalidad de la contratación</t>
        </r>
      </text>
    </comment>
    <comment ref="C3210" authorId="1" shapeId="0" xr:uid="{00000000-0006-0000-0100-0000210B0000}">
      <text>
        <r>
          <rPr>
            <sz val="11"/>
            <color theme="1"/>
            <rFont val="Calibri"/>
            <family val="2"/>
            <scheme val="minor"/>
          </rPr>
          <t>Seleccionar un valor del listado</t>
        </r>
      </text>
    </comment>
    <comment ref="D3210" authorId="1" shapeId="0" xr:uid="{00000000-0006-0000-0100-0000220B0000}">
      <text>
        <r>
          <rPr>
            <sz val="11"/>
            <color theme="1"/>
            <rFont val="Calibri"/>
            <family val="2"/>
            <scheme val="minor"/>
          </rPr>
          <t>Seleccione el tipo de procedimiento</t>
        </r>
      </text>
    </comment>
    <comment ref="E3210" authorId="1" shapeId="0" xr:uid="{00000000-0006-0000-0100-0000230B0000}">
      <text>
        <r>
          <rPr>
            <sz val="11"/>
            <color theme="1"/>
            <rFont val="Calibri"/>
            <family val="2"/>
            <scheme val="minor"/>
          </rPr>
          <t>Seleccione un valor de la lista</t>
        </r>
      </text>
    </comment>
    <comment ref="F3210" authorId="1" shapeId="0" xr:uid="{00000000-0006-0000-0100-0000240B0000}">
      <text>
        <r>
          <rPr>
            <sz val="11"/>
            <color theme="1"/>
            <rFont val="Calibri"/>
            <family val="2"/>
            <scheme val="minor"/>
          </rPr>
          <t>Introduzca el código SNIP</t>
        </r>
      </text>
    </comment>
    <comment ref="C3211" authorId="1" shapeId="0" xr:uid="{00000000-0006-0000-0100-0000250B0000}">
      <text>
        <r>
          <rPr>
            <sz val="11"/>
            <color theme="1"/>
            <rFont val="Calibri"/>
            <family val="2"/>
            <scheme val="minor"/>
          </rPr>
          <t>Introduzca la fecha de inicio del proceso, en formato dd-mm-aaaa</t>
        </r>
      </text>
    </comment>
    <comment ref="F3211" authorId="1" shapeId="0" xr:uid="{00000000-0006-0000-0100-000027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12" authorId="1" shapeId="0" xr:uid="{00000000-0006-0000-0100-0000280B0000}">
      <text/>
    </comment>
    <comment ref="C3213" authorId="1" shapeId="0" xr:uid="{00000000-0006-0000-0100-0000260B0000}">
      <text>
        <r>
          <rPr>
            <sz val="11"/>
            <color theme="1"/>
            <rFont val="Calibri"/>
            <family val="2"/>
            <scheme val="minor"/>
          </rPr>
          <t>Introduzca la fecha prevista de adjudicación, en formato dd-mm-aaaa</t>
        </r>
      </text>
    </comment>
    <comment ref="F3213" authorId="1" shapeId="0" xr:uid="{00000000-0006-0000-0100-0000290B0000}">
      <text/>
    </comment>
    <comment ref="F3214" authorId="1" shapeId="0" xr:uid="{00000000-0006-0000-0100-00002A0B0000}">
      <text/>
    </comment>
    <comment ref="A3216" authorId="1" shapeId="0" xr:uid="{00000000-0006-0000-0100-00002B0B0000}">
      <text>
        <r>
          <rPr>
            <sz val="11"/>
            <color theme="1"/>
            <rFont val="Calibri"/>
            <family val="2"/>
            <scheme val="minor"/>
          </rPr>
          <t>Introduzca un codigo UNSPSC</t>
        </r>
      </text>
    </comment>
    <comment ref="B3216" authorId="1" shapeId="0" xr:uid="{00000000-0006-0000-0100-00002C0B0000}">
      <text>
        <r>
          <rPr>
            <sz val="11"/>
            <color theme="1"/>
            <rFont val="Calibri"/>
            <family val="2"/>
            <scheme val="minor"/>
          </rPr>
          <t>Descripción calculada automáticamente a partir de código del artículo</t>
        </r>
      </text>
    </comment>
    <comment ref="C3216" authorId="1" shapeId="0" xr:uid="{00000000-0006-0000-0100-00002D0B0000}">
      <text>
        <r>
          <rPr>
            <sz val="11"/>
            <color theme="1"/>
            <rFont val="Calibri"/>
            <family val="2"/>
            <scheme val="minor"/>
          </rPr>
          <t>Seleccione un valor de la lista</t>
        </r>
      </text>
    </comment>
    <comment ref="D3216" authorId="1" shapeId="0" xr:uid="{00000000-0006-0000-0100-00002E0B0000}">
      <text>
        <r>
          <rPr>
            <sz val="11"/>
            <color theme="1"/>
            <rFont val="Calibri"/>
            <family val="2"/>
            <scheme val="minor"/>
          </rPr>
          <t>Introduzca un número con dos decimales como máximo. Debe ser igual o mayor a la "Cantidad Real Consumida"</t>
        </r>
      </text>
    </comment>
    <comment ref="E3216" authorId="1" shapeId="0" xr:uid="{00000000-0006-0000-0100-00002F0B0000}">
      <text>
        <r>
          <rPr>
            <sz val="11"/>
            <color theme="1"/>
            <rFont val="Calibri"/>
            <family val="2"/>
            <scheme val="minor"/>
          </rPr>
          <t>Introduzca un número con dos decimales como máximo</t>
        </r>
      </text>
    </comment>
    <comment ref="F3216" authorId="1" shapeId="0" xr:uid="{00000000-0006-0000-0100-0000300B0000}">
      <text>
        <r>
          <rPr>
            <sz val="11"/>
            <color theme="1"/>
            <rFont val="Calibri"/>
            <family val="2"/>
            <scheme val="minor"/>
          </rPr>
          <t>Monto calculado automáticamente por el sistema</t>
        </r>
      </text>
    </comment>
    <comment ref="A3221" authorId="1" shapeId="0" xr:uid="{00000000-0006-0000-0100-0000310B0000}">
      <text>
        <r>
          <rPr>
            <sz val="11"/>
            <color theme="1"/>
            <rFont val="Calibri"/>
            <family val="2"/>
            <scheme val="minor"/>
          </rPr>
          <t>Introducir un texto con el nombre o referencia de la contratación</t>
        </r>
      </text>
    </comment>
    <comment ref="B3221" authorId="1" shapeId="0" xr:uid="{00000000-0006-0000-0100-0000320B0000}">
      <text>
        <r>
          <rPr>
            <sz val="11"/>
            <color theme="1"/>
            <rFont val="Calibri"/>
            <family val="2"/>
            <scheme val="minor"/>
          </rPr>
          <t>Introduzca un texto con la finalidad de la contratación</t>
        </r>
      </text>
    </comment>
    <comment ref="C3221" authorId="1" shapeId="0" xr:uid="{00000000-0006-0000-0100-0000330B0000}">
      <text>
        <r>
          <rPr>
            <sz val="11"/>
            <color theme="1"/>
            <rFont val="Calibri"/>
            <family val="2"/>
            <scheme val="minor"/>
          </rPr>
          <t>Seleccionar un valor del listado</t>
        </r>
      </text>
    </comment>
    <comment ref="D3221" authorId="1" shapeId="0" xr:uid="{00000000-0006-0000-0100-0000340B0000}">
      <text>
        <r>
          <rPr>
            <sz val="11"/>
            <color theme="1"/>
            <rFont val="Calibri"/>
            <family val="2"/>
            <scheme val="minor"/>
          </rPr>
          <t>Seleccione el tipo de procedimiento</t>
        </r>
      </text>
    </comment>
    <comment ref="E3221" authorId="1" shapeId="0" xr:uid="{00000000-0006-0000-0100-0000350B0000}">
      <text>
        <r>
          <rPr>
            <sz val="11"/>
            <color theme="1"/>
            <rFont val="Calibri"/>
            <family val="2"/>
            <scheme val="minor"/>
          </rPr>
          <t>Seleccione un valor de la lista</t>
        </r>
      </text>
    </comment>
    <comment ref="F3221" authorId="1" shapeId="0" xr:uid="{00000000-0006-0000-0100-0000360B0000}">
      <text>
        <r>
          <rPr>
            <sz val="11"/>
            <color theme="1"/>
            <rFont val="Calibri"/>
            <family val="2"/>
            <scheme val="minor"/>
          </rPr>
          <t>Introduzca el código SNIP</t>
        </r>
      </text>
    </comment>
    <comment ref="C3222" authorId="1" shapeId="0" xr:uid="{00000000-0006-0000-0100-0000370B0000}">
      <text>
        <r>
          <rPr>
            <sz val="11"/>
            <color theme="1"/>
            <rFont val="Calibri"/>
            <family val="2"/>
            <scheme val="minor"/>
          </rPr>
          <t>Introduzca la fecha de inicio del proceso, en formato dd-mm-aaaa</t>
        </r>
      </text>
    </comment>
    <comment ref="F3222" authorId="1" shapeId="0" xr:uid="{00000000-0006-0000-0100-000039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23" authorId="1" shapeId="0" xr:uid="{00000000-0006-0000-0100-00003A0B0000}">
      <text/>
    </comment>
    <comment ref="C3224" authorId="1" shapeId="0" xr:uid="{00000000-0006-0000-0100-0000380B0000}">
      <text>
        <r>
          <rPr>
            <sz val="11"/>
            <color theme="1"/>
            <rFont val="Calibri"/>
            <family val="2"/>
            <scheme val="minor"/>
          </rPr>
          <t>Introduzca la fecha prevista de adjudicación, en formato dd-mm-aaaa</t>
        </r>
      </text>
    </comment>
    <comment ref="F3224" authorId="1" shapeId="0" xr:uid="{00000000-0006-0000-0100-00003B0B0000}">
      <text/>
    </comment>
    <comment ref="F3225" authorId="1" shapeId="0" xr:uid="{00000000-0006-0000-0100-00003C0B0000}">
      <text/>
    </comment>
    <comment ref="A3227" authorId="1" shapeId="0" xr:uid="{00000000-0006-0000-0100-00003D0B0000}">
      <text>
        <r>
          <rPr>
            <sz val="11"/>
            <color theme="1"/>
            <rFont val="Calibri"/>
            <family val="2"/>
            <scheme val="minor"/>
          </rPr>
          <t>Introduzca un codigo UNSPSC</t>
        </r>
      </text>
    </comment>
    <comment ref="B3227" authorId="1" shapeId="0" xr:uid="{00000000-0006-0000-0100-00003E0B0000}">
      <text>
        <r>
          <rPr>
            <sz val="11"/>
            <color theme="1"/>
            <rFont val="Calibri"/>
            <family val="2"/>
            <scheme val="minor"/>
          </rPr>
          <t>Descripción calculada automáticamente a partir de código del artículo</t>
        </r>
      </text>
    </comment>
    <comment ref="C3227" authorId="1" shapeId="0" xr:uid="{00000000-0006-0000-0100-00003F0B0000}">
      <text>
        <r>
          <rPr>
            <sz val="11"/>
            <color theme="1"/>
            <rFont val="Calibri"/>
            <family val="2"/>
            <scheme val="minor"/>
          </rPr>
          <t>Seleccione un valor de la lista</t>
        </r>
      </text>
    </comment>
    <comment ref="D3227" authorId="1" shapeId="0" xr:uid="{00000000-0006-0000-0100-0000400B0000}">
      <text>
        <r>
          <rPr>
            <sz val="11"/>
            <color theme="1"/>
            <rFont val="Calibri"/>
            <family val="2"/>
            <scheme val="minor"/>
          </rPr>
          <t>Introduzca un número con dos decimales como máximo. Debe ser igual o mayor a la "Cantidad Real Consumida"</t>
        </r>
      </text>
    </comment>
    <comment ref="E3227" authorId="1" shapeId="0" xr:uid="{00000000-0006-0000-0100-0000410B0000}">
      <text>
        <r>
          <rPr>
            <sz val="11"/>
            <color theme="1"/>
            <rFont val="Calibri"/>
            <family val="2"/>
            <scheme val="minor"/>
          </rPr>
          <t>Introduzca un número con dos decimales como máximo</t>
        </r>
      </text>
    </comment>
    <comment ref="F3227" authorId="1" shapeId="0" xr:uid="{00000000-0006-0000-0100-0000420B0000}">
      <text>
        <r>
          <rPr>
            <sz val="11"/>
            <color theme="1"/>
            <rFont val="Calibri"/>
            <family val="2"/>
            <scheme val="minor"/>
          </rPr>
          <t>Monto calculado automáticamente por el sistema</t>
        </r>
      </text>
    </comment>
    <comment ref="A3232" authorId="1" shapeId="0" xr:uid="{00000000-0006-0000-0100-0000430B0000}">
      <text>
        <r>
          <rPr>
            <sz val="11"/>
            <color theme="1"/>
            <rFont val="Calibri"/>
            <family val="2"/>
            <scheme val="minor"/>
          </rPr>
          <t>Introducir un texto con el nombre o referencia de la contratación</t>
        </r>
      </text>
    </comment>
    <comment ref="B3232" authorId="1" shapeId="0" xr:uid="{00000000-0006-0000-0100-0000440B0000}">
      <text>
        <r>
          <rPr>
            <sz val="11"/>
            <color theme="1"/>
            <rFont val="Calibri"/>
            <family val="2"/>
            <scheme val="minor"/>
          </rPr>
          <t>Introduzca un texto con la finalidad de la contratación</t>
        </r>
      </text>
    </comment>
    <comment ref="C3232" authorId="1" shapeId="0" xr:uid="{00000000-0006-0000-0100-0000450B0000}">
      <text>
        <r>
          <rPr>
            <sz val="11"/>
            <color theme="1"/>
            <rFont val="Calibri"/>
            <family val="2"/>
            <scheme val="minor"/>
          </rPr>
          <t>Seleccionar un valor del listado</t>
        </r>
      </text>
    </comment>
    <comment ref="D3232" authorId="1" shapeId="0" xr:uid="{00000000-0006-0000-0100-0000460B0000}">
      <text>
        <r>
          <rPr>
            <sz val="11"/>
            <color theme="1"/>
            <rFont val="Calibri"/>
            <family val="2"/>
            <scheme val="minor"/>
          </rPr>
          <t>Seleccione el tipo de procedimiento</t>
        </r>
      </text>
    </comment>
    <comment ref="E3232" authorId="1" shapeId="0" xr:uid="{00000000-0006-0000-0100-0000470B0000}">
      <text>
        <r>
          <rPr>
            <sz val="11"/>
            <color theme="1"/>
            <rFont val="Calibri"/>
            <family val="2"/>
            <scheme val="minor"/>
          </rPr>
          <t>Seleccione un valor de la lista</t>
        </r>
      </text>
    </comment>
    <comment ref="F3232" authorId="1" shapeId="0" xr:uid="{00000000-0006-0000-0100-0000480B0000}">
      <text>
        <r>
          <rPr>
            <sz val="11"/>
            <color theme="1"/>
            <rFont val="Calibri"/>
            <family val="2"/>
            <scheme val="minor"/>
          </rPr>
          <t>Introduzca el código SNIP</t>
        </r>
      </text>
    </comment>
    <comment ref="C3233" authorId="1" shapeId="0" xr:uid="{00000000-0006-0000-0100-0000490B0000}">
      <text>
        <r>
          <rPr>
            <sz val="11"/>
            <color theme="1"/>
            <rFont val="Calibri"/>
            <family val="2"/>
            <scheme val="minor"/>
          </rPr>
          <t>Introduzca la fecha de inicio del proceso, en formato dd-mm-aaaa</t>
        </r>
      </text>
    </comment>
    <comment ref="F3233" authorId="1" shapeId="0" xr:uid="{00000000-0006-0000-0100-00004B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34" authorId="1" shapeId="0" xr:uid="{00000000-0006-0000-0100-00004C0B0000}">
      <text/>
    </comment>
    <comment ref="C3235" authorId="1" shapeId="0" xr:uid="{00000000-0006-0000-0100-00004A0B0000}">
      <text>
        <r>
          <rPr>
            <sz val="11"/>
            <color theme="1"/>
            <rFont val="Calibri"/>
            <family val="2"/>
            <scheme val="minor"/>
          </rPr>
          <t>Introduzca la fecha prevista de adjudicación, en formato dd-mm-aaaa</t>
        </r>
      </text>
    </comment>
    <comment ref="F3235" authorId="1" shapeId="0" xr:uid="{00000000-0006-0000-0100-00004D0B0000}">
      <text/>
    </comment>
    <comment ref="F3236" authorId="1" shapeId="0" xr:uid="{00000000-0006-0000-0100-00004E0B0000}">
      <text/>
    </comment>
    <comment ref="A3238" authorId="1" shapeId="0" xr:uid="{00000000-0006-0000-0100-00004F0B0000}">
      <text>
        <r>
          <rPr>
            <sz val="11"/>
            <color theme="1"/>
            <rFont val="Calibri"/>
            <family val="2"/>
            <scheme val="minor"/>
          </rPr>
          <t>Introduzca un codigo UNSPSC</t>
        </r>
      </text>
    </comment>
    <comment ref="B3238" authorId="1" shapeId="0" xr:uid="{00000000-0006-0000-0100-0000500B0000}">
      <text>
        <r>
          <rPr>
            <sz val="11"/>
            <color theme="1"/>
            <rFont val="Calibri"/>
            <family val="2"/>
            <scheme val="minor"/>
          </rPr>
          <t>Descripción calculada automáticamente a partir de código del artículo</t>
        </r>
      </text>
    </comment>
    <comment ref="C3238" authorId="1" shapeId="0" xr:uid="{00000000-0006-0000-0100-0000510B0000}">
      <text>
        <r>
          <rPr>
            <sz val="11"/>
            <color theme="1"/>
            <rFont val="Calibri"/>
            <family val="2"/>
            <scheme val="minor"/>
          </rPr>
          <t>Seleccione un valor de la lista</t>
        </r>
      </text>
    </comment>
    <comment ref="D3238" authorId="1" shapeId="0" xr:uid="{00000000-0006-0000-0100-0000520B0000}">
      <text>
        <r>
          <rPr>
            <sz val="11"/>
            <color theme="1"/>
            <rFont val="Calibri"/>
            <family val="2"/>
            <scheme val="minor"/>
          </rPr>
          <t>Introduzca un número con dos decimales como máximo. Debe ser igual o mayor a la "Cantidad Real Consumida"</t>
        </r>
      </text>
    </comment>
    <comment ref="E3238" authorId="1" shapeId="0" xr:uid="{00000000-0006-0000-0100-0000530B0000}">
      <text>
        <r>
          <rPr>
            <sz val="11"/>
            <color theme="1"/>
            <rFont val="Calibri"/>
            <family val="2"/>
            <scheme val="minor"/>
          </rPr>
          <t>Introduzca un número con dos decimales como máximo</t>
        </r>
      </text>
    </comment>
    <comment ref="F3238" authorId="1" shapeId="0" xr:uid="{00000000-0006-0000-0100-0000540B0000}">
      <text>
        <r>
          <rPr>
            <sz val="11"/>
            <color theme="1"/>
            <rFont val="Calibri"/>
            <family val="2"/>
            <scheme val="minor"/>
          </rPr>
          <t>Monto calculado automáticamente por el sistema</t>
        </r>
      </text>
    </comment>
    <comment ref="A3243" authorId="1" shapeId="0" xr:uid="{00000000-0006-0000-0100-0000550B0000}">
      <text>
        <r>
          <rPr>
            <sz val="11"/>
            <color theme="1"/>
            <rFont val="Calibri"/>
            <family val="2"/>
            <scheme val="minor"/>
          </rPr>
          <t>Introducir un texto con el nombre o referencia de la contratación</t>
        </r>
      </text>
    </comment>
    <comment ref="B3243" authorId="1" shapeId="0" xr:uid="{00000000-0006-0000-0100-0000560B0000}">
      <text>
        <r>
          <rPr>
            <sz val="11"/>
            <color theme="1"/>
            <rFont val="Calibri"/>
            <family val="2"/>
            <scheme val="minor"/>
          </rPr>
          <t>Introduzca un texto con la finalidad de la contratación</t>
        </r>
      </text>
    </comment>
    <comment ref="C3243" authorId="1" shapeId="0" xr:uid="{00000000-0006-0000-0100-0000570B0000}">
      <text>
        <r>
          <rPr>
            <sz val="11"/>
            <color theme="1"/>
            <rFont val="Calibri"/>
            <family val="2"/>
            <scheme val="minor"/>
          </rPr>
          <t>Seleccionar un valor del listado</t>
        </r>
      </text>
    </comment>
    <comment ref="D3243" authorId="1" shapeId="0" xr:uid="{00000000-0006-0000-0100-0000580B0000}">
      <text>
        <r>
          <rPr>
            <sz val="11"/>
            <color theme="1"/>
            <rFont val="Calibri"/>
            <family val="2"/>
            <scheme val="minor"/>
          </rPr>
          <t>Seleccione el tipo de procedimiento</t>
        </r>
      </text>
    </comment>
    <comment ref="E3243" authorId="1" shapeId="0" xr:uid="{00000000-0006-0000-0100-0000590B0000}">
      <text>
        <r>
          <rPr>
            <sz val="11"/>
            <color theme="1"/>
            <rFont val="Calibri"/>
            <family val="2"/>
            <scheme val="minor"/>
          </rPr>
          <t>Seleccione un valor de la lista</t>
        </r>
      </text>
    </comment>
    <comment ref="F3243" authorId="1" shapeId="0" xr:uid="{00000000-0006-0000-0100-00005A0B0000}">
      <text>
        <r>
          <rPr>
            <sz val="11"/>
            <color theme="1"/>
            <rFont val="Calibri"/>
            <family val="2"/>
            <scheme val="minor"/>
          </rPr>
          <t>Introduzca el código SNIP</t>
        </r>
      </text>
    </comment>
    <comment ref="C3244" authorId="1" shapeId="0" xr:uid="{00000000-0006-0000-0100-00005B0B0000}">
      <text>
        <r>
          <rPr>
            <sz val="11"/>
            <color theme="1"/>
            <rFont val="Calibri"/>
            <family val="2"/>
            <scheme val="minor"/>
          </rPr>
          <t>Introduzca la fecha de inicio del proceso, en formato dd-mm-aaaa</t>
        </r>
      </text>
    </comment>
    <comment ref="F3244" authorId="1" shapeId="0" xr:uid="{00000000-0006-0000-0100-00005D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45" authorId="1" shapeId="0" xr:uid="{00000000-0006-0000-0100-00005E0B0000}">
      <text/>
    </comment>
    <comment ref="C3246" authorId="1" shapeId="0" xr:uid="{00000000-0006-0000-0100-00005C0B0000}">
      <text>
        <r>
          <rPr>
            <sz val="11"/>
            <color theme="1"/>
            <rFont val="Calibri"/>
            <family val="2"/>
            <scheme val="minor"/>
          </rPr>
          <t>Introduzca la fecha prevista de adjudicación, en formato dd-mm-aaaa</t>
        </r>
      </text>
    </comment>
    <comment ref="F3246" authorId="1" shapeId="0" xr:uid="{00000000-0006-0000-0100-00005F0B0000}">
      <text/>
    </comment>
    <comment ref="F3247" authorId="1" shapeId="0" xr:uid="{00000000-0006-0000-0100-0000600B0000}">
      <text/>
    </comment>
    <comment ref="A3249" authorId="1" shapeId="0" xr:uid="{00000000-0006-0000-0100-0000610B0000}">
      <text>
        <r>
          <rPr>
            <sz val="11"/>
            <color theme="1"/>
            <rFont val="Calibri"/>
            <family val="2"/>
            <scheme val="minor"/>
          </rPr>
          <t>Introduzca un codigo UNSPSC</t>
        </r>
      </text>
    </comment>
    <comment ref="B3249" authorId="1" shapeId="0" xr:uid="{00000000-0006-0000-0100-0000620B0000}">
      <text>
        <r>
          <rPr>
            <sz val="11"/>
            <color theme="1"/>
            <rFont val="Calibri"/>
            <family val="2"/>
            <scheme val="minor"/>
          </rPr>
          <t>Descripción calculada automáticamente a partir de código del artículo</t>
        </r>
      </text>
    </comment>
    <comment ref="C3249" authorId="1" shapeId="0" xr:uid="{00000000-0006-0000-0100-0000630B0000}">
      <text>
        <r>
          <rPr>
            <sz val="11"/>
            <color theme="1"/>
            <rFont val="Calibri"/>
            <family val="2"/>
            <scheme val="minor"/>
          </rPr>
          <t>Seleccione un valor de la lista</t>
        </r>
      </text>
    </comment>
    <comment ref="D3249" authorId="1" shapeId="0" xr:uid="{00000000-0006-0000-0100-0000640B0000}">
      <text>
        <r>
          <rPr>
            <sz val="11"/>
            <color theme="1"/>
            <rFont val="Calibri"/>
            <family val="2"/>
            <scheme val="minor"/>
          </rPr>
          <t>Introduzca un número con dos decimales como máximo. Debe ser igual o mayor a la "Cantidad Real Consumida"</t>
        </r>
      </text>
    </comment>
    <comment ref="E3249" authorId="1" shapeId="0" xr:uid="{00000000-0006-0000-0100-0000650B0000}">
      <text>
        <r>
          <rPr>
            <sz val="11"/>
            <color theme="1"/>
            <rFont val="Calibri"/>
            <family val="2"/>
            <scheme val="minor"/>
          </rPr>
          <t>Introduzca un número con dos decimales como máximo</t>
        </r>
      </text>
    </comment>
    <comment ref="F3249" authorId="1" shapeId="0" xr:uid="{00000000-0006-0000-0100-0000660B0000}">
      <text>
        <r>
          <rPr>
            <sz val="11"/>
            <color theme="1"/>
            <rFont val="Calibri"/>
            <family val="2"/>
            <scheme val="minor"/>
          </rPr>
          <t>Monto calculado automáticamente por el sistema</t>
        </r>
      </text>
    </comment>
    <comment ref="A3254" authorId="1" shapeId="0" xr:uid="{00000000-0006-0000-0100-0000670B0000}">
      <text>
        <r>
          <rPr>
            <sz val="11"/>
            <color theme="1"/>
            <rFont val="Calibri"/>
            <family val="2"/>
            <scheme val="minor"/>
          </rPr>
          <t>Introducir un texto con el nombre o referencia de la contratación</t>
        </r>
      </text>
    </comment>
    <comment ref="B3254" authorId="1" shapeId="0" xr:uid="{00000000-0006-0000-0100-0000680B0000}">
      <text>
        <r>
          <rPr>
            <sz val="11"/>
            <color theme="1"/>
            <rFont val="Calibri"/>
            <family val="2"/>
            <scheme val="minor"/>
          </rPr>
          <t>Introduzca un texto con la finalidad de la contratación</t>
        </r>
      </text>
    </comment>
    <comment ref="C3254" authorId="1" shapeId="0" xr:uid="{00000000-0006-0000-0100-0000690B0000}">
      <text>
        <r>
          <rPr>
            <sz val="11"/>
            <color theme="1"/>
            <rFont val="Calibri"/>
            <family val="2"/>
            <scheme val="minor"/>
          </rPr>
          <t>Seleccionar un valor del listado</t>
        </r>
      </text>
    </comment>
    <comment ref="D3254" authorId="1" shapeId="0" xr:uid="{00000000-0006-0000-0100-00006A0B0000}">
      <text>
        <r>
          <rPr>
            <sz val="11"/>
            <color theme="1"/>
            <rFont val="Calibri"/>
            <family val="2"/>
            <scheme val="minor"/>
          </rPr>
          <t>Seleccione el tipo de procedimiento</t>
        </r>
      </text>
    </comment>
    <comment ref="E3254" authorId="1" shapeId="0" xr:uid="{00000000-0006-0000-0100-00006B0B0000}">
      <text>
        <r>
          <rPr>
            <sz val="11"/>
            <color theme="1"/>
            <rFont val="Calibri"/>
            <family val="2"/>
            <scheme val="minor"/>
          </rPr>
          <t>Seleccione un valor de la lista</t>
        </r>
      </text>
    </comment>
    <comment ref="F3254" authorId="1" shapeId="0" xr:uid="{00000000-0006-0000-0100-00006C0B0000}">
      <text>
        <r>
          <rPr>
            <sz val="11"/>
            <color theme="1"/>
            <rFont val="Calibri"/>
            <family val="2"/>
            <scheme val="minor"/>
          </rPr>
          <t>Introduzca el código SNIP</t>
        </r>
      </text>
    </comment>
    <comment ref="C3255" authorId="1" shapeId="0" xr:uid="{00000000-0006-0000-0100-00006D0B0000}">
      <text>
        <r>
          <rPr>
            <sz val="11"/>
            <color theme="1"/>
            <rFont val="Calibri"/>
            <family val="2"/>
            <scheme val="minor"/>
          </rPr>
          <t>Introduzca la fecha de inicio del proceso, en formato dd-mm-aaaa</t>
        </r>
      </text>
    </comment>
    <comment ref="F3255" authorId="1" shapeId="0" xr:uid="{00000000-0006-0000-0100-00006F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56" authorId="1" shapeId="0" xr:uid="{00000000-0006-0000-0100-0000700B0000}">
      <text/>
    </comment>
    <comment ref="C3257" authorId="1" shapeId="0" xr:uid="{00000000-0006-0000-0100-00006E0B0000}">
      <text>
        <r>
          <rPr>
            <sz val="11"/>
            <color theme="1"/>
            <rFont val="Calibri"/>
            <family val="2"/>
            <scheme val="minor"/>
          </rPr>
          <t>Introduzca la fecha prevista de adjudicación, en formato dd-mm-aaaa</t>
        </r>
      </text>
    </comment>
    <comment ref="F3257" authorId="1" shapeId="0" xr:uid="{00000000-0006-0000-0100-0000710B0000}">
      <text/>
    </comment>
    <comment ref="F3258" authorId="1" shapeId="0" xr:uid="{00000000-0006-0000-0100-0000720B0000}">
      <text/>
    </comment>
    <comment ref="A3260" authorId="1" shapeId="0" xr:uid="{00000000-0006-0000-0100-0000730B0000}">
      <text>
        <r>
          <rPr>
            <sz val="11"/>
            <color theme="1"/>
            <rFont val="Calibri"/>
            <family val="2"/>
            <scheme val="minor"/>
          </rPr>
          <t>Introduzca un codigo UNSPSC</t>
        </r>
      </text>
    </comment>
    <comment ref="B3260" authorId="1" shapeId="0" xr:uid="{00000000-0006-0000-0100-0000740B0000}">
      <text>
        <r>
          <rPr>
            <sz val="11"/>
            <color theme="1"/>
            <rFont val="Calibri"/>
            <family val="2"/>
            <scheme val="minor"/>
          </rPr>
          <t>Descripción calculada automáticamente a partir de código del artículo</t>
        </r>
      </text>
    </comment>
    <comment ref="C3260" authorId="1" shapeId="0" xr:uid="{00000000-0006-0000-0100-0000750B0000}">
      <text>
        <r>
          <rPr>
            <sz val="11"/>
            <color theme="1"/>
            <rFont val="Calibri"/>
            <family val="2"/>
            <scheme val="minor"/>
          </rPr>
          <t>Seleccione un valor de la lista</t>
        </r>
      </text>
    </comment>
    <comment ref="D3260" authorId="1" shapeId="0" xr:uid="{00000000-0006-0000-0100-0000760B0000}">
      <text>
        <r>
          <rPr>
            <sz val="11"/>
            <color theme="1"/>
            <rFont val="Calibri"/>
            <family val="2"/>
            <scheme val="minor"/>
          </rPr>
          <t>Introduzca un número con dos decimales como máximo. Debe ser igual o mayor a la "Cantidad Real Consumida"</t>
        </r>
      </text>
    </comment>
    <comment ref="E3260" authorId="1" shapeId="0" xr:uid="{00000000-0006-0000-0100-0000770B0000}">
      <text>
        <r>
          <rPr>
            <sz val="11"/>
            <color theme="1"/>
            <rFont val="Calibri"/>
            <family val="2"/>
            <scheme val="minor"/>
          </rPr>
          <t>Introduzca un número con dos decimales como máximo</t>
        </r>
      </text>
    </comment>
    <comment ref="F3260" authorId="1" shapeId="0" xr:uid="{00000000-0006-0000-0100-0000780B0000}">
      <text>
        <r>
          <rPr>
            <sz val="11"/>
            <color theme="1"/>
            <rFont val="Calibri"/>
            <family val="2"/>
            <scheme val="minor"/>
          </rPr>
          <t>Monto calculado automáticamente por el sistema</t>
        </r>
      </text>
    </comment>
    <comment ref="A3279" authorId="1" shapeId="0" xr:uid="{00000000-0006-0000-0100-0000790B0000}">
      <text>
        <r>
          <rPr>
            <sz val="11"/>
            <color theme="1"/>
            <rFont val="Calibri"/>
            <family val="2"/>
            <scheme val="minor"/>
          </rPr>
          <t>Introducir un texto con el nombre o referencia de la contratación</t>
        </r>
      </text>
    </comment>
    <comment ref="B3279" authorId="1" shapeId="0" xr:uid="{00000000-0006-0000-0100-00007A0B0000}">
      <text>
        <r>
          <rPr>
            <sz val="11"/>
            <color theme="1"/>
            <rFont val="Calibri"/>
            <family val="2"/>
            <scheme val="minor"/>
          </rPr>
          <t>Introduzca un texto con la finalidad de la contratación</t>
        </r>
      </text>
    </comment>
    <comment ref="C3279" authorId="1" shapeId="0" xr:uid="{00000000-0006-0000-0100-00007B0B0000}">
      <text>
        <r>
          <rPr>
            <sz val="11"/>
            <color theme="1"/>
            <rFont val="Calibri"/>
            <family val="2"/>
            <scheme val="minor"/>
          </rPr>
          <t>Seleccionar un valor del listado</t>
        </r>
      </text>
    </comment>
    <comment ref="D3279" authorId="1" shapeId="0" xr:uid="{00000000-0006-0000-0100-00007C0B0000}">
      <text>
        <r>
          <rPr>
            <sz val="11"/>
            <color theme="1"/>
            <rFont val="Calibri"/>
            <family val="2"/>
            <scheme val="minor"/>
          </rPr>
          <t>Seleccione el tipo de procedimiento</t>
        </r>
      </text>
    </comment>
    <comment ref="E3279" authorId="1" shapeId="0" xr:uid="{00000000-0006-0000-0100-00007D0B0000}">
      <text>
        <r>
          <rPr>
            <sz val="11"/>
            <color theme="1"/>
            <rFont val="Calibri"/>
            <family val="2"/>
            <scheme val="minor"/>
          </rPr>
          <t>Seleccione un valor de la lista</t>
        </r>
      </text>
    </comment>
    <comment ref="F3279" authorId="1" shapeId="0" xr:uid="{00000000-0006-0000-0100-00007E0B0000}">
      <text>
        <r>
          <rPr>
            <sz val="11"/>
            <color theme="1"/>
            <rFont val="Calibri"/>
            <family val="2"/>
            <scheme val="minor"/>
          </rPr>
          <t>Introduzca el código SNIP</t>
        </r>
      </text>
    </comment>
    <comment ref="C3280" authorId="1" shapeId="0" xr:uid="{00000000-0006-0000-0100-00007F0B0000}">
      <text>
        <r>
          <rPr>
            <sz val="11"/>
            <color theme="1"/>
            <rFont val="Calibri"/>
            <family val="2"/>
            <scheme val="minor"/>
          </rPr>
          <t>Introduzca la fecha de inicio del proceso, en formato dd-mm-aaaa</t>
        </r>
      </text>
    </comment>
    <comment ref="F3280" authorId="1" shapeId="0" xr:uid="{00000000-0006-0000-0100-000081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81" authorId="1" shapeId="0" xr:uid="{00000000-0006-0000-0100-0000820B0000}">
      <text/>
    </comment>
    <comment ref="C3282" authorId="1" shapeId="0" xr:uid="{00000000-0006-0000-0100-0000800B0000}">
      <text>
        <r>
          <rPr>
            <sz val="11"/>
            <color theme="1"/>
            <rFont val="Calibri"/>
            <family val="2"/>
            <scheme val="minor"/>
          </rPr>
          <t>Introduzca la fecha prevista de adjudicación, en formato dd-mm-aaaa</t>
        </r>
      </text>
    </comment>
    <comment ref="F3282" authorId="1" shapeId="0" xr:uid="{00000000-0006-0000-0100-0000830B0000}">
      <text/>
    </comment>
    <comment ref="F3283" authorId="1" shapeId="0" xr:uid="{00000000-0006-0000-0100-0000840B0000}">
      <text/>
    </comment>
    <comment ref="A3285" authorId="1" shapeId="0" xr:uid="{00000000-0006-0000-0100-0000850B0000}">
      <text>
        <r>
          <rPr>
            <sz val="11"/>
            <color theme="1"/>
            <rFont val="Calibri"/>
            <family val="2"/>
            <scheme val="minor"/>
          </rPr>
          <t>Introduzca un codigo UNSPSC</t>
        </r>
      </text>
    </comment>
    <comment ref="B3285" authorId="1" shapeId="0" xr:uid="{00000000-0006-0000-0100-0000860B0000}">
      <text>
        <r>
          <rPr>
            <sz val="11"/>
            <color theme="1"/>
            <rFont val="Calibri"/>
            <family val="2"/>
            <scheme val="minor"/>
          </rPr>
          <t>Descripción calculada automáticamente a partir de código del artículo</t>
        </r>
      </text>
    </comment>
    <comment ref="C3285" authorId="1" shapeId="0" xr:uid="{00000000-0006-0000-0100-0000870B0000}">
      <text>
        <r>
          <rPr>
            <sz val="11"/>
            <color theme="1"/>
            <rFont val="Calibri"/>
            <family val="2"/>
            <scheme val="minor"/>
          </rPr>
          <t>Seleccione un valor de la lista</t>
        </r>
      </text>
    </comment>
    <comment ref="D3285" authorId="1" shapeId="0" xr:uid="{00000000-0006-0000-0100-0000880B0000}">
      <text>
        <r>
          <rPr>
            <sz val="11"/>
            <color theme="1"/>
            <rFont val="Calibri"/>
            <family val="2"/>
            <scheme val="minor"/>
          </rPr>
          <t>Introduzca un número con dos decimales como máximo. Debe ser igual o mayor a la "Cantidad Real Consumida"</t>
        </r>
      </text>
    </comment>
    <comment ref="E3285" authorId="1" shapeId="0" xr:uid="{00000000-0006-0000-0100-0000890B0000}">
      <text>
        <r>
          <rPr>
            <sz val="11"/>
            <color theme="1"/>
            <rFont val="Calibri"/>
            <family val="2"/>
            <scheme val="minor"/>
          </rPr>
          <t>Introduzca un número con dos decimales como máximo</t>
        </r>
      </text>
    </comment>
    <comment ref="F3285" authorId="1" shapeId="0" xr:uid="{00000000-0006-0000-0100-00008A0B0000}">
      <text>
        <r>
          <rPr>
            <sz val="11"/>
            <color theme="1"/>
            <rFont val="Calibri"/>
            <family val="2"/>
            <scheme val="minor"/>
          </rPr>
          <t>Monto calculado automáticamente por el sistema</t>
        </r>
      </text>
    </comment>
    <comment ref="A3290" authorId="1" shapeId="0" xr:uid="{00000000-0006-0000-0100-00008B0B0000}">
      <text>
        <r>
          <rPr>
            <sz val="11"/>
            <color theme="1"/>
            <rFont val="Calibri"/>
            <family val="2"/>
            <scheme val="minor"/>
          </rPr>
          <t>Introducir un texto con el nombre o referencia de la contratación</t>
        </r>
      </text>
    </comment>
    <comment ref="B3290" authorId="1" shapeId="0" xr:uid="{00000000-0006-0000-0100-00008C0B0000}">
      <text>
        <r>
          <rPr>
            <sz val="11"/>
            <color theme="1"/>
            <rFont val="Calibri"/>
            <family val="2"/>
            <scheme val="minor"/>
          </rPr>
          <t>Introduzca un texto con la finalidad de la contratación</t>
        </r>
      </text>
    </comment>
    <comment ref="C3290" authorId="1" shapeId="0" xr:uid="{00000000-0006-0000-0100-00008D0B0000}">
      <text>
        <r>
          <rPr>
            <sz val="11"/>
            <color theme="1"/>
            <rFont val="Calibri"/>
            <family val="2"/>
            <scheme val="minor"/>
          </rPr>
          <t>Seleccionar un valor del listado</t>
        </r>
      </text>
    </comment>
    <comment ref="D3290" authorId="1" shapeId="0" xr:uid="{00000000-0006-0000-0100-00008E0B0000}">
      <text>
        <r>
          <rPr>
            <sz val="11"/>
            <color theme="1"/>
            <rFont val="Calibri"/>
            <family val="2"/>
            <scheme val="minor"/>
          </rPr>
          <t>Seleccione el tipo de procedimiento</t>
        </r>
      </text>
    </comment>
    <comment ref="E3290" authorId="1" shapeId="0" xr:uid="{00000000-0006-0000-0100-00008F0B0000}">
      <text>
        <r>
          <rPr>
            <sz val="11"/>
            <color theme="1"/>
            <rFont val="Calibri"/>
            <family val="2"/>
            <scheme val="minor"/>
          </rPr>
          <t>Seleccione un valor de la lista</t>
        </r>
      </text>
    </comment>
    <comment ref="F3290" authorId="1" shapeId="0" xr:uid="{00000000-0006-0000-0100-0000900B0000}">
      <text>
        <r>
          <rPr>
            <sz val="11"/>
            <color theme="1"/>
            <rFont val="Calibri"/>
            <family val="2"/>
            <scheme val="minor"/>
          </rPr>
          <t>Introduzca el código SNIP</t>
        </r>
      </text>
    </comment>
    <comment ref="C3291" authorId="1" shapeId="0" xr:uid="{00000000-0006-0000-0100-0000910B0000}">
      <text>
        <r>
          <rPr>
            <sz val="11"/>
            <color theme="1"/>
            <rFont val="Calibri"/>
            <family val="2"/>
            <scheme val="minor"/>
          </rPr>
          <t>Introduzca la fecha de inicio del proceso, en formato dd-mm-aaaa</t>
        </r>
      </text>
    </comment>
    <comment ref="F3291" authorId="1" shapeId="0" xr:uid="{00000000-0006-0000-0100-000093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92" authorId="1" shapeId="0" xr:uid="{00000000-0006-0000-0100-0000940B0000}">
      <text/>
    </comment>
    <comment ref="C3293" authorId="1" shapeId="0" xr:uid="{00000000-0006-0000-0100-0000920B0000}">
      <text>
        <r>
          <rPr>
            <sz val="11"/>
            <color theme="1"/>
            <rFont val="Calibri"/>
            <family val="2"/>
            <scheme val="minor"/>
          </rPr>
          <t>Introduzca la fecha prevista de adjudicación, en formato dd-mm-aaaa</t>
        </r>
      </text>
    </comment>
    <comment ref="F3293" authorId="1" shapeId="0" xr:uid="{00000000-0006-0000-0100-0000950B0000}">
      <text/>
    </comment>
    <comment ref="F3294" authorId="1" shapeId="0" xr:uid="{00000000-0006-0000-0100-0000960B0000}">
      <text/>
    </comment>
    <comment ref="A3296" authorId="1" shapeId="0" xr:uid="{00000000-0006-0000-0100-0000970B0000}">
      <text>
        <r>
          <rPr>
            <sz val="11"/>
            <color theme="1"/>
            <rFont val="Calibri"/>
            <family val="2"/>
            <scheme val="minor"/>
          </rPr>
          <t>Introduzca un codigo UNSPSC</t>
        </r>
      </text>
    </comment>
    <comment ref="B3296" authorId="1" shapeId="0" xr:uid="{00000000-0006-0000-0100-0000980B0000}">
      <text>
        <r>
          <rPr>
            <sz val="11"/>
            <color theme="1"/>
            <rFont val="Calibri"/>
            <family val="2"/>
            <scheme val="minor"/>
          </rPr>
          <t>Descripción calculada automáticamente a partir de código del artículo</t>
        </r>
      </text>
    </comment>
    <comment ref="C3296" authorId="1" shapeId="0" xr:uid="{00000000-0006-0000-0100-0000990B0000}">
      <text>
        <r>
          <rPr>
            <sz val="11"/>
            <color theme="1"/>
            <rFont val="Calibri"/>
            <family val="2"/>
            <scheme val="minor"/>
          </rPr>
          <t>Seleccione un valor de la lista</t>
        </r>
      </text>
    </comment>
    <comment ref="D3296" authorId="1" shapeId="0" xr:uid="{00000000-0006-0000-0100-00009A0B0000}">
      <text>
        <r>
          <rPr>
            <sz val="11"/>
            <color theme="1"/>
            <rFont val="Calibri"/>
            <family val="2"/>
            <scheme val="minor"/>
          </rPr>
          <t>Introduzca un número con dos decimales como máximo. Debe ser igual o mayor a la "Cantidad Real Consumida"</t>
        </r>
      </text>
    </comment>
    <comment ref="E3296" authorId="1" shapeId="0" xr:uid="{00000000-0006-0000-0100-00009B0B0000}">
      <text>
        <r>
          <rPr>
            <sz val="11"/>
            <color theme="1"/>
            <rFont val="Calibri"/>
            <family val="2"/>
            <scheme val="minor"/>
          </rPr>
          <t>Introduzca un número con dos decimales como máximo</t>
        </r>
      </text>
    </comment>
    <comment ref="F3296" authorId="1" shapeId="0" xr:uid="{00000000-0006-0000-0100-00009C0B0000}">
      <text>
        <r>
          <rPr>
            <sz val="11"/>
            <color theme="1"/>
            <rFont val="Calibri"/>
            <family val="2"/>
            <scheme val="minor"/>
          </rPr>
          <t>Monto calculado automáticamente por el sistema</t>
        </r>
      </text>
    </comment>
    <comment ref="A3375" authorId="1" shapeId="0" xr:uid="{00000000-0006-0000-0100-00009D0B0000}">
      <text>
        <r>
          <rPr>
            <sz val="11"/>
            <color theme="1"/>
            <rFont val="Calibri"/>
            <family val="2"/>
            <scheme val="minor"/>
          </rPr>
          <t>Introducir un texto con el nombre o referencia de la contratación</t>
        </r>
      </text>
    </comment>
    <comment ref="B3375" authorId="1" shapeId="0" xr:uid="{00000000-0006-0000-0100-00009E0B0000}">
      <text>
        <r>
          <rPr>
            <sz val="11"/>
            <color theme="1"/>
            <rFont val="Calibri"/>
            <family val="2"/>
            <scheme val="minor"/>
          </rPr>
          <t>Introduzca un texto con la finalidad de la contratación</t>
        </r>
      </text>
    </comment>
    <comment ref="C3375" authorId="1" shapeId="0" xr:uid="{00000000-0006-0000-0100-00009F0B0000}">
      <text>
        <r>
          <rPr>
            <sz val="11"/>
            <color theme="1"/>
            <rFont val="Calibri"/>
            <family val="2"/>
            <scheme val="minor"/>
          </rPr>
          <t>Seleccionar un valor del listado</t>
        </r>
      </text>
    </comment>
    <comment ref="D3375" authorId="1" shapeId="0" xr:uid="{00000000-0006-0000-0100-0000A00B0000}">
      <text>
        <r>
          <rPr>
            <sz val="11"/>
            <color theme="1"/>
            <rFont val="Calibri"/>
            <family val="2"/>
            <scheme val="minor"/>
          </rPr>
          <t>Seleccione el tipo de procedimiento</t>
        </r>
      </text>
    </comment>
    <comment ref="E3375" authorId="1" shapeId="0" xr:uid="{00000000-0006-0000-0100-0000A10B0000}">
      <text>
        <r>
          <rPr>
            <sz val="11"/>
            <color theme="1"/>
            <rFont val="Calibri"/>
            <family val="2"/>
            <scheme val="minor"/>
          </rPr>
          <t>Seleccione un valor de la lista</t>
        </r>
      </text>
    </comment>
    <comment ref="F3375" authorId="1" shapeId="0" xr:uid="{00000000-0006-0000-0100-0000A20B0000}">
      <text>
        <r>
          <rPr>
            <sz val="11"/>
            <color theme="1"/>
            <rFont val="Calibri"/>
            <family val="2"/>
            <scheme val="minor"/>
          </rPr>
          <t>Introduzca el código SNIP</t>
        </r>
      </text>
    </comment>
    <comment ref="C3376" authorId="1" shapeId="0" xr:uid="{00000000-0006-0000-0100-0000A30B0000}">
      <text>
        <r>
          <rPr>
            <sz val="11"/>
            <color theme="1"/>
            <rFont val="Calibri"/>
            <family val="2"/>
            <scheme val="minor"/>
          </rPr>
          <t>Introduzca la fecha de inicio del proceso, en formato dd-mm-aaaa</t>
        </r>
      </text>
    </comment>
    <comment ref="F3376" authorId="1" shapeId="0" xr:uid="{00000000-0006-0000-0100-0000A5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77" authorId="1" shapeId="0" xr:uid="{00000000-0006-0000-0100-0000A60B0000}">
      <text/>
    </comment>
    <comment ref="C3378" authorId="1" shapeId="0" xr:uid="{00000000-0006-0000-0100-0000A40B0000}">
      <text>
        <r>
          <rPr>
            <sz val="11"/>
            <color theme="1"/>
            <rFont val="Calibri"/>
            <family val="2"/>
            <scheme val="minor"/>
          </rPr>
          <t>Introduzca la fecha prevista de adjudicación, en formato dd-mm-aaaa</t>
        </r>
      </text>
    </comment>
    <comment ref="F3378" authorId="1" shapeId="0" xr:uid="{00000000-0006-0000-0100-0000A70B0000}">
      <text/>
    </comment>
    <comment ref="F3379" authorId="1" shapeId="0" xr:uid="{00000000-0006-0000-0100-0000A80B0000}">
      <text/>
    </comment>
    <comment ref="A3381" authorId="1" shapeId="0" xr:uid="{00000000-0006-0000-0100-0000A90B0000}">
      <text>
        <r>
          <rPr>
            <sz val="11"/>
            <color theme="1"/>
            <rFont val="Calibri"/>
            <family val="2"/>
            <scheme val="minor"/>
          </rPr>
          <t>Introduzca un codigo UNSPSC</t>
        </r>
      </text>
    </comment>
    <comment ref="B3381" authorId="1" shapeId="0" xr:uid="{00000000-0006-0000-0100-0000AA0B0000}">
      <text>
        <r>
          <rPr>
            <sz val="11"/>
            <color theme="1"/>
            <rFont val="Calibri"/>
            <family val="2"/>
            <scheme val="minor"/>
          </rPr>
          <t>Descripción calculada automáticamente a partir de código del artículo</t>
        </r>
      </text>
    </comment>
    <comment ref="C3381" authorId="1" shapeId="0" xr:uid="{00000000-0006-0000-0100-0000AB0B0000}">
      <text>
        <r>
          <rPr>
            <sz val="11"/>
            <color theme="1"/>
            <rFont val="Calibri"/>
            <family val="2"/>
            <scheme val="minor"/>
          </rPr>
          <t>Seleccione un valor de la lista</t>
        </r>
      </text>
    </comment>
    <comment ref="D3381" authorId="1" shapeId="0" xr:uid="{00000000-0006-0000-0100-0000AC0B0000}">
      <text>
        <r>
          <rPr>
            <sz val="11"/>
            <color theme="1"/>
            <rFont val="Calibri"/>
            <family val="2"/>
            <scheme val="minor"/>
          </rPr>
          <t>Introduzca un número con dos decimales como máximo. Debe ser igual o mayor a la "Cantidad Real Consumida"</t>
        </r>
      </text>
    </comment>
    <comment ref="E3381" authorId="1" shapeId="0" xr:uid="{00000000-0006-0000-0100-0000AD0B0000}">
      <text>
        <r>
          <rPr>
            <sz val="11"/>
            <color theme="1"/>
            <rFont val="Calibri"/>
            <family val="2"/>
            <scheme val="minor"/>
          </rPr>
          <t>Introduzca un número con dos decimales como máximo</t>
        </r>
      </text>
    </comment>
    <comment ref="F3381" authorId="1" shapeId="0" xr:uid="{00000000-0006-0000-0100-0000AE0B0000}">
      <text>
        <r>
          <rPr>
            <sz val="11"/>
            <color theme="1"/>
            <rFont val="Calibri"/>
            <family val="2"/>
            <scheme val="minor"/>
          </rPr>
          <t>Monto calculado automáticamente por el sistema</t>
        </r>
      </text>
    </comment>
    <comment ref="A3396" authorId="1" shapeId="0" xr:uid="{00000000-0006-0000-0100-0000AF0B0000}">
      <text>
        <r>
          <rPr>
            <sz val="11"/>
            <color theme="1"/>
            <rFont val="Calibri"/>
            <family val="2"/>
            <scheme val="minor"/>
          </rPr>
          <t>Introducir un texto con el nombre o referencia de la contratación</t>
        </r>
      </text>
    </comment>
    <comment ref="B3396" authorId="1" shapeId="0" xr:uid="{00000000-0006-0000-0100-0000B00B0000}">
      <text>
        <r>
          <rPr>
            <sz val="11"/>
            <color theme="1"/>
            <rFont val="Calibri"/>
            <family val="2"/>
            <scheme val="minor"/>
          </rPr>
          <t>Introduzca un texto con la finalidad de la contratación</t>
        </r>
      </text>
    </comment>
    <comment ref="C3396" authorId="1" shapeId="0" xr:uid="{00000000-0006-0000-0100-0000B10B0000}">
      <text>
        <r>
          <rPr>
            <sz val="11"/>
            <color theme="1"/>
            <rFont val="Calibri"/>
            <family val="2"/>
            <scheme val="minor"/>
          </rPr>
          <t>Seleccionar un valor del listado</t>
        </r>
      </text>
    </comment>
    <comment ref="D3396" authorId="1" shapeId="0" xr:uid="{00000000-0006-0000-0100-0000B20B0000}">
      <text>
        <r>
          <rPr>
            <sz val="11"/>
            <color theme="1"/>
            <rFont val="Calibri"/>
            <family val="2"/>
            <scheme val="minor"/>
          </rPr>
          <t>Seleccione el tipo de procedimiento</t>
        </r>
      </text>
    </comment>
    <comment ref="E3396" authorId="1" shapeId="0" xr:uid="{00000000-0006-0000-0100-0000B30B0000}">
      <text>
        <r>
          <rPr>
            <sz val="11"/>
            <color theme="1"/>
            <rFont val="Calibri"/>
            <family val="2"/>
            <scheme val="minor"/>
          </rPr>
          <t>Seleccione un valor de la lista</t>
        </r>
      </text>
    </comment>
    <comment ref="F3396" authorId="1" shapeId="0" xr:uid="{00000000-0006-0000-0100-0000B40B0000}">
      <text>
        <r>
          <rPr>
            <sz val="11"/>
            <color theme="1"/>
            <rFont val="Calibri"/>
            <family val="2"/>
            <scheme val="minor"/>
          </rPr>
          <t>Introduzca el código SNIP</t>
        </r>
      </text>
    </comment>
    <comment ref="C3397" authorId="1" shapeId="0" xr:uid="{00000000-0006-0000-0100-0000B50B0000}">
      <text>
        <r>
          <rPr>
            <sz val="11"/>
            <color theme="1"/>
            <rFont val="Calibri"/>
            <family val="2"/>
            <scheme val="minor"/>
          </rPr>
          <t>Introduzca la fecha de inicio del proceso, en formato dd-mm-aaaa</t>
        </r>
      </text>
    </comment>
    <comment ref="F3397" authorId="1" shapeId="0" xr:uid="{00000000-0006-0000-0100-0000B7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98" authorId="1" shapeId="0" xr:uid="{00000000-0006-0000-0100-0000B80B0000}">
      <text/>
    </comment>
    <comment ref="C3399" authorId="1" shapeId="0" xr:uid="{00000000-0006-0000-0100-0000B60B0000}">
      <text>
        <r>
          <rPr>
            <sz val="11"/>
            <color theme="1"/>
            <rFont val="Calibri"/>
            <family val="2"/>
            <scheme val="minor"/>
          </rPr>
          <t>Introduzca la fecha prevista de adjudicación, en formato dd-mm-aaaa</t>
        </r>
      </text>
    </comment>
    <comment ref="F3399" authorId="1" shapeId="0" xr:uid="{00000000-0006-0000-0100-0000B90B0000}">
      <text/>
    </comment>
    <comment ref="F3400" authorId="1" shapeId="0" xr:uid="{00000000-0006-0000-0100-0000BA0B0000}">
      <text/>
    </comment>
    <comment ref="A3402" authorId="1" shapeId="0" xr:uid="{00000000-0006-0000-0100-0000BB0B0000}">
      <text>
        <r>
          <rPr>
            <sz val="11"/>
            <color theme="1"/>
            <rFont val="Calibri"/>
            <family val="2"/>
            <scheme val="minor"/>
          </rPr>
          <t>Introduzca un codigo UNSPSC</t>
        </r>
      </text>
    </comment>
    <comment ref="B3402" authorId="1" shapeId="0" xr:uid="{00000000-0006-0000-0100-0000BC0B0000}">
      <text>
        <r>
          <rPr>
            <sz val="11"/>
            <color theme="1"/>
            <rFont val="Calibri"/>
            <family val="2"/>
            <scheme val="minor"/>
          </rPr>
          <t>Descripción calculada automáticamente a partir de código del artículo</t>
        </r>
      </text>
    </comment>
    <comment ref="C3402" authorId="1" shapeId="0" xr:uid="{00000000-0006-0000-0100-0000BD0B0000}">
      <text>
        <r>
          <rPr>
            <sz val="11"/>
            <color theme="1"/>
            <rFont val="Calibri"/>
            <family val="2"/>
            <scheme val="minor"/>
          </rPr>
          <t>Seleccione un valor de la lista</t>
        </r>
      </text>
    </comment>
    <comment ref="D3402" authorId="1" shapeId="0" xr:uid="{00000000-0006-0000-0100-0000BE0B0000}">
      <text>
        <r>
          <rPr>
            <sz val="11"/>
            <color theme="1"/>
            <rFont val="Calibri"/>
            <family val="2"/>
            <scheme val="minor"/>
          </rPr>
          <t>Introduzca un número con dos decimales como máximo. Debe ser igual o mayor a la "Cantidad Real Consumida"</t>
        </r>
      </text>
    </comment>
    <comment ref="E3402" authorId="1" shapeId="0" xr:uid="{00000000-0006-0000-0100-0000BF0B0000}">
      <text>
        <r>
          <rPr>
            <sz val="11"/>
            <color theme="1"/>
            <rFont val="Calibri"/>
            <family val="2"/>
            <scheme val="minor"/>
          </rPr>
          <t>Introduzca un número con dos decimales como máximo</t>
        </r>
      </text>
    </comment>
    <comment ref="F3402" authorId="1" shapeId="0" xr:uid="{00000000-0006-0000-0100-0000C00B0000}">
      <text>
        <r>
          <rPr>
            <sz val="11"/>
            <color theme="1"/>
            <rFont val="Calibri"/>
            <family val="2"/>
            <scheme val="minor"/>
          </rPr>
          <t>Monto calculado automáticamente por el sistema</t>
        </r>
      </text>
    </comment>
    <comment ref="A3407" authorId="1" shapeId="0" xr:uid="{00000000-0006-0000-0100-0000C10B0000}">
      <text>
        <r>
          <rPr>
            <sz val="11"/>
            <color theme="1"/>
            <rFont val="Calibri"/>
            <family val="2"/>
            <scheme val="minor"/>
          </rPr>
          <t>Introducir un texto con el nombre o referencia de la contratación</t>
        </r>
      </text>
    </comment>
    <comment ref="B3407" authorId="1" shapeId="0" xr:uid="{00000000-0006-0000-0100-0000C20B0000}">
      <text>
        <r>
          <rPr>
            <sz val="11"/>
            <color theme="1"/>
            <rFont val="Calibri"/>
            <family val="2"/>
            <scheme val="minor"/>
          </rPr>
          <t>Introduzca un texto con la finalidad de la contratación</t>
        </r>
      </text>
    </comment>
    <comment ref="C3407" authorId="1" shapeId="0" xr:uid="{00000000-0006-0000-0100-0000C30B0000}">
      <text>
        <r>
          <rPr>
            <sz val="11"/>
            <color theme="1"/>
            <rFont val="Calibri"/>
            <family val="2"/>
            <scheme val="minor"/>
          </rPr>
          <t>Seleccionar un valor del listado</t>
        </r>
      </text>
    </comment>
    <comment ref="D3407" authorId="1" shapeId="0" xr:uid="{00000000-0006-0000-0100-0000C40B0000}">
      <text>
        <r>
          <rPr>
            <sz val="11"/>
            <color theme="1"/>
            <rFont val="Calibri"/>
            <family val="2"/>
            <scheme val="minor"/>
          </rPr>
          <t>Seleccione el tipo de procedimiento</t>
        </r>
      </text>
    </comment>
    <comment ref="E3407" authorId="1" shapeId="0" xr:uid="{00000000-0006-0000-0100-0000C50B0000}">
      <text>
        <r>
          <rPr>
            <sz val="11"/>
            <color theme="1"/>
            <rFont val="Calibri"/>
            <family val="2"/>
            <scheme val="minor"/>
          </rPr>
          <t>Seleccione un valor de la lista</t>
        </r>
      </text>
    </comment>
    <comment ref="F3407" authorId="1" shapeId="0" xr:uid="{00000000-0006-0000-0100-0000C60B0000}">
      <text>
        <r>
          <rPr>
            <sz val="11"/>
            <color theme="1"/>
            <rFont val="Calibri"/>
            <family val="2"/>
            <scheme val="minor"/>
          </rPr>
          <t>Introduzca el código SNIP</t>
        </r>
      </text>
    </comment>
    <comment ref="C3408" authorId="1" shapeId="0" xr:uid="{00000000-0006-0000-0100-0000C70B0000}">
      <text>
        <r>
          <rPr>
            <sz val="11"/>
            <color theme="1"/>
            <rFont val="Calibri"/>
            <family val="2"/>
            <scheme val="minor"/>
          </rPr>
          <t>Introduzca la fecha de inicio del proceso, en formato dd-mm-aaaa</t>
        </r>
      </text>
    </comment>
    <comment ref="F3408" authorId="1" shapeId="0" xr:uid="{00000000-0006-0000-0100-0000C9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09" authorId="1" shapeId="0" xr:uid="{00000000-0006-0000-0100-0000CA0B0000}">
      <text/>
    </comment>
    <comment ref="C3410" authorId="1" shapeId="0" xr:uid="{00000000-0006-0000-0100-0000C80B0000}">
      <text>
        <r>
          <rPr>
            <sz val="11"/>
            <color theme="1"/>
            <rFont val="Calibri"/>
            <family val="2"/>
            <scheme val="minor"/>
          </rPr>
          <t>Introduzca la fecha prevista de adjudicación, en formato dd-mm-aaaa</t>
        </r>
      </text>
    </comment>
    <comment ref="F3410" authorId="1" shapeId="0" xr:uid="{00000000-0006-0000-0100-0000CB0B0000}">
      <text/>
    </comment>
    <comment ref="F3411" authorId="1" shapeId="0" xr:uid="{00000000-0006-0000-0100-0000CC0B0000}">
      <text/>
    </comment>
    <comment ref="A3413" authorId="1" shapeId="0" xr:uid="{00000000-0006-0000-0100-0000CD0B0000}">
      <text>
        <r>
          <rPr>
            <sz val="11"/>
            <color theme="1"/>
            <rFont val="Calibri"/>
            <family val="2"/>
            <scheme val="minor"/>
          </rPr>
          <t>Introduzca un codigo UNSPSC</t>
        </r>
      </text>
    </comment>
    <comment ref="B3413" authorId="1" shapeId="0" xr:uid="{00000000-0006-0000-0100-0000CE0B0000}">
      <text>
        <r>
          <rPr>
            <sz val="11"/>
            <color theme="1"/>
            <rFont val="Calibri"/>
            <family val="2"/>
            <scheme val="minor"/>
          </rPr>
          <t>Descripción calculada automáticamente a partir de código del artículo</t>
        </r>
      </text>
    </comment>
    <comment ref="C3413" authorId="1" shapeId="0" xr:uid="{00000000-0006-0000-0100-0000CF0B0000}">
      <text>
        <r>
          <rPr>
            <sz val="11"/>
            <color theme="1"/>
            <rFont val="Calibri"/>
            <family val="2"/>
            <scheme val="minor"/>
          </rPr>
          <t>Seleccione un valor de la lista</t>
        </r>
      </text>
    </comment>
    <comment ref="D3413" authorId="1" shapeId="0" xr:uid="{00000000-0006-0000-0100-0000D00B0000}">
      <text>
        <r>
          <rPr>
            <sz val="11"/>
            <color theme="1"/>
            <rFont val="Calibri"/>
            <family val="2"/>
            <scheme val="minor"/>
          </rPr>
          <t>Introduzca un número con dos decimales como máximo. Debe ser igual o mayor a la "Cantidad Real Consumida"</t>
        </r>
      </text>
    </comment>
    <comment ref="E3413" authorId="1" shapeId="0" xr:uid="{00000000-0006-0000-0100-0000D10B0000}">
      <text>
        <r>
          <rPr>
            <sz val="11"/>
            <color theme="1"/>
            <rFont val="Calibri"/>
            <family val="2"/>
            <scheme val="minor"/>
          </rPr>
          <t>Introduzca un número con dos decimales como máximo</t>
        </r>
      </text>
    </comment>
    <comment ref="F3413" authorId="1" shapeId="0" xr:uid="{00000000-0006-0000-0100-0000D20B0000}">
      <text>
        <r>
          <rPr>
            <sz val="11"/>
            <color theme="1"/>
            <rFont val="Calibri"/>
            <family val="2"/>
            <scheme val="minor"/>
          </rPr>
          <t>Monto calculado automáticamente por el sistema</t>
        </r>
      </text>
    </comment>
    <comment ref="A3418" authorId="1" shapeId="0" xr:uid="{00000000-0006-0000-0100-0000D30B0000}">
      <text>
        <r>
          <rPr>
            <sz val="11"/>
            <color theme="1"/>
            <rFont val="Calibri"/>
            <family val="2"/>
            <scheme val="minor"/>
          </rPr>
          <t>Introducir un texto con el nombre o referencia de la contratación</t>
        </r>
      </text>
    </comment>
    <comment ref="B3418" authorId="1" shapeId="0" xr:uid="{00000000-0006-0000-0100-0000D40B0000}">
      <text>
        <r>
          <rPr>
            <sz val="11"/>
            <color theme="1"/>
            <rFont val="Calibri"/>
            <family val="2"/>
            <scheme val="minor"/>
          </rPr>
          <t>Introduzca un texto con la finalidad de la contratación</t>
        </r>
      </text>
    </comment>
    <comment ref="C3418" authorId="1" shapeId="0" xr:uid="{00000000-0006-0000-0100-0000D50B0000}">
      <text>
        <r>
          <rPr>
            <sz val="11"/>
            <color theme="1"/>
            <rFont val="Calibri"/>
            <family val="2"/>
            <scheme val="minor"/>
          </rPr>
          <t>Seleccionar un valor del listado</t>
        </r>
      </text>
    </comment>
    <comment ref="D3418" authorId="1" shapeId="0" xr:uid="{00000000-0006-0000-0100-0000D60B0000}">
      <text>
        <r>
          <rPr>
            <sz val="11"/>
            <color theme="1"/>
            <rFont val="Calibri"/>
            <family val="2"/>
            <scheme val="minor"/>
          </rPr>
          <t>Seleccione el tipo de procedimiento</t>
        </r>
      </text>
    </comment>
    <comment ref="E3418" authorId="1" shapeId="0" xr:uid="{00000000-0006-0000-0100-0000D70B0000}">
      <text>
        <r>
          <rPr>
            <sz val="11"/>
            <color theme="1"/>
            <rFont val="Calibri"/>
            <family val="2"/>
            <scheme val="minor"/>
          </rPr>
          <t>Seleccione un valor de la lista</t>
        </r>
      </text>
    </comment>
    <comment ref="F3418" authorId="1" shapeId="0" xr:uid="{00000000-0006-0000-0100-0000D80B0000}">
      <text>
        <r>
          <rPr>
            <sz val="11"/>
            <color theme="1"/>
            <rFont val="Calibri"/>
            <family val="2"/>
            <scheme val="minor"/>
          </rPr>
          <t>Introduzca el código SNIP</t>
        </r>
      </text>
    </comment>
    <comment ref="C3419" authorId="1" shapeId="0" xr:uid="{00000000-0006-0000-0100-0000D90B0000}">
      <text>
        <r>
          <rPr>
            <sz val="11"/>
            <color theme="1"/>
            <rFont val="Calibri"/>
            <family val="2"/>
            <scheme val="minor"/>
          </rPr>
          <t>Introduzca la fecha de inicio del proceso, en formato dd-mm-aaaa</t>
        </r>
      </text>
    </comment>
    <comment ref="F3419" authorId="1" shapeId="0" xr:uid="{00000000-0006-0000-0100-0000DB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20" authorId="1" shapeId="0" xr:uid="{00000000-0006-0000-0100-0000DC0B0000}">
      <text/>
    </comment>
    <comment ref="C3421" authorId="1" shapeId="0" xr:uid="{00000000-0006-0000-0100-0000DA0B0000}">
      <text>
        <r>
          <rPr>
            <sz val="11"/>
            <color theme="1"/>
            <rFont val="Calibri"/>
            <family val="2"/>
            <scheme val="minor"/>
          </rPr>
          <t>Introduzca la fecha prevista de adjudicación, en formato dd-mm-aaaa</t>
        </r>
      </text>
    </comment>
    <comment ref="F3421" authorId="1" shapeId="0" xr:uid="{00000000-0006-0000-0100-0000DD0B0000}">
      <text/>
    </comment>
    <comment ref="F3422" authorId="1" shapeId="0" xr:uid="{00000000-0006-0000-0100-0000DE0B0000}">
      <text/>
    </comment>
    <comment ref="A3424" authorId="1" shapeId="0" xr:uid="{00000000-0006-0000-0100-0000DF0B0000}">
      <text>
        <r>
          <rPr>
            <sz val="11"/>
            <color theme="1"/>
            <rFont val="Calibri"/>
            <family val="2"/>
            <scheme val="minor"/>
          </rPr>
          <t>Introduzca un codigo UNSPSC</t>
        </r>
      </text>
    </comment>
    <comment ref="B3424" authorId="1" shapeId="0" xr:uid="{00000000-0006-0000-0100-0000E00B0000}">
      <text>
        <r>
          <rPr>
            <sz val="11"/>
            <color theme="1"/>
            <rFont val="Calibri"/>
            <family val="2"/>
            <scheme val="minor"/>
          </rPr>
          <t>Descripción calculada automáticamente a partir de código del artículo</t>
        </r>
      </text>
    </comment>
    <comment ref="C3424" authorId="1" shapeId="0" xr:uid="{00000000-0006-0000-0100-0000E10B0000}">
      <text>
        <r>
          <rPr>
            <sz val="11"/>
            <color theme="1"/>
            <rFont val="Calibri"/>
            <family val="2"/>
            <scheme val="minor"/>
          </rPr>
          <t>Seleccione un valor de la lista</t>
        </r>
      </text>
    </comment>
    <comment ref="D3424" authorId="1" shapeId="0" xr:uid="{00000000-0006-0000-0100-0000E20B0000}">
      <text>
        <r>
          <rPr>
            <sz val="11"/>
            <color theme="1"/>
            <rFont val="Calibri"/>
            <family val="2"/>
            <scheme val="minor"/>
          </rPr>
          <t>Introduzca un número con dos decimales como máximo. Debe ser igual o mayor a la "Cantidad Real Consumida"</t>
        </r>
      </text>
    </comment>
    <comment ref="E3424" authorId="1" shapeId="0" xr:uid="{00000000-0006-0000-0100-0000E30B0000}">
      <text>
        <r>
          <rPr>
            <sz val="11"/>
            <color theme="1"/>
            <rFont val="Calibri"/>
            <family val="2"/>
            <scheme val="minor"/>
          </rPr>
          <t>Introduzca un número con dos decimales como máximo</t>
        </r>
      </text>
    </comment>
    <comment ref="F3424" authorId="1" shapeId="0" xr:uid="{00000000-0006-0000-0100-0000E40B0000}">
      <text>
        <r>
          <rPr>
            <sz val="11"/>
            <color theme="1"/>
            <rFont val="Calibri"/>
            <family val="2"/>
            <scheme val="minor"/>
          </rPr>
          <t>Monto calculado automáticamente por el sistema</t>
        </r>
      </text>
    </comment>
    <comment ref="A3429" authorId="1" shapeId="0" xr:uid="{00000000-0006-0000-0100-0000E50B0000}">
      <text>
        <r>
          <rPr>
            <sz val="11"/>
            <color theme="1"/>
            <rFont val="Calibri"/>
            <family val="2"/>
            <scheme val="minor"/>
          </rPr>
          <t>Introducir un texto con el nombre o referencia de la contratación</t>
        </r>
      </text>
    </comment>
    <comment ref="B3429" authorId="1" shapeId="0" xr:uid="{00000000-0006-0000-0100-0000E60B0000}">
      <text>
        <r>
          <rPr>
            <sz val="11"/>
            <color theme="1"/>
            <rFont val="Calibri"/>
            <family val="2"/>
            <scheme val="minor"/>
          </rPr>
          <t>Introduzca un texto con la finalidad de la contratación</t>
        </r>
      </text>
    </comment>
    <comment ref="C3429" authorId="1" shapeId="0" xr:uid="{00000000-0006-0000-0100-0000E70B0000}">
      <text>
        <r>
          <rPr>
            <sz val="11"/>
            <color theme="1"/>
            <rFont val="Calibri"/>
            <family val="2"/>
            <scheme val="minor"/>
          </rPr>
          <t>Seleccionar un valor del listado</t>
        </r>
      </text>
    </comment>
    <comment ref="D3429" authorId="1" shapeId="0" xr:uid="{00000000-0006-0000-0100-0000E80B0000}">
      <text>
        <r>
          <rPr>
            <sz val="11"/>
            <color theme="1"/>
            <rFont val="Calibri"/>
            <family val="2"/>
            <scheme val="minor"/>
          </rPr>
          <t>Seleccione el tipo de procedimiento</t>
        </r>
      </text>
    </comment>
    <comment ref="E3429" authorId="1" shapeId="0" xr:uid="{00000000-0006-0000-0100-0000E90B0000}">
      <text>
        <r>
          <rPr>
            <sz val="11"/>
            <color theme="1"/>
            <rFont val="Calibri"/>
            <family val="2"/>
            <scheme val="minor"/>
          </rPr>
          <t>Seleccione un valor de la lista</t>
        </r>
      </text>
    </comment>
    <comment ref="F3429" authorId="1" shapeId="0" xr:uid="{00000000-0006-0000-0100-0000EA0B0000}">
      <text>
        <r>
          <rPr>
            <sz val="11"/>
            <color theme="1"/>
            <rFont val="Calibri"/>
            <family val="2"/>
            <scheme val="minor"/>
          </rPr>
          <t>Introduzca el código SNIP</t>
        </r>
      </text>
    </comment>
    <comment ref="C3430" authorId="1" shapeId="0" xr:uid="{00000000-0006-0000-0100-0000EB0B0000}">
      <text>
        <r>
          <rPr>
            <sz val="11"/>
            <color theme="1"/>
            <rFont val="Calibri"/>
            <family val="2"/>
            <scheme val="minor"/>
          </rPr>
          <t>Introduzca la fecha de inicio del proceso, en formato dd-mm-aaaa</t>
        </r>
      </text>
    </comment>
    <comment ref="F3430" authorId="1" shapeId="0" xr:uid="{00000000-0006-0000-0100-0000ED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31" authorId="1" shapeId="0" xr:uid="{00000000-0006-0000-0100-0000EE0B0000}">
      <text/>
    </comment>
    <comment ref="C3432" authorId="1" shapeId="0" xr:uid="{00000000-0006-0000-0100-0000EC0B0000}">
      <text>
        <r>
          <rPr>
            <sz val="11"/>
            <color theme="1"/>
            <rFont val="Calibri"/>
            <family val="2"/>
            <scheme val="minor"/>
          </rPr>
          <t>Introduzca la fecha prevista de adjudicación, en formato dd-mm-aaaa</t>
        </r>
      </text>
    </comment>
    <comment ref="F3432" authorId="1" shapeId="0" xr:uid="{00000000-0006-0000-0100-0000EF0B0000}">
      <text/>
    </comment>
    <comment ref="F3433" authorId="1" shapeId="0" xr:uid="{00000000-0006-0000-0100-0000F00B0000}">
      <text/>
    </comment>
    <comment ref="A3435" authorId="1" shapeId="0" xr:uid="{00000000-0006-0000-0100-0000F10B0000}">
      <text>
        <r>
          <rPr>
            <sz val="11"/>
            <color theme="1"/>
            <rFont val="Calibri"/>
            <family val="2"/>
            <scheme val="minor"/>
          </rPr>
          <t>Introduzca un codigo UNSPSC</t>
        </r>
      </text>
    </comment>
    <comment ref="B3435" authorId="1" shapeId="0" xr:uid="{00000000-0006-0000-0100-0000F20B0000}">
      <text>
        <r>
          <rPr>
            <sz val="11"/>
            <color theme="1"/>
            <rFont val="Calibri"/>
            <family val="2"/>
            <scheme val="minor"/>
          </rPr>
          <t>Descripción calculada automáticamente a partir de código del artículo</t>
        </r>
      </text>
    </comment>
    <comment ref="C3435" authorId="1" shapeId="0" xr:uid="{00000000-0006-0000-0100-0000F30B0000}">
      <text>
        <r>
          <rPr>
            <sz val="11"/>
            <color theme="1"/>
            <rFont val="Calibri"/>
            <family val="2"/>
            <scheme val="minor"/>
          </rPr>
          <t>Seleccione un valor de la lista</t>
        </r>
      </text>
    </comment>
    <comment ref="D3435" authorId="1" shapeId="0" xr:uid="{00000000-0006-0000-0100-0000F40B0000}">
      <text>
        <r>
          <rPr>
            <sz val="11"/>
            <color theme="1"/>
            <rFont val="Calibri"/>
            <family val="2"/>
            <scheme val="minor"/>
          </rPr>
          <t>Introduzca un número con dos decimales como máximo. Debe ser igual o mayor a la "Cantidad Real Consumida"</t>
        </r>
      </text>
    </comment>
    <comment ref="E3435" authorId="1" shapeId="0" xr:uid="{00000000-0006-0000-0100-0000F50B0000}">
      <text>
        <r>
          <rPr>
            <sz val="11"/>
            <color theme="1"/>
            <rFont val="Calibri"/>
            <family val="2"/>
            <scheme val="minor"/>
          </rPr>
          <t>Introduzca un número con dos decimales como máximo</t>
        </r>
      </text>
    </comment>
    <comment ref="F3435" authorId="1" shapeId="0" xr:uid="{00000000-0006-0000-0100-0000F60B0000}">
      <text>
        <r>
          <rPr>
            <sz val="11"/>
            <color theme="1"/>
            <rFont val="Calibri"/>
            <family val="2"/>
            <scheme val="minor"/>
          </rPr>
          <t>Monto calculado automáticamente por el sistema</t>
        </r>
      </text>
    </comment>
    <comment ref="A3440" authorId="1" shapeId="0" xr:uid="{00000000-0006-0000-0100-0000F70B0000}">
      <text>
        <r>
          <rPr>
            <sz val="11"/>
            <color theme="1"/>
            <rFont val="Calibri"/>
            <family val="2"/>
            <scheme val="minor"/>
          </rPr>
          <t>Introducir un texto con el nombre o referencia de la contratación</t>
        </r>
      </text>
    </comment>
    <comment ref="B3440" authorId="1" shapeId="0" xr:uid="{00000000-0006-0000-0100-0000F80B0000}">
      <text>
        <r>
          <rPr>
            <sz val="11"/>
            <color theme="1"/>
            <rFont val="Calibri"/>
            <family val="2"/>
            <scheme val="minor"/>
          </rPr>
          <t>Introduzca un texto con la finalidad de la contratación</t>
        </r>
      </text>
    </comment>
    <comment ref="C3440" authorId="1" shapeId="0" xr:uid="{00000000-0006-0000-0100-0000F90B0000}">
      <text>
        <r>
          <rPr>
            <sz val="11"/>
            <color theme="1"/>
            <rFont val="Calibri"/>
            <family val="2"/>
            <scheme val="minor"/>
          </rPr>
          <t>Seleccionar un valor del listado</t>
        </r>
      </text>
    </comment>
    <comment ref="D3440" authorId="1" shapeId="0" xr:uid="{00000000-0006-0000-0100-0000FA0B0000}">
      <text>
        <r>
          <rPr>
            <sz val="11"/>
            <color theme="1"/>
            <rFont val="Calibri"/>
            <family val="2"/>
            <scheme val="minor"/>
          </rPr>
          <t>Seleccione el tipo de procedimiento</t>
        </r>
      </text>
    </comment>
    <comment ref="E3440" authorId="1" shapeId="0" xr:uid="{00000000-0006-0000-0100-0000FB0B0000}">
      <text>
        <r>
          <rPr>
            <sz val="11"/>
            <color theme="1"/>
            <rFont val="Calibri"/>
            <family val="2"/>
            <scheme val="minor"/>
          </rPr>
          <t>Seleccione un valor de la lista</t>
        </r>
      </text>
    </comment>
    <comment ref="F3440" authorId="1" shapeId="0" xr:uid="{00000000-0006-0000-0100-0000FC0B0000}">
      <text>
        <r>
          <rPr>
            <sz val="11"/>
            <color theme="1"/>
            <rFont val="Calibri"/>
            <family val="2"/>
            <scheme val="minor"/>
          </rPr>
          <t>Introduzca el código SNIP</t>
        </r>
      </text>
    </comment>
    <comment ref="C3441" authorId="1" shapeId="0" xr:uid="{00000000-0006-0000-0100-0000FD0B0000}">
      <text>
        <r>
          <rPr>
            <sz val="11"/>
            <color theme="1"/>
            <rFont val="Calibri"/>
            <family val="2"/>
            <scheme val="minor"/>
          </rPr>
          <t>Introduzca la fecha de inicio del proceso, en formato dd-mm-aaaa</t>
        </r>
      </text>
    </comment>
    <comment ref="F3441" authorId="1" shapeId="0" xr:uid="{00000000-0006-0000-0100-0000FF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42" authorId="1" shapeId="0" xr:uid="{00000000-0006-0000-0100-0000000C0000}">
      <text/>
    </comment>
    <comment ref="C3443" authorId="1" shapeId="0" xr:uid="{00000000-0006-0000-0100-0000FE0B0000}">
      <text>
        <r>
          <rPr>
            <sz val="11"/>
            <color theme="1"/>
            <rFont val="Calibri"/>
            <family val="2"/>
            <scheme val="minor"/>
          </rPr>
          <t>Introduzca la fecha prevista de adjudicación, en formato dd-mm-aaaa</t>
        </r>
      </text>
    </comment>
    <comment ref="F3443" authorId="1" shapeId="0" xr:uid="{00000000-0006-0000-0100-0000010C0000}">
      <text/>
    </comment>
    <comment ref="F3444" authorId="1" shapeId="0" xr:uid="{00000000-0006-0000-0100-0000020C0000}">
      <text/>
    </comment>
    <comment ref="A3446" authorId="1" shapeId="0" xr:uid="{00000000-0006-0000-0100-0000030C0000}">
      <text>
        <r>
          <rPr>
            <sz val="11"/>
            <color theme="1"/>
            <rFont val="Calibri"/>
            <family val="2"/>
            <scheme val="minor"/>
          </rPr>
          <t>Introduzca un codigo UNSPSC</t>
        </r>
      </text>
    </comment>
    <comment ref="B3446" authorId="1" shapeId="0" xr:uid="{00000000-0006-0000-0100-0000040C0000}">
      <text>
        <r>
          <rPr>
            <sz val="11"/>
            <color theme="1"/>
            <rFont val="Calibri"/>
            <family val="2"/>
            <scheme val="minor"/>
          </rPr>
          <t>Descripción calculada automáticamente a partir de código del artículo</t>
        </r>
      </text>
    </comment>
    <comment ref="C3446" authorId="1" shapeId="0" xr:uid="{00000000-0006-0000-0100-0000050C0000}">
      <text>
        <r>
          <rPr>
            <sz val="11"/>
            <color theme="1"/>
            <rFont val="Calibri"/>
            <family val="2"/>
            <scheme val="minor"/>
          </rPr>
          <t>Seleccione un valor de la lista</t>
        </r>
      </text>
    </comment>
    <comment ref="D3446" authorId="1" shapeId="0" xr:uid="{00000000-0006-0000-0100-0000060C0000}">
      <text>
        <r>
          <rPr>
            <sz val="11"/>
            <color theme="1"/>
            <rFont val="Calibri"/>
            <family val="2"/>
            <scheme val="minor"/>
          </rPr>
          <t>Introduzca un número con dos decimales como máximo. Debe ser igual o mayor a la "Cantidad Real Consumida"</t>
        </r>
      </text>
    </comment>
    <comment ref="E3446" authorId="1" shapeId="0" xr:uid="{00000000-0006-0000-0100-0000070C0000}">
      <text>
        <r>
          <rPr>
            <sz val="11"/>
            <color theme="1"/>
            <rFont val="Calibri"/>
            <family val="2"/>
            <scheme val="minor"/>
          </rPr>
          <t>Introduzca un número con dos decimales como máximo</t>
        </r>
      </text>
    </comment>
    <comment ref="F3446" authorId="1" shapeId="0" xr:uid="{00000000-0006-0000-0100-0000080C0000}">
      <text>
        <r>
          <rPr>
            <sz val="11"/>
            <color theme="1"/>
            <rFont val="Calibri"/>
            <family val="2"/>
            <scheme val="minor"/>
          </rPr>
          <t>Monto calculado automáticamente por el sistema</t>
        </r>
      </text>
    </comment>
    <comment ref="A3451" authorId="1" shapeId="0" xr:uid="{00000000-0006-0000-0100-0000090C0000}">
      <text>
        <r>
          <rPr>
            <sz val="11"/>
            <color theme="1"/>
            <rFont val="Calibri"/>
            <family val="2"/>
            <scheme val="minor"/>
          </rPr>
          <t>Introducir un texto con el nombre o referencia de la contratación</t>
        </r>
      </text>
    </comment>
    <comment ref="B3451" authorId="1" shapeId="0" xr:uid="{00000000-0006-0000-0100-00000A0C0000}">
      <text>
        <r>
          <rPr>
            <sz val="11"/>
            <color theme="1"/>
            <rFont val="Calibri"/>
            <family val="2"/>
            <scheme val="minor"/>
          </rPr>
          <t>Introduzca un texto con la finalidad de la contratación</t>
        </r>
      </text>
    </comment>
    <comment ref="C3451" authorId="1" shapeId="0" xr:uid="{00000000-0006-0000-0100-00000B0C0000}">
      <text>
        <r>
          <rPr>
            <sz val="11"/>
            <color theme="1"/>
            <rFont val="Calibri"/>
            <family val="2"/>
            <scheme val="minor"/>
          </rPr>
          <t>Seleccionar un valor del listado</t>
        </r>
      </text>
    </comment>
    <comment ref="D3451" authorId="1" shapeId="0" xr:uid="{00000000-0006-0000-0100-00000C0C0000}">
      <text>
        <r>
          <rPr>
            <sz val="11"/>
            <color theme="1"/>
            <rFont val="Calibri"/>
            <family val="2"/>
            <scheme val="minor"/>
          </rPr>
          <t>Seleccione el tipo de procedimiento</t>
        </r>
      </text>
    </comment>
    <comment ref="E3451" authorId="1" shapeId="0" xr:uid="{00000000-0006-0000-0100-00000D0C0000}">
      <text>
        <r>
          <rPr>
            <sz val="11"/>
            <color theme="1"/>
            <rFont val="Calibri"/>
            <family val="2"/>
            <scheme val="minor"/>
          </rPr>
          <t>Seleccione un valor de la lista</t>
        </r>
      </text>
    </comment>
    <comment ref="F3451" authorId="1" shapeId="0" xr:uid="{00000000-0006-0000-0100-00000E0C0000}">
      <text>
        <r>
          <rPr>
            <sz val="11"/>
            <color theme="1"/>
            <rFont val="Calibri"/>
            <family val="2"/>
            <scheme val="minor"/>
          </rPr>
          <t>Introduzca el código SNIP</t>
        </r>
      </text>
    </comment>
    <comment ref="C3452" authorId="1" shapeId="0" xr:uid="{00000000-0006-0000-0100-00000F0C0000}">
      <text>
        <r>
          <rPr>
            <sz val="11"/>
            <color theme="1"/>
            <rFont val="Calibri"/>
            <family val="2"/>
            <scheme val="minor"/>
          </rPr>
          <t>Introduzca la fecha de inicio del proceso, en formato dd-mm-aaaa</t>
        </r>
      </text>
    </comment>
    <comment ref="F3452" authorId="1" shapeId="0" xr:uid="{00000000-0006-0000-0100-000011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53" authorId="1" shapeId="0" xr:uid="{00000000-0006-0000-0100-0000120C0000}">
      <text/>
    </comment>
    <comment ref="C3454" authorId="1" shapeId="0" xr:uid="{00000000-0006-0000-0100-0000100C0000}">
      <text>
        <r>
          <rPr>
            <sz val="11"/>
            <color theme="1"/>
            <rFont val="Calibri"/>
            <family val="2"/>
            <scheme val="minor"/>
          </rPr>
          <t>Introduzca la fecha prevista de adjudicación, en formato dd-mm-aaaa</t>
        </r>
      </text>
    </comment>
    <comment ref="F3454" authorId="1" shapeId="0" xr:uid="{00000000-0006-0000-0100-0000130C0000}">
      <text/>
    </comment>
    <comment ref="F3455" authorId="1" shapeId="0" xr:uid="{00000000-0006-0000-0100-0000140C0000}">
      <text/>
    </comment>
    <comment ref="A3457" authorId="1" shapeId="0" xr:uid="{00000000-0006-0000-0100-0000150C0000}">
      <text>
        <r>
          <rPr>
            <sz val="11"/>
            <color theme="1"/>
            <rFont val="Calibri"/>
            <family val="2"/>
            <scheme val="minor"/>
          </rPr>
          <t>Introduzca un codigo UNSPSC</t>
        </r>
      </text>
    </comment>
    <comment ref="B3457" authorId="1" shapeId="0" xr:uid="{00000000-0006-0000-0100-0000160C0000}">
      <text>
        <r>
          <rPr>
            <sz val="11"/>
            <color theme="1"/>
            <rFont val="Calibri"/>
            <family val="2"/>
            <scheme val="minor"/>
          </rPr>
          <t>Descripción calculada automáticamente a partir de código del artículo</t>
        </r>
      </text>
    </comment>
    <comment ref="C3457" authorId="1" shapeId="0" xr:uid="{00000000-0006-0000-0100-0000170C0000}">
      <text>
        <r>
          <rPr>
            <sz val="11"/>
            <color theme="1"/>
            <rFont val="Calibri"/>
            <family val="2"/>
            <scheme val="minor"/>
          </rPr>
          <t>Seleccione un valor de la lista</t>
        </r>
      </text>
    </comment>
    <comment ref="D3457" authorId="1" shapeId="0" xr:uid="{00000000-0006-0000-0100-0000180C0000}">
      <text>
        <r>
          <rPr>
            <sz val="11"/>
            <color theme="1"/>
            <rFont val="Calibri"/>
            <family val="2"/>
            <scheme val="minor"/>
          </rPr>
          <t>Introduzca un número con dos decimales como máximo. Debe ser igual o mayor a la "Cantidad Real Consumida"</t>
        </r>
      </text>
    </comment>
    <comment ref="E3457" authorId="1" shapeId="0" xr:uid="{00000000-0006-0000-0100-0000190C0000}">
      <text>
        <r>
          <rPr>
            <sz val="11"/>
            <color theme="1"/>
            <rFont val="Calibri"/>
            <family val="2"/>
            <scheme val="minor"/>
          </rPr>
          <t>Introduzca un número con dos decimales como máximo</t>
        </r>
      </text>
    </comment>
    <comment ref="F3457" authorId="1" shapeId="0" xr:uid="{00000000-0006-0000-0100-00001A0C0000}">
      <text>
        <r>
          <rPr>
            <sz val="11"/>
            <color theme="1"/>
            <rFont val="Calibri"/>
            <family val="2"/>
            <scheme val="minor"/>
          </rPr>
          <t>Monto calculado automáticamente por el sistema</t>
        </r>
      </text>
    </comment>
    <comment ref="A3462" authorId="1" shapeId="0" xr:uid="{00000000-0006-0000-0100-00001B0C0000}">
      <text>
        <r>
          <rPr>
            <sz val="11"/>
            <color theme="1"/>
            <rFont val="Calibri"/>
            <family val="2"/>
            <scheme val="minor"/>
          </rPr>
          <t>Introducir un texto con el nombre o referencia de la contratación</t>
        </r>
      </text>
    </comment>
    <comment ref="B3462" authorId="1" shapeId="0" xr:uid="{00000000-0006-0000-0100-00001C0C0000}">
      <text>
        <r>
          <rPr>
            <sz val="11"/>
            <color theme="1"/>
            <rFont val="Calibri"/>
            <family val="2"/>
            <scheme val="minor"/>
          </rPr>
          <t>Introduzca un texto con la finalidad de la contratación</t>
        </r>
      </text>
    </comment>
    <comment ref="C3462" authorId="1" shapeId="0" xr:uid="{00000000-0006-0000-0100-00001D0C0000}">
      <text>
        <r>
          <rPr>
            <sz val="11"/>
            <color theme="1"/>
            <rFont val="Calibri"/>
            <family val="2"/>
            <scheme val="minor"/>
          </rPr>
          <t>Seleccionar un valor del listado</t>
        </r>
      </text>
    </comment>
    <comment ref="D3462" authorId="1" shapeId="0" xr:uid="{00000000-0006-0000-0100-00001E0C0000}">
      <text>
        <r>
          <rPr>
            <sz val="11"/>
            <color theme="1"/>
            <rFont val="Calibri"/>
            <family val="2"/>
            <scheme val="minor"/>
          </rPr>
          <t>Seleccione el tipo de procedimiento</t>
        </r>
      </text>
    </comment>
    <comment ref="E3462" authorId="1" shapeId="0" xr:uid="{00000000-0006-0000-0100-00001F0C0000}">
      <text>
        <r>
          <rPr>
            <sz val="11"/>
            <color theme="1"/>
            <rFont val="Calibri"/>
            <family val="2"/>
            <scheme val="minor"/>
          </rPr>
          <t>Seleccione un valor de la lista</t>
        </r>
      </text>
    </comment>
    <comment ref="F3462" authorId="1" shapeId="0" xr:uid="{00000000-0006-0000-0100-0000200C0000}">
      <text>
        <r>
          <rPr>
            <sz val="11"/>
            <color theme="1"/>
            <rFont val="Calibri"/>
            <family val="2"/>
            <scheme val="minor"/>
          </rPr>
          <t>Introduzca el código SNIP</t>
        </r>
      </text>
    </comment>
    <comment ref="C3463" authorId="1" shapeId="0" xr:uid="{00000000-0006-0000-0100-0000210C0000}">
      <text>
        <r>
          <rPr>
            <sz val="11"/>
            <color theme="1"/>
            <rFont val="Calibri"/>
            <family val="2"/>
            <scheme val="minor"/>
          </rPr>
          <t>Introduzca la fecha de inicio del proceso, en formato dd-mm-aaaa</t>
        </r>
      </text>
    </comment>
    <comment ref="F3463" authorId="1" shapeId="0" xr:uid="{00000000-0006-0000-0100-000023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64" authorId="1" shapeId="0" xr:uid="{00000000-0006-0000-0100-0000240C0000}">
      <text/>
    </comment>
    <comment ref="C3465" authorId="1" shapeId="0" xr:uid="{00000000-0006-0000-0100-0000220C0000}">
      <text>
        <r>
          <rPr>
            <sz val="11"/>
            <color theme="1"/>
            <rFont val="Calibri"/>
            <family val="2"/>
            <scheme val="minor"/>
          </rPr>
          <t>Introduzca la fecha prevista de adjudicación, en formato dd-mm-aaaa</t>
        </r>
      </text>
    </comment>
    <comment ref="F3465" authorId="1" shapeId="0" xr:uid="{00000000-0006-0000-0100-0000250C0000}">
      <text/>
    </comment>
    <comment ref="F3466" authorId="1" shapeId="0" xr:uid="{00000000-0006-0000-0100-0000260C0000}">
      <text/>
    </comment>
    <comment ref="A3468" authorId="1" shapeId="0" xr:uid="{00000000-0006-0000-0100-0000270C0000}">
      <text>
        <r>
          <rPr>
            <sz val="11"/>
            <color theme="1"/>
            <rFont val="Calibri"/>
            <family val="2"/>
            <scheme val="minor"/>
          </rPr>
          <t>Introduzca un codigo UNSPSC</t>
        </r>
      </text>
    </comment>
    <comment ref="B3468" authorId="1" shapeId="0" xr:uid="{00000000-0006-0000-0100-0000280C0000}">
      <text>
        <r>
          <rPr>
            <sz val="11"/>
            <color theme="1"/>
            <rFont val="Calibri"/>
            <family val="2"/>
            <scheme val="minor"/>
          </rPr>
          <t>Descripción calculada automáticamente a partir de código del artículo</t>
        </r>
      </text>
    </comment>
    <comment ref="C3468" authorId="1" shapeId="0" xr:uid="{00000000-0006-0000-0100-0000290C0000}">
      <text>
        <r>
          <rPr>
            <sz val="11"/>
            <color theme="1"/>
            <rFont val="Calibri"/>
            <family val="2"/>
            <scheme val="minor"/>
          </rPr>
          <t>Seleccione un valor de la lista</t>
        </r>
      </text>
    </comment>
    <comment ref="D3468" authorId="1" shapeId="0" xr:uid="{00000000-0006-0000-0100-00002A0C0000}">
      <text>
        <r>
          <rPr>
            <sz val="11"/>
            <color theme="1"/>
            <rFont val="Calibri"/>
            <family val="2"/>
            <scheme val="minor"/>
          </rPr>
          <t>Introduzca un número con dos decimales como máximo. Debe ser igual o mayor a la "Cantidad Real Consumida"</t>
        </r>
      </text>
    </comment>
    <comment ref="E3468" authorId="1" shapeId="0" xr:uid="{00000000-0006-0000-0100-00002B0C0000}">
      <text>
        <r>
          <rPr>
            <sz val="11"/>
            <color theme="1"/>
            <rFont val="Calibri"/>
            <family val="2"/>
            <scheme val="minor"/>
          </rPr>
          <t>Introduzca un número con dos decimales como máximo</t>
        </r>
      </text>
    </comment>
    <comment ref="F3468" authorId="1" shapeId="0" xr:uid="{00000000-0006-0000-0100-00002C0C0000}">
      <text>
        <r>
          <rPr>
            <sz val="11"/>
            <color theme="1"/>
            <rFont val="Calibri"/>
            <family val="2"/>
            <scheme val="minor"/>
          </rPr>
          <t>Monto calculado automáticamente por el sistema</t>
        </r>
      </text>
    </comment>
    <comment ref="A3473" authorId="1" shapeId="0" xr:uid="{00000000-0006-0000-0100-00002D0C0000}">
      <text>
        <r>
          <rPr>
            <sz val="11"/>
            <color theme="1"/>
            <rFont val="Calibri"/>
            <family val="2"/>
            <scheme val="minor"/>
          </rPr>
          <t>Introducir un texto con el nombre o referencia de la contratación</t>
        </r>
      </text>
    </comment>
    <comment ref="B3473" authorId="1" shapeId="0" xr:uid="{00000000-0006-0000-0100-00002E0C0000}">
      <text>
        <r>
          <rPr>
            <sz val="11"/>
            <color theme="1"/>
            <rFont val="Calibri"/>
            <family val="2"/>
            <scheme val="minor"/>
          </rPr>
          <t>Introduzca un texto con la finalidad de la contratación</t>
        </r>
      </text>
    </comment>
    <comment ref="C3473" authorId="1" shapeId="0" xr:uid="{00000000-0006-0000-0100-00002F0C0000}">
      <text>
        <r>
          <rPr>
            <sz val="11"/>
            <color theme="1"/>
            <rFont val="Calibri"/>
            <family val="2"/>
            <scheme val="minor"/>
          </rPr>
          <t>Seleccionar un valor del listado</t>
        </r>
      </text>
    </comment>
    <comment ref="D3473" authorId="1" shapeId="0" xr:uid="{00000000-0006-0000-0100-0000300C0000}">
      <text>
        <r>
          <rPr>
            <sz val="11"/>
            <color theme="1"/>
            <rFont val="Calibri"/>
            <family val="2"/>
            <scheme val="minor"/>
          </rPr>
          <t>Seleccione el tipo de procedimiento</t>
        </r>
      </text>
    </comment>
    <comment ref="E3473" authorId="1" shapeId="0" xr:uid="{00000000-0006-0000-0100-0000310C0000}">
      <text>
        <r>
          <rPr>
            <sz val="11"/>
            <color theme="1"/>
            <rFont val="Calibri"/>
            <family val="2"/>
            <scheme val="minor"/>
          </rPr>
          <t>Seleccione un valor de la lista</t>
        </r>
      </text>
    </comment>
    <comment ref="F3473" authorId="1" shapeId="0" xr:uid="{00000000-0006-0000-0100-0000320C0000}">
      <text>
        <r>
          <rPr>
            <sz val="11"/>
            <color theme="1"/>
            <rFont val="Calibri"/>
            <family val="2"/>
            <scheme val="minor"/>
          </rPr>
          <t>Introduzca el código SNIP</t>
        </r>
      </text>
    </comment>
    <comment ref="C3474" authorId="1" shapeId="0" xr:uid="{00000000-0006-0000-0100-0000330C0000}">
      <text>
        <r>
          <rPr>
            <sz val="11"/>
            <color theme="1"/>
            <rFont val="Calibri"/>
            <family val="2"/>
            <scheme val="minor"/>
          </rPr>
          <t>Introduzca la fecha de inicio del proceso, en formato dd-mm-aaaa</t>
        </r>
      </text>
    </comment>
    <comment ref="F3474" authorId="1" shapeId="0" xr:uid="{00000000-0006-0000-0100-000035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75" authorId="1" shapeId="0" xr:uid="{00000000-0006-0000-0100-0000360C0000}">
      <text/>
    </comment>
    <comment ref="C3476" authorId="1" shapeId="0" xr:uid="{00000000-0006-0000-0100-0000340C0000}">
      <text>
        <r>
          <rPr>
            <sz val="11"/>
            <color theme="1"/>
            <rFont val="Calibri"/>
            <family val="2"/>
            <scheme val="minor"/>
          </rPr>
          <t>Introduzca la fecha prevista de adjudicación, en formato dd-mm-aaaa</t>
        </r>
      </text>
    </comment>
    <comment ref="F3476" authorId="1" shapeId="0" xr:uid="{00000000-0006-0000-0100-0000370C0000}">
      <text/>
    </comment>
    <comment ref="F3477" authorId="1" shapeId="0" xr:uid="{00000000-0006-0000-0100-0000380C0000}">
      <text/>
    </comment>
    <comment ref="A3479" authorId="1" shapeId="0" xr:uid="{00000000-0006-0000-0100-0000390C0000}">
      <text>
        <r>
          <rPr>
            <sz val="11"/>
            <color theme="1"/>
            <rFont val="Calibri"/>
            <family val="2"/>
            <scheme val="minor"/>
          </rPr>
          <t>Introduzca un codigo UNSPSC</t>
        </r>
      </text>
    </comment>
    <comment ref="B3479" authorId="1" shapeId="0" xr:uid="{00000000-0006-0000-0100-00003A0C0000}">
      <text>
        <r>
          <rPr>
            <sz val="11"/>
            <color theme="1"/>
            <rFont val="Calibri"/>
            <family val="2"/>
            <scheme val="minor"/>
          </rPr>
          <t>Descripción calculada automáticamente a partir de código del artículo</t>
        </r>
      </text>
    </comment>
    <comment ref="C3479" authorId="1" shapeId="0" xr:uid="{00000000-0006-0000-0100-00003B0C0000}">
      <text>
        <r>
          <rPr>
            <sz val="11"/>
            <color theme="1"/>
            <rFont val="Calibri"/>
            <family val="2"/>
            <scheme val="minor"/>
          </rPr>
          <t>Seleccione un valor de la lista</t>
        </r>
      </text>
    </comment>
    <comment ref="D3479" authorId="1" shapeId="0" xr:uid="{00000000-0006-0000-0100-00003C0C0000}">
      <text>
        <r>
          <rPr>
            <sz val="11"/>
            <color theme="1"/>
            <rFont val="Calibri"/>
            <family val="2"/>
            <scheme val="minor"/>
          </rPr>
          <t>Introduzca un número con dos decimales como máximo. Debe ser igual o mayor a la "Cantidad Real Consumida"</t>
        </r>
      </text>
    </comment>
    <comment ref="E3479" authorId="1" shapeId="0" xr:uid="{00000000-0006-0000-0100-00003D0C0000}">
      <text>
        <r>
          <rPr>
            <sz val="11"/>
            <color theme="1"/>
            <rFont val="Calibri"/>
            <family val="2"/>
            <scheme val="minor"/>
          </rPr>
          <t>Introduzca un número con dos decimales como máximo</t>
        </r>
      </text>
    </comment>
    <comment ref="F3479" authorId="1" shapeId="0" xr:uid="{00000000-0006-0000-0100-00003E0C0000}">
      <text>
        <r>
          <rPr>
            <sz val="11"/>
            <color theme="1"/>
            <rFont val="Calibri"/>
            <family val="2"/>
            <scheme val="minor"/>
          </rPr>
          <t>Monto calculado automáticamente por el sistema</t>
        </r>
      </text>
    </comment>
    <comment ref="A3485" authorId="1" shapeId="0" xr:uid="{00000000-0006-0000-0100-00003F0C0000}">
      <text>
        <r>
          <rPr>
            <sz val="11"/>
            <color theme="1"/>
            <rFont val="Calibri"/>
            <family val="2"/>
            <scheme val="minor"/>
          </rPr>
          <t>Introducir un texto con el nombre o referencia de la contratación</t>
        </r>
      </text>
    </comment>
    <comment ref="B3485" authorId="1" shapeId="0" xr:uid="{00000000-0006-0000-0100-0000400C0000}">
      <text>
        <r>
          <rPr>
            <sz val="11"/>
            <color theme="1"/>
            <rFont val="Calibri"/>
            <family val="2"/>
            <scheme val="minor"/>
          </rPr>
          <t>Introduzca un texto con la finalidad de la contratación</t>
        </r>
      </text>
    </comment>
    <comment ref="C3485" authorId="1" shapeId="0" xr:uid="{00000000-0006-0000-0100-0000410C0000}">
      <text>
        <r>
          <rPr>
            <sz val="11"/>
            <color theme="1"/>
            <rFont val="Calibri"/>
            <family val="2"/>
            <scheme val="minor"/>
          </rPr>
          <t>Seleccionar un valor del listado</t>
        </r>
      </text>
    </comment>
    <comment ref="D3485" authorId="1" shapeId="0" xr:uid="{00000000-0006-0000-0100-0000420C0000}">
      <text>
        <r>
          <rPr>
            <sz val="11"/>
            <color theme="1"/>
            <rFont val="Calibri"/>
            <family val="2"/>
            <scheme val="minor"/>
          </rPr>
          <t>Seleccione el tipo de procedimiento</t>
        </r>
      </text>
    </comment>
    <comment ref="E3485" authorId="1" shapeId="0" xr:uid="{00000000-0006-0000-0100-0000430C0000}">
      <text>
        <r>
          <rPr>
            <sz val="11"/>
            <color theme="1"/>
            <rFont val="Calibri"/>
            <family val="2"/>
            <scheme val="minor"/>
          </rPr>
          <t>Seleccione un valor de la lista</t>
        </r>
      </text>
    </comment>
    <comment ref="F3485" authorId="1" shapeId="0" xr:uid="{00000000-0006-0000-0100-0000440C0000}">
      <text>
        <r>
          <rPr>
            <sz val="11"/>
            <color theme="1"/>
            <rFont val="Calibri"/>
            <family val="2"/>
            <scheme val="minor"/>
          </rPr>
          <t>Introduzca el código SNIP</t>
        </r>
      </text>
    </comment>
    <comment ref="C3486" authorId="1" shapeId="0" xr:uid="{00000000-0006-0000-0100-0000450C0000}">
      <text>
        <r>
          <rPr>
            <sz val="11"/>
            <color theme="1"/>
            <rFont val="Calibri"/>
            <family val="2"/>
            <scheme val="minor"/>
          </rPr>
          <t>Introduzca la fecha de inicio del proceso, en formato dd-mm-aaaa</t>
        </r>
      </text>
    </comment>
    <comment ref="F3486" authorId="1" shapeId="0" xr:uid="{00000000-0006-0000-0100-000047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87" authorId="1" shapeId="0" xr:uid="{00000000-0006-0000-0100-0000480C0000}">
      <text/>
    </comment>
    <comment ref="C3488" authorId="1" shapeId="0" xr:uid="{00000000-0006-0000-0100-0000460C0000}">
      <text>
        <r>
          <rPr>
            <sz val="11"/>
            <color theme="1"/>
            <rFont val="Calibri"/>
            <family val="2"/>
            <scheme val="minor"/>
          </rPr>
          <t>Introduzca la fecha prevista de adjudicación, en formato dd-mm-aaaa</t>
        </r>
      </text>
    </comment>
    <comment ref="F3488" authorId="1" shapeId="0" xr:uid="{00000000-0006-0000-0100-0000490C0000}">
      <text/>
    </comment>
    <comment ref="F3489" authorId="1" shapeId="0" xr:uid="{00000000-0006-0000-0100-00004A0C0000}">
      <text/>
    </comment>
    <comment ref="A3491" authorId="1" shapeId="0" xr:uid="{00000000-0006-0000-0100-00004B0C0000}">
      <text>
        <r>
          <rPr>
            <sz val="11"/>
            <color theme="1"/>
            <rFont val="Calibri"/>
            <family val="2"/>
            <scheme val="minor"/>
          </rPr>
          <t>Introduzca un codigo UNSPSC</t>
        </r>
      </text>
    </comment>
    <comment ref="B3491" authorId="1" shapeId="0" xr:uid="{00000000-0006-0000-0100-00004C0C0000}">
      <text>
        <r>
          <rPr>
            <sz val="11"/>
            <color theme="1"/>
            <rFont val="Calibri"/>
            <family val="2"/>
            <scheme val="minor"/>
          </rPr>
          <t>Descripción calculada automáticamente a partir de código del artículo</t>
        </r>
      </text>
    </comment>
    <comment ref="C3491" authorId="1" shapeId="0" xr:uid="{00000000-0006-0000-0100-00004D0C0000}">
      <text>
        <r>
          <rPr>
            <sz val="11"/>
            <color theme="1"/>
            <rFont val="Calibri"/>
            <family val="2"/>
            <scheme val="minor"/>
          </rPr>
          <t>Seleccione un valor de la lista</t>
        </r>
      </text>
    </comment>
    <comment ref="D3491" authorId="1" shapeId="0" xr:uid="{00000000-0006-0000-0100-00004E0C0000}">
      <text>
        <r>
          <rPr>
            <sz val="11"/>
            <color theme="1"/>
            <rFont val="Calibri"/>
            <family val="2"/>
            <scheme val="minor"/>
          </rPr>
          <t>Introduzca un número con dos decimales como máximo. Debe ser igual o mayor a la "Cantidad Real Consumida"</t>
        </r>
      </text>
    </comment>
    <comment ref="E3491" authorId="1" shapeId="0" xr:uid="{00000000-0006-0000-0100-00004F0C0000}">
      <text>
        <r>
          <rPr>
            <sz val="11"/>
            <color theme="1"/>
            <rFont val="Calibri"/>
            <family val="2"/>
            <scheme val="minor"/>
          </rPr>
          <t>Introduzca un número con dos decimales como máximo</t>
        </r>
      </text>
    </comment>
    <comment ref="F3491" authorId="1" shapeId="0" xr:uid="{00000000-0006-0000-0100-0000500C0000}">
      <text>
        <r>
          <rPr>
            <sz val="11"/>
            <color theme="1"/>
            <rFont val="Calibri"/>
            <family val="2"/>
            <scheme val="minor"/>
          </rPr>
          <t>Monto calculado automáticamente por el sistema</t>
        </r>
      </text>
    </comment>
    <comment ref="A3500" authorId="1" shapeId="0" xr:uid="{00000000-0006-0000-0100-0000510C0000}">
      <text>
        <r>
          <rPr>
            <sz val="11"/>
            <color theme="1"/>
            <rFont val="Calibri"/>
            <family val="2"/>
            <scheme val="minor"/>
          </rPr>
          <t>Introducir un texto con el nombre o referencia de la contratación</t>
        </r>
      </text>
    </comment>
    <comment ref="B3500" authorId="1" shapeId="0" xr:uid="{00000000-0006-0000-0100-0000520C0000}">
      <text>
        <r>
          <rPr>
            <sz val="11"/>
            <color theme="1"/>
            <rFont val="Calibri"/>
            <family val="2"/>
            <scheme val="minor"/>
          </rPr>
          <t>Introduzca un texto con la finalidad de la contratación</t>
        </r>
      </text>
    </comment>
    <comment ref="C3500" authorId="1" shapeId="0" xr:uid="{00000000-0006-0000-0100-0000530C0000}">
      <text>
        <r>
          <rPr>
            <sz val="11"/>
            <color theme="1"/>
            <rFont val="Calibri"/>
            <family val="2"/>
            <scheme val="minor"/>
          </rPr>
          <t>Seleccionar un valor del listado</t>
        </r>
      </text>
    </comment>
    <comment ref="D3500" authorId="1" shapeId="0" xr:uid="{00000000-0006-0000-0100-0000540C0000}">
      <text>
        <r>
          <rPr>
            <sz val="11"/>
            <color theme="1"/>
            <rFont val="Calibri"/>
            <family val="2"/>
            <scheme val="minor"/>
          </rPr>
          <t>Seleccione el tipo de procedimiento</t>
        </r>
      </text>
    </comment>
    <comment ref="E3500" authorId="1" shapeId="0" xr:uid="{00000000-0006-0000-0100-0000550C0000}">
      <text>
        <r>
          <rPr>
            <sz val="11"/>
            <color theme="1"/>
            <rFont val="Calibri"/>
            <family val="2"/>
            <scheme val="minor"/>
          </rPr>
          <t>Seleccione un valor de la lista</t>
        </r>
      </text>
    </comment>
    <comment ref="F3500" authorId="1" shapeId="0" xr:uid="{00000000-0006-0000-0100-0000560C0000}">
      <text>
        <r>
          <rPr>
            <sz val="11"/>
            <color theme="1"/>
            <rFont val="Calibri"/>
            <family val="2"/>
            <scheme val="minor"/>
          </rPr>
          <t>Introduzca el código SNIP</t>
        </r>
      </text>
    </comment>
    <comment ref="C3501" authorId="1" shapeId="0" xr:uid="{00000000-0006-0000-0100-0000570C0000}">
      <text>
        <r>
          <rPr>
            <sz val="11"/>
            <color theme="1"/>
            <rFont val="Calibri"/>
            <family val="2"/>
            <scheme val="minor"/>
          </rPr>
          <t>Introduzca la fecha de inicio del proceso, en formato dd-mm-aaaa</t>
        </r>
      </text>
    </comment>
    <comment ref="F3501" authorId="1" shapeId="0" xr:uid="{00000000-0006-0000-0100-000059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02" authorId="1" shapeId="0" xr:uid="{00000000-0006-0000-0100-00005A0C0000}">
      <text/>
    </comment>
    <comment ref="C3503" authorId="1" shapeId="0" xr:uid="{00000000-0006-0000-0100-0000580C0000}">
      <text>
        <r>
          <rPr>
            <sz val="11"/>
            <color theme="1"/>
            <rFont val="Calibri"/>
            <family val="2"/>
            <scheme val="minor"/>
          </rPr>
          <t>Introduzca la fecha prevista de adjudicación, en formato dd-mm-aaaa</t>
        </r>
      </text>
    </comment>
    <comment ref="F3503" authorId="1" shapeId="0" xr:uid="{00000000-0006-0000-0100-00005B0C0000}">
      <text/>
    </comment>
    <comment ref="F3504" authorId="1" shapeId="0" xr:uid="{00000000-0006-0000-0100-00005C0C0000}">
      <text/>
    </comment>
    <comment ref="A3506" authorId="1" shapeId="0" xr:uid="{00000000-0006-0000-0100-00005D0C0000}">
      <text>
        <r>
          <rPr>
            <sz val="11"/>
            <color theme="1"/>
            <rFont val="Calibri"/>
            <family val="2"/>
            <scheme val="minor"/>
          </rPr>
          <t>Introduzca un codigo UNSPSC</t>
        </r>
      </text>
    </comment>
    <comment ref="B3506" authorId="1" shapeId="0" xr:uid="{00000000-0006-0000-0100-00005E0C0000}">
      <text>
        <r>
          <rPr>
            <sz val="11"/>
            <color theme="1"/>
            <rFont val="Calibri"/>
            <family val="2"/>
            <scheme val="minor"/>
          </rPr>
          <t>Descripción calculada automáticamente a partir de código del artículo</t>
        </r>
      </text>
    </comment>
    <comment ref="C3506" authorId="1" shapeId="0" xr:uid="{00000000-0006-0000-0100-00005F0C0000}">
      <text>
        <r>
          <rPr>
            <sz val="11"/>
            <color theme="1"/>
            <rFont val="Calibri"/>
            <family val="2"/>
            <scheme val="minor"/>
          </rPr>
          <t>Seleccione un valor de la lista</t>
        </r>
      </text>
    </comment>
    <comment ref="D3506" authorId="1" shapeId="0" xr:uid="{00000000-0006-0000-0100-0000600C0000}">
      <text>
        <r>
          <rPr>
            <sz val="11"/>
            <color theme="1"/>
            <rFont val="Calibri"/>
            <family val="2"/>
            <scheme val="minor"/>
          </rPr>
          <t>Introduzca un número con dos decimales como máximo. Debe ser igual o mayor a la "Cantidad Real Consumida"</t>
        </r>
      </text>
    </comment>
    <comment ref="E3506" authorId="1" shapeId="0" xr:uid="{00000000-0006-0000-0100-0000610C0000}">
      <text>
        <r>
          <rPr>
            <sz val="11"/>
            <color theme="1"/>
            <rFont val="Calibri"/>
            <family val="2"/>
            <scheme val="minor"/>
          </rPr>
          <t>Introduzca un número con dos decimales como máximo</t>
        </r>
      </text>
    </comment>
    <comment ref="F3506" authorId="1" shapeId="0" xr:uid="{00000000-0006-0000-0100-0000620C0000}">
      <text>
        <r>
          <rPr>
            <sz val="11"/>
            <color theme="1"/>
            <rFont val="Calibri"/>
            <family val="2"/>
            <scheme val="minor"/>
          </rPr>
          <t>Monto calculado automáticamente por el sistema</t>
        </r>
      </text>
    </comment>
    <comment ref="A3511" authorId="1" shapeId="0" xr:uid="{00000000-0006-0000-0100-0000630C0000}">
      <text>
        <r>
          <rPr>
            <sz val="11"/>
            <color theme="1"/>
            <rFont val="Calibri"/>
            <family val="2"/>
            <scheme val="minor"/>
          </rPr>
          <t>Introducir un texto con el nombre o referencia de la contratación</t>
        </r>
      </text>
    </comment>
    <comment ref="B3511" authorId="1" shapeId="0" xr:uid="{00000000-0006-0000-0100-0000640C0000}">
      <text>
        <r>
          <rPr>
            <sz val="11"/>
            <color theme="1"/>
            <rFont val="Calibri"/>
            <family val="2"/>
            <scheme val="minor"/>
          </rPr>
          <t>Introduzca un texto con la finalidad de la contratación</t>
        </r>
      </text>
    </comment>
    <comment ref="C3511" authorId="1" shapeId="0" xr:uid="{00000000-0006-0000-0100-0000650C0000}">
      <text>
        <r>
          <rPr>
            <sz val="11"/>
            <color theme="1"/>
            <rFont val="Calibri"/>
            <family val="2"/>
            <scheme val="minor"/>
          </rPr>
          <t>Seleccionar un valor del listado</t>
        </r>
      </text>
    </comment>
    <comment ref="D3511" authorId="1" shapeId="0" xr:uid="{00000000-0006-0000-0100-0000660C0000}">
      <text>
        <r>
          <rPr>
            <sz val="11"/>
            <color theme="1"/>
            <rFont val="Calibri"/>
            <family val="2"/>
            <scheme val="minor"/>
          </rPr>
          <t>Seleccione el tipo de procedimiento</t>
        </r>
      </text>
    </comment>
    <comment ref="E3511" authorId="1" shapeId="0" xr:uid="{00000000-0006-0000-0100-0000670C0000}">
      <text>
        <r>
          <rPr>
            <sz val="11"/>
            <color theme="1"/>
            <rFont val="Calibri"/>
            <family val="2"/>
            <scheme val="minor"/>
          </rPr>
          <t>Seleccione un valor de la lista</t>
        </r>
      </text>
    </comment>
    <comment ref="F3511" authorId="1" shapeId="0" xr:uid="{00000000-0006-0000-0100-0000680C0000}">
      <text>
        <r>
          <rPr>
            <sz val="11"/>
            <color theme="1"/>
            <rFont val="Calibri"/>
            <family val="2"/>
            <scheme val="minor"/>
          </rPr>
          <t>Introduzca el código SNIP</t>
        </r>
      </text>
    </comment>
    <comment ref="C3512" authorId="1" shapeId="0" xr:uid="{00000000-0006-0000-0100-0000690C0000}">
      <text>
        <r>
          <rPr>
            <sz val="11"/>
            <color theme="1"/>
            <rFont val="Calibri"/>
            <family val="2"/>
            <scheme val="minor"/>
          </rPr>
          <t>Introduzca la fecha de inicio del proceso, en formato dd-mm-aaaa</t>
        </r>
      </text>
    </comment>
    <comment ref="F3512" authorId="1" shapeId="0" xr:uid="{00000000-0006-0000-0100-00006B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13" authorId="1" shapeId="0" xr:uid="{00000000-0006-0000-0100-00006C0C0000}">
      <text/>
    </comment>
    <comment ref="C3514" authorId="1" shapeId="0" xr:uid="{00000000-0006-0000-0100-00006A0C0000}">
      <text>
        <r>
          <rPr>
            <sz val="11"/>
            <color theme="1"/>
            <rFont val="Calibri"/>
            <family val="2"/>
            <scheme val="minor"/>
          </rPr>
          <t>Introduzca la fecha prevista de adjudicación, en formato dd-mm-aaaa</t>
        </r>
      </text>
    </comment>
    <comment ref="F3514" authorId="1" shapeId="0" xr:uid="{00000000-0006-0000-0100-00006D0C0000}">
      <text/>
    </comment>
    <comment ref="F3515" authorId="1" shapeId="0" xr:uid="{00000000-0006-0000-0100-00006E0C0000}">
      <text/>
    </comment>
    <comment ref="A3517" authorId="1" shapeId="0" xr:uid="{00000000-0006-0000-0100-00006F0C0000}">
      <text>
        <r>
          <rPr>
            <sz val="11"/>
            <color theme="1"/>
            <rFont val="Calibri"/>
            <family val="2"/>
            <scheme val="minor"/>
          </rPr>
          <t>Introduzca un codigo UNSPSC</t>
        </r>
      </text>
    </comment>
    <comment ref="B3517" authorId="1" shapeId="0" xr:uid="{00000000-0006-0000-0100-0000700C0000}">
      <text>
        <r>
          <rPr>
            <sz val="11"/>
            <color theme="1"/>
            <rFont val="Calibri"/>
            <family val="2"/>
            <scheme val="minor"/>
          </rPr>
          <t>Descripción calculada automáticamente a partir de código del artículo</t>
        </r>
      </text>
    </comment>
    <comment ref="C3517" authorId="1" shapeId="0" xr:uid="{00000000-0006-0000-0100-0000710C0000}">
      <text>
        <r>
          <rPr>
            <sz val="11"/>
            <color theme="1"/>
            <rFont val="Calibri"/>
            <family val="2"/>
            <scheme val="minor"/>
          </rPr>
          <t>Seleccione un valor de la lista</t>
        </r>
      </text>
    </comment>
    <comment ref="D3517" authorId="1" shapeId="0" xr:uid="{00000000-0006-0000-0100-0000720C0000}">
      <text>
        <r>
          <rPr>
            <sz val="11"/>
            <color theme="1"/>
            <rFont val="Calibri"/>
            <family val="2"/>
            <scheme val="minor"/>
          </rPr>
          <t>Introduzca un número con dos decimales como máximo. Debe ser igual o mayor a la "Cantidad Real Consumida"</t>
        </r>
      </text>
    </comment>
    <comment ref="E3517" authorId="1" shapeId="0" xr:uid="{00000000-0006-0000-0100-0000730C0000}">
      <text>
        <r>
          <rPr>
            <sz val="11"/>
            <color theme="1"/>
            <rFont val="Calibri"/>
            <family val="2"/>
            <scheme val="minor"/>
          </rPr>
          <t>Introduzca un número con dos decimales como máximo</t>
        </r>
      </text>
    </comment>
    <comment ref="F3517" authorId="1" shapeId="0" xr:uid="{00000000-0006-0000-0100-0000740C0000}">
      <text>
        <r>
          <rPr>
            <sz val="11"/>
            <color theme="1"/>
            <rFont val="Calibri"/>
            <family val="2"/>
            <scheme val="minor"/>
          </rPr>
          <t>Monto calculado automáticamente por el sistema</t>
        </r>
      </text>
    </comment>
    <comment ref="A3522" authorId="1" shapeId="0" xr:uid="{00000000-0006-0000-0100-0000750C0000}">
      <text>
        <r>
          <rPr>
            <sz val="11"/>
            <color theme="1"/>
            <rFont val="Calibri"/>
            <family val="2"/>
            <scheme val="minor"/>
          </rPr>
          <t>Introducir un texto con el nombre o referencia de la contratación</t>
        </r>
      </text>
    </comment>
    <comment ref="B3522" authorId="1" shapeId="0" xr:uid="{00000000-0006-0000-0100-0000760C0000}">
      <text>
        <r>
          <rPr>
            <sz val="11"/>
            <color theme="1"/>
            <rFont val="Calibri"/>
            <family val="2"/>
            <scheme val="minor"/>
          </rPr>
          <t>Introduzca un texto con la finalidad de la contratación</t>
        </r>
      </text>
    </comment>
    <comment ref="C3522" authorId="1" shapeId="0" xr:uid="{00000000-0006-0000-0100-0000770C0000}">
      <text>
        <r>
          <rPr>
            <sz val="11"/>
            <color theme="1"/>
            <rFont val="Calibri"/>
            <family val="2"/>
            <scheme val="minor"/>
          </rPr>
          <t>Seleccionar un valor del listado</t>
        </r>
      </text>
    </comment>
    <comment ref="D3522" authorId="1" shapeId="0" xr:uid="{00000000-0006-0000-0100-0000780C0000}">
      <text>
        <r>
          <rPr>
            <sz val="11"/>
            <color theme="1"/>
            <rFont val="Calibri"/>
            <family val="2"/>
            <scheme val="minor"/>
          </rPr>
          <t>Seleccione el tipo de procedimiento</t>
        </r>
      </text>
    </comment>
    <comment ref="E3522" authorId="1" shapeId="0" xr:uid="{00000000-0006-0000-0100-0000790C0000}">
      <text>
        <r>
          <rPr>
            <sz val="11"/>
            <color theme="1"/>
            <rFont val="Calibri"/>
            <family val="2"/>
            <scheme val="minor"/>
          </rPr>
          <t>Seleccione un valor de la lista</t>
        </r>
      </text>
    </comment>
    <comment ref="F3522" authorId="1" shapeId="0" xr:uid="{00000000-0006-0000-0100-00007A0C0000}">
      <text>
        <r>
          <rPr>
            <sz val="11"/>
            <color theme="1"/>
            <rFont val="Calibri"/>
            <family val="2"/>
            <scheme val="minor"/>
          </rPr>
          <t>Introduzca el código SNIP</t>
        </r>
      </text>
    </comment>
    <comment ref="C3523" authorId="1" shapeId="0" xr:uid="{00000000-0006-0000-0100-00007B0C0000}">
      <text>
        <r>
          <rPr>
            <sz val="11"/>
            <color theme="1"/>
            <rFont val="Calibri"/>
            <family val="2"/>
            <scheme val="minor"/>
          </rPr>
          <t>Introduzca la fecha de inicio del proceso, en formato dd-mm-aaaa</t>
        </r>
      </text>
    </comment>
    <comment ref="F3523" authorId="1" shapeId="0" xr:uid="{00000000-0006-0000-0100-00007D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24" authorId="1" shapeId="0" xr:uid="{00000000-0006-0000-0100-00007E0C0000}">
      <text/>
    </comment>
    <comment ref="C3525" authorId="1" shapeId="0" xr:uid="{00000000-0006-0000-0100-00007C0C0000}">
      <text>
        <r>
          <rPr>
            <sz val="11"/>
            <color theme="1"/>
            <rFont val="Calibri"/>
            <family val="2"/>
            <scheme val="minor"/>
          </rPr>
          <t>Introduzca la fecha prevista de adjudicación, en formato dd-mm-aaaa</t>
        </r>
      </text>
    </comment>
    <comment ref="F3525" authorId="1" shapeId="0" xr:uid="{00000000-0006-0000-0100-00007F0C0000}">
      <text/>
    </comment>
    <comment ref="F3526" authorId="1" shapeId="0" xr:uid="{00000000-0006-0000-0100-0000800C0000}">
      <text/>
    </comment>
    <comment ref="A3528" authorId="1" shapeId="0" xr:uid="{00000000-0006-0000-0100-0000810C0000}">
      <text>
        <r>
          <rPr>
            <sz val="11"/>
            <color theme="1"/>
            <rFont val="Calibri"/>
            <family val="2"/>
            <scheme val="minor"/>
          </rPr>
          <t>Introduzca un codigo UNSPSC</t>
        </r>
      </text>
    </comment>
    <comment ref="B3528" authorId="1" shapeId="0" xr:uid="{00000000-0006-0000-0100-0000820C0000}">
      <text>
        <r>
          <rPr>
            <sz val="11"/>
            <color theme="1"/>
            <rFont val="Calibri"/>
            <family val="2"/>
            <scheme val="minor"/>
          </rPr>
          <t>Descripción calculada automáticamente a partir de código del artículo</t>
        </r>
      </text>
    </comment>
    <comment ref="C3528" authorId="1" shapeId="0" xr:uid="{00000000-0006-0000-0100-0000830C0000}">
      <text>
        <r>
          <rPr>
            <sz val="11"/>
            <color theme="1"/>
            <rFont val="Calibri"/>
            <family val="2"/>
            <scheme val="minor"/>
          </rPr>
          <t>Seleccione un valor de la lista</t>
        </r>
      </text>
    </comment>
    <comment ref="D3528" authorId="1" shapeId="0" xr:uid="{00000000-0006-0000-0100-0000840C0000}">
      <text>
        <r>
          <rPr>
            <sz val="11"/>
            <color theme="1"/>
            <rFont val="Calibri"/>
            <family val="2"/>
            <scheme val="minor"/>
          </rPr>
          <t>Introduzca un número con dos decimales como máximo. Debe ser igual o mayor a la "Cantidad Real Consumida"</t>
        </r>
      </text>
    </comment>
    <comment ref="E3528" authorId="1" shapeId="0" xr:uid="{00000000-0006-0000-0100-0000850C0000}">
      <text>
        <r>
          <rPr>
            <sz val="11"/>
            <color theme="1"/>
            <rFont val="Calibri"/>
            <family val="2"/>
            <scheme val="minor"/>
          </rPr>
          <t>Introduzca un número con dos decimales como máximo</t>
        </r>
      </text>
    </comment>
    <comment ref="F3528" authorId="1" shapeId="0" xr:uid="{00000000-0006-0000-0100-0000860C0000}">
      <text>
        <r>
          <rPr>
            <sz val="11"/>
            <color theme="1"/>
            <rFont val="Calibri"/>
            <family val="2"/>
            <scheme val="minor"/>
          </rPr>
          <t>Monto calculado automáticamente por el sistema</t>
        </r>
      </text>
    </comment>
    <comment ref="A3535" authorId="1" shapeId="0" xr:uid="{00000000-0006-0000-0100-0000870C0000}">
      <text>
        <r>
          <rPr>
            <sz val="11"/>
            <color theme="1"/>
            <rFont val="Calibri"/>
            <family val="2"/>
            <scheme val="minor"/>
          </rPr>
          <t>Introducir un texto con el nombre o referencia de la contratación</t>
        </r>
      </text>
    </comment>
    <comment ref="B3535" authorId="1" shapeId="0" xr:uid="{00000000-0006-0000-0100-0000880C0000}">
      <text>
        <r>
          <rPr>
            <sz val="11"/>
            <color theme="1"/>
            <rFont val="Calibri"/>
            <family val="2"/>
            <scheme val="minor"/>
          </rPr>
          <t>Introduzca un texto con la finalidad de la contratación</t>
        </r>
      </text>
    </comment>
    <comment ref="C3535" authorId="1" shapeId="0" xr:uid="{00000000-0006-0000-0100-0000890C0000}">
      <text>
        <r>
          <rPr>
            <sz val="11"/>
            <color theme="1"/>
            <rFont val="Calibri"/>
            <family val="2"/>
            <scheme val="minor"/>
          </rPr>
          <t>Seleccionar un valor del listado</t>
        </r>
      </text>
    </comment>
    <comment ref="D3535" authorId="1" shapeId="0" xr:uid="{00000000-0006-0000-0100-00008A0C0000}">
      <text>
        <r>
          <rPr>
            <sz val="11"/>
            <color theme="1"/>
            <rFont val="Calibri"/>
            <family val="2"/>
            <scheme val="minor"/>
          </rPr>
          <t>Seleccione el tipo de procedimiento</t>
        </r>
      </text>
    </comment>
    <comment ref="E3535" authorId="1" shapeId="0" xr:uid="{00000000-0006-0000-0100-00008B0C0000}">
      <text>
        <r>
          <rPr>
            <sz val="11"/>
            <color theme="1"/>
            <rFont val="Calibri"/>
            <family val="2"/>
            <scheme val="minor"/>
          </rPr>
          <t>Seleccione un valor de la lista</t>
        </r>
      </text>
    </comment>
    <comment ref="F3535" authorId="1" shapeId="0" xr:uid="{00000000-0006-0000-0100-00008C0C0000}">
      <text>
        <r>
          <rPr>
            <sz val="11"/>
            <color theme="1"/>
            <rFont val="Calibri"/>
            <family val="2"/>
            <scheme val="minor"/>
          </rPr>
          <t>Introduzca el código SNIP</t>
        </r>
      </text>
    </comment>
    <comment ref="C3536" authorId="1" shapeId="0" xr:uid="{00000000-0006-0000-0100-00008D0C0000}">
      <text>
        <r>
          <rPr>
            <sz val="11"/>
            <color theme="1"/>
            <rFont val="Calibri"/>
            <family val="2"/>
            <scheme val="minor"/>
          </rPr>
          <t>Introduzca la fecha de inicio del proceso, en formato dd-mm-aaaa</t>
        </r>
      </text>
    </comment>
    <comment ref="F3536" authorId="1" shapeId="0" xr:uid="{00000000-0006-0000-0100-00008F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37" authorId="1" shapeId="0" xr:uid="{00000000-0006-0000-0100-0000900C0000}">
      <text/>
    </comment>
    <comment ref="C3538" authorId="1" shapeId="0" xr:uid="{00000000-0006-0000-0100-00008E0C0000}">
      <text>
        <r>
          <rPr>
            <sz val="11"/>
            <color theme="1"/>
            <rFont val="Calibri"/>
            <family val="2"/>
            <scheme val="minor"/>
          </rPr>
          <t>Introduzca la fecha prevista de adjudicación, en formato dd-mm-aaaa</t>
        </r>
      </text>
    </comment>
    <comment ref="F3538" authorId="1" shapeId="0" xr:uid="{00000000-0006-0000-0100-0000910C0000}">
      <text/>
    </comment>
    <comment ref="F3539" authorId="1" shapeId="0" xr:uid="{00000000-0006-0000-0100-0000920C0000}">
      <text/>
    </comment>
    <comment ref="A3541" authorId="1" shapeId="0" xr:uid="{00000000-0006-0000-0100-0000930C0000}">
      <text>
        <r>
          <rPr>
            <sz val="11"/>
            <color theme="1"/>
            <rFont val="Calibri"/>
            <family val="2"/>
            <scheme val="minor"/>
          </rPr>
          <t>Introduzca un codigo UNSPSC</t>
        </r>
      </text>
    </comment>
    <comment ref="B3541" authorId="1" shapeId="0" xr:uid="{00000000-0006-0000-0100-0000940C0000}">
      <text>
        <r>
          <rPr>
            <sz val="11"/>
            <color theme="1"/>
            <rFont val="Calibri"/>
            <family val="2"/>
            <scheme val="minor"/>
          </rPr>
          <t>Descripción calculada automáticamente a partir de código del artículo</t>
        </r>
      </text>
    </comment>
    <comment ref="C3541" authorId="1" shapeId="0" xr:uid="{00000000-0006-0000-0100-0000950C0000}">
      <text>
        <r>
          <rPr>
            <sz val="11"/>
            <color theme="1"/>
            <rFont val="Calibri"/>
            <family val="2"/>
            <scheme val="minor"/>
          </rPr>
          <t>Seleccione un valor de la lista</t>
        </r>
      </text>
    </comment>
    <comment ref="D3541" authorId="1" shapeId="0" xr:uid="{00000000-0006-0000-0100-0000960C0000}">
      <text>
        <r>
          <rPr>
            <sz val="11"/>
            <color theme="1"/>
            <rFont val="Calibri"/>
            <family val="2"/>
            <scheme val="minor"/>
          </rPr>
          <t>Introduzca un número con dos decimales como máximo. Debe ser igual o mayor a la "Cantidad Real Consumida"</t>
        </r>
      </text>
    </comment>
    <comment ref="E3541" authorId="1" shapeId="0" xr:uid="{00000000-0006-0000-0100-0000970C0000}">
      <text>
        <r>
          <rPr>
            <sz val="11"/>
            <color theme="1"/>
            <rFont val="Calibri"/>
            <family val="2"/>
            <scheme val="minor"/>
          </rPr>
          <t>Introduzca un número con dos decimales como máximo</t>
        </r>
      </text>
    </comment>
    <comment ref="F3541" authorId="1" shapeId="0" xr:uid="{00000000-0006-0000-0100-0000980C0000}">
      <text>
        <r>
          <rPr>
            <sz val="11"/>
            <color theme="1"/>
            <rFont val="Calibri"/>
            <family val="2"/>
            <scheme val="minor"/>
          </rPr>
          <t>Monto calculado automáticamente por el sistema</t>
        </r>
      </text>
    </comment>
    <comment ref="A3547" authorId="1" shapeId="0" xr:uid="{00000000-0006-0000-0100-0000990C0000}">
      <text>
        <r>
          <rPr>
            <sz val="11"/>
            <color theme="1"/>
            <rFont val="Calibri"/>
            <family val="2"/>
            <scheme val="minor"/>
          </rPr>
          <t>Introducir un texto con el nombre o referencia de la contratación</t>
        </r>
      </text>
    </comment>
    <comment ref="B3547" authorId="1" shapeId="0" xr:uid="{00000000-0006-0000-0100-00009A0C0000}">
      <text>
        <r>
          <rPr>
            <sz val="11"/>
            <color theme="1"/>
            <rFont val="Calibri"/>
            <family val="2"/>
            <scheme val="minor"/>
          </rPr>
          <t>Introduzca un texto con la finalidad de la contratación</t>
        </r>
      </text>
    </comment>
    <comment ref="C3547" authorId="1" shapeId="0" xr:uid="{00000000-0006-0000-0100-00009B0C0000}">
      <text>
        <r>
          <rPr>
            <sz val="11"/>
            <color theme="1"/>
            <rFont val="Calibri"/>
            <family val="2"/>
            <scheme val="minor"/>
          </rPr>
          <t>Seleccionar un valor del listado</t>
        </r>
      </text>
    </comment>
    <comment ref="D3547" authorId="1" shapeId="0" xr:uid="{00000000-0006-0000-0100-00009C0C0000}">
      <text>
        <r>
          <rPr>
            <sz val="11"/>
            <color theme="1"/>
            <rFont val="Calibri"/>
            <family val="2"/>
            <scheme val="minor"/>
          </rPr>
          <t>Seleccione el tipo de procedimiento</t>
        </r>
      </text>
    </comment>
    <comment ref="E3547" authorId="1" shapeId="0" xr:uid="{00000000-0006-0000-0100-00009D0C0000}">
      <text>
        <r>
          <rPr>
            <sz val="11"/>
            <color theme="1"/>
            <rFont val="Calibri"/>
            <family val="2"/>
            <scheme val="minor"/>
          </rPr>
          <t>Seleccione un valor de la lista</t>
        </r>
      </text>
    </comment>
    <comment ref="F3547" authorId="1" shapeId="0" xr:uid="{00000000-0006-0000-0100-00009E0C0000}">
      <text>
        <r>
          <rPr>
            <sz val="11"/>
            <color theme="1"/>
            <rFont val="Calibri"/>
            <family val="2"/>
            <scheme val="minor"/>
          </rPr>
          <t>Introduzca el código SNIP</t>
        </r>
      </text>
    </comment>
    <comment ref="C3548" authorId="1" shapeId="0" xr:uid="{00000000-0006-0000-0100-00009F0C0000}">
      <text>
        <r>
          <rPr>
            <sz val="11"/>
            <color theme="1"/>
            <rFont val="Calibri"/>
            <family val="2"/>
            <scheme val="minor"/>
          </rPr>
          <t>Introduzca la fecha de inicio del proceso, en formato dd-mm-aaaa</t>
        </r>
      </text>
    </comment>
    <comment ref="F3548" authorId="1" shapeId="0" xr:uid="{00000000-0006-0000-0100-0000A1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49" authorId="1" shapeId="0" xr:uid="{00000000-0006-0000-0100-0000A20C0000}">
      <text/>
    </comment>
    <comment ref="C3550" authorId="1" shapeId="0" xr:uid="{00000000-0006-0000-0100-0000A00C0000}">
      <text>
        <r>
          <rPr>
            <sz val="11"/>
            <color theme="1"/>
            <rFont val="Calibri"/>
            <family val="2"/>
            <scheme val="minor"/>
          </rPr>
          <t>Introduzca la fecha prevista de adjudicación, en formato dd-mm-aaaa</t>
        </r>
      </text>
    </comment>
    <comment ref="F3550" authorId="1" shapeId="0" xr:uid="{00000000-0006-0000-0100-0000A30C0000}">
      <text/>
    </comment>
    <comment ref="F3551" authorId="1" shapeId="0" xr:uid="{00000000-0006-0000-0100-0000A40C0000}">
      <text/>
    </comment>
    <comment ref="A3553" authorId="1" shapeId="0" xr:uid="{00000000-0006-0000-0100-0000A50C0000}">
      <text>
        <r>
          <rPr>
            <sz val="11"/>
            <color theme="1"/>
            <rFont val="Calibri"/>
            <family val="2"/>
            <scheme val="minor"/>
          </rPr>
          <t>Introduzca un codigo UNSPSC</t>
        </r>
      </text>
    </comment>
    <comment ref="B3553" authorId="1" shapeId="0" xr:uid="{00000000-0006-0000-0100-0000A60C0000}">
      <text>
        <r>
          <rPr>
            <sz val="11"/>
            <color theme="1"/>
            <rFont val="Calibri"/>
            <family val="2"/>
            <scheme val="minor"/>
          </rPr>
          <t>Descripción calculada automáticamente a partir de código del artículo</t>
        </r>
      </text>
    </comment>
    <comment ref="C3553" authorId="1" shapeId="0" xr:uid="{00000000-0006-0000-0100-0000A70C0000}">
      <text>
        <r>
          <rPr>
            <sz val="11"/>
            <color theme="1"/>
            <rFont val="Calibri"/>
            <family val="2"/>
            <scheme val="minor"/>
          </rPr>
          <t>Seleccione un valor de la lista</t>
        </r>
      </text>
    </comment>
    <comment ref="D3553" authorId="1" shapeId="0" xr:uid="{00000000-0006-0000-0100-0000A80C0000}">
      <text>
        <r>
          <rPr>
            <sz val="11"/>
            <color theme="1"/>
            <rFont val="Calibri"/>
            <family val="2"/>
            <scheme val="minor"/>
          </rPr>
          <t>Introduzca un número con dos decimales como máximo. Debe ser igual o mayor a la "Cantidad Real Consumida"</t>
        </r>
      </text>
    </comment>
    <comment ref="E3553" authorId="1" shapeId="0" xr:uid="{00000000-0006-0000-0100-0000A90C0000}">
      <text>
        <r>
          <rPr>
            <sz val="11"/>
            <color theme="1"/>
            <rFont val="Calibri"/>
            <family val="2"/>
            <scheme val="minor"/>
          </rPr>
          <t>Introduzca un número con dos decimales como máximo</t>
        </r>
      </text>
    </comment>
    <comment ref="F3553" authorId="1" shapeId="0" xr:uid="{00000000-0006-0000-0100-0000AA0C0000}">
      <text>
        <r>
          <rPr>
            <sz val="11"/>
            <color theme="1"/>
            <rFont val="Calibri"/>
            <family val="2"/>
            <scheme val="minor"/>
          </rPr>
          <t>Monto calculado automáticamente por el sistema</t>
        </r>
      </text>
    </comment>
    <comment ref="A3558" authorId="1" shapeId="0" xr:uid="{00000000-0006-0000-0100-0000AB0C0000}">
      <text>
        <r>
          <rPr>
            <sz val="11"/>
            <color theme="1"/>
            <rFont val="Calibri"/>
            <family val="2"/>
            <scheme val="minor"/>
          </rPr>
          <t>Introducir un texto con el nombre o referencia de la contratación</t>
        </r>
      </text>
    </comment>
    <comment ref="B3558" authorId="1" shapeId="0" xr:uid="{00000000-0006-0000-0100-0000AC0C0000}">
      <text>
        <r>
          <rPr>
            <sz val="11"/>
            <color theme="1"/>
            <rFont val="Calibri"/>
            <family val="2"/>
            <scheme val="minor"/>
          </rPr>
          <t>Introduzca un texto con la finalidad de la contratación</t>
        </r>
      </text>
    </comment>
    <comment ref="C3558" authorId="1" shapeId="0" xr:uid="{00000000-0006-0000-0100-0000AD0C0000}">
      <text>
        <r>
          <rPr>
            <sz val="11"/>
            <color theme="1"/>
            <rFont val="Calibri"/>
            <family val="2"/>
            <scheme val="minor"/>
          </rPr>
          <t>Seleccionar un valor del listado</t>
        </r>
      </text>
    </comment>
    <comment ref="D3558" authorId="1" shapeId="0" xr:uid="{00000000-0006-0000-0100-0000AE0C0000}">
      <text>
        <r>
          <rPr>
            <sz val="11"/>
            <color theme="1"/>
            <rFont val="Calibri"/>
            <family val="2"/>
            <scheme val="minor"/>
          </rPr>
          <t>Seleccione el tipo de procedimiento</t>
        </r>
      </text>
    </comment>
    <comment ref="E3558" authorId="1" shapeId="0" xr:uid="{00000000-0006-0000-0100-0000AF0C0000}">
      <text>
        <r>
          <rPr>
            <sz val="11"/>
            <color theme="1"/>
            <rFont val="Calibri"/>
            <family val="2"/>
            <scheme val="minor"/>
          </rPr>
          <t>Seleccione un valor de la lista</t>
        </r>
      </text>
    </comment>
    <comment ref="F3558" authorId="1" shapeId="0" xr:uid="{00000000-0006-0000-0100-0000B00C0000}">
      <text>
        <r>
          <rPr>
            <sz val="11"/>
            <color theme="1"/>
            <rFont val="Calibri"/>
            <family val="2"/>
            <scheme val="minor"/>
          </rPr>
          <t>Introduzca el código SNIP</t>
        </r>
      </text>
    </comment>
    <comment ref="C3559" authorId="1" shapeId="0" xr:uid="{00000000-0006-0000-0100-0000B10C0000}">
      <text>
        <r>
          <rPr>
            <sz val="11"/>
            <color theme="1"/>
            <rFont val="Calibri"/>
            <family val="2"/>
            <scheme val="minor"/>
          </rPr>
          <t>Introduzca la fecha de inicio del proceso, en formato dd-mm-aaaa</t>
        </r>
      </text>
    </comment>
    <comment ref="F3559" authorId="1" shapeId="0" xr:uid="{00000000-0006-0000-0100-0000B3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60" authorId="1" shapeId="0" xr:uid="{00000000-0006-0000-0100-0000B40C0000}">
      <text/>
    </comment>
    <comment ref="C3561" authorId="1" shapeId="0" xr:uid="{00000000-0006-0000-0100-0000B20C0000}">
      <text>
        <r>
          <rPr>
            <sz val="11"/>
            <color theme="1"/>
            <rFont val="Calibri"/>
            <family val="2"/>
            <scheme val="minor"/>
          </rPr>
          <t>Introduzca la fecha prevista de adjudicación, en formato dd-mm-aaaa</t>
        </r>
      </text>
    </comment>
    <comment ref="F3561" authorId="1" shapeId="0" xr:uid="{00000000-0006-0000-0100-0000B50C0000}">
      <text/>
    </comment>
    <comment ref="F3562" authorId="1" shapeId="0" xr:uid="{00000000-0006-0000-0100-0000B60C0000}">
      <text/>
    </comment>
    <comment ref="A3564" authorId="1" shapeId="0" xr:uid="{00000000-0006-0000-0100-0000B70C0000}">
      <text>
        <r>
          <rPr>
            <sz val="11"/>
            <color theme="1"/>
            <rFont val="Calibri"/>
            <family val="2"/>
            <scheme val="minor"/>
          </rPr>
          <t>Introduzca un codigo UNSPSC</t>
        </r>
      </text>
    </comment>
    <comment ref="B3564" authorId="1" shapeId="0" xr:uid="{00000000-0006-0000-0100-0000B80C0000}">
      <text>
        <r>
          <rPr>
            <sz val="11"/>
            <color theme="1"/>
            <rFont val="Calibri"/>
            <family val="2"/>
            <scheme val="minor"/>
          </rPr>
          <t>Descripción calculada automáticamente a partir de código del artículo</t>
        </r>
      </text>
    </comment>
    <comment ref="C3564" authorId="1" shapeId="0" xr:uid="{00000000-0006-0000-0100-0000B90C0000}">
      <text>
        <r>
          <rPr>
            <sz val="11"/>
            <color theme="1"/>
            <rFont val="Calibri"/>
            <family val="2"/>
            <scheme val="minor"/>
          </rPr>
          <t>Seleccione un valor de la lista</t>
        </r>
      </text>
    </comment>
    <comment ref="D3564" authorId="1" shapeId="0" xr:uid="{00000000-0006-0000-0100-0000BA0C0000}">
      <text>
        <r>
          <rPr>
            <sz val="11"/>
            <color theme="1"/>
            <rFont val="Calibri"/>
            <family val="2"/>
            <scheme val="minor"/>
          </rPr>
          <t>Introduzca un número con dos decimales como máximo. Debe ser igual o mayor a la "Cantidad Real Consumida"</t>
        </r>
      </text>
    </comment>
    <comment ref="E3564" authorId="1" shapeId="0" xr:uid="{00000000-0006-0000-0100-0000BB0C0000}">
      <text>
        <r>
          <rPr>
            <sz val="11"/>
            <color theme="1"/>
            <rFont val="Calibri"/>
            <family val="2"/>
            <scheme val="minor"/>
          </rPr>
          <t>Introduzca un número con dos decimales como máximo</t>
        </r>
      </text>
    </comment>
    <comment ref="F3564" authorId="1" shapeId="0" xr:uid="{00000000-0006-0000-0100-0000BC0C0000}">
      <text>
        <r>
          <rPr>
            <sz val="11"/>
            <color theme="1"/>
            <rFont val="Calibri"/>
            <family val="2"/>
            <scheme val="minor"/>
          </rPr>
          <t>Monto calculado automáticamente por el sistema</t>
        </r>
      </text>
    </comment>
    <comment ref="A3569" authorId="1" shapeId="0" xr:uid="{00000000-0006-0000-0100-0000BD0C0000}">
      <text>
        <r>
          <rPr>
            <sz val="11"/>
            <color theme="1"/>
            <rFont val="Calibri"/>
            <family val="2"/>
            <scheme val="minor"/>
          </rPr>
          <t>Introducir un texto con el nombre o referencia de la contratación</t>
        </r>
      </text>
    </comment>
    <comment ref="B3569" authorId="1" shapeId="0" xr:uid="{00000000-0006-0000-0100-0000BE0C0000}">
      <text>
        <r>
          <rPr>
            <sz val="11"/>
            <color theme="1"/>
            <rFont val="Calibri"/>
            <family val="2"/>
            <scheme val="minor"/>
          </rPr>
          <t>Introduzca un texto con la finalidad de la contratación</t>
        </r>
      </text>
    </comment>
    <comment ref="C3569" authorId="1" shapeId="0" xr:uid="{00000000-0006-0000-0100-0000BF0C0000}">
      <text>
        <r>
          <rPr>
            <sz val="11"/>
            <color theme="1"/>
            <rFont val="Calibri"/>
            <family val="2"/>
            <scheme val="minor"/>
          </rPr>
          <t>Seleccionar un valor del listado</t>
        </r>
      </text>
    </comment>
    <comment ref="D3569" authorId="1" shapeId="0" xr:uid="{00000000-0006-0000-0100-0000C00C0000}">
      <text>
        <r>
          <rPr>
            <sz val="11"/>
            <color theme="1"/>
            <rFont val="Calibri"/>
            <family val="2"/>
            <scheme val="minor"/>
          </rPr>
          <t>Seleccione el tipo de procedimiento</t>
        </r>
      </text>
    </comment>
    <comment ref="E3569" authorId="1" shapeId="0" xr:uid="{00000000-0006-0000-0100-0000C10C0000}">
      <text>
        <r>
          <rPr>
            <sz val="11"/>
            <color theme="1"/>
            <rFont val="Calibri"/>
            <family val="2"/>
            <scheme val="minor"/>
          </rPr>
          <t>Seleccione un valor de la lista</t>
        </r>
      </text>
    </comment>
    <comment ref="F3569" authorId="1" shapeId="0" xr:uid="{00000000-0006-0000-0100-0000C20C0000}">
      <text>
        <r>
          <rPr>
            <sz val="11"/>
            <color theme="1"/>
            <rFont val="Calibri"/>
            <family val="2"/>
            <scheme val="minor"/>
          </rPr>
          <t>Introduzca el código SNIP</t>
        </r>
      </text>
    </comment>
    <comment ref="C3570" authorId="1" shapeId="0" xr:uid="{00000000-0006-0000-0100-0000C30C0000}">
      <text>
        <r>
          <rPr>
            <sz val="11"/>
            <color theme="1"/>
            <rFont val="Calibri"/>
            <family val="2"/>
            <scheme val="minor"/>
          </rPr>
          <t>Introduzca la fecha de inicio del proceso, en formato dd-mm-aaaa</t>
        </r>
      </text>
    </comment>
    <comment ref="F3570" authorId="1" shapeId="0" xr:uid="{00000000-0006-0000-0100-0000C5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71" authorId="1" shapeId="0" xr:uid="{00000000-0006-0000-0100-0000C60C0000}">
      <text/>
    </comment>
    <comment ref="C3572" authorId="1" shapeId="0" xr:uid="{00000000-0006-0000-0100-0000C40C0000}">
      <text>
        <r>
          <rPr>
            <sz val="11"/>
            <color theme="1"/>
            <rFont val="Calibri"/>
            <family val="2"/>
            <scheme val="minor"/>
          </rPr>
          <t>Introduzca la fecha prevista de adjudicación, en formato dd-mm-aaaa</t>
        </r>
      </text>
    </comment>
    <comment ref="F3572" authorId="1" shapeId="0" xr:uid="{00000000-0006-0000-0100-0000C70C0000}">
      <text/>
    </comment>
    <comment ref="F3573" authorId="1" shapeId="0" xr:uid="{00000000-0006-0000-0100-0000C80C0000}">
      <text/>
    </comment>
    <comment ref="A3575" authorId="1" shapeId="0" xr:uid="{00000000-0006-0000-0100-0000C90C0000}">
      <text>
        <r>
          <rPr>
            <sz val="11"/>
            <color theme="1"/>
            <rFont val="Calibri"/>
            <family val="2"/>
            <scheme val="minor"/>
          </rPr>
          <t>Introduzca un codigo UNSPSC</t>
        </r>
      </text>
    </comment>
    <comment ref="B3575" authorId="1" shapeId="0" xr:uid="{00000000-0006-0000-0100-0000CA0C0000}">
      <text>
        <r>
          <rPr>
            <sz val="11"/>
            <color theme="1"/>
            <rFont val="Calibri"/>
            <family val="2"/>
            <scheme val="minor"/>
          </rPr>
          <t>Descripción calculada automáticamente a partir de código del artículo</t>
        </r>
      </text>
    </comment>
    <comment ref="C3575" authorId="1" shapeId="0" xr:uid="{00000000-0006-0000-0100-0000CB0C0000}">
      <text>
        <r>
          <rPr>
            <sz val="11"/>
            <color theme="1"/>
            <rFont val="Calibri"/>
            <family val="2"/>
            <scheme val="minor"/>
          </rPr>
          <t>Seleccione un valor de la lista</t>
        </r>
      </text>
    </comment>
    <comment ref="D3575" authorId="1" shapeId="0" xr:uid="{00000000-0006-0000-0100-0000CC0C0000}">
      <text>
        <r>
          <rPr>
            <sz val="11"/>
            <color theme="1"/>
            <rFont val="Calibri"/>
            <family val="2"/>
            <scheme val="minor"/>
          </rPr>
          <t>Introduzca un número con dos decimales como máximo. Debe ser igual o mayor a la "Cantidad Real Consumida"</t>
        </r>
      </text>
    </comment>
    <comment ref="E3575" authorId="1" shapeId="0" xr:uid="{00000000-0006-0000-0100-0000CD0C0000}">
      <text>
        <r>
          <rPr>
            <sz val="11"/>
            <color theme="1"/>
            <rFont val="Calibri"/>
            <family val="2"/>
            <scheme val="minor"/>
          </rPr>
          <t>Introduzca un número con dos decimales como máximo</t>
        </r>
      </text>
    </comment>
    <comment ref="F3575" authorId="1" shapeId="0" xr:uid="{00000000-0006-0000-0100-0000CE0C0000}">
      <text>
        <r>
          <rPr>
            <sz val="11"/>
            <color theme="1"/>
            <rFont val="Calibri"/>
            <family val="2"/>
            <scheme val="minor"/>
          </rPr>
          <t>Monto calculado automáticamente por el sistema</t>
        </r>
      </text>
    </comment>
    <comment ref="A3580" authorId="1" shapeId="0" xr:uid="{00000000-0006-0000-0100-0000CF0C0000}">
      <text>
        <r>
          <rPr>
            <sz val="11"/>
            <color theme="1"/>
            <rFont val="Calibri"/>
            <family val="2"/>
            <scheme val="minor"/>
          </rPr>
          <t>Introducir un texto con el nombre o referencia de la contratación</t>
        </r>
      </text>
    </comment>
    <comment ref="B3580" authorId="1" shapeId="0" xr:uid="{00000000-0006-0000-0100-0000D00C0000}">
      <text>
        <r>
          <rPr>
            <sz val="11"/>
            <color theme="1"/>
            <rFont val="Calibri"/>
            <family val="2"/>
            <scheme val="minor"/>
          </rPr>
          <t>Introduzca un texto con la finalidad de la contratación</t>
        </r>
      </text>
    </comment>
    <comment ref="C3580" authorId="1" shapeId="0" xr:uid="{00000000-0006-0000-0100-0000D10C0000}">
      <text>
        <r>
          <rPr>
            <sz val="11"/>
            <color theme="1"/>
            <rFont val="Calibri"/>
            <family val="2"/>
            <scheme val="minor"/>
          </rPr>
          <t>Seleccionar un valor del listado</t>
        </r>
      </text>
    </comment>
    <comment ref="D3580" authorId="1" shapeId="0" xr:uid="{00000000-0006-0000-0100-0000D20C0000}">
      <text>
        <r>
          <rPr>
            <sz val="11"/>
            <color theme="1"/>
            <rFont val="Calibri"/>
            <family val="2"/>
            <scheme val="minor"/>
          </rPr>
          <t>Seleccione el tipo de procedimiento</t>
        </r>
      </text>
    </comment>
    <comment ref="E3580" authorId="1" shapeId="0" xr:uid="{00000000-0006-0000-0100-0000D30C0000}">
      <text>
        <r>
          <rPr>
            <sz val="11"/>
            <color theme="1"/>
            <rFont val="Calibri"/>
            <family val="2"/>
            <scheme val="minor"/>
          </rPr>
          <t>Seleccione un valor de la lista</t>
        </r>
      </text>
    </comment>
    <comment ref="F3580" authorId="1" shapeId="0" xr:uid="{00000000-0006-0000-0100-0000D40C0000}">
      <text>
        <r>
          <rPr>
            <sz val="11"/>
            <color theme="1"/>
            <rFont val="Calibri"/>
            <family val="2"/>
            <scheme val="minor"/>
          </rPr>
          <t>Introduzca el código SNIP</t>
        </r>
      </text>
    </comment>
    <comment ref="C3581" authorId="1" shapeId="0" xr:uid="{00000000-0006-0000-0100-0000D50C0000}">
      <text>
        <r>
          <rPr>
            <sz val="11"/>
            <color theme="1"/>
            <rFont val="Calibri"/>
            <family val="2"/>
            <scheme val="minor"/>
          </rPr>
          <t>Introduzca la fecha de inicio del proceso, en formato dd-mm-aaaa</t>
        </r>
      </text>
    </comment>
    <comment ref="F3581" authorId="1" shapeId="0" xr:uid="{00000000-0006-0000-0100-0000D7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82" authorId="1" shapeId="0" xr:uid="{00000000-0006-0000-0100-0000D80C0000}">
      <text/>
    </comment>
    <comment ref="C3583" authorId="1" shapeId="0" xr:uid="{00000000-0006-0000-0100-0000D60C0000}">
      <text>
        <r>
          <rPr>
            <sz val="11"/>
            <color theme="1"/>
            <rFont val="Calibri"/>
            <family val="2"/>
            <scheme val="minor"/>
          </rPr>
          <t>Introduzca la fecha prevista de adjudicación, en formato dd-mm-aaaa</t>
        </r>
      </text>
    </comment>
    <comment ref="F3583" authorId="1" shapeId="0" xr:uid="{00000000-0006-0000-0100-0000D90C0000}">
      <text/>
    </comment>
    <comment ref="F3584" authorId="1" shapeId="0" xr:uid="{00000000-0006-0000-0100-0000DA0C0000}">
      <text/>
    </comment>
    <comment ref="A3586" authorId="1" shapeId="0" xr:uid="{00000000-0006-0000-0100-0000DB0C0000}">
      <text>
        <r>
          <rPr>
            <sz val="11"/>
            <color theme="1"/>
            <rFont val="Calibri"/>
            <family val="2"/>
            <scheme val="minor"/>
          </rPr>
          <t>Introduzca un codigo UNSPSC</t>
        </r>
      </text>
    </comment>
    <comment ref="B3586" authorId="1" shapeId="0" xr:uid="{00000000-0006-0000-0100-0000DC0C0000}">
      <text>
        <r>
          <rPr>
            <sz val="11"/>
            <color theme="1"/>
            <rFont val="Calibri"/>
            <family val="2"/>
            <scheme val="minor"/>
          </rPr>
          <t>Descripción calculada automáticamente a partir de código del artículo</t>
        </r>
      </text>
    </comment>
    <comment ref="C3586" authorId="1" shapeId="0" xr:uid="{00000000-0006-0000-0100-0000DD0C0000}">
      <text>
        <r>
          <rPr>
            <sz val="11"/>
            <color theme="1"/>
            <rFont val="Calibri"/>
            <family val="2"/>
            <scheme val="minor"/>
          </rPr>
          <t>Seleccione un valor de la lista</t>
        </r>
      </text>
    </comment>
    <comment ref="D3586" authorId="1" shapeId="0" xr:uid="{00000000-0006-0000-0100-0000DE0C0000}">
      <text>
        <r>
          <rPr>
            <sz val="11"/>
            <color theme="1"/>
            <rFont val="Calibri"/>
            <family val="2"/>
            <scheme val="minor"/>
          </rPr>
          <t>Introduzca un número con dos decimales como máximo. Debe ser igual o mayor a la "Cantidad Real Consumida"</t>
        </r>
      </text>
    </comment>
    <comment ref="E3586" authorId="1" shapeId="0" xr:uid="{00000000-0006-0000-0100-0000DF0C0000}">
      <text>
        <r>
          <rPr>
            <sz val="11"/>
            <color theme="1"/>
            <rFont val="Calibri"/>
            <family val="2"/>
            <scheme val="minor"/>
          </rPr>
          <t>Introduzca un número con dos decimales como máximo</t>
        </r>
      </text>
    </comment>
    <comment ref="F3586" authorId="1" shapeId="0" xr:uid="{00000000-0006-0000-0100-0000E00C0000}">
      <text>
        <r>
          <rPr>
            <sz val="11"/>
            <color theme="1"/>
            <rFont val="Calibri"/>
            <family val="2"/>
            <scheme val="minor"/>
          </rPr>
          <t>Monto calculado automáticamente por el sistema</t>
        </r>
      </text>
    </comment>
    <comment ref="A3591" authorId="1" shapeId="0" xr:uid="{00000000-0006-0000-0100-0000E10C0000}">
      <text>
        <r>
          <rPr>
            <sz val="11"/>
            <color theme="1"/>
            <rFont val="Calibri"/>
            <family val="2"/>
            <scheme val="minor"/>
          </rPr>
          <t>Introducir un texto con el nombre o referencia de la contratación</t>
        </r>
      </text>
    </comment>
    <comment ref="B3591" authorId="1" shapeId="0" xr:uid="{00000000-0006-0000-0100-0000E20C0000}">
      <text>
        <r>
          <rPr>
            <sz val="11"/>
            <color theme="1"/>
            <rFont val="Calibri"/>
            <family val="2"/>
            <scheme val="minor"/>
          </rPr>
          <t>Introduzca un texto con la finalidad de la contratación</t>
        </r>
      </text>
    </comment>
    <comment ref="C3591" authorId="1" shapeId="0" xr:uid="{00000000-0006-0000-0100-0000E30C0000}">
      <text>
        <r>
          <rPr>
            <sz val="11"/>
            <color theme="1"/>
            <rFont val="Calibri"/>
            <family val="2"/>
            <scheme val="minor"/>
          </rPr>
          <t>Seleccionar un valor del listado</t>
        </r>
      </text>
    </comment>
    <comment ref="D3591" authorId="1" shapeId="0" xr:uid="{00000000-0006-0000-0100-0000E40C0000}">
      <text>
        <r>
          <rPr>
            <sz val="11"/>
            <color theme="1"/>
            <rFont val="Calibri"/>
            <family val="2"/>
            <scheme val="minor"/>
          </rPr>
          <t>Seleccione el tipo de procedimiento</t>
        </r>
      </text>
    </comment>
    <comment ref="E3591" authorId="1" shapeId="0" xr:uid="{00000000-0006-0000-0100-0000E50C0000}">
      <text>
        <r>
          <rPr>
            <sz val="11"/>
            <color theme="1"/>
            <rFont val="Calibri"/>
            <family val="2"/>
            <scheme val="minor"/>
          </rPr>
          <t>Seleccione un valor de la lista</t>
        </r>
      </text>
    </comment>
    <comment ref="F3591" authorId="1" shapeId="0" xr:uid="{00000000-0006-0000-0100-0000E60C0000}">
      <text>
        <r>
          <rPr>
            <sz val="11"/>
            <color theme="1"/>
            <rFont val="Calibri"/>
            <family val="2"/>
            <scheme val="minor"/>
          </rPr>
          <t>Introduzca el código SNIP</t>
        </r>
      </text>
    </comment>
    <comment ref="C3592" authorId="1" shapeId="0" xr:uid="{00000000-0006-0000-0100-0000E70C0000}">
      <text>
        <r>
          <rPr>
            <sz val="11"/>
            <color theme="1"/>
            <rFont val="Calibri"/>
            <family val="2"/>
            <scheme val="minor"/>
          </rPr>
          <t>Introduzca la fecha de inicio del proceso, en formato dd-mm-aaaa</t>
        </r>
      </text>
    </comment>
    <comment ref="F3592" authorId="1" shapeId="0" xr:uid="{00000000-0006-0000-0100-0000E9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93" authorId="1" shapeId="0" xr:uid="{00000000-0006-0000-0100-0000EA0C0000}">
      <text/>
    </comment>
    <comment ref="C3594" authorId="1" shapeId="0" xr:uid="{00000000-0006-0000-0100-0000E80C0000}">
      <text>
        <r>
          <rPr>
            <sz val="11"/>
            <color theme="1"/>
            <rFont val="Calibri"/>
            <family val="2"/>
            <scheme val="minor"/>
          </rPr>
          <t>Introduzca la fecha prevista de adjudicación, en formato dd-mm-aaaa</t>
        </r>
      </text>
    </comment>
    <comment ref="F3594" authorId="1" shapeId="0" xr:uid="{00000000-0006-0000-0100-0000EB0C0000}">
      <text/>
    </comment>
    <comment ref="F3595" authorId="1" shapeId="0" xr:uid="{00000000-0006-0000-0100-0000EC0C0000}">
      <text/>
    </comment>
    <comment ref="A3597" authorId="1" shapeId="0" xr:uid="{00000000-0006-0000-0100-0000ED0C0000}">
      <text>
        <r>
          <rPr>
            <sz val="11"/>
            <color theme="1"/>
            <rFont val="Calibri"/>
            <family val="2"/>
            <scheme val="minor"/>
          </rPr>
          <t>Introduzca un codigo UNSPSC</t>
        </r>
      </text>
    </comment>
    <comment ref="B3597" authorId="1" shapeId="0" xr:uid="{00000000-0006-0000-0100-0000EE0C0000}">
      <text>
        <r>
          <rPr>
            <sz val="11"/>
            <color theme="1"/>
            <rFont val="Calibri"/>
            <family val="2"/>
            <scheme val="minor"/>
          </rPr>
          <t>Descripción calculada automáticamente a partir de código del artículo</t>
        </r>
      </text>
    </comment>
    <comment ref="C3597" authorId="1" shapeId="0" xr:uid="{00000000-0006-0000-0100-0000EF0C0000}">
      <text>
        <r>
          <rPr>
            <sz val="11"/>
            <color theme="1"/>
            <rFont val="Calibri"/>
            <family val="2"/>
            <scheme val="minor"/>
          </rPr>
          <t>Seleccione un valor de la lista</t>
        </r>
      </text>
    </comment>
    <comment ref="D3597" authorId="1" shapeId="0" xr:uid="{00000000-0006-0000-0100-0000F00C0000}">
      <text>
        <r>
          <rPr>
            <sz val="11"/>
            <color theme="1"/>
            <rFont val="Calibri"/>
            <family val="2"/>
            <scheme val="minor"/>
          </rPr>
          <t>Introduzca un número con dos decimales como máximo. Debe ser igual o mayor a la "Cantidad Real Consumida"</t>
        </r>
      </text>
    </comment>
    <comment ref="E3597" authorId="1" shapeId="0" xr:uid="{00000000-0006-0000-0100-0000F10C0000}">
      <text>
        <r>
          <rPr>
            <sz val="11"/>
            <color theme="1"/>
            <rFont val="Calibri"/>
            <family val="2"/>
            <scheme val="minor"/>
          </rPr>
          <t>Introduzca un número con dos decimales como máximo</t>
        </r>
      </text>
    </comment>
    <comment ref="F3597" authorId="1" shapeId="0" xr:uid="{00000000-0006-0000-0100-0000F20C0000}">
      <text>
        <r>
          <rPr>
            <sz val="11"/>
            <color theme="1"/>
            <rFont val="Calibri"/>
            <family val="2"/>
            <scheme val="minor"/>
          </rPr>
          <t>Monto calculado automáticamente por el sistema</t>
        </r>
      </text>
    </comment>
    <comment ref="A3603" authorId="1" shapeId="0" xr:uid="{00000000-0006-0000-0100-0000F30C0000}">
      <text>
        <r>
          <rPr>
            <sz val="11"/>
            <color theme="1"/>
            <rFont val="Calibri"/>
            <family val="2"/>
            <scheme val="minor"/>
          </rPr>
          <t>Introducir un texto con el nombre o referencia de la contratación</t>
        </r>
      </text>
    </comment>
    <comment ref="B3603" authorId="1" shapeId="0" xr:uid="{00000000-0006-0000-0100-0000F40C0000}">
      <text>
        <r>
          <rPr>
            <sz val="11"/>
            <color theme="1"/>
            <rFont val="Calibri"/>
            <family val="2"/>
            <scheme val="minor"/>
          </rPr>
          <t>Introduzca un texto con la finalidad de la contratación</t>
        </r>
      </text>
    </comment>
    <comment ref="C3603" authorId="1" shapeId="0" xr:uid="{00000000-0006-0000-0100-0000F50C0000}">
      <text>
        <r>
          <rPr>
            <sz val="11"/>
            <color theme="1"/>
            <rFont val="Calibri"/>
            <family val="2"/>
            <scheme val="minor"/>
          </rPr>
          <t>Seleccionar un valor del listado</t>
        </r>
      </text>
    </comment>
    <comment ref="D3603" authorId="1" shapeId="0" xr:uid="{00000000-0006-0000-0100-0000F60C0000}">
      <text>
        <r>
          <rPr>
            <sz val="11"/>
            <color theme="1"/>
            <rFont val="Calibri"/>
            <family val="2"/>
            <scheme val="minor"/>
          </rPr>
          <t>Seleccione el tipo de procedimiento</t>
        </r>
      </text>
    </comment>
    <comment ref="E3603" authorId="1" shapeId="0" xr:uid="{00000000-0006-0000-0100-0000F70C0000}">
      <text>
        <r>
          <rPr>
            <sz val="11"/>
            <color theme="1"/>
            <rFont val="Calibri"/>
            <family val="2"/>
            <scheme val="minor"/>
          </rPr>
          <t>Seleccione un valor de la lista</t>
        </r>
      </text>
    </comment>
    <comment ref="F3603" authorId="1" shapeId="0" xr:uid="{00000000-0006-0000-0100-0000F80C0000}">
      <text>
        <r>
          <rPr>
            <sz val="11"/>
            <color theme="1"/>
            <rFont val="Calibri"/>
            <family val="2"/>
            <scheme val="minor"/>
          </rPr>
          <t>Introduzca el código SNIP</t>
        </r>
      </text>
    </comment>
    <comment ref="C3604" authorId="1" shapeId="0" xr:uid="{00000000-0006-0000-0100-0000F90C0000}">
      <text>
        <r>
          <rPr>
            <sz val="11"/>
            <color theme="1"/>
            <rFont val="Calibri"/>
            <family val="2"/>
            <scheme val="minor"/>
          </rPr>
          <t>Introduzca la fecha de inicio del proceso, en formato dd-mm-aaaa</t>
        </r>
      </text>
    </comment>
    <comment ref="F3604" authorId="1" shapeId="0" xr:uid="{00000000-0006-0000-0100-0000FB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05" authorId="1" shapeId="0" xr:uid="{00000000-0006-0000-0100-0000FC0C0000}">
      <text/>
    </comment>
    <comment ref="C3606" authorId="1" shapeId="0" xr:uid="{00000000-0006-0000-0100-0000FA0C0000}">
      <text>
        <r>
          <rPr>
            <sz val="11"/>
            <color theme="1"/>
            <rFont val="Calibri"/>
            <family val="2"/>
            <scheme val="minor"/>
          </rPr>
          <t>Introduzca la fecha prevista de adjudicación, en formato dd-mm-aaaa</t>
        </r>
      </text>
    </comment>
    <comment ref="F3606" authorId="1" shapeId="0" xr:uid="{00000000-0006-0000-0100-0000FD0C0000}">
      <text/>
    </comment>
    <comment ref="F3607" authorId="1" shapeId="0" xr:uid="{00000000-0006-0000-0100-0000FE0C0000}">
      <text/>
    </comment>
    <comment ref="A3609" authorId="1" shapeId="0" xr:uid="{00000000-0006-0000-0100-0000FF0C0000}">
      <text>
        <r>
          <rPr>
            <sz val="11"/>
            <color theme="1"/>
            <rFont val="Calibri"/>
            <family val="2"/>
            <scheme val="minor"/>
          </rPr>
          <t>Introduzca un codigo UNSPSC</t>
        </r>
      </text>
    </comment>
    <comment ref="B3609" authorId="1" shapeId="0" xr:uid="{00000000-0006-0000-0100-0000000D0000}">
      <text>
        <r>
          <rPr>
            <sz val="11"/>
            <color theme="1"/>
            <rFont val="Calibri"/>
            <family val="2"/>
            <scheme val="minor"/>
          </rPr>
          <t>Descripción calculada automáticamente a partir de código del artículo</t>
        </r>
      </text>
    </comment>
    <comment ref="C3609" authorId="1" shapeId="0" xr:uid="{00000000-0006-0000-0100-0000010D0000}">
      <text>
        <r>
          <rPr>
            <sz val="11"/>
            <color theme="1"/>
            <rFont val="Calibri"/>
            <family val="2"/>
            <scheme val="minor"/>
          </rPr>
          <t>Seleccione un valor de la lista</t>
        </r>
      </text>
    </comment>
    <comment ref="D3609" authorId="1" shapeId="0" xr:uid="{00000000-0006-0000-0100-0000020D0000}">
      <text>
        <r>
          <rPr>
            <sz val="11"/>
            <color theme="1"/>
            <rFont val="Calibri"/>
            <family val="2"/>
            <scheme val="minor"/>
          </rPr>
          <t>Introduzca un número con dos decimales como máximo. Debe ser igual o mayor a la "Cantidad Real Consumida"</t>
        </r>
      </text>
    </comment>
    <comment ref="E3609" authorId="1" shapeId="0" xr:uid="{00000000-0006-0000-0100-0000030D0000}">
      <text>
        <r>
          <rPr>
            <sz val="11"/>
            <color theme="1"/>
            <rFont val="Calibri"/>
            <family val="2"/>
            <scheme val="minor"/>
          </rPr>
          <t>Introduzca un número con dos decimales como máximo</t>
        </r>
      </text>
    </comment>
    <comment ref="F3609" authorId="1" shapeId="0" xr:uid="{00000000-0006-0000-0100-0000040D0000}">
      <text>
        <r>
          <rPr>
            <sz val="11"/>
            <color theme="1"/>
            <rFont val="Calibri"/>
            <family val="2"/>
            <scheme val="minor"/>
          </rPr>
          <t>Monto calculado automáticamente por el sistema</t>
        </r>
      </text>
    </comment>
    <comment ref="A3614" authorId="1" shapeId="0" xr:uid="{00000000-0006-0000-0100-0000050D0000}">
      <text>
        <r>
          <rPr>
            <sz val="11"/>
            <color theme="1"/>
            <rFont val="Calibri"/>
            <family val="2"/>
            <scheme val="minor"/>
          </rPr>
          <t>Introducir un texto con el nombre o referencia de la contratación</t>
        </r>
      </text>
    </comment>
    <comment ref="B3614" authorId="1" shapeId="0" xr:uid="{00000000-0006-0000-0100-0000060D0000}">
      <text>
        <r>
          <rPr>
            <sz val="11"/>
            <color theme="1"/>
            <rFont val="Calibri"/>
            <family val="2"/>
            <scheme val="minor"/>
          </rPr>
          <t>Introduzca un texto con la finalidad de la contratación</t>
        </r>
      </text>
    </comment>
    <comment ref="C3614" authorId="1" shapeId="0" xr:uid="{00000000-0006-0000-0100-0000070D0000}">
      <text>
        <r>
          <rPr>
            <sz val="11"/>
            <color theme="1"/>
            <rFont val="Calibri"/>
            <family val="2"/>
            <scheme val="minor"/>
          </rPr>
          <t>Seleccionar un valor del listado</t>
        </r>
      </text>
    </comment>
    <comment ref="D3614" authorId="1" shapeId="0" xr:uid="{00000000-0006-0000-0100-0000080D0000}">
      <text>
        <r>
          <rPr>
            <sz val="11"/>
            <color theme="1"/>
            <rFont val="Calibri"/>
            <family val="2"/>
            <scheme val="minor"/>
          </rPr>
          <t>Seleccione el tipo de procedimiento</t>
        </r>
      </text>
    </comment>
    <comment ref="E3614" authorId="1" shapeId="0" xr:uid="{00000000-0006-0000-0100-0000090D0000}">
      <text>
        <r>
          <rPr>
            <sz val="11"/>
            <color theme="1"/>
            <rFont val="Calibri"/>
            <family val="2"/>
            <scheme val="minor"/>
          </rPr>
          <t>Seleccione un valor de la lista</t>
        </r>
      </text>
    </comment>
    <comment ref="F3614" authorId="1" shapeId="0" xr:uid="{00000000-0006-0000-0100-00000A0D0000}">
      <text>
        <r>
          <rPr>
            <sz val="11"/>
            <color theme="1"/>
            <rFont val="Calibri"/>
            <family val="2"/>
            <scheme val="minor"/>
          </rPr>
          <t>Introduzca el código SNIP</t>
        </r>
      </text>
    </comment>
    <comment ref="C3615" authorId="1" shapeId="0" xr:uid="{00000000-0006-0000-0100-00000B0D0000}">
      <text>
        <r>
          <rPr>
            <sz val="11"/>
            <color theme="1"/>
            <rFont val="Calibri"/>
            <family val="2"/>
            <scheme val="minor"/>
          </rPr>
          <t>Introduzca la fecha de inicio del proceso, en formato dd-mm-aaaa</t>
        </r>
      </text>
    </comment>
    <comment ref="F3615" authorId="1" shapeId="0" xr:uid="{00000000-0006-0000-0100-00000D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16" authorId="1" shapeId="0" xr:uid="{00000000-0006-0000-0100-00000E0D0000}">
      <text/>
    </comment>
    <comment ref="C3617" authorId="1" shapeId="0" xr:uid="{00000000-0006-0000-0100-00000C0D0000}">
      <text>
        <r>
          <rPr>
            <sz val="11"/>
            <color theme="1"/>
            <rFont val="Calibri"/>
            <family val="2"/>
            <scheme val="minor"/>
          </rPr>
          <t>Introduzca la fecha prevista de adjudicación, en formato dd-mm-aaaa</t>
        </r>
      </text>
    </comment>
    <comment ref="F3617" authorId="1" shapeId="0" xr:uid="{00000000-0006-0000-0100-00000F0D0000}">
      <text/>
    </comment>
    <comment ref="F3618" authorId="1" shapeId="0" xr:uid="{00000000-0006-0000-0100-0000100D0000}">
      <text/>
    </comment>
    <comment ref="A3620" authorId="1" shapeId="0" xr:uid="{00000000-0006-0000-0100-0000110D0000}">
      <text>
        <r>
          <rPr>
            <sz val="11"/>
            <color theme="1"/>
            <rFont val="Calibri"/>
            <family val="2"/>
            <scheme val="minor"/>
          </rPr>
          <t>Introduzca un codigo UNSPSC</t>
        </r>
      </text>
    </comment>
    <comment ref="B3620" authorId="1" shapeId="0" xr:uid="{00000000-0006-0000-0100-0000120D0000}">
      <text>
        <r>
          <rPr>
            <sz val="11"/>
            <color theme="1"/>
            <rFont val="Calibri"/>
            <family val="2"/>
            <scheme val="minor"/>
          </rPr>
          <t>Descripción calculada automáticamente a partir de código del artículo</t>
        </r>
      </text>
    </comment>
    <comment ref="C3620" authorId="1" shapeId="0" xr:uid="{00000000-0006-0000-0100-0000130D0000}">
      <text>
        <r>
          <rPr>
            <sz val="11"/>
            <color theme="1"/>
            <rFont val="Calibri"/>
            <family val="2"/>
            <scheme val="minor"/>
          </rPr>
          <t>Seleccione un valor de la lista</t>
        </r>
      </text>
    </comment>
    <comment ref="D3620" authorId="1" shapeId="0" xr:uid="{00000000-0006-0000-0100-0000140D0000}">
      <text>
        <r>
          <rPr>
            <sz val="11"/>
            <color theme="1"/>
            <rFont val="Calibri"/>
            <family val="2"/>
            <scheme val="minor"/>
          </rPr>
          <t>Introduzca un número con dos decimales como máximo. Debe ser igual o mayor a la "Cantidad Real Consumida"</t>
        </r>
      </text>
    </comment>
    <comment ref="E3620" authorId="1" shapeId="0" xr:uid="{00000000-0006-0000-0100-0000150D0000}">
      <text>
        <r>
          <rPr>
            <sz val="11"/>
            <color theme="1"/>
            <rFont val="Calibri"/>
            <family val="2"/>
            <scheme val="minor"/>
          </rPr>
          <t>Introduzca un número con dos decimales como máximo</t>
        </r>
      </text>
    </comment>
    <comment ref="F3620" authorId="1" shapeId="0" xr:uid="{00000000-0006-0000-0100-0000160D0000}">
      <text>
        <r>
          <rPr>
            <sz val="11"/>
            <color theme="1"/>
            <rFont val="Calibri"/>
            <family val="2"/>
            <scheme val="minor"/>
          </rPr>
          <t>Monto calculado automáticamente por el sistema</t>
        </r>
      </text>
    </comment>
    <comment ref="A3630" authorId="1" shapeId="0" xr:uid="{00000000-0006-0000-0100-0000170D0000}">
      <text>
        <r>
          <rPr>
            <sz val="11"/>
            <color theme="1"/>
            <rFont val="Calibri"/>
            <family val="2"/>
            <scheme val="minor"/>
          </rPr>
          <t>Introducir un texto con el nombre o referencia de la contratación</t>
        </r>
      </text>
    </comment>
    <comment ref="B3630" authorId="1" shapeId="0" xr:uid="{00000000-0006-0000-0100-0000180D0000}">
      <text>
        <r>
          <rPr>
            <sz val="11"/>
            <color theme="1"/>
            <rFont val="Calibri"/>
            <family val="2"/>
            <scheme val="minor"/>
          </rPr>
          <t>Introduzca un texto con la finalidad de la contratación</t>
        </r>
      </text>
    </comment>
    <comment ref="C3630" authorId="1" shapeId="0" xr:uid="{00000000-0006-0000-0100-0000190D0000}">
      <text>
        <r>
          <rPr>
            <sz val="11"/>
            <color theme="1"/>
            <rFont val="Calibri"/>
            <family val="2"/>
            <scheme val="minor"/>
          </rPr>
          <t>Seleccionar un valor del listado</t>
        </r>
      </text>
    </comment>
    <comment ref="D3630" authorId="1" shapeId="0" xr:uid="{00000000-0006-0000-0100-00001A0D0000}">
      <text>
        <r>
          <rPr>
            <sz val="11"/>
            <color theme="1"/>
            <rFont val="Calibri"/>
            <family val="2"/>
            <scheme val="minor"/>
          </rPr>
          <t>Seleccione el tipo de procedimiento</t>
        </r>
      </text>
    </comment>
    <comment ref="E3630" authorId="1" shapeId="0" xr:uid="{00000000-0006-0000-0100-00001B0D0000}">
      <text>
        <r>
          <rPr>
            <sz val="11"/>
            <color theme="1"/>
            <rFont val="Calibri"/>
            <family val="2"/>
            <scheme val="minor"/>
          </rPr>
          <t>Seleccione un valor de la lista</t>
        </r>
      </text>
    </comment>
    <comment ref="F3630" authorId="1" shapeId="0" xr:uid="{00000000-0006-0000-0100-00001C0D0000}">
      <text>
        <r>
          <rPr>
            <sz val="11"/>
            <color theme="1"/>
            <rFont val="Calibri"/>
            <family val="2"/>
            <scheme val="minor"/>
          </rPr>
          <t>Introduzca el código SNIP</t>
        </r>
      </text>
    </comment>
    <comment ref="C3631" authorId="1" shapeId="0" xr:uid="{00000000-0006-0000-0100-00001D0D0000}">
      <text>
        <r>
          <rPr>
            <sz val="11"/>
            <color theme="1"/>
            <rFont val="Calibri"/>
            <family val="2"/>
            <scheme val="minor"/>
          </rPr>
          <t>Introduzca la fecha de inicio del proceso, en formato dd-mm-aaaa</t>
        </r>
      </text>
    </comment>
    <comment ref="F3631" authorId="1" shapeId="0" xr:uid="{00000000-0006-0000-0100-00001F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32" authorId="1" shapeId="0" xr:uid="{00000000-0006-0000-0100-0000200D0000}">
      <text/>
    </comment>
    <comment ref="C3633" authorId="1" shapeId="0" xr:uid="{00000000-0006-0000-0100-00001E0D0000}">
      <text>
        <r>
          <rPr>
            <sz val="11"/>
            <color theme="1"/>
            <rFont val="Calibri"/>
            <family val="2"/>
            <scheme val="minor"/>
          </rPr>
          <t>Introduzca la fecha prevista de adjudicación, en formato dd-mm-aaaa</t>
        </r>
      </text>
    </comment>
    <comment ref="F3633" authorId="1" shapeId="0" xr:uid="{00000000-0006-0000-0100-0000210D0000}">
      <text/>
    </comment>
    <comment ref="F3634" authorId="1" shapeId="0" xr:uid="{00000000-0006-0000-0100-0000220D0000}">
      <text/>
    </comment>
    <comment ref="A3636" authorId="1" shapeId="0" xr:uid="{00000000-0006-0000-0100-0000230D0000}">
      <text>
        <r>
          <rPr>
            <sz val="11"/>
            <color theme="1"/>
            <rFont val="Calibri"/>
            <family val="2"/>
            <scheme val="minor"/>
          </rPr>
          <t>Introduzca un codigo UNSPSC</t>
        </r>
      </text>
    </comment>
    <comment ref="B3636" authorId="1" shapeId="0" xr:uid="{00000000-0006-0000-0100-0000240D0000}">
      <text>
        <r>
          <rPr>
            <sz val="11"/>
            <color theme="1"/>
            <rFont val="Calibri"/>
            <family val="2"/>
            <scheme val="minor"/>
          </rPr>
          <t>Descripción calculada automáticamente a partir de código del artículo</t>
        </r>
      </text>
    </comment>
    <comment ref="C3636" authorId="1" shapeId="0" xr:uid="{00000000-0006-0000-0100-0000250D0000}">
      <text>
        <r>
          <rPr>
            <sz val="11"/>
            <color theme="1"/>
            <rFont val="Calibri"/>
            <family val="2"/>
            <scheme val="minor"/>
          </rPr>
          <t>Seleccione un valor de la lista</t>
        </r>
      </text>
    </comment>
    <comment ref="D3636" authorId="1" shapeId="0" xr:uid="{00000000-0006-0000-0100-0000260D0000}">
      <text>
        <r>
          <rPr>
            <sz val="11"/>
            <color theme="1"/>
            <rFont val="Calibri"/>
            <family val="2"/>
            <scheme val="minor"/>
          </rPr>
          <t>Introduzca un número con dos decimales como máximo. Debe ser igual o mayor a la "Cantidad Real Consumida"</t>
        </r>
      </text>
    </comment>
    <comment ref="E3636" authorId="1" shapeId="0" xr:uid="{00000000-0006-0000-0100-0000270D0000}">
      <text>
        <r>
          <rPr>
            <sz val="11"/>
            <color theme="1"/>
            <rFont val="Calibri"/>
            <family val="2"/>
            <scheme val="minor"/>
          </rPr>
          <t>Introduzca un número con dos decimales como máximo</t>
        </r>
      </text>
    </comment>
    <comment ref="F3636" authorId="1" shapeId="0" xr:uid="{00000000-0006-0000-0100-0000280D0000}">
      <text>
        <r>
          <rPr>
            <sz val="11"/>
            <color theme="1"/>
            <rFont val="Calibri"/>
            <family val="2"/>
            <scheme val="minor"/>
          </rPr>
          <t>Monto calculado automáticamente por el sistema</t>
        </r>
      </text>
    </comment>
    <comment ref="A3642" authorId="1" shapeId="0" xr:uid="{00000000-0006-0000-0100-0000290D0000}">
      <text>
        <r>
          <rPr>
            <sz val="11"/>
            <color theme="1"/>
            <rFont val="Calibri"/>
            <family val="2"/>
            <scheme val="minor"/>
          </rPr>
          <t>Introducir un texto con el nombre o referencia de la contratación</t>
        </r>
      </text>
    </comment>
    <comment ref="B3642" authorId="1" shapeId="0" xr:uid="{00000000-0006-0000-0100-00002A0D0000}">
      <text>
        <r>
          <rPr>
            <sz val="11"/>
            <color theme="1"/>
            <rFont val="Calibri"/>
            <family val="2"/>
            <scheme val="minor"/>
          </rPr>
          <t>Introduzca un texto con la finalidad de la contratación</t>
        </r>
      </text>
    </comment>
    <comment ref="C3642" authorId="1" shapeId="0" xr:uid="{00000000-0006-0000-0100-00002B0D0000}">
      <text>
        <r>
          <rPr>
            <sz val="11"/>
            <color theme="1"/>
            <rFont val="Calibri"/>
            <family val="2"/>
            <scheme val="minor"/>
          </rPr>
          <t>Seleccionar un valor del listado</t>
        </r>
      </text>
    </comment>
    <comment ref="D3642" authorId="1" shapeId="0" xr:uid="{00000000-0006-0000-0100-00002C0D0000}">
      <text>
        <r>
          <rPr>
            <sz val="11"/>
            <color theme="1"/>
            <rFont val="Calibri"/>
            <family val="2"/>
            <scheme val="minor"/>
          </rPr>
          <t>Seleccione el tipo de procedimiento</t>
        </r>
      </text>
    </comment>
    <comment ref="E3642" authorId="1" shapeId="0" xr:uid="{00000000-0006-0000-0100-00002D0D0000}">
      <text>
        <r>
          <rPr>
            <sz val="11"/>
            <color theme="1"/>
            <rFont val="Calibri"/>
            <family val="2"/>
            <scheme val="minor"/>
          </rPr>
          <t>Seleccione un valor de la lista</t>
        </r>
      </text>
    </comment>
    <comment ref="F3642" authorId="1" shapeId="0" xr:uid="{00000000-0006-0000-0100-00002E0D0000}">
      <text>
        <r>
          <rPr>
            <sz val="11"/>
            <color theme="1"/>
            <rFont val="Calibri"/>
            <family val="2"/>
            <scheme val="minor"/>
          </rPr>
          <t>Introduzca el código SNIP</t>
        </r>
      </text>
    </comment>
    <comment ref="C3643" authorId="1" shapeId="0" xr:uid="{00000000-0006-0000-0100-00002F0D0000}">
      <text>
        <r>
          <rPr>
            <sz val="11"/>
            <color theme="1"/>
            <rFont val="Calibri"/>
            <family val="2"/>
            <scheme val="minor"/>
          </rPr>
          <t>Introduzca la fecha de inicio del proceso, en formato dd-mm-aaaa</t>
        </r>
      </text>
    </comment>
    <comment ref="F3643" authorId="1" shapeId="0" xr:uid="{00000000-0006-0000-0100-000031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44" authorId="1" shapeId="0" xr:uid="{00000000-0006-0000-0100-0000320D0000}">
      <text/>
    </comment>
    <comment ref="C3645" authorId="1" shapeId="0" xr:uid="{00000000-0006-0000-0100-0000300D0000}">
      <text>
        <r>
          <rPr>
            <sz val="11"/>
            <color theme="1"/>
            <rFont val="Calibri"/>
            <family val="2"/>
            <scheme val="minor"/>
          </rPr>
          <t>Introduzca la fecha prevista de adjudicación, en formato dd-mm-aaaa</t>
        </r>
      </text>
    </comment>
    <comment ref="F3645" authorId="1" shapeId="0" xr:uid="{00000000-0006-0000-0100-0000330D0000}">
      <text/>
    </comment>
    <comment ref="F3646" authorId="1" shapeId="0" xr:uid="{00000000-0006-0000-0100-0000340D0000}">
      <text/>
    </comment>
    <comment ref="A3648" authorId="1" shapeId="0" xr:uid="{00000000-0006-0000-0100-0000350D0000}">
      <text>
        <r>
          <rPr>
            <sz val="11"/>
            <color theme="1"/>
            <rFont val="Calibri"/>
            <family val="2"/>
            <scheme val="minor"/>
          </rPr>
          <t>Introduzca un codigo UNSPSC</t>
        </r>
      </text>
    </comment>
    <comment ref="B3648" authorId="1" shapeId="0" xr:uid="{00000000-0006-0000-0100-0000360D0000}">
      <text>
        <r>
          <rPr>
            <sz val="11"/>
            <color theme="1"/>
            <rFont val="Calibri"/>
            <family val="2"/>
            <scheme val="minor"/>
          </rPr>
          <t>Descripción calculada automáticamente a partir de código del artículo</t>
        </r>
      </text>
    </comment>
    <comment ref="C3648" authorId="1" shapeId="0" xr:uid="{00000000-0006-0000-0100-0000370D0000}">
      <text>
        <r>
          <rPr>
            <sz val="11"/>
            <color theme="1"/>
            <rFont val="Calibri"/>
            <family val="2"/>
            <scheme val="minor"/>
          </rPr>
          <t>Seleccione un valor de la lista</t>
        </r>
      </text>
    </comment>
    <comment ref="D3648" authorId="1" shapeId="0" xr:uid="{00000000-0006-0000-0100-0000380D0000}">
      <text>
        <r>
          <rPr>
            <sz val="11"/>
            <color theme="1"/>
            <rFont val="Calibri"/>
            <family val="2"/>
            <scheme val="minor"/>
          </rPr>
          <t>Introduzca un número con dos decimales como máximo. Debe ser igual o mayor a la "Cantidad Real Consumida"</t>
        </r>
      </text>
    </comment>
    <comment ref="E3648" authorId="1" shapeId="0" xr:uid="{00000000-0006-0000-0100-0000390D0000}">
      <text>
        <r>
          <rPr>
            <sz val="11"/>
            <color theme="1"/>
            <rFont val="Calibri"/>
            <family val="2"/>
            <scheme val="minor"/>
          </rPr>
          <t>Introduzca un número con dos decimales como máximo</t>
        </r>
      </text>
    </comment>
    <comment ref="F3648" authorId="1" shapeId="0" xr:uid="{00000000-0006-0000-0100-00003A0D0000}">
      <text>
        <r>
          <rPr>
            <sz val="11"/>
            <color theme="1"/>
            <rFont val="Calibri"/>
            <family val="2"/>
            <scheme val="minor"/>
          </rPr>
          <t>Monto calculado automáticamente por el sistema</t>
        </r>
      </text>
    </comment>
    <comment ref="A3653" authorId="1" shapeId="0" xr:uid="{00000000-0006-0000-0100-00003B0D0000}">
      <text>
        <r>
          <rPr>
            <sz val="11"/>
            <color theme="1"/>
            <rFont val="Calibri"/>
            <family val="2"/>
            <scheme val="minor"/>
          </rPr>
          <t>Introducir un texto con el nombre o referencia de la contratación</t>
        </r>
      </text>
    </comment>
    <comment ref="B3653" authorId="1" shapeId="0" xr:uid="{00000000-0006-0000-0100-00003C0D0000}">
      <text>
        <r>
          <rPr>
            <sz val="11"/>
            <color theme="1"/>
            <rFont val="Calibri"/>
            <family val="2"/>
            <scheme val="minor"/>
          </rPr>
          <t>Introduzca un texto con la finalidad de la contratación</t>
        </r>
      </text>
    </comment>
    <comment ref="C3653" authorId="1" shapeId="0" xr:uid="{00000000-0006-0000-0100-00003D0D0000}">
      <text>
        <r>
          <rPr>
            <sz val="11"/>
            <color theme="1"/>
            <rFont val="Calibri"/>
            <family val="2"/>
            <scheme val="minor"/>
          </rPr>
          <t>Seleccionar un valor del listado</t>
        </r>
      </text>
    </comment>
    <comment ref="D3653" authorId="1" shapeId="0" xr:uid="{00000000-0006-0000-0100-00003E0D0000}">
      <text>
        <r>
          <rPr>
            <sz val="11"/>
            <color theme="1"/>
            <rFont val="Calibri"/>
            <family val="2"/>
            <scheme val="minor"/>
          </rPr>
          <t>Seleccione el tipo de procedimiento</t>
        </r>
      </text>
    </comment>
    <comment ref="E3653" authorId="1" shapeId="0" xr:uid="{00000000-0006-0000-0100-00003F0D0000}">
      <text>
        <r>
          <rPr>
            <sz val="11"/>
            <color theme="1"/>
            <rFont val="Calibri"/>
            <family val="2"/>
            <scheme val="minor"/>
          </rPr>
          <t>Seleccione un valor de la lista</t>
        </r>
      </text>
    </comment>
    <comment ref="F3653" authorId="1" shapeId="0" xr:uid="{00000000-0006-0000-0100-0000400D0000}">
      <text>
        <r>
          <rPr>
            <sz val="11"/>
            <color theme="1"/>
            <rFont val="Calibri"/>
            <family val="2"/>
            <scheme val="minor"/>
          </rPr>
          <t>Introduzca el código SNIP</t>
        </r>
      </text>
    </comment>
    <comment ref="C3654" authorId="1" shapeId="0" xr:uid="{00000000-0006-0000-0100-0000410D0000}">
      <text>
        <r>
          <rPr>
            <sz val="11"/>
            <color theme="1"/>
            <rFont val="Calibri"/>
            <family val="2"/>
            <scheme val="minor"/>
          </rPr>
          <t>Introduzca la fecha de inicio del proceso, en formato dd-mm-aaaa</t>
        </r>
      </text>
    </comment>
    <comment ref="F3654" authorId="1" shapeId="0" xr:uid="{00000000-0006-0000-0100-000043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55" authorId="1" shapeId="0" xr:uid="{00000000-0006-0000-0100-0000440D0000}">
      <text/>
    </comment>
    <comment ref="C3656" authorId="1" shapeId="0" xr:uid="{00000000-0006-0000-0100-0000420D0000}">
      <text>
        <r>
          <rPr>
            <sz val="11"/>
            <color theme="1"/>
            <rFont val="Calibri"/>
            <family val="2"/>
            <scheme val="minor"/>
          </rPr>
          <t>Introduzca la fecha prevista de adjudicación, en formato dd-mm-aaaa</t>
        </r>
      </text>
    </comment>
    <comment ref="F3656" authorId="1" shapeId="0" xr:uid="{00000000-0006-0000-0100-0000450D0000}">
      <text/>
    </comment>
    <comment ref="F3657" authorId="1" shapeId="0" xr:uid="{00000000-0006-0000-0100-0000460D0000}">
      <text/>
    </comment>
    <comment ref="A3659" authorId="1" shapeId="0" xr:uid="{00000000-0006-0000-0100-0000470D0000}">
      <text>
        <r>
          <rPr>
            <sz val="11"/>
            <color theme="1"/>
            <rFont val="Calibri"/>
            <family val="2"/>
            <scheme val="minor"/>
          </rPr>
          <t>Introduzca un codigo UNSPSC</t>
        </r>
      </text>
    </comment>
    <comment ref="B3659" authorId="1" shapeId="0" xr:uid="{00000000-0006-0000-0100-0000480D0000}">
      <text>
        <r>
          <rPr>
            <sz val="11"/>
            <color theme="1"/>
            <rFont val="Calibri"/>
            <family val="2"/>
            <scheme val="minor"/>
          </rPr>
          <t>Descripción calculada automáticamente a partir de código del artículo</t>
        </r>
      </text>
    </comment>
    <comment ref="C3659" authorId="1" shapeId="0" xr:uid="{00000000-0006-0000-0100-0000490D0000}">
      <text>
        <r>
          <rPr>
            <sz val="11"/>
            <color theme="1"/>
            <rFont val="Calibri"/>
            <family val="2"/>
            <scheme val="minor"/>
          </rPr>
          <t>Seleccione un valor de la lista</t>
        </r>
      </text>
    </comment>
    <comment ref="D3659" authorId="1" shapeId="0" xr:uid="{00000000-0006-0000-0100-00004A0D0000}">
      <text>
        <r>
          <rPr>
            <sz val="11"/>
            <color theme="1"/>
            <rFont val="Calibri"/>
            <family val="2"/>
            <scheme val="minor"/>
          </rPr>
          <t>Introduzca un número con dos decimales como máximo. Debe ser igual o mayor a la "Cantidad Real Consumida"</t>
        </r>
      </text>
    </comment>
    <comment ref="E3659" authorId="1" shapeId="0" xr:uid="{00000000-0006-0000-0100-00004B0D0000}">
      <text>
        <r>
          <rPr>
            <sz val="11"/>
            <color theme="1"/>
            <rFont val="Calibri"/>
            <family val="2"/>
            <scheme val="minor"/>
          </rPr>
          <t>Introduzca un número con dos decimales como máximo</t>
        </r>
      </text>
    </comment>
    <comment ref="F3659" authorId="1" shapeId="0" xr:uid="{00000000-0006-0000-0100-00004C0D0000}">
      <text>
        <r>
          <rPr>
            <sz val="11"/>
            <color theme="1"/>
            <rFont val="Calibri"/>
            <family val="2"/>
            <scheme val="minor"/>
          </rPr>
          <t>Monto calculado automáticamente por el sistema</t>
        </r>
      </text>
    </comment>
    <comment ref="A3665" authorId="1" shapeId="0" xr:uid="{00000000-0006-0000-0100-00004D0D0000}">
      <text>
        <r>
          <rPr>
            <sz val="11"/>
            <color theme="1"/>
            <rFont val="Calibri"/>
            <family val="2"/>
            <scheme val="minor"/>
          </rPr>
          <t>Introducir un texto con el nombre o referencia de la contratación</t>
        </r>
      </text>
    </comment>
    <comment ref="B3665" authorId="1" shapeId="0" xr:uid="{00000000-0006-0000-0100-00004E0D0000}">
      <text>
        <r>
          <rPr>
            <sz val="11"/>
            <color theme="1"/>
            <rFont val="Calibri"/>
            <family val="2"/>
            <scheme val="minor"/>
          </rPr>
          <t>Introduzca un texto con la finalidad de la contratación</t>
        </r>
      </text>
    </comment>
    <comment ref="C3665" authorId="1" shapeId="0" xr:uid="{00000000-0006-0000-0100-00004F0D0000}">
      <text>
        <r>
          <rPr>
            <sz val="11"/>
            <color theme="1"/>
            <rFont val="Calibri"/>
            <family val="2"/>
            <scheme val="minor"/>
          </rPr>
          <t>Seleccionar un valor del listado</t>
        </r>
      </text>
    </comment>
    <comment ref="D3665" authorId="1" shapeId="0" xr:uid="{00000000-0006-0000-0100-0000500D0000}">
      <text>
        <r>
          <rPr>
            <sz val="11"/>
            <color theme="1"/>
            <rFont val="Calibri"/>
            <family val="2"/>
            <scheme val="minor"/>
          </rPr>
          <t>Seleccione el tipo de procedimiento</t>
        </r>
      </text>
    </comment>
    <comment ref="E3665" authorId="1" shapeId="0" xr:uid="{00000000-0006-0000-0100-0000510D0000}">
      <text>
        <r>
          <rPr>
            <sz val="11"/>
            <color theme="1"/>
            <rFont val="Calibri"/>
            <family val="2"/>
            <scheme val="minor"/>
          </rPr>
          <t>Seleccione un valor de la lista</t>
        </r>
      </text>
    </comment>
    <comment ref="F3665" authorId="1" shapeId="0" xr:uid="{00000000-0006-0000-0100-0000520D0000}">
      <text>
        <r>
          <rPr>
            <sz val="11"/>
            <color theme="1"/>
            <rFont val="Calibri"/>
            <family val="2"/>
            <scheme val="minor"/>
          </rPr>
          <t>Introduzca el código SNIP</t>
        </r>
      </text>
    </comment>
    <comment ref="C3666" authorId="1" shapeId="0" xr:uid="{00000000-0006-0000-0100-0000530D0000}">
      <text>
        <r>
          <rPr>
            <sz val="11"/>
            <color theme="1"/>
            <rFont val="Calibri"/>
            <family val="2"/>
            <scheme val="minor"/>
          </rPr>
          <t>Introduzca la fecha de inicio del proceso, en formato dd-mm-aaaa</t>
        </r>
      </text>
    </comment>
    <comment ref="F3666" authorId="1" shapeId="0" xr:uid="{00000000-0006-0000-0100-000055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67" authorId="1" shapeId="0" xr:uid="{00000000-0006-0000-0100-0000560D0000}">
      <text/>
    </comment>
    <comment ref="C3668" authorId="1" shapeId="0" xr:uid="{00000000-0006-0000-0100-0000540D0000}">
      <text>
        <r>
          <rPr>
            <sz val="11"/>
            <color theme="1"/>
            <rFont val="Calibri"/>
            <family val="2"/>
            <scheme val="minor"/>
          </rPr>
          <t>Introduzca la fecha prevista de adjudicación, en formato dd-mm-aaaa</t>
        </r>
      </text>
    </comment>
    <comment ref="F3668" authorId="1" shapeId="0" xr:uid="{00000000-0006-0000-0100-0000570D0000}">
      <text/>
    </comment>
    <comment ref="F3669" authorId="1" shapeId="0" xr:uid="{00000000-0006-0000-0100-0000580D0000}">
      <text/>
    </comment>
    <comment ref="A3671" authorId="1" shapeId="0" xr:uid="{00000000-0006-0000-0100-0000590D0000}">
      <text>
        <r>
          <rPr>
            <sz val="11"/>
            <color theme="1"/>
            <rFont val="Calibri"/>
            <family val="2"/>
            <scheme val="minor"/>
          </rPr>
          <t>Introduzca un codigo UNSPSC</t>
        </r>
      </text>
    </comment>
    <comment ref="B3671" authorId="1" shapeId="0" xr:uid="{00000000-0006-0000-0100-00005A0D0000}">
      <text>
        <r>
          <rPr>
            <sz val="11"/>
            <color theme="1"/>
            <rFont val="Calibri"/>
            <family val="2"/>
            <scheme val="minor"/>
          </rPr>
          <t>Descripción calculada automáticamente a partir de código del artículo</t>
        </r>
      </text>
    </comment>
    <comment ref="C3671" authorId="1" shapeId="0" xr:uid="{00000000-0006-0000-0100-00005B0D0000}">
      <text>
        <r>
          <rPr>
            <sz val="11"/>
            <color theme="1"/>
            <rFont val="Calibri"/>
            <family val="2"/>
            <scheme val="minor"/>
          </rPr>
          <t>Seleccione un valor de la lista</t>
        </r>
      </text>
    </comment>
    <comment ref="D3671" authorId="1" shapeId="0" xr:uid="{00000000-0006-0000-0100-00005C0D0000}">
      <text>
        <r>
          <rPr>
            <sz val="11"/>
            <color theme="1"/>
            <rFont val="Calibri"/>
            <family val="2"/>
            <scheme val="minor"/>
          </rPr>
          <t>Introduzca un número con dos decimales como máximo. Debe ser igual o mayor a la "Cantidad Real Consumida"</t>
        </r>
      </text>
    </comment>
    <comment ref="E3671" authorId="1" shapeId="0" xr:uid="{00000000-0006-0000-0100-00005D0D0000}">
      <text>
        <r>
          <rPr>
            <sz val="11"/>
            <color theme="1"/>
            <rFont val="Calibri"/>
            <family val="2"/>
            <scheme val="minor"/>
          </rPr>
          <t>Introduzca un número con dos decimales como máximo</t>
        </r>
      </text>
    </comment>
    <comment ref="F3671" authorId="1" shapeId="0" xr:uid="{00000000-0006-0000-0100-00005E0D0000}">
      <text>
        <r>
          <rPr>
            <sz val="11"/>
            <color theme="1"/>
            <rFont val="Calibri"/>
            <family val="2"/>
            <scheme val="minor"/>
          </rPr>
          <t>Monto calculado automáticamente por el sistema</t>
        </r>
      </text>
    </comment>
    <comment ref="A3676" authorId="1" shapeId="0" xr:uid="{00000000-0006-0000-0100-00005F0D0000}">
      <text>
        <r>
          <rPr>
            <sz val="11"/>
            <color theme="1"/>
            <rFont val="Calibri"/>
            <family val="2"/>
            <scheme val="minor"/>
          </rPr>
          <t>Introducir un texto con el nombre o referencia de la contratación</t>
        </r>
      </text>
    </comment>
    <comment ref="B3676" authorId="1" shapeId="0" xr:uid="{00000000-0006-0000-0100-0000600D0000}">
      <text>
        <r>
          <rPr>
            <sz val="11"/>
            <color theme="1"/>
            <rFont val="Calibri"/>
            <family val="2"/>
            <scheme val="minor"/>
          </rPr>
          <t>Introduzca un texto con la finalidad de la contratación</t>
        </r>
      </text>
    </comment>
    <comment ref="C3676" authorId="1" shapeId="0" xr:uid="{00000000-0006-0000-0100-0000610D0000}">
      <text>
        <r>
          <rPr>
            <sz val="11"/>
            <color theme="1"/>
            <rFont val="Calibri"/>
            <family val="2"/>
            <scheme val="minor"/>
          </rPr>
          <t>Seleccionar un valor del listado</t>
        </r>
      </text>
    </comment>
    <comment ref="D3676" authorId="1" shapeId="0" xr:uid="{00000000-0006-0000-0100-0000620D0000}">
      <text>
        <r>
          <rPr>
            <sz val="11"/>
            <color theme="1"/>
            <rFont val="Calibri"/>
            <family val="2"/>
            <scheme val="minor"/>
          </rPr>
          <t>Seleccione el tipo de procedimiento</t>
        </r>
      </text>
    </comment>
    <comment ref="E3676" authorId="1" shapeId="0" xr:uid="{00000000-0006-0000-0100-0000630D0000}">
      <text>
        <r>
          <rPr>
            <sz val="11"/>
            <color theme="1"/>
            <rFont val="Calibri"/>
            <family val="2"/>
            <scheme val="minor"/>
          </rPr>
          <t>Seleccione un valor de la lista</t>
        </r>
      </text>
    </comment>
    <comment ref="F3676" authorId="1" shapeId="0" xr:uid="{00000000-0006-0000-0100-0000640D0000}">
      <text>
        <r>
          <rPr>
            <sz val="11"/>
            <color theme="1"/>
            <rFont val="Calibri"/>
            <family val="2"/>
            <scheme val="minor"/>
          </rPr>
          <t>Introduzca el código SNIP</t>
        </r>
      </text>
    </comment>
    <comment ref="C3677" authorId="1" shapeId="0" xr:uid="{00000000-0006-0000-0100-0000650D0000}">
      <text>
        <r>
          <rPr>
            <sz val="11"/>
            <color theme="1"/>
            <rFont val="Calibri"/>
            <family val="2"/>
            <scheme val="minor"/>
          </rPr>
          <t>Introduzca la fecha de inicio del proceso, en formato dd-mm-aaaa</t>
        </r>
      </text>
    </comment>
    <comment ref="F3677" authorId="1" shapeId="0" xr:uid="{00000000-0006-0000-0100-000067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78" authorId="1" shapeId="0" xr:uid="{00000000-0006-0000-0100-0000680D0000}">
      <text/>
    </comment>
    <comment ref="C3679" authorId="1" shapeId="0" xr:uid="{00000000-0006-0000-0100-0000660D0000}">
      <text>
        <r>
          <rPr>
            <sz val="11"/>
            <color theme="1"/>
            <rFont val="Calibri"/>
            <family val="2"/>
            <scheme val="minor"/>
          </rPr>
          <t>Introduzca la fecha prevista de adjudicación, en formato dd-mm-aaaa</t>
        </r>
      </text>
    </comment>
    <comment ref="F3679" authorId="1" shapeId="0" xr:uid="{00000000-0006-0000-0100-0000690D0000}">
      <text/>
    </comment>
    <comment ref="F3680" authorId="1" shapeId="0" xr:uid="{00000000-0006-0000-0100-00006A0D0000}">
      <text/>
    </comment>
    <comment ref="A3682" authorId="1" shapeId="0" xr:uid="{00000000-0006-0000-0100-00006B0D0000}">
      <text>
        <r>
          <rPr>
            <sz val="11"/>
            <color theme="1"/>
            <rFont val="Calibri"/>
            <family val="2"/>
            <scheme val="minor"/>
          </rPr>
          <t>Introduzca un codigo UNSPSC</t>
        </r>
      </text>
    </comment>
    <comment ref="B3682" authorId="1" shapeId="0" xr:uid="{00000000-0006-0000-0100-00006C0D0000}">
      <text>
        <r>
          <rPr>
            <sz val="11"/>
            <color theme="1"/>
            <rFont val="Calibri"/>
            <family val="2"/>
            <scheme val="minor"/>
          </rPr>
          <t>Descripción calculada automáticamente a partir de código del artículo</t>
        </r>
      </text>
    </comment>
    <comment ref="C3682" authorId="1" shapeId="0" xr:uid="{00000000-0006-0000-0100-00006D0D0000}">
      <text>
        <r>
          <rPr>
            <sz val="11"/>
            <color theme="1"/>
            <rFont val="Calibri"/>
            <family val="2"/>
            <scheme val="minor"/>
          </rPr>
          <t>Seleccione un valor de la lista</t>
        </r>
      </text>
    </comment>
    <comment ref="D3682" authorId="1" shapeId="0" xr:uid="{00000000-0006-0000-0100-00006E0D0000}">
      <text>
        <r>
          <rPr>
            <sz val="11"/>
            <color theme="1"/>
            <rFont val="Calibri"/>
            <family val="2"/>
            <scheme val="minor"/>
          </rPr>
          <t>Introduzca un número con dos decimales como máximo. Debe ser igual o mayor a la "Cantidad Real Consumida"</t>
        </r>
      </text>
    </comment>
    <comment ref="E3682" authorId="1" shapeId="0" xr:uid="{00000000-0006-0000-0100-00006F0D0000}">
      <text>
        <r>
          <rPr>
            <sz val="11"/>
            <color theme="1"/>
            <rFont val="Calibri"/>
            <family val="2"/>
            <scheme val="minor"/>
          </rPr>
          <t>Introduzca un número con dos decimales como máximo</t>
        </r>
      </text>
    </comment>
    <comment ref="F3682" authorId="1" shapeId="0" xr:uid="{00000000-0006-0000-0100-0000700D0000}">
      <text>
        <r>
          <rPr>
            <sz val="11"/>
            <color theme="1"/>
            <rFont val="Calibri"/>
            <family val="2"/>
            <scheme val="minor"/>
          </rPr>
          <t>Monto calculado automáticamente por el sistema</t>
        </r>
      </text>
    </comment>
    <comment ref="A3688" authorId="1" shapeId="0" xr:uid="{00000000-0006-0000-0100-0000710D0000}">
      <text>
        <r>
          <rPr>
            <sz val="11"/>
            <color theme="1"/>
            <rFont val="Calibri"/>
            <family val="2"/>
            <scheme val="minor"/>
          </rPr>
          <t>Introducir un texto con el nombre o referencia de la contratación</t>
        </r>
      </text>
    </comment>
    <comment ref="B3688" authorId="1" shapeId="0" xr:uid="{00000000-0006-0000-0100-0000720D0000}">
      <text>
        <r>
          <rPr>
            <sz val="11"/>
            <color theme="1"/>
            <rFont val="Calibri"/>
            <family val="2"/>
            <scheme val="minor"/>
          </rPr>
          <t>Introduzca un texto con la finalidad de la contratación</t>
        </r>
      </text>
    </comment>
    <comment ref="C3688" authorId="1" shapeId="0" xr:uid="{00000000-0006-0000-0100-0000730D0000}">
      <text>
        <r>
          <rPr>
            <sz val="11"/>
            <color theme="1"/>
            <rFont val="Calibri"/>
            <family val="2"/>
            <scheme val="minor"/>
          </rPr>
          <t>Seleccionar un valor del listado</t>
        </r>
      </text>
    </comment>
    <comment ref="D3688" authorId="1" shapeId="0" xr:uid="{00000000-0006-0000-0100-0000740D0000}">
      <text>
        <r>
          <rPr>
            <sz val="11"/>
            <color theme="1"/>
            <rFont val="Calibri"/>
            <family val="2"/>
            <scheme val="minor"/>
          </rPr>
          <t>Seleccione el tipo de procedimiento</t>
        </r>
      </text>
    </comment>
    <comment ref="E3688" authorId="1" shapeId="0" xr:uid="{00000000-0006-0000-0100-0000750D0000}">
      <text>
        <r>
          <rPr>
            <sz val="11"/>
            <color theme="1"/>
            <rFont val="Calibri"/>
            <family val="2"/>
            <scheme val="minor"/>
          </rPr>
          <t>Seleccione un valor de la lista</t>
        </r>
      </text>
    </comment>
    <comment ref="F3688" authorId="1" shapeId="0" xr:uid="{00000000-0006-0000-0100-0000760D0000}">
      <text>
        <r>
          <rPr>
            <sz val="11"/>
            <color theme="1"/>
            <rFont val="Calibri"/>
            <family val="2"/>
            <scheme val="minor"/>
          </rPr>
          <t>Introduzca el código SNIP</t>
        </r>
      </text>
    </comment>
    <comment ref="C3689" authorId="1" shapeId="0" xr:uid="{00000000-0006-0000-0100-0000770D0000}">
      <text>
        <r>
          <rPr>
            <sz val="11"/>
            <color theme="1"/>
            <rFont val="Calibri"/>
            <family val="2"/>
            <scheme val="minor"/>
          </rPr>
          <t>Introduzca la fecha de inicio del proceso, en formato dd-mm-aaaa</t>
        </r>
      </text>
    </comment>
    <comment ref="F3689" authorId="1" shapeId="0" xr:uid="{00000000-0006-0000-0100-000079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90" authorId="1" shapeId="0" xr:uid="{00000000-0006-0000-0100-00007A0D0000}">
      <text/>
    </comment>
    <comment ref="C3691" authorId="1" shapeId="0" xr:uid="{00000000-0006-0000-0100-0000780D0000}">
      <text>
        <r>
          <rPr>
            <sz val="11"/>
            <color theme="1"/>
            <rFont val="Calibri"/>
            <family val="2"/>
            <scheme val="minor"/>
          </rPr>
          <t>Introduzca la fecha prevista de adjudicación, en formato dd-mm-aaaa</t>
        </r>
      </text>
    </comment>
    <comment ref="F3691" authorId="1" shapeId="0" xr:uid="{00000000-0006-0000-0100-00007B0D0000}">
      <text/>
    </comment>
    <comment ref="F3692" authorId="1" shapeId="0" xr:uid="{00000000-0006-0000-0100-00007C0D0000}">
      <text/>
    </comment>
    <comment ref="A3694" authorId="1" shapeId="0" xr:uid="{00000000-0006-0000-0100-00007D0D0000}">
      <text>
        <r>
          <rPr>
            <sz val="11"/>
            <color theme="1"/>
            <rFont val="Calibri"/>
            <family val="2"/>
            <scheme val="minor"/>
          </rPr>
          <t>Introduzca un codigo UNSPSC</t>
        </r>
      </text>
    </comment>
    <comment ref="B3694" authorId="1" shapeId="0" xr:uid="{00000000-0006-0000-0100-00007E0D0000}">
      <text>
        <r>
          <rPr>
            <sz val="11"/>
            <color theme="1"/>
            <rFont val="Calibri"/>
            <family val="2"/>
            <scheme val="minor"/>
          </rPr>
          <t>Descripción calculada automáticamente a partir de código del artículo</t>
        </r>
      </text>
    </comment>
    <comment ref="C3694" authorId="1" shapeId="0" xr:uid="{00000000-0006-0000-0100-00007F0D0000}">
      <text>
        <r>
          <rPr>
            <sz val="11"/>
            <color theme="1"/>
            <rFont val="Calibri"/>
            <family val="2"/>
            <scheme val="minor"/>
          </rPr>
          <t>Seleccione un valor de la lista</t>
        </r>
      </text>
    </comment>
    <comment ref="D3694" authorId="1" shapeId="0" xr:uid="{00000000-0006-0000-0100-0000800D0000}">
      <text>
        <r>
          <rPr>
            <sz val="11"/>
            <color theme="1"/>
            <rFont val="Calibri"/>
            <family val="2"/>
            <scheme val="minor"/>
          </rPr>
          <t>Introduzca un número con dos decimales como máximo. Debe ser igual o mayor a la "Cantidad Real Consumida"</t>
        </r>
      </text>
    </comment>
    <comment ref="E3694" authorId="1" shapeId="0" xr:uid="{00000000-0006-0000-0100-0000810D0000}">
      <text>
        <r>
          <rPr>
            <sz val="11"/>
            <color theme="1"/>
            <rFont val="Calibri"/>
            <family val="2"/>
            <scheme val="minor"/>
          </rPr>
          <t>Introduzca un número con dos decimales como máximo</t>
        </r>
      </text>
    </comment>
    <comment ref="F3694" authorId="1" shapeId="0" xr:uid="{00000000-0006-0000-0100-0000820D0000}">
      <text>
        <r>
          <rPr>
            <sz val="11"/>
            <color theme="1"/>
            <rFont val="Calibri"/>
            <family val="2"/>
            <scheme val="minor"/>
          </rPr>
          <t>Monto calculado automáticamente por el sistema</t>
        </r>
      </text>
    </comment>
    <comment ref="A3702" authorId="1" shapeId="0" xr:uid="{00000000-0006-0000-0100-0000830D0000}">
      <text>
        <r>
          <rPr>
            <sz val="11"/>
            <color theme="1"/>
            <rFont val="Calibri"/>
            <family val="2"/>
            <scheme val="minor"/>
          </rPr>
          <t>Introducir un texto con el nombre o referencia de la contratación</t>
        </r>
      </text>
    </comment>
    <comment ref="B3702" authorId="1" shapeId="0" xr:uid="{00000000-0006-0000-0100-0000840D0000}">
      <text>
        <r>
          <rPr>
            <sz val="11"/>
            <color theme="1"/>
            <rFont val="Calibri"/>
            <family val="2"/>
            <scheme val="minor"/>
          </rPr>
          <t>Introduzca un texto con la finalidad de la contratación</t>
        </r>
      </text>
    </comment>
    <comment ref="C3702" authorId="1" shapeId="0" xr:uid="{00000000-0006-0000-0100-0000850D0000}">
      <text>
        <r>
          <rPr>
            <sz val="11"/>
            <color theme="1"/>
            <rFont val="Calibri"/>
            <family val="2"/>
            <scheme val="minor"/>
          </rPr>
          <t>Seleccionar un valor del listado</t>
        </r>
      </text>
    </comment>
    <comment ref="D3702" authorId="1" shapeId="0" xr:uid="{00000000-0006-0000-0100-0000860D0000}">
      <text>
        <r>
          <rPr>
            <sz val="11"/>
            <color theme="1"/>
            <rFont val="Calibri"/>
            <family val="2"/>
            <scheme val="minor"/>
          </rPr>
          <t>Seleccione el tipo de procedimiento</t>
        </r>
      </text>
    </comment>
    <comment ref="E3702" authorId="1" shapeId="0" xr:uid="{00000000-0006-0000-0100-0000870D0000}">
      <text>
        <r>
          <rPr>
            <sz val="11"/>
            <color theme="1"/>
            <rFont val="Calibri"/>
            <family val="2"/>
            <scheme val="minor"/>
          </rPr>
          <t>Seleccione un valor de la lista</t>
        </r>
      </text>
    </comment>
    <comment ref="F3702" authorId="1" shapeId="0" xr:uid="{00000000-0006-0000-0100-0000880D0000}">
      <text>
        <r>
          <rPr>
            <sz val="11"/>
            <color theme="1"/>
            <rFont val="Calibri"/>
            <family val="2"/>
            <scheme val="minor"/>
          </rPr>
          <t>Introduzca el código SNIP</t>
        </r>
      </text>
    </comment>
    <comment ref="C3703" authorId="1" shapeId="0" xr:uid="{00000000-0006-0000-0100-0000890D0000}">
      <text>
        <r>
          <rPr>
            <sz val="11"/>
            <color theme="1"/>
            <rFont val="Calibri"/>
            <family val="2"/>
            <scheme val="minor"/>
          </rPr>
          <t>Introduzca la fecha de inicio del proceso, en formato dd-mm-aaaa</t>
        </r>
      </text>
    </comment>
    <comment ref="F3703" authorId="1" shapeId="0" xr:uid="{00000000-0006-0000-0100-00008B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04" authorId="1" shapeId="0" xr:uid="{00000000-0006-0000-0100-00008C0D0000}">
      <text/>
    </comment>
    <comment ref="C3705" authorId="1" shapeId="0" xr:uid="{00000000-0006-0000-0100-00008A0D0000}">
      <text>
        <r>
          <rPr>
            <sz val="11"/>
            <color theme="1"/>
            <rFont val="Calibri"/>
            <family val="2"/>
            <scheme val="minor"/>
          </rPr>
          <t>Introduzca la fecha prevista de adjudicación, en formato dd-mm-aaaa</t>
        </r>
      </text>
    </comment>
    <comment ref="F3705" authorId="1" shapeId="0" xr:uid="{00000000-0006-0000-0100-00008D0D0000}">
      <text/>
    </comment>
    <comment ref="F3706" authorId="1" shapeId="0" xr:uid="{00000000-0006-0000-0100-00008E0D0000}">
      <text/>
    </comment>
    <comment ref="A3708" authorId="1" shapeId="0" xr:uid="{00000000-0006-0000-0100-00008F0D0000}">
      <text>
        <r>
          <rPr>
            <sz val="11"/>
            <color theme="1"/>
            <rFont val="Calibri"/>
            <family val="2"/>
            <scheme val="minor"/>
          </rPr>
          <t>Introduzca un codigo UNSPSC</t>
        </r>
      </text>
    </comment>
    <comment ref="B3708" authorId="1" shapeId="0" xr:uid="{00000000-0006-0000-0100-0000900D0000}">
      <text>
        <r>
          <rPr>
            <sz val="11"/>
            <color theme="1"/>
            <rFont val="Calibri"/>
            <family val="2"/>
            <scheme val="minor"/>
          </rPr>
          <t>Descripción calculada automáticamente a partir de código del artículo</t>
        </r>
      </text>
    </comment>
    <comment ref="C3708" authorId="1" shapeId="0" xr:uid="{00000000-0006-0000-0100-0000910D0000}">
      <text>
        <r>
          <rPr>
            <sz val="11"/>
            <color theme="1"/>
            <rFont val="Calibri"/>
            <family val="2"/>
            <scheme val="minor"/>
          </rPr>
          <t>Seleccione un valor de la lista</t>
        </r>
      </text>
    </comment>
    <comment ref="D3708" authorId="1" shapeId="0" xr:uid="{00000000-0006-0000-0100-0000920D0000}">
      <text>
        <r>
          <rPr>
            <sz val="11"/>
            <color theme="1"/>
            <rFont val="Calibri"/>
            <family val="2"/>
            <scheme val="minor"/>
          </rPr>
          <t>Introduzca un número con dos decimales como máximo. Debe ser igual o mayor a la "Cantidad Real Consumida"</t>
        </r>
      </text>
    </comment>
    <comment ref="E3708" authorId="1" shapeId="0" xr:uid="{00000000-0006-0000-0100-0000930D0000}">
      <text>
        <r>
          <rPr>
            <sz val="11"/>
            <color theme="1"/>
            <rFont val="Calibri"/>
            <family val="2"/>
            <scheme val="minor"/>
          </rPr>
          <t>Introduzca un número con dos decimales como máximo</t>
        </r>
      </text>
    </comment>
    <comment ref="F3708" authorId="1" shapeId="0" xr:uid="{00000000-0006-0000-0100-0000940D0000}">
      <text>
        <r>
          <rPr>
            <sz val="11"/>
            <color theme="1"/>
            <rFont val="Calibri"/>
            <family val="2"/>
            <scheme val="minor"/>
          </rPr>
          <t>Monto calculado automáticamente por el sistema</t>
        </r>
      </text>
    </comment>
    <comment ref="A3713" authorId="1" shapeId="0" xr:uid="{00000000-0006-0000-0100-0000950D0000}">
      <text>
        <r>
          <rPr>
            <sz val="11"/>
            <color theme="1"/>
            <rFont val="Calibri"/>
            <family val="2"/>
            <scheme val="minor"/>
          </rPr>
          <t>Introducir un texto con el nombre o referencia de la contratación</t>
        </r>
      </text>
    </comment>
    <comment ref="B3713" authorId="1" shapeId="0" xr:uid="{00000000-0006-0000-0100-0000960D0000}">
      <text>
        <r>
          <rPr>
            <sz val="11"/>
            <color theme="1"/>
            <rFont val="Calibri"/>
            <family val="2"/>
            <scheme val="minor"/>
          </rPr>
          <t>Introduzca un texto con la finalidad de la contratación</t>
        </r>
      </text>
    </comment>
    <comment ref="C3713" authorId="1" shapeId="0" xr:uid="{00000000-0006-0000-0100-0000970D0000}">
      <text>
        <r>
          <rPr>
            <sz val="11"/>
            <color theme="1"/>
            <rFont val="Calibri"/>
            <family val="2"/>
            <scheme val="minor"/>
          </rPr>
          <t>Seleccionar un valor del listado</t>
        </r>
      </text>
    </comment>
    <comment ref="D3713" authorId="1" shapeId="0" xr:uid="{00000000-0006-0000-0100-0000980D0000}">
      <text>
        <r>
          <rPr>
            <sz val="11"/>
            <color theme="1"/>
            <rFont val="Calibri"/>
            <family val="2"/>
            <scheme val="minor"/>
          </rPr>
          <t>Seleccione el tipo de procedimiento</t>
        </r>
      </text>
    </comment>
    <comment ref="E3713" authorId="1" shapeId="0" xr:uid="{00000000-0006-0000-0100-0000990D0000}">
      <text>
        <r>
          <rPr>
            <sz val="11"/>
            <color theme="1"/>
            <rFont val="Calibri"/>
            <family val="2"/>
            <scheme val="minor"/>
          </rPr>
          <t>Seleccione un valor de la lista</t>
        </r>
      </text>
    </comment>
    <comment ref="F3713" authorId="1" shapeId="0" xr:uid="{00000000-0006-0000-0100-00009A0D0000}">
      <text>
        <r>
          <rPr>
            <sz val="11"/>
            <color theme="1"/>
            <rFont val="Calibri"/>
            <family val="2"/>
            <scheme val="minor"/>
          </rPr>
          <t>Introduzca el código SNIP</t>
        </r>
      </text>
    </comment>
    <comment ref="C3714" authorId="1" shapeId="0" xr:uid="{00000000-0006-0000-0100-00009B0D0000}">
      <text>
        <r>
          <rPr>
            <sz val="11"/>
            <color theme="1"/>
            <rFont val="Calibri"/>
            <family val="2"/>
            <scheme val="minor"/>
          </rPr>
          <t>Introduzca la fecha de inicio del proceso, en formato dd-mm-aaaa</t>
        </r>
      </text>
    </comment>
    <comment ref="F3714" authorId="1" shapeId="0" xr:uid="{00000000-0006-0000-0100-00009D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15" authorId="1" shapeId="0" xr:uid="{00000000-0006-0000-0100-00009E0D0000}">
      <text/>
    </comment>
    <comment ref="C3716" authorId="1" shapeId="0" xr:uid="{00000000-0006-0000-0100-00009C0D0000}">
      <text>
        <r>
          <rPr>
            <sz val="11"/>
            <color theme="1"/>
            <rFont val="Calibri"/>
            <family val="2"/>
            <scheme val="minor"/>
          </rPr>
          <t>Introduzca la fecha prevista de adjudicación, en formato dd-mm-aaaa</t>
        </r>
      </text>
    </comment>
    <comment ref="F3716" authorId="1" shapeId="0" xr:uid="{00000000-0006-0000-0100-00009F0D0000}">
      <text/>
    </comment>
    <comment ref="F3717" authorId="1" shapeId="0" xr:uid="{00000000-0006-0000-0100-0000A00D0000}">
      <text/>
    </comment>
    <comment ref="A3719" authorId="1" shapeId="0" xr:uid="{00000000-0006-0000-0100-0000A10D0000}">
      <text>
        <r>
          <rPr>
            <sz val="11"/>
            <color theme="1"/>
            <rFont val="Calibri"/>
            <family val="2"/>
            <scheme val="minor"/>
          </rPr>
          <t>Introduzca un codigo UNSPSC</t>
        </r>
      </text>
    </comment>
    <comment ref="B3719" authorId="1" shapeId="0" xr:uid="{00000000-0006-0000-0100-0000A20D0000}">
      <text>
        <r>
          <rPr>
            <sz val="11"/>
            <color theme="1"/>
            <rFont val="Calibri"/>
            <family val="2"/>
            <scheme val="minor"/>
          </rPr>
          <t>Descripción calculada automáticamente a partir de código del artículo</t>
        </r>
      </text>
    </comment>
    <comment ref="C3719" authorId="1" shapeId="0" xr:uid="{00000000-0006-0000-0100-0000A30D0000}">
      <text>
        <r>
          <rPr>
            <sz val="11"/>
            <color theme="1"/>
            <rFont val="Calibri"/>
            <family val="2"/>
            <scheme val="minor"/>
          </rPr>
          <t>Seleccione un valor de la lista</t>
        </r>
      </text>
    </comment>
    <comment ref="D3719" authorId="1" shapeId="0" xr:uid="{00000000-0006-0000-0100-0000A40D0000}">
      <text>
        <r>
          <rPr>
            <sz val="11"/>
            <color theme="1"/>
            <rFont val="Calibri"/>
            <family val="2"/>
            <scheme val="minor"/>
          </rPr>
          <t>Introduzca un número con dos decimales como máximo. Debe ser igual o mayor a la "Cantidad Real Consumida"</t>
        </r>
      </text>
    </comment>
    <comment ref="E3719" authorId="1" shapeId="0" xr:uid="{00000000-0006-0000-0100-0000A50D0000}">
      <text>
        <r>
          <rPr>
            <sz val="11"/>
            <color theme="1"/>
            <rFont val="Calibri"/>
            <family val="2"/>
            <scheme val="minor"/>
          </rPr>
          <t>Introduzca un número con dos decimales como máximo</t>
        </r>
      </text>
    </comment>
    <comment ref="F3719" authorId="1" shapeId="0" xr:uid="{00000000-0006-0000-0100-0000A60D0000}">
      <text>
        <r>
          <rPr>
            <sz val="11"/>
            <color theme="1"/>
            <rFont val="Calibri"/>
            <family val="2"/>
            <scheme val="minor"/>
          </rPr>
          <t>Monto calculado automáticamente por el sistema</t>
        </r>
      </text>
    </comment>
    <comment ref="A3724" authorId="1" shapeId="0" xr:uid="{00000000-0006-0000-0100-0000A70D0000}">
      <text>
        <r>
          <rPr>
            <sz val="11"/>
            <color theme="1"/>
            <rFont val="Calibri"/>
            <family val="2"/>
            <scheme val="minor"/>
          </rPr>
          <t>Introducir un texto con el nombre o referencia de la contratación</t>
        </r>
      </text>
    </comment>
    <comment ref="B3724" authorId="1" shapeId="0" xr:uid="{00000000-0006-0000-0100-0000A80D0000}">
      <text>
        <r>
          <rPr>
            <sz val="11"/>
            <color theme="1"/>
            <rFont val="Calibri"/>
            <family val="2"/>
            <scheme val="minor"/>
          </rPr>
          <t>Introduzca un texto con la finalidad de la contratación</t>
        </r>
      </text>
    </comment>
    <comment ref="C3724" authorId="1" shapeId="0" xr:uid="{00000000-0006-0000-0100-0000A90D0000}">
      <text>
        <r>
          <rPr>
            <sz val="11"/>
            <color theme="1"/>
            <rFont val="Calibri"/>
            <family val="2"/>
            <scheme val="minor"/>
          </rPr>
          <t>Seleccionar un valor del listado</t>
        </r>
      </text>
    </comment>
    <comment ref="D3724" authorId="1" shapeId="0" xr:uid="{00000000-0006-0000-0100-0000AA0D0000}">
      <text>
        <r>
          <rPr>
            <sz val="11"/>
            <color theme="1"/>
            <rFont val="Calibri"/>
            <family val="2"/>
            <scheme val="minor"/>
          </rPr>
          <t>Seleccione el tipo de procedimiento</t>
        </r>
      </text>
    </comment>
    <comment ref="E3724" authorId="1" shapeId="0" xr:uid="{00000000-0006-0000-0100-0000AB0D0000}">
      <text>
        <r>
          <rPr>
            <sz val="11"/>
            <color theme="1"/>
            <rFont val="Calibri"/>
            <family val="2"/>
            <scheme val="minor"/>
          </rPr>
          <t>Seleccione un valor de la lista</t>
        </r>
      </text>
    </comment>
    <comment ref="F3724" authorId="1" shapeId="0" xr:uid="{00000000-0006-0000-0100-0000AC0D0000}">
      <text>
        <r>
          <rPr>
            <sz val="11"/>
            <color theme="1"/>
            <rFont val="Calibri"/>
            <family val="2"/>
            <scheme val="minor"/>
          </rPr>
          <t>Introduzca el código SNIP</t>
        </r>
      </text>
    </comment>
    <comment ref="C3725" authorId="1" shapeId="0" xr:uid="{00000000-0006-0000-0100-0000AD0D0000}">
      <text>
        <r>
          <rPr>
            <sz val="11"/>
            <color theme="1"/>
            <rFont val="Calibri"/>
            <family val="2"/>
            <scheme val="minor"/>
          </rPr>
          <t>Introduzca la fecha de inicio del proceso, en formato dd-mm-aaaa</t>
        </r>
      </text>
    </comment>
    <comment ref="F3725" authorId="1" shapeId="0" xr:uid="{00000000-0006-0000-0100-0000AF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26" authorId="1" shapeId="0" xr:uid="{00000000-0006-0000-0100-0000B00D0000}">
      <text/>
    </comment>
    <comment ref="C3727" authorId="1" shapeId="0" xr:uid="{00000000-0006-0000-0100-0000AE0D0000}">
      <text>
        <r>
          <rPr>
            <sz val="11"/>
            <color theme="1"/>
            <rFont val="Calibri"/>
            <family val="2"/>
            <scheme val="minor"/>
          </rPr>
          <t>Introduzca la fecha prevista de adjudicación, en formato dd-mm-aaaa</t>
        </r>
      </text>
    </comment>
    <comment ref="F3727" authorId="1" shapeId="0" xr:uid="{00000000-0006-0000-0100-0000B10D0000}">
      <text/>
    </comment>
    <comment ref="F3728" authorId="1" shapeId="0" xr:uid="{00000000-0006-0000-0100-0000B20D0000}">
      <text/>
    </comment>
    <comment ref="A3730" authorId="1" shapeId="0" xr:uid="{00000000-0006-0000-0100-0000B30D0000}">
      <text>
        <r>
          <rPr>
            <sz val="11"/>
            <color theme="1"/>
            <rFont val="Calibri"/>
            <family val="2"/>
            <scheme val="minor"/>
          </rPr>
          <t>Introduzca un codigo UNSPSC</t>
        </r>
      </text>
    </comment>
    <comment ref="B3730" authorId="1" shapeId="0" xr:uid="{00000000-0006-0000-0100-0000B40D0000}">
      <text>
        <r>
          <rPr>
            <sz val="11"/>
            <color theme="1"/>
            <rFont val="Calibri"/>
            <family val="2"/>
            <scheme val="minor"/>
          </rPr>
          <t>Descripción calculada automáticamente a partir de código del artículo</t>
        </r>
      </text>
    </comment>
    <comment ref="C3730" authorId="1" shapeId="0" xr:uid="{00000000-0006-0000-0100-0000B50D0000}">
      <text>
        <r>
          <rPr>
            <sz val="11"/>
            <color theme="1"/>
            <rFont val="Calibri"/>
            <family val="2"/>
            <scheme val="minor"/>
          </rPr>
          <t>Seleccione un valor de la lista</t>
        </r>
      </text>
    </comment>
    <comment ref="D3730" authorId="1" shapeId="0" xr:uid="{00000000-0006-0000-0100-0000B60D0000}">
      <text>
        <r>
          <rPr>
            <sz val="11"/>
            <color theme="1"/>
            <rFont val="Calibri"/>
            <family val="2"/>
            <scheme val="minor"/>
          </rPr>
          <t>Introduzca un número con dos decimales como máximo. Debe ser igual o mayor a la "Cantidad Real Consumida"</t>
        </r>
      </text>
    </comment>
    <comment ref="E3730" authorId="1" shapeId="0" xr:uid="{00000000-0006-0000-0100-0000B70D0000}">
      <text>
        <r>
          <rPr>
            <sz val="11"/>
            <color theme="1"/>
            <rFont val="Calibri"/>
            <family val="2"/>
            <scheme val="minor"/>
          </rPr>
          <t>Introduzca un número con dos decimales como máximo</t>
        </r>
      </text>
    </comment>
    <comment ref="F3730" authorId="1" shapeId="0" xr:uid="{00000000-0006-0000-0100-0000B80D0000}">
      <text>
        <r>
          <rPr>
            <sz val="11"/>
            <color theme="1"/>
            <rFont val="Calibri"/>
            <family val="2"/>
            <scheme val="minor"/>
          </rPr>
          <t>Monto calculado automáticamente por el sistema</t>
        </r>
      </text>
    </comment>
    <comment ref="A3735" authorId="1" shapeId="0" xr:uid="{00000000-0006-0000-0100-0000B90D0000}">
      <text>
        <r>
          <rPr>
            <sz val="11"/>
            <color theme="1"/>
            <rFont val="Calibri"/>
            <family val="2"/>
            <scheme val="minor"/>
          </rPr>
          <t>Introducir un texto con el nombre o referencia de la contratación</t>
        </r>
      </text>
    </comment>
    <comment ref="B3735" authorId="1" shapeId="0" xr:uid="{00000000-0006-0000-0100-0000BA0D0000}">
      <text>
        <r>
          <rPr>
            <sz val="11"/>
            <color theme="1"/>
            <rFont val="Calibri"/>
            <family val="2"/>
            <scheme val="minor"/>
          </rPr>
          <t>Introduzca un texto con la finalidad de la contratación</t>
        </r>
      </text>
    </comment>
    <comment ref="C3735" authorId="1" shapeId="0" xr:uid="{00000000-0006-0000-0100-0000BB0D0000}">
      <text>
        <r>
          <rPr>
            <sz val="11"/>
            <color theme="1"/>
            <rFont val="Calibri"/>
            <family val="2"/>
            <scheme val="minor"/>
          </rPr>
          <t>Seleccionar un valor del listado</t>
        </r>
      </text>
    </comment>
    <comment ref="D3735" authorId="1" shapeId="0" xr:uid="{00000000-0006-0000-0100-0000BC0D0000}">
      <text>
        <r>
          <rPr>
            <sz val="11"/>
            <color theme="1"/>
            <rFont val="Calibri"/>
            <family val="2"/>
            <scheme val="minor"/>
          </rPr>
          <t>Seleccione el tipo de procedimiento</t>
        </r>
      </text>
    </comment>
    <comment ref="E3735" authorId="1" shapeId="0" xr:uid="{00000000-0006-0000-0100-0000BD0D0000}">
      <text>
        <r>
          <rPr>
            <sz val="11"/>
            <color theme="1"/>
            <rFont val="Calibri"/>
            <family val="2"/>
            <scheme val="minor"/>
          </rPr>
          <t>Seleccione un valor de la lista</t>
        </r>
      </text>
    </comment>
    <comment ref="F3735" authorId="1" shapeId="0" xr:uid="{00000000-0006-0000-0100-0000BE0D0000}">
      <text>
        <r>
          <rPr>
            <sz val="11"/>
            <color theme="1"/>
            <rFont val="Calibri"/>
            <family val="2"/>
            <scheme val="minor"/>
          </rPr>
          <t>Introduzca el código SNIP</t>
        </r>
      </text>
    </comment>
    <comment ref="C3736" authorId="1" shapeId="0" xr:uid="{00000000-0006-0000-0100-0000BF0D0000}">
      <text>
        <r>
          <rPr>
            <sz val="11"/>
            <color theme="1"/>
            <rFont val="Calibri"/>
            <family val="2"/>
            <scheme val="minor"/>
          </rPr>
          <t>Introduzca la fecha de inicio del proceso, en formato dd-mm-aaaa</t>
        </r>
      </text>
    </comment>
    <comment ref="F3736" authorId="1" shapeId="0" xr:uid="{00000000-0006-0000-0100-0000C1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37" authorId="1" shapeId="0" xr:uid="{00000000-0006-0000-0100-0000C20D0000}">
      <text/>
    </comment>
    <comment ref="C3738" authorId="1" shapeId="0" xr:uid="{00000000-0006-0000-0100-0000C00D0000}">
      <text>
        <r>
          <rPr>
            <sz val="11"/>
            <color theme="1"/>
            <rFont val="Calibri"/>
            <family val="2"/>
            <scheme val="minor"/>
          </rPr>
          <t>Introduzca la fecha prevista de adjudicación, en formato dd-mm-aaaa</t>
        </r>
      </text>
    </comment>
    <comment ref="F3738" authorId="1" shapeId="0" xr:uid="{00000000-0006-0000-0100-0000C30D0000}">
      <text/>
    </comment>
    <comment ref="F3739" authorId="1" shapeId="0" xr:uid="{00000000-0006-0000-0100-0000C40D0000}">
      <text/>
    </comment>
    <comment ref="A3741" authorId="1" shapeId="0" xr:uid="{00000000-0006-0000-0100-0000C50D0000}">
      <text>
        <r>
          <rPr>
            <sz val="11"/>
            <color theme="1"/>
            <rFont val="Calibri"/>
            <family val="2"/>
            <scheme val="minor"/>
          </rPr>
          <t>Introduzca un codigo UNSPSC</t>
        </r>
      </text>
    </comment>
    <comment ref="B3741" authorId="1" shapeId="0" xr:uid="{00000000-0006-0000-0100-0000C60D0000}">
      <text>
        <r>
          <rPr>
            <sz val="11"/>
            <color theme="1"/>
            <rFont val="Calibri"/>
            <family val="2"/>
            <scheme val="minor"/>
          </rPr>
          <t>Descripción calculada automáticamente a partir de código del artículo</t>
        </r>
      </text>
    </comment>
    <comment ref="C3741" authorId="1" shapeId="0" xr:uid="{00000000-0006-0000-0100-0000C70D0000}">
      <text>
        <r>
          <rPr>
            <sz val="11"/>
            <color theme="1"/>
            <rFont val="Calibri"/>
            <family val="2"/>
            <scheme val="minor"/>
          </rPr>
          <t>Seleccione un valor de la lista</t>
        </r>
      </text>
    </comment>
    <comment ref="D3741" authorId="1" shapeId="0" xr:uid="{00000000-0006-0000-0100-0000C80D0000}">
      <text>
        <r>
          <rPr>
            <sz val="11"/>
            <color theme="1"/>
            <rFont val="Calibri"/>
            <family val="2"/>
            <scheme val="minor"/>
          </rPr>
          <t>Introduzca un número con dos decimales como máximo. Debe ser igual o mayor a la "Cantidad Real Consumida"</t>
        </r>
      </text>
    </comment>
    <comment ref="E3741" authorId="1" shapeId="0" xr:uid="{00000000-0006-0000-0100-0000C90D0000}">
      <text>
        <r>
          <rPr>
            <sz val="11"/>
            <color theme="1"/>
            <rFont val="Calibri"/>
            <family val="2"/>
            <scheme val="minor"/>
          </rPr>
          <t>Introduzca un número con dos decimales como máximo</t>
        </r>
      </text>
    </comment>
    <comment ref="F3741" authorId="1" shapeId="0" xr:uid="{00000000-0006-0000-0100-0000CA0D0000}">
      <text>
        <r>
          <rPr>
            <sz val="11"/>
            <color theme="1"/>
            <rFont val="Calibri"/>
            <family val="2"/>
            <scheme val="minor"/>
          </rPr>
          <t>Monto calculado automáticamente por el sistema</t>
        </r>
      </text>
    </comment>
    <comment ref="A3754" authorId="1" shapeId="0" xr:uid="{00000000-0006-0000-0100-0000CB0D0000}">
      <text>
        <r>
          <rPr>
            <sz val="11"/>
            <color theme="1"/>
            <rFont val="Calibri"/>
            <family val="2"/>
            <scheme val="minor"/>
          </rPr>
          <t>Introducir un texto con el nombre o referencia de la contratación</t>
        </r>
      </text>
    </comment>
    <comment ref="B3754" authorId="1" shapeId="0" xr:uid="{00000000-0006-0000-0100-0000CC0D0000}">
      <text>
        <r>
          <rPr>
            <sz val="11"/>
            <color theme="1"/>
            <rFont val="Calibri"/>
            <family val="2"/>
            <scheme val="minor"/>
          </rPr>
          <t>Introduzca un texto con la finalidad de la contratación</t>
        </r>
      </text>
    </comment>
    <comment ref="C3754" authorId="1" shapeId="0" xr:uid="{00000000-0006-0000-0100-0000CD0D0000}">
      <text>
        <r>
          <rPr>
            <sz val="11"/>
            <color theme="1"/>
            <rFont val="Calibri"/>
            <family val="2"/>
            <scheme val="minor"/>
          </rPr>
          <t>Seleccionar un valor del listado</t>
        </r>
      </text>
    </comment>
    <comment ref="D3754" authorId="1" shapeId="0" xr:uid="{00000000-0006-0000-0100-0000CE0D0000}">
      <text>
        <r>
          <rPr>
            <sz val="11"/>
            <color theme="1"/>
            <rFont val="Calibri"/>
            <family val="2"/>
            <scheme val="minor"/>
          </rPr>
          <t>Seleccione el tipo de procedimiento</t>
        </r>
      </text>
    </comment>
    <comment ref="E3754" authorId="1" shapeId="0" xr:uid="{00000000-0006-0000-0100-0000CF0D0000}">
      <text>
        <r>
          <rPr>
            <sz val="11"/>
            <color theme="1"/>
            <rFont val="Calibri"/>
            <family val="2"/>
            <scheme val="minor"/>
          </rPr>
          <t>Seleccione un valor de la lista</t>
        </r>
      </text>
    </comment>
    <comment ref="F3754" authorId="1" shapeId="0" xr:uid="{00000000-0006-0000-0100-0000D00D0000}">
      <text>
        <r>
          <rPr>
            <sz val="11"/>
            <color theme="1"/>
            <rFont val="Calibri"/>
            <family val="2"/>
            <scheme val="minor"/>
          </rPr>
          <t>Introduzca el código SNIP</t>
        </r>
      </text>
    </comment>
    <comment ref="C3755" authorId="1" shapeId="0" xr:uid="{00000000-0006-0000-0100-0000D10D0000}">
      <text>
        <r>
          <rPr>
            <sz val="11"/>
            <color theme="1"/>
            <rFont val="Calibri"/>
            <family val="2"/>
            <scheme val="minor"/>
          </rPr>
          <t>Introduzca la fecha de inicio del proceso, en formato dd-mm-aaaa</t>
        </r>
      </text>
    </comment>
    <comment ref="F3755" authorId="1" shapeId="0" xr:uid="{00000000-0006-0000-0100-0000D3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56" authorId="1" shapeId="0" xr:uid="{00000000-0006-0000-0100-0000D40D0000}">
      <text/>
    </comment>
    <comment ref="C3757" authorId="1" shapeId="0" xr:uid="{00000000-0006-0000-0100-0000D20D0000}">
      <text>
        <r>
          <rPr>
            <sz val="11"/>
            <color theme="1"/>
            <rFont val="Calibri"/>
            <family val="2"/>
            <scheme val="minor"/>
          </rPr>
          <t>Introduzca la fecha prevista de adjudicación, en formato dd-mm-aaaa</t>
        </r>
      </text>
    </comment>
    <comment ref="F3757" authorId="1" shapeId="0" xr:uid="{00000000-0006-0000-0100-0000D50D0000}">
      <text/>
    </comment>
    <comment ref="F3758" authorId="1" shapeId="0" xr:uid="{00000000-0006-0000-0100-0000D60D0000}">
      <text/>
    </comment>
    <comment ref="A3760" authorId="1" shapeId="0" xr:uid="{00000000-0006-0000-0100-0000D70D0000}">
      <text>
        <r>
          <rPr>
            <sz val="11"/>
            <color theme="1"/>
            <rFont val="Calibri"/>
            <family val="2"/>
            <scheme val="minor"/>
          </rPr>
          <t>Introduzca un codigo UNSPSC</t>
        </r>
      </text>
    </comment>
    <comment ref="B3760" authorId="1" shapeId="0" xr:uid="{00000000-0006-0000-0100-0000D80D0000}">
      <text>
        <r>
          <rPr>
            <sz val="11"/>
            <color theme="1"/>
            <rFont val="Calibri"/>
            <family val="2"/>
            <scheme val="minor"/>
          </rPr>
          <t>Descripción calculada automáticamente a partir de código del artículo</t>
        </r>
      </text>
    </comment>
    <comment ref="C3760" authorId="1" shapeId="0" xr:uid="{00000000-0006-0000-0100-0000D90D0000}">
      <text>
        <r>
          <rPr>
            <sz val="11"/>
            <color theme="1"/>
            <rFont val="Calibri"/>
            <family val="2"/>
            <scheme val="minor"/>
          </rPr>
          <t>Seleccione un valor de la lista</t>
        </r>
      </text>
    </comment>
    <comment ref="D3760" authorId="1" shapeId="0" xr:uid="{00000000-0006-0000-0100-0000DA0D0000}">
      <text>
        <r>
          <rPr>
            <sz val="11"/>
            <color theme="1"/>
            <rFont val="Calibri"/>
            <family val="2"/>
            <scheme val="minor"/>
          </rPr>
          <t>Introduzca un número con dos decimales como máximo. Debe ser igual o mayor a la "Cantidad Real Consumida"</t>
        </r>
      </text>
    </comment>
    <comment ref="E3760" authorId="1" shapeId="0" xr:uid="{00000000-0006-0000-0100-0000DB0D0000}">
      <text>
        <r>
          <rPr>
            <sz val="11"/>
            <color theme="1"/>
            <rFont val="Calibri"/>
            <family val="2"/>
            <scheme val="minor"/>
          </rPr>
          <t>Introduzca un número con dos decimales como máximo</t>
        </r>
      </text>
    </comment>
    <comment ref="F3760" authorId="1" shapeId="0" xr:uid="{00000000-0006-0000-0100-0000DC0D0000}">
      <text>
        <r>
          <rPr>
            <sz val="11"/>
            <color theme="1"/>
            <rFont val="Calibri"/>
            <family val="2"/>
            <scheme val="minor"/>
          </rPr>
          <t>Monto calculado automáticamente por el sistema</t>
        </r>
      </text>
    </comment>
    <comment ref="A3778" authorId="1" shapeId="0" xr:uid="{00000000-0006-0000-0100-0000DD0D0000}">
      <text>
        <r>
          <rPr>
            <sz val="11"/>
            <color theme="1"/>
            <rFont val="Calibri"/>
            <family val="2"/>
            <scheme val="minor"/>
          </rPr>
          <t>Introducir un texto con el nombre o referencia de la contratación</t>
        </r>
      </text>
    </comment>
    <comment ref="B3778" authorId="1" shapeId="0" xr:uid="{00000000-0006-0000-0100-0000DE0D0000}">
      <text>
        <r>
          <rPr>
            <sz val="11"/>
            <color theme="1"/>
            <rFont val="Calibri"/>
            <family val="2"/>
            <scheme val="minor"/>
          </rPr>
          <t>Introduzca un texto con la finalidad de la contratación</t>
        </r>
      </text>
    </comment>
    <comment ref="C3778" authorId="1" shapeId="0" xr:uid="{00000000-0006-0000-0100-0000DF0D0000}">
      <text>
        <r>
          <rPr>
            <sz val="11"/>
            <color theme="1"/>
            <rFont val="Calibri"/>
            <family val="2"/>
            <scheme val="minor"/>
          </rPr>
          <t>Seleccionar un valor del listado</t>
        </r>
      </text>
    </comment>
    <comment ref="D3778" authorId="1" shapeId="0" xr:uid="{00000000-0006-0000-0100-0000E00D0000}">
      <text>
        <r>
          <rPr>
            <sz val="11"/>
            <color theme="1"/>
            <rFont val="Calibri"/>
            <family val="2"/>
            <scheme val="minor"/>
          </rPr>
          <t>Seleccione el tipo de procedimiento</t>
        </r>
      </text>
    </comment>
    <comment ref="E3778" authorId="1" shapeId="0" xr:uid="{00000000-0006-0000-0100-0000E10D0000}">
      <text>
        <r>
          <rPr>
            <sz val="11"/>
            <color theme="1"/>
            <rFont val="Calibri"/>
            <family val="2"/>
            <scheme val="minor"/>
          </rPr>
          <t>Seleccione un valor de la lista</t>
        </r>
      </text>
    </comment>
    <comment ref="F3778" authorId="1" shapeId="0" xr:uid="{00000000-0006-0000-0100-0000E20D0000}">
      <text>
        <r>
          <rPr>
            <sz val="11"/>
            <color theme="1"/>
            <rFont val="Calibri"/>
            <family val="2"/>
            <scheme val="minor"/>
          </rPr>
          <t>Introduzca el código SNIP</t>
        </r>
      </text>
    </comment>
    <comment ref="C3779" authorId="1" shapeId="0" xr:uid="{00000000-0006-0000-0100-0000E30D0000}">
      <text>
        <r>
          <rPr>
            <sz val="11"/>
            <color theme="1"/>
            <rFont val="Calibri"/>
            <family val="2"/>
            <scheme val="minor"/>
          </rPr>
          <t>Introduzca la fecha de inicio del proceso, en formato dd-mm-aaaa</t>
        </r>
      </text>
    </comment>
    <comment ref="F3779" authorId="1" shapeId="0" xr:uid="{00000000-0006-0000-0100-0000E5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80" authorId="1" shapeId="0" xr:uid="{00000000-0006-0000-0100-0000E60D0000}">
      <text/>
    </comment>
    <comment ref="C3781" authorId="1" shapeId="0" xr:uid="{00000000-0006-0000-0100-0000E40D0000}">
      <text>
        <r>
          <rPr>
            <sz val="11"/>
            <color theme="1"/>
            <rFont val="Calibri"/>
            <family val="2"/>
            <scheme val="minor"/>
          </rPr>
          <t>Introduzca la fecha prevista de adjudicación, en formato dd-mm-aaaa</t>
        </r>
      </text>
    </comment>
    <comment ref="F3781" authorId="1" shapeId="0" xr:uid="{00000000-0006-0000-0100-0000E70D0000}">
      <text/>
    </comment>
    <comment ref="F3782" authorId="1" shapeId="0" xr:uid="{00000000-0006-0000-0100-0000E80D0000}">
      <text/>
    </comment>
    <comment ref="A3784" authorId="1" shapeId="0" xr:uid="{00000000-0006-0000-0100-0000E90D0000}">
      <text>
        <r>
          <rPr>
            <sz val="11"/>
            <color theme="1"/>
            <rFont val="Calibri"/>
            <family val="2"/>
            <scheme val="minor"/>
          </rPr>
          <t>Introduzca un codigo UNSPSC</t>
        </r>
      </text>
    </comment>
    <comment ref="B3784" authorId="1" shapeId="0" xr:uid="{00000000-0006-0000-0100-0000EA0D0000}">
      <text>
        <r>
          <rPr>
            <sz val="11"/>
            <color theme="1"/>
            <rFont val="Calibri"/>
            <family val="2"/>
            <scheme val="minor"/>
          </rPr>
          <t>Descripción calculada automáticamente a partir de código del artículo</t>
        </r>
      </text>
    </comment>
    <comment ref="C3784" authorId="1" shapeId="0" xr:uid="{00000000-0006-0000-0100-0000EB0D0000}">
      <text>
        <r>
          <rPr>
            <sz val="11"/>
            <color theme="1"/>
            <rFont val="Calibri"/>
            <family val="2"/>
            <scheme val="minor"/>
          </rPr>
          <t>Seleccione un valor de la lista</t>
        </r>
      </text>
    </comment>
    <comment ref="D3784" authorId="1" shapeId="0" xr:uid="{00000000-0006-0000-0100-0000EC0D0000}">
      <text>
        <r>
          <rPr>
            <sz val="11"/>
            <color theme="1"/>
            <rFont val="Calibri"/>
            <family val="2"/>
            <scheme val="minor"/>
          </rPr>
          <t>Introduzca un número con dos decimales como máximo. Debe ser igual o mayor a la "Cantidad Real Consumida"</t>
        </r>
      </text>
    </comment>
    <comment ref="E3784" authorId="1" shapeId="0" xr:uid="{00000000-0006-0000-0100-0000ED0D0000}">
      <text>
        <r>
          <rPr>
            <sz val="11"/>
            <color theme="1"/>
            <rFont val="Calibri"/>
            <family val="2"/>
            <scheme val="minor"/>
          </rPr>
          <t>Introduzca un número con dos decimales como máximo</t>
        </r>
      </text>
    </comment>
    <comment ref="F3784" authorId="1" shapeId="0" xr:uid="{00000000-0006-0000-0100-0000EE0D0000}">
      <text>
        <r>
          <rPr>
            <sz val="11"/>
            <color theme="1"/>
            <rFont val="Calibri"/>
            <family val="2"/>
            <scheme val="minor"/>
          </rPr>
          <t>Monto calculado automáticamente por el sistema</t>
        </r>
      </text>
    </comment>
    <comment ref="A3799" authorId="1" shapeId="0" xr:uid="{00000000-0006-0000-0100-0000EF0D0000}">
      <text>
        <r>
          <rPr>
            <sz val="11"/>
            <color theme="1"/>
            <rFont val="Calibri"/>
            <family val="2"/>
            <scheme val="minor"/>
          </rPr>
          <t>Introducir un texto con el nombre o referencia de la contratación</t>
        </r>
      </text>
    </comment>
    <comment ref="B3799" authorId="1" shapeId="0" xr:uid="{00000000-0006-0000-0100-0000F00D0000}">
      <text>
        <r>
          <rPr>
            <sz val="11"/>
            <color theme="1"/>
            <rFont val="Calibri"/>
            <family val="2"/>
            <scheme val="minor"/>
          </rPr>
          <t>Introduzca un texto con la finalidad de la contratación</t>
        </r>
      </text>
    </comment>
    <comment ref="C3799" authorId="1" shapeId="0" xr:uid="{00000000-0006-0000-0100-0000F10D0000}">
      <text>
        <r>
          <rPr>
            <sz val="11"/>
            <color theme="1"/>
            <rFont val="Calibri"/>
            <family val="2"/>
            <scheme val="minor"/>
          </rPr>
          <t>Seleccionar un valor del listado</t>
        </r>
      </text>
    </comment>
    <comment ref="D3799" authorId="1" shapeId="0" xr:uid="{00000000-0006-0000-0100-0000F20D0000}">
      <text>
        <r>
          <rPr>
            <sz val="11"/>
            <color theme="1"/>
            <rFont val="Calibri"/>
            <family val="2"/>
            <scheme val="minor"/>
          </rPr>
          <t>Seleccione el tipo de procedimiento</t>
        </r>
      </text>
    </comment>
    <comment ref="E3799" authorId="1" shapeId="0" xr:uid="{00000000-0006-0000-0100-0000F30D0000}">
      <text>
        <r>
          <rPr>
            <sz val="11"/>
            <color theme="1"/>
            <rFont val="Calibri"/>
            <family val="2"/>
            <scheme val="minor"/>
          </rPr>
          <t>Seleccione un valor de la lista</t>
        </r>
      </text>
    </comment>
    <comment ref="F3799" authorId="1" shapeId="0" xr:uid="{00000000-0006-0000-0100-0000F40D0000}">
      <text>
        <r>
          <rPr>
            <sz val="11"/>
            <color theme="1"/>
            <rFont val="Calibri"/>
            <family val="2"/>
            <scheme val="minor"/>
          </rPr>
          <t>Introduzca el código SNIP</t>
        </r>
      </text>
    </comment>
    <comment ref="C3800" authorId="1" shapeId="0" xr:uid="{00000000-0006-0000-0100-0000F50D0000}">
      <text>
        <r>
          <rPr>
            <sz val="11"/>
            <color theme="1"/>
            <rFont val="Calibri"/>
            <family val="2"/>
            <scheme val="minor"/>
          </rPr>
          <t>Introduzca la fecha de inicio del proceso, en formato dd-mm-aaaa</t>
        </r>
      </text>
    </comment>
    <comment ref="F3800" authorId="1" shapeId="0" xr:uid="{00000000-0006-0000-0100-0000F7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01" authorId="1" shapeId="0" xr:uid="{00000000-0006-0000-0100-0000F80D0000}">
      <text/>
    </comment>
    <comment ref="C3802" authorId="1" shapeId="0" xr:uid="{00000000-0006-0000-0100-0000F60D0000}">
      <text>
        <r>
          <rPr>
            <sz val="11"/>
            <color theme="1"/>
            <rFont val="Calibri"/>
            <family val="2"/>
            <scheme val="minor"/>
          </rPr>
          <t>Introduzca la fecha prevista de adjudicación, en formato dd-mm-aaaa</t>
        </r>
      </text>
    </comment>
    <comment ref="F3802" authorId="1" shapeId="0" xr:uid="{00000000-0006-0000-0100-0000F90D0000}">
      <text/>
    </comment>
    <comment ref="F3803" authorId="1" shapeId="0" xr:uid="{00000000-0006-0000-0100-0000FA0D0000}">
      <text/>
    </comment>
    <comment ref="A3805" authorId="1" shapeId="0" xr:uid="{00000000-0006-0000-0100-0000FB0D0000}">
      <text>
        <r>
          <rPr>
            <sz val="11"/>
            <color theme="1"/>
            <rFont val="Calibri"/>
            <family val="2"/>
            <scheme val="minor"/>
          </rPr>
          <t>Introduzca un codigo UNSPSC</t>
        </r>
      </text>
    </comment>
    <comment ref="B3805" authorId="1" shapeId="0" xr:uid="{00000000-0006-0000-0100-0000FC0D0000}">
      <text>
        <r>
          <rPr>
            <sz val="11"/>
            <color theme="1"/>
            <rFont val="Calibri"/>
            <family val="2"/>
            <scheme val="minor"/>
          </rPr>
          <t>Descripción calculada automáticamente a partir de código del artículo</t>
        </r>
      </text>
    </comment>
    <comment ref="C3805" authorId="1" shapeId="0" xr:uid="{00000000-0006-0000-0100-0000FD0D0000}">
      <text>
        <r>
          <rPr>
            <sz val="11"/>
            <color theme="1"/>
            <rFont val="Calibri"/>
            <family val="2"/>
            <scheme val="minor"/>
          </rPr>
          <t>Seleccione un valor de la lista</t>
        </r>
      </text>
    </comment>
    <comment ref="D3805" authorId="1" shapeId="0" xr:uid="{00000000-0006-0000-0100-0000FE0D0000}">
      <text>
        <r>
          <rPr>
            <sz val="11"/>
            <color theme="1"/>
            <rFont val="Calibri"/>
            <family val="2"/>
            <scheme val="minor"/>
          </rPr>
          <t>Introduzca un número con dos decimales como máximo. Debe ser igual o mayor a la "Cantidad Real Consumida"</t>
        </r>
      </text>
    </comment>
    <comment ref="E3805" authorId="1" shapeId="0" xr:uid="{00000000-0006-0000-0100-0000FF0D0000}">
      <text>
        <r>
          <rPr>
            <sz val="11"/>
            <color theme="1"/>
            <rFont val="Calibri"/>
            <family val="2"/>
            <scheme val="minor"/>
          </rPr>
          <t>Introduzca un número con dos decimales como máximo</t>
        </r>
      </text>
    </comment>
    <comment ref="F3805" authorId="1" shapeId="0" xr:uid="{00000000-0006-0000-0100-0000000E0000}">
      <text>
        <r>
          <rPr>
            <sz val="11"/>
            <color theme="1"/>
            <rFont val="Calibri"/>
            <family val="2"/>
            <scheme val="minor"/>
          </rPr>
          <t>Monto calculado automáticamente por el sistema</t>
        </r>
      </text>
    </comment>
    <comment ref="A3815" authorId="1" shapeId="0" xr:uid="{00000000-0006-0000-0100-0000010E0000}">
      <text>
        <r>
          <rPr>
            <sz val="11"/>
            <color theme="1"/>
            <rFont val="Calibri"/>
            <family val="2"/>
            <scheme val="minor"/>
          </rPr>
          <t>Introducir un texto con el nombre o referencia de la contratación</t>
        </r>
      </text>
    </comment>
    <comment ref="B3815" authorId="1" shapeId="0" xr:uid="{00000000-0006-0000-0100-0000020E0000}">
      <text>
        <r>
          <rPr>
            <sz val="11"/>
            <color theme="1"/>
            <rFont val="Calibri"/>
            <family val="2"/>
            <scheme val="minor"/>
          </rPr>
          <t>Introduzca un texto con la finalidad de la contratación</t>
        </r>
      </text>
    </comment>
    <comment ref="C3815" authorId="1" shapeId="0" xr:uid="{00000000-0006-0000-0100-0000030E0000}">
      <text>
        <r>
          <rPr>
            <sz val="11"/>
            <color theme="1"/>
            <rFont val="Calibri"/>
            <family val="2"/>
            <scheme val="minor"/>
          </rPr>
          <t>Seleccionar un valor del listado</t>
        </r>
      </text>
    </comment>
    <comment ref="D3815" authorId="1" shapeId="0" xr:uid="{00000000-0006-0000-0100-0000040E0000}">
      <text>
        <r>
          <rPr>
            <sz val="11"/>
            <color theme="1"/>
            <rFont val="Calibri"/>
            <family val="2"/>
            <scheme val="minor"/>
          </rPr>
          <t>Seleccione el tipo de procedimiento</t>
        </r>
      </text>
    </comment>
    <comment ref="E3815" authorId="1" shapeId="0" xr:uid="{00000000-0006-0000-0100-0000050E0000}">
      <text>
        <r>
          <rPr>
            <sz val="11"/>
            <color theme="1"/>
            <rFont val="Calibri"/>
            <family val="2"/>
            <scheme val="minor"/>
          </rPr>
          <t>Seleccione un valor de la lista</t>
        </r>
      </text>
    </comment>
    <comment ref="F3815" authorId="1" shapeId="0" xr:uid="{00000000-0006-0000-0100-0000060E0000}">
      <text>
        <r>
          <rPr>
            <sz val="11"/>
            <color theme="1"/>
            <rFont val="Calibri"/>
            <family val="2"/>
            <scheme val="minor"/>
          </rPr>
          <t>Introduzca el código SNIP</t>
        </r>
      </text>
    </comment>
    <comment ref="C3816" authorId="1" shapeId="0" xr:uid="{00000000-0006-0000-0100-0000070E0000}">
      <text>
        <r>
          <rPr>
            <sz val="11"/>
            <color theme="1"/>
            <rFont val="Calibri"/>
            <family val="2"/>
            <scheme val="minor"/>
          </rPr>
          <t>Introduzca la fecha de inicio del proceso, en formato dd-mm-aaaa</t>
        </r>
      </text>
    </comment>
    <comment ref="F3816" authorId="1" shapeId="0" xr:uid="{00000000-0006-0000-0100-000009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17" authorId="1" shapeId="0" xr:uid="{00000000-0006-0000-0100-00000A0E0000}">
      <text/>
    </comment>
    <comment ref="C3818" authorId="1" shapeId="0" xr:uid="{00000000-0006-0000-0100-0000080E0000}">
      <text>
        <r>
          <rPr>
            <sz val="11"/>
            <color theme="1"/>
            <rFont val="Calibri"/>
            <family val="2"/>
            <scheme val="minor"/>
          </rPr>
          <t>Introduzca la fecha prevista de adjudicación, en formato dd-mm-aaaa</t>
        </r>
      </text>
    </comment>
    <comment ref="F3818" authorId="1" shapeId="0" xr:uid="{00000000-0006-0000-0100-00000B0E0000}">
      <text/>
    </comment>
    <comment ref="F3819" authorId="1" shapeId="0" xr:uid="{00000000-0006-0000-0100-00000C0E0000}">
      <text/>
    </comment>
    <comment ref="A3821" authorId="1" shapeId="0" xr:uid="{00000000-0006-0000-0100-00000D0E0000}">
      <text>
        <r>
          <rPr>
            <sz val="11"/>
            <color theme="1"/>
            <rFont val="Calibri"/>
            <family val="2"/>
            <scheme val="minor"/>
          </rPr>
          <t>Introduzca un codigo UNSPSC</t>
        </r>
      </text>
    </comment>
    <comment ref="B3821" authorId="1" shapeId="0" xr:uid="{00000000-0006-0000-0100-00000E0E0000}">
      <text>
        <r>
          <rPr>
            <sz val="11"/>
            <color theme="1"/>
            <rFont val="Calibri"/>
            <family val="2"/>
            <scheme val="minor"/>
          </rPr>
          <t>Descripción calculada automáticamente a partir de código del artículo</t>
        </r>
      </text>
    </comment>
    <comment ref="C3821" authorId="1" shapeId="0" xr:uid="{00000000-0006-0000-0100-00000F0E0000}">
      <text>
        <r>
          <rPr>
            <sz val="11"/>
            <color theme="1"/>
            <rFont val="Calibri"/>
            <family val="2"/>
            <scheme val="minor"/>
          </rPr>
          <t>Seleccione un valor de la lista</t>
        </r>
      </text>
    </comment>
    <comment ref="D3821" authorId="1" shapeId="0" xr:uid="{00000000-0006-0000-0100-0000100E0000}">
      <text>
        <r>
          <rPr>
            <sz val="11"/>
            <color theme="1"/>
            <rFont val="Calibri"/>
            <family val="2"/>
            <scheme val="minor"/>
          </rPr>
          <t>Introduzca un número con dos decimales como máximo. Debe ser igual o mayor a la "Cantidad Real Consumida"</t>
        </r>
      </text>
    </comment>
    <comment ref="E3821" authorId="1" shapeId="0" xr:uid="{00000000-0006-0000-0100-0000110E0000}">
      <text>
        <r>
          <rPr>
            <sz val="11"/>
            <color theme="1"/>
            <rFont val="Calibri"/>
            <family val="2"/>
            <scheme val="minor"/>
          </rPr>
          <t>Introduzca un número con dos decimales como máximo</t>
        </r>
      </text>
    </comment>
    <comment ref="F3821" authorId="1" shapeId="0" xr:uid="{00000000-0006-0000-0100-0000120E0000}">
      <text>
        <r>
          <rPr>
            <sz val="11"/>
            <color theme="1"/>
            <rFont val="Calibri"/>
            <family val="2"/>
            <scheme val="minor"/>
          </rPr>
          <t>Monto calculado automáticamente por el sistema</t>
        </r>
      </text>
    </comment>
    <comment ref="A3827" authorId="1" shapeId="0" xr:uid="{00000000-0006-0000-0100-0000130E0000}">
      <text>
        <r>
          <rPr>
            <sz val="11"/>
            <color theme="1"/>
            <rFont val="Calibri"/>
            <family val="2"/>
            <scheme val="minor"/>
          </rPr>
          <t>Introducir un texto con el nombre o referencia de la contratación</t>
        </r>
      </text>
    </comment>
    <comment ref="B3827" authorId="1" shapeId="0" xr:uid="{00000000-0006-0000-0100-0000140E0000}">
      <text>
        <r>
          <rPr>
            <sz val="11"/>
            <color theme="1"/>
            <rFont val="Calibri"/>
            <family val="2"/>
            <scheme val="minor"/>
          </rPr>
          <t>Introduzca un texto con la finalidad de la contratación</t>
        </r>
      </text>
    </comment>
    <comment ref="C3827" authorId="1" shapeId="0" xr:uid="{00000000-0006-0000-0100-0000150E0000}">
      <text>
        <r>
          <rPr>
            <sz val="11"/>
            <color theme="1"/>
            <rFont val="Calibri"/>
            <family val="2"/>
            <scheme val="minor"/>
          </rPr>
          <t>Seleccionar un valor del listado</t>
        </r>
      </text>
    </comment>
    <comment ref="D3827" authorId="1" shapeId="0" xr:uid="{00000000-0006-0000-0100-0000160E0000}">
      <text>
        <r>
          <rPr>
            <sz val="11"/>
            <color theme="1"/>
            <rFont val="Calibri"/>
            <family val="2"/>
            <scheme val="minor"/>
          </rPr>
          <t>Seleccione el tipo de procedimiento</t>
        </r>
      </text>
    </comment>
    <comment ref="E3827" authorId="1" shapeId="0" xr:uid="{00000000-0006-0000-0100-0000170E0000}">
      <text>
        <r>
          <rPr>
            <sz val="11"/>
            <color theme="1"/>
            <rFont val="Calibri"/>
            <family val="2"/>
            <scheme val="minor"/>
          </rPr>
          <t>Seleccione un valor de la lista</t>
        </r>
      </text>
    </comment>
    <comment ref="F3827" authorId="1" shapeId="0" xr:uid="{00000000-0006-0000-0100-0000180E0000}">
      <text>
        <r>
          <rPr>
            <sz val="11"/>
            <color theme="1"/>
            <rFont val="Calibri"/>
            <family val="2"/>
            <scheme val="minor"/>
          </rPr>
          <t>Introduzca el código SNIP</t>
        </r>
      </text>
    </comment>
    <comment ref="C3828" authorId="1" shapeId="0" xr:uid="{00000000-0006-0000-0100-0000190E0000}">
      <text>
        <r>
          <rPr>
            <sz val="11"/>
            <color theme="1"/>
            <rFont val="Calibri"/>
            <family val="2"/>
            <scheme val="minor"/>
          </rPr>
          <t>Introduzca la fecha de inicio del proceso, en formato dd-mm-aaaa</t>
        </r>
      </text>
    </comment>
    <comment ref="F3828" authorId="1" shapeId="0" xr:uid="{00000000-0006-0000-0100-00001B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29" authorId="1" shapeId="0" xr:uid="{00000000-0006-0000-0100-00001C0E0000}">
      <text/>
    </comment>
    <comment ref="C3830" authorId="1" shapeId="0" xr:uid="{00000000-0006-0000-0100-00001A0E0000}">
      <text>
        <r>
          <rPr>
            <sz val="11"/>
            <color theme="1"/>
            <rFont val="Calibri"/>
            <family val="2"/>
            <scheme val="minor"/>
          </rPr>
          <t>Introduzca la fecha prevista de adjudicación, en formato dd-mm-aaaa</t>
        </r>
      </text>
    </comment>
    <comment ref="F3830" authorId="1" shapeId="0" xr:uid="{00000000-0006-0000-0100-00001D0E0000}">
      <text/>
    </comment>
    <comment ref="F3831" authorId="1" shapeId="0" xr:uid="{00000000-0006-0000-0100-00001E0E0000}">
      <text/>
    </comment>
    <comment ref="A3833" authorId="1" shapeId="0" xr:uid="{00000000-0006-0000-0100-00001F0E0000}">
      <text>
        <r>
          <rPr>
            <sz val="11"/>
            <color theme="1"/>
            <rFont val="Calibri"/>
            <family val="2"/>
            <scheme val="minor"/>
          </rPr>
          <t>Introduzca un codigo UNSPSC</t>
        </r>
      </text>
    </comment>
    <comment ref="B3833" authorId="1" shapeId="0" xr:uid="{00000000-0006-0000-0100-0000200E0000}">
      <text>
        <r>
          <rPr>
            <sz val="11"/>
            <color theme="1"/>
            <rFont val="Calibri"/>
            <family val="2"/>
            <scheme val="minor"/>
          </rPr>
          <t>Descripción calculada automáticamente a partir de código del artículo</t>
        </r>
      </text>
    </comment>
    <comment ref="C3833" authorId="1" shapeId="0" xr:uid="{00000000-0006-0000-0100-0000210E0000}">
      <text>
        <r>
          <rPr>
            <sz val="11"/>
            <color theme="1"/>
            <rFont val="Calibri"/>
            <family val="2"/>
            <scheme val="minor"/>
          </rPr>
          <t>Seleccione un valor de la lista</t>
        </r>
      </text>
    </comment>
    <comment ref="D3833" authorId="1" shapeId="0" xr:uid="{00000000-0006-0000-0100-0000220E0000}">
      <text>
        <r>
          <rPr>
            <sz val="11"/>
            <color theme="1"/>
            <rFont val="Calibri"/>
            <family val="2"/>
            <scheme val="minor"/>
          </rPr>
          <t>Introduzca un número con dos decimales como máximo. Debe ser igual o mayor a la "Cantidad Real Consumida"</t>
        </r>
      </text>
    </comment>
    <comment ref="E3833" authorId="1" shapeId="0" xr:uid="{00000000-0006-0000-0100-0000230E0000}">
      <text>
        <r>
          <rPr>
            <sz val="11"/>
            <color theme="1"/>
            <rFont val="Calibri"/>
            <family val="2"/>
            <scheme val="minor"/>
          </rPr>
          <t>Introduzca un número con dos decimales como máximo</t>
        </r>
      </text>
    </comment>
    <comment ref="F3833" authorId="1" shapeId="0" xr:uid="{00000000-0006-0000-0100-0000240E0000}">
      <text>
        <r>
          <rPr>
            <sz val="11"/>
            <color theme="1"/>
            <rFont val="Calibri"/>
            <family val="2"/>
            <scheme val="minor"/>
          </rPr>
          <t>Monto calculado automáticamente por el sistema</t>
        </r>
      </text>
    </comment>
    <comment ref="A3840" authorId="1" shapeId="0" xr:uid="{00000000-0006-0000-0100-0000250E0000}">
      <text>
        <r>
          <rPr>
            <sz val="11"/>
            <color theme="1"/>
            <rFont val="Calibri"/>
            <family val="2"/>
            <scheme val="minor"/>
          </rPr>
          <t>Introducir un texto con el nombre o referencia de la contratación</t>
        </r>
      </text>
    </comment>
    <comment ref="B3840" authorId="1" shapeId="0" xr:uid="{00000000-0006-0000-0100-0000260E0000}">
      <text>
        <r>
          <rPr>
            <sz val="11"/>
            <color theme="1"/>
            <rFont val="Calibri"/>
            <family val="2"/>
            <scheme val="minor"/>
          </rPr>
          <t>Introduzca un texto con la finalidad de la contratación</t>
        </r>
      </text>
    </comment>
    <comment ref="C3840" authorId="1" shapeId="0" xr:uid="{00000000-0006-0000-0100-0000270E0000}">
      <text>
        <r>
          <rPr>
            <sz val="11"/>
            <color theme="1"/>
            <rFont val="Calibri"/>
            <family val="2"/>
            <scheme val="minor"/>
          </rPr>
          <t>Seleccionar un valor del listado</t>
        </r>
      </text>
    </comment>
    <comment ref="D3840" authorId="1" shapeId="0" xr:uid="{00000000-0006-0000-0100-0000280E0000}">
      <text>
        <r>
          <rPr>
            <sz val="11"/>
            <color theme="1"/>
            <rFont val="Calibri"/>
            <family val="2"/>
            <scheme val="minor"/>
          </rPr>
          <t>Seleccione el tipo de procedimiento</t>
        </r>
      </text>
    </comment>
    <comment ref="E3840" authorId="1" shapeId="0" xr:uid="{00000000-0006-0000-0100-0000290E0000}">
      <text>
        <r>
          <rPr>
            <sz val="11"/>
            <color theme="1"/>
            <rFont val="Calibri"/>
            <family val="2"/>
            <scheme val="minor"/>
          </rPr>
          <t>Seleccione un valor de la lista</t>
        </r>
      </text>
    </comment>
    <comment ref="F3840" authorId="1" shapeId="0" xr:uid="{00000000-0006-0000-0100-00002A0E0000}">
      <text>
        <r>
          <rPr>
            <sz val="11"/>
            <color theme="1"/>
            <rFont val="Calibri"/>
            <family val="2"/>
            <scheme val="minor"/>
          </rPr>
          <t>Introduzca el código SNIP</t>
        </r>
      </text>
    </comment>
    <comment ref="C3841" authorId="1" shapeId="0" xr:uid="{00000000-0006-0000-0100-00002B0E0000}">
      <text>
        <r>
          <rPr>
            <sz val="11"/>
            <color theme="1"/>
            <rFont val="Calibri"/>
            <family val="2"/>
            <scheme val="minor"/>
          </rPr>
          <t>Introduzca la fecha de inicio del proceso, en formato dd-mm-aaaa</t>
        </r>
      </text>
    </comment>
    <comment ref="F3841" authorId="1" shapeId="0" xr:uid="{00000000-0006-0000-0100-00002D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42" authorId="1" shapeId="0" xr:uid="{00000000-0006-0000-0100-00002E0E0000}">
      <text/>
    </comment>
    <comment ref="C3843" authorId="1" shapeId="0" xr:uid="{00000000-0006-0000-0100-00002C0E0000}">
      <text>
        <r>
          <rPr>
            <sz val="11"/>
            <color theme="1"/>
            <rFont val="Calibri"/>
            <family val="2"/>
            <scheme val="minor"/>
          </rPr>
          <t>Introduzca la fecha prevista de adjudicación, en formato dd-mm-aaaa</t>
        </r>
      </text>
    </comment>
    <comment ref="F3843" authorId="1" shapeId="0" xr:uid="{00000000-0006-0000-0100-00002F0E0000}">
      <text/>
    </comment>
    <comment ref="F3844" authorId="1" shapeId="0" xr:uid="{00000000-0006-0000-0100-0000300E0000}">
      <text/>
    </comment>
    <comment ref="A3846" authorId="1" shapeId="0" xr:uid="{00000000-0006-0000-0100-0000310E0000}">
      <text>
        <r>
          <rPr>
            <sz val="11"/>
            <color theme="1"/>
            <rFont val="Calibri"/>
            <family val="2"/>
            <scheme val="minor"/>
          </rPr>
          <t>Introduzca un codigo UNSPSC</t>
        </r>
      </text>
    </comment>
    <comment ref="B3846" authorId="1" shapeId="0" xr:uid="{00000000-0006-0000-0100-0000320E0000}">
      <text>
        <r>
          <rPr>
            <sz val="11"/>
            <color theme="1"/>
            <rFont val="Calibri"/>
            <family val="2"/>
            <scheme val="minor"/>
          </rPr>
          <t>Descripción calculada automáticamente a partir de código del artículo</t>
        </r>
      </text>
    </comment>
    <comment ref="C3846" authorId="1" shapeId="0" xr:uid="{00000000-0006-0000-0100-0000330E0000}">
      <text>
        <r>
          <rPr>
            <sz val="11"/>
            <color theme="1"/>
            <rFont val="Calibri"/>
            <family val="2"/>
            <scheme val="minor"/>
          </rPr>
          <t>Seleccione un valor de la lista</t>
        </r>
      </text>
    </comment>
    <comment ref="D3846" authorId="1" shapeId="0" xr:uid="{00000000-0006-0000-0100-0000340E0000}">
      <text>
        <r>
          <rPr>
            <sz val="11"/>
            <color theme="1"/>
            <rFont val="Calibri"/>
            <family val="2"/>
            <scheme val="minor"/>
          </rPr>
          <t>Introduzca un número con dos decimales como máximo. Debe ser igual o mayor a la "Cantidad Real Consumida"</t>
        </r>
      </text>
    </comment>
    <comment ref="E3846" authorId="1" shapeId="0" xr:uid="{00000000-0006-0000-0100-0000350E0000}">
      <text>
        <r>
          <rPr>
            <sz val="11"/>
            <color theme="1"/>
            <rFont val="Calibri"/>
            <family val="2"/>
            <scheme val="minor"/>
          </rPr>
          <t>Introduzca un número con dos decimales como máximo</t>
        </r>
      </text>
    </comment>
    <comment ref="F3846" authorId="1" shapeId="0" xr:uid="{00000000-0006-0000-0100-0000360E0000}">
      <text>
        <r>
          <rPr>
            <sz val="11"/>
            <color theme="1"/>
            <rFont val="Calibri"/>
            <family val="2"/>
            <scheme val="minor"/>
          </rPr>
          <t>Monto calculado automáticamente por el sistema</t>
        </r>
      </text>
    </comment>
    <comment ref="A3863" authorId="1" shapeId="0" xr:uid="{00000000-0006-0000-0100-0000370E0000}">
      <text>
        <r>
          <rPr>
            <sz val="11"/>
            <color theme="1"/>
            <rFont val="Calibri"/>
            <family val="2"/>
            <scheme val="minor"/>
          </rPr>
          <t>Introducir un texto con el nombre o referencia de la contratación</t>
        </r>
      </text>
    </comment>
    <comment ref="B3863" authorId="1" shapeId="0" xr:uid="{00000000-0006-0000-0100-0000380E0000}">
      <text>
        <r>
          <rPr>
            <sz val="11"/>
            <color theme="1"/>
            <rFont val="Calibri"/>
            <family val="2"/>
            <scheme val="minor"/>
          </rPr>
          <t>Introduzca un texto con la finalidad de la contratación</t>
        </r>
      </text>
    </comment>
    <comment ref="C3863" authorId="1" shapeId="0" xr:uid="{00000000-0006-0000-0100-0000390E0000}">
      <text>
        <r>
          <rPr>
            <sz val="11"/>
            <color theme="1"/>
            <rFont val="Calibri"/>
            <family val="2"/>
            <scheme val="minor"/>
          </rPr>
          <t>Seleccionar un valor del listado</t>
        </r>
      </text>
    </comment>
    <comment ref="D3863" authorId="1" shapeId="0" xr:uid="{00000000-0006-0000-0100-00003A0E0000}">
      <text>
        <r>
          <rPr>
            <sz val="11"/>
            <color theme="1"/>
            <rFont val="Calibri"/>
            <family val="2"/>
            <scheme val="minor"/>
          </rPr>
          <t>Seleccione el tipo de procedimiento</t>
        </r>
      </text>
    </comment>
    <comment ref="E3863" authorId="1" shapeId="0" xr:uid="{00000000-0006-0000-0100-00003B0E0000}">
      <text>
        <r>
          <rPr>
            <sz val="11"/>
            <color theme="1"/>
            <rFont val="Calibri"/>
            <family val="2"/>
            <scheme val="minor"/>
          </rPr>
          <t>Seleccione un valor de la lista</t>
        </r>
      </text>
    </comment>
    <comment ref="F3863" authorId="1" shapeId="0" xr:uid="{00000000-0006-0000-0100-00003C0E0000}">
      <text>
        <r>
          <rPr>
            <sz val="11"/>
            <color theme="1"/>
            <rFont val="Calibri"/>
            <family val="2"/>
            <scheme val="minor"/>
          </rPr>
          <t>Introduzca el código SNIP</t>
        </r>
      </text>
    </comment>
    <comment ref="C3864" authorId="1" shapeId="0" xr:uid="{00000000-0006-0000-0100-00003D0E0000}">
      <text>
        <r>
          <rPr>
            <sz val="11"/>
            <color theme="1"/>
            <rFont val="Calibri"/>
            <family val="2"/>
            <scheme val="minor"/>
          </rPr>
          <t>Introduzca la fecha de inicio del proceso, en formato dd-mm-aaaa</t>
        </r>
      </text>
    </comment>
    <comment ref="F3864" authorId="1" shapeId="0" xr:uid="{00000000-0006-0000-0100-00003F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65" authorId="1" shapeId="0" xr:uid="{00000000-0006-0000-0100-0000400E0000}">
      <text/>
    </comment>
    <comment ref="C3866" authorId="1" shapeId="0" xr:uid="{00000000-0006-0000-0100-00003E0E0000}">
      <text>
        <r>
          <rPr>
            <sz val="11"/>
            <color theme="1"/>
            <rFont val="Calibri"/>
            <family val="2"/>
            <scheme val="minor"/>
          </rPr>
          <t>Introduzca la fecha prevista de adjudicación, en formato dd-mm-aaaa</t>
        </r>
      </text>
    </comment>
    <comment ref="F3866" authorId="1" shapeId="0" xr:uid="{00000000-0006-0000-0100-0000410E0000}">
      <text/>
    </comment>
    <comment ref="F3867" authorId="1" shapeId="0" xr:uid="{00000000-0006-0000-0100-0000420E0000}">
      <text/>
    </comment>
    <comment ref="A3869" authorId="1" shapeId="0" xr:uid="{00000000-0006-0000-0100-0000430E0000}">
      <text>
        <r>
          <rPr>
            <sz val="11"/>
            <color theme="1"/>
            <rFont val="Calibri"/>
            <family val="2"/>
            <scheme val="minor"/>
          </rPr>
          <t>Introduzca un codigo UNSPSC</t>
        </r>
      </text>
    </comment>
    <comment ref="B3869" authorId="1" shapeId="0" xr:uid="{00000000-0006-0000-0100-0000440E0000}">
      <text>
        <r>
          <rPr>
            <sz val="11"/>
            <color theme="1"/>
            <rFont val="Calibri"/>
            <family val="2"/>
            <scheme val="minor"/>
          </rPr>
          <t>Descripción calculada automáticamente a partir de código del artículo</t>
        </r>
      </text>
    </comment>
    <comment ref="C3869" authorId="1" shapeId="0" xr:uid="{00000000-0006-0000-0100-0000450E0000}">
      <text>
        <r>
          <rPr>
            <sz val="11"/>
            <color theme="1"/>
            <rFont val="Calibri"/>
            <family val="2"/>
            <scheme val="minor"/>
          </rPr>
          <t>Seleccione un valor de la lista</t>
        </r>
      </text>
    </comment>
    <comment ref="D3869" authorId="1" shapeId="0" xr:uid="{00000000-0006-0000-0100-0000460E0000}">
      <text>
        <r>
          <rPr>
            <sz val="11"/>
            <color theme="1"/>
            <rFont val="Calibri"/>
            <family val="2"/>
            <scheme val="minor"/>
          </rPr>
          <t>Introduzca un número con dos decimales como máximo. Debe ser igual o mayor a la "Cantidad Real Consumida"</t>
        </r>
      </text>
    </comment>
    <comment ref="E3869" authorId="1" shapeId="0" xr:uid="{00000000-0006-0000-0100-0000470E0000}">
      <text>
        <r>
          <rPr>
            <sz val="11"/>
            <color theme="1"/>
            <rFont val="Calibri"/>
            <family val="2"/>
            <scheme val="minor"/>
          </rPr>
          <t>Introduzca un número con dos decimales como máximo</t>
        </r>
      </text>
    </comment>
    <comment ref="F3869" authorId="1" shapeId="0" xr:uid="{00000000-0006-0000-0100-0000480E0000}">
      <text>
        <r>
          <rPr>
            <sz val="11"/>
            <color theme="1"/>
            <rFont val="Calibri"/>
            <family val="2"/>
            <scheme val="minor"/>
          </rPr>
          <t>Monto calculado automáticamente por el sistema</t>
        </r>
      </text>
    </comment>
    <comment ref="A3894" authorId="1" shapeId="0" xr:uid="{00000000-0006-0000-0100-0000490E0000}">
      <text>
        <r>
          <rPr>
            <sz val="11"/>
            <color theme="1"/>
            <rFont val="Calibri"/>
            <family val="2"/>
            <scheme val="minor"/>
          </rPr>
          <t>Introducir un texto con el nombre o referencia de la contratación</t>
        </r>
      </text>
    </comment>
    <comment ref="B3894" authorId="1" shapeId="0" xr:uid="{00000000-0006-0000-0100-00004A0E0000}">
      <text>
        <r>
          <rPr>
            <sz val="11"/>
            <color theme="1"/>
            <rFont val="Calibri"/>
            <family val="2"/>
            <scheme val="minor"/>
          </rPr>
          <t>Introduzca un texto con la finalidad de la contratación</t>
        </r>
      </text>
    </comment>
    <comment ref="C3894" authorId="1" shapeId="0" xr:uid="{00000000-0006-0000-0100-00004B0E0000}">
      <text>
        <r>
          <rPr>
            <sz val="11"/>
            <color theme="1"/>
            <rFont val="Calibri"/>
            <family val="2"/>
            <scheme val="minor"/>
          </rPr>
          <t>Seleccionar un valor del listado</t>
        </r>
      </text>
    </comment>
    <comment ref="D3894" authorId="1" shapeId="0" xr:uid="{00000000-0006-0000-0100-00004C0E0000}">
      <text>
        <r>
          <rPr>
            <sz val="11"/>
            <color theme="1"/>
            <rFont val="Calibri"/>
            <family val="2"/>
            <scheme val="minor"/>
          </rPr>
          <t>Seleccione el tipo de procedimiento</t>
        </r>
      </text>
    </comment>
    <comment ref="E3894" authorId="1" shapeId="0" xr:uid="{00000000-0006-0000-0100-00004D0E0000}">
      <text>
        <r>
          <rPr>
            <sz val="11"/>
            <color theme="1"/>
            <rFont val="Calibri"/>
            <family val="2"/>
            <scheme val="minor"/>
          </rPr>
          <t>Seleccione un valor de la lista</t>
        </r>
      </text>
    </comment>
    <comment ref="F3894" authorId="1" shapeId="0" xr:uid="{00000000-0006-0000-0100-00004E0E0000}">
      <text>
        <r>
          <rPr>
            <sz val="11"/>
            <color theme="1"/>
            <rFont val="Calibri"/>
            <family val="2"/>
            <scheme val="minor"/>
          </rPr>
          <t>Introduzca el código SNIP</t>
        </r>
      </text>
    </comment>
    <comment ref="C3895" authorId="1" shapeId="0" xr:uid="{00000000-0006-0000-0100-00004F0E0000}">
      <text>
        <r>
          <rPr>
            <sz val="11"/>
            <color theme="1"/>
            <rFont val="Calibri"/>
            <family val="2"/>
            <scheme val="minor"/>
          </rPr>
          <t>Introduzca la fecha de inicio del proceso, en formato dd-mm-aaaa</t>
        </r>
      </text>
    </comment>
    <comment ref="F3895" authorId="1" shapeId="0" xr:uid="{00000000-0006-0000-0100-000051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96" authorId="1" shapeId="0" xr:uid="{00000000-0006-0000-0100-0000520E0000}">
      <text/>
    </comment>
    <comment ref="C3897" authorId="1" shapeId="0" xr:uid="{00000000-0006-0000-0100-0000500E0000}">
      <text>
        <r>
          <rPr>
            <sz val="11"/>
            <color theme="1"/>
            <rFont val="Calibri"/>
            <family val="2"/>
            <scheme val="minor"/>
          </rPr>
          <t>Introduzca la fecha prevista de adjudicación, en formato dd-mm-aaaa</t>
        </r>
      </text>
    </comment>
    <comment ref="F3897" authorId="1" shapeId="0" xr:uid="{00000000-0006-0000-0100-0000530E0000}">
      <text/>
    </comment>
    <comment ref="F3898" authorId="1" shapeId="0" xr:uid="{00000000-0006-0000-0100-0000540E0000}">
      <text/>
    </comment>
    <comment ref="A3900" authorId="1" shapeId="0" xr:uid="{00000000-0006-0000-0100-0000550E0000}">
      <text>
        <r>
          <rPr>
            <sz val="11"/>
            <color theme="1"/>
            <rFont val="Calibri"/>
            <family val="2"/>
            <scheme val="minor"/>
          </rPr>
          <t>Introduzca un codigo UNSPSC</t>
        </r>
      </text>
    </comment>
    <comment ref="B3900" authorId="1" shapeId="0" xr:uid="{00000000-0006-0000-0100-0000560E0000}">
      <text>
        <r>
          <rPr>
            <sz val="11"/>
            <color theme="1"/>
            <rFont val="Calibri"/>
            <family val="2"/>
            <scheme val="minor"/>
          </rPr>
          <t>Descripción calculada automáticamente a partir de código del artículo</t>
        </r>
      </text>
    </comment>
    <comment ref="C3900" authorId="1" shapeId="0" xr:uid="{00000000-0006-0000-0100-0000570E0000}">
      <text>
        <r>
          <rPr>
            <sz val="11"/>
            <color theme="1"/>
            <rFont val="Calibri"/>
            <family val="2"/>
            <scheme val="minor"/>
          </rPr>
          <t>Seleccione un valor de la lista</t>
        </r>
      </text>
    </comment>
    <comment ref="D3900" authorId="1" shapeId="0" xr:uid="{00000000-0006-0000-0100-0000580E0000}">
      <text>
        <r>
          <rPr>
            <sz val="11"/>
            <color theme="1"/>
            <rFont val="Calibri"/>
            <family val="2"/>
            <scheme val="minor"/>
          </rPr>
          <t>Introduzca un número con dos decimales como máximo. Debe ser igual o mayor a la "Cantidad Real Consumida"</t>
        </r>
      </text>
    </comment>
    <comment ref="E3900" authorId="1" shapeId="0" xr:uid="{00000000-0006-0000-0100-0000590E0000}">
      <text>
        <r>
          <rPr>
            <sz val="11"/>
            <color theme="1"/>
            <rFont val="Calibri"/>
            <family val="2"/>
            <scheme val="minor"/>
          </rPr>
          <t>Introduzca un número con dos decimales como máximo</t>
        </r>
      </text>
    </comment>
    <comment ref="F3900" authorId="1" shapeId="0" xr:uid="{00000000-0006-0000-0100-00005A0E0000}">
      <text>
        <r>
          <rPr>
            <sz val="11"/>
            <color theme="1"/>
            <rFont val="Calibri"/>
            <family val="2"/>
            <scheme val="minor"/>
          </rPr>
          <t>Monto calculado automáticamente por el sistema</t>
        </r>
      </text>
    </comment>
    <comment ref="A3916" authorId="1" shapeId="0" xr:uid="{00000000-0006-0000-0100-00005B0E0000}">
      <text>
        <r>
          <rPr>
            <sz val="11"/>
            <color theme="1"/>
            <rFont val="Calibri"/>
            <family val="2"/>
            <scheme val="minor"/>
          </rPr>
          <t>Introducir un texto con el nombre o referencia de la contratación</t>
        </r>
      </text>
    </comment>
    <comment ref="B3916" authorId="1" shapeId="0" xr:uid="{00000000-0006-0000-0100-00005C0E0000}">
      <text>
        <r>
          <rPr>
            <sz val="11"/>
            <color theme="1"/>
            <rFont val="Calibri"/>
            <family val="2"/>
            <scheme val="minor"/>
          </rPr>
          <t>Introduzca un texto con la finalidad de la contratación</t>
        </r>
      </text>
    </comment>
    <comment ref="C3916" authorId="1" shapeId="0" xr:uid="{00000000-0006-0000-0100-00005D0E0000}">
      <text>
        <r>
          <rPr>
            <sz val="11"/>
            <color theme="1"/>
            <rFont val="Calibri"/>
            <family val="2"/>
            <scheme val="minor"/>
          </rPr>
          <t>Seleccionar un valor del listado</t>
        </r>
      </text>
    </comment>
    <comment ref="D3916" authorId="1" shapeId="0" xr:uid="{00000000-0006-0000-0100-00005E0E0000}">
      <text>
        <r>
          <rPr>
            <sz val="11"/>
            <color theme="1"/>
            <rFont val="Calibri"/>
            <family val="2"/>
            <scheme val="minor"/>
          </rPr>
          <t>Seleccione el tipo de procedimiento</t>
        </r>
      </text>
    </comment>
    <comment ref="E3916" authorId="1" shapeId="0" xr:uid="{00000000-0006-0000-0100-00005F0E0000}">
      <text>
        <r>
          <rPr>
            <sz val="11"/>
            <color theme="1"/>
            <rFont val="Calibri"/>
            <family val="2"/>
            <scheme val="minor"/>
          </rPr>
          <t>Seleccione un valor de la lista</t>
        </r>
      </text>
    </comment>
    <comment ref="F3916" authorId="1" shapeId="0" xr:uid="{00000000-0006-0000-0100-0000600E0000}">
      <text>
        <r>
          <rPr>
            <sz val="11"/>
            <color theme="1"/>
            <rFont val="Calibri"/>
            <family val="2"/>
            <scheme val="minor"/>
          </rPr>
          <t>Introduzca el código SNIP</t>
        </r>
      </text>
    </comment>
    <comment ref="C3917" authorId="1" shapeId="0" xr:uid="{00000000-0006-0000-0100-0000610E0000}">
      <text>
        <r>
          <rPr>
            <sz val="11"/>
            <color theme="1"/>
            <rFont val="Calibri"/>
            <family val="2"/>
            <scheme val="minor"/>
          </rPr>
          <t>Introduzca la fecha de inicio del proceso, en formato dd-mm-aaaa</t>
        </r>
      </text>
    </comment>
    <comment ref="F3917" authorId="1" shapeId="0" xr:uid="{00000000-0006-0000-0100-000063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18" authorId="1" shapeId="0" xr:uid="{00000000-0006-0000-0100-0000640E0000}">
      <text/>
    </comment>
    <comment ref="C3919" authorId="1" shapeId="0" xr:uid="{00000000-0006-0000-0100-0000620E0000}">
      <text>
        <r>
          <rPr>
            <sz val="11"/>
            <color theme="1"/>
            <rFont val="Calibri"/>
            <family val="2"/>
            <scheme val="minor"/>
          </rPr>
          <t>Introduzca la fecha prevista de adjudicación, en formato dd-mm-aaaa</t>
        </r>
      </text>
    </comment>
    <comment ref="F3919" authorId="1" shapeId="0" xr:uid="{00000000-0006-0000-0100-0000650E0000}">
      <text/>
    </comment>
    <comment ref="F3920" authorId="1" shapeId="0" xr:uid="{00000000-0006-0000-0100-0000660E0000}">
      <text/>
    </comment>
    <comment ref="A3922" authorId="1" shapeId="0" xr:uid="{00000000-0006-0000-0100-0000670E0000}">
      <text>
        <r>
          <rPr>
            <sz val="11"/>
            <color theme="1"/>
            <rFont val="Calibri"/>
            <family val="2"/>
            <scheme val="minor"/>
          </rPr>
          <t>Introduzca un codigo UNSPSC</t>
        </r>
      </text>
    </comment>
    <comment ref="B3922" authorId="1" shapeId="0" xr:uid="{00000000-0006-0000-0100-0000680E0000}">
      <text>
        <r>
          <rPr>
            <sz val="11"/>
            <color theme="1"/>
            <rFont val="Calibri"/>
            <family val="2"/>
            <scheme val="minor"/>
          </rPr>
          <t>Descripción calculada automáticamente a partir de código del artículo</t>
        </r>
      </text>
    </comment>
    <comment ref="C3922" authorId="1" shapeId="0" xr:uid="{00000000-0006-0000-0100-0000690E0000}">
      <text>
        <r>
          <rPr>
            <sz val="11"/>
            <color theme="1"/>
            <rFont val="Calibri"/>
            <family val="2"/>
            <scheme val="minor"/>
          </rPr>
          <t>Seleccione un valor de la lista</t>
        </r>
      </text>
    </comment>
    <comment ref="D3922" authorId="1" shapeId="0" xr:uid="{00000000-0006-0000-0100-00006A0E0000}">
      <text>
        <r>
          <rPr>
            <sz val="11"/>
            <color theme="1"/>
            <rFont val="Calibri"/>
            <family val="2"/>
            <scheme val="minor"/>
          </rPr>
          <t>Introduzca un número con dos decimales como máximo. Debe ser igual o mayor a la "Cantidad Real Consumida"</t>
        </r>
      </text>
    </comment>
    <comment ref="E3922" authorId="1" shapeId="0" xr:uid="{00000000-0006-0000-0100-00006B0E0000}">
      <text>
        <r>
          <rPr>
            <sz val="11"/>
            <color theme="1"/>
            <rFont val="Calibri"/>
            <family val="2"/>
            <scheme val="minor"/>
          </rPr>
          <t>Introduzca un número con dos decimales como máximo</t>
        </r>
      </text>
    </comment>
    <comment ref="F3922" authorId="1" shapeId="0" xr:uid="{00000000-0006-0000-0100-00006C0E0000}">
      <text>
        <r>
          <rPr>
            <sz val="11"/>
            <color theme="1"/>
            <rFont val="Calibri"/>
            <family val="2"/>
            <scheme val="minor"/>
          </rPr>
          <t>Monto calculado automáticamente por el sistema</t>
        </r>
      </text>
    </comment>
    <comment ref="A3935" authorId="1" shapeId="0" xr:uid="{00000000-0006-0000-0100-00006D0E0000}">
      <text>
        <r>
          <rPr>
            <sz val="11"/>
            <color theme="1"/>
            <rFont val="Calibri"/>
            <family val="2"/>
            <scheme val="minor"/>
          </rPr>
          <t>Introducir un texto con el nombre o referencia de la contratación</t>
        </r>
      </text>
    </comment>
    <comment ref="B3935" authorId="1" shapeId="0" xr:uid="{00000000-0006-0000-0100-00006E0E0000}">
      <text>
        <r>
          <rPr>
            <sz val="11"/>
            <color theme="1"/>
            <rFont val="Calibri"/>
            <family val="2"/>
            <scheme val="minor"/>
          </rPr>
          <t>Introduzca un texto con la finalidad de la contratación</t>
        </r>
      </text>
    </comment>
    <comment ref="C3935" authorId="1" shapeId="0" xr:uid="{00000000-0006-0000-0100-00006F0E0000}">
      <text>
        <r>
          <rPr>
            <sz val="11"/>
            <color theme="1"/>
            <rFont val="Calibri"/>
            <family val="2"/>
            <scheme val="minor"/>
          </rPr>
          <t>Seleccionar un valor del listado</t>
        </r>
      </text>
    </comment>
    <comment ref="D3935" authorId="1" shapeId="0" xr:uid="{00000000-0006-0000-0100-0000700E0000}">
      <text>
        <r>
          <rPr>
            <sz val="11"/>
            <color theme="1"/>
            <rFont val="Calibri"/>
            <family val="2"/>
            <scheme val="minor"/>
          </rPr>
          <t>Seleccione el tipo de procedimiento</t>
        </r>
      </text>
    </comment>
    <comment ref="E3935" authorId="1" shapeId="0" xr:uid="{00000000-0006-0000-0100-0000710E0000}">
      <text>
        <r>
          <rPr>
            <sz val="11"/>
            <color theme="1"/>
            <rFont val="Calibri"/>
            <family val="2"/>
            <scheme val="minor"/>
          </rPr>
          <t>Seleccione un valor de la lista</t>
        </r>
      </text>
    </comment>
    <comment ref="F3935" authorId="1" shapeId="0" xr:uid="{00000000-0006-0000-0100-0000720E0000}">
      <text>
        <r>
          <rPr>
            <sz val="11"/>
            <color theme="1"/>
            <rFont val="Calibri"/>
            <family val="2"/>
            <scheme val="minor"/>
          </rPr>
          <t>Introduzca el código SNIP</t>
        </r>
      </text>
    </comment>
    <comment ref="C3936" authorId="1" shapeId="0" xr:uid="{00000000-0006-0000-0100-0000730E0000}">
      <text>
        <r>
          <rPr>
            <sz val="11"/>
            <color theme="1"/>
            <rFont val="Calibri"/>
            <family val="2"/>
            <scheme val="minor"/>
          </rPr>
          <t>Introduzca la fecha de inicio del proceso, en formato dd-mm-aaaa</t>
        </r>
      </text>
    </comment>
    <comment ref="F3936" authorId="1" shapeId="0" xr:uid="{00000000-0006-0000-0100-000075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37" authorId="1" shapeId="0" xr:uid="{00000000-0006-0000-0100-0000760E0000}">
      <text/>
    </comment>
    <comment ref="C3938" authorId="1" shapeId="0" xr:uid="{00000000-0006-0000-0100-0000740E0000}">
      <text>
        <r>
          <rPr>
            <sz val="11"/>
            <color theme="1"/>
            <rFont val="Calibri"/>
            <family val="2"/>
            <scheme val="minor"/>
          </rPr>
          <t>Introduzca la fecha prevista de adjudicación, en formato dd-mm-aaaa</t>
        </r>
      </text>
    </comment>
    <comment ref="F3938" authorId="1" shapeId="0" xr:uid="{00000000-0006-0000-0100-0000770E0000}">
      <text/>
    </comment>
    <comment ref="F3939" authorId="1" shapeId="0" xr:uid="{00000000-0006-0000-0100-0000780E0000}">
      <text/>
    </comment>
    <comment ref="A3941" authorId="1" shapeId="0" xr:uid="{00000000-0006-0000-0100-0000790E0000}">
      <text>
        <r>
          <rPr>
            <sz val="11"/>
            <color theme="1"/>
            <rFont val="Calibri"/>
            <family val="2"/>
            <scheme val="minor"/>
          </rPr>
          <t>Introduzca un codigo UNSPSC</t>
        </r>
      </text>
    </comment>
    <comment ref="B3941" authorId="1" shapeId="0" xr:uid="{00000000-0006-0000-0100-00007A0E0000}">
      <text>
        <r>
          <rPr>
            <sz val="11"/>
            <color theme="1"/>
            <rFont val="Calibri"/>
            <family val="2"/>
            <scheme val="minor"/>
          </rPr>
          <t>Descripción calculada automáticamente a partir de código del artículo</t>
        </r>
      </text>
    </comment>
    <comment ref="C3941" authorId="1" shapeId="0" xr:uid="{00000000-0006-0000-0100-00007B0E0000}">
      <text>
        <r>
          <rPr>
            <sz val="11"/>
            <color theme="1"/>
            <rFont val="Calibri"/>
            <family val="2"/>
            <scheme val="minor"/>
          </rPr>
          <t>Seleccione un valor de la lista</t>
        </r>
      </text>
    </comment>
    <comment ref="D3941" authorId="1" shapeId="0" xr:uid="{00000000-0006-0000-0100-00007C0E0000}">
      <text>
        <r>
          <rPr>
            <sz val="11"/>
            <color theme="1"/>
            <rFont val="Calibri"/>
            <family val="2"/>
            <scheme val="minor"/>
          </rPr>
          <t>Introduzca un número con dos decimales como máximo. Debe ser igual o mayor a la "Cantidad Real Consumida"</t>
        </r>
      </text>
    </comment>
    <comment ref="E3941" authorId="1" shapeId="0" xr:uid="{00000000-0006-0000-0100-00007D0E0000}">
      <text>
        <r>
          <rPr>
            <sz val="11"/>
            <color theme="1"/>
            <rFont val="Calibri"/>
            <family val="2"/>
            <scheme val="minor"/>
          </rPr>
          <t>Introduzca un número con dos decimales como máximo</t>
        </r>
      </text>
    </comment>
    <comment ref="F3941" authorId="1" shapeId="0" xr:uid="{00000000-0006-0000-0100-00007E0E0000}">
      <text>
        <r>
          <rPr>
            <sz val="11"/>
            <color theme="1"/>
            <rFont val="Calibri"/>
            <family val="2"/>
            <scheme val="minor"/>
          </rPr>
          <t>Monto calculado automáticamente por el sistema</t>
        </r>
      </text>
    </comment>
    <comment ref="A3948" authorId="1" shapeId="0" xr:uid="{00000000-0006-0000-0100-00007F0E0000}">
      <text>
        <r>
          <rPr>
            <sz val="11"/>
            <color theme="1"/>
            <rFont val="Calibri"/>
            <family val="2"/>
            <scheme val="minor"/>
          </rPr>
          <t>Introducir un texto con el nombre o referencia de la contratación</t>
        </r>
      </text>
    </comment>
    <comment ref="B3948" authorId="1" shapeId="0" xr:uid="{00000000-0006-0000-0100-0000800E0000}">
      <text>
        <r>
          <rPr>
            <sz val="11"/>
            <color theme="1"/>
            <rFont val="Calibri"/>
            <family val="2"/>
            <scheme val="minor"/>
          </rPr>
          <t>Introduzca un texto con la finalidad de la contratación</t>
        </r>
      </text>
    </comment>
    <comment ref="C3948" authorId="1" shapeId="0" xr:uid="{00000000-0006-0000-0100-0000810E0000}">
      <text>
        <r>
          <rPr>
            <sz val="11"/>
            <color theme="1"/>
            <rFont val="Calibri"/>
            <family val="2"/>
            <scheme val="minor"/>
          </rPr>
          <t>Seleccionar un valor del listado</t>
        </r>
      </text>
    </comment>
    <comment ref="D3948" authorId="1" shapeId="0" xr:uid="{00000000-0006-0000-0100-0000820E0000}">
      <text>
        <r>
          <rPr>
            <sz val="11"/>
            <color theme="1"/>
            <rFont val="Calibri"/>
            <family val="2"/>
            <scheme val="minor"/>
          </rPr>
          <t>Seleccione el tipo de procedimiento</t>
        </r>
      </text>
    </comment>
    <comment ref="E3948" authorId="1" shapeId="0" xr:uid="{00000000-0006-0000-0100-0000830E0000}">
      <text>
        <r>
          <rPr>
            <sz val="11"/>
            <color theme="1"/>
            <rFont val="Calibri"/>
            <family val="2"/>
            <scheme val="minor"/>
          </rPr>
          <t>Seleccione un valor de la lista</t>
        </r>
      </text>
    </comment>
    <comment ref="F3948" authorId="1" shapeId="0" xr:uid="{00000000-0006-0000-0100-0000840E0000}">
      <text>
        <r>
          <rPr>
            <sz val="11"/>
            <color theme="1"/>
            <rFont val="Calibri"/>
            <family val="2"/>
            <scheme val="minor"/>
          </rPr>
          <t>Introduzca el código SNIP</t>
        </r>
      </text>
    </comment>
    <comment ref="C3949" authorId="1" shapeId="0" xr:uid="{00000000-0006-0000-0100-0000850E0000}">
      <text>
        <r>
          <rPr>
            <sz val="11"/>
            <color theme="1"/>
            <rFont val="Calibri"/>
            <family val="2"/>
            <scheme val="minor"/>
          </rPr>
          <t>Introduzca la fecha de inicio del proceso, en formato dd-mm-aaaa</t>
        </r>
      </text>
    </comment>
    <comment ref="F3949" authorId="1" shapeId="0" xr:uid="{00000000-0006-0000-0100-000087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50" authorId="1" shapeId="0" xr:uid="{00000000-0006-0000-0100-0000880E0000}">
      <text/>
    </comment>
    <comment ref="C3951" authorId="1" shapeId="0" xr:uid="{00000000-0006-0000-0100-0000860E0000}">
      <text>
        <r>
          <rPr>
            <sz val="11"/>
            <color theme="1"/>
            <rFont val="Calibri"/>
            <family val="2"/>
            <scheme val="minor"/>
          </rPr>
          <t>Introduzca la fecha prevista de adjudicación, en formato dd-mm-aaaa</t>
        </r>
      </text>
    </comment>
    <comment ref="F3951" authorId="1" shapeId="0" xr:uid="{00000000-0006-0000-0100-0000890E0000}">
      <text/>
    </comment>
    <comment ref="F3952" authorId="1" shapeId="0" xr:uid="{00000000-0006-0000-0100-00008A0E0000}">
      <text/>
    </comment>
    <comment ref="A3954" authorId="1" shapeId="0" xr:uid="{00000000-0006-0000-0100-00008B0E0000}">
      <text>
        <r>
          <rPr>
            <sz val="11"/>
            <color theme="1"/>
            <rFont val="Calibri"/>
            <family val="2"/>
            <scheme val="minor"/>
          </rPr>
          <t>Introduzca un codigo UNSPSC</t>
        </r>
      </text>
    </comment>
    <comment ref="B3954" authorId="1" shapeId="0" xr:uid="{00000000-0006-0000-0100-00008C0E0000}">
      <text>
        <r>
          <rPr>
            <sz val="11"/>
            <color theme="1"/>
            <rFont val="Calibri"/>
            <family val="2"/>
            <scheme val="minor"/>
          </rPr>
          <t>Descripción calculada automáticamente a partir de código del artículo</t>
        </r>
      </text>
    </comment>
    <comment ref="C3954" authorId="1" shapeId="0" xr:uid="{00000000-0006-0000-0100-00008D0E0000}">
      <text>
        <r>
          <rPr>
            <sz val="11"/>
            <color theme="1"/>
            <rFont val="Calibri"/>
            <family val="2"/>
            <scheme val="minor"/>
          </rPr>
          <t>Seleccione un valor de la lista</t>
        </r>
      </text>
    </comment>
    <comment ref="D3954" authorId="1" shapeId="0" xr:uid="{00000000-0006-0000-0100-00008E0E0000}">
      <text>
        <r>
          <rPr>
            <sz val="11"/>
            <color theme="1"/>
            <rFont val="Calibri"/>
            <family val="2"/>
            <scheme val="minor"/>
          </rPr>
          <t>Introduzca un número con dos decimales como máximo. Debe ser igual o mayor a la "Cantidad Real Consumida"</t>
        </r>
      </text>
    </comment>
    <comment ref="E3954" authorId="1" shapeId="0" xr:uid="{00000000-0006-0000-0100-00008F0E0000}">
      <text>
        <r>
          <rPr>
            <sz val="11"/>
            <color theme="1"/>
            <rFont val="Calibri"/>
            <family val="2"/>
            <scheme val="minor"/>
          </rPr>
          <t>Introduzca un número con dos decimales como máximo</t>
        </r>
      </text>
    </comment>
    <comment ref="F3954" authorId="1" shapeId="0" xr:uid="{00000000-0006-0000-0100-0000900E0000}">
      <text>
        <r>
          <rPr>
            <sz val="11"/>
            <color theme="1"/>
            <rFont val="Calibri"/>
            <family val="2"/>
            <scheme val="minor"/>
          </rPr>
          <t>Monto calculado automáticamente por el sistema</t>
        </r>
      </text>
    </comment>
    <comment ref="A4004" authorId="1" shapeId="0" xr:uid="{00000000-0006-0000-0100-0000910E0000}">
      <text>
        <r>
          <rPr>
            <sz val="11"/>
            <color theme="1"/>
            <rFont val="Calibri"/>
            <family val="2"/>
            <scheme val="minor"/>
          </rPr>
          <t>Introducir un texto con el nombre o referencia de la contratación</t>
        </r>
      </text>
    </comment>
    <comment ref="B4004" authorId="1" shapeId="0" xr:uid="{00000000-0006-0000-0100-0000920E0000}">
      <text>
        <r>
          <rPr>
            <sz val="11"/>
            <color theme="1"/>
            <rFont val="Calibri"/>
            <family val="2"/>
            <scheme val="minor"/>
          </rPr>
          <t>Introduzca un texto con la finalidad de la contratación</t>
        </r>
      </text>
    </comment>
    <comment ref="C4004" authorId="1" shapeId="0" xr:uid="{00000000-0006-0000-0100-0000930E0000}">
      <text>
        <r>
          <rPr>
            <sz val="11"/>
            <color theme="1"/>
            <rFont val="Calibri"/>
            <family val="2"/>
            <scheme val="minor"/>
          </rPr>
          <t>Seleccionar un valor del listado</t>
        </r>
      </text>
    </comment>
    <comment ref="D4004" authorId="1" shapeId="0" xr:uid="{00000000-0006-0000-0100-0000940E0000}">
      <text>
        <r>
          <rPr>
            <sz val="11"/>
            <color theme="1"/>
            <rFont val="Calibri"/>
            <family val="2"/>
            <scheme val="minor"/>
          </rPr>
          <t>Seleccione el tipo de procedimiento</t>
        </r>
      </text>
    </comment>
    <comment ref="E4004" authorId="1" shapeId="0" xr:uid="{00000000-0006-0000-0100-0000950E0000}">
      <text>
        <r>
          <rPr>
            <sz val="11"/>
            <color theme="1"/>
            <rFont val="Calibri"/>
            <family val="2"/>
            <scheme val="minor"/>
          </rPr>
          <t>Seleccione un valor de la lista</t>
        </r>
      </text>
    </comment>
    <comment ref="F4004" authorId="1" shapeId="0" xr:uid="{00000000-0006-0000-0100-0000960E0000}">
      <text>
        <r>
          <rPr>
            <sz val="11"/>
            <color theme="1"/>
            <rFont val="Calibri"/>
            <family val="2"/>
            <scheme val="minor"/>
          </rPr>
          <t>Introduzca el código SNIP</t>
        </r>
      </text>
    </comment>
    <comment ref="C4005" authorId="1" shapeId="0" xr:uid="{00000000-0006-0000-0100-0000970E0000}">
      <text>
        <r>
          <rPr>
            <sz val="11"/>
            <color theme="1"/>
            <rFont val="Calibri"/>
            <family val="2"/>
            <scheme val="minor"/>
          </rPr>
          <t>Introduzca la fecha de inicio del proceso, en formato dd-mm-aaaa</t>
        </r>
      </text>
    </comment>
    <comment ref="F4005" authorId="1" shapeId="0" xr:uid="{00000000-0006-0000-0100-000099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06" authorId="1" shapeId="0" xr:uid="{00000000-0006-0000-0100-00009A0E0000}">
      <text/>
    </comment>
    <comment ref="C4007" authorId="1" shapeId="0" xr:uid="{00000000-0006-0000-0100-0000980E0000}">
      <text>
        <r>
          <rPr>
            <sz val="11"/>
            <color theme="1"/>
            <rFont val="Calibri"/>
            <family val="2"/>
            <scheme val="minor"/>
          </rPr>
          <t>Introduzca la fecha prevista de adjudicación, en formato dd-mm-aaaa</t>
        </r>
      </text>
    </comment>
    <comment ref="F4007" authorId="1" shapeId="0" xr:uid="{00000000-0006-0000-0100-00009B0E0000}">
      <text/>
    </comment>
    <comment ref="F4008" authorId="1" shapeId="0" xr:uid="{00000000-0006-0000-0100-00009C0E0000}">
      <text/>
    </comment>
    <comment ref="A4010" authorId="1" shapeId="0" xr:uid="{00000000-0006-0000-0100-00009D0E0000}">
      <text>
        <r>
          <rPr>
            <sz val="11"/>
            <color theme="1"/>
            <rFont val="Calibri"/>
            <family val="2"/>
            <scheme val="minor"/>
          </rPr>
          <t>Introduzca un codigo UNSPSC</t>
        </r>
      </text>
    </comment>
    <comment ref="B4010" authorId="1" shapeId="0" xr:uid="{00000000-0006-0000-0100-00009E0E0000}">
      <text>
        <r>
          <rPr>
            <sz val="11"/>
            <color theme="1"/>
            <rFont val="Calibri"/>
            <family val="2"/>
            <scheme val="minor"/>
          </rPr>
          <t>Descripción calculada automáticamente a partir de código del artículo</t>
        </r>
      </text>
    </comment>
    <comment ref="C4010" authorId="1" shapeId="0" xr:uid="{00000000-0006-0000-0100-00009F0E0000}">
      <text>
        <r>
          <rPr>
            <sz val="11"/>
            <color theme="1"/>
            <rFont val="Calibri"/>
            <family val="2"/>
            <scheme val="minor"/>
          </rPr>
          <t>Seleccione un valor de la lista</t>
        </r>
      </text>
    </comment>
    <comment ref="D4010" authorId="1" shapeId="0" xr:uid="{00000000-0006-0000-0100-0000A00E0000}">
      <text>
        <r>
          <rPr>
            <sz val="11"/>
            <color theme="1"/>
            <rFont val="Calibri"/>
            <family val="2"/>
            <scheme val="minor"/>
          </rPr>
          <t>Introduzca un número con dos decimales como máximo. Debe ser igual o mayor a la "Cantidad Real Consumida"</t>
        </r>
      </text>
    </comment>
    <comment ref="E4010" authorId="1" shapeId="0" xr:uid="{00000000-0006-0000-0100-0000A10E0000}">
      <text>
        <r>
          <rPr>
            <sz val="11"/>
            <color theme="1"/>
            <rFont val="Calibri"/>
            <family val="2"/>
            <scheme val="minor"/>
          </rPr>
          <t>Introduzca un número con dos decimales como máximo</t>
        </r>
      </text>
    </comment>
    <comment ref="F4010" authorId="1" shapeId="0" xr:uid="{00000000-0006-0000-0100-0000A20E0000}">
      <text>
        <r>
          <rPr>
            <sz val="11"/>
            <color theme="1"/>
            <rFont val="Calibri"/>
            <family val="2"/>
            <scheme val="minor"/>
          </rPr>
          <t>Monto calculado automáticamente por el sistema</t>
        </r>
      </text>
    </comment>
    <comment ref="A4043" authorId="1" shapeId="0" xr:uid="{00000000-0006-0000-0100-0000A30E0000}">
      <text>
        <r>
          <rPr>
            <sz val="11"/>
            <color theme="1"/>
            <rFont val="Calibri"/>
            <family val="2"/>
            <scheme val="minor"/>
          </rPr>
          <t>Introducir un texto con el nombre o referencia de la contratación</t>
        </r>
      </text>
    </comment>
    <comment ref="B4043" authorId="1" shapeId="0" xr:uid="{00000000-0006-0000-0100-0000A40E0000}">
      <text>
        <r>
          <rPr>
            <sz val="11"/>
            <color theme="1"/>
            <rFont val="Calibri"/>
            <family val="2"/>
            <scheme val="minor"/>
          </rPr>
          <t>Introduzca un texto con la finalidad de la contratación</t>
        </r>
      </text>
    </comment>
    <comment ref="C4043" authorId="1" shapeId="0" xr:uid="{00000000-0006-0000-0100-0000A50E0000}">
      <text>
        <r>
          <rPr>
            <sz val="11"/>
            <color theme="1"/>
            <rFont val="Calibri"/>
            <family val="2"/>
            <scheme val="minor"/>
          </rPr>
          <t>Seleccionar un valor del listado</t>
        </r>
      </text>
    </comment>
    <comment ref="D4043" authorId="1" shapeId="0" xr:uid="{00000000-0006-0000-0100-0000A60E0000}">
      <text>
        <r>
          <rPr>
            <sz val="11"/>
            <color theme="1"/>
            <rFont val="Calibri"/>
            <family val="2"/>
            <scheme val="minor"/>
          </rPr>
          <t>Seleccione el tipo de procedimiento</t>
        </r>
      </text>
    </comment>
    <comment ref="E4043" authorId="1" shapeId="0" xr:uid="{00000000-0006-0000-0100-0000A70E0000}">
      <text>
        <r>
          <rPr>
            <sz val="11"/>
            <color theme="1"/>
            <rFont val="Calibri"/>
            <family val="2"/>
            <scheme val="minor"/>
          </rPr>
          <t>Seleccione un valor de la lista</t>
        </r>
      </text>
    </comment>
    <comment ref="F4043" authorId="1" shapeId="0" xr:uid="{00000000-0006-0000-0100-0000A80E0000}">
      <text>
        <r>
          <rPr>
            <sz val="11"/>
            <color theme="1"/>
            <rFont val="Calibri"/>
            <family val="2"/>
            <scheme val="minor"/>
          </rPr>
          <t>Introduzca el código SNIP</t>
        </r>
      </text>
    </comment>
    <comment ref="C4044" authorId="1" shapeId="0" xr:uid="{00000000-0006-0000-0100-0000A90E0000}">
      <text>
        <r>
          <rPr>
            <sz val="11"/>
            <color theme="1"/>
            <rFont val="Calibri"/>
            <family val="2"/>
            <scheme val="minor"/>
          </rPr>
          <t>Introduzca la fecha de inicio del proceso, en formato dd-mm-aaaa</t>
        </r>
      </text>
    </comment>
    <comment ref="F4044" authorId="1" shapeId="0" xr:uid="{00000000-0006-0000-0100-0000AB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45" authorId="1" shapeId="0" xr:uid="{00000000-0006-0000-0100-0000AC0E0000}">
      <text/>
    </comment>
    <comment ref="C4046" authorId="1" shapeId="0" xr:uid="{00000000-0006-0000-0100-0000AA0E0000}">
      <text>
        <r>
          <rPr>
            <sz val="11"/>
            <color theme="1"/>
            <rFont val="Calibri"/>
            <family val="2"/>
            <scheme val="minor"/>
          </rPr>
          <t>Introduzca la fecha prevista de adjudicación, en formato dd-mm-aaaa</t>
        </r>
      </text>
    </comment>
    <comment ref="F4046" authorId="1" shapeId="0" xr:uid="{00000000-0006-0000-0100-0000AD0E0000}">
      <text/>
    </comment>
    <comment ref="F4047" authorId="1" shapeId="0" xr:uid="{00000000-0006-0000-0100-0000AE0E0000}">
      <text/>
    </comment>
    <comment ref="A4049" authorId="1" shapeId="0" xr:uid="{00000000-0006-0000-0100-0000AF0E0000}">
      <text>
        <r>
          <rPr>
            <sz val="11"/>
            <color theme="1"/>
            <rFont val="Calibri"/>
            <family val="2"/>
            <scheme val="minor"/>
          </rPr>
          <t>Introduzca un codigo UNSPSC</t>
        </r>
      </text>
    </comment>
    <comment ref="B4049" authorId="1" shapeId="0" xr:uid="{00000000-0006-0000-0100-0000B00E0000}">
      <text>
        <r>
          <rPr>
            <sz val="11"/>
            <color theme="1"/>
            <rFont val="Calibri"/>
            <family val="2"/>
            <scheme val="minor"/>
          </rPr>
          <t>Descripción calculada automáticamente a partir de código del artículo</t>
        </r>
      </text>
    </comment>
    <comment ref="C4049" authorId="1" shapeId="0" xr:uid="{00000000-0006-0000-0100-0000B10E0000}">
      <text>
        <r>
          <rPr>
            <sz val="11"/>
            <color theme="1"/>
            <rFont val="Calibri"/>
            <family val="2"/>
            <scheme val="minor"/>
          </rPr>
          <t>Seleccione un valor de la lista</t>
        </r>
      </text>
    </comment>
    <comment ref="D4049" authorId="1" shapeId="0" xr:uid="{00000000-0006-0000-0100-0000B20E0000}">
      <text>
        <r>
          <rPr>
            <sz val="11"/>
            <color theme="1"/>
            <rFont val="Calibri"/>
            <family val="2"/>
            <scheme val="minor"/>
          </rPr>
          <t>Introduzca un número con dos decimales como máximo. Debe ser igual o mayor a la "Cantidad Real Consumida"</t>
        </r>
      </text>
    </comment>
    <comment ref="E4049" authorId="1" shapeId="0" xr:uid="{00000000-0006-0000-0100-0000B30E0000}">
      <text>
        <r>
          <rPr>
            <sz val="11"/>
            <color theme="1"/>
            <rFont val="Calibri"/>
            <family val="2"/>
            <scheme val="minor"/>
          </rPr>
          <t>Introduzca un número con dos decimales como máximo</t>
        </r>
      </text>
    </comment>
    <comment ref="F4049" authorId="1" shapeId="0" xr:uid="{00000000-0006-0000-0100-0000B40E0000}">
      <text>
        <r>
          <rPr>
            <sz val="11"/>
            <color theme="1"/>
            <rFont val="Calibri"/>
            <family val="2"/>
            <scheme val="minor"/>
          </rPr>
          <t>Monto calculado automáticamente por el sistema</t>
        </r>
      </text>
    </comment>
    <comment ref="A4071" authorId="1" shapeId="0" xr:uid="{00000000-0006-0000-0100-0000B50E0000}">
      <text>
        <r>
          <rPr>
            <sz val="11"/>
            <color theme="1"/>
            <rFont val="Calibri"/>
            <family val="2"/>
            <scheme val="minor"/>
          </rPr>
          <t>Introducir un texto con el nombre o referencia de la contratación</t>
        </r>
      </text>
    </comment>
    <comment ref="B4071" authorId="1" shapeId="0" xr:uid="{00000000-0006-0000-0100-0000B60E0000}">
      <text>
        <r>
          <rPr>
            <sz val="11"/>
            <color theme="1"/>
            <rFont val="Calibri"/>
            <family val="2"/>
            <scheme val="minor"/>
          </rPr>
          <t>Introduzca un texto con la finalidad de la contratación</t>
        </r>
      </text>
    </comment>
    <comment ref="C4071" authorId="1" shapeId="0" xr:uid="{00000000-0006-0000-0100-0000B70E0000}">
      <text>
        <r>
          <rPr>
            <sz val="11"/>
            <color theme="1"/>
            <rFont val="Calibri"/>
            <family val="2"/>
            <scheme val="minor"/>
          </rPr>
          <t>Seleccionar un valor del listado</t>
        </r>
      </text>
    </comment>
    <comment ref="D4071" authorId="1" shapeId="0" xr:uid="{00000000-0006-0000-0100-0000B80E0000}">
      <text>
        <r>
          <rPr>
            <sz val="11"/>
            <color theme="1"/>
            <rFont val="Calibri"/>
            <family val="2"/>
            <scheme val="minor"/>
          </rPr>
          <t>Seleccione el tipo de procedimiento</t>
        </r>
      </text>
    </comment>
    <comment ref="E4071" authorId="1" shapeId="0" xr:uid="{00000000-0006-0000-0100-0000B90E0000}">
      <text>
        <r>
          <rPr>
            <sz val="11"/>
            <color theme="1"/>
            <rFont val="Calibri"/>
            <family val="2"/>
            <scheme val="minor"/>
          </rPr>
          <t>Seleccione un valor de la lista</t>
        </r>
      </text>
    </comment>
    <comment ref="F4071" authorId="1" shapeId="0" xr:uid="{00000000-0006-0000-0100-0000BA0E0000}">
      <text>
        <r>
          <rPr>
            <sz val="11"/>
            <color theme="1"/>
            <rFont val="Calibri"/>
            <family val="2"/>
            <scheme val="minor"/>
          </rPr>
          <t>Introduzca el código SNIP</t>
        </r>
      </text>
    </comment>
    <comment ref="C4072" authorId="1" shapeId="0" xr:uid="{00000000-0006-0000-0100-0000BB0E0000}">
      <text>
        <r>
          <rPr>
            <sz val="11"/>
            <color theme="1"/>
            <rFont val="Calibri"/>
            <family val="2"/>
            <scheme val="minor"/>
          </rPr>
          <t>Introduzca la fecha de inicio del proceso, en formato dd-mm-aaaa</t>
        </r>
      </text>
    </comment>
    <comment ref="F4072" authorId="1" shapeId="0" xr:uid="{00000000-0006-0000-0100-0000BD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73" authorId="1" shapeId="0" xr:uid="{00000000-0006-0000-0100-0000BE0E0000}">
      <text/>
    </comment>
    <comment ref="C4074" authorId="1" shapeId="0" xr:uid="{00000000-0006-0000-0100-0000BC0E0000}">
      <text>
        <r>
          <rPr>
            <sz val="11"/>
            <color theme="1"/>
            <rFont val="Calibri"/>
            <family val="2"/>
            <scheme val="minor"/>
          </rPr>
          <t>Introduzca la fecha prevista de adjudicación, en formato dd-mm-aaaa</t>
        </r>
      </text>
    </comment>
    <comment ref="F4074" authorId="1" shapeId="0" xr:uid="{00000000-0006-0000-0100-0000BF0E0000}">
      <text/>
    </comment>
    <comment ref="F4075" authorId="1" shapeId="0" xr:uid="{00000000-0006-0000-0100-0000C00E0000}">
      <text/>
    </comment>
    <comment ref="A4077" authorId="1" shapeId="0" xr:uid="{00000000-0006-0000-0100-0000C10E0000}">
      <text>
        <r>
          <rPr>
            <sz val="11"/>
            <color theme="1"/>
            <rFont val="Calibri"/>
            <family val="2"/>
            <scheme val="minor"/>
          </rPr>
          <t>Introduzca un codigo UNSPSC</t>
        </r>
      </text>
    </comment>
    <comment ref="B4077" authorId="1" shapeId="0" xr:uid="{00000000-0006-0000-0100-0000C20E0000}">
      <text>
        <r>
          <rPr>
            <sz val="11"/>
            <color theme="1"/>
            <rFont val="Calibri"/>
            <family val="2"/>
            <scheme val="minor"/>
          </rPr>
          <t>Descripción calculada automáticamente a partir de código del artículo</t>
        </r>
      </text>
    </comment>
    <comment ref="C4077" authorId="1" shapeId="0" xr:uid="{00000000-0006-0000-0100-0000C30E0000}">
      <text>
        <r>
          <rPr>
            <sz val="11"/>
            <color theme="1"/>
            <rFont val="Calibri"/>
            <family val="2"/>
            <scheme val="minor"/>
          </rPr>
          <t>Seleccione un valor de la lista</t>
        </r>
      </text>
    </comment>
    <comment ref="D4077" authorId="1" shapeId="0" xr:uid="{00000000-0006-0000-0100-0000C40E0000}">
      <text>
        <r>
          <rPr>
            <sz val="11"/>
            <color theme="1"/>
            <rFont val="Calibri"/>
            <family val="2"/>
            <scheme val="minor"/>
          </rPr>
          <t>Introduzca un número con dos decimales como máximo. Debe ser igual o mayor a la "Cantidad Real Consumida"</t>
        </r>
      </text>
    </comment>
    <comment ref="E4077" authorId="1" shapeId="0" xr:uid="{00000000-0006-0000-0100-0000C50E0000}">
      <text>
        <r>
          <rPr>
            <sz val="11"/>
            <color theme="1"/>
            <rFont val="Calibri"/>
            <family val="2"/>
            <scheme val="minor"/>
          </rPr>
          <t>Introduzca un número con dos decimales como máximo</t>
        </r>
      </text>
    </comment>
    <comment ref="F4077" authorId="1" shapeId="0" xr:uid="{00000000-0006-0000-0100-0000C60E0000}">
      <text>
        <r>
          <rPr>
            <sz val="11"/>
            <color theme="1"/>
            <rFont val="Calibri"/>
            <family val="2"/>
            <scheme val="minor"/>
          </rPr>
          <t>Monto calculado automáticamente por el sistema</t>
        </r>
      </text>
    </comment>
    <comment ref="A4096" authorId="1" shapeId="0" xr:uid="{00000000-0006-0000-0100-0000C70E0000}">
      <text>
        <r>
          <rPr>
            <sz val="11"/>
            <color theme="1"/>
            <rFont val="Calibri"/>
            <family val="2"/>
            <scheme val="minor"/>
          </rPr>
          <t>Introducir un texto con el nombre o referencia de la contratación</t>
        </r>
      </text>
    </comment>
    <comment ref="B4096" authorId="1" shapeId="0" xr:uid="{00000000-0006-0000-0100-0000C80E0000}">
      <text>
        <r>
          <rPr>
            <sz val="11"/>
            <color theme="1"/>
            <rFont val="Calibri"/>
            <family val="2"/>
            <scheme val="minor"/>
          </rPr>
          <t>Introduzca un texto con la finalidad de la contratación</t>
        </r>
      </text>
    </comment>
    <comment ref="C4096" authorId="1" shapeId="0" xr:uid="{00000000-0006-0000-0100-0000C90E0000}">
      <text>
        <r>
          <rPr>
            <sz val="11"/>
            <color theme="1"/>
            <rFont val="Calibri"/>
            <family val="2"/>
            <scheme val="minor"/>
          </rPr>
          <t>Seleccionar un valor del listado</t>
        </r>
      </text>
    </comment>
    <comment ref="D4096" authorId="1" shapeId="0" xr:uid="{00000000-0006-0000-0100-0000CA0E0000}">
      <text>
        <r>
          <rPr>
            <sz val="11"/>
            <color theme="1"/>
            <rFont val="Calibri"/>
            <family val="2"/>
            <scheme val="minor"/>
          </rPr>
          <t>Seleccione el tipo de procedimiento</t>
        </r>
      </text>
    </comment>
    <comment ref="E4096" authorId="1" shapeId="0" xr:uid="{00000000-0006-0000-0100-0000CB0E0000}">
      <text>
        <r>
          <rPr>
            <sz val="11"/>
            <color theme="1"/>
            <rFont val="Calibri"/>
            <family val="2"/>
            <scheme val="minor"/>
          </rPr>
          <t>Seleccione un valor de la lista</t>
        </r>
      </text>
    </comment>
    <comment ref="F4096" authorId="1" shapeId="0" xr:uid="{00000000-0006-0000-0100-0000CC0E0000}">
      <text>
        <r>
          <rPr>
            <sz val="11"/>
            <color theme="1"/>
            <rFont val="Calibri"/>
            <family val="2"/>
            <scheme val="minor"/>
          </rPr>
          <t>Introduzca el código SNIP</t>
        </r>
      </text>
    </comment>
    <comment ref="C4097" authorId="1" shapeId="0" xr:uid="{00000000-0006-0000-0100-0000CD0E0000}">
      <text>
        <r>
          <rPr>
            <sz val="11"/>
            <color theme="1"/>
            <rFont val="Calibri"/>
            <family val="2"/>
            <scheme val="minor"/>
          </rPr>
          <t>Introduzca la fecha de inicio del proceso, en formato dd-mm-aaaa</t>
        </r>
      </text>
    </comment>
    <comment ref="F4097" authorId="1" shapeId="0" xr:uid="{00000000-0006-0000-0100-0000CF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98" authorId="1" shapeId="0" xr:uid="{00000000-0006-0000-0100-0000D00E0000}">
      <text/>
    </comment>
    <comment ref="C4099" authorId="1" shapeId="0" xr:uid="{00000000-0006-0000-0100-0000CE0E0000}">
      <text>
        <r>
          <rPr>
            <sz val="11"/>
            <color theme="1"/>
            <rFont val="Calibri"/>
            <family val="2"/>
            <scheme val="minor"/>
          </rPr>
          <t>Introduzca la fecha prevista de adjudicación, en formato dd-mm-aaaa</t>
        </r>
      </text>
    </comment>
    <comment ref="F4099" authorId="1" shapeId="0" xr:uid="{00000000-0006-0000-0100-0000D10E0000}">
      <text/>
    </comment>
    <comment ref="F4100" authorId="1" shapeId="0" xr:uid="{00000000-0006-0000-0100-0000D20E0000}">
      <text/>
    </comment>
    <comment ref="A4102" authorId="1" shapeId="0" xr:uid="{00000000-0006-0000-0100-0000D30E0000}">
      <text>
        <r>
          <rPr>
            <sz val="11"/>
            <color theme="1"/>
            <rFont val="Calibri"/>
            <family val="2"/>
            <scheme val="minor"/>
          </rPr>
          <t>Introduzca un codigo UNSPSC</t>
        </r>
      </text>
    </comment>
    <comment ref="B4102" authorId="1" shapeId="0" xr:uid="{00000000-0006-0000-0100-0000D40E0000}">
      <text>
        <r>
          <rPr>
            <sz val="11"/>
            <color theme="1"/>
            <rFont val="Calibri"/>
            <family val="2"/>
            <scheme val="minor"/>
          </rPr>
          <t>Descripción calculada automáticamente a partir de código del artículo</t>
        </r>
      </text>
    </comment>
    <comment ref="C4102" authorId="1" shapeId="0" xr:uid="{00000000-0006-0000-0100-0000D50E0000}">
      <text>
        <r>
          <rPr>
            <sz val="11"/>
            <color theme="1"/>
            <rFont val="Calibri"/>
            <family val="2"/>
            <scheme val="minor"/>
          </rPr>
          <t>Seleccione un valor de la lista</t>
        </r>
      </text>
    </comment>
    <comment ref="D4102" authorId="1" shapeId="0" xr:uid="{00000000-0006-0000-0100-0000D60E0000}">
      <text>
        <r>
          <rPr>
            <sz val="11"/>
            <color theme="1"/>
            <rFont val="Calibri"/>
            <family val="2"/>
            <scheme val="minor"/>
          </rPr>
          <t>Introduzca un número con dos decimales como máximo. Debe ser igual o mayor a la "Cantidad Real Consumida"</t>
        </r>
      </text>
    </comment>
    <comment ref="E4102" authorId="1" shapeId="0" xr:uid="{00000000-0006-0000-0100-0000D70E0000}">
      <text>
        <r>
          <rPr>
            <sz val="11"/>
            <color theme="1"/>
            <rFont val="Calibri"/>
            <family val="2"/>
            <scheme val="minor"/>
          </rPr>
          <t>Introduzca un número con dos decimales como máximo</t>
        </r>
      </text>
    </comment>
    <comment ref="F4102" authorId="1" shapeId="0" xr:uid="{00000000-0006-0000-0100-0000D80E0000}">
      <text>
        <r>
          <rPr>
            <sz val="11"/>
            <color theme="1"/>
            <rFont val="Calibri"/>
            <family val="2"/>
            <scheme val="minor"/>
          </rPr>
          <t>Monto calculado automáticamente por el sistema</t>
        </r>
      </text>
    </comment>
    <comment ref="A4110" authorId="1" shapeId="0" xr:uid="{00000000-0006-0000-0100-0000D90E0000}">
      <text>
        <r>
          <rPr>
            <sz val="11"/>
            <color theme="1"/>
            <rFont val="Calibri"/>
            <family val="2"/>
            <scheme val="minor"/>
          </rPr>
          <t>Introducir un texto con el nombre o referencia de la contratación</t>
        </r>
      </text>
    </comment>
    <comment ref="B4110" authorId="1" shapeId="0" xr:uid="{00000000-0006-0000-0100-0000DA0E0000}">
      <text>
        <r>
          <rPr>
            <sz val="11"/>
            <color theme="1"/>
            <rFont val="Calibri"/>
            <family val="2"/>
            <scheme val="minor"/>
          </rPr>
          <t>Introduzca un texto con la finalidad de la contratación</t>
        </r>
      </text>
    </comment>
    <comment ref="C4110" authorId="1" shapeId="0" xr:uid="{00000000-0006-0000-0100-0000DB0E0000}">
      <text>
        <r>
          <rPr>
            <sz val="11"/>
            <color theme="1"/>
            <rFont val="Calibri"/>
            <family val="2"/>
            <scheme val="minor"/>
          </rPr>
          <t>Seleccionar un valor del listado</t>
        </r>
      </text>
    </comment>
    <comment ref="D4110" authorId="1" shapeId="0" xr:uid="{00000000-0006-0000-0100-0000DC0E0000}">
      <text>
        <r>
          <rPr>
            <sz val="11"/>
            <color theme="1"/>
            <rFont val="Calibri"/>
            <family val="2"/>
            <scheme val="minor"/>
          </rPr>
          <t>Seleccione el tipo de procedimiento</t>
        </r>
      </text>
    </comment>
    <comment ref="E4110" authorId="1" shapeId="0" xr:uid="{00000000-0006-0000-0100-0000DD0E0000}">
      <text>
        <r>
          <rPr>
            <sz val="11"/>
            <color theme="1"/>
            <rFont val="Calibri"/>
            <family val="2"/>
            <scheme val="minor"/>
          </rPr>
          <t>Seleccione un valor de la lista</t>
        </r>
      </text>
    </comment>
    <comment ref="F4110" authorId="1" shapeId="0" xr:uid="{00000000-0006-0000-0100-0000DE0E0000}">
      <text>
        <r>
          <rPr>
            <sz val="11"/>
            <color theme="1"/>
            <rFont val="Calibri"/>
            <family val="2"/>
            <scheme val="minor"/>
          </rPr>
          <t>Introduzca el código SNIP</t>
        </r>
      </text>
    </comment>
    <comment ref="C4111" authorId="1" shapeId="0" xr:uid="{00000000-0006-0000-0100-0000DF0E0000}">
      <text>
        <r>
          <rPr>
            <sz val="11"/>
            <color theme="1"/>
            <rFont val="Calibri"/>
            <family val="2"/>
            <scheme val="minor"/>
          </rPr>
          <t>Introduzca la fecha de inicio del proceso, en formato dd-mm-aaaa</t>
        </r>
      </text>
    </comment>
    <comment ref="F4111" authorId="1" shapeId="0" xr:uid="{00000000-0006-0000-0100-0000E1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12" authorId="1" shapeId="0" xr:uid="{00000000-0006-0000-0100-0000E20E0000}">
      <text/>
    </comment>
    <comment ref="C4113" authorId="1" shapeId="0" xr:uid="{00000000-0006-0000-0100-0000E00E0000}">
      <text>
        <r>
          <rPr>
            <sz val="11"/>
            <color theme="1"/>
            <rFont val="Calibri"/>
            <family val="2"/>
            <scheme val="minor"/>
          </rPr>
          <t>Introduzca la fecha prevista de adjudicación, en formato dd-mm-aaaa</t>
        </r>
      </text>
    </comment>
    <comment ref="F4113" authorId="1" shapeId="0" xr:uid="{00000000-0006-0000-0100-0000E30E0000}">
      <text/>
    </comment>
    <comment ref="F4114" authorId="1" shapeId="0" xr:uid="{00000000-0006-0000-0100-0000E40E0000}">
      <text/>
    </comment>
    <comment ref="A4116" authorId="1" shapeId="0" xr:uid="{00000000-0006-0000-0100-0000E50E0000}">
      <text>
        <r>
          <rPr>
            <sz val="11"/>
            <color theme="1"/>
            <rFont val="Calibri"/>
            <family val="2"/>
            <scheme val="minor"/>
          </rPr>
          <t>Introduzca un codigo UNSPSC</t>
        </r>
      </text>
    </comment>
    <comment ref="B4116" authorId="1" shapeId="0" xr:uid="{00000000-0006-0000-0100-0000E60E0000}">
      <text>
        <r>
          <rPr>
            <sz val="11"/>
            <color theme="1"/>
            <rFont val="Calibri"/>
            <family val="2"/>
            <scheme val="minor"/>
          </rPr>
          <t>Descripción calculada automáticamente a partir de código del artículo</t>
        </r>
      </text>
    </comment>
    <comment ref="C4116" authorId="1" shapeId="0" xr:uid="{00000000-0006-0000-0100-0000E70E0000}">
      <text>
        <r>
          <rPr>
            <sz val="11"/>
            <color theme="1"/>
            <rFont val="Calibri"/>
            <family val="2"/>
            <scheme val="minor"/>
          </rPr>
          <t>Seleccione un valor de la lista</t>
        </r>
      </text>
    </comment>
    <comment ref="D4116" authorId="1" shapeId="0" xr:uid="{00000000-0006-0000-0100-0000E80E0000}">
      <text>
        <r>
          <rPr>
            <sz val="11"/>
            <color theme="1"/>
            <rFont val="Calibri"/>
            <family val="2"/>
            <scheme val="minor"/>
          </rPr>
          <t>Introduzca un número con dos decimales como máximo. Debe ser igual o mayor a la "Cantidad Real Consumida"</t>
        </r>
      </text>
    </comment>
    <comment ref="E4116" authorId="1" shapeId="0" xr:uid="{00000000-0006-0000-0100-0000E90E0000}">
      <text>
        <r>
          <rPr>
            <sz val="11"/>
            <color theme="1"/>
            <rFont val="Calibri"/>
            <family val="2"/>
            <scheme val="minor"/>
          </rPr>
          <t>Introduzca un número con dos decimales como máximo</t>
        </r>
      </text>
    </comment>
    <comment ref="F4116" authorId="1" shapeId="0" xr:uid="{00000000-0006-0000-0100-0000EA0E0000}">
      <text>
        <r>
          <rPr>
            <sz val="11"/>
            <color theme="1"/>
            <rFont val="Calibri"/>
            <family val="2"/>
            <scheme val="minor"/>
          </rPr>
          <t>Monto calculado automáticamente por el sistema</t>
        </r>
      </text>
    </comment>
    <comment ref="A4123" authorId="1" shapeId="0" xr:uid="{00000000-0006-0000-0100-0000EB0E0000}">
      <text>
        <r>
          <rPr>
            <sz val="11"/>
            <color theme="1"/>
            <rFont val="Calibri"/>
            <family val="2"/>
            <scheme val="minor"/>
          </rPr>
          <t>Introducir un texto con el nombre o referencia de la contratación</t>
        </r>
      </text>
    </comment>
    <comment ref="B4123" authorId="1" shapeId="0" xr:uid="{00000000-0006-0000-0100-0000EC0E0000}">
      <text>
        <r>
          <rPr>
            <sz val="11"/>
            <color theme="1"/>
            <rFont val="Calibri"/>
            <family val="2"/>
            <scheme val="minor"/>
          </rPr>
          <t>Introduzca un texto con la finalidad de la contratación</t>
        </r>
      </text>
    </comment>
    <comment ref="C4123" authorId="1" shapeId="0" xr:uid="{00000000-0006-0000-0100-0000ED0E0000}">
      <text>
        <r>
          <rPr>
            <sz val="11"/>
            <color theme="1"/>
            <rFont val="Calibri"/>
            <family val="2"/>
            <scheme val="minor"/>
          </rPr>
          <t>Seleccionar un valor del listado</t>
        </r>
      </text>
    </comment>
    <comment ref="D4123" authorId="1" shapeId="0" xr:uid="{00000000-0006-0000-0100-0000EE0E0000}">
      <text>
        <r>
          <rPr>
            <sz val="11"/>
            <color theme="1"/>
            <rFont val="Calibri"/>
            <family val="2"/>
            <scheme val="minor"/>
          </rPr>
          <t>Seleccione el tipo de procedimiento</t>
        </r>
      </text>
    </comment>
    <comment ref="E4123" authorId="1" shapeId="0" xr:uid="{00000000-0006-0000-0100-0000EF0E0000}">
      <text>
        <r>
          <rPr>
            <sz val="11"/>
            <color theme="1"/>
            <rFont val="Calibri"/>
            <family val="2"/>
            <scheme val="minor"/>
          </rPr>
          <t>Seleccione un valor de la lista</t>
        </r>
      </text>
    </comment>
    <comment ref="F4123" authorId="1" shapeId="0" xr:uid="{00000000-0006-0000-0100-0000F00E0000}">
      <text>
        <r>
          <rPr>
            <sz val="11"/>
            <color theme="1"/>
            <rFont val="Calibri"/>
            <family val="2"/>
            <scheme val="minor"/>
          </rPr>
          <t>Introduzca el código SNIP</t>
        </r>
      </text>
    </comment>
    <comment ref="C4124" authorId="1" shapeId="0" xr:uid="{00000000-0006-0000-0100-0000F10E0000}">
      <text>
        <r>
          <rPr>
            <sz val="11"/>
            <color theme="1"/>
            <rFont val="Calibri"/>
            <family val="2"/>
            <scheme val="minor"/>
          </rPr>
          <t>Introduzca la fecha de inicio del proceso, en formato dd-mm-aaaa</t>
        </r>
      </text>
    </comment>
    <comment ref="F4124" authorId="1" shapeId="0" xr:uid="{00000000-0006-0000-0100-0000F3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25" authorId="1" shapeId="0" xr:uid="{00000000-0006-0000-0100-0000F40E0000}">
      <text/>
    </comment>
    <comment ref="C4126" authorId="1" shapeId="0" xr:uid="{00000000-0006-0000-0100-0000F20E0000}">
      <text>
        <r>
          <rPr>
            <sz val="11"/>
            <color theme="1"/>
            <rFont val="Calibri"/>
            <family val="2"/>
            <scheme val="minor"/>
          </rPr>
          <t>Introduzca la fecha prevista de adjudicación, en formato dd-mm-aaaa</t>
        </r>
      </text>
    </comment>
    <comment ref="F4126" authorId="1" shapeId="0" xr:uid="{00000000-0006-0000-0100-0000F50E0000}">
      <text/>
    </comment>
    <comment ref="F4127" authorId="1" shapeId="0" xr:uid="{00000000-0006-0000-0100-0000F60E0000}">
      <text/>
    </comment>
    <comment ref="A4129" authorId="1" shapeId="0" xr:uid="{00000000-0006-0000-0100-0000F70E0000}">
      <text>
        <r>
          <rPr>
            <sz val="11"/>
            <color theme="1"/>
            <rFont val="Calibri"/>
            <family val="2"/>
            <scheme val="minor"/>
          </rPr>
          <t>Introduzca un codigo UNSPSC</t>
        </r>
      </text>
    </comment>
    <comment ref="B4129" authorId="1" shapeId="0" xr:uid="{00000000-0006-0000-0100-0000F80E0000}">
      <text>
        <r>
          <rPr>
            <sz val="11"/>
            <color theme="1"/>
            <rFont val="Calibri"/>
            <family val="2"/>
            <scheme val="minor"/>
          </rPr>
          <t>Descripción calculada automáticamente a partir de código del artículo</t>
        </r>
      </text>
    </comment>
    <comment ref="C4129" authorId="1" shapeId="0" xr:uid="{00000000-0006-0000-0100-0000F90E0000}">
      <text>
        <r>
          <rPr>
            <sz val="11"/>
            <color theme="1"/>
            <rFont val="Calibri"/>
            <family val="2"/>
            <scheme val="minor"/>
          </rPr>
          <t>Seleccione un valor de la lista</t>
        </r>
      </text>
    </comment>
    <comment ref="D4129" authorId="1" shapeId="0" xr:uid="{00000000-0006-0000-0100-0000FA0E0000}">
      <text>
        <r>
          <rPr>
            <sz val="11"/>
            <color theme="1"/>
            <rFont val="Calibri"/>
            <family val="2"/>
            <scheme val="minor"/>
          </rPr>
          <t>Introduzca un número con dos decimales como máximo. Debe ser igual o mayor a la "Cantidad Real Consumida"</t>
        </r>
      </text>
    </comment>
    <comment ref="E4129" authorId="1" shapeId="0" xr:uid="{00000000-0006-0000-0100-0000FB0E0000}">
      <text>
        <r>
          <rPr>
            <sz val="11"/>
            <color theme="1"/>
            <rFont val="Calibri"/>
            <family val="2"/>
            <scheme val="minor"/>
          </rPr>
          <t>Introduzca un número con dos decimales como máximo</t>
        </r>
      </text>
    </comment>
    <comment ref="F4129" authorId="1" shapeId="0" xr:uid="{00000000-0006-0000-0100-0000FC0E0000}">
      <text>
        <r>
          <rPr>
            <sz val="11"/>
            <color theme="1"/>
            <rFont val="Calibri"/>
            <family val="2"/>
            <scheme val="minor"/>
          </rPr>
          <t>Monto calculado automáticamente por el sistema</t>
        </r>
      </text>
    </comment>
    <comment ref="A4134" authorId="1" shapeId="0" xr:uid="{00000000-0006-0000-0100-0000FD0E0000}">
      <text>
        <r>
          <rPr>
            <sz val="11"/>
            <color theme="1"/>
            <rFont val="Calibri"/>
            <family val="2"/>
            <scheme val="minor"/>
          </rPr>
          <t>Introducir un texto con el nombre o referencia de la contratación</t>
        </r>
      </text>
    </comment>
    <comment ref="B4134" authorId="1" shapeId="0" xr:uid="{00000000-0006-0000-0100-0000FE0E0000}">
      <text>
        <r>
          <rPr>
            <sz val="11"/>
            <color theme="1"/>
            <rFont val="Calibri"/>
            <family val="2"/>
            <scheme val="minor"/>
          </rPr>
          <t>Introduzca un texto con la finalidad de la contratación</t>
        </r>
      </text>
    </comment>
    <comment ref="C4134" authorId="1" shapeId="0" xr:uid="{00000000-0006-0000-0100-0000FF0E0000}">
      <text>
        <r>
          <rPr>
            <sz val="11"/>
            <color theme="1"/>
            <rFont val="Calibri"/>
            <family val="2"/>
            <scheme val="minor"/>
          </rPr>
          <t>Seleccionar un valor del listado</t>
        </r>
      </text>
    </comment>
    <comment ref="D4134" authorId="1" shapeId="0" xr:uid="{00000000-0006-0000-0100-0000000F0000}">
      <text>
        <r>
          <rPr>
            <sz val="11"/>
            <color theme="1"/>
            <rFont val="Calibri"/>
            <family val="2"/>
            <scheme val="minor"/>
          </rPr>
          <t>Seleccione el tipo de procedimiento</t>
        </r>
      </text>
    </comment>
    <comment ref="E4134" authorId="1" shapeId="0" xr:uid="{00000000-0006-0000-0100-0000010F0000}">
      <text>
        <r>
          <rPr>
            <sz val="11"/>
            <color theme="1"/>
            <rFont val="Calibri"/>
            <family val="2"/>
            <scheme val="minor"/>
          </rPr>
          <t>Seleccione un valor de la lista</t>
        </r>
      </text>
    </comment>
    <comment ref="F4134" authorId="1" shapeId="0" xr:uid="{00000000-0006-0000-0100-0000020F0000}">
      <text>
        <r>
          <rPr>
            <sz val="11"/>
            <color theme="1"/>
            <rFont val="Calibri"/>
            <family val="2"/>
            <scheme val="minor"/>
          </rPr>
          <t>Introduzca el código SNIP</t>
        </r>
      </text>
    </comment>
    <comment ref="C4135" authorId="1" shapeId="0" xr:uid="{00000000-0006-0000-0100-0000030F0000}">
      <text>
        <r>
          <rPr>
            <sz val="11"/>
            <color theme="1"/>
            <rFont val="Calibri"/>
            <family val="2"/>
            <scheme val="minor"/>
          </rPr>
          <t>Introduzca la fecha de inicio del proceso, en formato dd-mm-aaaa</t>
        </r>
      </text>
    </comment>
    <comment ref="F4135" authorId="1" shapeId="0" xr:uid="{00000000-0006-0000-0100-000005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36" authorId="1" shapeId="0" xr:uid="{00000000-0006-0000-0100-0000060F0000}">
      <text/>
    </comment>
    <comment ref="C4137" authorId="1" shapeId="0" xr:uid="{00000000-0006-0000-0100-0000040F0000}">
      <text>
        <r>
          <rPr>
            <sz val="11"/>
            <color theme="1"/>
            <rFont val="Calibri"/>
            <family val="2"/>
            <scheme val="minor"/>
          </rPr>
          <t>Introduzca la fecha prevista de adjudicación, en formato dd-mm-aaaa</t>
        </r>
      </text>
    </comment>
    <comment ref="F4137" authorId="1" shapeId="0" xr:uid="{00000000-0006-0000-0100-0000070F0000}">
      <text/>
    </comment>
    <comment ref="F4138" authorId="1" shapeId="0" xr:uid="{00000000-0006-0000-0100-0000080F0000}">
      <text/>
    </comment>
    <comment ref="A4140" authorId="1" shapeId="0" xr:uid="{00000000-0006-0000-0100-0000090F0000}">
      <text>
        <r>
          <rPr>
            <sz val="11"/>
            <color theme="1"/>
            <rFont val="Calibri"/>
            <family val="2"/>
            <scheme val="minor"/>
          </rPr>
          <t>Introduzca un codigo UNSPSC</t>
        </r>
      </text>
    </comment>
    <comment ref="B4140" authorId="1" shapeId="0" xr:uid="{00000000-0006-0000-0100-00000A0F0000}">
      <text>
        <r>
          <rPr>
            <sz val="11"/>
            <color theme="1"/>
            <rFont val="Calibri"/>
            <family val="2"/>
            <scheme val="minor"/>
          </rPr>
          <t>Descripción calculada automáticamente a partir de código del artículo</t>
        </r>
      </text>
    </comment>
    <comment ref="C4140" authorId="1" shapeId="0" xr:uid="{00000000-0006-0000-0100-00000B0F0000}">
      <text>
        <r>
          <rPr>
            <sz val="11"/>
            <color theme="1"/>
            <rFont val="Calibri"/>
            <family val="2"/>
            <scheme val="minor"/>
          </rPr>
          <t>Seleccione un valor de la lista</t>
        </r>
      </text>
    </comment>
    <comment ref="D4140" authorId="1" shapeId="0" xr:uid="{00000000-0006-0000-0100-00000C0F0000}">
      <text>
        <r>
          <rPr>
            <sz val="11"/>
            <color theme="1"/>
            <rFont val="Calibri"/>
            <family val="2"/>
            <scheme val="minor"/>
          </rPr>
          <t>Introduzca un número con dos decimales como máximo. Debe ser igual o mayor a la "Cantidad Real Consumida"</t>
        </r>
      </text>
    </comment>
    <comment ref="E4140" authorId="1" shapeId="0" xr:uid="{00000000-0006-0000-0100-00000D0F0000}">
      <text>
        <r>
          <rPr>
            <sz val="11"/>
            <color theme="1"/>
            <rFont val="Calibri"/>
            <family val="2"/>
            <scheme val="minor"/>
          </rPr>
          <t>Introduzca un número con dos decimales como máximo</t>
        </r>
      </text>
    </comment>
    <comment ref="F4140" authorId="1" shapeId="0" xr:uid="{00000000-0006-0000-0100-00000E0F0000}">
      <text>
        <r>
          <rPr>
            <sz val="11"/>
            <color theme="1"/>
            <rFont val="Calibri"/>
            <family val="2"/>
            <scheme val="minor"/>
          </rPr>
          <t>Monto calculado automáticamente por el sistema</t>
        </r>
      </text>
    </comment>
    <comment ref="A4145" authorId="1" shapeId="0" xr:uid="{00000000-0006-0000-0100-00000F0F0000}">
      <text>
        <r>
          <rPr>
            <sz val="11"/>
            <color theme="1"/>
            <rFont val="Calibri"/>
            <family val="2"/>
            <scheme val="minor"/>
          </rPr>
          <t>Introducir un texto con el nombre o referencia de la contratación</t>
        </r>
      </text>
    </comment>
    <comment ref="B4145" authorId="1" shapeId="0" xr:uid="{00000000-0006-0000-0100-0000100F0000}">
      <text>
        <r>
          <rPr>
            <sz val="11"/>
            <color theme="1"/>
            <rFont val="Calibri"/>
            <family val="2"/>
            <scheme val="minor"/>
          </rPr>
          <t>Introduzca un texto con la finalidad de la contratación</t>
        </r>
      </text>
    </comment>
    <comment ref="C4145" authorId="1" shapeId="0" xr:uid="{00000000-0006-0000-0100-0000110F0000}">
      <text>
        <r>
          <rPr>
            <sz val="11"/>
            <color theme="1"/>
            <rFont val="Calibri"/>
            <family val="2"/>
            <scheme val="minor"/>
          </rPr>
          <t>Seleccionar un valor del listado</t>
        </r>
      </text>
    </comment>
    <comment ref="D4145" authorId="1" shapeId="0" xr:uid="{00000000-0006-0000-0100-0000120F0000}">
      <text>
        <r>
          <rPr>
            <sz val="11"/>
            <color theme="1"/>
            <rFont val="Calibri"/>
            <family val="2"/>
            <scheme val="minor"/>
          </rPr>
          <t>Seleccione el tipo de procedimiento</t>
        </r>
      </text>
    </comment>
    <comment ref="E4145" authorId="1" shapeId="0" xr:uid="{00000000-0006-0000-0100-0000130F0000}">
      <text>
        <r>
          <rPr>
            <sz val="11"/>
            <color theme="1"/>
            <rFont val="Calibri"/>
            <family val="2"/>
            <scheme val="minor"/>
          </rPr>
          <t>Seleccione un valor de la lista</t>
        </r>
      </text>
    </comment>
    <comment ref="F4145" authorId="1" shapeId="0" xr:uid="{00000000-0006-0000-0100-0000140F0000}">
      <text>
        <r>
          <rPr>
            <sz val="11"/>
            <color theme="1"/>
            <rFont val="Calibri"/>
            <family val="2"/>
            <scheme val="minor"/>
          </rPr>
          <t>Introduzca el código SNIP</t>
        </r>
      </text>
    </comment>
    <comment ref="C4146" authorId="1" shapeId="0" xr:uid="{00000000-0006-0000-0100-0000150F0000}">
      <text>
        <r>
          <rPr>
            <sz val="11"/>
            <color theme="1"/>
            <rFont val="Calibri"/>
            <family val="2"/>
            <scheme val="minor"/>
          </rPr>
          <t>Introduzca la fecha de inicio del proceso, en formato dd-mm-aaaa</t>
        </r>
      </text>
    </comment>
    <comment ref="F4146" authorId="1" shapeId="0" xr:uid="{00000000-0006-0000-0100-000017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47" authorId="1" shapeId="0" xr:uid="{00000000-0006-0000-0100-0000180F0000}">
      <text/>
    </comment>
    <comment ref="C4148" authorId="1" shapeId="0" xr:uid="{00000000-0006-0000-0100-0000160F0000}">
      <text>
        <r>
          <rPr>
            <sz val="11"/>
            <color theme="1"/>
            <rFont val="Calibri"/>
            <family val="2"/>
            <scheme val="minor"/>
          </rPr>
          <t>Introduzca la fecha prevista de adjudicación, en formato dd-mm-aaaa</t>
        </r>
      </text>
    </comment>
    <comment ref="F4148" authorId="1" shapeId="0" xr:uid="{00000000-0006-0000-0100-0000190F0000}">
      <text/>
    </comment>
    <comment ref="F4149" authorId="1" shapeId="0" xr:uid="{00000000-0006-0000-0100-00001A0F0000}">
      <text/>
    </comment>
    <comment ref="A4151" authorId="1" shapeId="0" xr:uid="{00000000-0006-0000-0100-00001B0F0000}">
      <text>
        <r>
          <rPr>
            <sz val="11"/>
            <color theme="1"/>
            <rFont val="Calibri"/>
            <family val="2"/>
            <scheme val="minor"/>
          </rPr>
          <t>Introduzca un codigo UNSPSC</t>
        </r>
      </text>
    </comment>
    <comment ref="B4151" authorId="1" shapeId="0" xr:uid="{00000000-0006-0000-0100-00001C0F0000}">
      <text>
        <r>
          <rPr>
            <sz val="11"/>
            <color theme="1"/>
            <rFont val="Calibri"/>
            <family val="2"/>
            <scheme val="minor"/>
          </rPr>
          <t>Descripción calculada automáticamente a partir de código del artículo</t>
        </r>
      </text>
    </comment>
    <comment ref="C4151" authorId="1" shapeId="0" xr:uid="{00000000-0006-0000-0100-00001D0F0000}">
      <text>
        <r>
          <rPr>
            <sz val="11"/>
            <color theme="1"/>
            <rFont val="Calibri"/>
            <family val="2"/>
            <scheme val="minor"/>
          </rPr>
          <t>Seleccione un valor de la lista</t>
        </r>
      </text>
    </comment>
    <comment ref="D4151" authorId="1" shapeId="0" xr:uid="{00000000-0006-0000-0100-00001E0F0000}">
      <text>
        <r>
          <rPr>
            <sz val="11"/>
            <color theme="1"/>
            <rFont val="Calibri"/>
            <family val="2"/>
            <scheme val="minor"/>
          </rPr>
          <t>Introduzca un número con dos decimales como máximo. Debe ser igual o mayor a la "Cantidad Real Consumida"</t>
        </r>
      </text>
    </comment>
    <comment ref="E4151" authorId="1" shapeId="0" xr:uid="{00000000-0006-0000-0100-00001F0F0000}">
      <text>
        <r>
          <rPr>
            <sz val="11"/>
            <color theme="1"/>
            <rFont val="Calibri"/>
            <family val="2"/>
            <scheme val="minor"/>
          </rPr>
          <t>Introduzca un número con dos decimales como máximo</t>
        </r>
      </text>
    </comment>
    <comment ref="F4151" authorId="1" shapeId="0" xr:uid="{00000000-0006-0000-0100-0000200F0000}">
      <text>
        <r>
          <rPr>
            <sz val="11"/>
            <color theme="1"/>
            <rFont val="Calibri"/>
            <family val="2"/>
            <scheme val="minor"/>
          </rPr>
          <t>Monto calculado automáticamente por el sistema</t>
        </r>
      </text>
    </comment>
    <comment ref="A4205" authorId="1" shapeId="0" xr:uid="{00000000-0006-0000-0100-0000210F0000}">
      <text>
        <r>
          <rPr>
            <sz val="11"/>
            <color theme="1"/>
            <rFont val="Calibri"/>
            <family val="2"/>
            <scheme val="minor"/>
          </rPr>
          <t>Introducir un texto con el nombre o referencia de la contratación</t>
        </r>
      </text>
    </comment>
    <comment ref="B4205" authorId="1" shapeId="0" xr:uid="{00000000-0006-0000-0100-0000220F0000}">
      <text>
        <r>
          <rPr>
            <sz val="11"/>
            <color theme="1"/>
            <rFont val="Calibri"/>
            <family val="2"/>
            <scheme val="minor"/>
          </rPr>
          <t>Introduzca un texto con la finalidad de la contratación</t>
        </r>
      </text>
    </comment>
    <comment ref="C4205" authorId="1" shapeId="0" xr:uid="{00000000-0006-0000-0100-0000230F0000}">
      <text>
        <r>
          <rPr>
            <sz val="11"/>
            <color theme="1"/>
            <rFont val="Calibri"/>
            <family val="2"/>
            <scheme val="minor"/>
          </rPr>
          <t>Seleccionar un valor del listado</t>
        </r>
      </text>
    </comment>
    <comment ref="D4205" authorId="1" shapeId="0" xr:uid="{00000000-0006-0000-0100-0000240F0000}">
      <text>
        <r>
          <rPr>
            <sz val="11"/>
            <color theme="1"/>
            <rFont val="Calibri"/>
            <family val="2"/>
            <scheme val="minor"/>
          </rPr>
          <t>Seleccione el tipo de procedimiento</t>
        </r>
      </text>
    </comment>
    <comment ref="E4205" authorId="1" shapeId="0" xr:uid="{00000000-0006-0000-0100-0000250F0000}">
      <text>
        <r>
          <rPr>
            <sz val="11"/>
            <color theme="1"/>
            <rFont val="Calibri"/>
            <family val="2"/>
            <scheme val="minor"/>
          </rPr>
          <t>Seleccione un valor de la lista</t>
        </r>
      </text>
    </comment>
    <comment ref="F4205" authorId="1" shapeId="0" xr:uid="{00000000-0006-0000-0100-0000260F0000}">
      <text>
        <r>
          <rPr>
            <sz val="11"/>
            <color theme="1"/>
            <rFont val="Calibri"/>
            <family val="2"/>
            <scheme val="minor"/>
          </rPr>
          <t>Introduzca el código SNIP</t>
        </r>
      </text>
    </comment>
    <comment ref="C4206" authorId="1" shapeId="0" xr:uid="{00000000-0006-0000-0100-0000270F0000}">
      <text>
        <r>
          <rPr>
            <sz val="11"/>
            <color theme="1"/>
            <rFont val="Calibri"/>
            <family val="2"/>
            <scheme val="minor"/>
          </rPr>
          <t>Introduzca la fecha de inicio del proceso, en formato dd-mm-aaaa</t>
        </r>
      </text>
    </comment>
    <comment ref="F4206" authorId="1" shapeId="0" xr:uid="{00000000-0006-0000-0100-000029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07" authorId="1" shapeId="0" xr:uid="{00000000-0006-0000-0100-00002A0F0000}">
      <text/>
    </comment>
    <comment ref="C4208" authorId="1" shapeId="0" xr:uid="{00000000-0006-0000-0100-0000280F0000}">
      <text>
        <r>
          <rPr>
            <sz val="11"/>
            <color theme="1"/>
            <rFont val="Calibri"/>
            <family val="2"/>
            <scheme val="minor"/>
          </rPr>
          <t>Introduzca la fecha prevista de adjudicación, en formato dd-mm-aaaa</t>
        </r>
      </text>
    </comment>
    <comment ref="F4208" authorId="1" shapeId="0" xr:uid="{00000000-0006-0000-0100-00002B0F0000}">
      <text/>
    </comment>
    <comment ref="F4209" authorId="1" shapeId="0" xr:uid="{00000000-0006-0000-0100-00002C0F0000}">
      <text/>
    </comment>
    <comment ref="A4211" authorId="1" shapeId="0" xr:uid="{00000000-0006-0000-0100-00002D0F0000}">
      <text>
        <r>
          <rPr>
            <sz val="11"/>
            <color theme="1"/>
            <rFont val="Calibri"/>
            <family val="2"/>
            <scheme val="minor"/>
          </rPr>
          <t>Introduzca un codigo UNSPSC</t>
        </r>
      </text>
    </comment>
    <comment ref="B4211" authorId="1" shapeId="0" xr:uid="{00000000-0006-0000-0100-00002E0F0000}">
      <text>
        <r>
          <rPr>
            <sz val="11"/>
            <color theme="1"/>
            <rFont val="Calibri"/>
            <family val="2"/>
            <scheme val="minor"/>
          </rPr>
          <t>Descripción calculada automáticamente a partir de código del artículo</t>
        </r>
      </text>
    </comment>
    <comment ref="C4211" authorId="1" shapeId="0" xr:uid="{00000000-0006-0000-0100-00002F0F0000}">
      <text>
        <r>
          <rPr>
            <sz val="11"/>
            <color theme="1"/>
            <rFont val="Calibri"/>
            <family val="2"/>
            <scheme val="minor"/>
          </rPr>
          <t>Seleccione un valor de la lista</t>
        </r>
      </text>
    </comment>
    <comment ref="D4211" authorId="1" shapeId="0" xr:uid="{00000000-0006-0000-0100-0000300F0000}">
      <text>
        <r>
          <rPr>
            <sz val="11"/>
            <color theme="1"/>
            <rFont val="Calibri"/>
            <family val="2"/>
            <scheme val="minor"/>
          </rPr>
          <t>Introduzca un número con dos decimales como máximo. Debe ser igual o mayor a la "Cantidad Real Consumida"</t>
        </r>
      </text>
    </comment>
    <comment ref="E4211" authorId="1" shapeId="0" xr:uid="{00000000-0006-0000-0100-0000310F0000}">
      <text>
        <r>
          <rPr>
            <sz val="11"/>
            <color theme="1"/>
            <rFont val="Calibri"/>
            <family val="2"/>
            <scheme val="minor"/>
          </rPr>
          <t>Introduzca un número con dos decimales como máximo</t>
        </r>
      </text>
    </comment>
    <comment ref="F4211" authorId="1" shapeId="0" xr:uid="{00000000-0006-0000-0100-0000320F0000}">
      <text>
        <r>
          <rPr>
            <sz val="11"/>
            <color theme="1"/>
            <rFont val="Calibri"/>
            <family val="2"/>
            <scheme val="minor"/>
          </rPr>
          <t>Monto calculado automáticamente por el sistema</t>
        </r>
      </text>
    </comment>
    <comment ref="A4217" authorId="1" shapeId="0" xr:uid="{00000000-0006-0000-0100-0000330F0000}">
      <text>
        <r>
          <rPr>
            <sz val="11"/>
            <color theme="1"/>
            <rFont val="Calibri"/>
            <family val="2"/>
            <scheme val="minor"/>
          </rPr>
          <t>Introducir un texto con el nombre o referencia de la contratación</t>
        </r>
      </text>
    </comment>
    <comment ref="B4217" authorId="1" shapeId="0" xr:uid="{00000000-0006-0000-0100-0000340F0000}">
      <text>
        <r>
          <rPr>
            <sz val="11"/>
            <color theme="1"/>
            <rFont val="Calibri"/>
            <family val="2"/>
            <scheme val="minor"/>
          </rPr>
          <t>Introduzca un texto con la finalidad de la contratación</t>
        </r>
      </text>
    </comment>
    <comment ref="C4217" authorId="1" shapeId="0" xr:uid="{00000000-0006-0000-0100-0000350F0000}">
      <text>
        <r>
          <rPr>
            <sz val="11"/>
            <color theme="1"/>
            <rFont val="Calibri"/>
            <family val="2"/>
            <scheme val="minor"/>
          </rPr>
          <t>Seleccionar un valor del listado</t>
        </r>
      </text>
    </comment>
    <comment ref="D4217" authorId="1" shapeId="0" xr:uid="{00000000-0006-0000-0100-0000360F0000}">
      <text>
        <r>
          <rPr>
            <sz val="11"/>
            <color theme="1"/>
            <rFont val="Calibri"/>
            <family val="2"/>
            <scheme val="minor"/>
          </rPr>
          <t>Seleccione el tipo de procedimiento</t>
        </r>
      </text>
    </comment>
    <comment ref="E4217" authorId="1" shapeId="0" xr:uid="{00000000-0006-0000-0100-0000370F0000}">
      <text>
        <r>
          <rPr>
            <sz val="11"/>
            <color theme="1"/>
            <rFont val="Calibri"/>
            <family val="2"/>
            <scheme val="minor"/>
          </rPr>
          <t>Seleccione un valor de la lista</t>
        </r>
      </text>
    </comment>
    <comment ref="F4217" authorId="1" shapeId="0" xr:uid="{00000000-0006-0000-0100-0000380F0000}">
      <text>
        <r>
          <rPr>
            <sz val="11"/>
            <color theme="1"/>
            <rFont val="Calibri"/>
            <family val="2"/>
            <scheme val="minor"/>
          </rPr>
          <t>Introduzca el código SNIP</t>
        </r>
      </text>
    </comment>
    <comment ref="C4218" authorId="1" shapeId="0" xr:uid="{00000000-0006-0000-0100-0000390F0000}">
      <text>
        <r>
          <rPr>
            <sz val="11"/>
            <color theme="1"/>
            <rFont val="Calibri"/>
            <family val="2"/>
            <scheme val="minor"/>
          </rPr>
          <t>Introduzca la fecha de inicio del proceso, en formato dd-mm-aaaa</t>
        </r>
      </text>
    </comment>
    <comment ref="F4218" authorId="1" shapeId="0" xr:uid="{00000000-0006-0000-0100-00003B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19" authorId="1" shapeId="0" xr:uid="{00000000-0006-0000-0100-00003C0F0000}">
      <text/>
    </comment>
    <comment ref="C4220" authorId="1" shapeId="0" xr:uid="{00000000-0006-0000-0100-00003A0F0000}">
      <text>
        <r>
          <rPr>
            <sz val="11"/>
            <color theme="1"/>
            <rFont val="Calibri"/>
            <family val="2"/>
            <scheme val="minor"/>
          </rPr>
          <t>Introduzca la fecha prevista de adjudicación, en formato dd-mm-aaaa</t>
        </r>
      </text>
    </comment>
    <comment ref="F4220" authorId="1" shapeId="0" xr:uid="{00000000-0006-0000-0100-00003D0F0000}">
      <text/>
    </comment>
    <comment ref="F4221" authorId="1" shapeId="0" xr:uid="{00000000-0006-0000-0100-00003E0F0000}">
      <text/>
    </comment>
    <comment ref="A4223" authorId="1" shapeId="0" xr:uid="{00000000-0006-0000-0100-00003F0F0000}">
      <text>
        <r>
          <rPr>
            <sz val="11"/>
            <color theme="1"/>
            <rFont val="Calibri"/>
            <family val="2"/>
            <scheme val="minor"/>
          </rPr>
          <t>Introduzca un codigo UNSPSC</t>
        </r>
      </text>
    </comment>
    <comment ref="B4223" authorId="1" shapeId="0" xr:uid="{00000000-0006-0000-0100-0000400F0000}">
      <text>
        <r>
          <rPr>
            <sz val="11"/>
            <color theme="1"/>
            <rFont val="Calibri"/>
            <family val="2"/>
            <scheme val="minor"/>
          </rPr>
          <t>Descripción calculada automáticamente a partir de código del artículo</t>
        </r>
      </text>
    </comment>
    <comment ref="C4223" authorId="1" shapeId="0" xr:uid="{00000000-0006-0000-0100-0000410F0000}">
      <text>
        <r>
          <rPr>
            <sz val="11"/>
            <color theme="1"/>
            <rFont val="Calibri"/>
            <family val="2"/>
            <scheme val="minor"/>
          </rPr>
          <t>Seleccione un valor de la lista</t>
        </r>
      </text>
    </comment>
    <comment ref="D4223" authorId="1" shapeId="0" xr:uid="{00000000-0006-0000-0100-0000420F0000}">
      <text>
        <r>
          <rPr>
            <sz val="11"/>
            <color theme="1"/>
            <rFont val="Calibri"/>
            <family val="2"/>
            <scheme val="minor"/>
          </rPr>
          <t>Introduzca un número con dos decimales como máximo. Debe ser igual o mayor a la "Cantidad Real Consumida"</t>
        </r>
      </text>
    </comment>
    <comment ref="E4223" authorId="1" shapeId="0" xr:uid="{00000000-0006-0000-0100-0000430F0000}">
      <text>
        <r>
          <rPr>
            <sz val="11"/>
            <color theme="1"/>
            <rFont val="Calibri"/>
            <family val="2"/>
            <scheme val="minor"/>
          </rPr>
          <t>Introduzca un número con dos decimales como máximo</t>
        </r>
      </text>
    </comment>
    <comment ref="F4223" authorId="1" shapeId="0" xr:uid="{00000000-0006-0000-0100-0000440F0000}">
      <text>
        <r>
          <rPr>
            <sz val="11"/>
            <color theme="1"/>
            <rFont val="Calibri"/>
            <family val="2"/>
            <scheme val="minor"/>
          </rPr>
          <t>Monto calculado automáticamente por el sistema</t>
        </r>
      </text>
    </comment>
    <comment ref="A4229" authorId="1" shapeId="0" xr:uid="{00000000-0006-0000-0100-0000450F0000}">
      <text>
        <r>
          <rPr>
            <sz val="11"/>
            <color theme="1"/>
            <rFont val="Calibri"/>
            <family val="2"/>
            <scheme val="minor"/>
          </rPr>
          <t>Introducir un texto con el nombre o referencia de la contratación</t>
        </r>
      </text>
    </comment>
    <comment ref="B4229" authorId="1" shapeId="0" xr:uid="{00000000-0006-0000-0100-0000460F0000}">
      <text>
        <r>
          <rPr>
            <sz val="11"/>
            <color theme="1"/>
            <rFont val="Calibri"/>
            <family val="2"/>
            <scheme val="minor"/>
          </rPr>
          <t>Introduzca un texto con la finalidad de la contratación</t>
        </r>
      </text>
    </comment>
    <comment ref="C4229" authorId="1" shapeId="0" xr:uid="{00000000-0006-0000-0100-0000470F0000}">
      <text>
        <r>
          <rPr>
            <sz val="11"/>
            <color theme="1"/>
            <rFont val="Calibri"/>
            <family val="2"/>
            <scheme val="minor"/>
          </rPr>
          <t>Seleccionar un valor del listado</t>
        </r>
      </text>
    </comment>
    <comment ref="D4229" authorId="1" shapeId="0" xr:uid="{00000000-0006-0000-0100-0000480F0000}">
      <text>
        <r>
          <rPr>
            <sz val="11"/>
            <color theme="1"/>
            <rFont val="Calibri"/>
            <family val="2"/>
            <scheme val="minor"/>
          </rPr>
          <t>Seleccione el tipo de procedimiento</t>
        </r>
      </text>
    </comment>
    <comment ref="E4229" authorId="1" shapeId="0" xr:uid="{00000000-0006-0000-0100-0000490F0000}">
      <text>
        <r>
          <rPr>
            <sz val="11"/>
            <color theme="1"/>
            <rFont val="Calibri"/>
            <family val="2"/>
            <scheme val="minor"/>
          </rPr>
          <t>Seleccione un valor de la lista</t>
        </r>
      </text>
    </comment>
    <comment ref="F4229" authorId="1" shapeId="0" xr:uid="{00000000-0006-0000-0100-00004A0F0000}">
      <text>
        <r>
          <rPr>
            <sz val="11"/>
            <color theme="1"/>
            <rFont val="Calibri"/>
            <family val="2"/>
            <scheme val="minor"/>
          </rPr>
          <t>Introduzca el código SNIP</t>
        </r>
      </text>
    </comment>
    <comment ref="C4230" authorId="1" shapeId="0" xr:uid="{00000000-0006-0000-0100-00004B0F0000}">
      <text>
        <r>
          <rPr>
            <sz val="11"/>
            <color theme="1"/>
            <rFont val="Calibri"/>
            <family val="2"/>
            <scheme val="minor"/>
          </rPr>
          <t>Introduzca la fecha de inicio del proceso, en formato dd-mm-aaaa</t>
        </r>
      </text>
    </comment>
    <comment ref="F4230" authorId="1" shapeId="0" xr:uid="{00000000-0006-0000-0100-00004D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31" authorId="1" shapeId="0" xr:uid="{00000000-0006-0000-0100-00004E0F0000}">
      <text/>
    </comment>
    <comment ref="C4232" authorId="1" shapeId="0" xr:uid="{00000000-0006-0000-0100-00004C0F0000}">
      <text>
        <r>
          <rPr>
            <sz val="11"/>
            <color theme="1"/>
            <rFont val="Calibri"/>
            <family val="2"/>
            <scheme val="minor"/>
          </rPr>
          <t>Introduzca la fecha prevista de adjudicación, en formato dd-mm-aaaa</t>
        </r>
      </text>
    </comment>
    <comment ref="F4232" authorId="1" shapeId="0" xr:uid="{00000000-0006-0000-0100-00004F0F0000}">
      <text/>
    </comment>
    <comment ref="F4233" authorId="1" shapeId="0" xr:uid="{00000000-0006-0000-0100-0000500F0000}">
      <text/>
    </comment>
    <comment ref="A4235" authorId="1" shapeId="0" xr:uid="{00000000-0006-0000-0100-0000510F0000}">
      <text>
        <r>
          <rPr>
            <sz val="11"/>
            <color theme="1"/>
            <rFont val="Calibri"/>
            <family val="2"/>
            <scheme val="minor"/>
          </rPr>
          <t>Introduzca un codigo UNSPSC</t>
        </r>
      </text>
    </comment>
    <comment ref="B4235" authorId="1" shapeId="0" xr:uid="{00000000-0006-0000-0100-0000520F0000}">
      <text>
        <r>
          <rPr>
            <sz val="11"/>
            <color theme="1"/>
            <rFont val="Calibri"/>
            <family val="2"/>
            <scheme val="minor"/>
          </rPr>
          <t>Descripción calculada automáticamente a partir de código del artículo</t>
        </r>
      </text>
    </comment>
    <comment ref="C4235" authorId="1" shapeId="0" xr:uid="{00000000-0006-0000-0100-0000530F0000}">
      <text>
        <r>
          <rPr>
            <sz val="11"/>
            <color theme="1"/>
            <rFont val="Calibri"/>
            <family val="2"/>
            <scheme val="minor"/>
          </rPr>
          <t>Seleccione un valor de la lista</t>
        </r>
      </text>
    </comment>
    <comment ref="D4235" authorId="1" shapeId="0" xr:uid="{00000000-0006-0000-0100-0000540F0000}">
      <text>
        <r>
          <rPr>
            <sz val="11"/>
            <color theme="1"/>
            <rFont val="Calibri"/>
            <family val="2"/>
            <scheme val="minor"/>
          </rPr>
          <t>Introduzca un número con dos decimales como máximo. Debe ser igual o mayor a la "Cantidad Real Consumida"</t>
        </r>
      </text>
    </comment>
    <comment ref="E4235" authorId="1" shapeId="0" xr:uid="{00000000-0006-0000-0100-0000550F0000}">
      <text>
        <r>
          <rPr>
            <sz val="11"/>
            <color theme="1"/>
            <rFont val="Calibri"/>
            <family val="2"/>
            <scheme val="minor"/>
          </rPr>
          <t>Introduzca un número con dos decimales como máximo</t>
        </r>
      </text>
    </comment>
    <comment ref="F4235" authorId="1" shapeId="0" xr:uid="{00000000-0006-0000-0100-0000560F0000}">
      <text>
        <r>
          <rPr>
            <sz val="11"/>
            <color theme="1"/>
            <rFont val="Calibri"/>
            <family val="2"/>
            <scheme val="minor"/>
          </rPr>
          <t>Monto calculado automáticamente por el sistema</t>
        </r>
      </text>
    </comment>
    <comment ref="A4240" authorId="1" shapeId="0" xr:uid="{00000000-0006-0000-0100-0000570F0000}">
      <text>
        <r>
          <rPr>
            <sz val="11"/>
            <color theme="1"/>
            <rFont val="Calibri"/>
            <family val="2"/>
            <scheme val="minor"/>
          </rPr>
          <t>Introducir un texto con el nombre o referencia de la contratación</t>
        </r>
      </text>
    </comment>
    <comment ref="B4240" authorId="1" shapeId="0" xr:uid="{00000000-0006-0000-0100-0000580F0000}">
      <text>
        <r>
          <rPr>
            <sz val="11"/>
            <color theme="1"/>
            <rFont val="Calibri"/>
            <family val="2"/>
            <scheme val="minor"/>
          </rPr>
          <t>Introduzca un texto con la finalidad de la contratación</t>
        </r>
      </text>
    </comment>
    <comment ref="C4240" authorId="1" shapeId="0" xr:uid="{00000000-0006-0000-0100-0000590F0000}">
      <text>
        <r>
          <rPr>
            <sz val="11"/>
            <color theme="1"/>
            <rFont val="Calibri"/>
            <family val="2"/>
            <scheme val="minor"/>
          </rPr>
          <t>Seleccionar un valor del listado</t>
        </r>
      </text>
    </comment>
    <comment ref="D4240" authorId="1" shapeId="0" xr:uid="{00000000-0006-0000-0100-00005A0F0000}">
      <text>
        <r>
          <rPr>
            <sz val="11"/>
            <color theme="1"/>
            <rFont val="Calibri"/>
            <family val="2"/>
            <scheme val="minor"/>
          </rPr>
          <t>Seleccione el tipo de procedimiento</t>
        </r>
      </text>
    </comment>
    <comment ref="E4240" authorId="1" shapeId="0" xr:uid="{00000000-0006-0000-0100-00005B0F0000}">
      <text>
        <r>
          <rPr>
            <sz val="11"/>
            <color theme="1"/>
            <rFont val="Calibri"/>
            <family val="2"/>
            <scheme val="minor"/>
          </rPr>
          <t>Seleccione un valor de la lista</t>
        </r>
      </text>
    </comment>
    <comment ref="F4240" authorId="1" shapeId="0" xr:uid="{00000000-0006-0000-0100-00005C0F0000}">
      <text>
        <r>
          <rPr>
            <sz val="11"/>
            <color theme="1"/>
            <rFont val="Calibri"/>
            <family val="2"/>
            <scheme val="minor"/>
          </rPr>
          <t>Introduzca el código SNIP</t>
        </r>
      </text>
    </comment>
    <comment ref="C4241" authorId="1" shapeId="0" xr:uid="{00000000-0006-0000-0100-00005D0F0000}">
      <text>
        <r>
          <rPr>
            <sz val="11"/>
            <color theme="1"/>
            <rFont val="Calibri"/>
            <family val="2"/>
            <scheme val="minor"/>
          </rPr>
          <t>Introduzca la fecha de inicio del proceso, en formato dd-mm-aaaa</t>
        </r>
      </text>
    </comment>
    <comment ref="F4241" authorId="1" shapeId="0" xr:uid="{00000000-0006-0000-0100-00005F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42" authorId="1" shapeId="0" xr:uid="{00000000-0006-0000-0100-0000600F0000}">
      <text/>
    </comment>
    <comment ref="C4243" authorId="1" shapeId="0" xr:uid="{00000000-0006-0000-0100-00005E0F0000}">
      <text>
        <r>
          <rPr>
            <sz val="11"/>
            <color theme="1"/>
            <rFont val="Calibri"/>
            <family val="2"/>
            <scheme val="minor"/>
          </rPr>
          <t>Introduzca la fecha prevista de adjudicación, en formato dd-mm-aaaa</t>
        </r>
      </text>
    </comment>
    <comment ref="F4243" authorId="1" shapeId="0" xr:uid="{00000000-0006-0000-0100-0000610F0000}">
      <text/>
    </comment>
    <comment ref="F4244" authorId="1" shapeId="0" xr:uid="{00000000-0006-0000-0100-0000620F0000}">
      <text/>
    </comment>
    <comment ref="A4246" authorId="1" shapeId="0" xr:uid="{00000000-0006-0000-0100-0000630F0000}">
      <text>
        <r>
          <rPr>
            <sz val="11"/>
            <color theme="1"/>
            <rFont val="Calibri"/>
            <family val="2"/>
            <scheme val="minor"/>
          </rPr>
          <t>Introduzca un codigo UNSPSC</t>
        </r>
      </text>
    </comment>
    <comment ref="B4246" authorId="1" shapeId="0" xr:uid="{00000000-0006-0000-0100-0000640F0000}">
      <text>
        <r>
          <rPr>
            <sz val="11"/>
            <color theme="1"/>
            <rFont val="Calibri"/>
            <family val="2"/>
            <scheme val="minor"/>
          </rPr>
          <t>Descripción calculada automáticamente a partir de código del artículo</t>
        </r>
      </text>
    </comment>
    <comment ref="C4246" authorId="1" shapeId="0" xr:uid="{00000000-0006-0000-0100-0000650F0000}">
      <text>
        <r>
          <rPr>
            <sz val="11"/>
            <color theme="1"/>
            <rFont val="Calibri"/>
            <family val="2"/>
            <scheme val="minor"/>
          </rPr>
          <t>Seleccione un valor de la lista</t>
        </r>
      </text>
    </comment>
    <comment ref="D4246" authorId="1" shapeId="0" xr:uid="{00000000-0006-0000-0100-0000660F0000}">
      <text>
        <r>
          <rPr>
            <sz val="11"/>
            <color theme="1"/>
            <rFont val="Calibri"/>
            <family val="2"/>
            <scheme val="minor"/>
          </rPr>
          <t>Introduzca un número con dos decimales como máximo. Debe ser igual o mayor a la "Cantidad Real Consumida"</t>
        </r>
      </text>
    </comment>
    <comment ref="E4246" authorId="1" shapeId="0" xr:uid="{00000000-0006-0000-0100-0000670F0000}">
      <text>
        <r>
          <rPr>
            <sz val="11"/>
            <color theme="1"/>
            <rFont val="Calibri"/>
            <family val="2"/>
            <scheme val="minor"/>
          </rPr>
          <t>Introduzca un número con dos decimales como máximo</t>
        </r>
      </text>
    </comment>
    <comment ref="F4246" authorId="1" shapeId="0" xr:uid="{00000000-0006-0000-0100-0000680F0000}">
      <text>
        <r>
          <rPr>
            <sz val="11"/>
            <color theme="1"/>
            <rFont val="Calibri"/>
            <family val="2"/>
            <scheme val="minor"/>
          </rPr>
          <t>Monto calculado automáticamente por el sistema</t>
        </r>
      </text>
    </comment>
    <comment ref="A4251" authorId="1" shapeId="0" xr:uid="{00000000-0006-0000-0100-0000690F0000}">
      <text>
        <r>
          <rPr>
            <sz val="11"/>
            <color theme="1"/>
            <rFont val="Calibri"/>
            <family val="2"/>
            <scheme val="minor"/>
          </rPr>
          <t>Introducir un texto con el nombre o referencia de la contratación</t>
        </r>
      </text>
    </comment>
    <comment ref="B4251" authorId="1" shapeId="0" xr:uid="{00000000-0006-0000-0100-00006A0F0000}">
      <text>
        <r>
          <rPr>
            <sz val="11"/>
            <color theme="1"/>
            <rFont val="Calibri"/>
            <family val="2"/>
            <scheme val="minor"/>
          </rPr>
          <t>Introduzca un texto con la finalidad de la contratación</t>
        </r>
      </text>
    </comment>
    <comment ref="C4251" authorId="1" shapeId="0" xr:uid="{00000000-0006-0000-0100-00006B0F0000}">
      <text>
        <r>
          <rPr>
            <sz val="11"/>
            <color theme="1"/>
            <rFont val="Calibri"/>
            <family val="2"/>
            <scheme val="minor"/>
          </rPr>
          <t>Seleccionar un valor del listado</t>
        </r>
      </text>
    </comment>
    <comment ref="D4251" authorId="1" shapeId="0" xr:uid="{00000000-0006-0000-0100-00006C0F0000}">
      <text>
        <r>
          <rPr>
            <sz val="11"/>
            <color theme="1"/>
            <rFont val="Calibri"/>
            <family val="2"/>
            <scheme val="minor"/>
          </rPr>
          <t>Seleccione el tipo de procedimiento</t>
        </r>
      </text>
    </comment>
    <comment ref="E4251" authorId="1" shapeId="0" xr:uid="{00000000-0006-0000-0100-00006D0F0000}">
      <text>
        <r>
          <rPr>
            <sz val="11"/>
            <color theme="1"/>
            <rFont val="Calibri"/>
            <family val="2"/>
            <scheme val="minor"/>
          </rPr>
          <t>Seleccione un valor de la lista</t>
        </r>
      </text>
    </comment>
    <comment ref="F4251" authorId="1" shapeId="0" xr:uid="{00000000-0006-0000-0100-00006E0F0000}">
      <text>
        <r>
          <rPr>
            <sz val="11"/>
            <color theme="1"/>
            <rFont val="Calibri"/>
            <family val="2"/>
            <scheme val="minor"/>
          </rPr>
          <t>Introduzca el código SNIP</t>
        </r>
      </text>
    </comment>
    <comment ref="C4252" authorId="1" shapeId="0" xr:uid="{00000000-0006-0000-0100-00006F0F0000}">
      <text>
        <r>
          <rPr>
            <sz val="11"/>
            <color theme="1"/>
            <rFont val="Calibri"/>
            <family val="2"/>
            <scheme val="minor"/>
          </rPr>
          <t>Introduzca la fecha de inicio del proceso, en formato dd-mm-aaaa</t>
        </r>
      </text>
    </comment>
    <comment ref="F4252" authorId="1" shapeId="0" xr:uid="{00000000-0006-0000-0100-000071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53" authorId="1" shapeId="0" xr:uid="{00000000-0006-0000-0100-0000720F0000}">
      <text/>
    </comment>
    <comment ref="C4254" authorId="1" shapeId="0" xr:uid="{00000000-0006-0000-0100-0000700F0000}">
      <text>
        <r>
          <rPr>
            <sz val="11"/>
            <color theme="1"/>
            <rFont val="Calibri"/>
            <family val="2"/>
            <scheme val="minor"/>
          </rPr>
          <t>Introduzca la fecha prevista de adjudicación, en formato dd-mm-aaaa</t>
        </r>
      </text>
    </comment>
    <comment ref="F4254" authorId="1" shapeId="0" xr:uid="{00000000-0006-0000-0100-0000730F0000}">
      <text/>
    </comment>
    <comment ref="F4255" authorId="1" shapeId="0" xr:uid="{00000000-0006-0000-0100-0000740F0000}">
      <text/>
    </comment>
    <comment ref="A4257" authorId="1" shapeId="0" xr:uid="{00000000-0006-0000-0100-0000750F0000}">
      <text>
        <r>
          <rPr>
            <sz val="11"/>
            <color theme="1"/>
            <rFont val="Calibri"/>
            <family val="2"/>
            <scheme val="minor"/>
          </rPr>
          <t>Introduzca un codigo UNSPSC</t>
        </r>
      </text>
    </comment>
    <comment ref="B4257" authorId="1" shapeId="0" xr:uid="{00000000-0006-0000-0100-0000760F0000}">
      <text>
        <r>
          <rPr>
            <sz val="11"/>
            <color theme="1"/>
            <rFont val="Calibri"/>
            <family val="2"/>
            <scheme val="minor"/>
          </rPr>
          <t>Descripción calculada automáticamente a partir de código del artículo</t>
        </r>
      </text>
    </comment>
    <comment ref="C4257" authorId="1" shapeId="0" xr:uid="{00000000-0006-0000-0100-0000770F0000}">
      <text>
        <r>
          <rPr>
            <sz val="11"/>
            <color theme="1"/>
            <rFont val="Calibri"/>
            <family val="2"/>
            <scheme val="minor"/>
          </rPr>
          <t>Seleccione un valor de la lista</t>
        </r>
      </text>
    </comment>
    <comment ref="D4257" authorId="1" shapeId="0" xr:uid="{00000000-0006-0000-0100-0000780F0000}">
      <text>
        <r>
          <rPr>
            <sz val="11"/>
            <color theme="1"/>
            <rFont val="Calibri"/>
            <family val="2"/>
            <scheme val="minor"/>
          </rPr>
          <t>Introduzca un número con dos decimales como máximo. Debe ser igual o mayor a la "Cantidad Real Consumida"</t>
        </r>
      </text>
    </comment>
    <comment ref="E4257" authorId="1" shapeId="0" xr:uid="{00000000-0006-0000-0100-0000790F0000}">
      <text>
        <r>
          <rPr>
            <sz val="11"/>
            <color theme="1"/>
            <rFont val="Calibri"/>
            <family val="2"/>
            <scheme val="minor"/>
          </rPr>
          <t>Introduzca un número con dos decimales como máximo</t>
        </r>
      </text>
    </comment>
    <comment ref="F4257" authorId="1" shapeId="0" xr:uid="{00000000-0006-0000-0100-00007A0F0000}">
      <text>
        <r>
          <rPr>
            <sz val="11"/>
            <color theme="1"/>
            <rFont val="Calibri"/>
            <family val="2"/>
            <scheme val="minor"/>
          </rPr>
          <t>Monto calculado automáticamente por el sistema</t>
        </r>
      </text>
    </comment>
    <comment ref="A4263" authorId="1" shapeId="0" xr:uid="{00000000-0006-0000-0100-00007B0F0000}">
      <text>
        <r>
          <rPr>
            <sz val="11"/>
            <color theme="1"/>
            <rFont val="Calibri"/>
            <family val="2"/>
            <scheme val="minor"/>
          </rPr>
          <t>Introducir un texto con el nombre o referencia de la contratación</t>
        </r>
      </text>
    </comment>
    <comment ref="B4263" authorId="1" shapeId="0" xr:uid="{00000000-0006-0000-0100-00007C0F0000}">
      <text>
        <r>
          <rPr>
            <sz val="11"/>
            <color theme="1"/>
            <rFont val="Calibri"/>
            <family val="2"/>
            <scheme val="minor"/>
          </rPr>
          <t>Introduzca un texto con la finalidad de la contratación</t>
        </r>
      </text>
    </comment>
    <comment ref="C4263" authorId="1" shapeId="0" xr:uid="{00000000-0006-0000-0100-00007D0F0000}">
      <text>
        <r>
          <rPr>
            <sz val="11"/>
            <color theme="1"/>
            <rFont val="Calibri"/>
            <family val="2"/>
            <scheme val="minor"/>
          </rPr>
          <t>Seleccionar un valor del listado</t>
        </r>
      </text>
    </comment>
    <comment ref="D4263" authorId="1" shapeId="0" xr:uid="{00000000-0006-0000-0100-00007E0F0000}">
      <text>
        <r>
          <rPr>
            <sz val="11"/>
            <color theme="1"/>
            <rFont val="Calibri"/>
            <family val="2"/>
            <scheme val="minor"/>
          </rPr>
          <t>Seleccione el tipo de procedimiento</t>
        </r>
      </text>
    </comment>
    <comment ref="E4263" authorId="1" shapeId="0" xr:uid="{00000000-0006-0000-0100-00007F0F0000}">
      <text>
        <r>
          <rPr>
            <sz val="11"/>
            <color theme="1"/>
            <rFont val="Calibri"/>
            <family val="2"/>
            <scheme val="minor"/>
          </rPr>
          <t>Seleccione un valor de la lista</t>
        </r>
      </text>
    </comment>
    <comment ref="F4263" authorId="1" shapeId="0" xr:uid="{00000000-0006-0000-0100-0000800F0000}">
      <text>
        <r>
          <rPr>
            <sz val="11"/>
            <color theme="1"/>
            <rFont val="Calibri"/>
            <family val="2"/>
            <scheme val="minor"/>
          </rPr>
          <t>Introduzca el código SNIP</t>
        </r>
      </text>
    </comment>
    <comment ref="C4264" authorId="1" shapeId="0" xr:uid="{00000000-0006-0000-0100-0000810F0000}">
      <text>
        <r>
          <rPr>
            <sz val="11"/>
            <color theme="1"/>
            <rFont val="Calibri"/>
            <family val="2"/>
            <scheme val="minor"/>
          </rPr>
          <t>Introduzca la fecha de inicio del proceso, en formato dd-mm-aaaa</t>
        </r>
      </text>
    </comment>
    <comment ref="F4264" authorId="1" shapeId="0" xr:uid="{00000000-0006-0000-0100-000083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65" authorId="1" shapeId="0" xr:uid="{00000000-0006-0000-0100-0000840F0000}">
      <text/>
    </comment>
    <comment ref="C4266" authorId="1" shapeId="0" xr:uid="{00000000-0006-0000-0100-0000820F0000}">
      <text>
        <r>
          <rPr>
            <sz val="11"/>
            <color theme="1"/>
            <rFont val="Calibri"/>
            <family val="2"/>
            <scheme val="minor"/>
          </rPr>
          <t>Introduzca la fecha prevista de adjudicación, en formato dd-mm-aaaa</t>
        </r>
      </text>
    </comment>
    <comment ref="F4266" authorId="1" shapeId="0" xr:uid="{00000000-0006-0000-0100-0000850F0000}">
      <text/>
    </comment>
    <comment ref="F4267" authorId="1" shapeId="0" xr:uid="{00000000-0006-0000-0100-0000860F0000}">
      <text/>
    </comment>
    <comment ref="A4269" authorId="1" shapeId="0" xr:uid="{00000000-0006-0000-0100-0000870F0000}">
      <text>
        <r>
          <rPr>
            <sz val="11"/>
            <color theme="1"/>
            <rFont val="Calibri"/>
            <family val="2"/>
            <scheme val="minor"/>
          </rPr>
          <t>Introduzca un codigo UNSPSC</t>
        </r>
      </text>
    </comment>
    <comment ref="B4269" authorId="1" shapeId="0" xr:uid="{00000000-0006-0000-0100-0000880F0000}">
      <text>
        <r>
          <rPr>
            <sz val="11"/>
            <color theme="1"/>
            <rFont val="Calibri"/>
            <family val="2"/>
            <scheme val="minor"/>
          </rPr>
          <t>Descripción calculada automáticamente a partir de código del artículo</t>
        </r>
      </text>
    </comment>
    <comment ref="C4269" authorId="1" shapeId="0" xr:uid="{00000000-0006-0000-0100-0000890F0000}">
      <text>
        <r>
          <rPr>
            <sz val="11"/>
            <color theme="1"/>
            <rFont val="Calibri"/>
            <family val="2"/>
            <scheme val="minor"/>
          </rPr>
          <t>Seleccione un valor de la lista</t>
        </r>
      </text>
    </comment>
    <comment ref="D4269" authorId="1" shapeId="0" xr:uid="{00000000-0006-0000-0100-00008A0F0000}">
      <text>
        <r>
          <rPr>
            <sz val="11"/>
            <color theme="1"/>
            <rFont val="Calibri"/>
            <family val="2"/>
            <scheme val="minor"/>
          </rPr>
          <t>Introduzca un número con dos decimales como máximo. Debe ser igual o mayor a la "Cantidad Real Consumida"</t>
        </r>
      </text>
    </comment>
    <comment ref="E4269" authorId="1" shapeId="0" xr:uid="{00000000-0006-0000-0100-00008B0F0000}">
      <text>
        <r>
          <rPr>
            <sz val="11"/>
            <color theme="1"/>
            <rFont val="Calibri"/>
            <family val="2"/>
            <scheme val="minor"/>
          </rPr>
          <t>Introduzca un número con dos decimales como máximo</t>
        </r>
      </text>
    </comment>
    <comment ref="F4269" authorId="1" shapeId="0" xr:uid="{00000000-0006-0000-0100-00008C0F0000}">
      <text>
        <r>
          <rPr>
            <sz val="11"/>
            <color theme="1"/>
            <rFont val="Calibri"/>
            <family val="2"/>
            <scheme val="minor"/>
          </rPr>
          <t>Monto calculado automáticamente por el sistema</t>
        </r>
      </text>
    </comment>
    <comment ref="A4274" authorId="1" shapeId="0" xr:uid="{00000000-0006-0000-0100-00008D0F0000}">
      <text>
        <r>
          <rPr>
            <sz val="11"/>
            <color theme="1"/>
            <rFont val="Calibri"/>
            <family val="2"/>
            <scheme val="minor"/>
          </rPr>
          <t>Introducir un texto con el nombre o referencia de la contratación</t>
        </r>
      </text>
    </comment>
    <comment ref="B4274" authorId="1" shapeId="0" xr:uid="{00000000-0006-0000-0100-00008E0F0000}">
      <text>
        <r>
          <rPr>
            <sz val="11"/>
            <color theme="1"/>
            <rFont val="Calibri"/>
            <family val="2"/>
            <scheme val="minor"/>
          </rPr>
          <t>Introduzca un texto con la finalidad de la contratación</t>
        </r>
      </text>
    </comment>
    <comment ref="C4274" authorId="1" shapeId="0" xr:uid="{00000000-0006-0000-0100-00008F0F0000}">
      <text>
        <r>
          <rPr>
            <sz val="11"/>
            <color theme="1"/>
            <rFont val="Calibri"/>
            <family val="2"/>
            <scheme val="minor"/>
          </rPr>
          <t>Seleccionar un valor del listado</t>
        </r>
      </text>
    </comment>
    <comment ref="D4274" authorId="1" shapeId="0" xr:uid="{00000000-0006-0000-0100-0000900F0000}">
      <text>
        <r>
          <rPr>
            <sz val="11"/>
            <color theme="1"/>
            <rFont val="Calibri"/>
            <family val="2"/>
            <scheme val="minor"/>
          </rPr>
          <t>Seleccione el tipo de procedimiento</t>
        </r>
      </text>
    </comment>
    <comment ref="E4274" authorId="1" shapeId="0" xr:uid="{00000000-0006-0000-0100-0000910F0000}">
      <text>
        <r>
          <rPr>
            <sz val="11"/>
            <color theme="1"/>
            <rFont val="Calibri"/>
            <family val="2"/>
            <scheme val="minor"/>
          </rPr>
          <t>Seleccione un valor de la lista</t>
        </r>
      </text>
    </comment>
    <comment ref="F4274" authorId="1" shapeId="0" xr:uid="{00000000-0006-0000-0100-0000920F0000}">
      <text>
        <r>
          <rPr>
            <sz val="11"/>
            <color theme="1"/>
            <rFont val="Calibri"/>
            <family val="2"/>
            <scheme val="minor"/>
          </rPr>
          <t>Introduzca el código SNIP</t>
        </r>
      </text>
    </comment>
    <comment ref="C4275" authorId="1" shapeId="0" xr:uid="{00000000-0006-0000-0100-0000930F0000}">
      <text>
        <r>
          <rPr>
            <sz val="11"/>
            <color theme="1"/>
            <rFont val="Calibri"/>
            <family val="2"/>
            <scheme val="minor"/>
          </rPr>
          <t>Introduzca la fecha de inicio del proceso, en formato dd-mm-aaaa</t>
        </r>
      </text>
    </comment>
    <comment ref="F4275" authorId="1" shapeId="0" xr:uid="{00000000-0006-0000-0100-000095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76" authorId="1" shapeId="0" xr:uid="{00000000-0006-0000-0100-0000960F0000}">
      <text/>
    </comment>
    <comment ref="C4277" authorId="1" shapeId="0" xr:uid="{00000000-0006-0000-0100-0000940F0000}">
      <text>
        <r>
          <rPr>
            <sz val="11"/>
            <color theme="1"/>
            <rFont val="Calibri"/>
            <family val="2"/>
            <scheme val="minor"/>
          </rPr>
          <t>Introduzca la fecha prevista de adjudicación, en formato dd-mm-aaaa</t>
        </r>
      </text>
    </comment>
    <comment ref="F4277" authorId="1" shapeId="0" xr:uid="{00000000-0006-0000-0100-0000970F0000}">
      <text/>
    </comment>
    <comment ref="F4278" authorId="1" shapeId="0" xr:uid="{00000000-0006-0000-0100-0000980F0000}">
      <text/>
    </comment>
    <comment ref="A4280" authorId="1" shapeId="0" xr:uid="{00000000-0006-0000-0100-0000990F0000}">
      <text>
        <r>
          <rPr>
            <sz val="11"/>
            <color theme="1"/>
            <rFont val="Calibri"/>
            <family val="2"/>
            <scheme val="minor"/>
          </rPr>
          <t>Introduzca un codigo UNSPSC</t>
        </r>
      </text>
    </comment>
    <comment ref="B4280" authorId="1" shapeId="0" xr:uid="{00000000-0006-0000-0100-00009A0F0000}">
      <text>
        <r>
          <rPr>
            <sz val="11"/>
            <color theme="1"/>
            <rFont val="Calibri"/>
            <family val="2"/>
            <scheme val="minor"/>
          </rPr>
          <t>Descripción calculada automáticamente a partir de código del artículo</t>
        </r>
      </text>
    </comment>
    <comment ref="C4280" authorId="1" shapeId="0" xr:uid="{00000000-0006-0000-0100-00009B0F0000}">
      <text>
        <r>
          <rPr>
            <sz val="11"/>
            <color theme="1"/>
            <rFont val="Calibri"/>
            <family val="2"/>
            <scheme val="minor"/>
          </rPr>
          <t>Seleccione un valor de la lista</t>
        </r>
      </text>
    </comment>
    <comment ref="D4280" authorId="1" shapeId="0" xr:uid="{00000000-0006-0000-0100-00009C0F0000}">
      <text>
        <r>
          <rPr>
            <sz val="11"/>
            <color theme="1"/>
            <rFont val="Calibri"/>
            <family val="2"/>
            <scheme val="minor"/>
          </rPr>
          <t>Introduzca un número con dos decimales como máximo. Debe ser igual o mayor a la "Cantidad Real Consumida"</t>
        </r>
      </text>
    </comment>
    <comment ref="E4280" authorId="1" shapeId="0" xr:uid="{00000000-0006-0000-0100-00009D0F0000}">
      <text>
        <r>
          <rPr>
            <sz val="11"/>
            <color theme="1"/>
            <rFont val="Calibri"/>
            <family val="2"/>
            <scheme val="minor"/>
          </rPr>
          <t>Introduzca un número con dos decimales como máximo</t>
        </r>
      </text>
    </comment>
    <comment ref="F4280" authorId="1" shapeId="0" xr:uid="{00000000-0006-0000-0100-00009E0F0000}">
      <text>
        <r>
          <rPr>
            <sz val="11"/>
            <color theme="1"/>
            <rFont val="Calibri"/>
            <family val="2"/>
            <scheme val="minor"/>
          </rPr>
          <t>Monto calculado automáticamente por el sistema</t>
        </r>
      </text>
    </comment>
    <comment ref="A4285" authorId="1" shapeId="0" xr:uid="{00000000-0006-0000-0100-00009F0F0000}">
      <text>
        <r>
          <rPr>
            <sz val="11"/>
            <color theme="1"/>
            <rFont val="Calibri"/>
            <family val="2"/>
            <scheme val="minor"/>
          </rPr>
          <t>Introducir un texto con el nombre o referencia de la contratación</t>
        </r>
      </text>
    </comment>
    <comment ref="B4285" authorId="1" shapeId="0" xr:uid="{00000000-0006-0000-0100-0000A00F0000}">
      <text>
        <r>
          <rPr>
            <sz val="11"/>
            <color theme="1"/>
            <rFont val="Calibri"/>
            <family val="2"/>
            <scheme val="minor"/>
          </rPr>
          <t>Introduzca un texto con la finalidad de la contratación</t>
        </r>
      </text>
    </comment>
    <comment ref="C4285" authorId="1" shapeId="0" xr:uid="{00000000-0006-0000-0100-0000A10F0000}">
      <text>
        <r>
          <rPr>
            <sz val="11"/>
            <color theme="1"/>
            <rFont val="Calibri"/>
            <family val="2"/>
            <scheme val="minor"/>
          </rPr>
          <t>Seleccionar un valor del listado</t>
        </r>
      </text>
    </comment>
    <comment ref="D4285" authorId="1" shapeId="0" xr:uid="{00000000-0006-0000-0100-0000A20F0000}">
      <text>
        <r>
          <rPr>
            <sz val="11"/>
            <color theme="1"/>
            <rFont val="Calibri"/>
            <family val="2"/>
            <scheme val="minor"/>
          </rPr>
          <t>Seleccione el tipo de procedimiento</t>
        </r>
      </text>
    </comment>
    <comment ref="E4285" authorId="1" shapeId="0" xr:uid="{00000000-0006-0000-0100-0000A30F0000}">
      <text>
        <r>
          <rPr>
            <sz val="11"/>
            <color theme="1"/>
            <rFont val="Calibri"/>
            <family val="2"/>
            <scheme val="minor"/>
          </rPr>
          <t>Seleccione un valor de la lista</t>
        </r>
      </text>
    </comment>
    <comment ref="F4285" authorId="1" shapeId="0" xr:uid="{00000000-0006-0000-0100-0000A40F0000}">
      <text>
        <r>
          <rPr>
            <sz val="11"/>
            <color theme="1"/>
            <rFont val="Calibri"/>
            <family val="2"/>
            <scheme val="minor"/>
          </rPr>
          <t>Introduzca el código SNIP</t>
        </r>
      </text>
    </comment>
    <comment ref="C4286" authorId="1" shapeId="0" xr:uid="{00000000-0006-0000-0100-0000A50F0000}">
      <text>
        <r>
          <rPr>
            <sz val="11"/>
            <color theme="1"/>
            <rFont val="Calibri"/>
            <family val="2"/>
            <scheme val="minor"/>
          </rPr>
          <t>Introduzca la fecha de inicio del proceso, en formato dd-mm-aaaa</t>
        </r>
      </text>
    </comment>
    <comment ref="F4286" authorId="1" shapeId="0" xr:uid="{00000000-0006-0000-0100-0000A7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87" authorId="1" shapeId="0" xr:uid="{00000000-0006-0000-0100-0000A80F0000}">
      <text/>
    </comment>
    <comment ref="C4288" authorId="1" shapeId="0" xr:uid="{00000000-0006-0000-0100-0000A60F0000}">
      <text>
        <r>
          <rPr>
            <sz val="11"/>
            <color theme="1"/>
            <rFont val="Calibri"/>
            <family val="2"/>
            <scheme val="minor"/>
          </rPr>
          <t>Introduzca la fecha prevista de adjudicación, en formato dd-mm-aaaa</t>
        </r>
      </text>
    </comment>
    <comment ref="F4288" authorId="1" shapeId="0" xr:uid="{00000000-0006-0000-0100-0000A90F0000}">
      <text/>
    </comment>
    <comment ref="F4289" authorId="1" shapeId="0" xr:uid="{00000000-0006-0000-0100-0000AA0F0000}">
      <text/>
    </comment>
    <comment ref="A4291" authorId="1" shapeId="0" xr:uid="{00000000-0006-0000-0100-0000AB0F0000}">
      <text>
        <r>
          <rPr>
            <sz val="11"/>
            <color theme="1"/>
            <rFont val="Calibri"/>
            <family val="2"/>
            <scheme val="minor"/>
          </rPr>
          <t>Introduzca un codigo UNSPSC</t>
        </r>
      </text>
    </comment>
    <comment ref="B4291" authorId="1" shapeId="0" xr:uid="{00000000-0006-0000-0100-0000AC0F0000}">
      <text>
        <r>
          <rPr>
            <sz val="11"/>
            <color theme="1"/>
            <rFont val="Calibri"/>
            <family val="2"/>
            <scheme val="minor"/>
          </rPr>
          <t>Descripción calculada automáticamente a partir de código del artículo</t>
        </r>
      </text>
    </comment>
    <comment ref="C4291" authorId="1" shapeId="0" xr:uid="{00000000-0006-0000-0100-0000AD0F0000}">
      <text>
        <r>
          <rPr>
            <sz val="11"/>
            <color theme="1"/>
            <rFont val="Calibri"/>
            <family val="2"/>
            <scheme val="minor"/>
          </rPr>
          <t>Seleccione un valor de la lista</t>
        </r>
      </text>
    </comment>
    <comment ref="D4291" authorId="1" shapeId="0" xr:uid="{00000000-0006-0000-0100-0000AE0F0000}">
      <text>
        <r>
          <rPr>
            <sz val="11"/>
            <color theme="1"/>
            <rFont val="Calibri"/>
            <family val="2"/>
            <scheme val="minor"/>
          </rPr>
          <t>Introduzca un número con dos decimales como máximo. Debe ser igual o mayor a la "Cantidad Real Consumida"</t>
        </r>
      </text>
    </comment>
    <comment ref="E4291" authorId="1" shapeId="0" xr:uid="{00000000-0006-0000-0100-0000AF0F0000}">
      <text>
        <r>
          <rPr>
            <sz val="11"/>
            <color theme="1"/>
            <rFont val="Calibri"/>
            <family val="2"/>
            <scheme val="minor"/>
          </rPr>
          <t>Introduzca un número con dos decimales como máximo</t>
        </r>
      </text>
    </comment>
    <comment ref="F4291" authorId="1" shapeId="0" xr:uid="{00000000-0006-0000-0100-0000B00F0000}">
      <text>
        <r>
          <rPr>
            <sz val="11"/>
            <color theme="1"/>
            <rFont val="Calibri"/>
            <family val="2"/>
            <scheme val="minor"/>
          </rPr>
          <t>Monto calculado automáticamente por el sistema</t>
        </r>
      </text>
    </comment>
    <comment ref="A4296" authorId="1" shapeId="0" xr:uid="{00000000-0006-0000-0100-0000B10F0000}">
      <text>
        <r>
          <rPr>
            <sz val="11"/>
            <color theme="1"/>
            <rFont val="Calibri"/>
            <family val="2"/>
            <scheme val="minor"/>
          </rPr>
          <t>Introducir un texto con el nombre o referencia de la contratación</t>
        </r>
      </text>
    </comment>
    <comment ref="B4296" authorId="1" shapeId="0" xr:uid="{00000000-0006-0000-0100-0000B20F0000}">
      <text>
        <r>
          <rPr>
            <sz val="11"/>
            <color theme="1"/>
            <rFont val="Calibri"/>
            <family val="2"/>
            <scheme val="minor"/>
          </rPr>
          <t>Introduzca un texto con la finalidad de la contratación</t>
        </r>
      </text>
    </comment>
    <comment ref="C4296" authorId="1" shapeId="0" xr:uid="{00000000-0006-0000-0100-0000B30F0000}">
      <text>
        <r>
          <rPr>
            <sz val="11"/>
            <color theme="1"/>
            <rFont val="Calibri"/>
            <family val="2"/>
            <scheme val="minor"/>
          </rPr>
          <t>Seleccionar un valor del listado</t>
        </r>
      </text>
    </comment>
    <comment ref="D4296" authorId="1" shapeId="0" xr:uid="{00000000-0006-0000-0100-0000B40F0000}">
      <text>
        <r>
          <rPr>
            <sz val="11"/>
            <color theme="1"/>
            <rFont val="Calibri"/>
            <family val="2"/>
            <scheme val="minor"/>
          </rPr>
          <t>Seleccione el tipo de procedimiento</t>
        </r>
      </text>
    </comment>
    <comment ref="E4296" authorId="1" shapeId="0" xr:uid="{00000000-0006-0000-0100-0000B50F0000}">
      <text>
        <r>
          <rPr>
            <sz val="11"/>
            <color theme="1"/>
            <rFont val="Calibri"/>
            <family val="2"/>
            <scheme val="minor"/>
          </rPr>
          <t>Seleccione un valor de la lista</t>
        </r>
      </text>
    </comment>
    <comment ref="F4296" authorId="1" shapeId="0" xr:uid="{00000000-0006-0000-0100-0000B60F0000}">
      <text>
        <r>
          <rPr>
            <sz val="11"/>
            <color theme="1"/>
            <rFont val="Calibri"/>
            <family val="2"/>
            <scheme val="minor"/>
          </rPr>
          <t>Introduzca el código SNIP</t>
        </r>
      </text>
    </comment>
    <comment ref="C4297" authorId="1" shapeId="0" xr:uid="{00000000-0006-0000-0100-0000B70F0000}">
      <text>
        <r>
          <rPr>
            <sz val="11"/>
            <color theme="1"/>
            <rFont val="Calibri"/>
            <family val="2"/>
            <scheme val="minor"/>
          </rPr>
          <t>Introduzca la fecha de inicio del proceso, en formato dd-mm-aaaa</t>
        </r>
      </text>
    </comment>
    <comment ref="F4297" authorId="1" shapeId="0" xr:uid="{00000000-0006-0000-0100-0000B9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98" authorId="1" shapeId="0" xr:uid="{00000000-0006-0000-0100-0000BA0F0000}">
      <text/>
    </comment>
    <comment ref="C4299" authorId="1" shapeId="0" xr:uid="{00000000-0006-0000-0100-0000B80F0000}">
      <text>
        <r>
          <rPr>
            <sz val="11"/>
            <color theme="1"/>
            <rFont val="Calibri"/>
            <family val="2"/>
            <scheme val="minor"/>
          </rPr>
          <t>Introduzca la fecha prevista de adjudicación, en formato dd-mm-aaaa</t>
        </r>
      </text>
    </comment>
    <comment ref="F4299" authorId="1" shapeId="0" xr:uid="{00000000-0006-0000-0100-0000BB0F0000}">
      <text/>
    </comment>
    <comment ref="F4300" authorId="1" shapeId="0" xr:uid="{00000000-0006-0000-0100-0000BC0F0000}">
      <text/>
    </comment>
    <comment ref="A4302" authorId="1" shapeId="0" xr:uid="{00000000-0006-0000-0100-0000BD0F0000}">
      <text>
        <r>
          <rPr>
            <sz val="11"/>
            <color theme="1"/>
            <rFont val="Calibri"/>
            <family val="2"/>
            <scheme val="minor"/>
          </rPr>
          <t>Introduzca un codigo UNSPSC</t>
        </r>
      </text>
    </comment>
    <comment ref="B4302" authorId="1" shapeId="0" xr:uid="{00000000-0006-0000-0100-0000BE0F0000}">
      <text>
        <r>
          <rPr>
            <sz val="11"/>
            <color theme="1"/>
            <rFont val="Calibri"/>
            <family val="2"/>
            <scheme val="minor"/>
          </rPr>
          <t>Descripción calculada automáticamente a partir de código del artículo</t>
        </r>
      </text>
    </comment>
    <comment ref="C4302" authorId="1" shapeId="0" xr:uid="{00000000-0006-0000-0100-0000BF0F0000}">
      <text>
        <r>
          <rPr>
            <sz val="11"/>
            <color theme="1"/>
            <rFont val="Calibri"/>
            <family val="2"/>
            <scheme val="minor"/>
          </rPr>
          <t>Seleccione un valor de la lista</t>
        </r>
      </text>
    </comment>
    <comment ref="D4302" authorId="1" shapeId="0" xr:uid="{00000000-0006-0000-0100-0000C00F0000}">
      <text>
        <r>
          <rPr>
            <sz val="11"/>
            <color theme="1"/>
            <rFont val="Calibri"/>
            <family val="2"/>
            <scheme val="minor"/>
          </rPr>
          <t>Introduzca un número con dos decimales como máximo. Debe ser igual o mayor a la "Cantidad Real Consumida"</t>
        </r>
      </text>
    </comment>
    <comment ref="E4302" authorId="1" shapeId="0" xr:uid="{00000000-0006-0000-0100-0000C10F0000}">
      <text>
        <r>
          <rPr>
            <sz val="11"/>
            <color theme="1"/>
            <rFont val="Calibri"/>
            <family val="2"/>
            <scheme val="minor"/>
          </rPr>
          <t>Introduzca un número con dos decimales como máximo</t>
        </r>
      </text>
    </comment>
    <comment ref="F4302" authorId="1" shapeId="0" xr:uid="{00000000-0006-0000-0100-0000C20F0000}">
      <text>
        <r>
          <rPr>
            <sz val="11"/>
            <color theme="1"/>
            <rFont val="Calibri"/>
            <family val="2"/>
            <scheme val="minor"/>
          </rPr>
          <t>Monto calculado automáticamente por el sistema</t>
        </r>
      </text>
    </comment>
    <comment ref="A4307" authorId="1" shapeId="0" xr:uid="{00000000-0006-0000-0100-0000C30F0000}">
      <text>
        <r>
          <rPr>
            <sz val="11"/>
            <color theme="1"/>
            <rFont val="Calibri"/>
            <family val="2"/>
            <scheme val="minor"/>
          </rPr>
          <t>Introducir un texto con el nombre o referencia de la contratación</t>
        </r>
      </text>
    </comment>
    <comment ref="B4307" authorId="1" shapeId="0" xr:uid="{00000000-0006-0000-0100-0000C40F0000}">
      <text>
        <r>
          <rPr>
            <sz val="11"/>
            <color theme="1"/>
            <rFont val="Calibri"/>
            <family val="2"/>
            <scheme val="minor"/>
          </rPr>
          <t>Introduzca un texto con la finalidad de la contratación</t>
        </r>
      </text>
    </comment>
    <comment ref="C4307" authorId="1" shapeId="0" xr:uid="{00000000-0006-0000-0100-0000C50F0000}">
      <text>
        <r>
          <rPr>
            <sz val="11"/>
            <color theme="1"/>
            <rFont val="Calibri"/>
            <family val="2"/>
            <scheme val="minor"/>
          </rPr>
          <t>Seleccionar un valor del listado</t>
        </r>
      </text>
    </comment>
    <comment ref="D4307" authorId="1" shapeId="0" xr:uid="{00000000-0006-0000-0100-0000C60F0000}">
      <text>
        <r>
          <rPr>
            <sz val="11"/>
            <color theme="1"/>
            <rFont val="Calibri"/>
            <family val="2"/>
            <scheme val="minor"/>
          </rPr>
          <t>Seleccione el tipo de procedimiento</t>
        </r>
      </text>
    </comment>
    <comment ref="E4307" authorId="1" shapeId="0" xr:uid="{00000000-0006-0000-0100-0000C70F0000}">
      <text>
        <r>
          <rPr>
            <sz val="11"/>
            <color theme="1"/>
            <rFont val="Calibri"/>
            <family val="2"/>
            <scheme val="minor"/>
          </rPr>
          <t>Seleccione un valor de la lista</t>
        </r>
      </text>
    </comment>
    <comment ref="F4307" authorId="1" shapeId="0" xr:uid="{00000000-0006-0000-0100-0000C80F0000}">
      <text>
        <r>
          <rPr>
            <sz val="11"/>
            <color theme="1"/>
            <rFont val="Calibri"/>
            <family val="2"/>
            <scheme val="minor"/>
          </rPr>
          <t>Introduzca el código SNIP</t>
        </r>
      </text>
    </comment>
    <comment ref="C4308" authorId="1" shapeId="0" xr:uid="{00000000-0006-0000-0100-0000C90F0000}">
      <text>
        <r>
          <rPr>
            <sz val="11"/>
            <color theme="1"/>
            <rFont val="Calibri"/>
            <family val="2"/>
            <scheme val="minor"/>
          </rPr>
          <t>Introduzca la fecha de inicio del proceso, en formato dd-mm-aaaa</t>
        </r>
      </text>
    </comment>
    <comment ref="F4308" authorId="1" shapeId="0" xr:uid="{00000000-0006-0000-0100-0000CB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09" authorId="1" shapeId="0" xr:uid="{00000000-0006-0000-0100-0000CC0F0000}">
      <text/>
    </comment>
    <comment ref="C4310" authorId="1" shapeId="0" xr:uid="{00000000-0006-0000-0100-0000CA0F0000}">
      <text>
        <r>
          <rPr>
            <sz val="11"/>
            <color theme="1"/>
            <rFont val="Calibri"/>
            <family val="2"/>
            <scheme val="minor"/>
          </rPr>
          <t>Introduzca la fecha prevista de adjudicación, en formato dd-mm-aaaa</t>
        </r>
      </text>
    </comment>
    <comment ref="F4310" authorId="1" shapeId="0" xr:uid="{00000000-0006-0000-0100-0000CD0F0000}">
      <text/>
    </comment>
    <comment ref="F4311" authorId="1" shapeId="0" xr:uid="{00000000-0006-0000-0100-0000CE0F0000}">
      <text/>
    </comment>
    <comment ref="A4313" authorId="1" shapeId="0" xr:uid="{00000000-0006-0000-0100-0000CF0F0000}">
      <text>
        <r>
          <rPr>
            <sz val="11"/>
            <color theme="1"/>
            <rFont val="Calibri"/>
            <family val="2"/>
            <scheme val="minor"/>
          </rPr>
          <t>Introduzca un codigo UNSPSC</t>
        </r>
      </text>
    </comment>
    <comment ref="B4313" authorId="1" shapeId="0" xr:uid="{00000000-0006-0000-0100-0000D00F0000}">
      <text>
        <r>
          <rPr>
            <sz val="11"/>
            <color theme="1"/>
            <rFont val="Calibri"/>
            <family val="2"/>
            <scheme val="minor"/>
          </rPr>
          <t>Descripción calculada automáticamente a partir de código del artículo</t>
        </r>
      </text>
    </comment>
    <comment ref="C4313" authorId="1" shapeId="0" xr:uid="{00000000-0006-0000-0100-0000D10F0000}">
      <text>
        <r>
          <rPr>
            <sz val="11"/>
            <color theme="1"/>
            <rFont val="Calibri"/>
            <family val="2"/>
            <scheme val="minor"/>
          </rPr>
          <t>Seleccione un valor de la lista</t>
        </r>
      </text>
    </comment>
    <comment ref="D4313" authorId="1" shapeId="0" xr:uid="{00000000-0006-0000-0100-0000D20F0000}">
      <text>
        <r>
          <rPr>
            <sz val="11"/>
            <color theme="1"/>
            <rFont val="Calibri"/>
            <family val="2"/>
            <scheme val="minor"/>
          </rPr>
          <t>Introduzca un número con dos decimales como máximo. Debe ser igual o mayor a la "Cantidad Real Consumida"</t>
        </r>
      </text>
    </comment>
    <comment ref="E4313" authorId="1" shapeId="0" xr:uid="{00000000-0006-0000-0100-0000D30F0000}">
      <text>
        <r>
          <rPr>
            <sz val="11"/>
            <color theme="1"/>
            <rFont val="Calibri"/>
            <family val="2"/>
            <scheme val="minor"/>
          </rPr>
          <t>Introduzca un número con dos decimales como máximo</t>
        </r>
      </text>
    </comment>
    <comment ref="F4313" authorId="1" shapeId="0" xr:uid="{00000000-0006-0000-0100-0000D40F0000}">
      <text>
        <r>
          <rPr>
            <sz val="11"/>
            <color theme="1"/>
            <rFont val="Calibri"/>
            <family val="2"/>
            <scheme val="minor"/>
          </rPr>
          <t>Monto calculado automáticamente por el sistema</t>
        </r>
      </text>
    </comment>
    <comment ref="A4331" authorId="1" shapeId="0" xr:uid="{00000000-0006-0000-0100-0000D50F0000}">
      <text>
        <r>
          <rPr>
            <sz val="11"/>
            <color theme="1"/>
            <rFont val="Calibri"/>
            <family val="2"/>
            <scheme val="minor"/>
          </rPr>
          <t>Introducir un texto con el nombre o referencia de la contratación</t>
        </r>
      </text>
    </comment>
    <comment ref="B4331" authorId="1" shapeId="0" xr:uid="{00000000-0006-0000-0100-0000D60F0000}">
      <text>
        <r>
          <rPr>
            <sz val="11"/>
            <color theme="1"/>
            <rFont val="Calibri"/>
            <family val="2"/>
            <scheme val="minor"/>
          </rPr>
          <t>Introduzca un texto con la finalidad de la contratación</t>
        </r>
      </text>
    </comment>
    <comment ref="C4331" authorId="1" shapeId="0" xr:uid="{00000000-0006-0000-0100-0000D70F0000}">
      <text>
        <r>
          <rPr>
            <sz val="11"/>
            <color theme="1"/>
            <rFont val="Calibri"/>
            <family val="2"/>
            <scheme val="minor"/>
          </rPr>
          <t>Seleccionar un valor del listado</t>
        </r>
      </text>
    </comment>
    <comment ref="D4331" authorId="1" shapeId="0" xr:uid="{00000000-0006-0000-0100-0000D80F0000}">
      <text>
        <r>
          <rPr>
            <sz val="11"/>
            <color theme="1"/>
            <rFont val="Calibri"/>
            <family val="2"/>
            <scheme val="minor"/>
          </rPr>
          <t>Seleccione el tipo de procedimiento</t>
        </r>
      </text>
    </comment>
    <comment ref="E4331" authorId="1" shapeId="0" xr:uid="{00000000-0006-0000-0100-0000D90F0000}">
      <text>
        <r>
          <rPr>
            <sz val="11"/>
            <color theme="1"/>
            <rFont val="Calibri"/>
            <family val="2"/>
            <scheme val="minor"/>
          </rPr>
          <t>Seleccione un valor de la lista</t>
        </r>
      </text>
    </comment>
    <comment ref="F4331" authorId="1" shapeId="0" xr:uid="{00000000-0006-0000-0100-0000DA0F0000}">
      <text>
        <r>
          <rPr>
            <sz val="11"/>
            <color theme="1"/>
            <rFont val="Calibri"/>
            <family val="2"/>
            <scheme val="minor"/>
          </rPr>
          <t>Introduzca el código SNIP</t>
        </r>
      </text>
    </comment>
    <comment ref="C4332" authorId="1" shapeId="0" xr:uid="{00000000-0006-0000-0100-0000DB0F0000}">
      <text>
        <r>
          <rPr>
            <sz val="11"/>
            <color theme="1"/>
            <rFont val="Calibri"/>
            <family val="2"/>
            <scheme val="minor"/>
          </rPr>
          <t>Introduzca la fecha de inicio del proceso, en formato dd-mm-aaaa</t>
        </r>
      </text>
    </comment>
    <comment ref="F4332" authorId="1" shapeId="0" xr:uid="{00000000-0006-0000-0100-0000DD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33" authorId="1" shapeId="0" xr:uid="{00000000-0006-0000-0100-0000DE0F0000}">
      <text/>
    </comment>
    <comment ref="C4334" authorId="1" shapeId="0" xr:uid="{00000000-0006-0000-0100-0000DC0F0000}">
      <text>
        <r>
          <rPr>
            <sz val="11"/>
            <color theme="1"/>
            <rFont val="Calibri"/>
            <family val="2"/>
            <scheme val="minor"/>
          </rPr>
          <t>Introduzca la fecha prevista de adjudicación, en formato dd-mm-aaaa</t>
        </r>
      </text>
    </comment>
    <comment ref="F4334" authorId="1" shapeId="0" xr:uid="{00000000-0006-0000-0100-0000DF0F0000}">
      <text/>
    </comment>
    <comment ref="F4335" authorId="1" shapeId="0" xr:uid="{00000000-0006-0000-0100-0000E00F0000}">
      <text/>
    </comment>
    <comment ref="A4337" authorId="1" shapeId="0" xr:uid="{00000000-0006-0000-0100-0000E10F0000}">
      <text>
        <r>
          <rPr>
            <sz val="11"/>
            <color theme="1"/>
            <rFont val="Calibri"/>
            <family val="2"/>
            <scheme val="minor"/>
          </rPr>
          <t>Introduzca un codigo UNSPSC</t>
        </r>
      </text>
    </comment>
    <comment ref="B4337" authorId="1" shapeId="0" xr:uid="{00000000-0006-0000-0100-0000E20F0000}">
      <text>
        <r>
          <rPr>
            <sz val="11"/>
            <color theme="1"/>
            <rFont val="Calibri"/>
            <family val="2"/>
            <scheme val="minor"/>
          </rPr>
          <t>Descripción calculada automáticamente a partir de código del artículo</t>
        </r>
      </text>
    </comment>
    <comment ref="C4337" authorId="1" shapeId="0" xr:uid="{00000000-0006-0000-0100-0000E30F0000}">
      <text>
        <r>
          <rPr>
            <sz val="11"/>
            <color theme="1"/>
            <rFont val="Calibri"/>
            <family val="2"/>
            <scheme val="minor"/>
          </rPr>
          <t>Seleccione un valor de la lista</t>
        </r>
      </text>
    </comment>
    <comment ref="D4337" authorId="1" shapeId="0" xr:uid="{00000000-0006-0000-0100-0000E40F0000}">
      <text>
        <r>
          <rPr>
            <sz val="11"/>
            <color theme="1"/>
            <rFont val="Calibri"/>
            <family val="2"/>
            <scheme val="minor"/>
          </rPr>
          <t>Introduzca un número con dos decimales como máximo. Debe ser igual o mayor a la "Cantidad Real Consumida"</t>
        </r>
      </text>
    </comment>
    <comment ref="E4337" authorId="1" shapeId="0" xr:uid="{00000000-0006-0000-0100-0000E50F0000}">
      <text>
        <r>
          <rPr>
            <sz val="11"/>
            <color theme="1"/>
            <rFont val="Calibri"/>
            <family val="2"/>
            <scheme val="minor"/>
          </rPr>
          <t>Introduzca un número con dos decimales como máximo</t>
        </r>
      </text>
    </comment>
    <comment ref="F4337" authorId="1" shapeId="0" xr:uid="{00000000-0006-0000-0100-0000E60F0000}">
      <text>
        <r>
          <rPr>
            <sz val="11"/>
            <color theme="1"/>
            <rFont val="Calibri"/>
            <family val="2"/>
            <scheme val="minor"/>
          </rPr>
          <t>Monto calculado automáticamente por el sistema</t>
        </r>
      </text>
    </comment>
    <comment ref="A4351" authorId="1" shapeId="0" xr:uid="{00000000-0006-0000-0100-0000E70F0000}">
      <text>
        <r>
          <rPr>
            <sz val="11"/>
            <color theme="1"/>
            <rFont val="Calibri"/>
            <family val="2"/>
            <scheme val="minor"/>
          </rPr>
          <t>Introducir un texto con el nombre o referencia de la contratación</t>
        </r>
      </text>
    </comment>
    <comment ref="B4351" authorId="1" shapeId="0" xr:uid="{00000000-0006-0000-0100-0000E80F0000}">
      <text>
        <r>
          <rPr>
            <sz val="11"/>
            <color theme="1"/>
            <rFont val="Calibri"/>
            <family val="2"/>
            <scheme val="minor"/>
          </rPr>
          <t>Introduzca un texto con la finalidad de la contratación</t>
        </r>
      </text>
    </comment>
    <comment ref="C4351" authorId="1" shapeId="0" xr:uid="{00000000-0006-0000-0100-0000E90F0000}">
      <text>
        <r>
          <rPr>
            <sz val="11"/>
            <color theme="1"/>
            <rFont val="Calibri"/>
            <family val="2"/>
            <scheme val="minor"/>
          </rPr>
          <t>Seleccionar un valor del listado</t>
        </r>
      </text>
    </comment>
    <comment ref="D4351" authorId="1" shapeId="0" xr:uid="{00000000-0006-0000-0100-0000EA0F0000}">
      <text>
        <r>
          <rPr>
            <sz val="11"/>
            <color theme="1"/>
            <rFont val="Calibri"/>
            <family val="2"/>
            <scheme val="minor"/>
          </rPr>
          <t>Seleccione el tipo de procedimiento</t>
        </r>
      </text>
    </comment>
    <comment ref="E4351" authorId="1" shapeId="0" xr:uid="{00000000-0006-0000-0100-0000EB0F0000}">
      <text>
        <r>
          <rPr>
            <sz val="11"/>
            <color theme="1"/>
            <rFont val="Calibri"/>
            <family val="2"/>
            <scheme val="minor"/>
          </rPr>
          <t>Seleccione un valor de la lista</t>
        </r>
      </text>
    </comment>
    <comment ref="F4351" authorId="1" shapeId="0" xr:uid="{00000000-0006-0000-0100-0000EC0F0000}">
      <text>
        <r>
          <rPr>
            <sz val="11"/>
            <color theme="1"/>
            <rFont val="Calibri"/>
            <family val="2"/>
            <scheme val="minor"/>
          </rPr>
          <t>Introduzca el código SNIP</t>
        </r>
      </text>
    </comment>
    <comment ref="C4352" authorId="1" shapeId="0" xr:uid="{00000000-0006-0000-0100-0000ED0F0000}">
      <text>
        <r>
          <rPr>
            <sz val="11"/>
            <color theme="1"/>
            <rFont val="Calibri"/>
            <family val="2"/>
            <scheme val="minor"/>
          </rPr>
          <t>Introduzca la fecha de inicio del proceso, en formato dd-mm-aaaa</t>
        </r>
      </text>
    </comment>
    <comment ref="F4352" authorId="1" shapeId="0" xr:uid="{00000000-0006-0000-0100-0000EF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53" authorId="1" shapeId="0" xr:uid="{00000000-0006-0000-0100-0000F00F0000}">
      <text/>
    </comment>
    <comment ref="C4354" authorId="1" shapeId="0" xr:uid="{00000000-0006-0000-0100-0000EE0F0000}">
      <text>
        <r>
          <rPr>
            <sz val="11"/>
            <color theme="1"/>
            <rFont val="Calibri"/>
            <family val="2"/>
            <scheme val="minor"/>
          </rPr>
          <t>Introduzca la fecha prevista de adjudicación, en formato dd-mm-aaaa</t>
        </r>
      </text>
    </comment>
    <comment ref="F4354" authorId="1" shapeId="0" xr:uid="{00000000-0006-0000-0100-0000F10F0000}">
      <text/>
    </comment>
    <comment ref="F4355" authorId="1" shapeId="0" xr:uid="{00000000-0006-0000-0100-0000F20F0000}">
      <text/>
    </comment>
    <comment ref="A4357" authorId="1" shapeId="0" xr:uid="{00000000-0006-0000-0100-0000F30F0000}">
      <text>
        <r>
          <rPr>
            <sz val="11"/>
            <color theme="1"/>
            <rFont val="Calibri"/>
            <family val="2"/>
            <scheme val="minor"/>
          </rPr>
          <t>Introduzca un codigo UNSPSC</t>
        </r>
      </text>
    </comment>
    <comment ref="B4357" authorId="1" shapeId="0" xr:uid="{00000000-0006-0000-0100-0000F40F0000}">
      <text>
        <r>
          <rPr>
            <sz val="11"/>
            <color theme="1"/>
            <rFont val="Calibri"/>
            <family val="2"/>
            <scheme val="minor"/>
          </rPr>
          <t>Descripción calculada automáticamente a partir de código del artículo</t>
        </r>
      </text>
    </comment>
    <comment ref="C4357" authorId="1" shapeId="0" xr:uid="{00000000-0006-0000-0100-0000F50F0000}">
      <text>
        <r>
          <rPr>
            <sz val="11"/>
            <color theme="1"/>
            <rFont val="Calibri"/>
            <family val="2"/>
            <scheme val="minor"/>
          </rPr>
          <t>Seleccione un valor de la lista</t>
        </r>
      </text>
    </comment>
    <comment ref="D4357" authorId="1" shapeId="0" xr:uid="{00000000-0006-0000-0100-0000F60F0000}">
      <text>
        <r>
          <rPr>
            <sz val="11"/>
            <color theme="1"/>
            <rFont val="Calibri"/>
            <family val="2"/>
            <scheme val="minor"/>
          </rPr>
          <t>Introduzca un número con dos decimales como máximo. Debe ser igual o mayor a la "Cantidad Real Consumida"</t>
        </r>
      </text>
    </comment>
    <comment ref="E4357" authorId="1" shapeId="0" xr:uid="{00000000-0006-0000-0100-0000F70F0000}">
      <text>
        <r>
          <rPr>
            <sz val="11"/>
            <color theme="1"/>
            <rFont val="Calibri"/>
            <family val="2"/>
            <scheme val="minor"/>
          </rPr>
          <t>Introduzca un número con dos decimales como máximo</t>
        </r>
      </text>
    </comment>
    <comment ref="F4357" authorId="1" shapeId="0" xr:uid="{00000000-0006-0000-0100-0000F80F0000}">
      <text>
        <r>
          <rPr>
            <sz val="11"/>
            <color theme="1"/>
            <rFont val="Calibri"/>
            <family val="2"/>
            <scheme val="minor"/>
          </rPr>
          <t>Monto calculado automáticamente por el sistema</t>
        </r>
      </text>
    </comment>
    <comment ref="A4362" authorId="1" shapeId="0" xr:uid="{00000000-0006-0000-0100-0000F90F0000}">
      <text>
        <r>
          <rPr>
            <sz val="11"/>
            <color theme="1"/>
            <rFont val="Calibri"/>
            <family val="2"/>
            <scheme val="minor"/>
          </rPr>
          <t>Introducir un texto con el nombre o referencia de la contratación</t>
        </r>
      </text>
    </comment>
    <comment ref="B4362" authorId="1" shapeId="0" xr:uid="{00000000-0006-0000-0100-0000FA0F0000}">
      <text>
        <r>
          <rPr>
            <sz val="11"/>
            <color theme="1"/>
            <rFont val="Calibri"/>
            <family val="2"/>
            <scheme val="minor"/>
          </rPr>
          <t>Introduzca un texto con la finalidad de la contratación</t>
        </r>
      </text>
    </comment>
    <comment ref="C4362" authorId="1" shapeId="0" xr:uid="{00000000-0006-0000-0100-0000FB0F0000}">
      <text>
        <r>
          <rPr>
            <sz val="11"/>
            <color theme="1"/>
            <rFont val="Calibri"/>
            <family val="2"/>
            <scheme val="minor"/>
          </rPr>
          <t>Seleccionar un valor del listado</t>
        </r>
      </text>
    </comment>
    <comment ref="D4362" authorId="1" shapeId="0" xr:uid="{00000000-0006-0000-0100-0000FC0F0000}">
      <text>
        <r>
          <rPr>
            <sz val="11"/>
            <color theme="1"/>
            <rFont val="Calibri"/>
            <family val="2"/>
            <scheme val="minor"/>
          </rPr>
          <t>Seleccione el tipo de procedimiento</t>
        </r>
      </text>
    </comment>
    <comment ref="E4362" authorId="1" shapeId="0" xr:uid="{00000000-0006-0000-0100-0000FD0F0000}">
      <text>
        <r>
          <rPr>
            <sz val="11"/>
            <color theme="1"/>
            <rFont val="Calibri"/>
            <family val="2"/>
            <scheme val="minor"/>
          </rPr>
          <t>Seleccione un valor de la lista</t>
        </r>
      </text>
    </comment>
    <comment ref="F4362" authorId="1" shapeId="0" xr:uid="{00000000-0006-0000-0100-0000FE0F0000}">
      <text>
        <r>
          <rPr>
            <sz val="11"/>
            <color theme="1"/>
            <rFont val="Calibri"/>
            <family val="2"/>
            <scheme val="minor"/>
          </rPr>
          <t>Introduzca el código SNIP</t>
        </r>
      </text>
    </comment>
    <comment ref="C4363" authorId="1" shapeId="0" xr:uid="{00000000-0006-0000-0100-0000FF0F0000}">
      <text>
        <r>
          <rPr>
            <sz val="11"/>
            <color theme="1"/>
            <rFont val="Calibri"/>
            <family val="2"/>
            <scheme val="minor"/>
          </rPr>
          <t>Introduzca la fecha de inicio del proceso, en formato dd-mm-aaaa</t>
        </r>
      </text>
    </comment>
    <comment ref="F4363" authorId="1" shapeId="0" xr:uid="{00000000-0006-0000-0100-0000011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64" authorId="1" shapeId="0" xr:uid="{00000000-0006-0000-0100-000002100000}">
      <text/>
    </comment>
    <comment ref="C4365" authorId="1" shapeId="0" xr:uid="{00000000-0006-0000-0100-000000100000}">
      <text>
        <r>
          <rPr>
            <sz val="11"/>
            <color theme="1"/>
            <rFont val="Calibri"/>
            <family val="2"/>
            <scheme val="minor"/>
          </rPr>
          <t>Introduzca la fecha prevista de adjudicación, en formato dd-mm-aaaa</t>
        </r>
      </text>
    </comment>
    <comment ref="F4365" authorId="1" shapeId="0" xr:uid="{00000000-0006-0000-0100-000003100000}">
      <text/>
    </comment>
    <comment ref="F4366" authorId="1" shapeId="0" xr:uid="{00000000-0006-0000-0100-000004100000}">
      <text/>
    </comment>
    <comment ref="A4368" authorId="1" shapeId="0" xr:uid="{00000000-0006-0000-0100-000005100000}">
      <text>
        <r>
          <rPr>
            <sz val="11"/>
            <color theme="1"/>
            <rFont val="Calibri"/>
            <family val="2"/>
            <scheme val="minor"/>
          </rPr>
          <t>Introduzca un codigo UNSPSC</t>
        </r>
      </text>
    </comment>
    <comment ref="B4368" authorId="1" shapeId="0" xr:uid="{00000000-0006-0000-0100-000006100000}">
      <text>
        <r>
          <rPr>
            <sz val="11"/>
            <color theme="1"/>
            <rFont val="Calibri"/>
            <family val="2"/>
            <scheme val="minor"/>
          </rPr>
          <t>Descripción calculada automáticamente a partir de código del artículo</t>
        </r>
      </text>
    </comment>
    <comment ref="C4368" authorId="1" shapeId="0" xr:uid="{00000000-0006-0000-0100-000007100000}">
      <text>
        <r>
          <rPr>
            <sz val="11"/>
            <color theme="1"/>
            <rFont val="Calibri"/>
            <family val="2"/>
            <scheme val="minor"/>
          </rPr>
          <t>Seleccione un valor de la lista</t>
        </r>
      </text>
    </comment>
    <comment ref="D4368" authorId="1" shapeId="0" xr:uid="{00000000-0006-0000-0100-000008100000}">
      <text>
        <r>
          <rPr>
            <sz val="11"/>
            <color theme="1"/>
            <rFont val="Calibri"/>
            <family val="2"/>
            <scheme val="minor"/>
          </rPr>
          <t>Introduzca un número con dos decimales como máximo. Debe ser igual o mayor a la "Cantidad Real Consumida"</t>
        </r>
      </text>
    </comment>
    <comment ref="E4368" authorId="1" shapeId="0" xr:uid="{00000000-0006-0000-0100-000009100000}">
      <text>
        <r>
          <rPr>
            <sz val="11"/>
            <color theme="1"/>
            <rFont val="Calibri"/>
            <family val="2"/>
            <scheme val="minor"/>
          </rPr>
          <t>Introduzca un número con dos decimales como máximo</t>
        </r>
      </text>
    </comment>
    <comment ref="F4368" authorId="1" shapeId="0" xr:uid="{00000000-0006-0000-0100-00000A100000}">
      <text>
        <r>
          <rPr>
            <sz val="11"/>
            <color theme="1"/>
            <rFont val="Calibri"/>
            <family val="2"/>
            <scheme val="minor"/>
          </rPr>
          <t>Monto calculado automáticamente por el sistema</t>
        </r>
      </text>
    </comment>
    <comment ref="A4373" authorId="1" shapeId="0" xr:uid="{00000000-0006-0000-0100-00000B100000}">
      <text>
        <r>
          <rPr>
            <sz val="11"/>
            <color theme="1"/>
            <rFont val="Calibri"/>
            <family val="2"/>
            <scheme val="minor"/>
          </rPr>
          <t>Introducir un texto con el nombre o referencia de la contratación</t>
        </r>
      </text>
    </comment>
    <comment ref="B4373" authorId="1" shapeId="0" xr:uid="{00000000-0006-0000-0100-00000C100000}">
      <text>
        <r>
          <rPr>
            <sz val="11"/>
            <color theme="1"/>
            <rFont val="Calibri"/>
            <family val="2"/>
            <scheme val="minor"/>
          </rPr>
          <t>Introduzca un texto con la finalidad de la contratación</t>
        </r>
      </text>
    </comment>
    <comment ref="C4373" authorId="1" shapeId="0" xr:uid="{00000000-0006-0000-0100-00000D100000}">
      <text>
        <r>
          <rPr>
            <sz val="11"/>
            <color theme="1"/>
            <rFont val="Calibri"/>
            <family val="2"/>
            <scheme val="minor"/>
          </rPr>
          <t>Seleccionar un valor del listado</t>
        </r>
      </text>
    </comment>
    <comment ref="D4373" authorId="1" shapeId="0" xr:uid="{00000000-0006-0000-0100-00000E100000}">
      <text>
        <r>
          <rPr>
            <sz val="11"/>
            <color theme="1"/>
            <rFont val="Calibri"/>
            <family val="2"/>
            <scheme val="minor"/>
          </rPr>
          <t>Seleccione el tipo de procedimiento</t>
        </r>
      </text>
    </comment>
    <comment ref="E4373" authorId="1" shapeId="0" xr:uid="{00000000-0006-0000-0100-00000F100000}">
      <text>
        <r>
          <rPr>
            <sz val="11"/>
            <color theme="1"/>
            <rFont val="Calibri"/>
            <family val="2"/>
            <scheme val="minor"/>
          </rPr>
          <t>Seleccione un valor de la lista</t>
        </r>
      </text>
    </comment>
    <comment ref="F4373" authorId="1" shapeId="0" xr:uid="{00000000-0006-0000-0100-000010100000}">
      <text>
        <r>
          <rPr>
            <sz val="11"/>
            <color theme="1"/>
            <rFont val="Calibri"/>
            <family val="2"/>
            <scheme val="minor"/>
          </rPr>
          <t>Introduzca el código SNIP</t>
        </r>
      </text>
    </comment>
    <comment ref="C4374" authorId="1" shapeId="0" xr:uid="{00000000-0006-0000-0100-000011100000}">
      <text>
        <r>
          <rPr>
            <sz val="11"/>
            <color theme="1"/>
            <rFont val="Calibri"/>
            <family val="2"/>
            <scheme val="minor"/>
          </rPr>
          <t>Introduzca la fecha de inicio del proceso, en formato dd-mm-aaaa</t>
        </r>
      </text>
    </comment>
    <comment ref="F4374" authorId="1" shapeId="0" xr:uid="{00000000-0006-0000-0100-0000131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75" authorId="1" shapeId="0" xr:uid="{00000000-0006-0000-0100-000014100000}">
      <text/>
    </comment>
    <comment ref="C4376" authorId="1" shapeId="0" xr:uid="{00000000-0006-0000-0100-000012100000}">
      <text>
        <r>
          <rPr>
            <sz val="11"/>
            <color theme="1"/>
            <rFont val="Calibri"/>
            <family val="2"/>
            <scheme val="minor"/>
          </rPr>
          <t>Introduzca la fecha prevista de adjudicación, en formato dd-mm-aaaa</t>
        </r>
      </text>
    </comment>
    <comment ref="F4376" authorId="1" shapeId="0" xr:uid="{00000000-0006-0000-0100-000015100000}">
      <text/>
    </comment>
    <comment ref="F4377" authorId="1" shapeId="0" xr:uid="{00000000-0006-0000-0100-000016100000}">
      <text/>
    </comment>
    <comment ref="A4379" authorId="1" shapeId="0" xr:uid="{00000000-0006-0000-0100-000017100000}">
      <text>
        <r>
          <rPr>
            <sz val="11"/>
            <color theme="1"/>
            <rFont val="Calibri"/>
            <family val="2"/>
            <scheme val="minor"/>
          </rPr>
          <t>Introduzca un codigo UNSPSC</t>
        </r>
      </text>
    </comment>
    <comment ref="B4379" authorId="1" shapeId="0" xr:uid="{00000000-0006-0000-0100-000018100000}">
      <text>
        <r>
          <rPr>
            <sz val="11"/>
            <color theme="1"/>
            <rFont val="Calibri"/>
            <family val="2"/>
            <scheme val="minor"/>
          </rPr>
          <t>Descripción calculada automáticamente a partir de código del artículo</t>
        </r>
      </text>
    </comment>
    <comment ref="C4379" authorId="1" shapeId="0" xr:uid="{00000000-0006-0000-0100-000019100000}">
      <text>
        <r>
          <rPr>
            <sz val="11"/>
            <color theme="1"/>
            <rFont val="Calibri"/>
            <family val="2"/>
            <scheme val="minor"/>
          </rPr>
          <t>Seleccione un valor de la lista</t>
        </r>
      </text>
    </comment>
    <comment ref="D4379" authorId="1" shapeId="0" xr:uid="{00000000-0006-0000-0100-00001A100000}">
      <text>
        <r>
          <rPr>
            <sz val="11"/>
            <color theme="1"/>
            <rFont val="Calibri"/>
            <family val="2"/>
            <scheme val="minor"/>
          </rPr>
          <t>Introduzca un número con dos decimales como máximo. Debe ser igual o mayor a la "Cantidad Real Consumida"</t>
        </r>
      </text>
    </comment>
    <comment ref="E4379" authorId="1" shapeId="0" xr:uid="{00000000-0006-0000-0100-00001B100000}">
      <text>
        <r>
          <rPr>
            <sz val="11"/>
            <color theme="1"/>
            <rFont val="Calibri"/>
            <family val="2"/>
            <scheme val="minor"/>
          </rPr>
          <t>Introduzca un número con dos decimales como máximo</t>
        </r>
      </text>
    </comment>
    <comment ref="F4379" authorId="1" shapeId="0" xr:uid="{00000000-0006-0000-0100-00001C100000}">
      <text>
        <r>
          <rPr>
            <sz val="11"/>
            <color theme="1"/>
            <rFont val="Calibri"/>
            <family val="2"/>
            <scheme val="minor"/>
          </rPr>
          <t>Monto calculado automáticamente por el sistema</t>
        </r>
      </text>
    </comment>
    <comment ref="A4386" authorId="1" shapeId="0" xr:uid="{00000000-0006-0000-0100-00001D100000}">
      <text>
        <r>
          <rPr>
            <sz val="11"/>
            <color theme="1"/>
            <rFont val="Calibri"/>
            <family val="2"/>
            <scheme val="minor"/>
          </rPr>
          <t>Introducir un texto con el nombre o referencia de la contratación</t>
        </r>
      </text>
    </comment>
    <comment ref="B4386" authorId="1" shapeId="0" xr:uid="{00000000-0006-0000-0100-00001E100000}">
      <text>
        <r>
          <rPr>
            <sz val="11"/>
            <color theme="1"/>
            <rFont val="Calibri"/>
            <family val="2"/>
            <scheme val="minor"/>
          </rPr>
          <t>Introduzca un texto con la finalidad de la contratación</t>
        </r>
      </text>
    </comment>
    <comment ref="C4386" authorId="1" shapeId="0" xr:uid="{00000000-0006-0000-0100-00001F100000}">
      <text>
        <r>
          <rPr>
            <sz val="11"/>
            <color theme="1"/>
            <rFont val="Calibri"/>
            <family val="2"/>
            <scheme val="minor"/>
          </rPr>
          <t>Seleccionar un valor del listado</t>
        </r>
      </text>
    </comment>
    <comment ref="D4386" authorId="1" shapeId="0" xr:uid="{00000000-0006-0000-0100-000020100000}">
      <text>
        <r>
          <rPr>
            <sz val="11"/>
            <color theme="1"/>
            <rFont val="Calibri"/>
            <family val="2"/>
            <scheme val="minor"/>
          </rPr>
          <t>Seleccione el tipo de procedimiento</t>
        </r>
      </text>
    </comment>
    <comment ref="E4386" authorId="1" shapeId="0" xr:uid="{00000000-0006-0000-0100-000021100000}">
      <text>
        <r>
          <rPr>
            <sz val="11"/>
            <color theme="1"/>
            <rFont val="Calibri"/>
            <family val="2"/>
            <scheme val="minor"/>
          </rPr>
          <t>Seleccione un valor de la lista</t>
        </r>
      </text>
    </comment>
    <comment ref="F4386" authorId="1" shapeId="0" xr:uid="{00000000-0006-0000-0100-000022100000}">
      <text>
        <r>
          <rPr>
            <sz val="11"/>
            <color theme="1"/>
            <rFont val="Calibri"/>
            <family val="2"/>
            <scheme val="minor"/>
          </rPr>
          <t>Introduzca el código SNIP</t>
        </r>
      </text>
    </comment>
    <comment ref="C4387" authorId="1" shapeId="0" xr:uid="{00000000-0006-0000-0100-000023100000}">
      <text>
        <r>
          <rPr>
            <sz val="11"/>
            <color theme="1"/>
            <rFont val="Calibri"/>
            <family val="2"/>
            <scheme val="minor"/>
          </rPr>
          <t>Introduzca la fecha de inicio del proceso, en formato dd-mm-aaaa</t>
        </r>
      </text>
    </comment>
    <comment ref="F4387" authorId="1" shapeId="0" xr:uid="{00000000-0006-0000-0100-0000251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88" authorId="1" shapeId="0" xr:uid="{00000000-0006-0000-0100-000026100000}">
      <text/>
    </comment>
    <comment ref="C4389" authorId="1" shapeId="0" xr:uid="{00000000-0006-0000-0100-000024100000}">
      <text>
        <r>
          <rPr>
            <sz val="11"/>
            <color theme="1"/>
            <rFont val="Calibri"/>
            <family val="2"/>
            <scheme val="minor"/>
          </rPr>
          <t>Introduzca la fecha prevista de adjudicación, en formato dd-mm-aaaa</t>
        </r>
      </text>
    </comment>
    <comment ref="F4389" authorId="1" shapeId="0" xr:uid="{00000000-0006-0000-0100-000027100000}">
      <text/>
    </comment>
    <comment ref="F4390" authorId="1" shapeId="0" xr:uid="{00000000-0006-0000-0100-000028100000}">
      <text/>
    </comment>
    <comment ref="A4392" authorId="1" shapeId="0" xr:uid="{00000000-0006-0000-0100-000029100000}">
      <text>
        <r>
          <rPr>
            <sz val="11"/>
            <color theme="1"/>
            <rFont val="Calibri"/>
            <family val="2"/>
            <scheme val="minor"/>
          </rPr>
          <t>Introduzca un codigo UNSPSC</t>
        </r>
      </text>
    </comment>
    <comment ref="B4392" authorId="1" shapeId="0" xr:uid="{00000000-0006-0000-0100-00002A100000}">
      <text>
        <r>
          <rPr>
            <sz val="11"/>
            <color theme="1"/>
            <rFont val="Calibri"/>
            <family val="2"/>
            <scheme val="minor"/>
          </rPr>
          <t>Descripción calculada automáticamente a partir de código del artículo</t>
        </r>
      </text>
    </comment>
    <comment ref="C4392" authorId="1" shapeId="0" xr:uid="{00000000-0006-0000-0100-00002B100000}">
      <text>
        <r>
          <rPr>
            <sz val="11"/>
            <color theme="1"/>
            <rFont val="Calibri"/>
            <family val="2"/>
            <scheme val="minor"/>
          </rPr>
          <t>Seleccione un valor de la lista</t>
        </r>
      </text>
    </comment>
    <comment ref="D4392" authorId="1" shapeId="0" xr:uid="{00000000-0006-0000-0100-00002C100000}">
      <text>
        <r>
          <rPr>
            <sz val="11"/>
            <color theme="1"/>
            <rFont val="Calibri"/>
            <family val="2"/>
            <scheme val="minor"/>
          </rPr>
          <t>Introduzca un número con dos decimales como máximo. Debe ser igual o mayor a la "Cantidad Real Consumida"</t>
        </r>
      </text>
    </comment>
    <comment ref="E4392" authorId="1" shapeId="0" xr:uid="{00000000-0006-0000-0100-00002D100000}">
      <text>
        <r>
          <rPr>
            <sz val="11"/>
            <color theme="1"/>
            <rFont val="Calibri"/>
            <family val="2"/>
            <scheme val="minor"/>
          </rPr>
          <t>Introduzca un número con dos decimales como máximo</t>
        </r>
      </text>
    </comment>
    <comment ref="F4392" authorId="1" shapeId="0" xr:uid="{00000000-0006-0000-0100-00002E100000}">
      <text>
        <r>
          <rPr>
            <sz val="11"/>
            <color theme="1"/>
            <rFont val="Calibri"/>
            <family val="2"/>
            <scheme val="minor"/>
          </rPr>
          <t>Monto calculado automáticamente por el sistema</t>
        </r>
      </text>
    </comment>
    <comment ref="A4397" authorId="1" shapeId="0" xr:uid="{00000000-0006-0000-0100-00002F100000}">
      <text>
        <r>
          <rPr>
            <sz val="11"/>
            <color theme="1"/>
            <rFont val="Calibri"/>
            <family val="2"/>
            <scheme val="minor"/>
          </rPr>
          <t>Introducir un texto con el nombre o referencia de la contratación</t>
        </r>
      </text>
    </comment>
    <comment ref="B4397" authorId="1" shapeId="0" xr:uid="{00000000-0006-0000-0100-000030100000}">
      <text>
        <r>
          <rPr>
            <sz val="11"/>
            <color theme="1"/>
            <rFont val="Calibri"/>
            <family val="2"/>
            <scheme val="minor"/>
          </rPr>
          <t>Introduzca un texto con la finalidad de la contratación</t>
        </r>
      </text>
    </comment>
    <comment ref="C4397" authorId="1" shapeId="0" xr:uid="{00000000-0006-0000-0100-000031100000}">
      <text>
        <r>
          <rPr>
            <sz val="11"/>
            <color theme="1"/>
            <rFont val="Calibri"/>
            <family val="2"/>
            <scheme val="minor"/>
          </rPr>
          <t>Seleccionar un valor del listado</t>
        </r>
      </text>
    </comment>
    <comment ref="D4397" authorId="1" shapeId="0" xr:uid="{00000000-0006-0000-0100-000032100000}">
      <text>
        <r>
          <rPr>
            <sz val="11"/>
            <color theme="1"/>
            <rFont val="Calibri"/>
            <family val="2"/>
            <scheme val="minor"/>
          </rPr>
          <t>Seleccione el tipo de procedimiento</t>
        </r>
      </text>
    </comment>
    <comment ref="E4397" authorId="1" shapeId="0" xr:uid="{00000000-0006-0000-0100-000033100000}">
      <text>
        <r>
          <rPr>
            <sz val="11"/>
            <color theme="1"/>
            <rFont val="Calibri"/>
            <family val="2"/>
            <scheme val="minor"/>
          </rPr>
          <t>Seleccione un valor de la lista</t>
        </r>
      </text>
    </comment>
    <comment ref="F4397" authorId="1" shapeId="0" xr:uid="{00000000-0006-0000-0100-000034100000}">
      <text>
        <r>
          <rPr>
            <sz val="11"/>
            <color theme="1"/>
            <rFont val="Calibri"/>
            <family val="2"/>
            <scheme val="minor"/>
          </rPr>
          <t>Introduzca el código SNIP</t>
        </r>
      </text>
    </comment>
    <comment ref="C4398" authorId="1" shapeId="0" xr:uid="{00000000-0006-0000-0100-000035100000}">
      <text>
        <r>
          <rPr>
            <sz val="11"/>
            <color theme="1"/>
            <rFont val="Calibri"/>
            <family val="2"/>
            <scheme val="minor"/>
          </rPr>
          <t>Introduzca la fecha de inicio del proceso, en formato dd-mm-aaaa</t>
        </r>
      </text>
    </comment>
    <comment ref="F4398" authorId="1" shapeId="0" xr:uid="{00000000-0006-0000-0100-0000371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99" authorId="1" shapeId="0" xr:uid="{00000000-0006-0000-0100-000038100000}">
      <text/>
    </comment>
    <comment ref="C4400" authorId="1" shapeId="0" xr:uid="{00000000-0006-0000-0100-000036100000}">
      <text>
        <r>
          <rPr>
            <sz val="11"/>
            <color theme="1"/>
            <rFont val="Calibri"/>
            <family val="2"/>
            <scheme val="minor"/>
          </rPr>
          <t>Introduzca la fecha prevista de adjudicación, en formato dd-mm-aaaa</t>
        </r>
      </text>
    </comment>
    <comment ref="F4400" authorId="1" shapeId="0" xr:uid="{00000000-0006-0000-0100-000039100000}">
      <text/>
    </comment>
    <comment ref="F4401" authorId="1" shapeId="0" xr:uid="{00000000-0006-0000-0100-00003A100000}">
      <text/>
    </comment>
    <comment ref="A4403" authorId="1" shapeId="0" xr:uid="{00000000-0006-0000-0100-00003B100000}">
      <text>
        <r>
          <rPr>
            <sz val="11"/>
            <color theme="1"/>
            <rFont val="Calibri"/>
            <family val="2"/>
            <scheme val="minor"/>
          </rPr>
          <t>Introduzca un codigo UNSPSC</t>
        </r>
      </text>
    </comment>
    <comment ref="B4403" authorId="1" shapeId="0" xr:uid="{00000000-0006-0000-0100-00003C100000}">
      <text>
        <r>
          <rPr>
            <sz val="11"/>
            <color theme="1"/>
            <rFont val="Calibri"/>
            <family val="2"/>
            <scheme val="minor"/>
          </rPr>
          <t>Descripción calculada automáticamente a partir de código del artículo</t>
        </r>
      </text>
    </comment>
    <comment ref="C4403" authorId="1" shapeId="0" xr:uid="{00000000-0006-0000-0100-00003D100000}">
      <text>
        <r>
          <rPr>
            <sz val="11"/>
            <color theme="1"/>
            <rFont val="Calibri"/>
            <family val="2"/>
            <scheme val="minor"/>
          </rPr>
          <t>Seleccione un valor de la lista</t>
        </r>
      </text>
    </comment>
    <comment ref="D4403" authorId="1" shapeId="0" xr:uid="{00000000-0006-0000-0100-00003E100000}">
      <text>
        <r>
          <rPr>
            <sz val="11"/>
            <color theme="1"/>
            <rFont val="Calibri"/>
            <family val="2"/>
            <scheme val="minor"/>
          </rPr>
          <t>Introduzca un número con dos decimales como máximo. Debe ser igual o mayor a la "Cantidad Real Consumida"</t>
        </r>
      </text>
    </comment>
    <comment ref="E4403" authorId="1" shapeId="0" xr:uid="{00000000-0006-0000-0100-00003F100000}">
      <text>
        <r>
          <rPr>
            <sz val="11"/>
            <color theme="1"/>
            <rFont val="Calibri"/>
            <family val="2"/>
            <scheme val="minor"/>
          </rPr>
          <t>Introduzca un número con dos decimales como máximo</t>
        </r>
      </text>
    </comment>
    <comment ref="F4403" authorId="1" shapeId="0" xr:uid="{00000000-0006-0000-0100-000040100000}">
      <text>
        <r>
          <rPr>
            <sz val="11"/>
            <color theme="1"/>
            <rFont val="Calibri"/>
            <family val="2"/>
            <scheme val="minor"/>
          </rPr>
          <t>Monto calculado automáticamente por el sistema</t>
        </r>
      </text>
    </comment>
    <comment ref="A4408" authorId="1" shapeId="0" xr:uid="{00000000-0006-0000-0100-000041100000}">
      <text>
        <r>
          <rPr>
            <sz val="11"/>
            <color theme="1"/>
            <rFont val="Calibri"/>
            <family val="2"/>
            <scheme val="minor"/>
          </rPr>
          <t>Introducir un texto con el nombre o referencia de la contratación</t>
        </r>
      </text>
    </comment>
    <comment ref="B4408" authorId="1" shapeId="0" xr:uid="{00000000-0006-0000-0100-000042100000}">
      <text>
        <r>
          <rPr>
            <sz val="11"/>
            <color theme="1"/>
            <rFont val="Calibri"/>
            <family val="2"/>
            <scheme val="minor"/>
          </rPr>
          <t>Introduzca un texto con la finalidad de la contratación</t>
        </r>
      </text>
    </comment>
    <comment ref="C4408" authorId="1" shapeId="0" xr:uid="{00000000-0006-0000-0100-000043100000}">
      <text>
        <r>
          <rPr>
            <sz val="11"/>
            <color theme="1"/>
            <rFont val="Calibri"/>
            <family val="2"/>
            <scheme val="minor"/>
          </rPr>
          <t>Seleccionar un valor del listado</t>
        </r>
      </text>
    </comment>
    <comment ref="D4408" authorId="1" shapeId="0" xr:uid="{00000000-0006-0000-0100-000044100000}">
      <text>
        <r>
          <rPr>
            <sz val="11"/>
            <color theme="1"/>
            <rFont val="Calibri"/>
            <family val="2"/>
            <scheme val="minor"/>
          </rPr>
          <t>Seleccione el tipo de procedimiento</t>
        </r>
      </text>
    </comment>
    <comment ref="E4408" authorId="1" shapeId="0" xr:uid="{00000000-0006-0000-0100-000045100000}">
      <text>
        <r>
          <rPr>
            <sz val="11"/>
            <color theme="1"/>
            <rFont val="Calibri"/>
            <family val="2"/>
            <scheme val="minor"/>
          </rPr>
          <t>Seleccione un valor de la lista</t>
        </r>
      </text>
    </comment>
    <comment ref="F4408" authorId="1" shapeId="0" xr:uid="{00000000-0006-0000-0100-000046100000}">
      <text>
        <r>
          <rPr>
            <sz val="11"/>
            <color theme="1"/>
            <rFont val="Calibri"/>
            <family val="2"/>
            <scheme val="minor"/>
          </rPr>
          <t>Introduzca el código SNIP</t>
        </r>
      </text>
    </comment>
    <comment ref="C4409" authorId="1" shapeId="0" xr:uid="{00000000-0006-0000-0100-000047100000}">
      <text>
        <r>
          <rPr>
            <sz val="11"/>
            <color theme="1"/>
            <rFont val="Calibri"/>
            <family val="2"/>
            <scheme val="minor"/>
          </rPr>
          <t>Introduzca la fecha de inicio del proceso, en formato dd-mm-aaaa</t>
        </r>
      </text>
    </comment>
    <comment ref="F4409" authorId="1" shapeId="0" xr:uid="{00000000-0006-0000-0100-0000491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10" authorId="1" shapeId="0" xr:uid="{00000000-0006-0000-0100-00004A100000}">
      <text/>
    </comment>
    <comment ref="C4411" authorId="1" shapeId="0" xr:uid="{00000000-0006-0000-0100-000048100000}">
      <text>
        <r>
          <rPr>
            <sz val="11"/>
            <color theme="1"/>
            <rFont val="Calibri"/>
            <family val="2"/>
            <scheme val="minor"/>
          </rPr>
          <t>Introduzca la fecha prevista de adjudicación, en formato dd-mm-aaaa</t>
        </r>
      </text>
    </comment>
    <comment ref="F4411" authorId="1" shapeId="0" xr:uid="{00000000-0006-0000-0100-00004B100000}">
      <text/>
    </comment>
    <comment ref="F4412" authorId="1" shapeId="0" xr:uid="{00000000-0006-0000-0100-00004C100000}">
      <text/>
    </comment>
    <comment ref="A4414" authorId="1" shapeId="0" xr:uid="{00000000-0006-0000-0100-00004D100000}">
      <text>
        <r>
          <rPr>
            <sz val="11"/>
            <color theme="1"/>
            <rFont val="Calibri"/>
            <family val="2"/>
            <scheme val="minor"/>
          </rPr>
          <t>Introduzca un codigo UNSPSC</t>
        </r>
      </text>
    </comment>
    <comment ref="B4414" authorId="1" shapeId="0" xr:uid="{00000000-0006-0000-0100-00004E100000}">
      <text>
        <r>
          <rPr>
            <sz val="11"/>
            <color theme="1"/>
            <rFont val="Calibri"/>
            <family val="2"/>
            <scheme val="minor"/>
          </rPr>
          <t>Descripción calculada automáticamente a partir de código del artículo</t>
        </r>
      </text>
    </comment>
    <comment ref="C4414" authorId="1" shapeId="0" xr:uid="{00000000-0006-0000-0100-00004F100000}">
      <text>
        <r>
          <rPr>
            <sz val="11"/>
            <color theme="1"/>
            <rFont val="Calibri"/>
            <family val="2"/>
            <scheme val="minor"/>
          </rPr>
          <t>Seleccione un valor de la lista</t>
        </r>
      </text>
    </comment>
    <comment ref="D4414" authorId="1" shapeId="0" xr:uid="{00000000-0006-0000-0100-000050100000}">
      <text>
        <r>
          <rPr>
            <sz val="11"/>
            <color theme="1"/>
            <rFont val="Calibri"/>
            <family val="2"/>
            <scheme val="minor"/>
          </rPr>
          <t>Introduzca un número con dos decimales como máximo. Debe ser igual o mayor a la "Cantidad Real Consumida"</t>
        </r>
      </text>
    </comment>
    <comment ref="E4414" authorId="1" shapeId="0" xr:uid="{00000000-0006-0000-0100-000051100000}">
      <text>
        <r>
          <rPr>
            <sz val="11"/>
            <color theme="1"/>
            <rFont val="Calibri"/>
            <family val="2"/>
            <scheme val="minor"/>
          </rPr>
          <t>Introduzca un número con dos decimales como máximo</t>
        </r>
      </text>
    </comment>
    <comment ref="F4414" authorId="1" shapeId="0" xr:uid="{00000000-0006-0000-0100-000052100000}">
      <text>
        <r>
          <rPr>
            <sz val="11"/>
            <color theme="1"/>
            <rFont val="Calibri"/>
            <family val="2"/>
            <scheme val="minor"/>
          </rPr>
          <t>Monto calculado automáticamente por el sistema</t>
        </r>
      </text>
    </comment>
    <comment ref="A4420" authorId="1" shapeId="0" xr:uid="{00000000-0006-0000-0100-000053100000}">
      <text>
        <r>
          <rPr>
            <sz val="11"/>
            <color theme="1"/>
            <rFont val="Calibri"/>
            <family val="2"/>
            <scheme val="minor"/>
          </rPr>
          <t>Introducir un texto con el nombre o referencia de la contratación</t>
        </r>
      </text>
    </comment>
    <comment ref="B4420" authorId="1" shapeId="0" xr:uid="{00000000-0006-0000-0100-000054100000}">
      <text>
        <r>
          <rPr>
            <sz val="11"/>
            <color theme="1"/>
            <rFont val="Calibri"/>
            <family val="2"/>
            <scheme val="minor"/>
          </rPr>
          <t>Introduzca un texto con la finalidad de la contratación</t>
        </r>
      </text>
    </comment>
    <comment ref="C4420" authorId="1" shapeId="0" xr:uid="{00000000-0006-0000-0100-000055100000}">
      <text>
        <r>
          <rPr>
            <sz val="11"/>
            <color theme="1"/>
            <rFont val="Calibri"/>
            <family val="2"/>
            <scheme val="minor"/>
          </rPr>
          <t>Seleccionar un valor del listado</t>
        </r>
      </text>
    </comment>
    <comment ref="D4420" authorId="1" shapeId="0" xr:uid="{00000000-0006-0000-0100-000056100000}">
      <text>
        <r>
          <rPr>
            <sz val="11"/>
            <color theme="1"/>
            <rFont val="Calibri"/>
            <family val="2"/>
            <scheme val="minor"/>
          </rPr>
          <t>Seleccione el tipo de procedimiento</t>
        </r>
      </text>
    </comment>
    <comment ref="E4420" authorId="1" shapeId="0" xr:uid="{00000000-0006-0000-0100-000057100000}">
      <text>
        <r>
          <rPr>
            <sz val="11"/>
            <color theme="1"/>
            <rFont val="Calibri"/>
            <family val="2"/>
            <scheme val="minor"/>
          </rPr>
          <t>Seleccione un valor de la lista</t>
        </r>
      </text>
    </comment>
    <comment ref="F4420" authorId="1" shapeId="0" xr:uid="{00000000-0006-0000-0100-000058100000}">
      <text>
        <r>
          <rPr>
            <sz val="11"/>
            <color theme="1"/>
            <rFont val="Calibri"/>
            <family val="2"/>
            <scheme val="minor"/>
          </rPr>
          <t>Introduzca el código SNIP</t>
        </r>
      </text>
    </comment>
    <comment ref="C4421" authorId="1" shapeId="0" xr:uid="{00000000-0006-0000-0100-000059100000}">
      <text>
        <r>
          <rPr>
            <sz val="11"/>
            <color theme="1"/>
            <rFont val="Calibri"/>
            <family val="2"/>
            <scheme val="minor"/>
          </rPr>
          <t>Introduzca la fecha de inicio del proceso, en formato dd-mm-aaaa</t>
        </r>
      </text>
    </comment>
    <comment ref="F4421" authorId="1" shapeId="0" xr:uid="{00000000-0006-0000-0100-00005B1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22" authorId="1" shapeId="0" xr:uid="{00000000-0006-0000-0100-00005C100000}">
      <text/>
    </comment>
    <comment ref="C4423" authorId="1" shapeId="0" xr:uid="{00000000-0006-0000-0100-00005A100000}">
      <text>
        <r>
          <rPr>
            <sz val="11"/>
            <color theme="1"/>
            <rFont val="Calibri"/>
            <family val="2"/>
            <scheme val="minor"/>
          </rPr>
          <t>Introduzca la fecha prevista de adjudicación, en formato dd-mm-aaaa</t>
        </r>
      </text>
    </comment>
    <comment ref="F4423" authorId="1" shapeId="0" xr:uid="{00000000-0006-0000-0100-00005D100000}">
      <text/>
    </comment>
    <comment ref="F4424" authorId="1" shapeId="0" xr:uid="{00000000-0006-0000-0100-00005E100000}">
      <text/>
    </comment>
    <comment ref="A4426" authorId="1" shapeId="0" xr:uid="{00000000-0006-0000-0100-00005F100000}">
      <text>
        <r>
          <rPr>
            <sz val="11"/>
            <color theme="1"/>
            <rFont val="Calibri"/>
            <family val="2"/>
            <scheme val="minor"/>
          </rPr>
          <t>Introduzca un codigo UNSPSC</t>
        </r>
      </text>
    </comment>
    <comment ref="B4426" authorId="1" shapeId="0" xr:uid="{00000000-0006-0000-0100-000060100000}">
      <text>
        <r>
          <rPr>
            <sz val="11"/>
            <color theme="1"/>
            <rFont val="Calibri"/>
            <family val="2"/>
            <scheme val="minor"/>
          </rPr>
          <t>Descripción calculada automáticamente a partir de código del artículo</t>
        </r>
      </text>
    </comment>
    <comment ref="C4426" authorId="1" shapeId="0" xr:uid="{00000000-0006-0000-0100-000061100000}">
      <text>
        <r>
          <rPr>
            <sz val="11"/>
            <color theme="1"/>
            <rFont val="Calibri"/>
            <family val="2"/>
            <scheme val="minor"/>
          </rPr>
          <t>Seleccione un valor de la lista</t>
        </r>
      </text>
    </comment>
    <comment ref="D4426" authorId="1" shapeId="0" xr:uid="{00000000-0006-0000-0100-000062100000}">
      <text>
        <r>
          <rPr>
            <sz val="11"/>
            <color theme="1"/>
            <rFont val="Calibri"/>
            <family val="2"/>
            <scheme val="minor"/>
          </rPr>
          <t>Introduzca un número con dos decimales como máximo. Debe ser igual o mayor a la "Cantidad Real Consumida"</t>
        </r>
      </text>
    </comment>
    <comment ref="E4426" authorId="1" shapeId="0" xr:uid="{00000000-0006-0000-0100-000063100000}">
      <text>
        <r>
          <rPr>
            <sz val="11"/>
            <color theme="1"/>
            <rFont val="Calibri"/>
            <family val="2"/>
            <scheme val="minor"/>
          </rPr>
          <t>Introduzca un número con dos decimales como máximo</t>
        </r>
      </text>
    </comment>
    <comment ref="F4426" authorId="1" shapeId="0" xr:uid="{00000000-0006-0000-0100-000064100000}">
      <text>
        <r>
          <rPr>
            <sz val="11"/>
            <color theme="1"/>
            <rFont val="Calibri"/>
            <family val="2"/>
            <scheme val="minor"/>
          </rPr>
          <t>Monto calculado automáticamente por el sistema</t>
        </r>
      </text>
    </comment>
    <comment ref="A4432" authorId="1" shapeId="0" xr:uid="{00000000-0006-0000-0100-000065100000}">
      <text>
        <r>
          <rPr>
            <sz val="11"/>
            <color theme="1"/>
            <rFont val="Calibri"/>
            <family val="2"/>
            <scheme val="minor"/>
          </rPr>
          <t>Introducir un texto con el nombre o referencia de la contratación</t>
        </r>
      </text>
    </comment>
    <comment ref="B4432" authorId="1" shapeId="0" xr:uid="{00000000-0006-0000-0100-000066100000}">
      <text>
        <r>
          <rPr>
            <sz val="11"/>
            <color theme="1"/>
            <rFont val="Calibri"/>
            <family val="2"/>
            <scheme val="minor"/>
          </rPr>
          <t>Introduzca un texto con la finalidad de la contratación</t>
        </r>
      </text>
    </comment>
    <comment ref="C4432" authorId="1" shapeId="0" xr:uid="{00000000-0006-0000-0100-000067100000}">
      <text>
        <r>
          <rPr>
            <sz val="11"/>
            <color theme="1"/>
            <rFont val="Calibri"/>
            <family val="2"/>
            <scheme val="minor"/>
          </rPr>
          <t>Seleccionar un valor del listado</t>
        </r>
      </text>
    </comment>
    <comment ref="D4432" authorId="1" shapeId="0" xr:uid="{00000000-0006-0000-0100-000068100000}">
      <text>
        <r>
          <rPr>
            <sz val="11"/>
            <color theme="1"/>
            <rFont val="Calibri"/>
            <family val="2"/>
            <scheme val="minor"/>
          </rPr>
          <t>Seleccione el tipo de procedimiento</t>
        </r>
      </text>
    </comment>
    <comment ref="E4432" authorId="1" shapeId="0" xr:uid="{00000000-0006-0000-0100-000069100000}">
      <text>
        <r>
          <rPr>
            <sz val="11"/>
            <color theme="1"/>
            <rFont val="Calibri"/>
            <family val="2"/>
            <scheme val="minor"/>
          </rPr>
          <t>Seleccione un valor de la lista</t>
        </r>
      </text>
    </comment>
    <comment ref="F4432" authorId="1" shapeId="0" xr:uid="{00000000-0006-0000-0100-00006A100000}">
      <text>
        <r>
          <rPr>
            <sz val="11"/>
            <color theme="1"/>
            <rFont val="Calibri"/>
            <family val="2"/>
            <scheme val="minor"/>
          </rPr>
          <t>Introduzca el código SNIP</t>
        </r>
      </text>
    </comment>
    <comment ref="C4433" authorId="1" shapeId="0" xr:uid="{00000000-0006-0000-0100-00006B100000}">
      <text>
        <r>
          <rPr>
            <sz val="11"/>
            <color theme="1"/>
            <rFont val="Calibri"/>
            <family val="2"/>
            <scheme val="minor"/>
          </rPr>
          <t>Introduzca la fecha de inicio del proceso, en formato dd-mm-aaaa</t>
        </r>
      </text>
    </comment>
    <comment ref="F4433" authorId="1" shapeId="0" xr:uid="{00000000-0006-0000-0100-00006D1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34" authorId="1" shapeId="0" xr:uid="{00000000-0006-0000-0100-00006E100000}">
      <text/>
    </comment>
    <comment ref="C4435" authorId="1" shapeId="0" xr:uid="{00000000-0006-0000-0100-00006C100000}">
      <text>
        <r>
          <rPr>
            <sz val="11"/>
            <color theme="1"/>
            <rFont val="Calibri"/>
            <family val="2"/>
            <scheme val="minor"/>
          </rPr>
          <t>Introduzca la fecha prevista de adjudicación, en formato dd-mm-aaaa</t>
        </r>
      </text>
    </comment>
    <comment ref="F4435" authorId="1" shapeId="0" xr:uid="{00000000-0006-0000-0100-00006F100000}">
      <text/>
    </comment>
    <comment ref="F4436" authorId="1" shapeId="0" xr:uid="{00000000-0006-0000-0100-000070100000}">
      <text/>
    </comment>
    <comment ref="A4438" authorId="1" shapeId="0" xr:uid="{00000000-0006-0000-0100-000071100000}">
      <text>
        <r>
          <rPr>
            <sz val="11"/>
            <color theme="1"/>
            <rFont val="Calibri"/>
            <family val="2"/>
            <scheme val="minor"/>
          </rPr>
          <t>Introduzca un codigo UNSPSC</t>
        </r>
      </text>
    </comment>
    <comment ref="B4438" authorId="1" shapeId="0" xr:uid="{00000000-0006-0000-0100-000072100000}">
      <text>
        <r>
          <rPr>
            <sz val="11"/>
            <color theme="1"/>
            <rFont val="Calibri"/>
            <family val="2"/>
            <scheme val="minor"/>
          </rPr>
          <t>Descripción calculada automáticamente a partir de código del artículo</t>
        </r>
      </text>
    </comment>
    <comment ref="C4438" authorId="1" shapeId="0" xr:uid="{00000000-0006-0000-0100-000073100000}">
      <text>
        <r>
          <rPr>
            <sz val="11"/>
            <color theme="1"/>
            <rFont val="Calibri"/>
            <family val="2"/>
            <scheme val="minor"/>
          </rPr>
          <t>Seleccione un valor de la lista</t>
        </r>
      </text>
    </comment>
    <comment ref="D4438" authorId="1" shapeId="0" xr:uid="{00000000-0006-0000-0100-000074100000}">
      <text>
        <r>
          <rPr>
            <sz val="11"/>
            <color theme="1"/>
            <rFont val="Calibri"/>
            <family val="2"/>
            <scheme val="minor"/>
          </rPr>
          <t>Introduzca un número con dos decimales como máximo. Debe ser igual o mayor a la "Cantidad Real Consumida"</t>
        </r>
      </text>
    </comment>
    <comment ref="E4438" authorId="1" shapeId="0" xr:uid="{00000000-0006-0000-0100-000075100000}">
      <text>
        <r>
          <rPr>
            <sz val="11"/>
            <color theme="1"/>
            <rFont val="Calibri"/>
            <family val="2"/>
            <scheme val="minor"/>
          </rPr>
          <t>Introduzca un número con dos decimales como máximo</t>
        </r>
      </text>
    </comment>
    <comment ref="F4438" authorId="1" shapeId="0" xr:uid="{00000000-0006-0000-0100-000076100000}">
      <text>
        <r>
          <rPr>
            <sz val="11"/>
            <color theme="1"/>
            <rFont val="Calibri"/>
            <family val="2"/>
            <scheme val="minor"/>
          </rPr>
          <t>Monto calculado automáticamente por el sistema</t>
        </r>
      </text>
    </comment>
    <comment ref="A4443" authorId="1" shapeId="0" xr:uid="{00000000-0006-0000-0100-000077100000}">
      <text>
        <r>
          <rPr>
            <sz val="11"/>
            <color theme="1"/>
            <rFont val="Calibri"/>
            <family val="2"/>
            <scheme val="minor"/>
          </rPr>
          <t>Introducir un texto con el nombre o referencia de la contratación</t>
        </r>
      </text>
    </comment>
    <comment ref="B4443" authorId="1" shapeId="0" xr:uid="{00000000-0006-0000-0100-000078100000}">
      <text>
        <r>
          <rPr>
            <sz val="11"/>
            <color theme="1"/>
            <rFont val="Calibri"/>
            <family val="2"/>
            <scheme val="minor"/>
          </rPr>
          <t>Introduzca un texto con la finalidad de la contratación</t>
        </r>
      </text>
    </comment>
    <comment ref="C4443" authorId="1" shapeId="0" xr:uid="{00000000-0006-0000-0100-000079100000}">
      <text>
        <r>
          <rPr>
            <sz val="11"/>
            <color theme="1"/>
            <rFont val="Calibri"/>
            <family val="2"/>
            <scheme val="minor"/>
          </rPr>
          <t>Seleccionar un valor del listado</t>
        </r>
      </text>
    </comment>
    <comment ref="D4443" authorId="1" shapeId="0" xr:uid="{00000000-0006-0000-0100-00007A100000}">
      <text>
        <r>
          <rPr>
            <sz val="11"/>
            <color theme="1"/>
            <rFont val="Calibri"/>
            <family val="2"/>
            <scheme val="minor"/>
          </rPr>
          <t>Seleccione el tipo de procedimiento</t>
        </r>
      </text>
    </comment>
    <comment ref="E4443" authorId="1" shapeId="0" xr:uid="{00000000-0006-0000-0100-00007B100000}">
      <text>
        <r>
          <rPr>
            <sz val="11"/>
            <color theme="1"/>
            <rFont val="Calibri"/>
            <family val="2"/>
            <scheme val="minor"/>
          </rPr>
          <t>Seleccione un valor de la lista</t>
        </r>
      </text>
    </comment>
    <comment ref="F4443" authorId="1" shapeId="0" xr:uid="{00000000-0006-0000-0100-00007C100000}">
      <text>
        <r>
          <rPr>
            <sz val="11"/>
            <color theme="1"/>
            <rFont val="Calibri"/>
            <family val="2"/>
            <scheme val="minor"/>
          </rPr>
          <t>Introduzca el código SNIP</t>
        </r>
      </text>
    </comment>
    <comment ref="C4444" authorId="1" shapeId="0" xr:uid="{00000000-0006-0000-0100-00007D100000}">
      <text>
        <r>
          <rPr>
            <sz val="11"/>
            <color theme="1"/>
            <rFont val="Calibri"/>
            <family val="2"/>
            <scheme val="minor"/>
          </rPr>
          <t>Introduzca la fecha de inicio del proceso, en formato dd-mm-aaaa</t>
        </r>
      </text>
    </comment>
    <comment ref="F4444" authorId="1" shapeId="0" xr:uid="{00000000-0006-0000-0100-00007F1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45" authorId="1" shapeId="0" xr:uid="{00000000-0006-0000-0100-000080100000}">
      <text/>
    </comment>
    <comment ref="C4446" authorId="1" shapeId="0" xr:uid="{00000000-0006-0000-0100-00007E100000}">
      <text>
        <r>
          <rPr>
            <sz val="11"/>
            <color theme="1"/>
            <rFont val="Calibri"/>
            <family val="2"/>
            <scheme val="minor"/>
          </rPr>
          <t>Introduzca la fecha prevista de adjudicación, en formato dd-mm-aaaa</t>
        </r>
      </text>
    </comment>
    <comment ref="F4446" authorId="1" shapeId="0" xr:uid="{00000000-0006-0000-0100-000081100000}">
      <text/>
    </comment>
    <comment ref="F4447" authorId="1" shapeId="0" xr:uid="{00000000-0006-0000-0100-000082100000}">
      <text/>
    </comment>
    <comment ref="A4449" authorId="1" shapeId="0" xr:uid="{00000000-0006-0000-0100-000083100000}">
      <text>
        <r>
          <rPr>
            <sz val="11"/>
            <color theme="1"/>
            <rFont val="Calibri"/>
            <family val="2"/>
            <scheme val="minor"/>
          </rPr>
          <t>Introduzca un codigo UNSPSC</t>
        </r>
      </text>
    </comment>
    <comment ref="B4449" authorId="1" shapeId="0" xr:uid="{00000000-0006-0000-0100-000084100000}">
      <text>
        <r>
          <rPr>
            <sz val="11"/>
            <color theme="1"/>
            <rFont val="Calibri"/>
            <family val="2"/>
            <scheme val="minor"/>
          </rPr>
          <t>Descripción calculada automáticamente a partir de código del artículo</t>
        </r>
      </text>
    </comment>
    <comment ref="C4449" authorId="1" shapeId="0" xr:uid="{00000000-0006-0000-0100-000085100000}">
      <text>
        <r>
          <rPr>
            <sz val="11"/>
            <color theme="1"/>
            <rFont val="Calibri"/>
            <family val="2"/>
            <scheme val="minor"/>
          </rPr>
          <t>Seleccione un valor de la lista</t>
        </r>
      </text>
    </comment>
    <comment ref="D4449" authorId="1" shapeId="0" xr:uid="{00000000-0006-0000-0100-000086100000}">
      <text>
        <r>
          <rPr>
            <sz val="11"/>
            <color theme="1"/>
            <rFont val="Calibri"/>
            <family val="2"/>
            <scheme val="minor"/>
          </rPr>
          <t>Introduzca un número con dos decimales como máximo. Debe ser igual o mayor a la "Cantidad Real Consumida"</t>
        </r>
      </text>
    </comment>
    <comment ref="E4449" authorId="1" shapeId="0" xr:uid="{00000000-0006-0000-0100-000087100000}">
      <text>
        <r>
          <rPr>
            <sz val="11"/>
            <color theme="1"/>
            <rFont val="Calibri"/>
            <family val="2"/>
            <scheme val="minor"/>
          </rPr>
          <t>Introduzca un número con dos decimales como máximo</t>
        </r>
      </text>
    </comment>
    <comment ref="F4449" authorId="1" shapeId="0" xr:uid="{00000000-0006-0000-0100-000088100000}">
      <text>
        <r>
          <rPr>
            <sz val="11"/>
            <color theme="1"/>
            <rFont val="Calibri"/>
            <family val="2"/>
            <scheme val="minor"/>
          </rPr>
          <t>Monto calculado automáticamente por el sistema</t>
        </r>
      </text>
    </comment>
    <comment ref="A4454" authorId="1" shapeId="0" xr:uid="{00000000-0006-0000-0100-000089100000}">
      <text>
        <r>
          <rPr>
            <sz val="11"/>
            <color theme="1"/>
            <rFont val="Calibri"/>
            <family val="2"/>
            <scheme val="minor"/>
          </rPr>
          <t>Introducir un texto con el nombre o referencia de la contratación</t>
        </r>
      </text>
    </comment>
    <comment ref="B4454" authorId="1" shapeId="0" xr:uid="{00000000-0006-0000-0100-00008A100000}">
      <text>
        <r>
          <rPr>
            <sz val="11"/>
            <color theme="1"/>
            <rFont val="Calibri"/>
            <family val="2"/>
            <scheme val="minor"/>
          </rPr>
          <t>Introduzca un texto con la finalidad de la contratación</t>
        </r>
      </text>
    </comment>
    <comment ref="C4454" authorId="1" shapeId="0" xr:uid="{00000000-0006-0000-0100-00008B100000}">
      <text>
        <r>
          <rPr>
            <sz val="11"/>
            <color theme="1"/>
            <rFont val="Calibri"/>
            <family val="2"/>
            <scheme val="minor"/>
          </rPr>
          <t>Seleccionar un valor del listado</t>
        </r>
      </text>
    </comment>
    <comment ref="D4454" authorId="1" shapeId="0" xr:uid="{00000000-0006-0000-0100-00008C100000}">
      <text>
        <r>
          <rPr>
            <sz val="11"/>
            <color theme="1"/>
            <rFont val="Calibri"/>
            <family val="2"/>
            <scheme val="minor"/>
          </rPr>
          <t>Seleccione el tipo de procedimiento</t>
        </r>
      </text>
    </comment>
    <comment ref="E4454" authorId="1" shapeId="0" xr:uid="{00000000-0006-0000-0100-00008D100000}">
      <text>
        <r>
          <rPr>
            <sz val="11"/>
            <color theme="1"/>
            <rFont val="Calibri"/>
            <family val="2"/>
            <scheme val="minor"/>
          </rPr>
          <t>Seleccione un valor de la lista</t>
        </r>
      </text>
    </comment>
    <comment ref="F4454" authorId="1" shapeId="0" xr:uid="{00000000-0006-0000-0100-00008E100000}">
      <text>
        <r>
          <rPr>
            <sz val="11"/>
            <color theme="1"/>
            <rFont val="Calibri"/>
            <family val="2"/>
            <scheme val="minor"/>
          </rPr>
          <t>Introduzca el código SNIP</t>
        </r>
      </text>
    </comment>
    <comment ref="C4455" authorId="1" shapeId="0" xr:uid="{00000000-0006-0000-0100-00008F100000}">
      <text>
        <r>
          <rPr>
            <sz val="11"/>
            <color theme="1"/>
            <rFont val="Calibri"/>
            <family val="2"/>
            <scheme val="minor"/>
          </rPr>
          <t>Introduzca la fecha de inicio del proceso, en formato dd-mm-aaaa</t>
        </r>
      </text>
    </comment>
    <comment ref="F4455" authorId="1" shapeId="0" xr:uid="{00000000-0006-0000-0100-0000911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56" authorId="1" shapeId="0" xr:uid="{00000000-0006-0000-0100-000092100000}">
      <text/>
    </comment>
    <comment ref="C4457" authorId="1" shapeId="0" xr:uid="{00000000-0006-0000-0100-000090100000}">
      <text>
        <r>
          <rPr>
            <sz val="11"/>
            <color theme="1"/>
            <rFont val="Calibri"/>
            <family val="2"/>
            <scheme val="minor"/>
          </rPr>
          <t>Introduzca la fecha prevista de adjudicación, en formato dd-mm-aaaa</t>
        </r>
      </text>
    </comment>
    <comment ref="F4457" authorId="1" shapeId="0" xr:uid="{00000000-0006-0000-0100-000093100000}">
      <text/>
    </comment>
    <comment ref="F4458" authorId="1" shapeId="0" xr:uid="{00000000-0006-0000-0100-000094100000}">
      <text/>
    </comment>
    <comment ref="A4460" authorId="1" shapeId="0" xr:uid="{00000000-0006-0000-0100-000095100000}">
      <text>
        <r>
          <rPr>
            <sz val="11"/>
            <color theme="1"/>
            <rFont val="Calibri"/>
            <family val="2"/>
            <scheme val="minor"/>
          </rPr>
          <t>Introduzca un codigo UNSPSC</t>
        </r>
      </text>
    </comment>
    <comment ref="B4460" authorId="1" shapeId="0" xr:uid="{00000000-0006-0000-0100-000096100000}">
      <text>
        <r>
          <rPr>
            <sz val="11"/>
            <color theme="1"/>
            <rFont val="Calibri"/>
            <family val="2"/>
            <scheme val="minor"/>
          </rPr>
          <t>Descripción calculada automáticamente a partir de código del artículo</t>
        </r>
      </text>
    </comment>
    <comment ref="C4460" authorId="1" shapeId="0" xr:uid="{00000000-0006-0000-0100-000097100000}">
      <text>
        <r>
          <rPr>
            <sz val="11"/>
            <color theme="1"/>
            <rFont val="Calibri"/>
            <family val="2"/>
            <scheme val="minor"/>
          </rPr>
          <t>Seleccione un valor de la lista</t>
        </r>
      </text>
    </comment>
    <comment ref="D4460" authorId="1" shapeId="0" xr:uid="{00000000-0006-0000-0100-000098100000}">
      <text>
        <r>
          <rPr>
            <sz val="11"/>
            <color theme="1"/>
            <rFont val="Calibri"/>
            <family val="2"/>
            <scheme val="minor"/>
          </rPr>
          <t>Introduzca un número con dos decimales como máximo. Debe ser igual o mayor a la "Cantidad Real Consumida"</t>
        </r>
      </text>
    </comment>
    <comment ref="E4460" authorId="1" shapeId="0" xr:uid="{00000000-0006-0000-0100-000099100000}">
      <text>
        <r>
          <rPr>
            <sz val="11"/>
            <color theme="1"/>
            <rFont val="Calibri"/>
            <family val="2"/>
            <scheme val="minor"/>
          </rPr>
          <t>Introduzca un número con dos decimales como máximo</t>
        </r>
      </text>
    </comment>
    <comment ref="F4460" authorId="1" shapeId="0" xr:uid="{00000000-0006-0000-0100-00009A100000}">
      <text>
        <r>
          <rPr>
            <sz val="11"/>
            <color theme="1"/>
            <rFont val="Calibri"/>
            <family val="2"/>
            <scheme val="minor"/>
          </rPr>
          <t>Monto calculado automáticamente por el sistema</t>
        </r>
      </text>
    </comment>
    <comment ref="A4469" authorId="1" shapeId="0" xr:uid="{00000000-0006-0000-0100-00009B100000}">
      <text>
        <r>
          <rPr>
            <sz val="11"/>
            <color theme="1"/>
            <rFont val="Calibri"/>
            <family val="2"/>
            <scheme val="minor"/>
          </rPr>
          <t>Introducir un texto con el nombre o referencia de la contratación</t>
        </r>
      </text>
    </comment>
    <comment ref="B4469" authorId="1" shapeId="0" xr:uid="{00000000-0006-0000-0100-00009C100000}">
      <text>
        <r>
          <rPr>
            <sz val="11"/>
            <color theme="1"/>
            <rFont val="Calibri"/>
            <family val="2"/>
            <scheme val="minor"/>
          </rPr>
          <t>Introduzca un texto con la finalidad de la contratación</t>
        </r>
      </text>
    </comment>
    <comment ref="C4469" authorId="1" shapeId="0" xr:uid="{00000000-0006-0000-0100-00009D100000}">
      <text>
        <r>
          <rPr>
            <sz val="11"/>
            <color theme="1"/>
            <rFont val="Calibri"/>
            <family val="2"/>
            <scheme val="minor"/>
          </rPr>
          <t>Seleccionar un valor del listado</t>
        </r>
      </text>
    </comment>
    <comment ref="D4469" authorId="1" shapeId="0" xr:uid="{00000000-0006-0000-0100-00009E100000}">
      <text>
        <r>
          <rPr>
            <sz val="11"/>
            <color theme="1"/>
            <rFont val="Calibri"/>
            <family val="2"/>
            <scheme val="minor"/>
          </rPr>
          <t>Seleccione el tipo de procedimiento</t>
        </r>
      </text>
    </comment>
    <comment ref="E4469" authorId="1" shapeId="0" xr:uid="{00000000-0006-0000-0100-00009F100000}">
      <text>
        <r>
          <rPr>
            <sz val="11"/>
            <color theme="1"/>
            <rFont val="Calibri"/>
            <family val="2"/>
            <scheme val="minor"/>
          </rPr>
          <t>Seleccione un valor de la lista</t>
        </r>
      </text>
    </comment>
    <comment ref="F4469" authorId="1" shapeId="0" xr:uid="{00000000-0006-0000-0100-0000A0100000}">
      <text>
        <r>
          <rPr>
            <sz val="11"/>
            <color theme="1"/>
            <rFont val="Calibri"/>
            <family val="2"/>
            <scheme val="minor"/>
          </rPr>
          <t>Introduzca el código SNIP</t>
        </r>
      </text>
    </comment>
    <comment ref="C4470" authorId="1" shapeId="0" xr:uid="{00000000-0006-0000-0100-0000A1100000}">
      <text>
        <r>
          <rPr>
            <sz val="11"/>
            <color theme="1"/>
            <rFont val="Calibri"/>
            <family val="2"/>
            <scheme val="minor"/>
          </rPr>
          <t>Introduzca la fecha de inicio del proceso, en formato dd-mm-aaaa</t>
        </r>
      </text>
    </comment>
    <comment ref="F4470" authorId="1" shapeId="0" xr:uid="{00000000-0006-0000-0100-0000A31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71" authorId="1" shapeId="0" xr:uid="{00000000-0006-0000-0100-0000A4100000}">
      <text/>
    </comment>
    <comment ref="C4472" authorId="1" shapeId="0" xr:uid="{00000000-0006-0000-0100-0000A2100000}">
      <text>
        <r>
          <rPr>
            <sz val="11"/>
            <color theme="1"/>
            <rFont val="Calibri"/>
            <family val="2"/>
            <scheme val="minor"/>
          </rPr>
          <t>Introduzca la fecha prevista de adjudicación, en formato dd-mm-aaaa</t>
        </r>
      </text>
    </comment>
    <comment ref="F4472" authorId="1" shapeId="0" xr:uid="{00000000-0006-0000-0100-0000A5100000}">
      <text/>
    </comment>
    <comment ref="F4473" authorId="1" shapeId="0" xr:uid="{00000000-0006-0000-0100-0000A6100000}">
      <text/>
    </comment>
    <comment ref="A4475" authorId="1" shapeId="0" xr:uid="{00000000-0006-0000-0100-0000A7100000}">
      <text>
        <r>
          <rPr>
            <sz val="11"/>
            <color theme="1"/>
            <rFont val="Calibri"/>
            <family val="2"/>
            <scheme val="minor"/>
          </rPr>
          <t>Introduzca un codigo UNSPSC</t>
        </r>
      </text>
    </comment>
    <comment ref="B4475" authorId="1" shapeId="0" xr:uid="{00000000-0006-0000-0100-0000A8100000}">
      <text>
        <r>
          <rPr>
            <sz val="11"/>
            <color theme="1"/>
            <rFont val="Calibri"/>
            <family val="2"/>
            <scheme val="minor"/>
          </rPr>
          <t>Descripción calculada automáticamente a partir de código del artículo</t>
        </r>
      </text>
    </comment>
    <comment ref="C4475" authorId="1" shapeId="0" xr:uid="{00000000-0006-0000-0100-0000A9100000}">
      <text>
        <r>
          <rPr>
            <sz val="11"/>
            <color theme="1"/>
            <rFont val="Calibri"/>
            <family val="2"/>
            <scheme val="minor"/>
          </rPr>
          <t>Seleccione un valor de la lista</t>
        </r>
      </text>
    </comment>
    <comment ref="D4475" authorId="1" shapeId="0" xr:uid="{00000000-0006-0000-0100-0000AA100000}">
      <text>
        <r>
          <rPr>
            <sz val="11"/>
            <color theme="1"/>
            <rFont val="Calibri"/>
            <family val="2"/>
            <scheme val="minor"/>
          </rPr>
          <t>Introduzca un número con dos decimales como máximo. Debe ser igual o mayor a la "Cantidad Real Consumida"</t>
        </r>
      </text>
    </comment>
    <comment ref="E4475" authorId="1" shapeId="0" xr:uid="{00000000-0006-0000-0100-0000AB100000}">
      <text>
        <r>
          <rPr>
            <sz val="11"/>
            <color theme="1"/>
            <rFont val="Calibri"/>
            <family val="2"/>
            <scheme val="minor"/>
          </rPr>
          <t>Introduzca un número con dos decimales como máximo</t>
        </r>
      </text>
    </comment>
    <comment ref="F4475" authorId="1" shapeId="0" xr:uid="{00000000-0006-0000-0100-0000AC100000}">
      <text>
        <r>
          <rPr>
            <sz val="11"/>
            <color theme="1"/>
            <rFont val="Calibri"/>
            <family val="2"/>
            <scheme val="minor"/>
          </rPr>
          <t>Monto calculado automáticamente por el sistema</t>
        </r>
      </text>
    </comment>
    <comment ref="A4484" authorId="1" shapeId="0" xr:uid="{00000000-0006-0000-0100-0000AD100000}">
      <text>
        <r>
          <rPr>
            <sz val="11"/>
            <color theme="1"/>
            <rFont val="Calibri"/>
            <family val="2"/>
            <scheme val="minor"/>
          </rPr>
          <t>Introducir un texto con el nombre o referencia de la contratación</t>
        </r>
      </text>
    </comment>
    <comment ref="B4484" authorId="1" shapeId="0" xr:uid="{00000000-0006-0000-0100-0000AE100000}">
      <text>
        <r>
          <rPr>
            <sz val="11"/>
            <color theme="1"/>
            <rFont val="Calibri"/>
            <family val="2"/>
            <scheme val="minor"/>
          </rPr>
          <t>Introduzca un texto con la finalidad de la contratación</t>
        </r>
      </text>
    </comment>
    <comment ref="C4484" authorId="1" shapeId="0" xr:uid="{00000000-0006-0000-0100-0000AF100000}">
      <text>
        <r>
          <rPr>
            <sz val="11"/>
            <color theme="1"/>
            <rFont val="Calibri"/>
            <family val="2"/>
            <scheme val="minor"/>
          </rPr>
          <t>Seleccionar un valor del listado</t>
        </r>
      </text>
    </comment>
    <comment ref="D4484" authorId="1" shapeId="0" xr:uid="{00000000-0006-0000-0100-0000B0100000}">
      <text>
        <r>
          <rPr>
            <sz val="11"/>
            <color theme="1"/>
            <rFont val="Calibri"/>
            <family val="2"/>
            <scheme val="minor"/>
          </rPr>
          <t>Seleccione el tipo de procedimiento</t>
        </r>
      </text>
    </comment>
    <comment ref="E4484" authorId="1" shapeId="0" xr:uid="{00000000-0006-0000-0100-0000B1100000}">
      <text>
        <r>
          <rPr>
            <sz val="11"/>
            <color theme="1"/>
            <rFont val="Calibri"/>
            <family val="2"/>
            <scheme val="minor"/>
          </rPr>
          <t>Seleccione un valor de la lista</t>
        </r>
      </text>
    </comment>
    <comment ref="F4484" authorId="1" shapeId="0" xr:uid="{00000000-0006-0000-0100-0000B2100000}">
      <text>
        <r>
          <rPr>
            <sz val="11"/>
            <color theme="1"/>
            <rFont val="Calibri"/>
            <family val="2"/>
            <scheme val="minor"/>
          </rPr>
          <t>Introduzca el código SNIP</t>
        </r>
      </text>
    </comment>
    <comment ref="C4485" authorId="1" shapeId="0" xr:uid="{00000000-0006-0000-0100-0000B3100000}">
      <text>
        <r>
          <rPr>
            <sz val="11"/>
            <color theme="1"/>
            <rFont val="Calibri"/>
            <family val="2"/>
            <scheme val="minor"/>
          </rPr>
          <t>Introduzca la fecha de inicio del proceso, en formato dd-mm-aaaa</t>
        </r>
      </text>
    </comment>
    <comment ref="F4485" authorId="1" shapeId="0" xr:uid="{00000000-0006-0000-0100-0000B51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86" authorId="1" shapeId="0" xr:uid="{00000000-0006-0000-0100-0000B6100000}">
      <text/>
    </comment>
    <comment ref="C4487" authorId="1" shapeId="0" xr:uid="{00000000-0006-0000-0100-0000B4100000}">
      <text>
        <r>
          <rPr>
            <sz val="11"/>
            <color theme="1"/>
            <rFont val="Calibri"/>
            <family val="2"/>
            <scheme val="minor"/>
          </rPr>
          <t>Introduzca la fecha prevista de adjudicación, en formato dd-mm-aaaa</t>
        </r>
      </text>
    </comment>
    <comment ref="F4487" authorId="1" shapeId="0" xr:uid="{00000000-0006-0000-0100-0000B7100000}">
      <text/>
    </comment>
    <comment ref="F4488" authorId="1" shapeId="0" xr:uid="{00000000-0006-0000-0100-0000B8100000}">
      <text/>
    </comment>
    <comment ref="A4490" authorId="1" shapeId="0" xr:uid="{00000000-0006-0000-0100-0000B9100000}">
      <text>
        <r>
          <rPr>
            <sz val="11"/>
            <color theme="1"/>
            <rFont val="Calibri"/>
            <family val="2"/>
            <scheme val="minor"/>
          </rPr>
          <t>Introduzca un codigo UNSPSC</t>
        </r>
      </text>
    </comment>
    <comment ref="B4490" authorId="1" shapeId="0" xr:uid="{00000000-0006-0000-0100-0000BA100000}">
      <text>
        <r>
          <rPr>
            <sz val="11"/>
            <color theme="1"/>
            <rFont val="Calibri"/>
            <family val="2"/>
            <scheme val="minor"/>
          </rPr>
          <t>Descripción calculada automáticamente a partir de código del artículo</t>
        </r>
      </text>
    </comment>
    <comment ref="C4490" authorId="1" shapeId="0" xr:uid="{00000000-0006-0000-0100-0000BB100000}">
      <text>
        <r>
          <rPr>
            <sz val="11"/>
            <color theme="1"/>
            <rFont val="Calibri"/>
            <family val="2"/>
            <scheme val="minor"/>
          </rPr>
          <t>Seleccione un valor de la lista</t>
        </r>
      </text>
    </comment>
    <comment ref="D4490" authorId="1" shapeId="0" xr:uid="{00000000-0006-0000-0100-0000BC100000}">
      <text>
        <r>
          <rPr>
            <sz val="11"/>
            <color theme="1"/>
            <rFont val="Calibri"/>
            <family val="2"/>
            <scheme val="minor"/>
          </rPr>
          <t>Introduzca un número con dos decimales como máximo. Debe ser igual o mayor a la "Cantidad Real Consumida"</t>
        </r>
      </text>
    </comment>
    <comment ref="E4490" authorId="1" shapeId="0" xr:uid="{00000000-0006-0000-0100-0000BD100000}">
      <text>
        <r>
          <rPr>
            <sz val="11"/>
            <color theme="1"/>
            <rFont val="Calibri"/>
            <family val="2"/>
            <scheme val="minor"/>
          </rPr>
          <t>Introduzca un número con dos decimales como máximo</t>
        </r>
      </text>
    </comment>
    <comment ref="F4490" authorId="1" shapeId="0" xr:uid="{00000000-0006-0000-0100-0000BE100000}">
      <text>
        <r>
          <rPr>
            <sz val="11"/>
            <color theme="1"/>
            <rFont val="Calibri"/>
            <family val="2"/>
            <scheme val="minor"/>
          </rPr>
          <t>Monto calculado automáticamente por el sistema</t>
        </r>
      </text>
    </comment>
    <comment ref="A4495" authorId="1" shapeId="0" xr:uid="{00000000-0006-0000-0100-0000BF100000}">
      <text>
        <r>
          <rPr>
            <sz val="11"/>
            <color theme="1"/>
            <rFont val="Calibri"/>
            <family val="2"/>
            <scheme val="minor"/>
          </rPr>
          <t>Introducir un texto con el nombre o referencia de la contratación</t>
        </r>
      </text>
    </comment>
    <comment ref="B4495" authorId="1" shapeId="0" xr:uid="{00000000-0006-0000-0100-0000C0100000}">
      <text>
        <r>
          <rPr>
            <sz val="11"/>
            <color theme="1"/>
            <rFont val="Calibri"/>
            <family val="2"/>
            <scheme val="minor"/>
          </rPr>
          <t>Introduzca un texto con la finalidad de la contratación</t>
        </r>
      </text>
    </comment>
    <comment ref="C4495" authorId="1" shapeId="0" xr:uid="{00000000-0006-0000-0100-0000C1100000}">
      <text>
        <r>
          <rPr>
            <sz val="11"/>
            <color theme="1"/>
            <rFont val="Calibri"/>
            <family val="2"/>
            <scheme val="minor"/>
          </rPr>
          <t>Seleccionar un valor del listado</t>
        </r>
      </text>
    </comment>
    <comment ref="D4495" authorId="1" shapeId="0" xr:uid="{00000000-0006-0000-0100-0000C2100000}">
      <text>
        <r>
          <rPr>
            <sz val="11"/>
            <color theme="1"/>
            <rFont val="Calibri"/>
            <family val="2"/>
            <scheme val="minor"/>
          </rPr>
          <t>Seleccione el tipo de procedimiento</t>
        </r>
      </text>
    </comment>
    <comment ref="E4495" authorId="1" shapeId="0" xr:uid="{00000000-0006-0000-0100-0000C3100000}">
      <text>
        <r>
          <rPr>
            <sz val="11"/>
            <color theme="1"/>
            <rFont val="Calibri"/>
            <family val="2"/>
            <scheme val="minor"/>
          </rPr>
          <t>Seleccione un valor de la lista</t>
        </r>
      </text>
    </comment>
    <comment ref="F4495" authorId="1" shapeId="0" xr:uid="{00000000-0006-0000-0100-0000C4100000}">
      <text>
        <r>
          <rPr>
            <sz val="11"/>
            <color theme="1"/>
            <rFont val="Calibri"/>
            <family val="2"/>
            <scheme val="minor"/>
          </rPr>
          <t>Introduzca el código SNIP</t>
        </r>
      </text>
    </comment>
    <comment ref="C4496" authorId="1" shapeId="0" xr:uid="{00000000-0006-0000-0100-0000C5100000}">
      <text>
        <r>
          <rPr>
            <sz val="11"/>
            <color theme="1"/>
            <rFont val="Calibri"/>
            <family val="2"/>
            <scheme val="minor"/>
          </rPr>
          <t>Introduzca la fecha de inicio del proceso, en formato dd-mm-aaaa</t>
        </r>
      </text>
    </comment>
    <comment ref="F4496" authorId="1" shapeId="0" xr:uid="{00000000-0006-0000-0100-0000C71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97" authorId="1" shapeId="0" xr:uid="{00000000-0006-0000-0100-0000C8100000}">
      <text/>
    </comment>
    <comment ref="C4498" authorId="1" shapeId="0" xr:uid="{00000000-0006-0000-0100-0000C6100000}">
      <text>
        <r>
          <rPr>
            <sz val="11"/>
            <color theme="1"/>
            <rFont val="Calibri"/>
            <family val="2"/>
            <scheme val="minor"/>
          </rPr>
          <t>Introduzca la fecha prevista de adjudicación, en formato dd-mm-aaaa</t>
        </r>
      </text>
    </comment>
    <comment ref="F4498" authorId="1" shapeId="0" xr:uid="{00000000-0006-0000-0100-0000C9100000}">
      <text/>
    </comment>
    <comment ref="F4499" authorId="1" shapeId="0" xr:uid="{00000000-0006-0000-0100-0000CA100000}">
      <text/>
    </comment>
    <comment ref="A4501" authorId="1" shapeId="0" xr:uid="{00000000-0006-0000-0100-0000CB100000}">
      <text>
        <r>
          <rPr>
            <sz val="11"/>
            <color theme="1"/>
            <rFont val="Calibri"/>
            <family val="2"/>
            <scheme val="minor"/>
          </rPr>
          <t>Introduzca un codigo UNSPSC</t>
        </r>
      </text>
    </comment>
    <comment ref="B4501" authorId="1" shapeId="0" xr:uid="{00000000-0006-0000-0100-0000CC100000}">
      <text>
        <r>
          <rPr>
            <sz val="11"/>
            <color theme="1"/>
            <rFont val="Calibri"/>
            <family val="2"/>
            <scheme val="minor"/>
          </rPr>
          <t>Descripción calculada automáticamente a partir de código del artículo</t>
        </r>
      </text>
    </comment>
    <comment ref="C4501" authorId="1" shapeId="0" xr:uid="{00000000-0006-0000-0100-0000CD100000}">
      <text>
        <r>
          <rPr>
            <sz val="11"/>
            <color theme="1"/>
            <rFont val="Calibri"/>
            <family val="2"/>
            <scheme val="minor"/>
          </rPr>
          <t>Seleccione un valor de la lista</t>
        </r>
      </text>
    </comment>
    <comment ref="D4501" authorId="1" shapeId="0" xr:uid="{00000000-0006-0000-0100-0000CE100000}">
      <text>
        <r>
          <rPr>
            <sz val="11"/>
            <color theme="1"/>
            <rFont val="Calibri"/>
            <family val="2"/>
            <scheme val="minor"/>
          </rPr>
          <t>Introduzca un número con dos decimales como máximo. Debe ser igual o mayor a la "Cantidad Real Consumida"</t>
        </r>
      </text>
    </comment>
    <comment ref="E4501" authorId="1" shapeId="0" xr:uid="{00000000-0006-0000-0100-0000CF100000}">
      <text>
        <r>
          <rPr>
            <sz val="11"/>
            <color theme="1"/>
            <rFont val="Calibri"/>
            <family val="2"/>
            <scheme val="minor"/>
          </rPr>
          <t>Introduzca un número con dos decimales como máximo</t>
        </r>
      </text>
    </comment>
    <comment ref="F4501" authorId="1" shapeId="0" xr:uid="{00000000-0006-0000-0100-0000D0100000}">
      <text>
        <r>
          <rPr>
            <sz val="11"/>
            <color theme="1"/>
            <rFont val="Calibri"/>
            <family val="2"/>
            <scheme val="minor"/>
          </rPr>
          <t>Monto calculado automáticamente por el sistema</t>
        </r>
      </text>
    </comment>
    <comment ref="A4506" authorId="1" shapeId="0" xr:uid="{00000000-0006-0000-0100-0000D1100000}">
      <text>
        <r>
          <rPr>
            <sz val="11"/>
            <color theme="1"/>
            <rFont val="Calibri"/>
            <family val="2"/>
            <scheme val="minor"/>
          </rPr>
          <t>Introducir un texto con el nombre o referencia de la contratación</t>
        </r>
      </text>
    </comment>
    <comment ref="B4506" authorId="1" shapeId="0" xr:uid="{00000000-0006-0000-0100-0000D2100000}">
      <text>
        <r>
          <rPr>
            <sz val="11"/>
            <color theme="1"/>
            <rFont val="Calibri"/>
            <family val="2"/>
            <scheme val="minor"/>
          </rPr>
          <t>Introduzca un texto con la finalidad de la contratación</t>
        </r>
      </text>
    </comment>
    <comment ref="C4506" authorId="1" shapeId="0" xr:uid="{00000000-0006-0000-0100-0000D3100000}">
      <text>
        <r>
          <rPr>
            <sz val="11"/>
            <color theme="1"/>
            <rFont val="Calibri"/>
            <family val="2"/>
            <scheme val="minor"/>
          </rPr>
          <t>Seleccionar un valor del listado</t>
        </r>
      </text>
    </comment>
    <comment ref="D4506" authorId="1" shapeId="0" xr:uid="{00000000-0006-0000-0100-0000D4100000}">
      <text>
        <r>
          <rPr>
            <sz val="11"/>
            <color theme="1"/>
            <rFont val="Calibri"/>
            <family val="2"/>
            <scheme val="minor"/>
          </rPr>
          <t>Seleccione el tipo de procedimiento</t>
        </r>
      </text>
    </comment>
    <comment ref="E4506" authorId="1" shapeId="0" xr:uid="{00000000-0006-0000-0100-0000D5100000}">
      <text>
        <r>
          <rPr>
            <sz val="11"/>
            <color theme="1"/>
            <rFont val="Calibri"/>
            <family val="2"/>
            <scheme val="minor"/>
          </rPr>
          <t>Seleccione un valor de la lista</t>
        </r>
      </text>
    </comment>
    <comment ref="F4506" authorId="1" shapeId="0" xr:uid="{00000000-0006-0000-0100-0000D6100000}">
      <text>
        <r>
          <rPr>
            <sz val="11"/>
            <color theme="1"/>
            <rFont val="Calibri"/>
            <family val="2"/>
            <scheme val="minor"/>
          </rPr>
          <t>Introduzca el código SNIP</t>
        </r>
      </text>
    </comment>
    <comment ref="C4507" authorId="1" shapeId="0" xr:uid="{00000000-0006-0000-0100-0000D7100000}">
      <text>
        <r>
          <rPr>
            <sz val="11"/>
            <color theme="1"/>
            <rFont val="Calibri"/>
            <family val="2"/>
            <scheme val="minor"/>
          </rPr>
          <t>Introduzca la fecha de inicio del proceso, en formato dd-mm-aaaa</t>
        </r>
      </text>
    </comment>
    <comment ref="F4507" authorId="1" shapeId="0" xr:uid="{00000000-0006-0000-0100-0000D91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08" authorId="1" shapeId="0" xr:uid="{00000000-0006-0000-0100-0000DA100000}">
      <text/>
    </comment>
    <comment ref="C4509" authorId="1" shapeId="0" xr:uid="{00000000-0006-0000-0100-0000D8100000}">
      <text>
        <r>
          <rPr>
            <sz val="11"/>
            <color theme="1"/>
            <rFont val="Calibri"/>
            <family val="2"/>
            <scheme val="minor"/>
          </rPr>
          <t>Introduzca la fecha prevista de adjudicación, en formato dd-mm-aaaa</t>
        </r>
      </text>
    </comment>
    <comment ref="F4509" authorId="1" shapeId="0" xr:uid="{00000000-0006-0000-0100-0000DB100000}">
      <text/>
    </comment>
    <comment ref="F4510" authorId="1" shapeId="0" xr:uid="{00000000-0006-0000-0100-0000DC100000}">
      <text/>
    </comment>
    <comment ref="A4512" authorId="1" shapeId="0" xr:uid="{00000000-0006-0000-0100-0000DD100000}">
      <text>
        <r>
          <rPr>
            <sz val="11"/>
            <color theme="1"/>
            <rFont val="Calibri"/>
            <family val="2"/>
            <scheme val="minor"/>
          </rPr>
          <t>Introduzca un codigo UNSPSC</t>
        </r>
      </text>
    </comment>
    <comment ref="B4512" authorId="1" shapeId="0" xr:uid="{00000000-0006-0000-0100-0000DE100000}">
      <text>
        <r>
          <rPr>
            <sz val="11"/>
            <color theme="1"/>
            <rFont val="Calibri"/>
            <family val="2"/>
            <scheme val="minor"/>
          </rPr>
          <t>Descripción calculada automáticamente a partir de código del artículo</t>
        </r>
      </text>
    </comment>
    <comment ref="C4512" authorId="1" shapeId="0" xr:uid="{00000000-0006-0000-0100-0000DF100000}">
      <text>
        <r>
          <rPr>
            <sz val="11"/>
            <color theme="1"/>
            <rFont val="Calibri"/>
            <family val="2"/>
            <scheme val="minor"/>
          </rPr>
          <t>Seleccione un valor de la lista</t>
        </r>
      </text>
    </comment>
    <comment ref="D4512" authorId="1" shapeId="0" xr:uid="{00000000-0006-0000-0100-0000E0100000}">
      <text>
        <r>
          <rPr>
            <sz val="11"/>
            <color theme="1"/>
            <rFont val="Calibri"/>
            <family val="2"/>
            <scheme val="minor"/>
          </rPr>
          <t>Introduzca un número con dos decimales como máximo. Debe ser igual o mayor a la "Cantidad Real Consumida"</t>
        </r>
      </text>
    </comment>
    <comment ref="E4512" authorId="1" shapeId="0" xr:uid="{00000000-0006-0000-0100-0000E1100000}">
      <text>
        <r>
          <rPr>
            <sz val="11"/>
            <color theme="1"/>
            <rFont val="Calibri"/>
            <family val="2"/>
            <scheme val="minor"/>
          </rPr>
          <t>Introduzca un número con dos decimales como máximo</t>
        </r>
      </text>
    </comment>
    <comment ref="F4512" authorId="1" shapeId="0" xr:uid="{00000000-0006-0000-0100-0000E2100000}">
      <text>
        <r>
          <rPr>
            <sz val="11"/>
            <color theme="1"/>
            <rFont val="Calibri"/>
            <family val="2"/>
            <scheme val="minor"/>
          </rPr>
          <t>Monto calculado automáticamente por el sistema</t>
        </r>
      </text>
    </comment>
    <comment ref="A4517" authorId="1" shapeId="0" xr:uid="{00000000-0006-0000-0100-0000E3100000}">
      <text>
        <r>
          <rPr>
            <sz val="11"/>
            <color theme="1"/>
            <rFont val="Calibri"/>
            <family val="2"/>
            <scheme val="minor"/>
          </rPr>
          <t>Introducir un texto con el nombre o referencia de la contratación</t>
        </r>
      </text>
    </comment>
    <comment ref="B4517" authorId="1" shapeId="0" xr:uid="{00000000-0006-0000-0100-0000E4100000}">
      <text>
        <r>
          <rPr>
            <sz val="11"/>
            <color theme="1"/>
            <rFont val="Calibri"/>
            <family val="2"/>
            <scheme val="minor"/>
          </rPr>
          <t>Introduzca un texto con la finalidad de la contratación</t>
        </r>
      </text>
    </comment>
    <comment ref="C4517" authorId="1" shapeId="0" xr:uid="{00000000-0006-0000-0100-0000E5100000}">
      <text>
        <r>
          <rPr>
            <sz val="11"/>
            <color theme="1"/>
            <rFont val="Calibri"/>
            <family val="2"/>
            <scheme val="minor"/>
          </rPr>
          <t>Seleccionar un valor del listado</t>
        </r>
      </text>
    </comment>
    <comment ref="D4517" authorId="1" shapeId="0" xr:uid="{00000000-0006-0000-0100-0000E6100000}">
      <text>
        <r>
          <rPr>
            <sz val="11"/>
            <color theme="1"/>
            <rFont val="Calibri"/>
            <family val="2"/>
            <scheme val="minor"/>
          </rPr>
          <t>Seleccione el tipo de procedimiento</t>
        </r>
      </text>
    </comment>
    <comment ref="E4517" authorId="1" shapeId="0" xr:uid="{00000000-0006-0000-0100-0000E7100000}">
      <text>
        <r>
          <rPr>
            <sz val="11"/>
            <color theme="1"/>
            <rFont val="Calibri"/>
            <family val="2"/>
            <scheme val="minor"/>
          </rPr>
          <t>Seleccione un valor de la lista</t>
        </r>
      </text>
    </comment>
    <comment ref="F4517" authorId="1" shapeId="0" xr:uid="{00000000-0006-0000-0100-0000E8100000}">
      <text>
        <r>
          <rPr>
            <sz val="11"/>
            <color theme="1"/>
            <rFont val="Calibri"/>
            <family val="2"/>
            <scheme val="minor"/>
          </rPr>
          <t>Introduzca el código SNIP</t>
        </r>
      </text>
    </comment>
    <comment ref="C4518" authorId="1" shapeId="0" xr:uid="{00000000-0006-0000-0100-0000E9100000}">
      <text>
        <r>
          <rPr>
            <sz val="11"/>
            <color theme="1"/>
            <rFont val="Calibri"/>
            <family val="2"/>
            <scheme val="minor"/>
          </rPr>
          <t>Introduzca la fecha de inicio del proceso, en formato dd-mm-aaaa</t>
        </r>
      </text>
    </comment>
    <comment ref="F4518" authorId="1" shapeId="0" xr:uid="{00000000-0006-0000-0100-0000EB1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19" authorId="1" shapeId="0" xr:uid="{00000000-0006-0000-0100-0000EC100000}">
      <text/>
    </comment>
    <comment ref="C4520" authorId="1" shapeId="0" xr:uid="{00000000-0006-0000-0100-0000EA100000}">
      <text>
        <r>
          <rPr>
            <sz val="11"/>
            <color theme="1"/>
            <rFont val="Calibri"/>
            <family val="2"/>
            <scheme val="minor"/>
          </rPr>
          <t>Introduzca la fecha prevista de adjudicación, en formato dd-mm-aaaa</t>
        </r>
      </text>
    </comment>
    <comment ref="F4520" authorId="1" shapeId="0" xr:uid="{00000000-0006-0000-0100-0000ED100000}">
      <text/>
    </comment>
    <comment ref="F4521" authorId="1" shapeId="0" xr:uid="{00000000-0006-0000-0100-0000EE100000}">
      <text/>
    </comment>
    <comment ref="A4523" authorId="1" shapeId="0" xr:uid="{00000000-0006-0000-0100-0000EF100000}">
      <text>
        <r>
          <rPr>
            <sz val="11"/>
            <color theme="1"/>
            <rFont val="Calibri"/>
            <family val="2"/>
            <scheme val="minor"/>
          </rPr>
          <t>Introduzca un codigo UNSPSC</t>
        </r>
      </text>
    </comment>
    <comment ref="B4523" authorId="1" shapeId="0" xr:uid="{00000000-0006-0000-0100-0000F0100000}">
      <text>
        <r>
          <rPr>
            <sz val="11"/>
            <color theme="1"/>
            <rFont val="Calibri"/>
            <family val="2"/>
            <scheme val="minor"/>
          </rPr>
          <t>Descripción calculada automáticamente a partir de código del artículo</t>
        </r>
      </text>
    </comment>
    <comment ref="C4523" authorId="1" shapeId="0" xr:uid="{00000000-0006-0000-0100-0000F1100000}">
      <text>
        <r>
          <rPr>
            <sz val="11"/>
            <color theme="1"/>
            <rFont val="Calibri"/>
            <family val="2"/>
            <scheme val="minor"/>
          </rPr>
          <t>Seleccione un valor de la lista</t>
        </r>
      </text>
    </comment>
    <comment ref="D4523" authorId="1" shapeId="0" xr:uid="{00000000-0006-0000-0100-0000F2100000}">
      <text>
        <r>
          <rPr>
            <sz val="11"/>
            <color theme="1"/>
            <rFont val="Calibri"/>
            <family val="2"/>
            <scheme val="minor"/>
          </rPr>
          <t>Introduzca un número con dos decimales como máximo. Debe ser igual o mayor a la "Cantidad Real Consumida"</t>
        </r>
      </text>
    </comment>
    <comment ref="E4523" authorId="1" shapeId="0" xr:uid="{00000000-0006-0000-0100-0000F3100000}">
      <text>
        <r>
          <rPr>
            <sz val="11"/>
            <color theme="1"/>
            <rFont val="Calibri"/>
            <family val="2"/>
            <scheme val="minor"/>
          </rPr>
          <t>Introduzca un número con dos decimales como máximo</t>
        </r>
      </text>
    </comment>
    <comment ref="F4523" authorId="1" shapeId="0" xr:uid="{00000000-0006-0000-0100-0000F4100000}">
      <text>
        <r>
          <rPr>
            <sz val="11"/>
            <color theme="1"/>
            <rFont val="Calibri"/>
            <family val="2"/>
            <scheme val="minor"/>
          </rPr>
          <t>Monto calculado automáticamente por el sistema</t>
        </r>
      </text>
    </comment>
    <comment ref="A4528" authorId="1" shapeId="0" xr:uid="{00000000-0006-0000-0100-0000F5100000}">
      <text>
        <r>
          <rPr>
            <sz val="11"/>
            <color theme="1"/>
            <rFont val="Calibri"/>
            <family val="2"/>
            <scheme val="minor"/>
          </rPr>
          <t>Introducir un texto con el nombre o referencia de la contratación</t>
        </r>
      </text>
    </comment>
    <comment ref="B4528" authorId="1" shapeId="0" xr:uid="{00000000-0006-0000-0100-0000F6100000}">
      <text>
        <r>
          <rPr>
            <sz val="11"/>
            <color theme="1"/>
            <rFont val="Calibri"/>
            <family val="2"/>
            <scheme val="minor"/>
          </rPr>
          <t>Introduzca un texto con la finalidad de la contratación</t>
        </r>
      </text>
    </comment>
    <comment ref="C4528" authorId="1" shapeId="0" xr:uid="{00000000-0006-0000-0100-0000F7100000}">
      <text>
        <r>
          <rPr>
            <sz val="11"/>
            <color theme="1"/>
            <rFont val="Calibri"/>
            <family val="2"/>
            <scheme val="minor"/>
          </rPr>
          <t>Seleccionar un valor del listado</t>
        </r>
      </text>
    </comment>
    <comment ref="D4528" authorId="1" shapeId="0" xr:uid="{00000000-0006-0000-0100-0000F8100000}">
      <text>
        <r>
          <rPr>
            <sz val="11"/>
            <color theme="1"/>
            <rFont val="Calibri"/>
            <family val="2"/>
            <scheme val="minor"/>
          </rPr>
          <t>Seleccione el tipo de procedimiento</t>
        </r>
      </text>
    </comment>
    <comment ref="E4528" authorId="1" shapeId="0" xr:uid="{00000000-0006-0000-0100-0000F9100000}">
      <text>
        <r>
          <rPr>
            <sz val="11"/>
            <color theme="1"/>
            <rFont val="Calibri"/>
            <family val="2"/>
            <scheme val="minor"/>
          </rPr>
          <t>Seleccione un valor de la lista</t>
        </r>
      </text>
    </comment>
    <comment ref="F4528" authorId="1" shapeId="0" xr:uid="{00000000-0006-0000-0100-0000FA100000}">
      <text>
        <r>
          <rPr>
            <sz val="11"/>
            <color theme="1"/>
            <rFont val="Calibri"/>
            <family val="2"/>
            <scheme val="minor"/>
          </rPr>
          <t>Introduzca el código SNIP</t>
        </r>
      </text>
    </comment>
    <comment ref="C4529" authorId="1" shapeId="0" xr:uid="{00000000-0006-0000-0100-0000FB100000}">
      <text>
        <r>
          <rPr>
            <sz val="11"/>
            <color theme="1"/>
            <rFont val="Calibri"/>
            <family val="2"/>
            <scheme val="minor"/>
          </rPr>
          <t>Introduzca la fecha de inicio del proceso, en formato dd-mm-aaaa</t>
        </r>
      </text>
    </comment>
    <comment ref="F4529" authorId="1" shapeId="0" xr:uid="{00000000-0006-0000-0100-0000FD1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30" authorId="1" shapeId="0" xr:uid="{00000000-0006-0000-0100-0000FE100000}">
      <text/>
    </comment>
    <comment ref="C4531" authorId="1" shapeId="0" xr:uid="{00000000-0006-0000-0100-0000FC100000}">
      <text>
        <r>
          <rPr>
            <sz val="11"/>
            <color theme="1"/>
            <rFont val="Calibri"/>
            <family val="2"/>
            <scheme val="minor"/>
          </rPr>
          <t>Introduzca la fecha prevista de adjudicación, en formato dd-mm-aaaa</t>
        </r>
      </text>
    </comment>
    <comment ref="F4531" authorId="1" shapeId="0" xr:uid="{00000000-0006-0000-0100-0000FF100000}">
      <text/>
    </comment>
    <comment ref="F4532" authorId="1" shapeId="0" xr:uid="{00000000-0006-0000-0100-000000110000}">
      <text/>
    </comment>
    <comment ref="A4534" authorId="1" shapeId="0" xr:uid="{00000000-0006-0000-0100-000001110000}">
      <text>
        <r>
          <rPr>
            <sz val="11"/>
            <color theme="1"/>
            <rFont val="Calibri"/>
            <family val="2"/>
            <scheme val="minor"/>
          </rPr>
          <t>Introduzca un codigo UNSPSC</t>
        </r>
      </text>
    </comment>
    <comment ref="B4534" authorId="1" shapeId="0" xr:uid="{00000000-0006-0000-0100-000002110000}">
      <text>
        <r>
          <rPr>
            <sz val="11"/>
            <color theme="1"/>
            <rFont val="Calibri"/>
            <family val="2"/>
            <scheme val="minor"/>
          </rPr>
          <t>Descripción calculada automáticamente a partir de código del artículo</t>
        </r>
      </text>
    </comment>
    <comment ref="C4534" authorId="1" shapeId="0" xr:uid="{00000000-0006-0000-0100-000003110000}">
      <text>
        <r>
          <rPr>
            <sz val="11"/>
            <color theme="1"/>
            <rFont val="Calibri"/>
            <family val="2"/>
            <scheme val="minor"/>
          </rPr>
          <t>Seleccione un valor de la lista</t>
        </r>
      </text>
    </comment>
    <comment ref="D4534" authorId="1" shapeId="0" xr:uid="{00000000-0006-0000-0100-000004110000}">
      <text>
        <r>
          <rPr>
            <sz val="11"/>
            <color theme="1"/>
            <rFont val="Calibri"/>
            <family val="2"/>
            <scheme val="minor"/>
          </rPr>
          <t>Introduzca un número con dos decimales como máximo. Debe ser igual o mayor a la "Cantidad Real Consumida"</t>
        </r>
      </text>
    </comment>
    <comment ref="E4534" authorId="1" shapeId="0" xr:uid="{00000000-0006-0000-0100-000005110000}">
      <text>
        <r>
          <rPr>
            <sz val="11"/>
            <color theme="1"/>
            <rFont val="Calibri"/>
            <family val="2"/>
            <scheme val="minor"/>
          </rPr>
          <t>Introduzca un número con dos decimales como máximo</t>
        </r>
      </text>
    </comment>
    <comment ref="F4534" authorId="1" shapeId="0" xr:uid="{00000000-0006-0000-0100-000006110000}">
      <text>
        <r>
          <rPr>
            <sz val="11"/>
            <color theme="1"/>
            <rFont val="Calibri"/>
            <family val="2"/>
            <scheme val="minor"/>
          </rPr>
          <t>Monto calculado automáticamente por el sistema</t>
        </r>
      </text>
    </comment>
    <comment ref="A4539" authorId="1" shapeId="0" xr:uid="{00000000-0006-0000-0100-000007110000}">
      <text>
        <r>
          <rPr>
            <sz val="11"/>
            <color theme="1"/>
            <rFont val="Calibri"/>
            <family val="2"/>
            <scheme val="minor"/>
          </rPr>
          <t>Introducir un texto con el nombre o referencia de la contratación</t>
        </r>
      </text>
    </comment>
    <comment ref="B4539" authorId="1" shapeId="0" xr:uid="{00000000-0006-0000-0100-000008110000}">
      <text>
        <r>
          <rPr>
            <sz val="11"/>
            <color theme="1"/>
            <rFont val="Calibri"/>
            <family val="2"/>
            <scheme val="minor"/>
          </rPr>
          <t>Introduzca un texto con la finalidad de la contratación</t>
        </r>
      </text>
    </comment>
    <comment ref="C4539" authorId="1" shapeId="0" xr:uid="{00000000-0006-0000-0100-000009110000}">
      <text>
        <r>
          <rPr>
            <sz val="11"/>
            <color theme="1"/>
            <rFont val="Calibri"/>
            <family val="2"/>
            <scheme val="minor"/>
          </rPr>
          <t>Seleccionar un valor del listado</t>
        </r>
      </text>
    </comment>
    <comment ref="D4539" authorId="1" shapeId="0" xr:uid="{00000000-0006-0000-0100-00000A110000}">
      <text>
        <r>
          <rPr>
            <sz val="11"/>
            <color theme="1"/>
            <rFont val="Calibri"/>
            <family val="2"/>
            <scheme val="minor"/>
          </rPr>
          <t>Seleccione el tipo de procedimiento</t>
        </r>
      </text>
    </comment>
    <comment ref="E4539" authorId="1" shapeId="0" xr:uid="{00000000-0006-0000-0100-00000B110000}">
      <text>
        <r>
          <rPr>
            <sz val="11"/>
            <color theme="1"/>
            <rFont val="Calibri"/>
            <family val="2"/>
            <scheme val="minor"/>
          </rPr>
          <t>Seleccione un valor de la lista</t>
        </r>
      </text>
    </comment>
    <comment ref="F4539" authorId="1" shapeId="0" xr:uid="{00000000-0006-0000-0100-00000C110000}">
      <text>
        <r>
          <rPr>
            <sz val="11"/>
            <color theme="1"/>
            <rFont val="Calibri"/>
            <family val="2"/>
            <scheme val="minor"/>
          </rPr>
          <t>Introduzca el código SNIP</t>
        </r>
      </text>
    </comment>
    <comment ref="C4540" authorId="1" shapeId="0" xr:uid="{00000000-0006-0000-0100-00000D110000}">
      <text>
        <r>
          <rPr>
            <sz val="11"/>
            <color theme="1"/>
            <rFont val="Calibri"/>
            <family val="2"/>
            <scheme val="minor"/>
          </rPr>
          <t>Introduzca la fecha de inicio del proceso, en formato dd-mm-aaaa</t>
        </r>
      </text>
    </comment>
    <comment ref="F4540" authorId="1" shapeId="0" xr:uid="{00000000-0006-0000-0100-00000F1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41" authorId="1" shapeId="0" xr:uid="{00000000-0006-0000-0100-000010110000}">
      <text/>
    </comment>
    <comment ref="C4542" authorId="1" shapeId="0" xr:uid="{00000000-0006-0000-0100-00000E110000}">
      <text>
        <r>
          <rPr>
            <sz val="11"/>
            <color theme="1"/>
            <rFont val="Calibri"/>
            <family val="2"/>
            <scheme val="minor"/>
          </rPr>
          <t>Introduzca la fecha prevista de adjudicación, en formato dd-mm-aaaa</t>
        </r>
      </text>
    </comment>
    <comment ref="F4542" authorId="1" shapeId="0" xr:uid="{00000000-0006-0000-0100-000011110000}">
      <text/>
    </comment>
    <comment ref="F4543" authorId="1" shapeId="0" xr:uid="{00000000-0006-0000-0100-000012110000}">
      <text/>
    </comment>
    <comment ref="A4545" authorId="1" shapeId="0" xr:uid="{00000000-0006-0000-0100-000013110000}">
      <text>
        <r>
          <rPr>
            <sz val="11"/>
            <color theme="1"/>
            <rFont val="Calibri"/>
            <family val="2"/>
            <scheme val="minor"/>
          </rPr>
          <t>Introduzca un codigo UNSPSC</t>
        </r>
      </text>
    </comment>
    <comment ref="B4545" authorId="1" shapeId="0" xr:uid="{00000000-0006-0000-0100-000014110000}">
      <text>
        <r>
          <rPr>
            <sz val="11"/>
            <color theme="1"/>
            <rFont val="Calibri"/>
            <family val="2"/>
            <scheme val="minor"/>
          </rPr>
          <t>Descripción calculada automáticamente a partir de código del artículo</t>
        </r>
      </text>
    </comment>
    <comment ref="C4545" authorId="1" shapeId="0" xr:uid="{00000000-0006-0000-0100-000015110000}">
      <text>
        <r>
          <rPr>
            <sz val="11"/>
            <color theme="1"/>
            <rFont val="Calibri"/>
            <family val="2"/>
            <scheme val="minor"/>
          </rPr>
          <t>Seleccione un valor de la lista</t>
        </r>
      </text>
    </comment>
    <comment ref="D4545" authorId="1" shapeId="0" xr:uid="{00000000-0006-0000-0100-000016110000}">
      <text>
        <r>
          <rPr>
            <sz val="11"/>
            <color theme="1"/>
            <rFont val="Calibri"/>
            <family val="2"/>
            <scheme val="minor"/>
          </rPr>
          <t>Introduzca un número con dos decimales como máximo. Debe ser igual o mayor a la "Cantidad Real Consumida"</t>
        </r>
      </text>
    </comment>
    <comment ref="E4545" authorId="1" shapeId="0" xr:uid="{00000000-0006-0000-0100-000017110000}">
      <text>
        <r>
          <rPr>
            <sz val="11"/>
            <color theme="1"/>
            <rFont val="Calibri"/>
            <family val="2"/>
            <scheme val="minor"/>
          </rPr>
          <t>Introduzca un número con dos decimales como máximo</t>
        </r>
      </text>
    </comment>
    <comment ref="F4545" authorId="1" shapeId="0" xr:uid="{00000000-0006-0000-0100-000018110000}">
      <text>
        <r>
          <rPr>
            <sz val="11"/>
            <color theme="1"/>
            <rFont val="Calibri"/>
            <family val="2"/>
            <scheme val="minor"/>
          </rPr>
          <t>Monto calculado automáticamente por el sistema</t>
        </r>
      </text>
    </comment>
    <comment ref="A4550" authorId="1" shapeId="0" xr:uid="{00000000-0006-0000-0100-000019110000}">
      <text>
        <r>
          <rPr>
            <sz val="11"/>
            <color theme="1"/>
            <rFont val="Calibri"/>
            <family val="2"/>
            <scheme val="minor"/>
          </rPr>
          <t>Introducir un texto con el nombre o referencia de la contratación</t>
        </r>
      </text>
    </comment>
    <comment ref="B4550" authorId="1" shapeId="0" xr:uid="{00000000-0006-0000-0100-00001A110000}">
      <text>
        <r>
          <rPr>
            <sz val="11"/>
            <color theme="1"/>
            <rFont val="Calibri"/>
            <family val="2"/>
            <scheme val="minor"/>
          </rPr>
          <t>Introduzca un texto con la finalidad de la contratación</t>
        </r>
      </text>
    </comment>
    <comment ref="C4550" authorId="1" shapeId="0" xr:uid="{00000000-0006-0000-0100-00001B110000}">
      <text>
        <r>
          <rPr>
            <sz val="11"/>
            <color theme="1"/>
            <rFont val="Calibri"/>
            <family val="2"/>
            <scheme val="minor"/>
          </rPr>
          <t>Seleccionar un valor del listado</t>
        </r>
      </text>
    </comment>
    <comment ref="D4550" authorId="1" shapeId="0" xr:uid="{00000000-0006-0000-0100-00001C110000}">
      <text>
        <r>
          <rPr>
            <sz val="11"/>
            <color theme="1"/>
            <rFont val="Calibri"/>
            <family val="2"/>
            <scheme val="minor"/>
          </rPr>
          <t>Seleccione el tipo de procedimiento</t>
        </r>
      </text>
    </comment>
    <comment ref="E4550" authorId="1" shapeId="0" xr:uid="{00000000-0006-0000-0100-00001D110000}">
      <text>
        <r>
          <rPr>
            <sz val="11"/>
            <color theme="1"/>
            <rFont val="Calibri"/>
            <family val="2"/>
            <scheme val="minor"/>
          </rPr>
          <t>Seleccione un valor de la lista</t>
        </r>
      </text>
    </comment>
    <comment ref="F4550" authorId="1" shapeId="0" xr:uid="{00000000-0006-0000-0100-00001E110000}">
      <text>
        <r>
          <rPr>
            <sz val="11"/>
            <color theme="1"/>
            <rFont val="Calibri"/>
            <family val="2"/>
            <scheme val="minor"/>
          </rPr>
          <t>Introduzca el código SNIP</t>
        </r>
      </text>
    </comment>
    <comment ref="C4551" authorId="1" shapeId="0" xr:uid="{00000000-0006-0000-0100-00001F110000}">
      <text>
        <r>
          <rPr>
            <sz val="11"/>
            <color theme="1"/>
            <rFont val="Calibri"/>
            <family val="2"/>
            <scheme val="minor"/>
          </rPr>
          <t>Introduzca la fecha de inicio del proceso, en formato dd-mm-aaaa</t>
        </r>
      </text>
    </comment>
    <comment ref="F4551" authorId="1" shapeId="0" xr:uid="{00000000-0006-0000-0100-0000211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52" authorId="1" shapeId="0" xr:uid="{00000000-0006-0000-0100-000022110000}">
      <text/>
    </comment>
    <comment ref="C4553" authorId="1" shapeId="0" xr:uid="{00000000-0006-0000-0100-000020110000}">
      <text>
        <r>
          <rPr>
            <sz val="11"/>
            <color theme="1"/>
            <rFont val="Calibri"/>
            <family val="2"/>
            <scheme val="minor"/>
          </rPr>
          <t>Introduzca la fecha prevista de adjudicación, en formato dd-mm-aaaa</t>
        </r>
      </text>
    </comment>
    <comment ref="F4553" authorId="1" shapeId="0" xr:uid="{00000000-0006-0000-0100-000023110000}">
      <text/>
    </comment>
    <comment ref="F4554" authorId="1" shapeId="0" xr:uid="{00000000-0006-0000-0100-000024110000}">
      <text/>
    </comment>
    <comment ref="A4556" authorId="1" shapeId="0" xr:uid="{00000000-0006-0000-0100-000025110000}">
      <text>
        <r>
          <rPr>
            <sz val="11"/>
            <color theme="1"/>
            <rFont val="Calibri"/>
            <family val="2"/>
            <scheme val="minor"/>
          </rPr>
          <t>Introduzca un codigo UNSPSC</t>
        </r>
      </text>
    </comment>
    <comment ref="B4556" authorId="1" shapeId="0" xr:uid="{00000000-0006-0000-0100-000026110000}">
      <text>
        <r>
          <rPr>
            <sz val="11"/>
            <color theme="1"/>
            <rFont val="Calibri"/>
            <family val="2"/>
            <scheme val="minor"/>
          </rPr>
          <t>Descripción calculada automáticamente a partir de código del artículo</t>
        </r>
      </text>
    </comment>
    <comment ref="C4556" authorId="1" shapeId="0" xr:uid="{00000000-0006-0000-0100-000027110000}">
      <text>
        <r>
          <rPr>
            <sz val="11"/>
            <color theme="1"/>
            <rFont val="Calibri"/>
            <family val="2"/>
            <scheme val="minor"/>
          </rPr>
          <t>Seleccione un valor de la lista</t>
        </r>
      </text>
    </comment>
    <comment ref="D4556" authorId="1" shapeId="0" xr:uid="{00000000-0006-0000-0100-000028110000}">
      <text>
        <r>
          <rPr>
            <sz val="11"/>
            <color theme="1"/>
            <rFont val="Calibri"/>
            <family val="2"/>
            <scheme val="minor"/>
          </rPr>
          <t>Introduzca un número con dos decimales como máximo. Debe ser igual o mayor a la "Cantidad Real Consumida"</t>
        </r>
      </text>
    </comment>
    <comment ref="E4556" authorId="1" shapeId="0" xr:uid="{00000000-0006-0000-0100-000029110000}">
      <text>
        <r>
          <rPr>
            <sz val="11"/>
            <color theme="1"/>
            <rFont val="Calibri"/>
            <family val="2"/>
            <scheme val="minor"/>
          </rPr>
          <t>Introduzca un número con dos decimales como máximo</t>
        </r>
      </text>
    </comment>
    <comment ref="F4556" authorId="1" shapeId="0" xr:uid="{00000000-0006-0000-0100-00002A110000}">
      <text>
        <r>
          <rPr>
            <sz val="11"/>
            <color theme="1"/>
            <rFont val="Calibri"/>
            <family val="2"/>
            <scheme val="minor"/>
          </rPr>
          <t>Monto calculado automáticamente por el sistema</t>
        </r>
      </text>
    </comment>
    <comment ref="A4565" authorId="1" shapeId="0" xr:uid="{00000000-0006-0000-0100-00002B110000}">
      <text>
        <r>
          <rPr>
            <sz val="11"/>
            <color theme="1"/>
            <rFont val="Calibri"/>
            <family val="2"/>
            <scheme val="minor"/>
          </rPr>
          <t>Introducir un texto con el nombre o referencia de la contratación</t>
        </r>
      </text>
    </comment>
    <comment ref="B4565" authorId="1" shapeId="0" xr:uid="{00000000-0006-0000-0100-00002C110000}">
      <text>
        <r>
          <rPr>
            <sz val="11"/>
            <color theme="1"/>
            <rFont val="Calibri"/>
            <family val="2"/>
            <scheme val="minor"/>
          </rPr>
          <t>Introduzca un texto con la finalidad de la contratación</t>
        </r>
      </text>
    </comment>
    <comment ref="C4565" authorId="1" shapeId="0" xr:uid="{00000000-0006-0000-0100-00002D110000}">
      <text>
        <r>
          <rPr>
            <sz val="11"/>
            <color theme="1"/>
            <rFont val="Calibri"/>
            <family val="2"/>
            <scheme val="minor"/>
          </rPr>
          <t>Seleccionar un valor del listado</t>
        </r>
      </text>
    </comment>
    <comment ref="D4565" authorId="1" shapeId="0" xr:uid="{00000000-0006-0000-0100-00002E110000}">
      <text>
        <r>
          <rPr>
            <sz val="11"/>
            <color theme="1"/>
            <rFont val="Calibri"/>
            <family val="2"/>
            <scheme val="minor"/>
          </rPr>
          <t>Seleccione el tipo de procedimiento</t>
        </r>
      </text>
    </comment>
    <comment ref="E4565" authorId="1" shapeId="0" xr:uid="{00000000-0006-0000-0100-00002F110000}">
      <text>
        <r>
          <rPr>
            <sz val="11"/>
            <color theme="1"/>
            <rFont val="Calibri"/>
            <family val="2"/>
            <scheme val="minor"/>
          </rPr>
          <t>Seleccione un valor de la lista</t>
        </r>
      </text>
    </comment>
    <comment ref="F4565" authorId="1" shapeId="0" xr:uid="{00000000-0006-0000-0100-000030110000}">
      <text>
        <r>
          <rPr>
            <sz val="11"/>
            <color theme="1"/>
            <rFont val="Calibri"/>
            <family val="2"/>
            <scheme val="minor"/>
          </rPr>
          <t>Introduzca el código SNIP</t>
        </r>
      </text>
    </comment>
    <comment ref="C4566" authorId="1" shapeId="0" xr:uid="{00000000-0006-0000-0100-000031110000}">
      <text>
        <r>
          <rPr>
            <sz val="11"/>
            <color theme="1"/>
            <rFont val="Calibri"/>
            <family val="2"/>
            <scheme val="minor"/>
          </rPr>
          <t>Introduzca la fecha de inicio del proceso, en formato dd-mm-aaaa</t>
        </r>
      </text>
    </comment>
    <comment ref="F4566" authorId="1" shapeId="0" xr:uid="{00000000-0006-0000-0100-0000331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67" authorId="1" shapeId="0" xr:uid="{00000000-0006-0000-0100-000034110000}">
      <text/>
    </comment>
    <comment ref="C4568" authorId="1" shapeId="0" xr:uid="{00000000-0006-0000-0100-000032110000}">
      <text>
        <r>
          <rPr>
            <sz val="11"/>
            <color theme="1"/>
            <rFont val="Calibri"/>
            <family val="2"/>
            <scheme val="minor"/>
          </rPr>
          <t>Introduzca la fecha prevista de adjudicación, en formato dd-mm-aaaa</t>
        </r>
      </text>
    </comment>
    <comment ref="F4568" authorId="1" shapeId="0" xr:uid="{00000000-0006-0000-0100-000035110000}">
      <text/>
    </comment>
    <comment ref="F4569" authorId="1" shapeId="0" xr:uid="{00000000-0006-0000-0100-000036110000}">
      <text/>
    </comment>
    <comment ref="A4571" authorId="1" shapeId="0" xr:uid="{00000000-0006-0000-0100-000037110000}">
      <text>
        <r>
          <rPr>
            <sz val="11"/>
            <color theme="1"/>
            <rFont val="Calibri"/>
            <family val="2"/>
            <scheme val="minor"/>
          </rPr>
          <t>Introduzca un codigo UNSPSC</t>
        </r>
      </text>
    </comment>
    <comment ref="B4571" authorId="1" shapeId="0" xr:uid="{00000000-0006-0000-0100-000038110000}">
      <text>
        <r>
          <rPr>
            <sz val="11"/>
            <color theme="1"/>
            <rFont val="Calibri"/>
            <family val="2"/>
            <scheme val="minor"/>
          </rPr>
          <t>Descripción calculada automáticamente a partir de código del artículo</t>
        </r>
      </text>
    </comment>
    <comment ref="C4571" authorId="1" shapeId="0" xr:uid="{00000000-0006-0000-0100-000039110000}">
      <text>
        <r>
          <rPr>
            <sz val="11"/>
            <color theme="1"/>
            <rFont val="Calibri"/>
            <family val="2"/>
            <scheme val="minor"/>
          </rPr>
          <t>Seleccione un valor de la lista</t>
        </r>
      </text>
    </comment>
    <comment ref="D4571" authorId="1" shapeId="0" xr:uid="{00000000-0006-0000-0100-00003A110000}">
      <text>
        <r>
          <rPr>
            <sz val="11"/>
            <color theme="1"/>
            <rFont val="Calibri"/>
            <family val="2"/>
            <scheme val="minor"/>
          </rPr>
          <t>Introduzca un número con dos decimales como máximo. Debe ser igual o mayor a la "Cantidad Real Consumida"</t>
        </r>
      </text>
    </comment>
    <comment ref="E4571" authorId="1" shapeId="0" xr:uid="{00000000-0006-0000-0100-00003B110000}">
      <text>
        <r>
          <rPr>
            <sz val="11"/>
            <color theme="1"/>
            <rFont val="Calibri"/>
            <family val="2"/>
            <scheme val="minor"/>
          </rPr>
          <t>Introduzca un número con dos decimales como máximo</t>
        </r>
      </text>
    </comment>
    <comment ref="F4571" authorId="1" shapeId="0" xr:uid="{00000000-0006-0000-0100-00003C110000}">
      <text>
        <r>
          <rPr>
            <sz val="11"/>
            <color theme="1"/>
            <rFont val="Calibri"/>
            <family val="2"/>
            <scheme val="minor"/>
          </rPr>
          <t>Monto calculado automáticamente por el sistema</t>
        </r>
      </text>
    </comment>
    <comment ref="A4576" authorId="1" shapeId="0" xr:uid="{00000000-0006-0000-0100-00003D110000}">
      <text>
        <r>
          <rPr>
            <sz val="11"/>
            <color theme="1"/>
            <rFont val="Calibri"/>
            <family val="2"/>
            <scheme val="minor"/>
          </rPr>
          <t>Introducir un texto con el nombre o referencia de la contratación</t>
        </r>
      </text>
    </comment>
    <comment ref="B4576" authorId="1" shapeId="0" xr:uid="{00000000-0006-0000-0100-00003E110000}">
      <text>
        <r>
          <rPr>
            <sz val="11"/>
            <color theme="1"/>
            <rFont val="Calibri"/>
            <family val="2"/>
            <scheme val="minor"/>
          </rPr>
          <t>Introduzca un texto con la finalidad de la contratación</t>
        </r>
      </text>
    </comment>
    <comment ref="C4576" authorId="1" shapeId="0" xr:uid="{00000000-0006-0000-0100-00003F110000}">
      <text>
        <r>
          <rPr>
            <sz val="11"/>
            <color theme="1"/>
            <rFont val="Calibri"/>
            <family val="2"/>
            <scheme val="minor"/>
          </rPr>
          <t>Seleccionar un valor del listado</t>
        </r>
      </text>
    </comment>
    <comment ref="D4576" authorId="1" shapeId="0" xr:uid="{00000000-0006-0000-0100-000040110000}">
      <text>
        <r>
          <rPr>
            <sz val="11"/>
            <color theme="1"/>
            <rFont val="Calibri"/>
            <family val="2"/>
            <scheme val="minor"/>
          </rPr>
          <t>Seleccione el tipo de procedimiento</t>
        </r>
      </text>
    </comment>
    <comment ref="E4576" authorId="1" shapeId="0" xr:uid="{00000000-0006-0000-0100-000041110000}">
      <text>
        <r>
          <rPr>
            <sz val="11"/>
            <color theme="1"/>
            <rFont val="Calibri"/>
            <family val="2"/>
            <scheme val="minor"/>
          </rPr>
          <t>Seleccione un valor de la lista</t>
        </r>
      </text>
    </comment>
    <comment ref="F4576" authorId="1" shapeId="0" xr:uid="{00000000-0006-0000-0100-000042110000}">
      <text>
        <r>
          <rPr>
            <sz val="11"/>
            <color theme="1"/>
            <rFont val="Calibri"/>
            <family val="2"/>
            <scheme val="minor"/>
          </rPr>
          <t>Introduzca el código SNIP</t>
        </r>
      </text>
    </comment>
    <comment ref="C4577" authorId="1" shapeId="0" xr:uid="{00000000-0006-0000-0100-000043110000}">
      <text>
        <r>
          <rPr>
            <sz val="11"/>
            <color theme="1"/>
            <rFont val="Calibri"/>
            <family val="2"/>
            <scheme val="minor"/>
          </rPr>
          <t>Introduzca la fecha de inicio del proceso, en formato dd-mm-aaaa</t>
        </r>
      </text>
    </comment>
    <comment ref="F4577" authorId="1" shapeId="0" xr:uid="{00000000-0006-0000-0100-0000451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78" authorId="1" shapeId="0" xr:uid="{00000000-0006-0000-0100-000046110000}">
      <text/>
    </comment>
    <comment ref="C4579" authorId="1" shapeId="0" xr:uid="{00000000-0006-0000-0100-000044110000}">
      <text>
        <r>
          <rPr>
            <sz val="11"/>
            <color theme="1"/>
            <rFont val="Calibri"/>
            <family val="2"/>
            <scheme val="minor"/>
          </rPr>
          <t>Introduzca la fecha prevista de adjudicación, en formato dd-mm-aaaa</t>
        </r>
      </text>
    </comment>
    <comment ref="F4579" authorId="1" shapeId="0" xr:uid="{00000000-0006-0000-0100-000047110000}">
      <text/>
    </comment>
    <comment ref="F4580" authorId="1" shapeId="0" xr:uid="{00000000-0006-0000-0100-000048110000}">
      <text/>
    </comment>
    <comment ref="A4582" authorId="1" shapeId="0" xr:uid="{00000000-0006-0000-0100-000049110000}">
      <text>
        <r>
          <rPr>
            <sz val="11"/>
            <color theme="1"/>
            <rFont val="Calibri"/>
            <family val="2"/>
            <scheme val="minor"/>
          </rPr>
          <t>Introduzca un codigo UNSPSC</t>
        </r>
      </text>
    </comment>
    <comment ref="B4582" authorId="1" shapeId="0" xr:uid="{00000000-0006-0000-0100-00004A110000}">
      <text>
        <r>
          <rPr>
            <sz val="11"/>
            <color theme="1"/>
            <rFont val="Calibri"/>
            <family val="2"/>
            <scheme val="minor"/>
          </rPr>
          <t>Descripción calculada automáticamente a partir de código del artículo</t>
        </r>
      </text>
    </comment>
    <comment ref="C4582" authorId="1" shapeId="0" xr:uid="{00000000-0006-0000-0100-00004B110000}">
      <text>
        <r>
          <rPr>
            <sz val="11"/>
            <color theme="1"/>
            <rFont val="Calibri"/>
            <family val="2"/>
            <scheme val="minor"/>
          </rPr>
          <t>Seleccione un valor de la lista</t>
        </r>
      </text>
    </comment>
    <comment ref="D4582" authorId="1" shapeId="0" xr:uid="{00000000-0006-0000-0100-00004C110000}">
      <text>
        <r>
          <rPr>
            <sz val="11"/>
            <color theme="1"/>
            <rFont val="Calibri"/>
            <family val="2"/>
            <scheme val="minor"/>
          </rPr>
          <t>Introduzca un número con dos decimales como máximo. Debe ser igual o mayor a la "Cantidad Real Consumida"</t>
        </r>
      </text>
    </comment>
    <comment ref="E4582" authorId="1" shapeId="0" xr:uid="{00000000-0006-0000-0100-00004D110000}">
      <text>
        <r>
          <rPr>
            <sz val="11"/>
            <color theme="1"/>
            <rFont val="Calibri"/>
            <family val="2"/>
            <scheme val="minor"/>
          </rPr>
          <t>Introduzca un número con dos decimales como máximo</t>
        </r>
      </text>
    </comment>
    <comment ref="F4582" authorId="1" shapeId="0" xr:uid="{00000000-0006-0000-0100-00004E110000}">
      <text>
        <r>
          <rPr>
            <sz val="11"/>
            <color theme="1"/>
            <rFont val="Calibri"/>
            <family val="2"/>
            <scheme val="minor"/>
          </rPr>
          <t>Monto calculado automáticamente por el sistema</t>
        </r>
      </text>
    </comment>
    <comment ref="A4588" authorId="1" shapeId="0" xr:uid="{00000000-0006-0000-0100-00004F110000}">
      <text>
        <r>
          <rPr>
            <sz val="11"/>
            <color theme="1"/>
            <rFont val="Calibri"/>
            <family val="2"/>
            <scheme val="minor"/>
          </rPr>
          <t>Introducir un texto con el nombre o referencia de la contratación</t>
        </r>
      </text>
    </comment>
    <comment ref="B4588" authorId="1" shapeId="0" xr:uid="{00000000-0006-0000-0100-000050110000}">
      <text>
        <r>
          <rPr>
            <sz val="11"/>
            <color theme="1"/>
            <rFont val="Calibri"/>
            <family val="2"/>
            <scheme val="minor"/>
          </rPr>
          <t>Introduzca un texto con la finalidad de la contratación</t>
        </r>
      </text>
    </comment>
    <comment ref="C4588" authorId="1" shapeId="0" xr:uid="{00000000-0006-0000-0100-000051110000}">
      <text>
        <r>
          <rPr>
            <sz val="11"/>
            <color theme="1"/>
            <rFont val="Calibri"/>
            <family val="2"/>
            <scheme val="minor"/>
          </rPr>
          <t>Seleccionar un valor del listado</t>
        </r>
      </text>
    </comment>
    <comment ref="D4588" authorId="1" shapeId="0" xr:uid="{00000000-0006-0000-0100-000052110000}">
      <text>
        <r>
          <rPr>
            <sz val="11"/>
            <color theme="1"/>
            <rFont val="Calibri"/>
            <family val="2"/>
            <scheme val="minor"/>
          </rPr>
          <t>Seleccione el tipo de procedimiento</t>
        </r>
      </text>
    </comment>
    <comment ref="E4588" authorId="1" shapeId="0" xr:uid="{00000000-0006-0000-0100-000053110000}">
      <text>
        <r>
          <rPr>
            <sz val="11"/>
            <color theme="1"/>
            <rFont val="Calibri"/>
            <family val="2"/>
            <scheme val="minor"/>
          </rPr>
          <t>Seleccione un valor de la lista</t>
        </r>
      </text>
    </comment>
    <comment ref="F4588" authorId="1" shapeId="0" xr:uid="{00000000-0006-0000-0100-000054110000}">
      <text>
        <r>
          <rPr>
            <sz val="11"/>
            <color theme="1"/>
            <rFont val="Calibri"/>
            <family val="2"/>
            <scheme val="minor"/>
          </rPr>
          <t>Introduzca el código SNIP</t>
        </r>
      </text>
    </comment>
    <comment ref="C4589" authorId="1" shapeId="0" xr:uid="{00000000-0006-0000-0100-000055110000}">
      <text>
        <r>
          <rPr>
            <sz val="11"/>
            <color theme="1"/>
            <rFont val="Calibri"/>
            <family val="2"/>
            <scheme val="minor"/>
          </rPr>
          <t>Introduzca la fecha de inicio del proceso, en formato dd-mm-aaaa</t>
        </r>
      </text>
    </comment>
    <comment ref="F4589" authorId="1" shapeId="0" xr:uid="{00000000-0006-0000-0100-0000571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90" authorId="1" shapeId="0" xr:uid="{00000000-0006-0000-0100-000058110000}">
      <text/>
    </comment>
    <comment ref="C4591" authorId="1" shapeId="0" xr:uid="{00000000-0006-0000-0100-000056110000}">
      <text>
        <r>
          <rPr>
            <sz val="11"/>
            <color theme="1"/>
            <rFont val="Calibri"/>
            <family val="2"/>
            <scheme val="minor"/>
          </rPr>
          <t>Introduzca la fecha prevista de adjudicación, en formato dd-mm-aaaa</t>
        </r>
      </text>
    </comment>
    <comment ref="F4591" authorId="1" shapeId="0" xr:uid="{00000000-0006-0000-0100-000059110000}">
      <text/>
    </comment>
    <comment ref="F4592" authorId="1" shapeId="0" xr:uid="{00000000-0006-0000-0100-00005A110000}">
      <text/>
    </comment>
    <comment ref="A4594" authorId="1" shapeId="0" xr:uid="{00000000-0006-0000-0100-00005B110000}">
      <text>
        <r>
          <rPr>
            <sz val="11"/>
            <color theme="1"/>
            <rFont val="Calibri"/>
            <family val="2"/>
            <scheme val="minor"/>
          </rPr>
          <t>Introduzca un codigo UNSPSC</t>
        </r>
      </text>
    </comment>
    <comment ref="B4594" authorId="1" shapeId="0" xr:uid="{00000000-0006-0000-0100-00005C110000}">
      <text>
        <r>
          <rPr>
            <sz val="11"/>
            <color theme="1"/>
            <rFont val="Calibri"/>
            <family val="2"/>
            <scheme val="minor"/>
          </rPr>
          <t>Descripción calculada automáticamente a partir de código del artículo</t>
        </r>
      </text>
    </comment>
    <comment ref="C4594" authorId="1" shapeId="0" xr:uid="{00000000-0006-0000-0100-00005D110000}">
      <text>
        <r>
          <rPr>
            <sz val="11"/>
            <color theme="1"/>
            <rFont val="Calibri"/>
            <family val="2"/>
            <scheme val="minor"/>
          </rPr>
          <t>Seleccione un valor de la lista</t>
        </r>
      </text>
    </comment>
    <comment ref="D4594" authorId="1" shapeId="0" xr:uid="{00000000-0006-0000-0100-00005E110000}">
      <text>
        <r>
          <rPr>
            <sz val="11"/>
            <color theme="1"/>
            <rFont val="Calibri"/>
            <family val="2"/>
            <scheme val="minor"/>
          </rPr>
          <t>Introduzca un número con dos decimales como máximo. Debe ser igual o mayor a la "Cantidad Real Consumida"</t>
        </r>
      </text>
    </comment>
    <comment ref="E4594" authorId="1" shapeId="0" xr:uid="{00000000-0006-0000-0100-00005F110000}">
      <text>
        <r>
          <rPr>
            <sz val="11"/>
            <color theme="1"/>
            <rFont val="Calibri"/>
            <family val="2"/>
            <scheme val="minor"/>
          </rPr>
          <t>Introduzca un número con dos decimales como máximo</t>
        </r>
      </text>
    </comment>
    <comment ref="F4594" authorId="1" shapeId="0" xr:uid="{00000000-0006-0000-0100-000060110000}">
      <text>
        <r>
          <rPr>
            <sz val="11"/>
            <color theme="1"/>
            <rFont val="Calibri"/>
            <family val="2"/>
            <scheme val="minor"/>
          </rPr>
          <t>Monto calculado automáticamente por el sistema</t>
        </r>
      </text>
    </comment>
    <comment ref="A4600" authorId="1" shapeId="0" xr:uid="{00000000-0006-0000-0100-000061110000}">
      <text>
        <r>
          <rPr>
            <sz val="11"/>
            <color theme="1"/>
            <rFont val="Calibri"/>
            <family val="2"/>
            <scheme val="minor"/>
          </rPr>
          <t>Introducir un texto con el nombre o referencia de la contratación</t>
        </r>
      </text>
    </comment>
    <comment ref="B4600" authorId="1" shapeId="0" xr:uid="{00000000-0006-0000-0100-000062110000}">
      <text>
        <r>
          <rPr>
            <sz val="11"/>
            <color theme="1"/>
            <rFont val="Calibri"/>
            <family val="2"/>
            <scheme val="minor"/>
          </rPr>
          <t>Introduzca un texto con la finalidad de la contratación</t>
        </r>
      </text>
    </comment>
    <comment ref="C4600" authorId="1" shapeId="0" xr:uid="{00000000-0006-0000-0100-000063110000}">
      <text>
        <r>
          <rPr>
            <sz val="11"/>
            <color theme="1"/>
            <rFont val="Calibri"/>
            <family val="2"/>
            <scheme val="minor"/>
          </rPr>
          <t>Seleccionar un valor del listado</t>
        </r>
      </text>
    </comment>
    <comment ref="D4600" authorId="1" shapeId="0" xr:uid="{00000000-0006-0000-0100-000064110000}">
      <text>
        <r>
          <rPr>
            <sz val="11"/>
            <color theme="1"/>
            <rFont val="Calibri"/>
            <family val="2"/>
            <scheme val="minor"/>
          </rPr>
          <t>Seleccione el tipo de procedimiento</t>
        </r>
      </text>
    </comment>
    <comment ref="E4600" authorId="1" shapeId="0" xr:uid="{00000000-0006-0000-0100-000065110000}">
      <text>
        <r>
          <rPr>
            <sz val="11"/>
            <color theme="1"/>
            <rFont val="Calibri"/>
            <family val="2"/>
            <scheme val="minor"/>
          </rPr>
          <t>Seleccione un valor de la lista</t>
        </r>
      </text>
    </comment>
    <comment ref="F4600" authorId="1" shapeId="0" xr:uid="{00000000-0006-0000-0100-000066110000}">
      <text>
        <r>
          <rPr>
            <sz val="11"/>
            <color theme="1"/>
            <rFont val="Calibri"/>
            <family val="2"/>
            <scheme val="minor"/>
          </rPr>
          <t>Introduzca el código SNIP</t>
        </r>
      </text>
    </comment>
    <comment ref="C4601" authorId="1" shapeId="0" xr:uid="{00000000-0006-0000-0100-000067110000}">
      <text>
        <r>
          <rPr>
            <sz val="11"/>
            <color theme="1"/>
            <rFont val="Calibri"/>
            <family val="2"/>
            <scheme val="minor"/>
          </rPr>
          <t>Introduzca la fecha de inicio del proceso, en formato dd-mm-aaaa</t>
        </r>
      </text>
    </comment>
    <comment ref="F4601" authorId="1" shapeId="0" xr:uid="{00000000-0006-0000-0100-0000691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02" authorId="1" shapeId="0" xr:uid="{00000000-0006-0000-0100-00006A110000}">
      <text/>
    </comment>
    <comment ref="C4603" authorId="1" shapeId="0" xr:uid="{00000000-0006-0000-0100-000068110000}">
      <text>
        <r>
          <rPr>
            <sz val="11"/>
            <color theme="1"/>
            <rFont val="Calibri"/>
            <family val="2"/>
            <scheme val="minor"/>
          </rPr>
          <t>Introduzca la fecha prevista de adjudicación, en formato dd-mm-aaaa</t>
        </r>
      </text>
    </comment>
    <comment ref="F4603" authorId="1" shapeId="0" xr:uid="{00000000-0006-0000-0100-00006B110000}">
      <text/>
    </comment>
    <comment ref="F4604" authorId="1" shapeId="0" xr:uid="{00000000-0006-0000-0100-00006C110000}">
      <text/>
    </comment>
    <comment ref="A4606" authorId="1" shapeId="0" xr:uid="{00000000-0006-0000-0100-00006D110000}">
      <text>
        <r>
          <rPr>
            <sz val="11"/>
            <color theme="1"/>
            <rFont val="Calibri"/>
            <family val="2"/>
            <scheme val="minor"/>
          </rPr>
          <t>Introduzca un codigo UNSPSC</t>
        </r>
      </text>
    </comment>
    <comment ref="B4606" authorId="1" shapeId="0" xr:uid="{00000000-0006-0000-0100-00006E110000}">
      <text>
        <r>
          <rPr>
            <sz val="11"/>
            <color theme="1"/>
            <rFont val="Calibri"/>
            <family val="2"/>
            <scheme val="minor"/>
          </rPr>
          <t>Descripción calculada automáticamente a partir de código del artículo</t>
        </r>
      </text>
    </comment>
    <comment ref="C4606" authorId="1" shapeId="0" xr:uid="{00000000-0006-0000-0100-00006F110000}">
      <text>
        <r>
          <rPr>
            <sz val="11"/>
            <color theme="1"/>
            <rFont val="Calibri"/>
            <family val="2"/>
            <scheme val="minor"/>
          </rPr>
          <t>Seleccione un valor de la lista</t>
        </r>
      </text>
    </comment>
    <comment ref="D4606" authorId="1" shapeId="0" xr:uid="{00000000-0006-0000-0100-000070110000}">
      <text>
        <r>
          <rPr>
            <sz val="11"/>
            <color theme="1"/>
            <rFont val="Calibri"/>
            <family val="2"/>
            <scheme val="minor"/>
          </rPr>
          <t>Introduzca un número con dos decimales como máximo. Debe ser igual o mayor a la "Cantidad Real Consumida"</t>
        </r>
      </text>
    </comment>
    <comment ref="E4606" authorId="1" shapeId="0" xr:uid="{00000000-0006-0000-0100-000071110000}">
      <text>
        <r>
          <rPr>
            <sz val="11"/>
            <color theme="1"/>
            <rFont val="Calibri"/>
            <family val="2"/>
            <scheme val="minor"/>
          </rPr>
          <t>Introduzca un número con dos decimales como máximo</t>
        </r>
      </text>
    </comment>
    <comment ref="F4606" authorId="1" shapeId="0" xr:uid="{00000000-0006-0000-0100-000072110000}">
      <text>
        <r>
          <rPr>
            <sz val="11"/>
            <color theme="1"/>
            <rFont val="Calibri"/>
            <family val="2"/>
            <scheme val="minor"/>
          </rPr>
          <t>Monto calculado automáticamente por el sistema</t>
        </r>
      </text>
    </comment>
    <comment ref="A4611" authorId="1" shapeId="0" xr:uid="{00000000-0006-0000-0100-000073110000}">
      <text>
        <r>
          <rPr>
            <sz val="11"/>
            <color theme="1"/>
            <rFont val="Calibri"/>
            <family val="2"/>
            <scheme val="minor"/>
          </rPr>
          <t>Introducir un texto con el nombre o referencia de la contratación</t>
        </r>
      </text>
    </comment>
    <comment ref="B4611" authorId="1" shapeId="0" xr:uid="{00000000-0006-0000-0100-000074110000}">
      <text>
        <r>
          <rPr>
            <sz val="11"/>
            <color theme="1"/>
            <rFont val="Calibri"/>
            <family val="2"/>
            <scheme val="minor"/>
          </rPr>
          <t>Introduzca un texto con la finalidad de la contratación</t>
        </r>
      </text>
    </comment>
    <comment ref="C4611" authorId="1" shapeId="0" xr:uid="{00000000-0006-0000-0100-000075110000}">
      <text>
        <r>
          <rPr>
            <sz val="11"/>
            <color theme="1"/>
            <rFont val="Calibri"/>
            <family val="2"/>
            <scheme val="minor"/>
          </rPr>
          <t>Seleccionar un valor del listado</t>
        </r>
      </text>
    </comment>
    <comment ref="D4611" authorId="1" shapeId="0" xr:uid="{00000000-0006-0000-0100-000076110000}">
      <text>
        <r>
          <rPr>
            <sz val="11"/>
            <color theme="1"/>
            <rFont val="Calibri"/>
            <family val="2"/>
            <scheme val="minor"/>
          </rPr>
          <t>Seleccione el tipo de procedimiento</t>
        </r>
      </text>
    </comment>
    <comment ref="E4611" authorId="1" shapeId="0" xr:uid="{00000000-0006-0000-0100-000077110000}">
      <text>
        <r>
          <rPr>
            <sz val="11"/>
            <color theme="1"/>
            <rFont val="Calibri"/>
            <family val="2"/>
            <scheme val="minor"/>
          </rPr>
          <t>Seleccione un valor de la lista</t>
        </r>
      </text>
    </comment>
    <comment ref="F4611" authorId="1" shapeId="0" xr:uid="{00000000-0006-0000-0100-000078110000}">
      <text>
        <r>
          <rPr>
            <sz val="11"/>
            <color theme="1"/>
            <rFont val="Calibri"/>
            <family val="2"/>
            <scheme val="minor"/>
          </rPr>
          <t>Introduzca el código SNIP</t>
        </r>
      </text>
    </comment>
    <comment ref="C4612" authorId="1" shapeId="0" xr:uid="{00000000-0006-0000-0100-000079110000}">
      <text>
        <r>
          <rPr>
            <sz val="11"/>
            <color theme="1"/>
            <rFont val="Calibri"/>
            <family val="2"/>
            <scheme val="minor"/>
          </rPr>
          <t>Introduzca la fecha de inicio del proceso, en formato dd-mm-aaaa</t>
        </r>
      </text>
    </comment>
    <comment ref="F4612" authorId="1" shapeId="0" xr:uid="{00000000-0006-0000-0100-00007B1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13" authorId="1" shapeId="0" xr:uid="{00000000-0006-0000-0100-00007C110000}">
      <text/>
    </comment>
    <comment ref="C4614" authorId="1" shapeId="0" xr:uid="{00000000-0006-0000-0100-00007A110000}">
      <text>
        <r>
          <rPr>
            <sz val="11"/>
            <color theme="1"/>
            <rFont val="Calibri"/>
            <family val="2"/>
            <scheme val="minor"/>
          </rPr>
          <t>Introduzca la fecha prevista de adjudicación, en formato dd-mm-aaaa</t>
        </r>
      </text>
    </comment>
    <comment ref="F4614" authorId="1" shapeId="0" xr:uid="{00000000-0006-0000-0100-00007D110000}">
      <text/>
    </comment>
    <comment ref="F4615" authorId="1" shapeId="0" xr:uid="{00000000-0006-0000-0100-00007E110000}">
      <text/>
    </comment>
    <comment ref="A4617" authorId="1" shapeId="0" xr:uid="{00000000-0006-0000-0100-00007F110000}">
      <text>
        <r>
          <rPr>
            <sz val="11"/>
            <color theme="1"/>
            <rFont val="Calibri"/>
            <family val="2"/>
            <scheme val="minor"/>
          </rPr>
          <t>Introduzca un codigo UNSPSC</t>
        </r>
      </text>
    </comment>
    <comment ref="B4617" authorId="1" shapeId="0" xr:uid="{00000000-0006-0000-0100-000080110000}">
      <text>
        <r>
          <rPr>
            <sz val="11"/>
            <color theme="1"/>
            <rFont val="Calibri"/>
            <family val="2"/>
            <scheme val="minor"/>
          </rPr>
          <t>Descripción calculada automáticamente a partir de código del artículo</t>
        </r>
      </text>
    </comment>
    <comment ref="C4617" authorId="1" shapeId="0" xr:uid="{00000000-0006-0000-0100-000081110000}">
      <text>
        <r>
          <rPr>
            <sz val="11"/>
            <color theme="1"/>
            <rFont val="Calibri"/>
            <family val="2"/>
            <scheme val="minor"/>
          </rPr>
          <t>Seleccione un valor de la lista</t>
        </r>
      </text>
    </comment>
    <comment ref="D4617" authorId="1" shapeId="0" xr:uid="{00000000-0006-0000-0100-000082110000}">
      <text>
        <r>
          <rPr>
            <sz val="11"/>
            <color theme="1"/>
            <rFont val="Calibri"/>
            <family val="2"/>
            <scheme val="minor"/>
          </rPr>
          <t>Introduzca un número con dos decimales como máximo. Debe ser igual o mayor a la "Cantidad Real Consumida"</t>
        </r>
      </text>
    </comment>
    <comment ref="E4617" authorId="1" shapeId="0" xr:uid="{00000000-0006-0000-0100-000083110000}">
      <text>
        <r>
          <rPr>
            <sz val="11"/>
            <color theme="1"/>
            <rFont val="Calibri"/>
            <family val="2"/>
            <scheme val="minor"/>
          </rPr>
          <t>Introduzca un número con dos decimales como máximo</t>
        </r>
      </text>
    </comment>
    <comment ref="F4617" authorId="1" shapeId="0" xr:uid="{00000000-0006-0000-0100-000084110000}">
      <text>
        <r>
          <rPr>
            <sz val="11"/>
            <color theme="1"/>
            <rFont val="Calibri"/>
            <family val="2"/>
            <scheme val="minor"/>
          </rPr>
          <t>Monto calculado automáticamente por el sistema</t>
        </r>
      </text>
    </comment>
    <comment ref="A4622" authorId="1" shapeId="0" xr:uid="{00000000-0006-0000-0100-000085110000}">
      <text>
        <r>
          <rPr>
            <sz val="11"/>
            <color theme="1"/>
            <rFont val="Calibri"/>
            <family val="2"/>
            <scheme val="minor"/>
          </rPr>
          <t>Introducir un texto con el nombre o referencia de la contratación</t>
        </r>
      </text>
    </comment>
    <comment ref="B4622" authorId="1" shapeId="0" xr:uid="{00000000-0006-0000-0100-000086110000}">
      <text>
        <r>
          <rPr>
            <sz val="11"/>
            <color theme="1"/>
            <rFont val="Calibri"/>
            <family val="2"/>
            <scheme val="minor"/>
          </rPr>
          <t>Introduzca un texto con la finalidad de la contratación</t>
        </r>
      </text>
    </comment>
    <comment ref="C4622" authorId="1" shapeId="0" xr:uid="{00000000-0006-0000-0100-000087110000}">
      <text>
        <r>
          <rPr>
            <sz val="11"/>
            <color theme="1"/>
            <rFont val="Calibri"/>
            <family val="2"/>
            <scheme val="minor"/>
          </rPr>
          <t>Seleccionar un valor del listado</t>
        </r>
      </text>
    </comment>
    <comment ref="D4622" authorId="1" shapeId="0" xr:uid="{00000000-0006-0000-0100-000088110000}">
      <text>
        <r>
          <rPr>
            <sz val="11"/>
            <color theme="1"/>
            <rFont val="Calibri"/>
            <family val="2"/>
            <scheme val="minor"/>
          </rPr>
          <t>Seleccione el tipo de procedimiento</t>
        </r>
      </text>
    </comment>
    <comment ref="E4622" authorId="1" shapeId="0" xr:uid="{00000000-0006-0000-0100-000089110000}">
      <text>
        <r>
          <rPr>
            <sz val="11"/>
            <color theme="1"/>
            <rFont val="Calibri"/>
            <family val="2"/>
            <scheme val="minor"/>
          </rPr>
          <t>Seleccione un valor de la lista</t>
        </r>
      </text>
    </comment>
    <comment ref="F4622" authorId="1" shapeId="0" xr:uid="{00000000-0006-0000-0100-00008A110000}">
      <text>
        <r>
          <rPr>
            <sz val="11"/>
            <color theme="1"/>
            <rFont val="Calibri"/>
            <family val="2"/>
            <scheme val="minor"/>
          </rPr>
          <t>Introduzca el código SNIP</t>
        </r>
      </text>
    </comment>
    <comment ref="C4623" authorId="1" shapeId="0" xr:uid="{00000000-0006-0000-0100-00008B110000}">
      <text>
        <r>
          <rPr>
            <sz val="11"/>
            <color theme="1"/>
            <rFont val="Calibri"/>
            <family val="2"/>
            <scheme val="minor"/>
          </rPr>
          <t>Introduzca la fecha de inicio del proceso, en formato dd-mm-aaaa</t>
        </r>
      </text>
    </comment>
    <comment ref="F4623" authorId="1" shapeId="0" xr:uid="{00000000-0006-0000-0100-00008D1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24" authorId="1" shapeId="0" xr:uid="{00000000-0006-0000-0100-00008E110000}">
      <text/>
    </comment>
    <comment ref="C4625" authorId="1" shapeId="0" xr:uid="{00000000-0006-0000-0100-00008C110000}">
      <text>
        <r>
          <rPr>
            <sz val="11"/>
            <color theme="1"/>
            <rFont val="Calibri"/>
            <family val="2"/>
            <scheme val="minor"/>
          </rPr>
          <t>Introduzca la fecha prevista de adjudicación, en formato dd-mm-aaaa</t>
        </r>
      </text>
    </comment>
    <comment ref="F4625" authorId="1" shapeId="0" xr:uid="{00000000-0006-0000-0100-00008F110000}">
      <text/>
    </comment>
    <comment ref="F4626" authorId="1" shapeId="0" xr:uid="{00000000-0006-0000-0100-000090110000}">
      <text/>
    </comment>
    <comment ref="A4628" authorId="1" shapeId="0" xr:uid="{00000000-0006-0000-0100-000091110000}">
      <text>
        <r>
          <rPr>
            <sz val="11"/>
            <color theme="1"/>
            <rFont val="Calibri"/>
            <family val="2"/>
            <scheme val="minor"/>
          </rPr>
          <t>Introduzca un codigo UNSPSC</t>
        </r>
      </text>
    </comment>
    <comment ref="B4628" authorId="1" shapeId="0" xr:uid="{00000000-0006-0000-0100-000092110000}">
      <text>
        <r>
          <rPr>
            <sz val="11"/>
            <color theme="1"/>
            <rFont val="Calibri"/>
            <family val="2"/>
            <scheme val="minor"/>
          </rPr>
          <t>Descripción calculada automáticamente a partir de código del artículo</t>
        </r>
      </text>
    </comment>
    <comment ref="C4628" authorId="1" shapeId="0" xr:uid="{00000000-0006-0000-0100-000093110000}">
      <text>
        <r>
          <rPr>
            <sz val="11"/>
            <color theme="1"/>
            <rFont val="Calibri"/>
            <family val="2"/>
            <scheme val="minor"/>
          </rPr>
          <t>Seleccione un valor de la lista</t>
        </r>
      </text>
    </comment>
    <comment ref="D4628" authorId="1" shapeId="0" xr:uid="{00000000-0006-0000-0100-000094110000}">
      <text>
        <r>
          <rPr>
            <sz val="11"/>
            <color theme="1"/>
            <rFont val="Calibri"/>
            <family val="2"/>
            <scheme val="minor"/>
          </rPr>
          <t>Introduzca un número con dos decimales como máximo. Debe ser igual o mayor a la "Cantidad Real Consumida"</t>
        </r>
      </text>
    </comment>
    <comment ref="E4628" authorId="1" shapeId="0" xr:uid="{00000000-0006-0000-0100-000095110000}">
      <text>
        <r>
          <rPr>
            <sz val="11"/>
            <color theme="1"/>
            <rFont val="Calibri"/>
            <family val="2"/>
            <scheme val="minor"/>
          </rPr>
          <t>Introduzca un número con dos decimales como máximo</t>
        </r>
      </text>
    </comment>
    <comment ref="F4628" authorId="1" shapeId="0" xr:uid="{00000000-0006-0000-0100-000096110000}">
      <text>
        <r>
          <rPr>
            <sz val="11"/>
            <color theme="1"/>
            <rFont val="Calibri"/>
            <family val="2"/>
            <scheme val="minor"/>
          </rPr>
          <t>Monto calculado automáticamente por el sistema</t>
        </r>
      </text>
    </comment>
    <comment ref="A4635" authorId="1" shapeId="0" xr:uid="{00000000-0006-0000-0100-000097110000}">
      <text>
        <r>
          <rPr>
            <sz val="11"/>
            <color theme="1"/>
            <rFont val="Calibri"/>
            <family val="2"/>
            <scheme val="minor"/>
          </rPr>
          <t>Introducir un texto con el nombre o referencia de la contratación</t>
        </r>
      </text>
    </comment>
    <comment ref="B4635" authorId="1" shapeId="0" xr:uid="{00000000-0006-0000-0100-000098110000}">
      <text>
        <r>
          <rPr>
            <sz val="11"/>
            <color theme="1"/>
            <rFont val="Calibri"/>
            <family val="2"/>
            <scheme val="minor"/>
          </rPr>
          <t>Introduzca un texto con la finalidad de la contratación</t>
        </r>
      </text>
    </comment>
    <comment ref="C4635" authorId="1" shapeId="0" xr:uid="{00000000-0006-0000-0100-000099110000}">
      <text>
        <r>
          <rPr>
            <sz val="11"/>
            <color theme="1"/>
            <rFont val="Calibri"/>
            <family val="2"/>
            <scheme val="minor"/>
          </rPr>
          <t>Seleccionar un valor del listado</t>
        </r>
      </text>
    </comment>
    <comment ref="D4635" authorId="1" shapeId="0" xr:uid="{00000000-0006-0000-0100-00009A110000}">
      <text>
        <r>
          <rPr>
            <sz val="11"/>
            <color theme="1"/>
            <rFont val="Calibri"/>
            <family val="2"/>
            <scheme val="minor"/>
          </rPr>
          <t>Seleccione el tipo de procedimiento</t>
        </r>
      </text>
    </comment>
    <comment ref="E4635" authorId="1" shapeId="0" xr:uid="{00000000-0006-0000-0100-00009B110000}">
      <text>
        <r>
          <rPr>
            <sz val="11"/>
            <color theme="1"/>
            <rFont val="Calibri"/>
            <family val="2"/>
            <scheme val="minor"/>
          </rPr>
          <t>Seleccione un valor de la lista</t>
        </r>
      </text>
    </comment>
    <comment ref="F4635" authorId="1" shapeId="0" xr:uid="{00000000-0006-0000-0100-00009C110000}">
      <text>
        <r>
          <rPr>
            <sz val="11"/>
            <color theme="1"/>
            <rFont val="Calibri"/>
            <family val="2"/>
            <scheme val="minor"/>
          </rPr>
          <t>Introduzca el código SNIP</t>
        </r>
      </text>
    </comment>
    <comment ref="C4636" authorId="1" shapeId="0" xr:uid="{00000000-0006-0000-0100-00009D110000}">
      <text>
        <r>
          <rPr>
            <sz val="11"/>
            <color theme="1"/>
            <rFont val="Calibri"/>
            <family val="2"/>
            <scheme val="minor"/>
          </rPr>
          <t>Introduzca la fecha de inicio del proceso, en formato dd-mm-aaaa</t>
        </r>
      </text>
    </comment>
    <comment ref="F4636" authorId="1" shapeId="0" xr:uid="{00000000-0006-0000-0100-00009F1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37" authorId="1" shapeId="0" xr:uid="{00000000-0006-0000-0100-0000A0110000}">
      <text/>
    </comment>
    <comment ref="C4638" authorId="1" shapeId="0" xr:uid="{00000000-0006-0000-0100-00009E110000}">
      <text>
        <r>
          <rPr>
            <sz val="11"/>
            <color theme="1"/>
            <rFont val="Calibri"/>
            <family val="2"/>
            <scheme val="minor"/>
          </rPr>
          <t>Introduzca la fecha prevista de adjudicación, en formato dd-mm-aaaa</t>
        </r>
      </text>
    </comment>
    <comment ref="F4638" authorId="1" shapeId="0" xr:uid="{00000000-0006-0000-0100-0000A1110000}">
      <text/>
    </comment>
    <comment ref="F4639" authorId="1" shapeId="0" xr:uid="{00000000-0006-0000-0100-0000A2110000}">
      <text/>
    </comment>
    <comment ref="A4641" authorId="1" shapeId="0" xr:uid="{00000000-0006-0000-0100-0000A3110000}">
      <text>
        <r>
          <rPr>
            <sz val="11"/>
            <color theme="1"/>
            <rFont val="Calibri"/>
            <family val="2"/>
            <scheme val="minor"/>
          </rPr>
          <t>Introduzca un codigo UNSPSC</t>
        </r>
      </text>
    </comment>
    <comment ref="B4641" authorId="1" shapeId="0" xr:uid="{00000000-0006-0000-0100-0000A4110000}">
      <text>
        <r>
          <rPr>
            <sz val="11"/>
            <color theme="1"/>
            <rFont val="Calibri"/>
            <family val="2"/>
            <scheme val="minor"/>
          </rPr>
          <t>Descripción calculada automáticamente a partir de código del artículo</t>
        </r>
      </text>
    </comment>
    <comment ref="C4641" authorId="1" shapeId="0" xr:uid="{00000000-0006-0000-0100-0000A5110000}">
      <text>
        <r>
          <rPr>
            <sz val="11"/>
            <color theme="1"/>
            <rFont val="Calibri"/>
            <family val="2"/>
            <scheme val="minor"/>
          </rPr>
          <t>Seleccione un valor de la lista</t>
        </r>
      </text>
    </comment>
    <comment ref="D4641" authorId="1" shapeId="0" xr:uid="{00000000-0006-0000-0100-0000A6110000}">
      <text>
        <r>
          <rPr>
            <sz val="11"/>
            <color theme="1"/>
            <rFont val="Calibri"/>
            <family val="2"/>
            <scheme val="minor"/>
          </rPr>
          <t>Introduzca un número con dos decimales como máximo. Debe ser igual o mayor a la "Cantidad Real Consumida"</t>
        </r>
      </text>
    </comment>
    <comment ref="E4641" authorId="1" shapeId="0" xr:uid="{00000000-0006-0000-0100-0000A7110000}">
      <text>
        <r>
          <rPr>
            <sz val="11"/>
            <color theme="1"/>
            <rFont val="Calibri"/>
            <family val="2"/>
            <scheme val="minor"/>
          </rPr>
          <t>Introduzca un número con dos decimales como máximo</t>
        </r>
      </text>
    </comment>
    <comment ref="F4641" authorId="1" shapeId="0" xr:uid="{00000000-0006-0000-0100-0000A8110000}">
      <text>
        <r>
          <rPr>
            <sz val="11"/>
            <color theme="1"/>
            <rFont val="Calibri"/>
            <family val="2"/>
            <scheme val="minor"/>
          </rPr>
          <t>Monto calculado automáticamente por el sistema</t>
        </r>
      </text>
    </comment>
    <comment ref="A4659" authorId="1" shapeId="0" xr:uid="{00000000-0006-0000-0100-0000A9110000}">
      <text>
        <r>
          <rPr>
            <sz val="11"/>
            <color theme="1"/>
            <rFont val="Calibri"/>
            <family val="2"/>
            <scheme val="minor"/>
          </rPr>
          <t>Introducir un texto con el nombre o referencia de la contratación</t>
        </r>
      </text>
    </comment>
    <comment ref="B4659" authorId="1" shapeId="0" xr:uid="{00000000-0006-0000-0100-0000AA110000}">
      <text>
        <r>
          <rPr>
            <sz val="11"/>
            <color theme="1"/>
            <rFont val="Calibri"/>
            <family val="2"/>
            <scheme val="minor"/>
          </rPr>
          <t>Introduzca un texto con la finalidad de la contratación</t>
        </r>
      </text>
    </comment>
    <comment ref="C4659" authorId="1" shapeId="0" xr:uid="{00000000-0006-0000-0100-0000AB110000}">
      <text>
        <r>
          <rPr>
            <sz val="11"/>
            <color theme="1"/>
            <rFont val="Calibri"/>
            <family val="2"/>
            <scheme val="minor"/>
          </rPr>
          <t>Seleccionar un valor del listado</t>
        </r>
      </text>
    </comment>
    <comment ref="D4659" authorId="1" shapeId="0" xr:uid="{00000000-0006-0000-0100-0000AC110000}">
      <text>
        <r>
          <rPr>
            <sz val="11"/>
            <color theme="1"/>
            <rFont val="Calibri"/>
            <family val="2"/>
            <scheme val="minor"/>
          </rPr>
          <t>Seleccione el tipo de procedimiento</t>
        </r>
      </text>
    </comment>
    <comment ref="E4659" authorId="1" shapeId="0" xr:uid="{00000000-0006-0000-0100-0000AD110000}">
      <text>
        <r>
          <rPr>
            <sz val="11"/>
            <color theme="1"/>
            <rFont val="Calibri"/>
            <family val="2"/>
            <scheme val="minor"/>
          </rPr>
          <t>Seleccione un valor de la lista</t>
        </r>
      </text>
    </comment>
    <comment ref="F4659" authorId="1" shapeId="0" xr:uid="{00000000-0006-0000-0100-0000AE110000}">
      <text>
        <r>
          <rPr>
            <sz val="11"/>
            <color theme="1"/>
            <rFont val="Calibri"/>
            <family val="2"/>
            <scheme val="minor"/>
          </rPr>
          <t>Introduzca el código SNIP</t>
        </r>
      </text>
    </comment>
    <comment ref="C4660" authorId="1" shapeId="0" xr:uid="{00000000-0006-0000-0100-0000AF110000}">
      <text>
        <r>
          <rPr>
            <sz val="11"/>
            <color theme="1"/>
            <rFont val="Calibri"/>
            <family val="2"/>
            <scheme val="minor"/>
          </rPr>
          <t>Introduzca la fecha de inicio del proceso, en formato dd-mm-aaaa</t>
        </r>
      </text>
    </comment>
    <comment ref="F4660" authorId="1" shapeId="0" xr:uid="{00000000-0006-0000-0100-0000B11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61" authorId="1" shapeId="0" xr:uid="{00000000-0006-0000-0100-0000B2110000}">
      <text/>
    </comment>
    <comment ref="C4662" authorId="1" shapeId="0" xr:uid="{00000000-0006-0000-0100-0000B0110000}">
      <text>
        <r>
          <rPr>
            <sz val="11"/>
            <color theme="1"/>
            <rFont val="Calibri"/>
            <family val="2"/>
            <scheme val="minor"/>
          </rPr>
          <t>Introduzca la fecha prevista de adjudicación, en formato dd-mm-aaaa</t>
        </r>
      </text>
    </comment>
    <comment ref="F4662" authorId="1" shapeId="0" xr:uid="{00000000-0006-0000-0100-0000B3110000}">
      <text/>
    </comment>
    <comment ref="F4663" authorId="1" shapeId="0" xr:uid="{00000000-0006-0000-0100-0000B4110000}">
      <text/>
    </comment>
    <comment ref="A4665" authorId="1" shapeId="0" xr:uid="{00000000-0006-0000-0100-0000B5110000}">
      <text>
        <r>
          <rPr>
            <sz val="11"/>
            <color theme="1"/>
            <rFont val="Calibri"/>
            <family val="2"/>
            <scheme val="minor"/>
          </rPr>
          <t>Introduzca un codigo UNSPSC</t>
        </r>
      </text>
    </comment>
    <comment ref="B4665" authorId="1" shapeId="0" xr:uid="{00000000-0006-0000-0100-0000B6110000}">
      <text>
        <r>
          <rPr>
            <sz val="11"/>
            <color theme="1"/>
            <rFont val="Calibri"/>
            <family val="2"/>
            <scheme val="minor"/>
          </rPr>
          <t>Descripción calculada automáticamente a partir de código del artículo</t>
        </r>
      </text>
    </comment>
    <comment ref="C4665" authorId="1" shapeId="0" xr:uid="{00000000-0006-0000-0100-0000B7110000}">
      <text>
        <r>
          <rPr>
            <sz val="11"/>
            <color theme="1"/>
            <rFont val="Calibri"/>
            <family val="2"/>
            <scheme val="minor"/>
          </rPr>
          <t>Seleccione un valor de la lista</t>
        </r>
      </text>
    </comment>
    <comment ref="D4665" authorId="1" shapeId="0" xr:uid="{00000000-0006-0000-0100-0000B8110000}">
      <text>
        <r>
          <rPr>
            <sz val="11"/>
            <color theme="1"/>
            <rFont val="Calibri"/>
            <family val="2"/>
            <scheme val="minor"/>
          </rPr>
          <t>Introduzca un número con dos decimales como máximo. Debe ser igual o mayor a la "Cantidad Real Consumida"</t>
        </r>
      </text>
    </comment>
    <comment ref="E4665" authorId="1" shapeId="0" xr:uid="{00000000-0006-0000-0100-0000B9110000}">
      <text>
        <r>
          <rPr>
            <sz val="11"/>
            <color theme="1"/>
            <rFont val="Calibri"/>
            <family val="2"/>
            <scheme val="minor"/>
          </rPr>
          <t>Introduzca un número con dos decimales como máximo</t>
        </r>
      </text>
    </comment>
    <comment ref="F4665" authorId="1" shapeId="0" xr:uid="{00000000-0006-0000-0100-0000BA110000}">
      <text>
        <r>
          <rPr>
            <sz val="11"/>
            <color theme="1"/>
            <rFont val="Calibri"/>
            <family val="2"/>
            <scheme val="minor"/>
          </rPr>
          <t>Monto calculado automáticamente por el sistema</t>
        </r>
      </text>
    </comment>
    <comment ref="A4670" authorId="1" shapeId="0" xr:uid="{00000000-0006-0000-0100-0000BB110000}">
      <text>
        <r>
          <rPr>
            <sz val="11"/>
            <color theme="1"/>
            <rFont val="Calibri"/>
            <family val="2"/>
            <scheme val="minor"/>
          </rPr>
          <t>Introducir un texto con el nombre o referencia de la contratación</t>
        </r>
      </text>
    </comment>
    <comment ref="B4670" authorId="1" shapeId="0" xr:uid="{00000000-0006-0000-0100-0000BC110000}">
      <text>
        <r>
          <rPr>
            <sz val="11"/>
            <color theme="1"/>
            <rFont val="Calibri"/>
            <family val="2"/>
            <scheme val="minor"/>
          </rPr>
          <t>Introduzca un texto con la finalidad de la contratación</t>
        </r>
      </text>
    </comment>
    <comment ref="C4670" authorId="1" shapeId="0" xr:uid="{00000000-0006-0000-0100-0000BD110000}">
      <text>
        <r>
          <rPr>
            <sz val="11"/>
            <color theme="1"/>
            <rFont val="Calibri"/>
            <family val="2"/>
            <scheme val="minor"/>
          </rPr>
          <t>Seleccionar un valor del listado</t>
        </r>
      </text>
    </comment>
    <comment ref="D4670" authorId="1" shapeId="0" xr:uid="{00000000-0006-0000-0100-0000BE110000}">
      <text>
        <r>
          <rPr>
            <sz val="11"/>
            <color theme="1"/>
            <rFont val="Calibri"/>
            <family val="2"/>
            <scheme val="minor"/>
          </rPr>
          <t>Seleccione el tipo de procedimiento</t>
        </r>
      </text>
    </comment>
    <comment ref="E4670" authorId="1" shapeId="0" xr:uid="{00000000-0006-0000-0100-0000BF110000}">
      <text>
        <r>
          <rPr>
            <sz val="11"/>
            <color theme="1"/>
            <rFont val="Calibri"/>
            <family val="2"/>
            <scheme val="minor"/>
          </rPr>
          <t>Seleccione un valor de la lista</t>
        </r>
      </text>
    </comment>
    <comment ref="F4670" authorId="1" shapeId="0" xr:uid="{00000000-0006-0000-0100-0000C0110000}">
      <text>
        <r>
          <rPr>
            <sz val="11"/>
            <color theme="1"/>
            <rFont val="Calibri"/>
            <family val="2"/>
            <scheme val="minor"/>
          </rPr>
          <t>Introduzca el código SNIP</t>
        </r>
      </text>
    </comment>
    <comment ref="C4671" authorId="1" shapeId="0" xr:uid="{00000000-0006-0000-0100-0000C1110000}">
      <text>
        <r>
          <rPr>
            <sz val="11"/>
            <color theme="1"/>
            <rFont val="Calibri"/>
            <family val="2"/>
            <scheme val="minor"/>
          </rPr>
          <t>Introduzca la fecha de inicio del proceso, en formato dd-mm-aaaa</t>
        </r>
      </text>
    </comment>
    <comment ref="F4671" authorId="1" shapeId="0" xr:uid="{00000000-0006-0000-0100-0000C31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72" authorId="1" shapeId="0" xr:uid="{00000000-0006-0000-0100-0000C4110000}">
      <text/>
    </comment>
    <comment ref="C4673" authorId="1" shapeId="0" xr:uid="{00000000-0006-0000-0100-0000C2110000}">
      <text>
        <r>
          <rPr>
            <sz val="11"/>
            <color theme="1"/>
            <rFont val="Calibri"/>
            <family val="2"/>
            <scheme val="minor"/>
          </rPr>
          <t>Introduzca la fecha prevista de adjudicación, en formato dd-mm-aaaa</t>
        </r>
      </text>
    </comment>
    <comment ref="F4673" authorId="1" shapeId="0" xr:uid="{00000000-0006-0000-0100-0000C5110000}">
      <text/>
    </comment>
    <comment ref="F4674" authorId="1" shapeId="0" xr:uid="{00000000-0006-0000-0100-0000C6110000}">
      <text/>
    </comment>
    <comment ref="A4676" authorId="1" shapeId="0" xr:uid="{00000000-0006-0000-0100-0000C7110000}">
      <text>
        <r>
          <rPr>
            <sz val="11"/>
            <color theme="1"/>
            <rFont val="Calibri"/>
            <family val="2"/>
            <scheme val="minor"/>
          </rPr>
          <t>Introduzca un codigo UNSPSC</t>
        </r>
      </text>
    </comment>
    <comment ref="B4676" authorId="1" shapeId="0" xr:uid="{00000000-0006-0000-0100-0000C8110000}">
      <text>
        <r>
          <rPr>
            <sz val="11"/>
            <color theme="1"/>
            <rFont val="Calibri"/>
            <family val="2"/>
            <scheme val="minor"/>
          </rPr>
          <t>Descripción calculada automáticamente a partir de código del artículo</t>
        </r>
      </text>
    </comment>
    <comment ref="C4676" authorId="1" shapeId="0" xr:uid="{00000000-0006-0000-0100-0000C9110000}">
      <text>
        <r>
          <rPr>
            <sz val="11"/>
            <color theme="1"/>
            <rFont val="Calibri"/>
            <family val="2"/>
            <scheme val="minor"/>
          </rPr>
          <t>Seleccione un valor de la lista</t>
        </r>
      </text>
    </comment>
    <comment ref="D4676" authorId="1" shapeId="0" xr:uid="{00000000-0006-0000-0100-0000CA110000}">
      <text>
        <r>
          <rPr>
            <sz val="11"/>
            <color theme="1"/>
            <rFont val="Calibri"/>
            <family val="2"/>
            <scheme val="minor"/>
          </rPr>
          <t>Introduzca un número con dos decimales como máximo. Debe ser igual o mayor a la "Cantidad Real Consumida"</t>
        </r>
      </text>
    </comment>
    <comment ref="E4676" authorId="1" shapeId="0" xr:uid="{00000000-0006-0000-0100-0000CB110000}">
      <text>
        <r>
          <rPr>
            <sz val="11"/>
            <color theme="1"/>
            <rFont val="Calibri"/>
            <family val="2"/>
            <scheme val="minor"/>
          </rPr>
          <t>Introduzca un número con dos decimales como máximo</t>
        </r>
      </text>
    </comment>
    <comment ref="F4676" authorId="1" shapeId="0" xr:uid="{00000000-0006-0000-0100-0000CC110000}">
      <text>
        <r>
          <rPr>
            <sz val="11"/>
            <color theme="1"/>
            <rFont val="Calibri"/>
            <family val="2"/>
            <scheme val="minor"/>
          </rPr>
          <t>Monto calculado automáticamente por el sistema</t>
        </r>
      </text>
    </comment>
    <comment ref="A4681" authorId="1" shapeId="0" xr:uid="{00000000-0006-0000-0100-0000CD110000}">
      <text>
        <r>
          <rPr>
            <sz val="11"/>
            <color theme="1"/>
            <rFont val="Calibri"/>
            <family val="2"/>
            <scheme val="minor"/>
          </rPr>
          <t>Introducir un texto con el nombre o referencia de la contratación</t>
        </r>
      </text>
    </comment>
    <comment ref="B4681" authorId="1" shapeId="0" xr:uid="{00000000-0006-0000-0100-0000CE110000}">
      <text>
        <r>
          <rPr>
            <sz val="11"/>
            <color theme="1"/>
            <rFont val="Calibri"/>
            <family val="2"/>
            <scheme val="minor"/>
          </rPr>
          <t>Introduzca un texto con la finalidad de la contratación</t>
        </r>
      </text>
    </comment>
    <comment ref="C4681" authorId="1" shapeId="0" xr:uid="{00000000-0006-0000-0100-0000CF110000}">
      <text>
        <r>
          <rPr>
            <sz val="11"/>
            <color theme="1"/>
            <rFont val="Calibri"/>
            <family val="2"/>
            <scheme val="minor"/>
          </rPr>
          <t>Seleccionar un valor del listado</t>
        </r>
      </text>
    </comment>
    <comment ref="D4681" authorId="1" shapeId="0" xr:uid="{00000000-0006-0000-0100-0000D0110000}">
      <text>
        <r>
          <rPr>
            <sz val="11"/>
            <color theme="1"/>
            <rFont val="Calibri"/>
            <family val="2"/>
            <scheme val="minor"/>
          </rPr>
          <t>Seleccione el tipo de procedimiento</t>
        </r>
      </text>
    </comment>
    <comment ref="E4681" authorId="1" shapeId="0" xr:uid="{00000000-0006-0000-0100-0000D1110000}">
      <text>
        <r>
          <rPr>
            <sz val="11"/>
            <color theme="1"/>
            <rFont val="Calibri"/>
            <family val="2"/>
            <scheme val="minor"/>
          </rPr>
          <t>Seleccione un valor de la lista</t>
        </r>
      </text>
    </comment>
    <comment ref="F4681" authorId="1" shapeId="0" xr:uid="{00000000-0006-0000-0100-0000D2110000}">
      <text>
        <r>
          <rPr>
            <sz val="11"/>
            <color theme="1"/>
            <rFont val="Calibri"/>
            <family val="2"/>
            <scheme val="minor"/>
          </rPr>
          <t>Introduzca el código SNIP</t>
        </r>
      </text>
    </comment>
    <comment ref="C4682" authorId="1" shapeId="0" xr:uid="{00000000-0006-0000-0100-0000D3110000}">
      <text>
        <r>
          <rPr>
            <sz val="11"/>
            <color theme="1"/>
            <rFont val="Calibri"/>
            <family val="2"/>
            <scheme val="minor"/>
          </rPr>
          <t>Introduzca la fecha de inicio del proceso, en formato dd-mm-aaaa</t>
        </r>
      </text>
    </comment>
    <comment ref="F4682" authorId="1" shapeId="0" xr:uid="{00000000-0006-0000-0100-0000D51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83" authorId="1" shapeId="0" xr:uid="{00000000-0006-0000-0100-0000D6110000}">
      <text/>
    </comment>
    <comment ref="C4684" authorId="1" shapeId="0" xr:uid="{00000000-0006-0000-0100-0000D4110000}">
      <text>
        <r>
          <rPr>
            <sz val="11"/>
            <color theme="1"/>
            <rFont val="Calibri"/>
            <family val="2"/>
            <scheme val="minor"/>
          </rPr>
          <t>Introduzca la fecha prevista de adjudicación, en formato dd-mm-aaaa</t>
        </r>
      </text>
    </comment>
    <comment ref="F4684" authorId="1" shapeId="0" xr:uid="{00000000-0006-0000-0100-0000D7110000}">
      <text/>
    </comment>
    <comment ref="F4685" authorId="1" shapeId="0" xr:uid="{00000000-0006-0000-0100-0000D8110000}">
      <text/>
    </comment>
    <comment ref="A4687" authorId="1" shapeId="0" xr:uid="{00000000-0006-0000-0100-0000D9110000}">
      <text>
        <r>
          <rPr>
            <sz val="11"/>
            <color theme="1"/>
            <rFont val="Calibri"/>
            <family val="2"/>
            <scheme val="minor"/>
          </rPr>
          <t>Introduzca un codigo UNSPSC</t>
        </r>
      </text>
    </comment>
    <comment ref="B4687" authorId="1" shapeId="0" xr:uid="{00000000-0006-0000-0100-0000DA110000}">
      <text>
        <r>
          <rPr>
            <sz val="11"/>
            <color theme="1"/>
            <rFont val="Calibri"/>
            <family val="2"/>
            <scheme val="minor"/>
          </rPr>
          <t>Descripción calculada automáticamente a partir de código del artículo</t>
        </r>
      </text>
    </comment>
    <comment ref="C4687" authorId="1" shapeId="0" xr:uid="{00000000-0006-0000-0100-0000DB110000}">
      <text>
        <r>
          <rPr>
            <sz val="11"/>
            <color theme="1"/>
            <rFont val="Calibri"/>
            <family val="2"/>
            <scheme val="minor"/>
          </rPr>
          <t>Seleccione un valor de la lista</t>
        </r>
      </text>
    </comment>
    <comment ref="D4687" authorId="1" shapeId="0" xr:uid="{00000000-0006-0000-0100-0000DC110000}">
      <text>
        <r>
          <rPr>
            <sz val="11"/>
            <color theme="1"/>
            <rFont val="Calibri"/>
            <family val="2"/>
            <scheme val="minor"/>
          </rPr>
          <t>Introduzca un número con dos decimales como máximo. Debe ser igual o mayor a la "Cantidad Real Consumida"</t>
        </r>
      </text>
    </comment>
    <comment ref="E4687" authorId="1" shapeId="0" xr:uid="{00000000-0006-0000-0100-0000DD110000}">
      <text>
        <r>
          <rPr>
            <sz val="11"/>
            <color theme="1"/>
            <rFont val="Calibri"/>
            <family val="2"/>
            <scheme val="minor"/>
          </rPr>
          <t>Introduzca un número con dos decimales como máximo</t>
        </r>
      </text>
    </comment>
    <comment ref="F4687" authorId="1" shapeId="0" xr:uid="{00000000-0006-0000-0100-0000DE110000}">
      <text>
        <r>
          <rPr>
            <sz val="11"/>
            <color theme="1"/>
            <rFont val="Calibri"/>
            <family val="2"/>
            <scheme val="minor"/>
          </rPr>
          <t>Monto calculado automáticamente por el sistema</t>
        </r>
      </text>
    </comment>
    <comment ref="A4693" authorId="1" shapeId="0" xr:uid="{00000000-0006-0000-0100-0000DF110000}">
      <text>
        <r>
          <rPr>
            <sz val="11"/>
            <color theme="1"/>
            <rFont val="Calibri"/>
            <family val="2"/>
            <scheme val="minor"/>
          </rPr>
          <t>Introducir un texto con el nombre o referencia de la contratación</t>
        </r>
      </text>
    </comment>
    <comment ref="B4693" authorId="1" shapeId="0" xr:uid="{00000000-0006-0000-0100-0000E0110000}">
      <text>
        <r>
          <rPr>
            <sz val="11"/>
            <color theme="1"/>
            <rFont val="Calibri"/>
            <family val="2"/>
            <scheme val="minor"/>
          </rPr>
          <t>Introduzca un texto con la finalidad de la contratación</t>
        </r>
      </text>
    </comment>
    <comment ref="C4693" authorId="1" shapeId="0" xr:uid="{00000000-0006-0000-0100-0000E1110000}">
      <text>
        <r>
          <rPr>
            <sz val="11"/>
            <color theme="1"/>
            <rFont val="Calibri"/>
            <family val="2"/>
            <scheme val="minor"/>
          </rPr>
          <t>Seleccionar un valor del listado</t>
        </r>
      </text>
    </comment>
    <comment ref="D4693" authorId="1" shapeId="0" xr:uid="{00000000-0006-0000-0100-0000E2110000}">
      <text>
        <r>
          <rPr>
            <sz val="11"/>
            <color theme="1"/>
            <rFont val="Calibri"/>
            <family val="2"/>
            <scheme val="minor"/>
          </rPr>
          <t>Seleccione el tipo de procedimiento</t>
        </r>
      </text>
    </comment>
    <comment ref="E4693" authorId="1" shapeId="0" xr:uid="{00000000-0006-0000-0100-0000E3110000}">
      <text>
        <r>
          <rPr>
            <sz val="11"/>
            <color theme="1"/>
            <rFont val="Calibri"/>
            <family val="2"/>
            <scheme val="minor"/>
          </rPr>
          <t>Seleccione un valor de la lista</t>
        </r>
      </text>
    </comment>
    <comment ref="F4693" authorId="1" shapeId="0" xr:uid="{00000000-0006-0000-0100-0000E4110000}">
      <text>
        <r>
          <rPr>
            <sz val="11"/>
            <color theme="1"/>
            <rFont val="Calibri"/>
            <family val="2"/>
            <scheme val="minor"/>
          </rPr>
          <t>Introduzca el código SNIP</t>
        </r>
      </text>
    </comment>
    <comment ref="C4694" authorId="1" shapeId="0" xr:uid="{00000000-0006-0000-0100-0000E5110000}">
      <text>
        <r>
          <rPr>
            <sz val="11"/>
            <color theme="1"/>
            <rFont val="Calibri"/>
            <family val="2"/>
            <scheme val="minor"/>
          </rPr>
          <t>Introduzca la fecha de inicio del proceso, en formato dd-mm-aaaa</t>
        </r>
      </text>
    </comment>
    <comment ref="F4694" authorId="1" shapeId="0" xr:uid="{00000000-0006-0000-0100-0000E71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95" authorId="1" shapeId="0" xr:uid="{00000000-0006-0000-0100-0000E8110000}">
      <text/>
    </comment>
    <comment ref="C4696" authorId="1" shapeId="0" xr:uid="{00000000-0006-0000-0100-0000E6110000}">
      <text>
        <r>
          <rPr>
            <sz val="11"/>
            <color theme="1"/>
            <rFont val="Calibri"/>
            <family val="2"/>
            <scheme val="minor"/>
          </rPr>
          <t>Introduzca la fecha prevista de adjudicación, en formato dd-mm-aaaa</t>
        </r>
      </text>
    </comment>
    <comment ref="F4696" authorId="1" shapeId="0" xr:uid="{00000000-0006-0000-0100-0000E9110000}">
      <text/>
    </comment>
    <comment ref="F4697" authorId="1" shapeId="0" xr:uid="{00000000-0006-0000-0100-0000EA110000}">
      <text/>
    </comment>
    <comment ref="A4699" authorId="1" shapeId="0" xr:uid="{00000000-0006-0000-0100-0000EB110000}">
      <text>
        <r>
          <rPr>
            <sz val="11"/>
            <color theme="1"/>
            <rFont val="Calibri"/>
            <family val="2"/>
            <scheme val="minor"/>
          </rPr>
          <t>Introduzca un codigo UNSPSC</t>
        </r>
      </text>
    </comment>
    <comment ref="B4699" authorId="1" shapeId="0" xr:uid="{00000000-0006-0000-0100-0000EC110000}">
      <text>
        <r>
          <rPr>
            <sz val="11"/>
            <color theme="1"/>
            <rFont val="Calibri"/>
            <family val="2"/>
            <scheme val="minor"/>
          </rPr>
          <t>Descripción calculada automáticamente a partir de código del artículo</t>
        </r>
      </text>
    </comment>
    <comment ref="C4699" authorId="1" shapeId="0" xr:uid="{00000000-0006-0000-0100-0000ED110000}">
      <text>
        <r>
          <rPr>
            <sz val="11"/>
            <color theme="1"/>
            <rFont val="Calibri"/>
            <family val="2"/>
            <scheme val="minor"/>
          </rPr>
          <t>Seleccione un valor de la lista</t>
        </r>
      </text>
    </comment>
    <comment ref="D4699" authorId="1" shapeId="0" xr:uid="{00000000-0006-0000-0100-0000EE110000}">
      <text>
        <r>
          <rPr>
            <sz val="11"/>
            <color theme="1"/>
            <rFont val="Calibri"/>
            <family val="2"/>
            <scheme val="minor"/>
          </rPr>
          <t>Introduzca un número con dos decimales como máximo. Debe ser igual o mayor a la "Cantidad Real Consumida"</t>
        </r>
      </text>
    </comment>
    <comment ref="E4699" authorId="1" shapeId="0" xr:uid="{00000000-0006-0000-0100-0000EF110000}">
      <text>
        <r>
          <rPr>
            <sz val="11"/>
            <color theme="1"/>
            <rFont val="Calibri"/>
            <family val="2"/>
            <scheme val="minor"/>
          </rPr>
          <t>Introduzca un número con dos decimales como máximo</t>
        </r>
      </text>
    </comment>
    <comment ref="F4699" authorId="1" shapeId="0" xr:uid="{00000000-0006-0000-0100-0000F0110000}">
      <text>
        <r>
          <rPr>
            <sz val="11"/>
            <color theme="1"/>
            <rFont val="Calibri"/>
            <family val="2"/>
            <scheme val="minor"/>
          </rPr>
          <t>Monto calculado automáticamente por el sistema</t>
        </r>
      </text>
    </comment>
    <comment ref="A4704" authorId="1" shapeId="0" xr:uid="{00000000-0006-0000-0100-0000F1110000}">
      <text>
        <r>
          <rPr>
            <sz val="11"/>
            <color theme="1"/>
            <rFont val="Calibri"/>
            <family val="2"/>
            <scheme val="minor"/>
          </rPr>
          <t>Introducir un texto con el nombre o referencia de la contratación</t>
        </r>
      </text>
    </comment>
    <comment ref="B4704" authorId="1" shapeId="0" xr:uid="{00000000-0006-0000-0100-0000F2110000}">
      <text>
        <r>
          <rPr>
            <sz val="11"/>
            <color theme="1"/>
            <rFont val="Calibri"/>
            <family val="2"/>
            <scheme val="minor"/>
          </rPr>
          <t>Introduzca un texto con la finalidad de la contratación</t>
        </r>
      </text>
    </comment>
    <comment ref="C4704" authorId="1" shapeId="0" xr:uid="{00000000-0006-0000-0100-0000F3110000}">
      <text>
        <r>
          <rPr>
            <sz val="11"/>
            <color theme="1"/>
            <rFont val="Calibri"/>
            <family val="2"/>
            <scheme val="minor"/>
          </rPr>
          <t>Seleccionar un valor del listado</t>
        </r>
      </text>
    </comment>
    <comment ref="D4704" authorId="1" shapeId="0" xr:uid="{00000000-0006-0000-0100-0000F4110000}">
      <text>
        <r>
          <rPr>
            <sz val="11"/>
            <color theme="1"/>
            <rFont val="Calibri"/>
            <family val="2"/>
            <scheme val="minor"/>
          </rPr>
          <t>Seleccione el tipo de procedimiento</t>
        </r>
      </text>
    </comment>
    <comment ref="E4704" authorId="1" shapeId="0" xr:uid="{00000000-0006-0000-0100-0000F5110000}">
      <text>
        <r>
          <rPr>
            <sz val="11"/>
            <color theme="1"/>
            <rFont val="Calibri"/>
            <family val="2"/>
            <scheme val="minor"/>
          </rPr>
          <t>Seleccione un valor de la lista</t>
        </r>
      </text>
    </comment>
    <comment ref="F4704" authorId="1" shapeId="0" xr:uid="{00000000-0006-0000-0100-0000F6110000}">
      <text>
        <r>
          <rPr>
            <sz val="11"/>
            <color theme="1"/>
            <rFont val="Calibri"/>
            <family val="2"/>
            <scheme val="minor"/>
          </rPr>
          <t>Introduzca el código SNIP</t>
        </r>
      </text>
    </comment>
    <comment ref="C4705" authorId="1" shapeId="0" xr:uid="{00000000-0006-0000-0100-0000F7110000}">
      <text>
        <r>
          <rPr>
            <sz val="11"/>
            <color theme="1"/>
            <rFont val="Calibri"/>
            <family val="2"/>
            <scheme val="minor"/>
          </rPr>
          <t>Introduzca la fecha de inicio del proceso, en formato dd-mm-aaaa</t>
        </r>
      </text>
    </comment>
    <comment ref="F4705" authorId="1" shapeId="0" xr:uid="{00000000-0006-0000-0100-0000F91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06" authorId="1" shapeId="0" xr:uid="{00000000-0006-0000-0100-0000FA110000}">
      <text/>
    </comment>
    <comment ref="C4707" authorId="1" shapeId="0" xr:uid="{00000000-0006-0000-0100-0000F8110000}">
      <text>
        <r>
          <rPr>
            <sz val="11"/>
            <color theme="1"/>
            <rFont val="Calibri"/>
            <family val="2"/>
            <scheme val="minor"/>
          </rPr>
          <t>Introduzca la fecha prevista de adjudicación, en formato dd-mm-aaaa</t>
        </r>
      </text>
    </comment>
    <comment ref="F4707" authorId="1" shapeId="0" xr:uid="{00000000-0006-0000-0100-0000FB110000}">
      <text/>
    </comment>
    <comment ref="F4708" authorId="1" shapeId="0" xr:uid="{00000000-0006-0000-0100-0000FC110000}">
      <text/>
    </comment>
    <comment ref="A4710" authorId="1" shapeId="0" xr:uid="{00000000-0006-0000-0100-0000FD110000}">
      <text>
        <r>
          <rPr>
            <sz val="11"/>
            <color theme="1"/>
            <rFont val="Calibri"/>
            <family val="2"/>
            <scheme val="minor"/>
          </rPr>
          <t>Introduzca un codigo UNSPSC</t>
        </r>
      </text>
    </comment>
    <comment ref="B4710" authorId="1" shapeId="0" xr:uid="{00000000-0006-0000-0100-0000FE110000}">
      <text>
        <r>
          <rPr>
            <sz val="11"/>
            <color theme="1"/>
            <rFont val="Calibri"/>
            <family val="2"/>
            <scheme val="minor"/>
          </rPr>
          <t>Descripción calculada automáticamente a partir de código del artículo</t>
        </r>
      </text>
    </comment>
    <comment ref="C4710" authorId="1" shapeId="0" xr:uid="{00000000-0006-0000-0100-0000FF110000}">
      <text>
        <r>
          <rPr>
            <sz val="11"/>
            <color theme="1"/>
            <rFont val="Calibri"/>
            <family val="2"/>
            <scheme val="minor"/>
          </rPr>
          <t>Seleccione un valor de la lista</t>
        </r>
      </text>
    </comment>
    <comment ref="D4710" authorId="1" shapeId="0" xr:uid="{00000000-0006-0000-0100-000000120000}">
      <text>
        <r>
          <rPr>
            <sz val="11"/>
            <color theme="1"/>
            <rFont val="Calibri"/>
            <family val="2"/>
            <scheme val="minor"/>
          </rPr>
          <t>Introduzca un número con dos decimales como máximo. Debe ser igual o mayor a la "Cantidad Real Consumida"</t>
        </r>
      </text>
    </comment>
    <comment ref="E4710" authorId="1" shapeId="0" xr:uid="{00000000-0006-0000-0100-000001120000}">
      <text>
        <r>
          <rPr>
            <sz val="11"/>
            <color theme="1"/>
            <rFont val="Calibri"/>
            <family val="2"/>
            <scheme val="minor"/>
          </rPr>
          <t>Introduzca un número con dos decimales como máximo</t>
        </r>
      </text>
    </comment>
    <comment ref="F4710" authorId="1" shapeId="0" xr:uid="{00000000-0006-0000-0100-000002120000}">
      <text>
        <r>
          <rPr>
            <sz val="11"/>
            <color theme="1"/>
            <rFont val="Calibri"/>
            <family val="2"/>
            <scheme val="minor"/>
          </rPr>
          <t>Monto calculado automáticamente por el sistema</t>
        </r>
      </text>
    </comment>
    <comment ref="A4716" authorId="1" shapeId="0" xr:uid="{00000000-0006-0000-0100-000003120000}">
      <text>
        <r>
          <rPr>
            <sz val="11"/>
            <color theme="1"/>
            <rFont val="Calibri"/>
            <family val="2"/>
            <scheme val="minor"/>
          </rPr>
          <t>Introducir un texto con el nombre o referencia de la contratación</t>
        </r>
      </text>
    </comment>
    <comment ref="B4716" authorId="1" shapeId="0" xr:uid="{00000000-0006-0000-0100-000004120000}">
      <text>
        <r>
          <rPr>
            <sz val="11"/>
            <color theme="1"/>
            <rFont val="Calibri"/>
            <family val="2"/>
            <scheme val="minor"/>
          </rPr>
          <t>Introduzca un texto con la finalidad de la contratación</t>
        </r>
      </text>
    </comment>
    <comment ref="C4716" authorId="1" shapeId="0" xr:uid="{00000000-0006-0000-0100-000005120000}">
      <text>
        <r>
          <rPr>
            <sz val="11"/>
            <color theme="1"/>
            <rFont val="Calibri"/>
            <family val="2"/>
            <scheme val="minor"/>
          </rPr>
          <t>Seleccionar un valor del listado</t>
        </r>
      </text>
    </comment>
    <comment ref="D4716" authorId="1" shapeId="0" xr:uid="{00000000-0006-0000-0100-000006120000}">
      <text>
        <r>
          <rPr>
            <sz val="11"/>
            <color theme="1"/>
            <rFont val="Calibri"/>
            <family val="2"/>
            <scheme val="minor"/>
          </rPr>
          <t>Seleccione el tipo de procedimiento</t>
        </r>
      </text>
    </comment>
    <comment ref="E4716" authorId="1" shapeId="0" xr:uid="{00000000-0006-0000-0100-000007120000}">
      <text>
        <r>
          <rPr>
            <sz val="11"/>
            <color theme="1"/>
            <rFont val="Calibri"/>
            <family val="2"/>
            <scheme val="minor"/>
          </rPr>
          <t>Seleccione un valor de la lista</t>
        </r>
      </text>
    </comment>
    <comment ref="F4716" authorId="1" shapeId="0" xr:uid="{00000000-0006-0000-0100-000008120000}">
      <text>
        <r>
          <rPr>
            <sz val="11"/>
            <color theme="1"/>
            <rFont val="Calibri"/>
            <family val="2"/>
            <scheme val="minor"/>
          </rPr>
          <t>Introduzca el código SNIP</t>
        </r>
      </text>
    </comment>
    <comment ref="C4717" authorId="1" shapeId="0" xr:uid="{00000000-0006-0000-0100-000009120000}">
      <text>
        <r>
          <rPr>
            <sz val="11"/>
            <color theme="1"/>
            <rFont val="Calibri"/>
            <family val="2"/>
            <scheme val="minor"/>
          </rPr>
          <t>Introduzca la fecha de inicio del proceso, en formato dd-mm-aaaa</t>
        </r>
      </text>
    </comment>
    <comment ref="F4717" authorId="1" shapeId="0" xr:uid="{00000000-0006-0000-0100-00000B1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18" authorId="1" shapeId="0" xr:uid="{00000000-0006-0000-0100-00000C120000}">
      <text/>
    </comment>
    <comment ref="C4719" authorId="1" shapeId="0" xr:uid="{00000000-0006-0000-0100-00000A120000}">
      <text>
        <r>
          <rPr>
            <sz val="11"/>
            <color theme="1"/>
            <rFont val="Calibri"/>
            <family val="2"/>
            <scheme val="minor"/>
          </rPr>
          <t>Introduzca la fecha prevista de adjudicación, en formato dd-mm-aaaa</t>
        </r>
      </text>
    </comment>
    <comment ref="F4719" authorId="1" shapeId="0" xr:uid="{00000000-0006-0000-0100-00000D120000}">
      <text/>
    </comment>
    <comment ref="F4720" authorId="1" shapeId="0" xr:uid="{00000000-0006-0000-0100-00000E120000}">
      <text/>
    </comment>
    <comment ref="A4722" authorId="1" shapeId="0" xr:uid="{00000000-0006-0000-0100-00000F120000}">
      <text>
        <r>
          <rPr>
            <sz val="11"/>
            <color theme="1"/>
            <rFont val="Calibri"/>
            <family val="2"/>
            <scheme val="minor"/>
          </rPr>
          <t>Introduzca un codigo UNSPSC</t>
        </r>
      </text>
    </comment>
    <comment ref="B4722" authorId="1" shapeId="0" xr:uid="{00000000-0006-0000-0100-000010120000}">
      <text>
        <r>
          <rPr>
            <sz val="11"/>
            <color theme="1"/>
            <rFont val="Calibri"/>
            <family val="2"/>
            <scheme val="minor"/>
          </rPr>
          <t>Descripción calculada automáticamente a partir de código del artículo</t>
        </r>
      </text>
    </comment>
    <comment ref="C4722" authorId="1" shapeId="0" xr:uid="{00000000-0006-0000-0100-000011120000}">
      <text>
        <r>
          <rPr>
            <sz val="11"/>
            <color theme="1"/>
            <rFont val="Calibri"/>
            <family val="2"/>
            <scheme val="minor"/>
          </rPr>
          <t>Seleccione un valor de la lista</t>
        </r>
      </text>
    </comment>
    <comment ref="D4722" authorId="1" shapeId="0" xr:uid="{00000000-0006-0000-0100-000012120000}">
      <text>
        <r>
          <rPr>
            <sz val="11"/>
            <color theme="1"/>
            <rFont val="Calibri"/>
            <family val="2"/>
            <scheme val="minor"/>
          </rPr>
          <t>Introduzca un número con dos decimales como máximo. Debe ser igual o mayor a la "Cantidad Real Consumida"</t>
        </r>
      </text>
    </comment>
    <comment ref="E4722" authorId="1" shapeId="0" xr:uid="{00000000-0006-0000-0100-000013120000}">
      <text>
        <r>
          <rPr>
            <sz val="11"/>
            <color theme="1"/>
            <rFont val="Calibri"/>
            <family val="2"/>
            <scheme val="minor"/>
          </rPr>
          <t>Introduzca un número con dos decimales como máximo</t>
        </r>
      </text>
    </comment>
    <comment ref="F4722" authorId="1" shapeId="0" xr:uid="{00000000-0006-0000-0100-000014120000}">
      <text>
        <r>
          <rPr>
            <sz val="11"/>
            <color theme="1"/>
            <rFont val="Calibri"/>
            <family val="2"/>
            <scheme val="minor"/>
          </rPr>
          <t>Monto calculado automáticamente por el sistema</t>
        </r>
      </text>
    </comment>
    <comment ref="A4729" authorId="1" shapeId="0" xr:uid="{00000000-0006-0000-0100-000015120000}">
      <text>
        <r>
          <rPr>
            <sz val="11"/>
            <color theme="1"/>
            <rFont val="Calibri"/>
            <family val="2"/>
            <scheme val="minor"/>
          </rPr>
          <t>Introducir un texto con el nombre o referencia de la contratación</t>
        </r>
      </text>
    </comment>
    <comment ref="B4729" authorId="1" shapeId="0" xr:uid="{00000000-0006-0000-0100-000016120000}">
      <text>
        <r>
          <rPr>
            <sz val="11"/>
            <color theme="1"/>
            <rFont val="Calibri"/>
            <family val="2"/>
            <scheme val="minor"/>
          </rPr>
          <t>Introduzca un texto con la finalidad de la contratación</t>
        </r>
      </text>
    </comment>
    <comment ref="C4729" authorId="1" shapeId="0" xr:uid="{00000000-0006-0000-0100-000017120000}">
      <text>
        <r>
          <rPr>
            <sz val="11"/>
            <color theme="1"/>
            <rFont val="Calibri"/>
            <family val="2"/>
            <scheme val="minor"/>
          </rPr>
          <t>Seleccionar un valor del listado</t>
        </r>
      </text>
    </comment>
    <comment ref="D4729" authorId="1" shapeId="0" xr:uid="{00000000-0006-0000-0100-000018120000}">
      <text>
        <r>
          <rPr>
            <sz val="11"/>
            <color theme="1"/>
            <rFont val="Calibri"/>
            <family val="2"/>
            <scheme val="minor"/>
          </rPr>
          <t>Seleccione el tipo de procedimiento</t>
        </r>
      </text>
    </comment>
    <comment ref="E4729" authorId="1" shapeId="0" xr:uid="{00000000-0006-0000-0100-000019120000}">
      <text>
        <r>
          <rPr>
            <sz val="11"/>
            <color theme="1"/>
            <rFont val="Calibri"/>
            <family val="2"/>
            <scheme val="minor"/>
          </rPr>
          <t>Seleccione un valor de la lista</t>
        </r>
      </text>
    </comment>
    <comment ref="F4729" authorId="1" shapeId="0" xr:uid="{00000000-0006-0000-0100-00001A120000}">
      <text>
        <r>
          <rPr>
            <sz val="11"/>
            <color theme="1"/>
            <rFont val="Calibri"/>
            <family val="2"/>
            <scheme val="minor"/>
          </rPr>
          <t>Introduzca el código SNIP</t>
        </r>
      </text>
    </comment>
    <comment ref="C4730" authorId="1" shapeId="0" xr:uid="{00000000-0006-0000-0100-00001B120000}">
      <text>
        <r>
          <rPr>
            <sz val="11"/>
            <color theme="1"/>
            <rFont val="Calibri"/>
            <family val="2"/>
            <scheme val="minor"/>
          </rPr>
          <t>Introduzca la fecha de inicio del proceso, en formato dd-mm-aaaa</t>
        </r>
      </text>
    </comment>
    <comment ref="F4730" authorId="1" shapeId="0" xr:uid="{00000000-0006-0000-0100-00001D1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31" authorId="1" shapeId="0" xr:uid="{00000000-0006-0000-0100-00001E120000}">
      <text/>
    </comment>
    <comment ref="C4732" authorId="1" shapeId="0" xr:uid="{00000000-0006-0000-0100-00001C120000}">
      <text>
        <r>
          <rPr>
            <sz val="11"/>
            <color theme="1"/>
            <rFont val="Calibri"/>
            <family val="2"/>
            <scheme val="minor"/>
          </rPr>
          <t>Introduzca la fecha prevista de adjudicación, en formato dd-mm-aaaa</t>
        </r>
      </text>
    </comment>
    <comment ref="F4732" authorId="1" shapeId="0" xr:uid="{00000000-0006-0000-0100-00001F120000}">
      <text/>
    </comment>
    <comment ref="F4733" authorId="1" shapeId="0" xr:uid="{00000000-0006-0000-0100-000020120000}">
      <text/>
    </comment>
    <comment ref="A4735" authorId="1" shapeId="0" xr:uid="{00000000-0006-0000-0100-000021120000}">
      <text>
        <r>
          <rPr>
            <sz val="11"/>
            <color theme="1"/>
            <rFont val="Calibri"/>
            <family val="2"/>
            <scheme val="minor"/>
          </rPr>
          <t>Introduzca un codigo UNSPSC</t>
        </r>
      </text>
    </comment>
    <comment ref="B4735" authorId="1" shapeId="0" xr:uid="{00000000-0006-0000-0100-000022120000}">
      <text>
        <r>
          <rPr>
            <sz val="11"/>
            <color theme="1"/>
            <rFont val="Calibri"/>
            <family val="2"/>
            <scheme val="minor"/>
          </rPr>
          <t>Descripción calculada automáticamente a partir de código del artículo</t>
        </r>
      </text>
    </comment>
    <comment ref="C4735" authorId="1" shapeId="0" xr:uid="{00000000-0006-0000-0100-000023120000}">
      <text>
        <r>
          <rPr>
            <sz val="11"/>
            <color theme="1"/>
            <rFont val="Calibri"/>
            <family val="2"/>
            <scheme val="minor"/>
          </rPr>
          <t>Seleccione un valor de la lista</t>
        </r>
      </text>
    </comment>
    <comment ref="D4735" authorId="1" shapeId="0" xr:uid="{00000000-0006-0000-0100-000024120000}">
      <text>
        <r>
          <rPr>
            <sz val="11"/>
            <color theme="1"/>
            <rFont val="Calibri"/>
            <family val="2"/>
            <scheme val="minor"/>
          </rPr>
          <t>Introduzca un número con dos decimales como máximo. Debe ser igual o mayor a la "Cantidad Real Consumida"</t>
        </r>
      </text>
    </comment>
    <comment ref="E4735" authorId="1" shapeId="0" xr:uid="{00000000-0006-0000-0100-000025120000}">
      <text>
        <r>
          <rPr>
            <sz val="11"/>
            <color theme="1"/>
            <rFont val="Calibri"/>
            <family val="2"/>
            <scheme val="minor"/>
          </rPr>
          <t>Introduzca un número con dos decimales como máximo</t>
        </r>
      </text>
    </comment>
    <comment ref="F4735" authorId="1" shapeId="0" xr:uid="{00000000-0006-0000-0100-000026120000}">
      <text>
        <r>
          <rPr>
            <sz val="11"/>
            <color theme="1"/>
            <rFont val="Calibri"/>
            <family val="2"/>
            <scheme val="minor"/>
          </rPr>
          <t>Monto calculado automáticamente por el sistema</t>
        </r>
      </text>
    </comment>
    <comment ref="A4742" authorId="1" shapeId="0" xr:uid="{00000000-0006-0000-0100-000027120000}">
      <text>
        <r>
          <rPr>
            <sz val="11"/>
            <color theme="1"/>
            <rFont val="Calibri"/>
            <family val="2"/>
            <scheme val="minor"/>
          </rPr>
          <t>Introducir un texto con el nombre o referencia de la contratación</t>
        </r>
      </text>
    </comment>
    <comment ref="B4742" authorId="1" shapeId="0" xr:uid="{00000000-0006-0000-0100-000028120000}">
      <text>
        <r>
          <rPr>
            <sz val="11"/>
            <color theme="1"/>
            <rFont val="Calibri"/>
            <family val="2"/>
            <scheme val="minor"/>
          </rPr>
          <t>Introduzca un texto con la finalidad de la contratación</t>
        </r>
      </text>
    </comment>
    <comment ref="C4742" authorId="1" shapeId="0" xr:uid="{00000000-0006-0000-0100-000029120000}">
      <text>
        <r>
          <rPr>
            <sz val="11"/>
            <color theme="1"/>
            <rFont val="Calibri"/>
            <family val="2"/>
            <scheme val="minor"/>
          </rPr>
          <t>Seleccionar un valor del listado</t>
        </r>
      </text>
    </comment>
    <comment ref="D4742" authorId="1" shapeId="0" xr:uid="{00000000-0006-0000-0100-00002A120000}">
      <text>
        <r>
          <rPr>
            <sz val="11"/>
            <color theme="1"/>
            <rFont val="Calibri"/>
            <family val="2"/>
            <scheme val="minor"/>
          </rPr>
          <t>Seleccione el tipo de procedimiento</t>
        </r>
      </text>
    </comment>
    <comment ref="E4742" authorId="1" shapeId="0" xr:uid="{00000000-0006-0000-0100-00002B120000}">
      <text>
        <r>
          <rPr>
            <sz val="11"/>
            <color theme="1"/>
            <rFont val="Calibri"/>
            <family val="2"/>
            <scheme val="minor"/>
          </rPr>
          <t>Seleccione un valor de la lista</t>
        </r>
      </text>
    </comment>
    <comment ref="F4742" authorId="1" shapeId="0" xr:uid="{00000000-0006-0000-0100-00002C120000}">
      <text>
        <r>
          <rPr>
            <sz val="11"/>
            <color theme="1"/>
            <rFont val="Calibri"/>
            <family val="2"/>
            <scheme val="minor"/>
          </rPr>
          <t>Introduzca el código SNIP</t>
        </r>
      </text>
    </comment>
    <comment ref="C4743" authorId="1" shapeId="0" xr:uid="{00000000-0006-0000-0100-00002D120000}">
      <text>
        <r>
          <rPr>
            <sz val="11"/>
            <color theme="1"/>
            <rFont val="Calibri"/>
            <family val="2"/>
            <scheme val="minor"/>
          </rPr>
          <t>Introduzca la fecha de inicio del proceso, en formato dd-mm-aaaa</t>
        </r>
      </text>
    </comment>
    <comment ref="F4743" authorId="1" shapeId="0" xr:uid="{00000000-0006-0000-0100-00002F1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44" authorId="1" shapeId="0" xr:uid="{00000000-0006-0000-0100-000030120000}">
      <text/>
    </comment>
    <comment ref="C4745" authorId="1" shapeId="0" xr:uid="{00000000-0006-0000-0100-00002E120000}">
      <text>
        <r>
          <rPr>
            <sz val="11"/>
            <color theme="1"/>
            <rFont val="Calibri"/>
            <family val="2"/>
            <scheme val="minor"/>
          </rPr>
          <t>Introduzca la fecha prevista de adjudicación, en formato dd-mm-aaaa</t>
        </r>
      </text>
    </comment>
    <comment ref="F4745" authorId="1" shapeId="0" xr:uid="{00000000-0006-0000-0100-000031120000}">
      <text/>
    </comment>
    <comment ref="F4746" authorId="1" shapeId="0" xr:uid="{00000000-0006-0000-0100-000032120000}">
      <text/>
    </comment>
    <comment ref="A4748" authorId="1" shapeId="0" xr:uid="{00000000-0006-0000-0100-000033120000}">
      <text>
        <r>
          <rPr>
            <sz val="11"/>
            <color theme="1"/>
            <rFont val="Calibri"/>
            <family val="2"/>
            <scheme val="minor"/>
          </rPr>
          <t>Introduzca un codigo UNSPSC</t>
        </r>
      </text>
    </comment>
    <comment ref="B4748" authorId="1" shapeId="0" xr:uid="{00000000-0006-0000-0100-000034120000}">
      <text>
        <r>
          <rPr>
            <sz val="11"/>
            <color theme="1"/>
            <rFont val="Calibri"/>
            <family val="2"/>
            <scheme val="minor"/>
          </rPr>
          <t>Descripción calculada automáticamente a partir de código del artículo</t>
        </r>
      </text>
    </comment>
    <comment ref="C4748" authorId="1" shapeId="0" xr:uid="{00000000-0006-0000-0100-000035120000}">
      <text>
        <r>
          <rPr>
            <sz val="11"/>
            <color theme="1"/>
            <rFont val="Calibri"/>
            <family val="2"/>
            <scheme val="minor"/>
          </rPr>
          <t>Seleccione un valor de la lista</t>
        </r>
      </text>
    </comment>
    <comment ref="D4748" authorId="1" shapeId="0" xr:uid="{00000000-0006-0000-0100-000036120000}">
      <text>
        <r>
          <rPr>
            <sz val="11"/>
            <color theme="1"/>
            <rFont val="Calibri"/>
            <family val="2"/>
            <scheme val="minor"/>
          </rPr>
          <t>Introduzca un número con dos decimales como máximo. Debe ser igual o mayor a la "Cantidad Real Consumida"</t>
        </r>
      </text>
    </comment>
    <comment ref="E4748" authorId="1" shapeId="0" xr:uid="{00000000-0006-0000-0100-000037120000}">
      <text>
        <r>
          <rPr>
            <sz val="11"/>
            <color theme="1"/>
            <rFont val="Calibri"/>
            <family val="2"/>
            <scheme val="minor"/>
          </rPr>
          <t>Introduzca un número con dos decimales como máximo</t>
        </r>
      </text>
    </comment>
    <comment ref="F4748" authorId="1" shapeId="0" xr:uid="{00000000-0006-0000-0100-000038120000}">
      <text>
        <r>
          <rPr>
            <sz val="11"/>
            <color theme="1"/>
            <rFont val="Calibri"/>
            <family val="2"/>
            <scheme val="minor"/>
          </rPr>
          <t>Monto calculado automáticamente por el sistema</t>
        </r>
      </text>
    </comment>
    <comment ref="A4754" authorId="1" shapeId="0" xr:uid="{00000000-0006-0000-0100-000039120000}">
      <text>
        <r>
          <rPr>
            <sz val="11"/>
            <color theme="1"/>
            <rFont val="Calibri"/>
            <family val="2"/>
            <scheme val="minor"/>
          </rPr>
          <t>Introducir un texto con el nombre o referencia de la contratación</t>
        </r>
      </text>
    </comment>
    <comment ref="B4754" authorId="1" shapeId="0" xr:uid="{00000000-0006-0000-0100-00003A120000}">
      <text>
        <r>
          <rPr>
            <sz val="11"/>
            <color theme="1"/>
            <rFont val="Calibri"/>
            <family val="2"/>
            <scheme val="minor"/>
          </rPr>
          <t>Introduzca un texto con la finalidad de la contratación</t>
        </r>
      </text>
    </comment>
    <comment ref="C4754" authorId="1" shapeId="0" xr:uid="{00000000-0006-0000-0100-00003B120000}">
      <text>
        <r>
          <rPr>
            <sz val="11"/>
            <color theme="1"/>
            <rFont val="Calibri"/>
            <family val="2"/>
            <scheme val="minor"/>
          </rPr>
          <t>Seleccionar un valor del listado</t>
        </r>
      </text>
    </comment>
    <comment ref="D4754" authorId="1" shapeId="0" xr:uid="{00000000-0006-0000-0100-00003C120000}">
      <text>
        <r>
          <rPr>
            <sz val="11"/>
            <color theme="1"/>
            <rFont val="Calibri"/>
            <family val="2"/>
            <scheme val="minor"/>
          </rPr>
          <t>Seleccione el tipo de procedimiento</t>
        </r>
      </text>
    </comment>
    <comment ref="E4754" authorId="1" shapeId="0" xr:uid="{00000000-0006-0000-0100-00003D120000}">
      <text>
        <r>
          <rPr>
            <sz val="11"/>
            <color theme="1"/>
            <rFont val="Calibri"/>
            <family val="2"/>
            <scheme val="minor"/>
          </rPr>
          <t>Seleccione un valor de la lista</t>
        </r>
      </text>
    </comment>
    <comment ref="F4754" authorId="1" shapeId="0" xr:uid="{00000000-0006-0000-0100-00003E120000}">
      <text>
        <r>
          <rPr>
            <sz val="11"/>
            <color theme="1"/>
            <rFont val="Calibri"/>
            <family val="2"/>
            <scheme val="minor"/>
          </rPr>
          <t>Introduzca el código SNIP</t>
        </r>
      </text>
    </comment>
    <comment ref="C4755" authorId="1" shapeId="0" xr:uid="{00000000-0006-0000-0100-00003F120000}">
      <text>
        <r>
          <rPr>
            <sz val="11"/>
            <color theme="1"/>
            <rFont val="Calibri"/>
            <family val="2"/>
            <scheme val="minor"/>
          </rPr>
          <t>Introduzca la fecha de inicio del proceso, en formato dd-mm-aaaa</t>
        </r>
      </text>
    </comment>
    <comment ref="F4755" authorId="1" shapeId="0" xr:uid="{00000000-0006-0000-0100-0000411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56" authorId="1" shapeId="0" xr:uid="{00000000-0006-0000-0100-000042120000}">
      <text/>
    </comment>
    <comment ref="C4757" authorId="1" shapeId="0" xr:uid="{00000000-0006-0000-0100-000040120000}">
      <text>
        <r>
          <rPr>
            <sz val="11"/>
            <color theme="1"/>
            <rFont val="Calibri"/>
            <family val="2"/>
            <scheme val="minor"/>
          </rPr>
          <t>Introduzca la fecha prevista de adjudicación, en formato dd-mm-aaaa</t>
        </r>
      </text>
    </comment>
    <comment ref="F4757" authorId="1" shapeId="0" xr:uid="{00000000-0006-0000-0100-000043120000}">
      <text/>
    </comment>
    <comment ref="F4758" authorId="1" shapeId="0" xr:uid="{00000000-0006-0000-0100-000044120000}">
      <text/>
    </comment>
    <comment ref="A4760" authorId="1" shapeId="0" xr:uid="{00000000-0006-0000-0100-000045120000}">
      <text>
        <r>
          <rPr>
            <sz val="11"/>
            <color theme="1"/>
            <rFont val="Calibri"/>
            <family val="2"/>
            <scheme val="minor"/>
          </rPr>
          <t>Introduzca un codigo UNSPSC</t>
        </r>
      </text>
    </comment>
    <comment ref="B4760" authorId="1" shapeId="0" xr:uid="{00000000-0006-0000-0100-000046120000}">
      <text>
        <r>
          <rPr>
            <sz val="11"/>
            <color theme="1"/>
            <rFont val="Calibri"/>
            <family val="2"/>
            <scheme val="minor"/>
          </rPr>
          <t>Descripción calculada automáticamente a partir de código del artículo</t>
        </r>
      </text>
    </comment>
    <comment ref="C4760" authorId="1" shapeId="0" xr:uid="{00000000-0006-0000-0100-000047120000}">
      <text>
        <r>
          <rPr>
            <sz val="11"/>
            <color theme="1"/>
            <rFont val="Calibri"/>
            <family val="2"/>
            <scheme val="minor"/>
          </rPr>
          <t>Seleccione un valor de la lista</t>
        </r>
      </text>
    </comment>
    <comment ref="D4760" authorId="1" shapeId="0" xr:uid="{00000000-0006-0000-0100-000048120000}">
      <text>
        <r>
          <rPr>
            <sz val="11"/>
            <color theme="1"/>
            <rFont val="Calibri"/>
            <family val="2"/>
            <scheme val="minor"/>
          </rPr>
          <t>Introduzca un número con dos decimales como máximo. Debe ser igual o mayor a la "Cantidad Real Consumida"</t>
        </r>
      </text>
    </comment>
    <comment ref="E4760" authorId="1" shapeId="0" xr:uid="{00000000-0006-0000-0100-000049120000}">
      <text>
        <r>
          <rPr>
            <sz val="11"/>
            <color theme="1"/>
            <rFont val="Calibri"/>
            <family val="2"/>
            <scheme val="minor"/>
          </rPr>
          <t>Introduzca un número con dos decimales como máximo</t>
        </r>
      </text>
    </comment>
    <comment ref="F4760" authorId="1" shapeId="0" xr:uid="{00000000-0006-0000-0100-00004A120000}">
      <text>
        <r>
          <rPr>
            <sz val="11"/>
            <color theme="1"/>
            <rFont val="Calibri"/>
            <family val="2"/>
            <scheme val="minor"/>
          </rPr>
          <t>Monto calculado automáticamente por el sistema</t>
        </r>
      </text>
    </comment>
    <comment ref="A4765" authorId="1" shapeId="0" xr:uid="{00000000-0006-0000-0100-00004B120000}">
      <text>
        <r>
          <rPr>
            <sz val="11"/>
            <color theme="1"/>
            <rFont val="Calibri"/>
            <family val="2"/>
            <scheme val="minor"/>
          </rPr>
          <t>Introducir un texto con el nombre o referencia de la contratación</t>
        </r>
      </text>
    </comment>
    <comment ref="B4765" authorId="1" shapeId="0" xr:uid="{00000000-0006-0000-0100-00004C120000}">
      <text>
        <r>
          <rPr>
            <sz val="11"/>
            <color theme="1"/>
            <rFont val="Calibri"/>
            <family val="2"/>
            <scheme val="minor"/>
          </rPr>
          <t>Introduzca un texto con la finalidad de la contratación</t>
        </r>
      </text>
    </comment>
    <comment ref="C4765" authorId="1" shapeId="0" xr:uid="{00000000-0006-0000-0100-00004D120000}">
      <text>
        <r>
          <rPr>
            <sz val="11"/>
            <color theme="1"/>
            <rFont val="Calibri"/>
            <family val="2"/>
            <scheme val="minor"/>
          </rPr>
          <t>Seleccionar un valor del listado</t>
        </r>
      </text>
    </comment>
    <comment ref="D4765" authorId="1" shapeId="0" xr:uid="{00000000-0006-0000-0100-00004E120000}">
      <text>
        <r>
          <rPr>
            <sz val="11"/>
            <color theme="1"/>
            <rFont val="Calibri"/>
            <family val="2"/>
            <scheme val="minor"/>
          </rPr>
          <t>Seleccione el tipo de procedimiento</t>
        </r>
      </text>
    </comment>
    <comment ref="E4765" authorId="1" shapeId="0" xr:uid="{00000000-0006-0000-0100-00004F120000}">
      <text>
        <r>
          <rPr>
            <sz val="11"/>
            <color theme="1"/>
            <rFont val="Calibri"/>
            <family val="2"/>
            <scheme val="minor"/>
          </rPr>
          <t>Seleccione un valor de la lista</t>
        </r>
      </text>
    </comment>
    <comment ref="F4765" authorId="1" shapeId="0" xr:uid="{00000000-0006-0000-0100-000050120000}">
      <text>
        <r>
          <rPr>
            <sz val="11"/>
            <color theme="1"/>
            <rFont val="Calibri"/>
            <family val="2"/>
            <scheme val="minor"/>
          </rPr>
          <t>Introduzca el código SNIP</t>
        </r>
      </text>
    </comment>
    <comment ref="C4766" authorId="1" shapeId="0" xr:uid="{00000000-0006-0000-0100-000051120000}">
      <text>
        <r>
          <rPr>
            <sz val="11"/>
            <color theme="1"/>
            <rFont val="Calibri"/>
            <family val="2"/>
            <scheme val="minor"/>
          </rPr>
          <t>Introduzca la fecha de inicio del proceso, en formato dd-mm-aaaa</t>
        </r>
      </text>
    </comment>
    <comment ref="F4766" authorId="1" shapeId="0" xr:uid="{00000000-0006-0000-0100-0000531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67" authorId="1" shapeId="0" xr:uid="{00000000-0006-0000-0100-000054120000}">
      <text/>
    </comment>
    <comment ref="C4768" authorId="1" shapeId="0" xr:uid="{00000000-0006-0000-0100-000052120000}">
      <text>
        <r>
          <rPr>
            <sz val="11"/>
            <color theme="1"/>
            <rFont val="Calibri"/>
            <family val="2"/>
            <scheme val="minor"/>
          </rPr>
          <t>Introduzca la fecha prevista de adjudicación, en formato dd-mm-aaaa</t>
        </r>
      </text>
    </comment>
    <comment ref="F4768" authorId="1" shapeId="0" xr:uid="{00000000-0006-0000-0100-000055120000}">
      <text/>
    </comment>
    <comment ref="F4769" authorId="1" shapeId="0" xr:uid="{00000000-0006-0000-0100-000056120000}">
      <text/>
    </comment>
    <comment ref="A4771" authorId="1" shapeId="0" xr:uid="{00000000-0006-0000-0100-000057120000}">
      <text>
        <r>
          <rPr>
            <sz val="11"/>
            <color theme="1"/>
            <rFont val="Calibri"/>
            <family val="2"/>
            <scheme val="minor"/>
          </rPr>
          <t>Introduzca un codigo UNSPSC</t>
        </r>
      </text>
    </comment>
    <comment ref="B4771" authorId="1" shapeId="0" xr:uid="{00000000-0006-0000-0100-000058120000}">
      <text>
        <r>
          <rPr>
            <sz val="11"/>
            <color theme="1"/>
            <rFont val="Calibri"/>
            <family val="2"/>
            <scheme val="minor"/>
          </rPr>
          <t>Descripción calculada automáticamente a partir de código del artículo</t>
        </r>
      </text>
    </comment>
    <comment ref="C4771" authorId="1" shapeId="0" xr:uid="{00000000-0006-0000-0100-000059120000}">
      <text>
        <r>
          <rPr>
            <sz val="11"/>
            <color theme="1"/>
            <rFont val="Calibri"/>
            <family val="2"/>
            <scheme val="minor"/>
          </rPr>
          <t>Seleccione un valor de la lista</t>
        </r>
      </text>
    </comment>
    <comment ref="D4771" authorId="1" shapeId="0" xr:uid="{00000000-0006-0000-0100-00005A120000}">
      <text>
        <r>
          <rPr>
            <sz val="11"/>
            <color theme="1"/>
            <rFont val="Calibri"/>
            <family val="2"/>
            <scheme val="minor"/>
          </rPr>
          <t>Introduzca un número con dos decimales como máximo. Debe ser igual o mayor a la "Cantidad Real Consumida"</t>
        </r>
      </text>
    </comment>
    <comment ref="E4771" authorId="1" shapeId="0" xr:uid="{00000000-0006-0000-0100-00005B120000}">
      <text>
        <r>
          <rPr>
            <sz val="11"/>
            <color theme="1"/>
            <rFont val="Calibri"/>
            <family val="2"/>
            <scheme val="minor"/>
          </rPr>
          <t>Introduzca un número con dos decimales como máximo</t>
        </r>
      </text>
    </comment>
    <comment ref="F4771" authorId="1" shapeId="0" xr:uid="{00000000-0006-0000-0100-00005C120000}">
      <text>
        <r>
          <rPr>
            <sz val="11"/>
            <color theme="1"/>
            <rFont val="Calibri"/>
            <family val="2"/>
            <scheme val="minor"/>
          </rPr>
          <t>Monto calculado automáticamente por el sistema</t>
        </r>
      </text>
    </comment>
    <comment ref="A4788" authorId="1" shapeId="0" xr:uid="{00000000-0006-0000-0100-00005D120000}">
      <text>
        <r>
          <rPr>
            <sz val="11"/>
            <color theme="1"/>
            <rFont val="Calibri"/>
            <family val="2"/>
            <scheme val="minor"/>
          </rPr>
          <t>Introducir un texto con el nombre o referencia de la contratación</t>
        </r>
      </text>
    </comment>
    <comment ref="B4788" authorId="1" shapeId="0" xr:uid="{00000000-0006-0000-0100-00005E120000}">
      <text>
        <r>
          <rPr>
            <sz val="11"/>
            <color theme="1"/>
            <rFont val="Calibri"/>
            <family val="2"/>
            <scheme val="minor"/>
          </rPr>
          <t>Introduzca un texto con la finalidad de la contratación</t>
        </r>
      </text>
    </comment>
    <comment ref="C4788" authorId="1" shapeId="0" xr:uid="{00000000-0006-0000-0100-00005F120000}">
      <text>
        <r>
          <rPr>
            <sz val="11"/>
            <color theme="1"/>
            <rFont val="Calibri"/>
            <family val="2"/>
            <scheme val="minor"/>
          </rPr>
          <t>Seleccionar un valor del listado</t>
        </r>
      </text>
    </comment>
    <comment ref="D4788" authorId="1" shapeId="0" xr:uid="{00000000-0006-0000-0100-000060120000}">
      <text>
        <r>
          <rPr>
            <sz val="11"/>
            <color theme="1"/>
            <rFont val="Calibri"/>
            <family val="2"/>
            <scheme val="minor"/>
          </rPr>
          <t>Seleccione el tipo de procedimiento</t>
        </r>
      </text>
    </comment>
    <comment ref="E4788" authorId="1" shapeId="0" xr:uid="{00000000-0006-0000-0100-000061120000}">
      <text>
        <r>
          <rPr>
            <sz val="11"/>
            <color theme="1"/>
            <rFont val="Calibri"/>
            <family val="2"/>
            <scheme val="minor"/>
          </rPr>
          <t>Seleccione un valor de la lista</t>
        </r>
      </text>
    </comment>
    <comment ref="F4788" authorId="1" shapeId="0" xr:uid="{00000000-0006-0000-0100-000062120000}">
      <text>
        <r>
          <rPr>
            <sz val="11"/>
            <color theme="1"/>
            <rFont val="Calibri"/>
            <family val="2"/>
            <scheme val="minor"/>
          </rPr>
          <t>Introduzca el código SNIP</t>
        </r>
      </text>
    </comment>
    <comment ref="C4789" authorId="1" shapeId="0" xr:uid="{00000000-0006-0000-0100-000063120000}">
      <text>
        <r>
          <rPr>
            <sz val="11"/>
            <color theme="1"/>
            <rFont val="Calibri"/>
            <family val="2"/>
            <scheme val="minor"/>
          </rPr>
          <t>Introduzca la fecha de inicio del proceso, en formato dd-mm-aaaa</t>
        </r>
      </text>
    </comment>
    <comment ref="F4789" authorId="1" shapeId="0" xr:uid="{00000000-0006-0000-0100-0000651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90" authorId="1" shapeId="0" xr:uid="{00000000-0006-0000-0100-000066120000}">
      <text/>
    </comment>
    <comment ref="C4791" authorId="1" shapeId="0" xr:uid="{00000000-0006-0000-0100-000064120000}">
      <text>
        <r>
          <rPr>
            <sz val="11"/>
            <color theme="1"/>
            <rFont val="Calibri"/>
            <family val="2"/>
            <scheme val="minor"/>
          </rPr>
          <t>Introduzca la fecha prevista de adjudicación, en formato dd-mm-aaaa</t>
        </r>
      </text>
    </comment>
    <comment ref="F4791" authorId="1" shapeId="0" xr:uid="{00000000-0006-0000-0100-000067120000}">
      <text/>
    </comment>
    <comment ref="F4792" authorId="1" shapeId="0" xr:uid="{00000000-0006-0000-0100-000068120000}">
      <text/>
    </comment>
    <comment ref="A4794" authorId="1" shapeId="0" xr:uid="{00000000-0006-0000-0100-000069120000}">
      <text>
        <r>
          <rPr>
            <sz val="11"/>
            <color theme="1"/>
            <rFont val="Calibri"/>
            <family val="2"/>
            <scheme val="minor"/>
          </rPr>
          <t>Introduzca un codigo UNSPSC</t>
        </r>
      </text>
    </comment>
    <comment ref="B4794" authorId="1" shapeId="0" xr:uid="{00000000-0006-0000-0100-00006A120000}">
      <text>
        <r>
          <rPr>
            <sz val="11"/>
            <color theme="1"/>
            <rFont val="Calibri"/>
            <family val="2"/>
            <scheme val="minor"/>
          </rPr>
          <t>Descripción calculada automáticamente a partir de código del artículo</t>
        </r>
      </text>
    </comment>
    <comment ref="C4794" authorId="1" shapeId="0" xr:uid="{00000000-0006-0000-0100-00006B120000}">
      <text>
        <r>
          <rPr>
            <sz val="11"/>
            <color theme="1"/>
            <rFont val="Calibri"/>
            <family val="2"/>
            <scheme val="minor"/>
          </rPr>
          <t>Seleccione un valor de la lista</t>
        </r>
      </text>
    </comment>
    <comment ref="D4794" authorId="1" shapeId="0" xr:uid="{00000000-0006-0000-0100-00006C120000}">
      <text>
        <r>
          <rPr>
            <sz val="11"/>
            <color theme="1"/>
            <rFont val="Calibri"/>
            <family val="2"/>
            <scheme val="minor"/>
          </rPr>
          <t>Introduzca un número con dos decimales como máximo. Debe ser igual o mayor a la "Cantidad Real Consumida"</t>
        </r>
      </text>
    </comment>
    <comment ref="E4794" authorId="1" shapeId="0" xr:uid="{00000000-0006-0000-0100-00006D120000}">
      <text>
        <r>
          <rPr>
            <sz val="11"/>
            <color theme="1"/>
            <rFont val="Calibri"/>
            <family val="2"/>
            <scheme val="minor"/>
          </rPr>
          <t>Introduzca un número con dos decimales como máximo</t>
        </r>
      </text>
    </comment>
    <comment ref="F4794" authorId="1" shapeId="0" xr:uid="{00000000-0006-0000-0100-00006E120000}">
      <text>
        <r>
          <rPr>
            <sz val="11"/>
            <color theme="1"/>
            <rFont val="Calibri"/>
            <family val="2"/>
            <scheme val="minor"/>
          </rPr>
          <t>Monto calculado automáticamente por el sistema</t>
        </r>
      </text>
    </comment>
    <comment ref="A4799" authorId="1" shapeId="0" xr:uid="{00000000-0006-0000-0100-00006F120000}">
      <text>
        <r>
          <rPr>
            <sz val="11"/>
            <color theme="1"/>
            <rFont val="Calibri"/>
            <family val="2"/>
            <scheme val="minor"/>
          </rPr>
          <t>Introducir un texto con el nombre o referencia de la contratación</t>
        </r>
      </text>
    </comment>
    <comment ref="B4799" authorId="1" shapeId="0" xr:uid="{00000000-0006-0000-0100-000070120000}">
      <text>
        <r>
          <rPr>
            <sz val="11"/>
            <color theme="1"/>
            <rFont val="Calibri"/>
            <family val="2"/>
            <scheme val="minor"/>
          </rPr>
          <t>Introduzca un texto con la finalidad de la contratación</t>
        </r>
      </text>
    </comment>
    <comment ref="C4799" authorId="1" shapeId="0" xr:uid="{00000000-0006-0000-0100-000071120000}">
      <text>
        <r>
          <rPr>
            <sz val="11"/>
            <color theme="1"/>
            <rFont val="Calibri"/>
            <family val="2"/>
            <scheme val="minor"/>
          </rPr>
          <t>Seleccionar un valor del listado</t>
        </r>
      </text>
    </comment>
    <comment ref="D4799" authorId="1" shapeId="0" xr:uid="{00000000-0006-0000-0100-000072120000}">
      <text>
        <r>
          <rPr>
            <sz val="11"/>
            <color theme="1"/>
            <rFont val="Calibri"/>
            <family val="2"/>
            <scheme val="minor"/>
          </rPr>
          <t>Seleccione el tipo de procedimiento</t>
        </r>
      </text>
    </comment>
    <comment ref="E4799" authorId="1" shapeId="0" xr:uid="{00000000-0006-0000-0100-000073120000}">
      <text>
        <r>
          <rPr>
            <sz val="11"/>
            <color theme="1"/>
            <rFont val="Calibri"/>
            <family val="2"/>
            <scheme val="minor"/>
          </rPr>
          <t>Seleccione un valor de la lista</t>
        </r>
      </text>
    </comment>
    <comment ref="F4799" authorId="1" shapeId="0" xr:uid="{00000000-0006-0000-0100-000074120000}">
      <text>
        <r>
          <rPr>
            <sz val="11"/>
            <color theme="1"/>
            <rFont val="Calibri"/>
            <family val="2"/>
            <scheme val="minor"/>
          </rPr>
          <t>Introduzca el código SNIP</t>
        </r>
      </text>
    </comment>
    <comment ref="C4800" authorId="1" shapeId="0" xr:uid="{00000000-0006-0000-0100-000075120000}">
      <text>
        <r>
          <rPr>
            <sz val="11"/>
            <color theme="1"/>
            <rFont val="Calibri"/>
            <family val="2"/>
            <scheme val="minor"/>
          </rPr>
          <t>Introduzca la fecha de inicio del proceso, en formato dd-mm-aaaa</t>
        </r>
      </text>
    </comment>
    <comment ref="F4800" authorId="1" shapeId="0" xr:uid="{00000000-0006-0000-0100-0000771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01" authorId="1" shapeId="0" xr:uid="{00000000-0006-0000-0100-000078120000}">
      <text/>
    </comment>
    <comment ref="C4802" authorId="1" shapeId="0" xr:uid="{00000000-0006-0000-0100-000076120000}">
      <text>
        <r>
          <rPr>
            <sz val="11"/>
            <color theme="1"/>
            <rFont val="Calibri"/>
            <family val="2"/>
            <scheme val="minor"/>
          </rPr>
          <t>Introduzca la fecha prevista de adjudicación, en formato dd-mm-aaaa</t>
        </r>
      </text>
    </comment>
    <comment ref="F4802" authorId="1" shapeId="0" xr:uid="{00000000-0006-0000-0100-000079120000}">
      <text/>
    </comment>
    <comment ref="F4803" authorId="1" shapeId="0" xr:uid="{00000000-0006-0000-0100-00007A120000}">
      <text/>
    </comment>
    <comment ref="A4805" authorId="1" shapeId="0" xr:uid="{00000000-0006-0000-0100-00007B120000}">
      <text>
        <r>
          <rPr>
            <sz val="11"/>
            <color theme="1"/>
            <rFont val="Calibri"/>
            <family val="2"/>
            <scheme val="minor"/>
          </rPr>
          <t>Introduzca un codigo UNSPSC</t>
        </r>
      </text>
    </comment>
    <comment ref="B4805" authorId="1" shapeId="0" xr:uid="{00000000-0006-0000-0100-00007C120000}">
      <text>
        <r>
          <rPr>
            <sz val="11"/>
            <color theme="1"/>
            <rFont val="Calibri"/>
            <family val="2"/>
            <scheme val="minor"/>
          </rPr>
          <t>Descripción calculada automáticamente a partir de código del artículo</t>
        </r>
      </text>
    </comment>
    <comment ref="C4805" authorId="1" shapeId="0" xr:uid="{00000000-0006-0000-0100-00007D120000}">
      <text>
        <r>
          <rPr>
            <sz val="11"/>
            <color theme="1"/>
            <rFont val="Calibri"/>
            <family val="2"/>
            <scheme val="minor"/>
          </rPr>
          <t>Seleccione un valor de la lista</t>
        </r>
      </text>
    </comment>
    <comment ref="D4805" authorId="1" shapeId="0" xr:uid="{00000000-0006-0000-0100-00007E120000}">
      <text>
        <r>
          <rPr>
            <sz val="11"/>
            <color theme="1"/>
            <rFont val="Calibri"/>
            <family val="2"/>
            <scheme val="minor"/>
          </rPr>
          <t>Introduzca un número con dos decimales como máximo. Debe ser igual o mayor a la "Cantidad Real Consumida"</t>
        </r>
      </text>
    </comment>
    <comment ref="E4805" authorId="1" shapeId="0" xr:uid="{00000000-0006-0000-0100-00007F120000}">
      <text>
        <r>
          <rPr>
            <sz val="11"/>
            <color theme="1"/>
            <rFont val="Calibri"/>
            <family val="2"/>
            <scheme val="minor"/>
          </rPr>
          <t>Introduzca un número con dos decimales como máximo</t>
        </r>
      </text>
    </comment>
    <comment ref="F4805" authorId="1" shapeId="0" xr:uid="{00000000-0006-0000-0100-000080120000}">
      <text>
        <r>
          <rPr>
            <sz val="11"/>
            <color theme="1"/>
            <rFont val="Calibri"/>
            <family val="2"/>
            <scheme val="minor"/>
          </rPr>
          <t>Monto calculado automáticamente por el sistema</t>
        </r>
      </text>
    </comment>
    <comment ref="A4810" authorId="1" shapeId="0" xr:uid="{00000000-0006-0000-0100-000081120000}">
      <text>
        <r>
          <rPr>
            <sz val="11"/>
            <color theme="1"/>
            <rFont val="Calibri"/>
            <family val="2"/>
            <scheme val="minor"/>
          </rPr>
          <t>Introducir un texto con el nombre o referencia de la contratación</t>
        </r>
      </text>
    </comment>
    <comment ref="B4810" authorId="1" shapeId="0" xr:uid="{00000000-0006-0000-0100-000082120000}">
      <text>
        <r>
          <rPr>
            <sz val="11"/>
            <color theme="1"/>
            <rFont val="Calibri"/>
            <family val="2"/>
            <scheme val="minor"/>
          </rPr>
          <t>Introduzca un texto con la finalidad de la contratación</t>
        </r>
      </text>
    </comment>
    <comment ref="C4810" authorId="1" shapeId="0" xr:uid="{00000000-0006-0000-0100-000083120000}">
      <text>
        <r>
          <rPr>
            <sz val="11"/>
            <color theme="1"/>
            <rFont val="Calibri"/>
            <family val="2"/>
            <scheme val="minor"/>
          </rPr>
          <t>Seleccionar un valor del listado</t>
        </r>
      </text>
    </comment>
    <comment ref="D4810" authorId="1" shapeId="0" xr:uid="{00000000-0006-0000-0100-000084120000}">
      <text>
        <r>
          <rPr>
            <sz val="11"/>
            <color theme="1"/>
            <rFont val="Calibri"/>
            <family val="2"/>
            <scheme val="minor"/>
          </rPr>
          <t>Seleccione el tipo de procedimiento</t>
        </r>
      </text>
    </comment>
    <comment ref="E4810" authorId="1" shapeId="0" xr:uid="{00000000-0006-0000-0100-000085120000}">
      <text>
        <r>
          <rPr>
            <sz val="11"/>
            <color theme="1"/>
            <rFont val="Calibri"/>
            <family val="2"/>
            <scheme val="minor"/>
          </rPr>
          <t>Seleccione un valor de la lista</t>
        </r>
      </text>
    </comment>
    <comment ref="F4810" authorId="1" shapeId="0" xr:uid="{00000000-0006-0000-0100-000086120000}">
      <text>
        <r>
          <rPr>
            <sz val="11"/>
            <color theme="1"/>
            <rFont val="Calibri"/>
            <family val="2"/>
            <scheme val="minor"/>
          </rPr>
          <t>Introduzca el código SNIP</t>
        </r>
      </text>
    </comment>
    <comment ref="C4811" authorId="1" shapeId="0" xr:uid="{00000000-0006-0000-0100-000087120000}">
      <text>
        <r>
          <rPr>
            <sz val="11"/>
            <color theme="1"/>
            <rFont val="Calibri"/>
            <family val="2"/>
            <scheme val="minor"/>
          </rPr>
          <t>Introduzca la fecha de inicio del proceso, en formato dd-mm-aaaa</t>
        </r>
      </text>
    </comment>
    <comment ref="F4811" authorId="1" shapeId="0" xr:uid="{00000000-0006-0000-0100-0000891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12" authorId="1" shapeId="0" xr:uid="{00000000-0006-0000-0100-00008A120000}">
      <text/>
    </comment>
    <comment ref="C4813" authorId="1" shapeId="0" xr:uid="{00000000-0006-0000-0100-000088120000}">
      <text>
        <r>
          <rPr>
            <sz val="11"/>
            <color theme="1"/>
            <rFont val="Calibri"/>
            <family val="2"/>
            <scheme val="minor"/>
          </rPr>
          <t>Introduzca la fecha prevista de adjudicación, en formato dd-mm-aaaa</t>
        </r>
      </text>
    </comment>
    <comment ref="F4813" authorId="1" shapeId="0" xr:uid="{00000000-0006-0000-0100-00008B120000}">
      <text/>
    </comment>
    <comment ref="F4814" authorId="1" shapeId="0" xr:uid="{00000000-0006-0000-0100-00008C120000}">
      <text/>
    </comment>
    <comment ref="A4816" authorId="1" shapeId="0" xr:uid="{00000000-0006-0000-0100-00008D120000}">
      <text>
        <r>
          <rPr>
            <sz val="11"/>
            <color theme="1"/>
            <rFont val="Calibri"/>
            <family val="2"/>
            <scheme val="minor"/>
          </rPr>
          <t>Introduzca un codigo UNSPSC</t>
        </r>
      </text>
    </comment>
    <comment ref="B4816" authorId="1" shapeId="0" xr:uid="{00000000-0006-0000-0100-00008E120000}">
      <text>
        <r>
          <rPr>
            <sz val="11"/>
            <color theme="1"/>
            <rFont val="Calibri"/>
            <family val="2"/>
            <scheme val="minor"/>
          </rPr>
          <t>Descripción calculada automáticamente a partir de código del artículo</t>
        </r>
      </text>
    </comment>
    <comment ref="C4816" authorId="1" shapeId="0" xr:uid="{00000000-0006-0000-0100-00008F120000}">
      <text>
        <r>
          <rPr>
            <sz val="11"/>
            <color theme="1"/>
            <rFont val="Calibri"/>
            <family val="2"/>
            <scheme val="minor"/>
          </rPr>
          <t>Seleccione un valor de la lista</t>
        </r>
      </text>
    </comment>
    <comment ref="D4816" authorId="1" shapeId="0" xr:uid="{00000000-0006-0000-0100-000090120000}">
      <text>
        <r>
          <rPr>
            <sz val="11"/>
            <color theme="1"/>
            <rFont val="Calibri"/>
            <family val="2"/>
            <scheme val="minor"/>
          </rPr>
          <t>Introduzca un número con dos decimales como máximo. Debe ser igual o mayor a la "Cantidad Real Consumida"</t>
        </r>
      </text>
    </comment>
    <comment ref="E4816" authorId="1" shapeId="0" xr:uid="{00000000-0006-0000-0100-000091120000}">
      <text>
        <r>
          <rPr>
            <sz val="11"/>
            <color theme="1"/>
            <rFont val="Calibri"/>
            <family val="2"/>
            <scheme val="minor"/>
          </rPr>
          <t>Introduzca un número con dos decimales como máximo</t>
        </r>
      </text>
    </comment>
    <comment ref="F4816" authorId="1" shapeId="0" xr:uid="{00000000-0006-0000-0100-000092120000}">
      <text>
        <r>
          <rPr>
            <sz val="11"/>
            <color theme="1"/>
            <rFont val="Calibri"/>
            <family val="2"/>
            <scheme val="minor"/>
          </rPr>
          <t>Monto calculado automáticamente por el sistema</t>
        </r>
      </text>
    </comment>
    <comment ref="A4822" authorId="1" shapeId="0" xr:uid="{00000000-0006-0000-0100-000093120000}">
      <text>
        <r>
          <rPr>
            <sz val="11"/>
            <color theme="1"/>
            <rFont val="Calibri"/>
            <family val="2"/>
            <scheme val="minor"/>
          </rPr>
          <t>Introducir un texto con el nombre o referencia de la contratación</t>
        </r>
      </text>
    </comment>
    <comment ref="B4822" authorId="1" shapeId="0" xr:uid="{00000000-0006-0000-0100-000094120000}">
      <text>
        <r>
          <rPr>
            <sz val="11"/>
            <color theme="1"/>
            <rFont val="Calibri"/>
            <family val="2"/>
            <scheme val="minor"/>
          </rPr>
          <t>Introduzca un texto con la finalidad de la contratación</t>
        </r>
      </text>
    </comment>
    <comment ref="C4822" authorId="1" shapeId="0" xr:uid="{00000000-0006-0000-0100-000095120000}">
      <text>
        <r>
          <rPr>
            <sz val="11"/>
            <color theme="1"/>
            <rFont val="Calibri"/>
            <family val="2"/>
            <scheme val="minor"/>
          </rPr>
          <t>Seleccionar un valor del listado</t>
        </r>
      </text>
    </comment>
    <comment ref="D4822" authorId="1" shapeId="0" xr:uid="{00000000-0006-0000-0100-000096120000}">
      <text>
        <r>
          <rPr>
            <sz val="11"/>
            <color theme="1"/>
            <rFont val="Calibri"/>
            <family val="2"/>
            <scheme val="minor"/>
          </rPr>
          <t>Seleccione el tipo de procedimiento</t>
        </r>
      </text>
    </comment>
    <comment ref="E4822" authorId="1" shapeId="0" xr:uid="{00000000-0006-0000-0100-000097120000}">
      <text>
        <r>
          <rPr>
            <sz val="11"/>
            <color theme="1"/>
            <rFont val="Calibri"/>
            <family val="2"/>
            <scheme val="minor"/>
          </rPr>
          <t>Seleccione un valor de la lista</t>
        </r>
      </text>
    </comment>
    <comment ref="F4822" authorId="1" shapeId="0" xr:uid="{00000000-0006-0000-0100-000098120000}">
      <text>
        <r>
          <rPr>
            <sz val="11"/>
            <color theme="1"/>
            <rFont val="Calibri"/>
            <family val="2"/>
            <scheme val="minor"/>
          </rPr>
          <t>Introduzca el código SNIP</t>
        </r>
      </text>
    </comment>
    <comment ref="C4823" authorId="1" shapeId="0" xr:uid="{00000000-0006-0000-0100-000099120000}">
      <text>
        <r>
          <rPr>
            <sz val="11"/>
            <color theme="1"/>
            <rFont val="Calibri"/>
            <family val="2"/>
            <scheme val="minor"/>
          </rPr>
          <t>Introduzca la fecha de inicio del proceso, en formato dd-mm-aaaa</t>
        </r>
      </text>
    </comment>
    <comment ref="F4823" authorId="1" shapeId="0" xr:uid="{00000000-0006-0000-0100-00009B1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24" authorId="1" shapeId="0" xr:uid="{00000000-0006-0000-0100-00009C120000}">
      <text/>
    </comment>
    <comment ref="C4825" authorId="1" shapeId="0" xr:uid="{00000000-0006-0000-0100-00009A120000}">
      <text>
        <r>
          <rPr>
            <sz val="11"/>
            <color theme="1"/>
            <rFont val="Calibri"/>
            <family val="2"/>
            <scheme val="minor"/>
          </rPr>
          <t>Introduzca la fecha prevista de adjudicación, en formato dd-mm-aaaa</t>
        </r>
      </text>
    </comment>
    <comment ref="F4825" authorId="1" shapeId="0" xr:uid="{00000000-0006-0000-0100-00009D120000}">
      <text/>
    </comment>
    <comment ref="F4826" authorId="1" shapeId="0" xr:uid="{00000000-0006-0000-0100-00009E120000}">
      <text/>
    </comment>
    <comment ref="A4828" authorId="1" shapeId="0" xr:uid="{00000000-0006-0000-0100-00009F120000}">
      <text>
        <r>
          <rPr>
            <sz val="11"/>
            <color theme="1"/>
            <rFont val="Calibri"/>
            <family val="2"/>
            <scheme val="minor"/>
          </rPr>
          <t>Introduzca un codigo UNSPSC</t>
        </r>
      </text>
    </comment>
    <comment ref="B4828" authorId="1" shapeId="0" xr:uid="{00000000-0006-0000-0100-0000A0120000}">
      <text>
        <r>
          <rPr>
            <sz val="11"/>
            <color theme="1"/>
            <rFont val="Calibri"/>
            <family val="2"/>
            <scheme val="minor"/>
          </rPr>
          <t>Descripción calculada automáticamente a partir de código del artículo</t>
        </r>
      </text>
    </comment>
    <comment ref="C4828" authorId="1" shapeId="0" xr:uid="{00000000-0006-0000-0100-0000A1120000}">
      <text>
        <r>
          <rPr>
            <sz val="11"/>
            <color theme="1"/>
            <rFont val="Calibri"/>
            <family val="2"/>
            <scheme val="minor"/>
          </rPr>
          <t>Seleccione un valor de la lista</t>
        </r>
      </text>
    </comment>
    <comment ref="D4828" authorId="1" shapeId="0" xr:uid="{00000000-0006-0000-0100-0000A2120000}">
      <text>
        <r>
          <rPr>
            <sz val="11"/>
            <color theme="1"/>
            <rFont val="Calibri"/>
            <family val="2"/>
            <scheme val="minor"/>
          </rPr>
          <t>Introduzca un número con dos decimales como máximo. Debe ser igual o mayor a la "Cantidad Real Consumida"</t>
        </r>
      </text>
    </comment>
    <comment ref="E4828" authorId="1" shapeId="0" xr:uid="{00000000-0006-0000-0100-0000A3120000}">
      <text>
        <r>
          <rPr>
            <sz val="11"/>
            <color theme="1"/>
            <rFont val="Calibri"/>
            <family val="2"/>
            <scheme val="minor"/>
          </rPr>
          <t>Introduzca un número con dos decimales como máximo</t>
        </r>
      </text>
    </comment>
    <comment ref="F4828" authorId="1" shapeId="0" xr:uid="{00000000-0006-0000-0100-0000A4120000}">
      <text>
        <r>
          <rPr>
            <sz val="11"/>
            <color theme="1"/>
            <rFont val="Calibri"/>
            <family val="2"/>
            <scheme val="minor"/>
          </rPr>
          <t>Monto calculado automáticamente por el sistema</t>
        </r>
      </text>
    </comment>
    <comment ref="A4842" authorId="1" shapeId="0" xr:uid="{00000000-0006-0000-0100-0000A5120000}">
      <text>
        <r>
          <rPr>
            <sz val="11"/>
            <color theme="1"/>
            <rFont val="Calibri"/>
            <family val="2"/>
            <scheme val="minor"/>
          </rPr>
          <t>Introducir un texto con el nombre o referencia de la contratación</t>
        </r>
      </text>
    </comment>
    <comment ref="B4842" authorId="1" shapeId="0" xr:uid="{00000000-0006-0000-0100-0000A6120000}">
      <text>
        <r>
          <rPr>
            <sz val="11"/>
            <color theme="1"/>
            <rFont val="Calibri"/>
            <family val="2"/>
            <scheme val="minor"/>
          </rPr>
          <t>Introduzca un texto con la finalidad de la contratación</t>
        </r>
      </text>
    </comment>
    <comment ref="C4842" authorId="1" shapeId="0" xr:uid="{00000000-0006-0000-0100-0000A7120000}">
      <text>
        <r>
          <rPr>
            <sz val="11"/>
            <color theme="1"/>
            <rFont val="Calibri"/>
            <family val="2"/>
            <scheme val="minor"/>
          </rPr>
          <t>Seleccionar un valor del listado</t>
        </r>
      </text>
    </comment>
    <comment ref="D4842" authorId="1" shapeId="0" xr:uid="{00000000-0006-0000-0100-0000A8120000}">
      <text>
        <r>
          <rPr>
            <sz val="11"/>
            <color theme="1"/>
            <rFont val="Calibri"/>
            <family val="2"/>
            <scheme val="minor"/>
          </rPr>
          <t>Seleccione el tipo de procedimiento</t>
        </r>
      </text>
    </comment>
    <comment ref="E4842" authorId="1" shapeId="0" xr:uid="{00000000-0006-0000-0100-0000A9120000}">
      <text>
        <r>
          <rPr>
            <sz val="11"/>
            <color theme="1"/>
            <rFont val="Calibri"/>
            <family val="2"/>
            <scheme val="minor"/>
          </rPr>
          <t>Seleccione un valor de la lista</t>
        </r>
      </text>
    </comment>
    <comment ref="F4842" authorId="1" shapeId="0" xr:uid="{00000000-0006-0000-0100-0000AA120000}">
      <text>
        <r>
          <rPr>
            <sz val="11"/>
            <color theme="1"/>
            <rFont val="Calibri"/>
            <family val="2"/>
            <scheme val="minor"/>
          </rPr>
          <t>Introduzca el código SNIP</t>
        </r>
      </text>
    </comment>
    <comment ref="C4843" authorId="1" shapeId="0" xr:uid="{00000000-0006-0000-0100-0000AB120000}">
      <text>
        <r>
          <rPr>
            <sz val="11"/>
            <color theme="1"/>
            <rFont val="Calibri"/>
            <family val="2"/>
            <scheme val="minor"/>
          </rPr>
          <t>Introduzca la fecha de inicio del proceso, en formato dd-mm-aaaa</t>
        </r>
      </text>
    </comment>
    <comment ref="F4843" authorId="1" shapeId="0" xr:uid="{00000000-0006-0000-0100-0000AD1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44" authorId="1" shapeId="0" xr:uid="{00000000-0006-0000-0100-0000AE120000}">
      <text/>
    </comment>
    <comment ref="C4845" authorId="1" shapeId="0" xr:uid="{00000000-0006-0000-0100-0000AC120000}">
      <text>
        <r>
          <rPr>
            <sz val="11"/>
            <color theme="1"/>
            <rFont val="Calibri"/>
            <family val="2"/>
            <scheme val="minor"/>
          </rPr>
          <t>Introduzca la fecha prevista de adjudicación, en formato dd-mm-aaaa</t>
        </r>
      </text>
    </comment>
    <comment ref="F4845" authorId="1" shapeId="0" xr:uid="{00000000-0006-0000-0100-0000AF120000}">
      <text/>
    </comment>
    <comment ref="F4846" authorId="1" shapeId="0" xr:uid="{00000000-0006-0000-0100-0000B0120000}">
      <text/>
    </comment>
    <comment ref="A4848" authorId="1" shapeId="0" xr:uid="{00000000-0006-0000-0100-0000B1120000}">
      <text>
        <r>
          <rPr>
            <sz val="11"/>
            <color theme="1"/>
            <rFont val="Calibri"/>
            <family val="2"/>
            <scheme val="minor"/>
          </rPr>
          <t>Introduzca un codigo UNSPSC</t>
        </r>
      </text>
    </comment>
    <comment ref="B4848" authorId="1" shapeId="0" xr:uid="{00000000-0006-0000-0100-0000B2120000}">
      <text>
        <r>
          <rPr>
            <sz val="11"/>
            <color theme="1"/>
            <rFont val="Calibri"/>
            <family val="2"/>
            <scheme val="minor"/>
          </rPr>
          <t>Descripción calculada automáticamente a partir de código del artículo</t>
        </r>
      </text>
    </comment>
    <comment ref="C4848" authorId="1" shapeId="0" xr:uid="{00000000-0006-0000-0100-0000B3120000}">
      <text>
        <r>
          <rPr>
            <sz val="11"/>
            <color theme="1"/>
            <rFont val="Calibri"/>
            <family val="2"/>
            <scheme val="minor"/>
          </rPr>
          <t>Seleccione un valor de la lista</t>
        </r>
      </text>
    </comment>
    <comment ref="D4848" authorId="1" shapeId="0" xr:uid="{00000000-0006-0000-0100-0000B4120000}">
      <text>
        <r>
          <rPr>
            <sz val="11"/>
            <color theme="1"/>
            <rFont val="Calibri"/>
            <family val="2"/>
            <scheme val="minor"/>
          </rPr>
          <t>Introduzca un número con dos decimales como máximo. Debe ser igual o mayor a la "Cantidad Real Consumida"</t>
        </r>
      </text>
    </comment>
    <comment ref="E4848" authorId="1" shapeId="0" xr:uid="{00000000-0006-0000-0100-0000B5120000}">
      <text>
        <r>
          <rPr>
            <sz val="11"/>
            <color theme="1"/>
            <rFont val="Calibri"/>
            <family val="2"/>
            <scheme val="minor"/>
          </rPr>
          <t>Introduzca un número con dos decimales como máximo</t>
        </r>
      </text>
    </comment>
    <comment ref="F4848" authorId="1" shapeId="0" xr:uid="{00000000-0006-0000-0100-0000B6120000}">
      <text>
        <r>
          <rPr>
            <sz val="11"/>
            <color theme="1"/>
            <rFont val="Calibri"/>
            <family val="2"/>
            <scheme val="minor"/>
          </rPr>
          <t>Monto calculado automáticamente por el sistema</t>
        </r>
      </text>
    </comment>
    <comment ref="A4868" authorId="1" shapeId="0" xr:uid="{00000000-0006-0000-0100-0000B7120000}">
      <text>
        <r>
          <rPr>
            <sz val="11"/>
            <color theme="1"/>
            <rFont val="Calibri"/>
            <family val="2"/>
            <scheme val="minor"/>
          </rPr>
          <t>Introducir un texto con el nombre o referencia de la contratación</t>
        </r>
      </text>
    </comment>
    <comment ref="B4868" authorId="1" shapeId="0" xr:uid="{00000000-0006-0000-0100-0000B8120000}">
      <text>
        <r>
          <rPr>
            <sz val="11"/>
            <color theme="1"/>
            <rFont val="Calibri"/>
            <family val="2"/>
            <scheme val="minor"/>
          </rPr>
          <t>Introduzca un texto con la finalidad de la contratación</t>
        </r>
      </text>
    </comment>
    <comment ref="C4868" authorId="1" shapeId="0" xr:uid="{00000000-0006-0000-0100-0000B9120000}">
      <text>
        <r>
          <rPr>
            <sz val="11"/>
            <color theme="1"/>
            <rFont val="Calibri"/>
            <family val="2"/>
            <scheme val="minor"/>
          </rPr>
          <t>Seleccionar un valor del listado</t>
        </r>
      </text>
    </comment>
    <comment ref="D4868" authorId="1" shapeId="0" xr:uid="{00000000-0006-0000-0100-0000BA120000}">
      <text>
        <r>
          <rPr>
            <sz val="11"/>
            <color theme="1"/>
            <rFont val="Calibri"/>
            <family val="2"/>
            <scheme val="minor"/>
          </rPr>
          <t>Seleccione el tipo de procedimiento</t>
        </r>
      </text>
    </comment>
    <comment ref="E4868" authorId="1" shapeId="0" xr:uid="{00000000-0006-0000-0100-0000BB120000}">
      <text>
        <r>
          <rPr>
            <sz val="11"/>
            <color theme="1"/>
            <rFont val="Calibri"/>
            <family val="2"/>
            <scheme val="minor"/>
          </rPr>
          <t>Seleccione un valor de la lista</t>
        </r>
      </text>
    </comment>
    <comment ref="F4868" authorId="1" shapeId="0" xr:uid="{00000000-0006-0000-0100-0000BC120000}">
      <text>
        <r>
          <rPr>
            <sz val="11"/>
            <color theme="1"/>
            <rFont val="Calibri"/>
            <family val="2"/>
            <scheme val="minor"/>
          </rPr>
          <t>Introduzca el código SNIP</t>
        </r>
      </text>
    </comment>
    <comment ref="C4869" authorId="1" shapeId="0" xr:uid="{00000000-0006-0000-0100-0000BD120000}">
      <text>
        <r>
          <rPr>
            <sz val="11"/>
            <color theme="1"/>
            <rFont val="Calibri"/>
            <family val="2"/>
            <scheme val="minor"/>
          </rPr>
          <t>Introduzca la fecha de inicio del proceso, en formato dd-mm-aaaa</t>
        </r>
      </text>
    </comment>
    <comment ref="F4869" authorId="1" shapeId="0" xr:uid="{00000000-0006-0000-0100-0000BF1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70" authorId="1" shapeId="0" xr:uid="{00000000-0006-0000-0100-0000C0120000}">
      <text/>
    </comment>
    <comment ref="C4871" authorId="1" shapeId="0" xr:uid="{00000000-0006-0000-0100-0000BE120000}">
      <text>
        <r>
          <rPr>
            <sz val="11"/>
            <color theme="1"/>
            <rFont val="Calibri"/>
            <family val="2"/>
            <scheme val="minor"/>
          </rPr>
          <t>Introduzca la fecha prevista de adjudicación, en formato dd-mm-aaaa</t>
        </r>
      </text>
    </comment>
    <comment ref="F4871" authorId="1" shapeId="0" xr:uid="{00000000-0006-0000-0100-0000C1120000}">
      <text/>
    </comment>
    <comment ref="F4872" authorId="1" shapeId="0" xr:uid="{00000000-0006-0000-0100-0000C2120000}">
      <text/>
    </comment>
    <comment ref="A4874" authorId="1" shapeId="0" xr:uid="{00000000-0006-0000-0100-0000C3120000}">
      <text>
        <r>
          <rPr>
            <sz val="11"/>
            <color theme="1"/>
            <rFont val="Calibri"/>
            <family val="2"/>
            <scheme val="minor"/>
          </rPr>
          <t>Introduzca un codigo UNSPSC</t>
        </r>
      </text>
    </comment>
    <comment ref="B4874" authorId="1" shapeId="0" xr:uid="{00000000-0006-0000-0100-0000C4120000}">
      <text>
        <r>
          <rPr>
            <sz val="11"/>
            <color theme="1"/>
            <rFont val="Calibri"/>
            <family val="2"/>
            <scheme val="minor"/>
          </rPr>
          <t>Descripción calculada automáticamente a partir de código del artículo</t>
        </r>
      </text>
    </comment>
    <comment ref="C4874" authorId="1" shapeId="0" xr:uid="{00000000-0006-0000-0100-0000C5120000}">
      <text>
        <r>
          <rPr>
            <sz val="11"/>
            <color theme="1"/>
            <rFont val="Calibri"/>
            <family val="2"/>
            <scheme val="minor"/>
          </rPr>
          <t>Seleccione un valor de la lista</t>
        </r>
      </text>
    </comment>
    <comment ref="D4874" authorId="1" shapeId="0" xr:uid="{00000000-0006-0000-0100-0000C6120000}">
      <text>
        <r>
          <rPr>
            <sz val="11"/>
            <color theme="1"/>
            <rFont val="Calibri"/>
            <family val="2"/>
            <scheme val="minor"/>
          </rPr>
          <t>Introduzca un número con dos decimales como máximo. Debe ser igual o mayor a la "Cantidad Real Consumida"</t>
        </r>
      </text>
    </comment>
    <comment ref="E4874" authorId="1" shapeId="0" xr:uid="{00000000-0006-0000-0100-0000C7120000}">
      <text>
        <r>
          <rPr>
            <sz val="11"/>
            <color theme="1"/>
            <rFont val="Calibri"/>
            <family val="2"/>
            <scheme val="minor"/>
          </rPr>
          <t>Introduzca un número con dos decimales como máximo</t>
        </r>
      </text>
    </comment>
    <comment ref="F4874" authorId="1" shapeId="0" xr:uid="{00000000-0006-0000-0100-0000C8120000}">
      <text>
        <r>
          <rPr>
            <sz val="11"/>
            <color theme="1"/>
            <rFont val="Calibri"/>
            <family val="2"/>
            <scheme val="minor"/>
          </rPr>
          <t>Monto calculado automáticamente por el sistema</t>
        </r>
      </text>
    </comment>
    <comment ref="A4891" authorId="1" shapeId="0" xr:uid="{00000000-0006-0000-0100-0000C9120000}">
      <text>
        <r>
          <rPr>
            <sz val="11"/>
            <color theme="1"/>
            <rFont val="Calibri"/>
            <family val="2"/>
            <scheme val="minor"/>
          </rPr>
          <t>Introducir un texto con el nombre o referencia de la contratación</t>
        </r>
      </text>
    </comment>
    <comment ref="B4891" authorId="1" shapeId="0" xr:uid="{00000000-0006-0000-0100-0000CA120000}">
      <text>
        <r>
          <rPr>
            <sz val="11"/>
            <color theme="1"/>
            <rFont val="Calibri"/>
            <family val="2"/>
            <scheme val="minor"/>
          </rPr>
          <t>Introduzca un texto con la finalidad de la contratación</t>
        </r>
      </text>
    </comment>
    <comment ref="C4891" authorId="1" shapeId="0" xr:uid="{00000000-0006-0000-0100-0000CB120000}">
      <text>
        <r>
          <rPr>
            <sz val="11"/>
            <color theme="1"/>
            <rFont val="Calibri"/>
            <family val="2"/>
            <scheme val="minor"/>
          </rPr>
          <t>Seleccionar un valor del listado</t>
        </r>
      </text>
    </comment>
    <comment ref="D4891" authorId="1" shapeId="0" xr:uid="{00000000-0006-0000-0100-0000CC120000}">
      <text>
        <r>
          <rPr>
            <sz val="11"/>
            <color theme="1"/>
            <rFont val="Calibri"/>
            <family val="2"/>
            <scheme val="minor"/>
          </rPr>
          <t>Seleccione el tipo de procedimiento</t>
        </r>
      </text>
    </comment>
    <comment ref="E4891" authorId="1" shapeId="0" xr:uid="{00000000-0006-0000-0100-0000CD120000}">
      <text>
        <r>
          <rPr>
            <sz val="11"/>
            <color theme="1"/>
            <rFont val="Calibri"/>
            <family val="2"/>
            <scheme val="minor"/>
          </rPr>
          <t>Seleccione un valor de la lista</t>
        </r>
      </text>
    </comment>
    <comment ref="F4891" authorId="1" shapeId="0" xr:uid="{00000000-0006-0000-0100-0000CE120000}">
      <text>
        <r>
          <rPr>
            <sz val="11"/>
            <color theme="1"/>
            <rFont val="Calibri"/>
            <family val="2"/>
            <scheme val="minor"/>
          </rPr>
          <t>Introduzca el código SNIP</t>
        </r>
      </text>
    </comment>
    <comment ref="C4892" authorId="1" shapeId="0" xr:uid="{00000000-0006-0000-0100-0000CF120000}">
      <text>
        <r>
          <rPr>
            <sz val="11"/>
            <color theme="1"/>
            <rFont val="Calibri"/>
            <family val="2"/>
            <scheme val="minor"/>
          </rPr>
          <t>Introduzca la fecha de inicio del proceso, en formato dd-mm-aaaa</t>
        </r>
      </text>
    </comment>
    <comment ref="F4892" authorId="1" shapeId="0" xr:uid="{00000000-0006-0000-0100-0000D11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93" authorId="1" shapeId="0" xr:uid="{00000000-0006-0000-0100-0000D2120000}">
      <text/>
    </comment>
    <comment ref="C4894" authorId="1" shapeId="0" xr:uid="{00000000-0006-0000-0100-0000D0120000}">
      <text>
        <r>
          <rPr>
            <sz val="11"/>
            <color theme="1"/>
            <rFont val="Calibri"/>
            <family val="2"/>
            <scheme val="minor"/>
          </rPr>
          <t>Introduzca la fecha prevista de adjudicación, en formato dd-mm-aaaa</t>
        </r>
      </text>
    </comment>
    <comment ref="F4894" authorId="1" shapeId="0" xr:uid="{00000000-0006-0000-0100-0000D3120000}">
      <text/>
    </comment>
    <comment ref="F4895" authorId="1" shapeId="0" xr:uid="{00000000-0006-0000-0100-0000D4120000}">
      <text/>
    </comment>
    <comment ref="A4897" authorId="1" shapeId="0" xr:uid="{00000000-0006-0000-0100-0000D5120000}">
      <text>
        <r>
          <rPr>
            <sz val="11"/>
            <color theme="1"/>
            <rFont val="Calibri"/>
            <family val="2"/>
            <scheme val="minor"/>
          </rPr>
          <t>Introduzca un codigo UNSPSC</t>
        </r>
      </text>
    </comment>
    <comment ref="B4897" authorId="1" shapeId="0" xr:uid="{00000000-0006-0000-0100-0000D6120000}">
      <text>
        <r>
          <rPr>
            <sz val="11"/>
            <color theme="1"/>
            <rFont val="Calibri"/>
            <family val="2"/>
            <scheme val="minor"/>
          </rPr>
          <t>Descripción calculada automáticamente a partir de código del artículo</t>
        </r>
      </text>
    </comment>
    <comment ref="C4897" authorId="1" shapeId="0" xr:uid="{00000000-0006-0000-0100-0000D7120000}">
      <text>
        <r>
          <rPr>
            <sz val="11"/>
            <color theme="1"/>
            <rFont val="Calibri"/>
            <family val="2"/>
            <scheme val="minor"/>
          </rPr>
          <t>Seleccione un valor de la lista</t>
        </r>
      </text>
    </comment>
    <comment ref="D4897" authorId="1" shapeId="0" xr:uid="{00000000-0006-0000-0100-0000D8120000}">
      <text>
        <r>
          <rPr>
            <sz val="11"/>
            <color theme="1"/>
            <rFont val="Calibri"/>
            <family val="2"/>
            <scheme val="minor"/>
          </rPr>
          <t>Introduzca un número con dos decimales como máximo. Debe ser igual o mayor a la "Cantidad Real Consumida"</t>
        </r>
      </text>
    </comment>
    <comment ref="E4897" authorId="1" shapeId="0" xr:uid="{00000000-0006-0000-0100-0000D9120000}">
      <text>
        <r>
          <rPr>
            <sz val="11"/>
            <color theme="1"/>
            <rFont val="Calibri"/>
            <family val="2"/>
            <scheme val="minor"/>
          </rPr>
          <t>Introduzca un número con dos decimales como máximo</t>
        </r>
      </text>
    </comment>
    <comment ref="F4897" authorId="1" shapeId="0" xr:uid="{00000000-0006-0000-0100-0000DA120000}">
      <text>
        <r>
          <rPr>
            <sz val="11"/>
            <color theme="1"/>
            <rFont val="Calibri"/>
            <family val="2"/>
            <scheme val="minor"/>
          </rPr>
          <t>Monto calculado automáticamente por el sistema</t>
        </r>
      </text>
    </comment>
    <comment ref="A4914" authorId="1" shapeId="0" xr:uid="{00000000-0006-0000-0100-0000DB120000}">
      <text>
        <r>
          <rPr>
            <sz val="11"/>
            <color theme="1"/>
            <rFont val="Calibri"/>
            <family val="2"/>
            <scheme val="minor"/>
          </rPr>
          <t>Introducir un texto con el nombre o referencia de la contratación</t>
        </r>
      </text>
    </comment>
    <comment ref="B4914" authorId="1" shapeId="0" xr:uid="{00000000-0006-0000-0100-0000DC120000}">
      <text>
        <r>
          <rPr>
            <sz val="11"/>
            <color theme="1"/>
            <rFont val="Calibri"/>
            <family val="2"/>
            <scheme val="minor"/>
          </rPr>
          <t>Introduzca un texto con la finalidad de la contratación</t>
        </r>
      </text>
    </comment>
    <comment ref="C4914" authorId="1" shapeId="0" xr:uid="{00000000-0006-0000-0100-0000DD120000}">
      <text>
        <r>
          <rPr>
            <sz val="11"/>
            <color theme="1"/>
            <rFont val="Calibri"/>
            <family val="2"/>
            <scheme val="minor"/>
          </rPr>
          <t>Seleccionar un valor del listado</t>
        </r>
      </text>
    </comment>
    <comment ref="D4914" authorId="1" shapeId="0" xr:uid="{00000000-0006-0000-0100-0000DE120000}">
      <text>
        <r>
          <rPr>
            <sz val="11"/>
            <color theme="1"/>
            <rFont val="Calibri"/>
            <family val="2"/>
            <scheme val="minor"/>
          </rPr>
          <t>Seleccione el tipo de procedimiento</t>
        </r>
      </text>
    </comment>
    <comment ref="E4914" authorId="1" shapeId="0" xr:uid="{00000000-0006-0000-0100-0000DF120000}">
      <text>
        <r>
          <rPr>
            <sz val="11"/>
            <color theme="1"/>
            <rFont val="Calibri"/>
            <family val="2"/>
            <scheme val="minor"/>
          </rPr>
          <t>Seleccione un valor de la lista</t>
        </r>
      </text>
    </comment>
    <comment ref="F4914" authorId="1" shapeId="0" xr:uid="{00000000-0006-0000-0100-0000E0120000}">
      <text>
        <r>
          <rPr>
            <sz val="11"/>
            <color theme="1"/>
            <rFont val="Calibri"/>
            <family val="2"/>
            <scheme val="minor"/>
          </rPr>
          <t>Introduzca el código SNIP</t>
        </r>
      </text>
    </comment>
    <comment ref="C4915" authorId="1" shapeId="0" xr:uid="{00000000-0006-0000-0100-0000E1120000}">
      <text>
        <r>
          <rPr>
            <sz val="11"/>
            <color theme="1"/>
            <rFont val="Calibri"/>
            <family val="2"/>
            <scheme val="minor"/>
          </rPr>
          <t>Introduzca la fecha de inicio del proceso, en formato dd-mm-aaaa</t>
        </r>
      </text>
    </comment>
    <comment ref="F4915" authorId="1" shapeId="0" xr:uid="{00000000-0006-0000-0100-0000E31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16" authorId="1" shapeId="0" xr:uid="{00000000-0006-0000-0100-0000E4120000}">
      <text/>
    </comment>
    <comment ref="C4917" authorId="1" shapeId="0" xr:uid="{00000000-0006-0000-0100-0000E2120000}">
      <text>
        <r>
          <rPr>
            <sz val="11"/>
            <color theme="1"/>
            <rFont val="Calibri"/>
            <family val="2"/>
            <scheme val="minor"/>
          </rPr>
          <t>Introduzca la fecha prevista de adjudicación, en formato dd-mm-aaaa</t>
        </r>
      </text>
    </comment>
    <comment ref="F4917" authorId="1" shapeId="0" xr:uid="{00000000-0006-0000-0100-0000E5120000}">
      <text/>
    </comment>
    <comment ref="F4918" authorId="1" shapeId="0" xr:uid="{00000000-0006-0000-0100-0000E6120000}">
      <text/>
    </comment>
    <comment ref="A4920" authorId="1" shapeId="0" xr:uid="{00000000-0006-0000-0100-0000E7120000}">
      <text>
        <r>
          <rPr>
            <sz val="11"/>
            <color theme="1"/>
            <rFont val="Calibri"/>
            <family val="2"/>
            <scheme val="minor"/>
          </rPr>
          <t>Introduzca un codigo UNSPSC</t>
        </r>
      </text>
    </comment>
    <comment ref="B4920" authorId="1" shapeId="0" xr:uid="{00000000-0006-0000-0100-0000E8120000}">
      <text>
        <r>
          <rPr>
            <sz val="11"/>
            <color theme="1"/>
            <rFont val="Calibri"/>
            <family val="2"/>
            <scheme val="minor"/>
          </rPr>
          <t>Descripción calculada automáticamente a partir de código del artículo</t>
        </r>
      </text>
    </comment>
    <comment ref="C4920" authorId="1" shapeId="0" xr:uid="{00000000-0006-0000-0100-0000E9120000}">
      <text>
        <r>
          <rPr>
            <sz val="11"/>
            <color theme="1"/>
            <rFont val="Calibri"/>
            <family val="2"/>
            <scheme val="minor"/>
          </rPr>
          <t>Seleccione un valor de la lista</t>
        </r>
      </text>
    </comment>
    <comment ref="D4920" authorId="1" shapeId="0" xr:uid="{00000000-0006-0000-0100-0000EA120000}">
      <text>
        <r>
          <rPr>
            <sz val="11"/>
            <color theme="1"/>
            <rFont val="Calibri"/>
            <family val="2"/>
            <scheme val="minor"/>
          </rPr>
          <t>Introduzca un número con dos decimales como máximo. Debe ser igual o mayor a la "Cantidad Real Consumida"</t>
        </r>
      </text>
    </comment>
    <comment ref="E4920" authorId="1" shapeId="0" xr:uid="{00000000-0006-0000-0100-0000EB120000}">
      <text>
        <r>
          <rPr>
            <sz val="11"/>
            <color theme="1"/>
            <rFont val="Calibri"/>
            <family val="2"/>
            <scheme val="minor"/>
          </rPr>
          <t>Introduzca un número con dos decimales como máximo</t>
        </r>
      </text>
    </comment>
    <comment ref="F4920" authorId="1" shapeId="0" xr:uid="{00000000-0006-0000-0100-0000EC120000}">
      <text>
        <r>
          <rPr>
            <sz val="11"/>
            <color theme="1"/>
            <rFont val="Calibri"/>
            <family val="2"/>
            <scheme val="minor"/>
          </rPr>
          <t>Monto calculado automáticamente por el sistema</t>
        </r>
      </text>
    </comment>
    <comment ref="A4927" authorId="1" shapeId="0" xr:uid="{00000000-0006-0000-0100-0000ED120000}">
      <text>
        <r>
          <rPr>
            <sz val="11"/>
            <color theme="1"/>
            <rFont val="Calibri"/>
            <family val="2"/>
            <scheme val="minor"/>
          </rPr>
          <t>Introducir un texto con el nombre o referencia de la contratación</t>
        </r>
      </text>
    </comment>
    <comment ref="B4927" authorId="1" shapeId="0" xr:uid="{00000000-0006-0000-0100-0000EE120000}">
      <text>
        <r>
          <rPr>
            <sz val="11"/>
            <color theme="1"/>
            <rFont val="Calibri"/>
            <family val="2"/>
            <scheme val="minor"/>
          </rPr>
          <t>Introduzca un texto con la finalidad de la contratación</t>
        </r>
      </text>
    </comment>
    <comment ref="C4927" authorId="1" shapeId="0" xr:uid="{00000000-0006-0000-0100-0000EF120000}">
      <text>
        <r>
          <rPr>
            <sz val="11"/>
            <color theme="1"/>
            <rFont val="Calibri"/>
            <family val="2"/>
            <scheme val="minor"/>
          </rPr>
          <t>Seleccionar un valor del listado</t>
        </r>
      </text>
    </comment>
    <comment ref="D4927" authorId="1" shapeId="0" xr:uid="{00000000-0006-0000-0100-0000F0120000}">
      <text>
        <r>
          <rPr>
            <sz val="11"/>
            <color theme="1"/>
            <rFont val="Calibri"/>
            <family val="2"/>
            <scheme val="minor"/>
          </rPr>
          <t>Seleccione el tipo de procedimiento</t>
        </r>
      </text>
    </comment>
    <comment ref="E4927" authorId="1" shapeId="0" xr:uid="{00000000-0006-0000-0100-0000F1120000}">
      <text>
        <r>
          <rPr>
            <sz val="11"/>
            <color theme="1"/>
            <rFont val="Calibri"/>
            <family val="2"/>
            <scheme val="minor"/>
          </rPr>
          <t>Seleccione un valor de la lista</t>
        </r>
      </text>
    </comment>
    <comment ref="F4927" authorId="1" shapeId="0" xr:uid="{00000000-0006-0000-0100-0000F2120000}">
      <text>
        <r>
          <rPr>
            <sz val="11"/>
            <color theme="1"/>
            <rFont val="Calibri"/>
            <family val="2"/>
            <scheme val="minor"/>
          </rPr>
          <t>Introduzca el código SNIP</t>
        </r>
      </text>
    </comment>
    <comment ref="C4928" authorId="1" shapeId="0" xr:uid="{00000000-0006-0000-0100-0000F3120000}">
      <text>
        <r>
          <rPr>
            <sz val="11"/>
            <color theme="1"/>
            <rFont val="Calibri"/>
            <family val="2"/>
            <scheme val="minor"/>
          </rPr>
          <t>Introduzca la fecha de inicio del proceso, en formato dd-mm-aaaa</t>
        </r>
      </text>
    </comment>
    <comment ref="F4928" authorId="1" shapeId="0" xr:uid="{00000000-0006-0000-0100-0000F51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29" authorId="1" shapeId="0" xr:uid="{00000000-0006-0000-0100-0000F6120000}">
      <text/>
    </comment>
    <comment ref="C4930" authorId="1" shapeId="0" xr:uid="{00000000-0006-0000-0100-0000F4120000}">
      <text>
        <r>
          <rPr>
            <sz val="11"/>
            <color theme="1"/>
            <rFont val="Calibri"/>
            <family val="2"/>
            <scheme val="minor"/>
          </rPr>
          <t>Introduzca la fecha prevista de adjudicación, en formato dd-mm-aaaa</t>
        </r>
      </text>
    </comment>
    <comment ref="F4930" authorId="1" shapeId="0" xr:uid="{00000000-0006-0000-0100-0000F7120000}">
      <text/>
    </comment>
    <comment ref="F4931" authorId="1" shapeId="0" xr:uid="{00000000-0006-0000-0100-0000F8120000}">
      <text/>
    </comment>
    <comment ref="A4933" authorId="1" shapeId="0" xr:uid="{00000000-0006-0000-0100-0000F9120000}">
      <text>
        <r>
          <rPr>
            <sz val="11"/>
            <color theme="1"/>
            <rFont val="Calibri"/>
            <family val="2"/>
            <scheme val="minor"/>
          </rPr>
          <t>Introduzca un codigo UNSPSC</t>
        </r>
      </text>
    </comment>
    <comment ref="B4933" authorId="1" shapeId="0" xr:uid="{00000000-0006-0000-0100-0000FA120000}">
      <text>
        <r>
          <rPr>
            <sz val="11"/>
            <color theme="1"/>
            <rFont val="Calibri"/>
            <family val="2"/>
            <scheme val="minor"/>
          </rPr>
          <t>Descripción calculada automáticamente a partir de código del artículo</t>
        </r>
      </text>
    </comment>
    <comment ref="C4933" authorId="1" shapeId="0" xr:uid="{00000000-0006-0000-0100-0000FB120000}">
      <text>
        <r>
          <rPr>
            <sz val="11"/>
            <color theme="1"/>
            <rFont val="Calibri"/>
            <family val="2"/>
            <scheme val="minor"/>
          </rPr>
          <t>Seleccione un valor de la lista</t>
        </r>
      </text>
    </comment>
    <comment ref="D4933" authorId="1" shapeId="0" xr:uid="{00000000-0006-0000-0100-0000FC120000}">
      <text>
        <r>
          <rPr>
            <sz val="11"/>
            <color theme="1"/>
            <rFont val="Calibri"/>
            <family val="2"/>
            <scheme val="minor"/>
          </rPr>
          <t>Introduzca un número con dos decimales como máximo. Debe ser igual o mayor a la "Cantidad Real Consumida"</t>
        </r>
      </text>
    </comment>
    <comment ref="E4933" authorId="1" shapeId="0" xr:uid="{00000000-0006-0000-0100-0000FD120000}">
      <text>
        <r>
          <rPr>
            <sz val="11"/>
            <color theme="1"/>
            <rFont val="Calibri"/>
            <family val="2"/>
            <scheme val="minor"/>
          </rPr>
          <t>Introduzca un número con dos decimales como máximo</t>
        </r>
      </text>
    </comment>
    <comment ref="F4933" authorId="1" shapeId="0" xr:uid="{00000000-0006-0000-0100-0000FE120000}">
      <text>
        <r>
          <rPr>
            <sz val="11"/>
            <color theme="1"/>
            <rFont val="Calibri"/>
            <family val="2"/>
            <scheme val="minor"/>
          </rPr>
          <t>Monto calculado automáticamente por el sistema</t>
        </r>
      </text>
    </comment>
    <comment ref="A4941" authorId="1" shapeId="0" xr:uid="{00000000-0006-0000-0100-0000FF120000}">
      <text>
        <r>
          <rPr>
            <sz val="11"/>
            <color theme="1"/>
            <rFont val="Calibri"/>
            <family val="2"/>
            <scheme val="minor"/>
          </rPr>
          <t>Introducir un texto con el nombre o referencia de la contratación</t>
        </r>
      </text>
    </comment>
    <comment ref="B4941" authorId="1" shapeId="0" xr:uid="{00000000-0006-0000-0100-000000130000}">
      <text>
        <r>
          <rPr>
            <sz val="11"/>
            <color theme="1"/>
            <rFont val="Calibri"/>
            <family val="2"/>
            <scheme val="minor"/>
          </rPr>
          <t>Introduzca un texto con la finalidad de la contratación</t>
        </r>
      </text>
    </comment>
    <comment ref="C4941" authorId="1" shapeId="0" xr:uid="{00000000-0006-0000-0100-000001130000}">
      <text>
        <r>
          <rPr>
            <sz val="11"/>
            <color theme="1"/>
            <rFont val="Calibri"/>
            <family val="2"/>
            <scheme val="minor"/>
          </rPr>
          <t>Seleccionar un valor del listado</t>
        </r>
      </text>
    </comment>
    <comment ref="D4941" authorId="1" shapeId="0" xr:uid="{00000000-0006-0000-0100-000002130000}">
      <text>
        <r>
          <rPr>
            <sz val="11"/>
            <color theme="1"/>
            <rFont val="Calibri"/>
            <family val="2"/>
            <scheme val="minor"/>
          </rPr>
          <t>Seleccione el tipo de procedimiento</t>
        </r>
      </text>
    </comment>
    <comment ref="E4941" authorId="1" shapeId="0" xr:uid="{00000000-0006-0000-0100-000003130000}">
      <text>
        <r>
          <rPr>
            <sz val="11"/>
            <color theme="1"/>
            <rFont val="Calibri"/>
            <family val="2"/>
            <scheme val="minor"/>
          </rPr>
          <t>Seleccione un valor de la lista</t>
        </r>
      </text>
    </comment>
    <comment ref="F4941" authorId="1" shapeId="0" xr:uid="{00000000-0006-0000-0100-000004130000}">
      <text>
        <r>
          <rPr>
            <sz val="11"/>
            <color theme="1"/>
            <rFont val="Calibri"/>
            <family val="2"/>
            <scheme val="minor"/>
          </rPr>
          <t>Introduzca el código SNIP</t>
        </r>
      </text>
    </comment>
    <comment ref="C4942" authorId="1" shapeId="0" xr:uid="{00000000-0006-0000-0100-000005130000}">
      <text>
        <r>
          <rPr>
            <sz val="11"/>
            <color theme="1"/>
            <rFont val="Calibri"/>
            <family val="2"/>
            <scheme val="minor"/>
          </rPr>
          <t>Introduzca la fecha de inicio del proceso, en formato dd-mm-aaaa</t>
        </r>
      </text>
    </comment>
    <comment ref="F4942" authorId="1" shapeId="0" xr:uid="{00000000-0006-0000-0100-0000071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43" authorId="1" shapeId="0" xr:uid="{00000000-0006-0000-0100-000008130000}">
      <text/>
    </comment>
    <comment ref="C4944" authorId="1" shapeId="0" xr:uid="{00000000-0006-0000-0100-000006130000}">
      <text>
        <r>
          <rPr>
            <sz val="11"/>
            <color theme="1"/>
            <rFont val="Calibri"/>
            <family val="2"/>
            <scheme val="minor"/>
          </rPr>
          <t>Introduzca la fecha prevista de adjudicación, en formato dd-mm-aaaa</t>
        </r>
      </text>
    </comment>
    <comment ref="F4944" authorId="1" shapeId="0" xr:uid="{00000000-0006-0000-0100-000009130000}">
      <text/>
    </comment>
    <comment ref="F4945" authorId="1" shapeId="0" xr:uid="{00000000-0006-0000-0100-00000A130000}">
      <text/>
    </comment>
    <comment ref="A4947" authorId="1" shapeId="0" xr:uid="{00000000-0006-0000-0100-00000B130000}">
      <text>
        <r>
          <rPr>
            <sz val="11"/>
            <color theme="1"/>
            <rFont val="Calibri"/>
            <family val="2"/>
            <scheme val="minor"/>
          </rPr>
          <t>Introduzca un codigo UNSPSC</t>
        </r>
      </text>
    </comment>
    <comment ref="B4947" authorId="1" shapeId="0" xr:uid="{00000000-0006-0000-0100-00000C130000}">
      <text>
        <r>
          <rPr>
            <sz val="11"/>
            <color theme="1"/>
            <rFont val="Calibri"/>
            <family val="2"/>
            <scheme val="minor"/>
          </rPr>
          <t>Descripción calculada automáticamente a partir de código del artículo</t>
        </r>
      </text>
    </comment>
    <comment ref="C4947" authorId="1" shapeId="0" xr:uid="{00000000-0006-0000-0100-00000D130000}">
      <text>
        <r>
          <rPr>
            <sz val="11"/>
            <color theme="1"/>
            <rFont val="Calibri"/>
            <family val="2"/>
            <scheme val="minor"/>
          </rPr>
          <t>Seleccione un valor de la lista</t>
        </r>
      </text>
    </comment>
    <comment ref="D4947" authorId="1" shapeId="0" xr:uid="{00000000-0006-0000-0100-00000E130000}">
      <text>
        <r>
          <rPr>
            <sz val="11"/>
            <color theme="1"/>
            <rFont val="Calibri"/>
            <family val="2"/>
            <scheme val="minor"/>
          </rPr>
          <t>Introduzca un número con dos decimales como máximo. Debe ser igual o mayor a la "Cantidad Real Consumida"</t>
        </r>
      </text>
    </comment>
    <comment ref="E4947" authorId="1" shapeId="0" xr:uid="{00000000-0006-0000-0100-00000F130000}">
      <text>
        <r>
          <rPr>
            <sz val="11"/>
            <color theme="1"/>
            <rFont val="Calibri"/>
            <family val="2"/>
            <scheme val="minor"/>
          </rPr>
          <t>Introduzca un número con dos decimales como máximo</t>
        </r>
      </text>
    </comment>
    <comment ref="F4947" authorId="1" shapeId="0" xr:uid="{00000000-0006-0000-0100-000010130000}">
      <text>
        <r>
          <rPr>
            <sz val="11"/>
            <color theme="1"/>
            <rFont val="Calibri"/>
            <family val="2"/>
            <scheme val="minor"/>
          </rPr>
          <t>Monto calculado automáticamente por el sistema</t>
        </r>
      </text>
    </comment>
    <comment ref="A4953" authorId="1" shapeId="0" xr:uid="{00000000-0006-0000-0100-000011130000}">
      <text>
        <r>
          <rPr>
            <sz val="11"/>
            <color theme="1"/>
            <rFont val="Calibri"/>
            <family val="2"/>
            <scheme val="minor"/>
          </rPr>
          <t>Introducir un texto con el nombre o referencia de la contratación</t>
        </r>
      </text>
    </comment>
    <comment ref="B4953" authorId="1" shapeId="0" xr:uid="{00000000-0006-0000-0100-000012130000}">
      <text>
        <r>
          <rPr>
            <sz val="11"/>
            <color theme="1"/>
            <rFont val="Calibri"/>
            <family val="2"/>
            <scheme val="minor"/>
          </rPr>
          <t>Introduzca un texto con la finalidad de la contratación</t>
        </r>
      </text>
    </comment>
    <comment ref="C4953" authorId="1" shapeId="0" xr:uid="{00000000-0006-0000-0100-000013130000}">
      <text>
        <r>
          <rPr>
            <sz val="11"/>
            <color theme="1"/>
            <rFont val="Calibri"/>
            <family val="2"/>
            <scheme val="minor"/>
          </rPr>
          <t>Seleccionar un valor del listado</t>
        </r>
      </text>
    </comment>
    <comment ref="D4953" authorId="1" shapeId="0" xr:uid="{00000000-0006-0000-0100-000014130000}">
      <text>
        <r>
          <rPr>
            <sz val="11"/>
            <color theme="1"/>
            <rFont val="Calibri"/>
            <family val="2"/>
            <scheme val="minor"/>
          </rPr>
          <t>Seleccione el tipo de procedimiento</t>
        </r>
      </text>
    </comment>
    <comment ref="E4953" authorId="1" shapeId="0" xr:uid="{00000000-0006-0000-0100-000015130000}">
      <text>
        <r>
          <rPr>
            <sz val="11"/>
            <color theme="1"/>
            <rFont val="Calibri"/>
            <family val="2"/>
            <scheme val="minor"/>
          </rPr>
          <t>Seleccione un valor de la lista</t>
        </r>
      </text>
    </comment>
    <comment ref="F4953" authorId="1" shapeId="0" xr:uid="{00000000-0006-0000-0100-000016130000}">
      <text>
        <r>
          <rPr>
            <sz val="11"/>
            <color theme="1"/>
            <rFont val="Calibri"/>
            <family val="2"/>
            <scheme val="minor"/>
          </rPr>
          <t>Introduzca el código SNIP</t>
        </r>
      </text>
    </comment>
    <comment ref="C4954" authorId="1" shapeId="0" xr:uid="{00000000-0006-0000-0100-000017130000}">
      <text>
        <r>
          <rPr>
            <sz val="11"/>
            <color theme="1"/>
            <rFont val="Calibri"/>
            <family val="2"/>
            <scheme val="minor"/>
          </rPr>
          <t>Introduzca la fecha de inicio del proceso, en formato dd-mm-aaaa</t>
        </r>
      </text>
    </comment>
    <comment ref="F4954" authorId="1" shapeId="0" xr:uid="{00000000-0006-0000-0100-0000191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55" authorId="1" shapeId="0" xr:uid="{00000000-0006-0000-0100-00001A130000}">
      <text/>
    </comment>
    <comment ref="C4956" authorId="1" shapeId="0" xr:uid="{00000000-0006-0000-0100-000018130000}">
      <text>
        <r>
          <rPr>
            <sz val="11"/>
            <color theme="1"/>
            <rFont val="Calibri"/>
            <family val="2"/>
            <scheme val="minor"/>
          </rPr>
          <t>Introduzca la fecha prevista de adjudicación, en formato dd-mm-aaaa</t>
        </r>
      </text>
    </comment>
    <comment ref="F4956" authorId="1" shapeId="0" xr:uid="{00000000-0006-0000-0100-00001B130000}">
      <text/>
    </comment>
    <comment ref="F4957" authorId="1" shapeId="0" xr:uid="{00000000-0006-0000-0100-00001C130000}">
      <text/>
    </comment>
    <comment ref="A4959" authorId="1" shapeId="0" xr:uid="{00000000-0006-0000-0100-00001D130000}">
      <text>
        <r>
          <rPr>
            <sz val="11"/>
            <color theme="1"/>
            <rFont val="Calibri"/>
            <family val="2"/>
            <scheme val="minor"/>
          </rPr>
          <t>Introduzca un codigo UNSPSC</t>
        </r>
      </text>
    </comment>
    <comment ref="B4959" authorId="1" shapeId="0" xr:uid="{00000000-0006-0000-0100-00001E130000}">
      <text>
        <r>
          <rPr>
            <sz val="11"/>
            <color theme="1"/>
            <rFont val="Calibri"/>
            <family val="2"/>
            <scheme val="minor"/>
          </rPr>
          <t>Descripción calculada automáticamente a partir de código del artículo</t>
        </r>
      </text>
    </comment>
    <comment ref="C4959" authorId="1" shapeId="0" xr:uid="{00000000-0006-0000-0100-00001F130000}">
      <text>
        <r>
          <rPr>
            <sz val="11"/>
            <color theme="1"/>
            <rFont val="Calibri"/>
            <family val="2"/>
            <scheme val="minor"/>
          </rPr>
          <t>Seleccione un valor de la lista</t>
        </r>
      </text>
    </comment>
    <comment ref="D4959" authorId="1" shapeId="0" xr:uid="{00000000-0006-0000-0100-000020130000}">
      <text>
        <r>
          <rPr>
            <sz val="11"/>
            <color theme="1"/>
            <rFont val="Calibri"/>
            <family val="2"/>
            <scheme val="minor"/>
          </rPr>
          <t>Introduzca un número con dos decimales como máximo. Debe ser igual o mayor a la "Cantidad Real Consumida"</t>
        </r>
      </text>
    </comment>
    <comment ref="E4959" authorId="1" shapeId="0" xr:uid="{00000000-0006-0000-0100-000021130000}">
      <text>
        <r>
          <rPr>
            <sz val="11"/>
            <color theme="1"/>
            <rFont val="Calibri"/>
            <family val="2"/>
            <scheme val="minor"/>
          </rPr>
          <t>Introduzca un número con dos decimales como máximo</t>
        </r>
      </text>
    </comment>
    <comment ref="F4959" authorId="1" shapeId="0" xr:uid="{00000000-0006-0000-0100-000022130000}">
      <text>
        <r>
          <rPr>
            <sz val="11"/>
            <color theme="1"/>
            <rFont val="Calibri"/>
            <family val="2"/>
            <scheme val="minor"/>
          </rPr>
          <t>Monto calculado automáticamente por el sistema</t>
        </r>
      </text>
    </comment>
    <comment ref="A4965" authorId="1" shapeId="0" xr:uid="{00000000-0006-0000-0100-000023130000}">
      <text>
        <r>
          <rPr>
            <sz val="11"/>
            <color theme="1"/>
            <rFont val="Calibri"/>
            <family val="2"/>
            <scheme val="minor"/>
          </rPr>
          <t>Introducir un texto con el nombre o referencia de la contratación</t>
        </r>
      </text>
    </comment>
    <comment ref="B4965" authorId="1" shapeId="0" xr:uid="{00000000-0006-0000-0100-000024130000}">
      <text>
        <r>
          <rPr>
            <sz val="11"/>
            <color theme="1"/>
            <rFont val="Calibri"/>
            <family val="2"/>
            <scheme val="minor"/>
          </rPr>
          <t>Introduzca un texto con la finalidad de la contratación</t>
        </r>
      </text>
    </comment>
    <comment ref="C4965" authorId="1" shapeId="0" xr:uid="{00000000-0006-0000-0100-000025130000}">
      <text>
        <r>
          <rPr>
            <sz val="11"/>
            <color theme="1"/>
            <rFont val="Calibri"/>
            <family val="2"/>
            <scheme val="minor"/>
          </rPr>
          <t>Seleccionar un valor del listado</t>
        </r>
      </text>
    </comment>
    <comment ref="D4965" authorId="1" shapeId="0" xr:uid="{00000000-0006-0000-0100-000026130000}">
      <text>
        <r>
          <rPr>
            <sz val="11"/>
            <color theme="1"/>
            <rFont val="Calibri"/>
            <family val="2"/>
            <scheme val="minor"/>
          </rPr>
          <t>Seleccione el tipo de procedimiento</t>
        </r>
      </text>
    </comment>
    <comment ref="E4965" authorId="1" shapeId="0" xr:uid="{00000000-0006-0000-0100-000027130000}">
      <text>
        <r>
          <rPr>
            <sz val="11"/>
            <color theme="1"/>
            <rFont val="Calibri"/>
            <family val="2"/>
            <scheme val="minor"/>
          </rPr>
          <t>Seleccione un valor de la lista</t>
        </r>
      </text>
    </comment>
    <comment ref="F4965" authorId="1" shapeId="0" xr:uid="{00000000-0006-0000-0100-000028130000}">
      <text>
        <r>
          <rPr>
            <sz val="11"/>
            <color theme="1"/>
            <rFont val="Calibri"/>
            <family val="2"/>
            <scheme val="minor"/>
          </rPr>
          <t>Introduzca el código SNIP</t>
        </r>
      </text>
    </comment>
    <comment ref="C4966" authorId="1" shapeId="0" xr:uid="{00000000-0006-0000-0100-000029130000}">
      <text>
        <r>
          <rPr>
            <sz val="11"/>
            <color theme="1"/>
            <rFont val="Calibri"/>
            <family val="2"/>
            <scheme val="minor"/>
          </rPr>
          <t>Introduzca la fecha de inicio del proceso, en formato dd-mm-aaaa</t>
        </r>
      </text>
    </comment>
    <comment ref="F4966" authorId="1" shapeId="0" xr:uid="{00000000-0006-0000-0100-00002B1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67" authorId="1" shapeId="0" xr:uid="{00000000-0006-0000-0100-00002C130000}">
      <text/>
    </comment>
    <comment ref="C4968" authorId="1" shapeId="0" xr:uid="{00000000-0006-0000-0100-00002A130000}">
      <text>
        <r>
          <rPr>
            <sz val="11"/>
            <color theme="1"/>
            <rFont val="Calibri"/>
            <family val="2"/>
            <scheme val="minor"/>
          </rPr>
          <t>Introduzca la fecha prevista de adjudicación, en formato dd-mm-aaaa</t>
        </r>
      </text>
    </comment>
    <comment ref="F4968" authorId="1" shapeId="0" xr:uid="{00000000-0006-0000-0100-00002D130000}">
      <text/>
    </comment>
    <comment ref="F4969" authorId="1" shapeId="0" xr:uid="{00000000-0006-0000-0100-00002E130000}">
      <text/>
    </comment>
    <comment ref="A4971" authorId="1" shapeId="0" xr:uid="{00000000-0006-0000-0100-00002F130000}">
      <text>
        <r>
          <rPr>
            <sz val="11"/>
            <color theme="1"/>
            <rFont val="Calibri"/>
            <family val="2"/>
            <scheme val="minor"/>
          </rPr>
          <t>Introduzca un codigo UNSPSC</t>
        </r>
      </text>
    </comment>
    <comment ref="B4971" authorId="1" shapeId="0" xr:uid="{00000000-0006-0000-0100-000030130000}">
      <text>
        <r>
          <rPr>
            <sz val="11"/>
            <color theme="1"/>
            <rFont val="Calibri"/>
            <family val="2"/>
            <scheme val="minor"/>
          </rPr>
          <t>Descripción calculada automáticamente a partir de código del artículo</t>
        </r>
      </text>
    </comment>
    <comment ref="C4971" authorId="1" shapeId="0" xr:uid="{00000000-0006-0000-0100-000031130000}">
      <text>
        <r>
          <rPr>
            <sz val="11"/>
            <color theme="1"/>
            <rFont val="Calibri"/>
            <family val="2"/>
            <scheme val="minor"/>
          </rPr>
          <t>Seleccione un valor de la lista</t>
        </r>
      </text>
    </comment>
    <comment ref="D4971" authorId="1" shapeId="0" xr:uid="{00000000-0006-0000-0100-000032130000}">
      <text>
        <r>
          <rPr>
            <sz val="11"/>
            <color theme="1"/>
            <rFont val="Calibri"/>
            <family val="2"/>
            <scheme val="minor"/>
          </rPr>
          <t>Introduzca un número con dos decimales como máximo. Debe ser igual o mayor a la "Cantidad Real Consumida"</t>
        </r>
      </text>
    </comment>
    <comment ref="E4971" authorId="1" shapeId="0" xr:uid="{00000000-0006-0000-0100-000033130000}">
      <text>
        <r>
          <rPr>
            <sz val="11"/>
            <color theme="1"/>
            <rFont val="Calibri"/>
            <family val="2"/>
            <scheme val="minor"/>
          </rPr>
          <t>Introduzca un número con dos decimales como máximo</t>
        </r>
      </text>
    </comment>
    <comment ref="F4971" authorId="1" shapeId="0" xr:uid="{00000000-0006-0000-0100-000034130000}">
      <text>
        <r>
          <rPr>
            <sz val="11"/>
            <color theme="1"/>
            <rFont val="Calibri"/>
            <family val="2"/>
            <scheme val="minor"/>
          </rPr>
          <t>Monto calculado automáticamente por el sistema</t>
        </r>
      </text>
    </comment>
    <comment ref="A4976" authorId="1" shapeId="0" xr:uid="{00000000-0006-0000-0100-000035130000}">
      <text>
        <r>
          <rPr>
            <sz val="11"/>
            <color theme="1"/>
            <rFont val="Calibri"/>
            <family val="2"/>
            <scheme val="minor"/>
          </rPr>
          <t>Introducir un texto con el nombre o referencia de la contratación</t>
        </r>
      </text>
    </comment>
    <comment ref="B4976" authorId="1" shapeId="0" xr:uid="{00000000-0006-0000-0100-000036130000}">
      <text>
        <r>
          <rPr>
            <sz val="11"/>
            <color theme="1"/>
            <rFont val="Calibri"/>
            <family val="2"/>
            <scheme val="minor"/>
          </rPr>
          <t>Introduzca un texto con la finalidad de la contratación</t>
        </r>
      </text>
    </comment>
    <comment ref="C4976" authorId="1" shapeId="0" xr:uid="{00000000-0006-0000-0100-000037130000}">
      <text>
        <r>
          <rPr>
            <sz val="11"/>
            <color theme="1"/>
            <rFont val="Calibri"/>
            <family val="2"/>
            <scheme val="minor"/>
          </rPr>
          <t>Seleccionar un valor del listado</t>
        </r>
      </text>
    </comment>
    <comment ref="D4976" authorId="1" shapeId="0" xr:uid="{00000000-0006-0000-0100-000038130000}">
      <text>
        <r>
          <rPr>
            <sz val="11"/>
            <color theme="1"/>
            <rFont val="Calibri"/>
            <family val="2"/>
            <scheme val="minor"/>
          </rPr>
          <t>Seleccione el tipo de procedimiento</t>
        </r>
      </text>
    </comment>
    <comment ref="E4976" authorId="1" shapeId="0" xr:uid="{00000000-0006-0000-0100-000039130000}">
      <text>
        <r>
          <rPr>
            <sz val="11"/>
            <color theme="1"/>
            <rFont val="Calibri"/>
            <family val="2"/>
            <scheme val="minor"/>
          </rPr>
          <t>Seleccione un valor de la lista</t>
        </r>
      </text>
    </comment>
    <comment ref="F4976" authorId="1" shapeId="0" xr:uid="{00000000-0006-0000-0100-00003A130000}">
      <text>
        <r>
          <rPr>
            <sz val="11"/>
            <color theme="1"/>
            <rFont val="Calibri"/>
            <family val="2"/>
            <scheme val="minor"/>
          </rPr>
          <t>Introduzca el código SNIP</t>
        </r>
      </text>
    </comment>
    <comment ref="C4977" authorId="1" shapeId="0" xr:uid="{00000000-0006-0000-0100-00003B130000}">
      <text>
        <r>
          <rPr>
            <sz val="11"/>
            <color theme="1"/>
            <rFont val="Calibri"/>
            <family val="2"/>
            <scheme val="minor"/>
          </rPr>
          <t>Introduzca la fecha de inicio del proceso, en formato dd-mm-aaaa</t>
        </r>
      </text>
    </comment>
    <comment ref="F4977" authorId="1" shapeId="0" xr:uid="{00000000-0006-0000-0100-00003D1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78" authorId="1" shapeId="0" xr:uid="{00000000-0006-0000-0100-00003E130000}">
      <text/>
    </comment>
    <comment ref="C4979" authorId="1" shapeId="0" xr:uid="{00000000-0006-0000-0100-00003C130000}">
      <text>
        <r>
          <rPr>
            <sz val="11"/>
            <color theme="1"/>
            <rFont val="Calibri"/>
            <family val="2"/>
            <scheme val="minor"/>
          </rPr>
          <t>Introduzca la fecha prevista de adjudicación, en formato dd-mm-aaaa</t>
        </r>
      </text>
    </comment>
    <comment ref="F4979" authorId="1" shapeId="0" xr:uid="{00000000-0006-0000-0100-00003F130000}">
      <text/>
    </comment>
    <comment ref="F4980" authorId="1" shapeId="0" xr:uid="{00000000-0006-0000-0100-000040130000}">
      <text/>
    </comment>
    <comment ref="A4982" authorId="1" shapeId="0" xr:uid="{00000000-0006-0000-0100-000041130000}">
      <text>
        <r>
          <rPr>
            <sz val="11"/>
            <color theme="1"/>
            <rFont val="Calibri"/>
            <family val="2"/>
            <scheme val="minor"/>
          </rPr>
          <t>Introduzca un codigo UNSPSC</t>
        </r>
      </text>
    </comment>
    <comment ref="B4982" authorId="1" shapeId="0" xr:uid="{00000000-0006-0000-0100-000042130000}">
      <text>
        <r>
          <rPr>
            <sz val="11"/>
            <color theme="1"/>
            <rFont val="Calibri"/>
            <family val="2"/>
            <scheme val="minor"/>
          </rPr>
          <t>Descripción calculada automáticamente a partir de código del artículo</t>
        </r>
      </text>
    </comment>
    <comment ref="C4982" authorId="1" shapeId="0" xr:uid="{00000000-0006-0000-0100-000043130000}">
      <text>
        <r>
          <rPr>
            <sz val="11"/>
            <color theme="1"/>
            <rFont val="Calibri"/>
            <family val="2"/>
            <scheme val="minor"/>
          </rPr>
          <t>Seleccione un valor de la lista</t>
        </r>
      </text>
    </comment>
    <comment ref="D4982" authorId="1" shapeId="0" xr:uid="{00000000-0006-0000-0100-000044130000}">
      <text>
        <r>
          <rPr>
            <sz val="11"/>
            <color theme="1"/>
            <rFont val="Calibri"/>
            <family val="2"/>
            <scheme val="minor"/>
          </rPr>
          <t>Introduzca un número con dos decimales como máximo. Debe ser igual o mayor a la "Cantidad Real Consumida"</t>
        </r>
      </text>
    </comment>
    <comment ref="E4982" authorId="1" shapeId="0" xr:uid="{00000000-0006-0000-0100-000045130000}">
      <text>
        <r>
          <rPr>
            <sz val="11"/>
            <color theme="1"/>
            <rFont val="Calibri"/>
            <family val="2"/>
            <scheme val="minor"/>
          </rPr>
          <t>Introduzca un número con dos decimales como máximo</t>
        </r>
      </text>
    </comment>
    <comment ref="F4982" authorId="1" shapeId="0" xr:uid="{00000000-0006-0000-0100-000046130000}">
      <text>
        <r>
          <rPr>
            <sz val="11"/>
            <color theme="1"/>
            <rFont val="Calibri"/>
            <family val="2"/>
            <scheme val="minor"/>
          </rPr>
          <t>Monto calculado automáticamente por el sistema</t>
        </r>
      </text>
    </comment>
    <comment ref="A4992" authorId="1" shapeId="0" xr:uid="{00000000-0006-0000-0100-000047130000}">
      <text>
        <r>
          <rPr>
            <sz val="11"/>
            <color theme="1"/>
            <rFont val="Calibri"/>
            <family val="2"/>
            <scheme val="minor"/>
          </rPr>
          <t>Introducir un texto con el nombre o referencia de la contratación</t>
        </r>
      </text>
    </comment>
    <comment ref="B4992" authorId="1" shapeId="0" xr:uid="{00000000-0006-0000-0100-000048130000}">
      <text>
        <r>
          <rPr>
            <sz val="11"/>
            <color theme="1"/>
            <rFont val="Calibri"/>
            <family val="2"/>
            <scheme val="minor"/>
          </rPr>
          <t>Introduzca un texto con la finalidad de la contratación</t>
        </r>
      </text>
    </comment>
    <comment ref="C4992" authorId="1" shapeId="0" xr:uid="{00000000-0006-0000-0100-000049130000}">
      <text>
        <r>
          <rPr>
            <sz val="11"/>
            <color theme="1"/>
            <rFont val="Calibri"/>
            <family val="2"/>
            <scheme val="minor"/>
          </rPr>
          <t>Seleccionar un valor del listado</t>
        </r>
      </text>
    </comment>
    <comment ref="D4992" authorId="1" shapeId="0" xr:uid="{00000000-0006-0000-0100-00004A130000}">
      <text>
        <r>
          <rPr>
            <sz val="11"/>
            <color theme="1"/>
            <rFont val="Calibri"/>
            <family val="2"/>
            <scheme val="minor"/>
          </rPr>
          <t>Seleccione el tipo de procedimiento</t>
        </r>
      </text>
    </comment>
    <comment ref="E4992" authorId="1" shapeId="0" xr:uid="{00000000-0006-0000-0100-00004B130000}">
      <text>
        <r>
          <rPr>
            <sz val="11"/>
            <color theme="1"/>
            <rFont val="Calibri"/>
            <family val="2"/>
            <scheme val="minor"/>
          </rPr>
          <t>Seleccione un valor de la lista</t>
        </r>
      </text>
    </comment>
    <comment ref="F4992" authorId="1" shapeId="0" xr:uid="{00000000-0006-0000-0100-00004C130000}">
      <text>
        <r>
          <rPr>
            <sz val="11"/>
            <color theme="1"/>
            <rFont val="Calibri"/>
            <family val="2"/>
            <scheme val="minor"/>
          </rPr>
          <t>Introduzca el código SNIP</t>
        </r>
      </text>
    </comment>
    <comment ref="C4993" authorId="1" shapeId="0" xr:uid="{00000000-0006-0000-0100-00004D130000}">
      <text>
        <r>
          <rPr>
            <sz val="11"/>
            <color theme="1"/>
            <rFont val="Calibri"/>
            <family val="2"/>
            <scheme val="minor"/>
          </rPr>
          <t>Introduzca la fecha de inicio del proceso, en formato dd-mm-aaaa</t>
        </r>
      </text>
    </comment>
    <comment ref="F4993" authorId="1" shapeId="0" xr:uid="{00000000-0006-0000-0100-00004F1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94" authorId="1" shapeId="0" xr:uid="{00000000-0006-0000-0100-000050130000}">
      <text/>
    </comment>
    <comment ref="C4995" authorId="1" shapeId="0" xr:uid="{00000000-0006-0000-0100-00004E130000}">
      <text>
        <r>
          <rPr>
            <sz val="11"/>
            <color theme="1"/>
            <rFont val="Calibri"/>
            <family val="2"/>
            <scheme val="minor"/>
          </rPr>
          <t>Introduzca la fecha prevista de adjudicación, en formato dd-mm-aaaa</t>
        </r>
      </text>
    </comment>
    <comment ref="F4995" authorId="1" shapeId="0" xr:uid="{00000000-0006-0000-0100-000051130000}">
      <text/>
    </comment>
    <comment ref="F4996" authorId="1" shapeId="0" xr:uid="{00000000-0006-0000-0100-000052130000}">
      <text/>
    </comment>
    <comment ref="A4998" authorId="1" shapeId="0" xr:uid="{00000000-0006-0000-0100-000053130000}">
      <text>
        <r>
          <rPr>
            <sz val="11"/>
            <color theme="1"/>
            <rFont val="Calibri"/>
            <family val="2"/>
            <scheme val="minor"/>
          </rPr>
          <t>Introduzca un codigo UNSPSC</t>
        </r>
      </text>
    </comment>
    <comment ref="B4998" authorId="1" shapeId="0" xr:uid="{00000000-0006-0000-0100-000054130000}">
      <text>
        <r>
          <rPr>
            <sz val="11"/>
            <color theme="1"/>
            <rFont val="Calibri"/>
            <family val="2"/>
            <scheme val="minor"/>
          </rPr>
          <t>Descripción calculada automáticamente a partir de código del artículo</t>
        </r>
      </text>
    </comment>
    <comment ref="C4998" authorId="1" shapeId="0" xr:uid="{00000000-0006-0000-0100-000055130000}">
      <text>
        <r>
          <rPr>
            <sz val="11"/>
            <color theme="1"/>
            <rFont val="Calibri"/>
            <family val="2"/>
            <scheme val="minor"/>
          </rPr>
          <t>Seleccione un valor de la lista</t>
        </r>
      </text>
    </comment>
    <comment ref="D4998" authorId="1" shapeId="0" xr:uid="{00000000-0006-0000-0100-000056130000}">
      <text>
        <r>
          <rPr>
            <sz val="11"/>
            <color theme="1"/>
            <rFont val="Calibri"/>
            <family val="2"/>
            <scheme val="minor"/>
          </rPr>
          <t>Introduzca un número con dos decimales como máximo. Debe ser igual o mayor a la "Cantidad Real Consumida"</t>
        </r>
      </text>
    </comment>
    <comment ref="E4998" authorId="1" shapeId="0" xr:uid="{00000000-0006-0000-0100-000057130000}">
      <text>
        <r>
          <rPr>
            <sz val="11"/>
            <color theme="1"/>
            <rFont val="Calibri"/>
            <family val="2"/>
            <scheme val="minor"/>
          </rPr>
          <t>Introduzca un número con dos decimales como máximo</t>
        </r>
      </text>
    </comment>
    <comment ref="F4998" authorId="1" shapeId="0" xr:uid="{00000000-0006-0000-0100-000058130000}">
      <text>
        <r>
          <rPr>
            <sz val="11"/>
            <color theme="1"/>
            <rFont val="Calibri"/>
            <family val="2"/>
            <scheme val="minor"/>
          </rPr>
          <t>Monto calculado automáticamente por el sistema</t>
        </r>
      </text>
    </comment>
    <comment ref="A5008" authorId="1" shapeId="0" xr:uid="{00000000-0006-0000-0100-000059130000}">
      <text>
        <r>
          <rPr>
            <sz val="11"/>
            <color theme="1"/>
            <rFont val="Calibri"/>
            <family val="2"/>
            <scheme val="minor"/>
          </rPr>
          <t>Introducir un texto con el nombre o referencia de la contratación</t>
        </r>
      </text>
    </comment>
    <comment ref="B5008" authorId="1" shapeId="0" xr:uid="{00000000-0006-0000-0100-00005A130000}">
      <text>
        <r>
          <rPr>
            <sz val="11"/>
            <color theme="1"/>
            <rFont val="Calibri"/>
            <family val="2"/>
            <scheme val="minor"/>
          </rPr>
          <t>Introduzca un texto con la finalidad de la contratación</t>
        </r>
      </text>
    </comment>
    <comment ref="C5008" authorId="1" shapeId="0" xr:uid="{00000000-0006-0000-0100-00005B130000}">
      <text>
        <r>
          <rPr>
            <sz val="11"/>
            <color theme="1"/>
            <rFont val="Calibri"/>
            <family val="2"/>
            <scheme val="minor"/>
          </rPr>
          <t>Seleccionar un valor del listado</t>
        </r>
      </text>
    </comment>
    <comment ref="D5008" authorId="1" shapeId="0" xr:uid="{00000000-0006-0000-0100-00005C130000}">
      <text>
        <r>
          <rPr>
            <sz val="11"/>
            <color theme="1"/>
            <rFont val="Calibri"/>
            <family val="2"/>
            <scheme val="minor"/>
          </rPr>
          <t>Seleccione el tipo de procedimiento</t>
        </r>
      </text>
    </comment>
    <comment ref="E5008" authorId="1" shapeId="0" xr:uid="{00000000-0006-0000-0100-00005D130000}">
      <text>
        <r>
          <rPr>
            <sz val="11"/>
            <color theme="1"/>
            <rFont val="Calibri"/>
            <family val="2"/>
            <scheme val="minor"/>
          </rPr>
          <t>Seleccione un valor de la lista</t>
        </r>
      </text>
    </comment>
    <comment ref="F5008" authorId="1" shapeId="0" xr:uid="{00000000-0006-0000-0100-00005E130000}">
      <text>
        <r>
          <rPr>
            <sz val="11"/>
            <color theme="1"/>
            <rFont val="Calibri"/>
            <family val="2"/>
            <scheme val="minor"/>
          </rPr>
          <t>Introduzca el código SNIP</t>
        </r>
      </text>
    </comment>
    <comment ref="C5009" authorId="1" shapeId="0" xr:uid="{00000000-0006-0000-0100-00005F130000}">
      <text>
        <r>
          <rPr>
            <sz val="11"/>
            <color theme="1"/>
            <rFont val="Calibri"/>
            <family val="2"/>
            <scheme val="minor"/>
          </rPr>
          <t>Introduzca la fecha de inicio del proceso, en formato dd-mm-aaaa</t>
        </r>
      </text>
    </comment>
    <comment ref="F5009" authorId="1" shapeId="0" xr:uid="{00000000-0006-0000-0100-0000611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10" authorId="1" shapeId="0" xr:uid="{00000000-0006-0000-0100-000062130000}">
      <text/>
    </comment>
    <comment ref="C5011" authorId="1" shapeId="0" xr:uid="{00000000-0006-0000-0100-000060130000}">
      <text>
        <r>
          <rPr>
            <sz val="11"/>
            <color theme="1"/>
            <rFont val="Calibri"/>
            <family val="2"/>
            <scheme val="minor"/>
          </rPr>
          <t>Introduzca la fecha prevista de adjudicación, en formato dd-mm-aaaa</t>
        </r>
      </text>
    </comment>
    <comment ref="F5011" authorId="1" shapeId="0" xr:uid="{00000000-0006-0000-0100-000063130000}">
      <text/>
    </comment>
    <comment ref="F5012" authorId="1" shapeId="0" xr:uid="{00000000-0006-0000-0100-000064130000}">
      <text/>
    </comment>
    <comment ref="A5014" authorId="1" shapeId="0" xr:uid="{00000000-0006-0000-0100-000065130000}">
      <text>
        <r>
          <rPr>
            <sz val="11"/>
            <color theme="1"/>
            <rFont val="Calibri"/>
            <family val="2"/>
            <scheme val="minor"/>
          </rPr>
          <t>Introduzca un codigo UNSPSC</t>
        </r>
      </text>
    </comment>
    <comment ref="B5014" authorId="1" shapeId="0" xr:uid="{00000000-0006-0000-0100-000066130000}">
      <text>
        <r>
          <rPr>
            <sz val="11"/>
            <color theme="1"/>
            <rFont val="Calibri"/>
            <family val="2"/>
            <scheme val="minor"/>
          </rPr>
          <t>Descripción calculada automáticamente a partir de código del artículo</t>
        </r>
      </text>
    </comment>
    <comment ref="C5014" authorId="1" shapeId="0" xr:uid="{00000000-0006-0000-0100-000067130000}">
      <text>
        <r>
          <rPr>
            <sz val="11"/>
            <color theme="1"/>
            <rFont val="Calibri"/>
            <family val="2"/>
            <scheme val="minor"/>
          </rPr>
          <t>Seleccione un valor de la lista</t>
        </r>
      </text>
    </comment>
    <comment ref="D5014" authorId="1" shapeId="0" xr:uid="{00000000-0006-0000-0100-000068130000}">
      <text>
        <r>
          <rPr>
            <sz val="11"/>
            <color theme="1"/>
            <rFont val="Calibri"/>
            <family val="2"/>
            <scheme val="minor"/>
          </rPr>
          <t>Introduzca un número con dos decimales como máximo. Debe ser igual o mayor a la "Cantidad Real Consumida"</t>
        </r>
      </text>
    </comment>
    <comment ref="E5014" authorId="1" shapeId="0" xr:uid="{00000000-0006-0000-0100-000069130000}">
      <text>
        <r>
          <rPr>
            <sz val="11"/>
            <color theme="1"/>
            <rFont val="Calibri"/>
            <family val="2"/>
            <scheme val="minor"/>
          </rPr>
          <t>Introduzca un número con dos decimales como máximo</t>
        </r>
      </text>
    </comment>
    <comment ref="F5014" authorId="1" shapeId="0" xr:uid="{00000000-0006-0000-0100-00006A130000}">
      <text>
        <r>
          <rPr>
            <sz val="11"/>
            <color theme="1"/>
            <rFont val="Calibri"/>
            <family val="2"/>
            <scheme val="minor"/>
          </rPr>
          <t>Monto calculado automáticamente por el sistema</t>
        </r>
      </text>
    </comment>
    <comment ref="A5023" authorId="1" shapeId="0" xr:uid="{00000000-0006-0000-0100-00006B130000}">
      <text>
        <r>
          <rPr>
            <sz val="11"/>
            <color theme="1"/>
            <rFont val="Calibri"/>
            <family val="2"/>
            <scheme val="minor"/>
          </rPr>
          <t>Introducir un texto con el nombre o referencia de la contratación</t>
        </r>
      </text>
    </comment>
    <comment ref="B5023" authorId="1" shapeId="0" xr:uid="{00000000-0006-0000-0100-00006C130000}">
      <text>
        <r>
          <rPr>
            <sz val="11"/>
            <color theme="1"/>
            <rFont val="Calibri"/>
            <family val="2"/>
            <scheme val="minor"/>
          </rPr>
          <t>Introduzca un texto con la finalidad de la contratación</t>
        </r>
      </text>
    </comment>
    <comment ref="C5023" authorId="1" shapeId="0" xr:uid="{00000000-0006-0000-0100-00006D130000}">
      <text>
        <r>
          <rPr>
            <sz val="11"/>
            <color theme="1"/>
            <rFont val="Calibri"/>
            <family val="2"/>
            <scheme val="minor"/>
          </rPr>
          <t>Seleccionar un valor del listado</t>
        </r>
      </text>
    </comment>
    <comment ref="D5023" authorId="1" shapeId="0" xr:uid="{00000000-0006-0000-0100-00006E130000}">
      <text>
        <r>
          <rPr>
            <sz val="11"/>
            <color theme="1"/>
            <rFont val="Calibri"/>
            <family val="2"/>
            <scheme val="minor"/>
          </rPr>
          <t>Seleccione el tipo de procedimiento</t>
        </r>
      </text>
    </comment>
    <comment ref="E5023" authorId="1" shapeId="0" xr:uid="{00000000-0006-0000-0100-00006F130000}">
      <text>
        <r>
          <rPr>
            <sz val="11"/>
            <color theme="1"/>
            <rFont val="Calibri"/>
            <family val="2"/>
            <scheme val="minor"/>
          </rPr>
          <t>Seleccione un valor de la lista</t>
        </r>
      </text>
    </comment>
    <comment ref="F5023" authorId="1" shapeId="0" xr:uid="{00000000-0006-0000-0100-000070130000}">
      <text>
        <r>
          <rPr>
            <sz val="11"/>
            <color theme="1"/>
            <rFont val="Calibri"/>
            <family val="2"/>
            <scheme val="minor"/>
          </rPr>
          <t>Introduzca el código SNIP</t>
        </r>
      </text>
    </comment>
    <comment ref="C5024" authorId="1" shapeId="0" xr:uid="{00000000-0006-0000-0100-000071130000}">
      <text>
        <r>
          <rPr>
            <sz val="11"/>
            <color theme="1"/>
            <rFont val="Calibri"/>
            <family val="2"/>
            <scheme val="minor"/>
          </rPr>
          <t>Introduzca la fecha de inicio del proceso, en formato dd-mm-aaaa</t>
        </r>
      </text>
    </comment>
    <comment ref="F5024" authorId="1" shapeId="0" xr:uid="{00000000-0006-0000-0100-0000731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25" authorId="1" shapeId="0" xr:uid="{00000000-0006-0000-0100-000074130000}">
      <text/>
    </comment>
    <comment ref="C5026" authorId="1" shapeId="0" xr:uid="{00000000-0006-0000-0100-000072130000}">
      <text>
        <r>
          <rPr>
            <sz val="11"/>
            <color theme="1"/>
            <rFont val="Calibri"/>
            <family val="2"/>
            <scheme val="minor"/>
          </rPr>
          <t>Introduzca la fecha prevista de adjudicación, en formato dd-mm-aaaa</t>
        </r>
      </text>
    </comment>
    <comment ref="F5026" authorId="1" shapeId="0" xr:uid="{00000000-0006-0000-0100-000075130000}">
      <text/>
    </comment>
    <comment ref="F5027" authorId="1" shapeId="0" xr:uid="{00000000-0006-0000-0100-000076130000}">
      <text/>
    </comment>
    <comment ref="A5029" authorId="1" shapeId="0" xr:uid="{00000000-0006-0000-0100-000077130000}">
      <text>
        <r>
          <rPr>
            <sz val="11"/>
            <color theme="1"/>
            <rFont val="Calibri"/>
            <family val="2"/>
            <scheme val="minor"/>
          </rPr>
          <t>Introduzca un codigo UNSPSC</t>
        </r>
      </text>
    </comment>
    <comment ref="B5029" authorId="1" shapeId="0" xr:uid="{00000000-0006-0000-0100-000078130000}">
      <text>
        <r>
          <rPr>
            <sz val="11"/>
            <color theme="1"/>
            <rFont val="Calibri"/>
            <family val="2"/>
            <scheme val="minor"/>
          </rPr>
          <t>Descripción calculada automáticamente a partir de código del artículo</t>
        </r>
      </text>
    </comment>
    <comment ref="C5029" authorId="1" shapeId="0" xr:uid="{00000000-0006-0000-0100-000079130000}">
      <text>
        <r>
          <rPr>
            <sz val="11"/>
            <color theme="1"/>
            <rFont val="Calibri"/>
            <family val="2"/>
            <scheme val="minor"/>
          </rPr>
          <t>Seleccione un valor de la lista</t>
        </r>
      </text>
    </comment>
    <comment ref="D5029" authorId="1" shapeId="0" xr:uid="{00000000-0006-0000-0100-00007A130000}">
      <text>
        <r>
          <rPr>
            <sz val="11"/>
            <color theme="1"/>
            <rFont val="Calibri"/>
            <family val="2"/>
            <scheme val="minor"/>
          </rPr>
          <t>Introduzca un número con dos decimales como máximo. Debe ser igual o mayor a la "Cantidad Real Consumida"</t>
        </r>
      </text>
    </comment>
    <comment ref="E5029" authorId="1" shapeId="0" xr:uid="{00000000-0006-0000-0100-00007B130000}">
      <text>
        <r>
          <rPr>
            <sz val="11"/>
            <color theme="1"/>
            <rFont val="Calibri"/>
            <family val="2"/>
            <scheme val="minor"/>
          </rPr>
          <t>Introduzca un número con dos decimales como máximo</t>
        </r>
      </text>
    </comment>
    <comment ref="F5029" authorId="1" shapeId="0" xr:uid="{00000000-0006-0000-0100-00007C130000}">
      <text>
        <r>
          <rPr>
            <sz val="11"/>
            <color theme="1"/>
            <rFont val="Calibri"/>
            <family val="2"/>
            <scheme val="minor"/>
          </rPr>
          <t>Monto calculado automáticamente por el sistema</t>
        </r>
      </text>
    </comment>
    <comment ref="A5036" authorId="1" shapeId="0" xr:uid="{00000000-0006-0000-0100-00007D130000}">
      <text>
        <r>
          <rPr>
            <sz val="11"/>
            <color theme="1"/>
            <rFont val="Calibri"/>
            <family val="2"/>
            <scheme val="minor"/>
          </rPr>
          <t>Introducir un texto con el nombre o referencia de la contratación</t>
        </r>
      </text>
    </comment>
    <comment ref="B5036" authorId="1" shapeId="0" xr:uid="{00000000-0006-0000-0100-00007E130000}">
      <text>
        <r>
          <rPr>
            <sz val="11"/>
            <color theme="1"/>
            <rFont val="Calibri"/>
            <family val="2"/>
            <scheme val="minor"/>
          </rPr>
          <t>Introduzca un texto con la finalidad de la contratación</t>
        </r>
      </text>
    </comment>
    <comment ref="C5036" authorId="1" shapeId="0" xr:uid="{00000000-0006-0000-0100-00007F130000}">
      <text>
        <r>
          <rPr>
            <sz val="11"/>
            <color theme="1"/>
            <rFont val="Calibri"/>
            <family val="2"/>
            <scheme val="minor"/>
          </rPr>
          <t>Seleccionar un valor del listado</t>
        </r>
      </text>
    </comment>
    <comment ref="D5036" authorId="1" shapeId="0" xr:uid="{00000000-0006-0000-0100-000080130000}">
      <text>
        <r>
          <rPr>
            <sz val="11"/>
            <color theme="1"/>
            <rFont val="Calibri"/>
            <family val="2"/>
            <scheme val="minor"/>
          </rPr>
          <t>Seleccione el tipo de procedimiento</t>
        </r>
      </text>
    </comment>
    <comment ref="E5036" authorId="1" shapeId="0" xr:uid="{00000000-0006-0000-0100-000081130000}">
      <text>
        <r>
          <rPr>
            <sz val="11"/>
            <color theme="1"/>
            <rFont val="Calibri"/>
            <family val="2"/>
            <scheme val="minor"/>
          </rPr>
          <t>Seleccione un valor de la lista</t>
        </r>
      </text>
    </comment>
    <comment ref="F5036" authorId="1" shapeId="0" xr:uid="{00000000-0006-0000-0100-000082130000}">
      <text>
        <r>
          <rPr>
            <sz val="11"/>
            <color theme="1"/>
            <rFont val="Calibri"/>
            <family val="2"/>
            <scheme val="minor"/>
          </rPr>
          <t>Introduzca el código SNIP</t>
        </r>
      </text>
    </comment>
    <comment ref="C5037" authorId="1" shapeId="0" xr:uid="{00000000-0006-0000-0100-000083130000}">
      <text>
        <r>
          <rPr>
            <sz val="11"/>
            <color theme="1"/>
            <rFont val="Calibri"/>
            <family val="2"/>
            <scheme val="minor"/>
          </rPr>
          <t>Introduzca la fecha de inicio del proceso, en formato dd-mm-aaaa</t>
        </r>
      </text>
    </comment>
    <comment ref="F5037" authorId="1" shapeId="0" xr:uid="{00000000-0006-0000-0100-0000851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38" authorId="1" shapeId="0" xr:uid="{00000000-0006-0000-0100-000086130000}">
      <text/>
    </comment>
    <comment ref="C5039" authorId="1" shapeId="0" xr:uid="{00000000-0006-0000-0100-000084130000}">
      <text>
        <r>
          <rPr>
            <sz val="11"/>
            <color theme="1"/>
            <rFont val="Calibri"/>
            <family val="2"/>
            <scheme val="minor"/>
          </rPr>
          <t>Introduzca la fecha prevista de adjudicación, en formato dd-mm-aaaa</t>
        </r>
      </text>
    </comment>
    <comment ref="F5039" authorId="1" shapeId="0" xr:uid="{00000000-0006-0000-0100-000087130000}">
      <text/>
    </comment>
    <comment ref="F5040" authorId="1" shapeId="0" xr:uid="{00000000-0006-0000-0100-000088130000}">
      <text/>
    </comment>
    <comment ref="A5042" authorId="1" shapeId="0" xr:uid="{00000000-0006-0000-0100-000089130000}">
      <text>
        <r>
          <rPr>
            <sz val="11"/>
            <color theme="1"/>
            <rFont val="Calibri"/>
            <family val="2"/>
            <scheme val="minor"/>
          </rPr>
          <t>Introduzca un codigo UNSPSC</t>
        </r>
      </text>
    </comment>
    <comment ref="B5042" authorId="1" shapeId="0" xr:uid="{00000000-0006-0000-0100-00008A130000}">
      <text>
        <r>
          <rPr>
            <sz val="11"/>
            <color theme="1"/>
            <rFont val="Calibri"/>
            <family val="2"/>
            <scheme val="minor"/>
          </rPr>
          <t>Descripción calculada automáticamente a partir de código del artículo</t>
        </r>
      </text>
    </comment>
    <comment ref="C5042" authorId="1" shapeId="0" xr:uid="{00000000-0006-0000-0100-00008B130000}">
      <text>
        <r>
          <rPr>
            <sz val="11"/>
            <color theme="1"/>
            <rFont val="Calibri"/>
            <family val="2"/>
            <scheme val="minor"/>
          </rPr>
          <t>Seleccione un valor de la lista</t>
        </r>
      </text>
    </comment>
    <comment ref="D5042" authorId="1" shapeId="0" xr:uid="{00000000-0006-0000-0100-00008C130000}">
      <text>
        <r>
          <rPr>
            <sz val="11"/>
            <color theme="1"/>
            <rFont val="Calibri"/>
            <family val="2"/>
            <scheme val="minor"/>
          </rPr>
          <t>Introduzca un número con dos decimales como máximo. Debe ser igual o mayor a la "Cantidad Real Consumida"</t>
        </r>
      </text>
    </comment>
    <comment ref="E5042" authorId="1" shapeId="0" xr:uid="{00000000-0006-0000-0100-00008D130000}">
      <text>
        <r>
          <rPr>
            <sz val="11"/>
            <color theme="1"/>
            <rFont val="Calibri"/>
            <family val="2"/>
            <scheme val="minor"/>
          </rPr>
          <t>Introduzca un número con dos decimales como máximo</t>
        </r>
      </text>
    </comment>
    <comment ref="F5042" authorId="1" shapeId="0" xr:uid="{00000000-0006-0000-0100-00008E130000}">
      <text>
        <r>
          <rPr>
            <sz val="11"/>
            <color theme="1"/>
            <rFont val="Calibri"/>
            <family val="2"/>
            <scheme val="minor"/>
          </rPr>
          <t>Monto calculado automáticamente por el sistema</t>
        </r>
      </text>
    </comment>
    <comment ref="A5052" authorId="1" shapeId="0" xr:uid="{00000000-0006-0000-0100-00008F130000}">
      <text>
        <r>
          <rPr>
            <sz val="11"/>
            <color theme="1"/>
            <rFont val="Calibri"/>
            <family val="2"/>
            <scheme val="minor"/>
          </rPr>
          <t>Introducir un texto con el nombre o referencia de la contratación</t>
        </r>
      </text>
    </comment>
    <comment ref="B5052" authorId="1" shapeId="0" xr:uid="{00000000-0006-0000-0100-000090130000}">
      <text>
        <r>
          <rPr>
            <sz val="11"/>
            <color theme="1"/>
            <rFont val="Calibri"/>
            <family val="2"/>
            <scheme val="minor"/>
          </rPr>
          <t>Introduzca un texto con la finalidad de la contratación</t>
        </r>
      </text>
    </comment>
    <comment ref="C5052" authorId="1" shapeId="0" xr:uid="{00000000-0006-0000-0100-000091130000}">
      <text>
        <r>
          <rPr>
            <sz val="11"/>
            <color theme="1"/>
            <rFont val="Calibri"/>
            <family val="2"/>
            <scheme val="minor"/>
          </rPr>
          <t>Seleccionar un valor del listado</t>
        </r>
      </text>
    </comment>
    <comment ref="D5052" authorId="1" shapeId="0" xr:uid="{00000000-0006-0000-0100-000092130000}">
      <text>
        <r>
          <rPr>
            <sz val="11"/>
            <color theme="1"/>
            <rFont val="Calibri"/>
            <family val="2"/>
            <scheme val="minor"/>
          </rPr>
          <t>Seleccione el tipo de procedimiento</t>
        </r>
      </text>
    </comment>
    <comment ref="E5052" authorId="1" shapeId="0" xr:uid="{00000000-0006-0000-0100-000093130000}">
      <text>
        <r>
          <rPr>
            <sz val="11"/>
            <color theme="1"/>
            <rFont val="Calibri"/>
            <family val="2"/>
            <scheme val="minor"/>
          </rPr>
          <t>Seleccione un valor de la lista</t>
        </r>
      </text>
    </comment>
    <comment ref="F5052" authorId="1" shapeId="0" xr:uid="{00000000-0006-0000-0100-000094130000}">
      <text>
        <r>
          <rPr>
            <sz val="11"/>
            <color theme="1"/>
            <rFont val="Calibri"/>
            <family val="2"/>
            <scheme val="minor"/>
          </rPr>
          <t>Introduzca el código SNIP</t>
        </r>
      </text>
    </comment>
    <comment ref="C5053" authorId="1" shapeId="0" xr:uid="{00000000-0006-0000-0100-000095130000}">
      <text>
        <r>
          <rPr>
            <sz val="11"/>
            <color theme="1"/>
            <rFont val="Calibri"/>
            <family val="2"/>
            <scheme val="minor"/>
          </rPr>
          <t>Introduzca la fecha de inicio del proceso, en formato dd-mm-aaaa</t>
        </r>
      </text>
    </comment>
    <comment ref="F5053" authorId="1" shapeId="0" xr:uid="{00000000-0006-0000-0100-0000971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54" authorId="1" shapeId="0" xr:uid="{00000000-0006-0000-0100-000098130000}">
      <text/>
    </comment>
    <comment ref="C5055" authorId="1" shapeId="0" xr:uid="{00000000-0006-0000-0100-000096130000}">
      <text>
        <r>
          <rPr>
            <sz val="11"/>
            <color theme="1"/>
            <rFont val="Calibri"/>
            <family val="2"/>
            <scheme val="minor"/>
          </rPr>
          <t>Introduzca la fecha prevista de adjudicación, en formato dd-mm-aaaa</t>
        </r>
      </text>
    </comment>
    <comment ref="F5055" authorId="1" shapeId="0" xr:uid="{00000000-0006-0000-0100-000099130000}">
      <text/>
    </comment>
    <comment ref="F5056" authorId="1" shapeId="0" xr:uid="{00000000-0006-0000-0100-00009A130000}">
      <text/>
    </comment>
    <comment ref="A5058" authorId="1" shapeId="0" xr:uid="{00000000-0006-0000-0100-00009B130000}">
      <text>
        <r>
          <rPr>
            <sz val="11"/>
            <color theme="1"/>
            <rFont val="Calibri"/>
            <family val="2"/>
            <scheme val="minor"/>
          </rPr>
          <t>Introduzca un codigo UNSPSC</t>
        </r>
      </text>
    </comment>
    <comment ref="B5058" authorId="1" shapeId="0" xr:uid="{00000000-0006-0000-0100-00009C130000}">
      <text>
        <r>
          <rPr>
            <sz val="11"/>
            <color theme="1"/>
            <rFont val="Calibri"/>
            <family val="2"/>
            <scheme val="minor"/>
          </rPr>
          <t>Descripción calculada automáticamente a partir de código del artículo</t>
        </r>
      </text>
    </comment>
    <comment ref="C5058" authorId="1" shapeId="0" xr:uid="{00000000-0006-0000-0100-00009D130000}">
      <text>
        <r>
          <rPr>
            <sz val="11"/>
            <color theme="1"/>
            <rFont val="Calibri"/>
            <family val="2"/>
            <scheme val="minor"/>
          </rPr>
          <t>Seleccione un valor de la lista</t>
        </r>
      </text>
    </comment>
    <comment ref="D5058" authorId="1" shapeId="0" xr:uid="{00000000-0006-0000-0100-00009E130000}">
      <text>
        <r>
          <rPr>
            <sz val="11"/>
            <color theme="1"/>
            <rFont val="Calibri"/>
            <family val="2"/>
            <scheme val="minor"/>
          </rPr>
          <t>Introduzca un número con dos decimales como máximo. Debe ser igual o mayor a la "Cantidad Real Consumida"</t>
        </r>
      </text>
    </comment>
    <comment ref="E5058" authorId="1" shapeId="0" xr:uid="{00000000-0006-0000-0100-00009F130000}">
      <text>
        <r>
          <rPr>
            <sz val="11"/>
            <color theme="1"/>
            <rFont val="Calibri"/>
            <family val="2"/>
            <scheme val="minor"/>
          </rPr>
          <t>Introduzca un número con dos decimales como máximo</t>
        </r>
      </text>
    </comment>
    <comment ref="F5058" authorId="1" shapeId="0" xr:uid="{00000000-0006-0000-0100-0000A0130000}">
      <text>
        <r>
          <rPr>
            <sz val="11"/>
            <color theme="1"/>
            <rFont val="Calibri"/>
            <family val="2"/>
            <scheme val="minor"/>
          </rPr>
          <t>Monto calculado automáticamente por el sistema</t>
        </r>
      </text>
    </comment>
    <comment ref="A5064" authorId="1" shapeId="0" xr:uid="{00000000-0006-0000-0100-0000A1130000}">
      <text>
        <r>
          <rPr>
            <sz val="11"/>
            <color theme="1"/>
            <rFont val="Calibri"/>
            <family val="2"/>
            <scheme val="minor"/>
          </rPr>
          <t>Introducir un texto con el nombre o referencia de la contratación</t>
        </r>
      </text>
    </comment>
    <comment ref="B5064" authorId="1" shapeId="0" xr:uid="{00000000-0006-0000-0100-0000A2130000}">
      <text>
        <r>
          <rPr>
            <sz val="11"/>
            <color theme="1"/>
            <rFont val="Calibri"/>
            <family val="2"/>
            <scheme val="minor"/>
          </rPr>
          <t>Introduzca un texto con la finalidad de la contratación</t>
        </r>
      </text>
    </comment>
    <comment ref="C5064" authorId="1" shapeId="0" xr:uid="{00000000-0006-0000-0100-0000A3130000}">
      <text>
        <r>
          <rPr>
            <sz val="11"/>
            <color theme="1"/>
            <rFont val="Calibri"/>
            <family val="2"/>
            <scheme val="minor"/>
          </rPr>
          <t>Seleccionar un valor del listado</t>
        </r>
      </text>
    </comment>
    <comment ref="D5064" authorId="1" shapeId="0" xr:uid="{00000000-0006-0000-0100-0000A4130000}">
      <text>
        <r>
          <rPr>
            <sz val="11"/>
            <color theme="1"/>
            <rFont val="Calibri"/>
            <family val="2"/>
            <scheme val="minor"/>
          </rPr>
          <t>Seleccione el tipo de procedimiento</t>
        </r>
      </text>
    </comment>
    <comment ref="E5064" authorId="1" shapeId="0" xr:uid="{00000000-0006-0000-0100-0000A5130000}">
      <text>
        <r>
          <rPr>
            <sz val="11"/>
            <color theme="1"/>
            <rFont val="Calibri"/>
            <family val="2"/>
            <scheme val="minor"/>
          </rPr>
          <t>Seleccione un valor de la lista</t>
        </r>
      </text>
    </comment>
    <comment ref="F5064" authorId="1" shapeId="0" xr:uid="{00000000-0006-0000-0100-0000A6130000}">
      <text>
        <r>
          <rPr>
            <sz val="11"/>
            <color theme="1"/>
            <rFont val="Calibri"/>
            <family val="2"/>
            <scheme val="minor"/>
          </rPr>
          <t>Introduzca el código SNIP</t>
        </r>
      </text>
    </comment>
    <comment ref="C5065" authorId="1" shapeId="0" xr:uid="{00000000-0006-0000-0100-0000A7130000}">
      <text>
        <r>
          <rPr>
            <sz val="11"/>
            <color theme="1"/>
            <rFont val="Calibri"/>
            <family val="2"/>
            <scheme val="minor"/>
          </rPr>
          <t>Introduzca la fecha de inicio del proceso, en formato dd-mm-aaaa</t>
        </r>
      </text>
    </comment>
    <comment ref="F5065" authorId="1" shapeId="0" xr:uid="{00000000-0006-0000-0100-0000A91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66" authorId="1" shapeId="0" xr:uid="{00000000-0006-0000-0100-0000AA130000}">
      <text/>
    </comment>
    <comment ref="C5067" authorId="1" shapeId="0" xr:uid="{00000000-0006-0000-0100-0000A8130000}">
      <text>
        <r>
          <rPr>
            <sz val="11"/>
            <color theme="1"/>
            <rFont val="Calibri"/>
            <family val="2"/>
            <scheme val="minor"/>
          </rPr>
          <t>Introduzca la fecha prevista de adjudicación, en formato dd-mm-aaaa</t>
        </r>
      </text>
    </comment>
    <comment ref="F5067" authorId="1" shapeId="0" xr:uid="{00000000-0006-0000-0100-0000AB130000}">
      <text/>
    </comment>
    <comment ref="F5068" authorId="1" shapeId="0" xr:uid="{00000000-0006-0000-0100-0000AC130000}">
      <text/>
    </comment>
    <comment ref="A5070" authorId="1" shapeId="0" xr:uid="{00000000-0006-0000-0100-0000AD130000}">
      <text>
        <r>
          <rPr>
            <sz val="11"/>
            <color theme="1"/>
            <rFont val="Calibri"/>
            <family val="2"/>
            <scheme val="minor"/>
          </rPr>
          <t>Introduzca un codigo UNSPSC</t>
        </r>
      </text>
    </comment>
    <comment ref="B5070" authorId="1" shapeId="0" xr:uid="{00000000-0006-0000-0100-0000AE130000}">
      <text>
        <r>
          <rPr>
            <sz val="11"/>
            <color theme="1"/>
            <rFont val="Calibri"/>
            <family val="2"/>
            <scheme val="minor"/>
          </rPr>
          <t>Descripción calculada automáticamente a partir de código del artículo</t>
        </r>
      </text>
    </comment>
    <comment ref="C5070" authorId="1" shapeId="0" xr:uid="{00000000-0006-0000-0100-0000AF130000}">
      <text>
        <r>
          <rPr>
            <sz val="11"/>
            <color theme="1"/>
            <rFont val="Calibri"/>
            <family val="2"/>
            <scheme val="minor"/>
          </rPr>
          <t>Seleccione un valor de la lista</t>
        </r>
      </text>
    </comment>
    <comment ref="D5070" authorId="1" shapeId="0" xr:uid="{00000000-0006-0000-0100-0000B0130000}">
      <text>
        <r>
          <rPr>
            <sz val="11"/>
            <color theme="1"/>
            <rFont val="Calibri"/>
            <family val="2"/>
            <scheme val="minor"/>
          </rPr>
          <t>Introduzca un número con dos decimales como máximo. Debe ser igual o mayor a la "Cantidad Real Consumida"</t>
        </r>
      </text>
    </comment>
    <comment ref="E5070" authorId="1" shapeId="0" xr:uid="{00000000-0006-0000-0100-0000B1130000}">
      <text>
        <r>
          <rPr>
            <sz val="11"/>
            <color theme="1"/>
            <rFont val="Calibri"/>
            <family val="2"/>
            <scheme val="minor"/>
          </rPr>
          <t>Introduzca un número con dos decimales como máximo</t>
        </r>
      </text>
    </comment>
    <comment ref="F5070" authorId="1" shapeId="0" xr:uid="{00000000-0006-0000-0100-0000B2130000}">
      <text>
        <r>
          <rPr>
            <sz val="11"/>
            <color theme="1"/>
            <rFont val="Calibri"/>
            <family val="2"/>
            <scheme val="minor"/>
          </rPr>
          <t>Monto calculado automáticamente por el sistema</t>
        </r>
      </text>
    </comment>
    <comment ref="A5076" authorId="1" shapeId="0" xr:uid="{00000000-0006-0000-0100-0000B3130000}">
      <text>
        <r>
          <rPr>
            <sz val="11"/>
            <color theme="1"/>
            <rFont val="Calibri"/>
            <family val="2"/>
            <scheme val="minor"/>
          </rPr>
          <t>Introducir un texto con el nombre o referencia de la contratación</t>
        </r>
      </text>
    </comment>
    <comment ref="B5076" authorId="1" shapeId="0" xr:uid="{00000000-0006-0000-0100-0000B4130000}">
      <text>
        <r>
          <rPr>
            <sz val="11"/>
            <color theme="1"/>
            <rFont val="Calibri"/>
            <family val="2"/>
            <scheme val="minor"/>
          </rPr>
          <t>Introduzca un texto con la finalidad de la contratación</t>
        </r>
      </text>
    </comment>
    <comment ref="C5076" authorId="1" shapeId="0" xr:uid="{00000000-0006-0000-0100-0000B5130000}">
      <text>
        <r>
          <rPr>
            <sz val="11"/>
            <color theme="1"/>
            <rFont val="Calibri"/>
            <family val="2"/>
            <scheme val="minor"/>
          </rPr>
          <t>Seleccionar un valor del listado</t>
        </r>
      </text>
    </comment>
    <comment ref="D5076" authorId="1" shapeId="0" xr:uid="{00000000-0006-0000-0100-0000B6130000}">
      <text>
        <r>
          <rPr>
            <sz val="11"/>
            <color theme="1"/>
            <rFont val="Calibri"/>
            <family val="2"/>
            <scheme val="minor"/>
          </rPr>
          <t>Seleccione el tipo de procedimiento</t>
        </r>
      </text>
    </comment>
    <comment ref="E5076" authorId="1" shapeId="0" xr:uid="{00000000-0006-0000-0100-0000B7130000}">
      <text>
        <r>
          <rPr>
            <sz val="11"/>
            <color theme="1"/>
            <rFont val="Calibri"/>
            <family val="2"/>
            <scheme val="minor"/>
          </rPr>
          <t>Seleccione un valor de la lista</t>
        </r>
      </text>
    </comment>
    <comment ref="F5076" authorId="1" shapeId="0" xr:uid="{00000000-0006-0000-0100-0000B8130000}">
      <text>
        <r>
          <rPr>
            <sz val="11"/>
            <color theme="1"/>
            <rFont val="Calibri"/>
            <family val="2"/>
            <scheme val="minor"/>
          </rPr>
          <t>Introduzca el código SNIP</t>
        </r>
      </text>
    </comment>
    <comment ref="C5077" authorId="1" shapeId="0" xr:uid="{00000000-0006-0000-0100-0000B9130000}">
      <text>
        <r>
          <rPr>
            <sz val="11"/>
            <color theme="1"/>
            <rFont val="Calibri"/>
            <family val="2"/>
            <scheme val="minor"/>
          </rPr>
          <t>Introduzca la fecha de inicio del proceso, en formato dd-mm-aaaa</t>
        </r>
      </text>
    </comment>
    <comment ref="F5077" authorId="1" shapeId="0" xr:uid="{00000000-0006-0000-0100-0000BB1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78" authorId="1" shapeId="0" xr:uid="{00000000-0006-0000-0100-0000BC130000}">
      <text/>
    </comment>
    <comment ref="C5079" authorId="1" shapeId="0" xr:uid="{00000000-0006-0000-0100-0000BA130000}">
      <text>
        <r>
          <rPr>
            <sz val="11"/>
            <color theme="1"/>
            <rFont val="Calibri"/>
            <family val="2"/>
            <scheme val="minor"/>
          </rPr>
          <t>Introduzca la fecha prevista de adjudicación, en formato dd-mm-aaaa</t>
        </r>
      </text>
    </comment>
    <comment ref="F5079" authorId="1" shapeId="0" xr:uid="{00000000-0006-0000-0100-0000BD130000}">
      <text/>
    </comment>
    <comment ref="F5080" authorId="1" shapeId="0" xr:uid="{00000000-0006-0000-0100-0000BE130000}">
      <text/>
    </comment>
    <comment ref="A5082" authorId="1" shapeId="0" xr:uid="{00000000-0006-0000-0100-0000BF130000}">
      <text>
        <r>
          <rPr>
            <sz val="11"/>
            <color theme="1"/>
            <rFont val="Calibri"/>
            <family val="2"/>
            <scheme val="minor"/>
          </rPr>
          <t>Introduzca un codigo UNSPSC</t>
        </r>
      </text>
    </comment>
    <comment ref="B5082" authorId="1" shapeId="0" xr:uid="{00000000-0006-0000-0100-0000C0130000}">
      <text>
        <r>
          <rPr>
            <sz val="11"/>
            <color theme="1"/>
            <rFont val="Calibri"/>
            <family val="2"/>
            <scheme val="minor"/>
          </rPr>
          <t>Descripción calculada automáticamente a partir de código del artículo</t>
        </r>
      </text>
    </comment>
    <comment ref="C5082" authorId="1" shapeId="0" xr:uid="{00000000-0006-0000-0100-0000C1130000}">
      <text>
        <r>
          <rPr>
            <sz val="11"/>
            <color theme="1"/>
            <rFont val="Calibri"/>
            <family val="2"/>
            <scheme val="minor"/>
          </rPr>
          <t>Seleccione un valor de la lista</t>
        </r>
      </text>
    </comment>
    <comment ref="D5082" authorId="1" shapeId="0" xr:uid="{00000000-0006-0000-0100-0000C2130000}">
      <text>
        <r>
          <rPr>
            <sz val="11"/>
            <color theme="1"/>
            <rFont val="Calibri"/>
            <family val="2"/>
            <scheme val="minor"/>
          </rPr>
          <t>Introduzca un número con dos decimales como máximo. Debe ser igual o mayor a la "Cantidad Real Consumida"</t>
        </r>
      </text>
    </comment>
    <comment ref="E5082" authorId="1" shapeId="0" xr:uid="{00000000-0006-0000-0100-0000C3130000}">
      <text>
        <r>
          <rPr>
            <sz val="11"/>
            <color theme="1"/>
            <rFont val="Calibri"/>
            <family val="2"/>
            <scheme val="minor"/>
          </rPr>
          <t>Introduzca un número con dos decimales como máximo</t>
        </r>
      </text>
    </comment>
    <comment ref="F5082" authorId="1" shapeId="0" xr:uid="{00000000-0006-0000-0100-0000C4130000}">
      <text>
        <r>
          <rPr>
            <sz val="11"/>
            <color theme="1"/>
            <rFont val="Calibri"/>
            <family val="2"/>
            <scheme val="minor"/>
          </rPr>
          <t>Monto calculado automáticamente por el sistema</t>
        </r>
      </text>
    </comment>
    <comment ref="A5092" authorId="1" shapeId="0" xr:uid="{00000000-0006-0000-0100-0000C5130000}">
      <text>
        <r>
          <rPr>
            <sz val="11"/>
            <color theme="1"/>
            <rFont val="Calibri"/>
            <family val="2"/>
            <scheme val="minor"/>
          </rPr>
          <t>Introducir un texto con el nombre o referencia de la contratación</t>
        </r>
      </text>
    </comment>
    <comment ref="B5092" authorId="1" shapeId="0" xr:uid="{00000000-0006-0000-0100-0000C6130000}">
      <text>
        <r>
          <rPr>
            <sz val="11"/>
            <color theme="1"/>
            <rFont val="Calibri"/>
            <family val="2"/>
            <scheme val="minor"/>
          </rPr>
          <t>Introduzca un texto con la finalidad de la contratación</t>
        </r>
      </text>
    </comment>
    <comment ref="C5092" authorId="1" shapeId="0" xr:uid="{00000000-0006-0000-0100-0000C7130000}">
      <text>
        <r>
          <rPr>
            <sz val="11"/>
            <color theme="1"/>
            <rFont val="Calibri"/>
            <family val="2"/>
            <scheme val="minor"/>
          </rPr>
          <t>Seleccionar un valor del listado</t>
        </r>
      </text>
    </comment>
    <comment ref="D5092" authorId="1" shapeId="0" xr:uid="{00000000-0006-0000-0100-0000C8130000}">
      <text>
        <r>
          <rPr>
            <sz val="11"/>
            <color theme="1"/>
            <rFont val="Calibri"/>
            <family val="2"/>
            <scheme val="minor"/>
          </rPr>
          <t>Seleccione el tipo de procedimiento</t>
        </r>
      </text>
    </comment>
    <comment ref="E5092" authorId="1" shapeId="0" xr:uid="{00000000-0006-0000-0100-0000C9130000}">
      <text>
        <r>
          <rPr>
            <sz val="11"/>
            <color theme="1"/>
            <rFont val="Calibri"/>
            <family val="2"/>
            <scheme val="minor"/>
          </rPr>
          <t>Seleccione un valor de la lista</t>
        </r>
      </text>
    </comment>
    <comment ref="F5092" authorId="1" shapeId="0" xr:uid="{00000000-0006-0000-0100-0000CA130000}">
      <text>
        <r>
          <rPr>
            <sz val="11"/>
            <color theme="1"/>
            <rFont val="Calibri"/>
            <family val="2"/>
            <scheme val="minor"/>
          </rPr>
          <t>Introduzca el código SNIP</t>
        </r>
      </text>
    </comment>
    <comment ref="C5093" authorId="1" shapeId="0" xr:uid="{00000000-0006-0000-0100-0000CB130000}">
      <text>
        <r>
          <rPr>
            <sz val="11"/>
            <color theme="1"/>
            <rFont val="Calibri"/>
            <family val="2"/>
            <scheme val="minor"/>
          </rPr>
          <t>Introduzca la fecha de inicio del proceso, en formato dd-mm-aaaa</t>
        </r>
      </text>
    </comment>
    <comment ref="F5093" authorId="1" shapeId="0" xr:uid="{00000000-0006-0000-0100-0000CD1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94" authorId="1" shapeId="0" xr:uid="{00000000-0006-0000-0100-0000CE130000}">
      <text/>
    </comment>
    <comment ref="C5095" authorId="1" shapeId="0" xr:uid="{00000000-0006-0000-0100-0000CC130000}">
      <text>
        <r>
          <rPr>
            <sz val="11"/>
            <color theme="1"/>
            <rFont val="Calibri"/>
            <family val="2"/>
            <scheme val="minor"/>
          </rPr>
          <t>Introduzca la fecha prevista de adjudicación, en formato dd-mm-aaaa</t>
        </r>
      </text>
    </comment>
    <comment ref="F5095" authorId="1" shapeId="0" xr:uid="{00000000-0006-0000-0100-0000CF130000}">
      <text/>
    </comment>
    <comment ref="F5096" authorId="1" shapeId="0" xr:uid="{00000000-0006-0000-0100-0000D0130000}">
      <text/>
    </comment>
    <comment ref="A5098" authorId="1" shapeId="0" xr:uid="{00000000-0006-0000-0100-0000D1130000}">
      <text>
        <r>
          <rPr>
            <sz val="11"/>
            <color theme="1"/>
            <rFont val="Calibri"/>
            <family val="2"/>
            <scheme val="minor"/>
          </rPr>
          <t>Introduzca un codigo UNSPSC</t>
        </r>
      </text>
    </comment>
    <comment ref="B5098" authorId="1" shapeId="0" xr:uid="{00000000-0006-0000-0100-0000D2130000}">
      <text>
        <r>
          <rPr>
            <sz val="11"/>
            <color theme="1"/>
            <rFont val="Calibri"/>
            <family val="2"/>
            <scheme val="minor"/>
          </rPr>
          <t>Descripción calculada automáticamente a partir de código del artículo</t>
        </r>
      </text>
    </comment>
    <comment ref="C5098" authorId="1" shapeId="0" xr:uid="{00000000-0006-0000-0100-0000D3130000}">
      <text>
        <r>
          <rPr>
            <sz val="11"/>
            <color theme="1"/>
            <rFont val="Calibri"/>
            <family val="2"/>
            <scheme val="minor"/>
          </rPr>
          <t>Seleccione un valor de la lista</t>
        </r>
      </text>
    </comment>
    <comment ref="D5098" authorId="1" shapeId="0" xr:uid="{00000000-0006-0000-0100-0000D4130000}">
      <text>
        <r>
          <rPr>
            <sz val="11"/>
            <color theme="1"/>
            <rFont val="Calibri"/>
            <family val="2"/>
            <scheme val="minor"/>
          </rPr>
          <t>Introduzca un número con dos decimales como máximo. Debe ser igual o mayor a la "Cantidad Real Consumida"</t>
        </r>
      </text>
    </comment>
    <comment ref="E5098" authorId="1" shapeId="0" xr:uid="{00000000-0006-0000-0100-0000D5130000}">
      <text>
        <r>
          <rPr>
            <sz val="11"/>
            <color theme="1"/>
            <rFont val="Calibri"/>
            <family val="2"/>
            <scheme val="minor"/>
          </rPr>
          <t>Introduzca un número con dos decimales como máximo</t>
        </r>
      </text>
    </comment>
    <comment ref="F5098" authorId="1" shapeId="0" xr:uid="{00000000-0006-0000-0100-0000D6130000}">
      <text>
        <r>
          <rPr>
            <sz val="11"/>
            <color theme="1"/>
            <rFont val="Calibri"/>
            <family val="2"/>
            <scheme val="minor"/>
          </rPr>
          <t>Monto calculado automáticamente por el sistema</t>
        </r>
      </text>
    </comment>
    <comment ref="A5106" authorId="1" shapeId="0" xr:uid="{00000000-0006-0000-0100-0000D7130000}">
      <text>
        <r>
          <rPr>
            <sz val="11"/>
            <color theme="1"/>
            <rFont val="Calibri"/>
            <family val="2"/>
            <scheme val="minor"/>
          </rPr>
          <t>Introducir un texto con el nombre o referencia de la contratación</t>
        </r>
      </text>
    </comment>
    <comment ref="B5106" authorId="1" shapeId="0" xr:uid="{00000000-0006-0000-0100-0000D8130000}">
      <text>
        <r>
          <rPr>
            <sz val="11"/>
            <color theme="1"/>
            <rFont val="Calibri"/>
            <family val="2"/>
            <scheme val="minor"/>
          </rPr>
          <t>Introduzca un texto con la finalidad de la contratación</t>
        </r>
      </text>
    </comment>
    <comment ref="C5106" authorId="1" shapeId="0" xr:uid="{00000000-0006-0000-0100-0000D9130000}">
      <text>
        <r>
          <rPr>
            <sz val="11"/>
            <color theme="1"/>
            <rFont val="Calibri"/>
            <family val="2"/>
            <scheme val="minor"/>
          </rPr>
          <t>Seleccionar un valor del listado</t>
        </r>
      </text>
    </comment>
    <comment ref="D5106" authorId="1" shapeId="0" xr:uid="{00000000-0006-0000-0100-0000DA130000}">
      <text>
        <r>
          <rPr>
            <sz val="11"/>
            <color theme="1"/>
            <rFont val="Calibri"/>
            <family val="2"/>
            <scheme val="minor"/>
          </rPr>
          <t>Seleccione el tipo de procedimiento</t>
        </r>
      </text>
    </comment>
    <comment ref="E5106" authorId="1" shapeId="0" xr:uid="{00000000-0006-0000-0100-0000DB130000}">
      <text>
        <r>
          <rPr>
            <sz val="11"/>
            <color theme="1"/>
            <rFont val="Calibri"/>
            <family val="2"/>
            <scheme val="minor"/>
          </rPr>
          <t>Seleccione un valor de la lista</t>
        </r>
      </text>
    </comment>
    <comment ref="F5106" authorId="1" shapeId="0" xr:uid="{00000000-0006-0000-0100-0000DC130000}">
      <text>
        <r>
          <rPr>
            <sz val="11"/>
            <color theme="1"/>
            <rFont val="Calibri"/>
            <family val="2"/>
            <scheme val="minor"/>
          </rPr>
          <t>Introduzca el código SNIP</t>
        </r>
      </text>
    </comment>
    <comment ref="C5107" authorId="1" shapeId="0" xr:uid="{00000000-0006-0000-0100-0000DD130000}">
      <text>
        <r>
          <rPr>
            <sz val="11"/>
            <color theme="1"/>
            <rFont val="Calibri"/>
            <family val="2"/>
            <scheme val="minor"/>
          </rPr>
          <t>Introduzca la fecha de inicio del proceso, en formato dd-mm-aaaa</t>
        </r>
      </text>
    </comment>
    <comment ref="F5107" authorId="1" shapeId="0" xr:uid="{00000000-0006-0000-0100-0000DF1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08" authorId="1" shapeId="0" xr:uid="{00000000-0006-0000-0100-0000E0130000}">
      <text/>
    </comment>
    <comment ref="C5109" authorId="1" shapeId="0" xr:uid="{00000000-0006-0000-0100-0000DE130000}">
      <text>
        <r>
          <rPr>
            <sz val="11"/>
            <color theme="1"/>
            <rFont val="Calibri"/>
            <family val="2"/>
            <scheme val="minor"/>
          </rPr>
          <t>Introduzca la fecha prevista de adjudicación, en formato dd-mm-aaaa</t>
        </r>
      </text>
    </comment>
    <comment ref="F5109" authorId="1" shapeId="0" xr:uid="{00000000-0006-0000-0100-0000E1130000}">
      <text/>
    </comment>
    <comment ref="F5110" authorId="1" shapeId="0" xr:uid="{00000000-0006-0000-0100-0000E2130000}">
      <text/>
    </comment>
    <comment ref="A5112" authorId="1" shapeId="0" xr:uid="{00000000-0006-0000-0100-0000E3130000}">
      <text>
        <r>
          <rPr>
            <sz val="11"/>
            <color theme="1"/>
            <rFont val="Calibri"/>
            <family val="2"/>
            <scheme val="minor"/>
          </rPr>
          <t>Introduzca un codigo UNSPSC</t>
        </r>
      </text>
    </comment>
    <comment ref="B5112" authorId="1" shapeId="0" xr:uid="{00000000-0006-0000-0100-0000E4130000}">
      <text>
        <r>
          <rPr>
            <sz val="11"/>
            <color theme="1"/>
            <rFont val="Calibri"/>
            <family val="2"/>
            <scheme val="minor"/>
          </rPr>
          <t>Descripción calculada automáticamente a partir de código del artículo</t>
        </r>
      </text>
    </comment>
    <comment ref="C5112" authorId="1" shapeId="0" xr:uid="{00000000-0006-0000-0100-0000E5130000}">
      <text>
        <r>
          <rPr>
            <sz val="11"/>
            <color theme="1"/>
            <rFont val="Calibri"/>
            <family val="2"/>
            <scheme val="minor"/>
          </rPr>
          <t>Seleccione un valor de la lista</t>
        </r>
      </text>
    </comment>
    <comment ref="D5112" authorId="1" shapeId="0" xr:uid="{00000000-0006-0000-0100-0000E6130000}">
      <text>
        <r>
          <rPr>
            <sz val="11"/>
            <color theme="1"/>
            <rFont val="Calibri"/>
            <family val="2"/>
            <scheme val="minor"/>
          </rPr>
          <t>Introduzca un número con dos decimales como máximo. Debe ser igual o mayor a la "Cantidad Real Consumida"</t>
        </r>
      </text>
    </comment>
    <comment ref="E5112" authorId="1" shapeId="0" xr:uid="{00000000-0006-0000-0100-0000E7130000}">
      <text>
        <r>
          <rPr>
            <sz val="11"/>
            <color theme="1"/>
            <rFont val="Calibri"/>
            <family val="2"/>
            <scheme val="minor"/>
          </rPr>
          <t>Introduzca un número con dos decimales como máximo</t>
        </r>
      </text>
    </comment>
    <comment ref="F5112" authorId="1" shapeId="0" xr:uid="{00000000-0006-0000-0100-0000E8130000}">
      <text>
        <r>
          <rPr>
            <sz val="11"/>
            <color theme="1"/>
            <rFont val="Calibri"/>
            <family val="2"/>
            <scheme val="minor"/>
          </rPr>
          <t>Monto calculado automáticamente por el sistema</t>
        </r>
      </text>
    </comment>
    <comment ref="A5119" authorId="1" shapeId="0" xr:uid="{00000000-0006-0000-0100-0000E9130000}">
      <text>
        <r>
          <rPr>
            <sz val="11"/>
            <color theme="1"/>
            <rFont val="Calibri"/>
            <family val="2"/>
            <scheme val="minor"/>
          </rPr>
          <t>Introducir un texto con el nombre o referencia de la contratación</t>
        </r>
      </text>
    </comment>
    <comment ref="B5119" authorId="1" shapeId="0" xr:uid="{00000000-0006-0000-0100-0000EA130000}">
      <text>
        <r>
          <rPr>
            <sz val="11"/>
            <color theme="1"/>
            <rFont val="Calibri"/>
            <family val="2"/>
            <scheme val="minor"/>
          </rPr>
          <t>Introduzca un texto con la finalidad de la contratación</t>
        </r>
      </text>
    </comment>
    <comment ref="C5119" authorId="1" shapeId="0" xr:uid="{00000000-0006-0000-0100-0000EB130000}">
      <text>
        <r>
          <rPr>
            <sz val="11"/>
            <color theme="1"/>
            <rFont val="Calibri"/>
            <family val="2"/>
            <scheme val="minor"/>
          </rPr>
          <t>Seleccionar un valor del listado</t>
        </r>
      </text>
    </comment>
    <comment ref="D5119" authorId="1" shapeId="0" xr:uid="{00000000-0006-0000-0100-0000EC130000}">
      <text>
        <r>
          <rPr>
            <sz val="11"/>
            <color theme="1"/>
            <rFont val="Calibri"/>
            <family val="2"/>
            <scheme val="minor"/>
          </rPr>
          <t>Seleccione el tipo de procedimiento</t>
        </r>
      </text>
    </comment>
    <comment ref="E5119" authorId="1" shapeId="0" xr:uid="{00000000-0006-0000-0100-0000ED130000}">
      <text>
        <r>
          <rPr>
            <sz val="11"/>
            <color theme="1"/>
            <rFont val="Calibri"/>
            <family val="2"/>
            <scheme val="minor"/>
          </rPr>
          <t>Seleccione un valor de la lista</t>
        </r>
      </text>
    </comment>
    <comment ref="F5119" authorId="1" shapeId="0" xr:uid="{00000000-0006-0000-0100-0000EE130000}">
      <text>
        <r>
          <rPr>
            <sz val="11"/>
            <color theme="1"/>
            <rFont val="Calibri"/>
            <family val="2"/>
            <scheme val="minor"/>
          </rPr>
          <t>Introduzca el código SNIP</t>
        </r>
      </text>
    </comment>
    <comment ref="C5120" authorId="1" shapeId="0" xr:uid="{00000000-0006-0000-0100-0000EF130000}">
      <text>
        <r>
          <rPr>
            <sz val="11"/>
            <color theme="1"/>
            <rFont val="Calibri"/>
            <family val="2"/>
            <scheme val="minor"/>
          </rPr>
          <t>Introduzca la fecha de inicio del proceso, en formato dd-mm-aaaa</t>
        </r>
      </text>
    </comment>
    <comment ref="F5120" authorId="1" shapeId="0" xr:uid="{00000000-0006-0000-0100-0000F11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21" authorId="1" shapeId="0" xr:uid="{00000000-0006-0000-0100-0000F2130000}">
      <text/>
    </comment>
    <comment ref="C5122" authorId="1" shapeId="0" xr:uid="{00000000-0006-0000-0100-0000F0130000}">
      <text>
        <r>
          <rPr>
            <sz val="11"/>
            <color theme="1"/>
            <rFont val="Calibri"/>
            <family val="2"/>
            <scheme val="minor"/>
          </rPr>
          <t>Introduzca la fecha prevista de adjudicación, en formato dd-mm-aaaa</t>
        </r>
      </text>
    </comment>
    <comment ref="F5122" authorId="1" shapeId="0" xr:uid="{00000000-0006-0000-0100-0000F3130000}">
      <text/>
    </comment>
    <comment ref="F5123" authorId="1" shapeId="0" xr:uid="{00000000-0006-0000-0100-0000F4130000}">
      <text/>
    </comment>
    <comment ref="A5125" authorId="1" shapeId="0" xr:uid="{00000000-0006-0000-0100-0000F5130000}">
      <text>
        <r>
          <rPr>
            <sz val="11"/>
            <color theme="1"/>
            <rFont val="Calibri"/>
            <family val="2"/>
            <scheme val="minor"/>
          </rPr>
          <t>Introduzca un codigo UNSPSC</t>
        </r>
      </text>
    </comment>
    <comment ref="B5125" authorId="1" shapeId="0" xr:uid="{00000000-0006-0000-0100-0000F6130000}">
      <text>
        <r>
          <rPr>
            <sz val="11"/>
            <color theme="1"/>
            <rFont val="Calibri"/>
            <family val="2"/>
            <scheme val="minor"/>
          </rPr>
          <t>Descripción calculada automáticamente a partir de código del artículo</t>
        </r>
      </text>
    </comment>
    <comment ref="C5125" authorId="1" shapeId="0" xr:uid="{00000000-0006-0000-0100-0000F7130000}">
      <text>
        <r>
          <rPr>
            <sz val="11"/>
            <color theme="1"/>
            <rFont val="Calibri"/>
            <family val="2"/>
            <scheme val="minor"/>
          </rPr>
          <t>Seleccione un valor de la lista</t>
        </r>
      </text>
    </comment>
    <comment ref="D5125" authorId="1" shapeId="0" xr:uid="{00000000-0006-0000-0100-0000F8130000}">
      <text>
        <r>
          <rPr>
            <sz val="11"/>
            <color theme="1"/>
            <rFont val="Calibri"/>
            <family val="2"/>
            <scheme val="minor"/>
          </rPr>
          <t>Introduzca un número con dos decimales como máximo. Debe ser igual o mayor a la "Cantidad Real Consumida"</t>
        </r>
      </text>
    </comment>
    <comment ref="E5125" authorId="1" shapeId="0" xr:uid="{00000000-0006-0000-0100-0000F9130000}">
      <text>
        <r>
          <rPr>
            <sz val="11"/>
            <color theme="1"/>
            <rFont val="Calibri"/>
            <family val="2"/>
            <scheme val="minor"/>
          </rPr>
          <t>Introduzca un número con dos decimales como máximo</t>
        </r>
      </text>
    </comment>
    <comment ref="F5125" authorId="1" shapeId="0" xr:uid="{00000000-0006-0000-0100-0000FA130000}">
      <text>
        <r>
          <rPr>
            <sz val="11"/>
            <color theme="1"/>
            <rFont val="Calibri"/>
            <family val="2"/>
            <scheme val="minor"/>
          </rPr>
          <t>Monto calculado automáticamente por el sistema</t>
        </r>
      </text>
    </comment>
    <comment ref="A5130" authorId="1" shapeId="0" xr:uid="{00000000-0006-0000-0100-0000FB130000}">
      <text>
        <r>
          <rPr>
            <sz val="11"/>
            <color theme="1"/>
            <rFont val="Calibri"/>
            <family val="2"/>
            <scheme val="minor"/>
          </rPr>
          <t>Introducir un texto con el nombre o referencia de la contratación</t>
        </r>
      </text>
    </comment>
    <comment ref="B5130" authorId="1" shapeId="0" xr:uid="{00000000-0006-0000-0100-0000FC130000}">
      <text>
        <r>
          <rPr>
            <sz val="11"/>
            <color theme="1"/>
            <rFont val="Calibri"/>
            <family val="2"/>
            <scheme val="minor"/>
          </rPr>
          <t>Introduzca un texto con la finalidad de la contratación</t>
        </r>
      </text>
    </comment>
    <comment ref="C5130" authorId="1" shapeId="0" xr:uid="{00000000-0006-0000-0100-0000FD130000}">
      <text>
        <r>
          <rPr>
            <sz val="11"/>
            <color theme="1"/>
            <rFont val="Calibri"/>
            <family val="2"/>
            <scheme val="minor"/>
          </rPr>
          <t>Seleccionar un valor del listado</t>
        </r>
      </text>
    </comment>
    <comment ref="D5130" authorId="1" shapeId="0" xr:uid="{00000000-0006-0000-0100-0000FE130000}">
      <text>
        <r>
          <rPr>
            <sz val="11"/>
            <color theme="1"/>
            <rFont val="Calibri"/>
            <family val="2"/>
            <scheme val="minor"/>
          </rPr>
          <t>Seleccione el tipo de procedimiento</t>
        </r>
      </text>
    </comment>
    <comment ref="E5130" authorId="1" shapeId="0" xr:uid="{00000000-0006-0000-0100-0000FF130000}">
      <text>
        <r>
          <rPr>
            <sz val="11"/>
            <color theme="1"/>
            <rFont val="Calibri"/>
            <family val="2"/>
            <scheme val="minor"/>
          </rPr>
          <t>Seleccione un valor de la lista</t>
        </r>
      </text>
    </comment>
    <comment ref="F5130" authorId="1" shapeId="0" xr:uid="{00000000-0006-0000-0100-000000140000}">
      <text>
        <r>
          <rPr>
            <sz val="11"/>
            <color theme="1"/>
            <rFont val="Calibri"/>
            <family val="2"/>
            <scheme val="minor"/>
          </rPr>
          <t>Introduzca el código SNIP</t>
        </r>
      </text>
    </comment>
    <comment ref="C5131" authorId="1" shapeId="0" xr:uid="{00000000-0006-0000-0100-000001140000}">
      <text>
        <r>
          <rPr>
            <sz val="11"/>
            <color theme="1"/>
            <rFont val="Calibri"/>
            <family val="2"/>
            <scheme val="minor"/>
          </rPr>
          <t>Introduzca la fecha de inicio del proceso, en formato dd-mm-aaaa</t>
        </r>
      </text>
    </comment>
    <comment ref="F5131" authorId="1" shapeId="0" xr:uid="{00000000-0006-0000-0100-0000031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32" authorId="1" shapeId="0" xr:uid="{00000000-0006-0000-0100-000004140000}">
      <text/>
    </comment>
    <comment ref="C5133" authorId="1" shapeId="0" xr:uid="{00000000-0006-0000-0100-000002140000}">
      <text>
        <r>
          <rPr>
            <sz val="11"/>
            <color theme="1"/>
            <rFont val="Calibri"/>
            <family val="2"/>
            <scheme val="minor"/>
          </rPr>
          <t>Introduzca la fecha prevista de adjudicación, en formato dd-mm-aaaa</t>
        </r>
      </text>
    </comment>
    <comment ref="F5133" authorId="1" shapeId="0" xr:uid="{00000000-0006-0000-0100-000005140000}">
      <text/>
    </comment>
    <comment ref="F5134" authorId="1" shapeId="0" xr:uid="{00000000-0006-0000-0100-000006140000}">
      <text/>
    </comment>
    <comment ref="A5136" authorId="1" shapeId="0" xr:uid="{00000000-0006-0000-0100-000007140000}">
      <text>
        <r>
          <rPr>
            <sz val="11"/>
            <color theme="1"/>
            <rFont val="Calibri"/>
            <family val="2"/>
            <scheme val="minor"/>
          </rPr>
          <t>Introduzca un codigo UNSPSC</t>
        </r>
      </text>
    </comment>
    <comment ref="B5136" authorId="1" shapeId="0" xr:uid="{00000000-0006-0000-0100-000008140000}">
      <text>
        <r>
          <rPr>
            <sz val="11"/>
            <color theme="1"/>
            <rFont val="Calibri"/>
            <family val="2"/>
            <scheme val="minor"/>
          </rPr>
          <t>Descripción calculada automáticamente a partir de código del artículo</t>
        </r>
      </text>
    </comment>
    <comment ref="C5136" authorId="1" shapeId="0" xr:uid="{00000000-0006-0000-0100-000009140000}">
      <text>
        <r>
          <rPr>
            <sz val="11"/>
            <color theme="1"/>
            <rFont val="Calibri"/>
            <family val="2"/>
            <scheme val="minor"/>
          </rPr>
          <t>Seleccione un valor de la lista</t>
        </r>
      </text>
    </comment>
    <comment ref="D5136" authorId="1" shapeId="0" xr:uid="{00000000-0006-0000-0100-00000A140000}">
      <text>
        <r>
          <rPr>
            <sz val="11"/>
            <color theme="1"/>
            <rFont val="Calibri"/>
            <family val="2"/>
            <scheme val="minor"/>
          </rPr>
          <t>Introduzca un número con dos decimales como máximo. Debe ser igual o mayor a la "Cantidad Real Consumida"</t>
        </r>
      </text>
    </comment>
    <comment ref="E5136" authorId="1" shapeId="0" xr:uid="{00000000-0006-0000-0100-00000B140000}">
      <text>
        <r>
          <rPr>
            <sz val="11"/>
            <color theme="1"/>
            <rFont val="Calibri"/>
            <family val="2"/>
            <scheme val="minor"/>
          </rPr>
          <t>Introduzca un número con dos decimales como máximo</t>
        </r>
      </text>
    </comment>
    <comment ref="F5136" authorId="1" shapeId="0" xr:uid="{00000000-0006-0000-0100-00000C140000}">
      <text>
        <r>
          <rPr>
            <sz val="11"/>
            <color theme="1"/>
            <rFont val="Calibri"/>
            <family val="2"/>
            <scheme val="minor"/>
          </rPr>
          <t>Monto calculado automáticamente por el sistema</t>
        </r>
      </text>
    </comment>
    <comment ref="A5141" authorId="1" shapeId="0" xr:uid="{00000000-0006-0000-0100-00000D140000}">
      <text>
        <r>
          <rPr>
            <sz val="11"/>
            <color theme="1"/>
            <rFont val="Calibri"/>
            <family val="2"/>
            <scheme val="minor"/>
          </rPr>
          <t>Introducir un texto con el nombre o referencia de la contratación</t>
        </r>
      </text>
    </comment>
    <comment ref="B5141" authorId="1" shapeId="0" xr:uid="{00000000-0006-0000-0100-00000E140000}">
      <text>
        <r>
          <rPr>
            <sz val="11"/>
            <color theme="1"/>
            <rFont val="Calibri"/>
            <family val="2"/>
            <scheme val="minor"/>
          </rPr>
          <t>Introduzca un texto con la finalidad de la contratación</t>
        </r>
      </text>
    </comment>
    <comment ref="C5141" authorId="1" shapeId="0" xr:uid="{00000000-0006-0000-0100-00000F140000}">
      <text>
        <r>
          <rPr>
            <sz val="11"/>
            <color theme="1"/>
            <rFont val="Calibri"/>
            <family val="2"/>
            <scheme val="minor"/>
          </rPr>
          <t>Seleccionar un valor del listado</t>
        </r>
      </text>
    </comment>
    <comment ref="D5141" authorId="1" shapeId="0" xr:uid="{00000000-0006-0000-0100-000010140000}">
      <text>
        <r>
          <rPr>
            <sz val="11"/>
            <color theme="1"/>
            <rFont val="Calibri"/>
            <family val="2"/>
            <scheme val="minor"/>
          </rPr>
          <t>Seleccione el tipo de procedimiento</t>
        </r>
      </text>
    </comment>
    <comment ref="E5141" authorId="1" shapeId="0" xr:uid="{00000000-0006-0000-0100-000011140000}">
      <text>
        <r>
          <rPr>
            <sz val="11"/>
            <color theme="1"/>
            <rFont val="Calibri"/>
            <family val="2"/>
            <scheme val="minor"/>
          </rPr>
          <t>Seleccione un valor de la lista</t>
        </r>
      </text>
    </comment>
    <comment ref="F5141" authorId="1" shapeId="0" xr:uid="{00000000-0006-0000-0100-000012140000}">
      <text>
        <r>
          <rPr>
            <sz val="11"/>
            <color theme="1"/>
            <rFont val="Calibri"/>
            <family val="2"/>
            <scheme val="minor"/>
          </rPr>
          <t>Introduzca el código SNIP</t>
        </r>
      </text>
    </comment>
    <comment ref="C5142" authorId="1" shapeId="0" xr:uid="{00000000-0006-0000-0100-000013140000}">
      <text>
        <r>
          <rPr>
            <sz val="11"/>
            <color theme="1"/>
            <rFont val="Calibri"/>
            <family val="2"/>
            <scheme val="minor"/>
          </rPr>
          <t>Introduzca la fecha de inicio del proceso, en formato dd-mm-aaaa</t>
        </r>
      </text>
    </comment>
    <comment ref="F5142" authorId="1" shapeId="0" xr:uid="{00000000-0006-0000-0100-0000151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43" authorId="1" shapeId="0" xr:uid="{00000000-0006-0000-0100-000016140000}">
      <text/>
    </comment>
    <comment ref="C5144" authorId="1" shapeId="0" xr:uid="{00000000-0006-0000-0100-000014140000}">
      <text>
        <r>
          <rPr>
            <sz val="11"/>
            <color theme="1"/>
            <rFont val="Calibri"/>
            <family val="2"/>
            <scheme val="minor"/>
          </rPr>
          <t>Introduzca la fecha prevista de adjudicación, en formato dd-mm-aaaa</t>
        </r>
      </text>
    </comment>
    <comment ref="F5144" authorId="1" shapeId="0" xr:uid="{00000000-0006-0000-0100-000017140000}">
      <text/>
    </comment>
    <comment ref="F5145" authorId="1" shapeId="0" xr:uid="{00000000-0006-0000-0100-000018140000}">
      <text/>
    </comment>
    <comment ref="A5147" authorId="1" shapeId="0" xr:uid="{00000000-0006-0000-0100-000019140000}">
      <text>
        <r>
          <rPr>
            <sz val="11"/>
            <color theme="1"/>
            <rFont val="Calibri"/>
            <family val="2"/>
            <scheme val="minor"/>
          </rPr>
          <t>Introduzca un codigo UNSPSC</t>
        </r>
      </text>
    </comment>
    <comment ref="B5147" authorId="1" shapeId="0" xr:uid="{00000000-0006-0000-0100-00001A140000}">
      <text>
        <r>
          <rPr>
            <sz val="11"/>
            <color theme="1"/>
            <rFont val="Calibri"/>
            <family val="2"/>
            <scheme val="minor"/>
          </rPr>
          <t>Descripción calculada automáticamente a partir de código del artículo</t>
        </r>
      </text>
    </comment>
    <comment ref="C5147" authorId="1" shapeId="0" xr:uid="{00000000-0006-0000-0100-00001B140000}">
      <text>
        <r>
          <rPr>
            <sz val="11"/>
            <color theme="1"/>
            <rFont val="Calibri"/>
            <family val="2"/>
            <scheme val="minor"/>
          </rPr>
          <t>Seleccione un valor de la lista</t>
        </r>
      </text>
    </comment>
    <comment ref="D5147" authorId="1" shapeId="0" xr:uid="{00000000-0006-0000-0100-00001C140000}">
      <text>
        <r>
          <rPr>
            <sz val="11"/>
            <color theme="1"/>
            <rFont val="Calibri"/>
            <family val="2"/>
            <scheme val="minor"/>
          </rPr>
          <t>Introduzca un número con dos decimales como máximo. Debe ser igual o mayor a la "Cantidad Real Consumida"</t>
        </r>
      </text>
    </comment>
    <comment ref="E5147" authorId="1" shapeId="0" xr:uid="{00000000-0006-0000-0100-00001D140000}">
      <text>
        <r>
          <rPr>
            <sz val="11"/>
            <color theme="1"/>
            <rFont val="Calibri"/>
            <family val="2"/>
            <scheme val="minor"/>
          </rPr>
          <t>Introduzca un número con dos decimales como máximo</t>
        </r>
      </text>
    </comment>
    <comment ref="F5147" authorId="1" shapeId="0" xr:uid="{00000000-0006-0000-0100-00001E140000}">
      <text>
        <r>
          <rPr>
            <sz val="11"/>
            <color theme="1"/>
            <rFont val="Calibri"/>
            <family val="2"/>
            <scheme val="minor"/>
          </rPr>
          <t>Monto calculado automáticamente por el sistema</t>
        </r>
      </text>
    </comment>
    <comment ref="A5154" authorId="1" shapeId="0" xr:uid="{00000000-0006-0000-0100-00001F140000}">
      <text>
        <r>
          <rPr>
            <sz val="11"/>
            <color theme="1"/>
            <rFont val="Calibri"/>
            <family val="2"/>
            <scheme val="minor"/>
          </rPr>
          <t>Introducir un texto con el nombre o referencia de la contratación</t>
        </r>
      </text>
    </comment>
    <comment ref="B5154" authorId="1" shapeId="0" xr:uid="{00000000-0006-0000-0100-000020140000}">
      <text>
        <r>
          <rPr>
            <sz val="11"/>
            <color theme="1"/>
            <rFont val="Calibri"/>
            <family val="2"/>
            <scheme val="minor"/>
          </rPr>
          <t>Introduzca un texto con la finalidad de la contratación</t>
        </r>
      </text>
    </comment>
    <comment ref="C5154" authorId="1" shapeId="0" xr:uid="{00000000-0006-0000-0100-000021140000}">
      <text>
        <r>
          <rPr>
            <sz val="11"/>
            <color theme="1"/>
            <rFont val="Calibri"/>
            <family val="2"/>
            <scheme val="minor"/>
          </rPr>
          <t>Seleccionar un valor del listado</t>
        </r>
      </text>
    </comment>
    <comment ref="D5154" authorId="1" shapeId="0" xr:uid="{00000000-0006-0000-0100-000022140000}">
      <text>
        <r>
          <rPr>
            <sz val="11"/>
            <color theme="1"/>
            <rFont val="Calibri"/>
            <family val="2"/>
            <scheme val="minor"/>
          </rPr>
          <t>Seleccione el tipo de procedimiento</t>
        </r>
      </text>
    </comment>
    <comment ref="E5154" authorId="1" shapeId="0" xr:uid="{00000000-0006-0000-0100-000023140000}">
      <text>
        <r>
          <rPr>
            <sz val="11"/>
            <color theme="1"/>
            <rFont val="Calibri"/>
            <family val="2"/>
            <scheme val="minor"/>
          </rPr>
          <t>Seleccione un valor de la lista</t>
        </r>
      </text>
    </comment>
    <comment ref="F5154" authorId="1" shapeId="0" xr:uid="{00000000-0006-0000-0100-000024140000}">
      <text>
        <r>
          <rPr>
            <sz val="11"/>
            <color theme="1"/>
            <rFont val="Calibri"/>
            <family val="2"/>
            <scheme val="minor"/>
          </rPr>
          <t>Introduzca el código SNIP</t>
        </r>
      </text>
    </comment>
    <comment ref="C5155" authorId="1" shapeId="0" xr:uid="{00000000-0006-0000-0100-000025140000}">
      <text>
        <r>
          <rPr>
            <sz val="11"/>
            <color theme="1"/>
            <rFont val="Calibri"/>
            <family val="2"/>
            <scheme val="minor"/>
          </rPr>
          <t>Introduzca la fecha de inicio del proceso, en formato dd-mm-aaaa</t>
        </r>
      </text>
    </comment>
    <comment ref="F5155" authorId="1" shapeId="0" xr:uid="{00000000-0006-0000-0100-0000271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56" authorId="1" shapeId="0" xr:uid="{00000000-0006-0000-0100-000028140000}">
      <text/>
    </comment>
    <comment ref="C5157" authorId="1" shapeId="0" xr:uid="{00000000-0006-0000-0100-000026140000}">
      <text>
        <r>
          <rPr>
            <sz val="11"/>
            <color theme="1"/>
            <rFont val="Calibri"/>
            <family val="2"/>
            <scheme val="minor"/>
          </rPr>
          <t>Introduzca la fecha prevista de adjudicación, en formato dd-mm-aaaa</t>
        </r>
      </text>
    </comment>
    <comment ref="F5157" authorId="1" shapeId="0" xr:uid="{00000000-0006-0000-0100-000029140000}">
      <text/>
    </comment>
    <comment ref="F5158" authorId="1" shapeId="0" xr:uid="{00000000-0006-0000-0100-00002A140000}">
      <text/>
    </comment>
    <comment ref="A5160" authorId="1" shapeId="0" xr:uid="{00000000-0006-0000-0100-00002B140000}">
      <text>
        <r>
          <rPr>
            <sz val="11"/>
            <color theme="1"/>
            <rFont val="Calibri"/>
            <family val="2"/>
            <scheme val="minor"/>
          </rPr>
          <t>Introduzca un codigo UNSPSC</t>
        </r>
      </text>
    </comment>
    <comment ref="B5160" authorId="1" shapeId="0" xr:uid="{00000000-0006-0000-0100-00002C140000}">
      <text>
        <r>
          <rPr>
            <sz val="11"/>
            <color theme="1"/>
            <rFont val="Calibri"/>
            <family val="2"/>
            <scheme val="minor"/>
          </rPr>
          <t>Descripción calculada automáticamente a partir de código del artículo</t>
        </r>
      </text>
    </comment>
    <comment ref="C5160" authorId="1" shapeId="0" xr:uid="{00000000-0006-0000-0100-00002D140000}">
      <text>
        <r>
          <rPr>
            <sz val="11"/>
            <color theme="1"/>
            <rFont val="Calibri"/>
            <family val="2"/>
            <scheme val="minor"/>
          </rPr>
          <t>Seleccione un valor de la lista</t>
        </r>
      </text>
    </comment>
    <comment ref="D5160" authorId="1" shapeId="0" xr:uid="{00000000-0006-0000-0100-00002E140000}">
      <text>
        <r>
          <rPr>
            <sz val="11"/>
            <color theme="1"/>
            <rFont val="Calibri"/>
            <family val="2"/>
            <scheme val="minor"/>
          </rPr>
          <t>Introduzca un número con dos decimales como máximo. Debe ser igual o mayor a la "Cantidad Real Consumida"</t>
        </r>
      </text>
    </comment>
    <comment ref="E5160" authorId="1" shapeId="0" xr:uid="{00000000-0006-0000-0100-00002F140000}">
      <text>
        <r>
          <rPr>
            <sz val="11"/>
            <color theme="1"/>
            <rFont val="Calibri"/>
            <family val="2"/>
            <scheme val="minor"/>
          </rPr>
          <t>Introduzca un número con dos decimales como máximo</t>
        </r>
      </text>
    </comment>
    <comment ref="F5160" authorId="1" shapeId="0" xr:uid="{00000000-0006-0000-0100-000030140000}">
      <text>
        <r>
          <rPr>
            <sz val="11"/>
            <color theme="1"/>
            <rFont val="Calibri"/>
            <family val="2"/>
            <scheme val="minor"/>
          </rPr>
          <t>Monto calculado automáticamente por el sistema</t>
        </r>
      </text>
    </comment>
    <comment ref="A5165" authorId="1" shapeId="0" xr:uid="{00000000-0006-0000-0100-000031140000}">
      <text>
        <r>
          <rPr>
            <sz val="11"/>
            <color theme="1"/>
            <rFont val="Calibri"/>
            <family val="2"/>
            <scheme val="minor"/>
          </rPr>
          <t>Introducir un texto con el nombre o referencia de la contratación</t>
        </r>
      </text>
    </comment>
    <comment ref="B5165" authorId="1" shapeId="0" xr:uid="{00000000-0006-0000-0100-000032140000}">
      <text>
        <r>
          <rPr>
            <sz val="11"/>
            <color theme="1"/>
            <rFont val="Calibri"/>
            <family val="2"/>
            <scheme val="minor"/>
          </rPr>
          <t>Introduzca un texto con la finalidad de la contratación</t>
        </r>
      </text>
    </comment>
    <comment ref="C5165" authorId="1" shapeId="0" xr:uid="{00000000-0006-0000-0100-000033140000}">
      <text>
        <r>
          <rPr>
            <sz val="11"/>
            <color theme="1"/>
            <rFont val="Calibri"/>
            <family val="2"/>
            <scheme val="minor"/>
          </rPr>
          <t>Seleccionar un valor del listado</t>
        </r>
      </text>
    </comment>
    <comment ref="D5165" authorId="1" shapeId="0" xr:uid="{00000000-0006-0000-0100-000034140000}">
      <text>
        <r>
          <rPr>
            <sz val="11"/>
            <color theme="1"/>
            <rFont val="Calibri"/>
            <family val="2"/>
            <scheme val="minor"/>
          </rPr>
          <t>Seleccione el tipo de procedimiento</t>
        </r>
      </text>
    </comment>
    <comment ref="E5165" authorId="1" shapeId="0" xr:uid="{00000000-0006-0000-0100-000035140000}">
      <text>
        <r>
          <rPr>
            <sz val="11"/>
            <color theme="1"/>
            <rFont val="Calibri"/>
            <family val="2"/>
            <scheme val="minor"/>
          </rPr>
          <t>Seleccione un valor de la lista</t>
        </r>
      </text>
    </comment>
    <comment ref="F5165" authorId="1" shapeId="0" xr:uid="{00000000-0006-0000-0100-000036140000}">
      <text>
        <r>
          <rPr>
            <sz val="11"/>
            <color theme="1"/>
            <rFont val="Calibri"/>
            <family val="2"/>
            <scheme val="minor"/>
          </rPr>
          <t>Introduzca el código SNIP</t>
        </r>
      </text>
    </comment>
    <comment ref="C5166" authorId="1" shapeId="0" xr:uid="{00000000-0006-0000-0100-000037140000}">
      <text>
        <r>
          <rPr>
            <sz val="11"/>
            <color theme="1"/>
            <rFont val="Calibri"/>
            <family val="2"/>
            <scheme val="minor"/>
          </rPr>
          <t>Introduzca la fecha de inicio del proceso, en formato dd-mm-aaaa</t>
        </r>
      </text>
    </comment>
    <comment ref="F5166" authorId="1" shapeId="0" xr:uid="{00000000-0006-0000-0100-0000391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67" authorId="1" shapeId="0" xr:uid="{00000000-0006-0000-0100-00003A140000}">
      <text/>
    </comment>
    <comment ref="C5168" authorId="1" shapeId="0" xr:uid="{00000000-0006-0000-0100-000038140000}">
      <text>
        <r>
          <rPr>
            <sz val="11"/>
            <color theme="1"/>
            <rFont val="Calibri"/>
            <family val="2"/>
            <scheme val="minor"/>
          </rPr>
          <t>Introduzca la fecha prevista de adjudicación, en formato dd-mm-aaaa</t>
        </r>
      </text>
    </comment>
    <comment ref="F5168" authorId="1" shapeId="0" xr:uid="{00000000-0006-0000-0100-00003B140000}">
      <text/>
    </comment>
    <comment ref="F5169" authorId="1" shapeId="0" xr:uid="{00000000-0006-0000-0100-00003C140000}">
      <text/>
    </comment>
    <comment ref="A5171" authorId="1" shapeId="0" xr:uid="{00000000-0006-0000-0100-00003D140000}">
      <text>
        <r>
          <rPr>
            <sz val="11"/>
            <color theme="1"/>
            <rFont val="Calibri"/>
            <family val="2"/>
            <scheme val="minor"/>
          </rPr>
          <t>Introduzca un codigo UNSPSC</t>
        </r>
      </text>
    </comment>
    <comment ref="B5171" authorId="1" shapeId="0" xr:uid="{00000000-0006-0000-0100-00003E140000}">
      <text>
        <r>
          <rPr>
            <sz val="11"/>
            <color theme="1"/>
            <rFont val="Calibri"/>
            <family val="2"/>
            <scheme val="minor"/>
          </rPr>
          <t>Descripción calculada automáticamente a partir de código del artículo</t>
        </r>
      </text>
    </comment>
    <comment ref="C5171" authorId="1" shapeId="0" xr:uid="{00000000-0006-0000-0100-00003F140000}">
      <text>
        <r>
          <rPr>
            <sz val="11"/>
            <color theme="1"/>
            <rFont val="Calibri"/>
            <family val="2"/>
            <scheme val="minor"/>
          </rPr>
          <t>Seleccione un valor de la lista</t>
        </r>
      </text>
    </comment>
    <comment ref="D5171" authorId="1" shapeId="0" xr:uid="{00000000-0006-0000-0100-000040140000}">
      <text>
        <r>
          <rPr>
            <sz val="11"/>
            <color theme="1"/>
            <rFont val="Calibri"/>
            <family val="2"/>
            <scheme val="minor"/>
          </rPr>
          <t>Introduzca un número con dos decimales como máximo. Debe ser igual o mayor a la "Cantidad Real Consumida"</t>
        </r>
      </text>
    </comment>
    <comment ref="E5171" authorId="1" shapeId="0" xr:uid="{00000000-0006-0000-0100-000041140000}">
      <text>
        <r>
          <rPr>
            <sz val="11"/>
            <color theme="1"/>
            <rFont val="Calibri"/>
            <family val="2"/>
            <scheme val="minor"/>
          </rPr>
          <t>Introduzca un número con dos decimales como máximo</t>
        </r>
      </text>
    </comment>
    <comment ref="F5171" authorId="1" shapeId="0" xr:uid="{00000000-0006-0000-0100-000042140000}">
      <text>
        <r>
          <rPr>
            <sz val="11"/>
            <color theme="1"/>
            <rFont val="Calibri"/>
            <family val="2"/>
            <scheme val="minor"/>
          </rPr>
          <t>Monto calculado automáticamente por el sistema</t>
        </r>
      </text>
    </comment>
    <comment ref="A5176" authorId="1" shapeId="0" xr:uid="{00000000-0006-0000-0100-000043140000}">
      <text>
        <r>
          <rPr>
            <sz val="11"/>
            <color theme="1"/>
            <rFont val="Calibri"/>
            <family val="2"/>
            <scheme val="minor"/>
          </rPr>
          <t>Introducir un texto con el nombre o referencia de la contratación</t>
        </r>
      </text>
    </comment>
    <comment ref="B5176" authorId="1" shapeId="0" xr:uid="{00000000-0006-0000-0100-000044140000}">
      <text>
        <r>
          <rPr>
            <sz val="11"/>
            <color theme="1"/>
            <rFont val="Calibri"/>
            <family val="2"/>
            <scheme val="minor"/>
          </rPr>
          <t>Introduzca un texto con la finalidad de la contratación</t>
        </r>
      </text>
    </comment>
    <comment ref="C5176" authorId="1" shapeId="0" xr:uid="{00000000-0006-0000-0100-000045140000}">
      <text>
        <r>
          <rPr>
            <sz val="11"/>
            <color theme="1"/>
            <rFont val="Calibri"/>
            <family val="2"/>
            <scheme val="minor"/>
          </rPr>
          <t>Seleccionar un valor del listado</t>
        </r>
      </text>
    </comment>
    <comment ref="D5176" authorId="1" shapeId="0" xr:uid="{00000000-0006-0000-0100-000046140000}">
      <text>
        <r>
          <rPr>
            <sz val="11"/>
            <color theme="1"/>
            <rFont val="Calibri"/>
            <family val="2"/>
            <scheme val="minor"/>
          </rPr>
          <t>Seleccione el tipo de procedimiento</t>
        </r>
      </text>
    </comment>
    <comment ref="E5176" authorId="1" shapeId="0" xr:uid="{00000000-0006-0000-0100-000047140000}">
      <text>
        <r>
          <rPr>
            <sz val="11"/>
            <color theme="1"/>
            <rFont val="Calibri"/>
            <family val="2"/>
            <scheme val="minor"/>
          </rPr>
          <t>Seleccione un valor de la lista</t>
        </r>
      </text>
    </comment>
    <comment ref="F5176" authorId="1" shapeId="0" xr:uid="{00000000-0006-0000-0100-000048140000}">
      <text>
        <r>
          <rPr>
            <sz val="11"/>
            <color theme="1"/>
            <rFont val="Calibri"/>
            <family val="2"/>
            <scheme val="minor"/>
          </rPr>
          <t>Introduzca el código SNIP</t>
        </r>
      </text>
    </comment>
    <comment ref="C5177" authorId="1" shapeId="0" xr:uid="{00000000-0006-0000-0100-000049140000}">
      <text>
        <r>
          <rPr>
            <sz val="11"/>
            <color theme="1"/>
            <rFont val="Calibri"/>
            <family val="2"/>
            <scheme val="minor"/>
          </rPr>
          <t>Introduzca la fecha de inicio del proceso, en formato dd-mm-aaaa</t>
        </r>
      </text>
    </comment>
    <comment ref="F5177" authorId="1" shapeId="0" xr:uid="{00000000-0006-0000-0100-00004B1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78" authorId="1" shapeId="0" xr:uid="{00000000-0006-0000-0100-00004C140000}">
      <text/>
    </comment>
    <comment ref="C5179" authorId="1" shapeId="0" xr:uid="{00000000-0006-0000-0100-00004A140000}">
      <text>
        <r>
          <rPr>
            <sz val="11"/>
            <color theme="1"/>
            <rFont val="Calibri"/>
            <family val="2"/>
            <scheme val="minor"/>
          </rPr>
          <t>Introduzca la fecha prevista de adjudicación, en formato dd-mm-aaaa</t>
        </r>
      </text>
    </comment>
    <comment ref="F5179" authorId="1" shapeId="0" xr:uid="{00000000-0006-0000-0100-00004D140000}">
      <text/>
    </comment>
    <comment ref="F5180" authorId="1" shapeId="0" xr:uid="{00000000-0006-0000-0100-00004E140000}">
      <text/>
    </comment>
    <comment ref="A5182" authorId="1" shapeId="0" xr:uid="{00000000-0006-0000-0100-00004F140000}">
      <text>
        <r>
          <rPr>
            <sz val="11"/>
            <color theme="1"/>
            <rFont val="Calibri"/>
            <family val="2"/>
            <scheme val="minor"/>
          </rPr>
          <t>Introduzca un codigo UNSPSC</t>
        </r>
      </text>
    </comment>
    <comment ref="B5182" authorId="1" shapeId="0" xr:uid="{00000000-0006-0000-0100-000050140000}">
      <text>
        <r>
          <rPr>
            <sz val="11"/>
            <color theme="1"/>
            <rFont val="Calibri"/>
            <family val="2"/>
            <scheme val="minor"/>
          </rPr>
          <t>Descripción calculada automáticamente a partir de código del artículo</t>
        </r>
      </text>
    </comment>
    <comment ref="C5182" authorId="1" shapeId="0" xr:uid="{00000000-0006-0000-0100-000051140000}">
      <text>
        <r>
          <rPr>
            <sz val="11"/>
            <color theme="1"/>
            <rFont val="Calibri"/>
            <family val="2"/>
            <scheme val="minor"/>
          </rPr>
          <t>Seleccione un valor de la lista</t>
        </r>
      </text>
    </comment>
    <comment ref="D5182" authorId="1" shapeId="0" xr:uid="{00000000-0006-0000-0100-000052140000}">
      <text>
        <r>
          <rPr>
            <sz val="11"/>
            <color theme="1"/>
            <rFont val="Calibri"/>
            <family val="2"/>
            <scheme val="minor"/>
          </rPr>
          <t>Introduzca un número con dos decimales como máximo. Debe ser igual o mayor a la "Cantidad Real Consumida"</t>
        </r>
      </text>
    </comment>
    <comment ref="E5182" authorId="1" shapeId="0" xr:uid="{00000000-0006-0000-0100-000053140000}">
      <text>
        <r>
          <rPr>
            <sz val="11"/>
            <color theme="1"/>
            <rFont val="Calibri"/>
            <family val="2"/>
            <scheme val="minor"/>
          </rPr>
          <t>Introduzca un número con dos decimales como máximo</t>
        </r>
      </text>
    </comment>
    <comment ref="F5182" authorId="1" shapeId="0" xr:uid="{00000000-0006-0000-0100-000054140000}">
      <text>
        <r>
          <rPr>
            <sz val="11"/>
            <color theme="1"/>
            <rFont val="Calibri"/>
            <family val="2"/>
            <scheme val="minor"/>
          </rPr>
          <t>Monto calculado automáticamente por el sistema</t>
        </r>
      </text>
    </comment>
    <comment ref="A5187" authorId="1" shapeId="0" xr:uid="{00000000-0006-0000-0100-000055140000}">
      <text>
        <r>
          <rPr>
            <sz val="11"/>
            <color theme="1"/>
            <rFont val="Calibri"/>
            <family val="2"/>
            <scheme val="minor"/>
          </rPr>
          <t>Introducir un texto con el nombre o referencia de la contratación</t>
        </r>
      </text>
    </comment>
    <comment ref="B5187" authorId="1" shapeId="0" xr:uid="{00000000-0006-0000-0100-000056140000}">
      <text>
        <r>
          <rPr>
            <sz val="11"/>
            <color theme="1"/>
            <rFont val="Calibri"/>
            <family val="2"/>
            <scheme val="minor"/>
          </rPr>
          <t>Introduzca un texto con la finalidad de la contratación</t>
        </r>
      </text>
    </comment>
    <comment ref="C5187" authorId="1" shapeId="0" xr:uid="{00000000-0006-0000-0100-000057140000}">
      <text>
        <r>
          <rPr>
            <sz val="11"/>
            <color theme="1"/>
            <rFont val="Calibri"/>
            <family val="2"/>
            <scheme val="minor"/>
          </rPr>
          <t>Seleccionar un valor del listado</t>
        </r>
      </text>
    </comment>
    <comment ref="D5187" authorId="1" shapeId="0" xr:uid="{00000000-0006-0000-0100-000058140000}">
      <text>
        <r>
          <rPr>
            <sz val="11"/>
            <color theme="1"/>
            <rFont val="Calibri"/>
            <family val="2"/>
            <scheme val="minor"/>
          </rPr>
          <t>Seleccione el tipo de procedimiento</t>
        </r>
      </text>
    </comment>
    <comment ref="E5187" authorId="1" shapeId="0" xr:uid="{00000000-0006-0000-0100-000059140000}">
      <text>
        <r>
          <rPr>
            <sz val="11"/>
            <color theme="1"/>
            <rFont val="Calibri"/>
            <family val="2"/>
            <scheme val="minor"/>
          </rPr>
          <t>Seleccione un valor de la lista</t>
        </r>
      </text>
    </comment>
    <comment ref="F5187" authorId="1" shapeId="0" xr:uid="{00000000-0006-0000-0100-00005A140000}">
      <text>
        <r>
          <rPr>
            <sz val="11"/>
            <color theme="1"/>
            <rFont val="Calibri"/>
            <family val="2"/>
            <scheme val="minor"/>
          </rPr>
          <t>Introduzca el código SNIP</t>
        </r>
      </text>
    </comment>
    <comment ref="C5188" authorId="1" shapeId="0" xr:uid="{00000000-0006-0000-0100-00005B140000}">
      <text>
        <r>
          <rPr>
            <sz val="11"/>
            <color theme="1"/>
            <rFont val="Calibri"/>
            <family val="2"/>
            <scheme val="minor"/>
          </rPr>
          <t>Introduzca la fecha de inicio del proceso, en formato dd-mm-aaaa</t>
        </r>
      </text>
    </comment>
    <comment ref="F5188" authorId="1" shapeId="0" xr:uid="{00000000-0006-0000-0100-00005D1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89" authorId="1" shapeId="0" xr:uid="{00000000-0006-0000-0100-00005E140000}">
      <text/>
    </comment>
    <comment ref="C5190" authorId="1" shapeId="0" xr:uid="{00000000-0006-0000-0100-00005C140000}">
      <text>
        <r>
          <rPr>
            <sz val="11"/>
            <color theme="1"/>
            <rFont val="Calibri"/>
            <family val="2"/>
            <scheme val="minor"/>
          </rPr>
          <t>Introduzca la fecha prevista de adjudicación, en formato dd-mm-aaaa</t>
        </r>
      </text>
    </comment>
    <comment ref="F5190" authorId="1" shapeId="0" xr:uid="{00000000-0006-0000-0100-00005F140000}">
      <text/>
    </comment>
    <comment ref="F5191" authorId="1" shapeId="0" xr:uid="{00000000-0006-0000-0100-000060140000}">
      <text/>
    </comment>
    <comment ref="A5193" authorId="1" shapeId="0" xr:uid="{00000000-0006-0000-0100-000061140000}">
      <text>
        <r>
          <rPr>
            <sz val="11"/>
            <color theme="1"/>
            <rFont val="Calibri"/>
            <family val="2"/>
            <scheme val="minor"/>
          </rPr>
          <t>Introduzca un codigo UNSPSC</t>
        </r>
      </text>
    </comment>
    <comment ref="B5193" authorId="1" shapeId="0" xr:uid="{00000000-0006-0000-0100-000062140000}">
      <text>
        <r>
          <rPr>
            <sz val="11"/>
            <color theme="1"/>
            <rFont val="Calibri"/>
            <family val="2"/>
            <scheme val="minor"/>
          </rPr>
          <t>Descripción calculada automáticamente a partir de código del artículo</t>
        </r>
      </text>
    </comment>
    <comment ref="C5193" authorId="1" shapeId="0" xr:uid="{00000000-0006-0000-0100-000063140000}">
      <text>
        <r>
          <rPr>
            <sz val="11"/>
            <color theme="1"/>
            <rFont val="Calibri"/>
            <family val="2"/>
            <scheme val="minor"/>
          </rPr>
          <t>Seleccione un valor de la lista</t>
        </r>
      </text>
    </comment>
    <comment ref="D5193" authorId="1" shapeId="0" xr:uid="{00000000-0006-0000-0100-000064140000}">
      <text>
        <r>
          <rPr>
            <sz val="11"/>
            <color theme="1"/>
            <rFont val="Calibri"/>
            <family val="2"/>
            <scheme val="minor"/>
          </rPr>
          <t>Introduzca un número con dos decimales como máximo. Debe ser igual o mayor a la "Cantidad Real Consumida"</t>
        </r>
      </text>
    </comment>
    <comment ref="E5193" authorId="1" shapeId="0" xr:uid="{00000000-0006-0000-0100-000065140000}">
      <text>
        <r>
          <rPr>
            <sz val="11"/>
            <color theme="1"/>
            <rFont val="Calibri"/>
            <family val="2"/>
            <scheme val="minor"/>
          </rPr>
          <t>Introduzca un número con dos decimales como máximo</t>
        </r>
      </text>
    </comment>
    <comment ref="F5193" authorId="1" shapeId="0" xr:uid="{00000000-0006-0000-0100-000066140000}">
      <text>
        <r>
          <rPr>
            <sz val="11"/>
            <color theme="1"/>
            <rFont val="Calibri"/>
            <family val="2"/>
            <scheme val="minor"/>
          </rPr>
          <t>Monto calculado automáticamente por el sistema</t>
        </r>
      </text>
    </comment>
    <comment ref="A5198" authorId="1" shapeId="0" xr:uid="{00000000-0006-0000-0100-000067140000}">
      <text>
        <r>
          <rPr>
            <sz val="11"/>
            <color theme="1"/>
            <rFont val="Calibri"/>
            <family val="2"/>
            <scheme val="minor"/>
          </rPr>
          <t>Introducir un texto con el nombre o referencia de la contratación</t>
        </r>
      </text>
    </comment>
    <comment ref="B5198" authorId="1" shapeId="0" xr:uid="{00000000-0006-0000-0100-000068140000}">
      <text>
        <r>
          <rPr>
            <sz val="11"/>
            <color theme="1"/>
            <rFont val="Calibri"/>
            <family val="2"/>
            <scheme val="minor"/>
          </rPr>
          <t>Introduzca un texto con la finalidad de la contratación</t>
        </r>
      </text>
    </comment>
    <comment ref="C5198" authorId="1" shapeId="0" xr:uid="{00000000-0006-0000-0100-000069140000}">
      <text>
        <r>
          <rPr>
            <sz val="11"/>
            <color theme="1"/>
            <rFont val="Calibri"/>
            <family val="2"/>
            <scheme val="minor"/>
          </rPr>
          <t>Seleccionar un valor del listado</t>
        </r>
      </text>
    </comment>
    <comment ref="D5198" authorId="1" shapeId="0" xr:uid="{00000000-0006-0000-0100-00006A140000}">
      <text>
        <r>
          <rPr>
            <sz val="11"/>
            <color theme="1"/>
            <rFont val="Calibri"/>
            <family val="2"/>
            <scheme val="minor"/>
          </rPr>
          <t>Seleccione el tipo de procedimiento</t>
        </r>
      </text>
    </comment>
    <comment ref="E5198" authorId="1" shapeId="0" xr:uid="{00000000-0006-0000-0100-00006B140000}">
      <text>
        <r>
          <rPr>
            <sz val="11"/>
            <color theme="1"/>
            <rFont val="Calibri"/>
            <family val="2"/>
            <scheme val="minor"/>
          </rPr>
          <t>Seleccione un valor de la lista</t>
        </r>
      </text>
    </comment>
    <comment ref="F5198" authorId="1" shapeId="0" xr:uid="{00000000-0006-0000-0100-00006C140000}">
      <text>
        <r>
          <rPr>
            <sz val="11"/>
            <color theme="1"/>
            <rFont val="Calibri"/>
            <family val="2"/>
            <scheme val="minor"/>
          </rPr>
          <t>Introduzca el código SNIP</t>
        </r>
      </text>
    </comment>
    <comment ref="C5199" authorId="1" shapeId="0" xr:uid="{00000000-0006-0000-0100-00006D140000}">
      <text>
        <r>
          <rPr>
            <sz val="11"/>
            <color theme="1"/>
            <rFont val="Calibri"/>
            <family val="2"/>
            <scheme val="minor"/>
          </rPr>
          <t>Introduzca la fecha de inicio del proceso, en formato dd-mm-aaaa</t>
        </r>
      </text>
    </comment>
    <comment ref="F5199" authorId="1" shapeId="0" xr:uid="{00000000-0006-0000-0100-00006F1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00" authorId="1" shapeId="0" xr:uid="{00000000-0006-0000-0100-000070140000}">
      <text/>
    </comment>
    <comment ref="C5201" authorId="1" shapeId="0" xr:uid="{00000000-0006-0000-0100-00006E140000}">
      <text>
        <r>
          <rPr>
            <sz val="11"/>
            <color theme="1"/>
            <rFont val="Calibri"/>
            <family val="2"/>
            <scheme val="minor"/>
          </rPr>
          <t>Introduzca la fecha prevista de adjudicación, en formato dd-mm-aaaa</t>
        </r>
      </text>
    </comment>
    <comment ref="F5201" authorId="1" shapeId="0" xr:uid="{00000000-0006-0000-0100-000071140000}">
      <text/>
    </comment>
    <comment ref="F5202" authorId="1" shapeId="0" xr:uid="{00000000-0006-0000-0100-000072140000}">
      <text/>
    </comment>
    <comment ref="A5204" authorId="1" shapeId="0" xr:uid="{00000000-0006-0000-0100-000073140000}">
      <text>
        <r>
          <rPr>
            <sz val="11"/>
            <color theme="1"/>
            <rFont val="Calibri"/>
            <family val="2"/>
            <scheme val="minor"/>
          </rPr>
          <t>Introduzca un codigo UNSPSC</t>
        </r>
      </text>
    </comment>
    <comment ref="B5204" authorId="1" shapeId="0" xr:uid="{00000000-0006-0000-0100-000074140000}">
      <text>
        <r>
          <rPr>
            <sz val="11"/>
            <color theme="1"/>
            <rFont val="Calibri"/>
            <family val="2"/>
            <scheme val="minor"/>
          </rPr>
          <t>Descripción calculada automáticamente a partir de código del artículo</t>
        </r>
      </text>
    </comment>
    <comment ref="C5204" authorId="1" shapeId="0" xr:uid="{00000000-0006-0000-0100-000075140000}">
      <text>
        <r>
          <rPr>
            <sz val="11"/>
            <color theme="1"/>
            <rFont val="Calibri"/>
            <family val="2"/>
            <scheme val="minor"/>
          </rPr>
          <t>Seleccione un valor de la lista</t>
        </r>
      </text>
    </comment>
    <comment ref="D5204" authorId="1" shapeId="0" xr:uid="{00000000-0006-0000-0100-000076140000}">
      <text>
        <r>
          <rPr>
            <sz val="11"/>
            <color theme="1"/>
            <rFont val="Calibri"/>
            <family val="2"/>
            <scheme val="minor"/>
          </rPr>
          <t>Introduzca un número con dos decimales como máximo. Debe ser igual o mayor a la "Cantidad Real Consumida"</t>
        </r>
      </text>
    </comment>
    <comment ref="E5204" authorId="1" shapeId="0" xr:uid="{00000000-0006-0000-0100-000077140000}">
      <text>
        <r>
          <rPr>
            <sz val="11"/>
            <color theme="1"/>
            <rFont val="Calibri"/>
            <family val="2"/>
            <scheme val="minor"/>
          </rPr>
          <t>Introduzca un número con dos decimales como máximo</t>
        </r>
      </text>
    </comment>
    <comment ref="F5204" authorId="1" shapeId="0" xr:uid="{00000000-0006-0000-0100-000078140000}">
      <text>
        <r>
          <rPr>
            <sz val="11"/>
            <color theme="1"/>
            <rFont val="Calibri"/>
            <family val="2"/>
            <scheme val="minor"/>
          </rPr>
          <t>Monto calculado automáticamente por el sistema</t>
        </r>
      </text>
    </comment>
    <comment ref="A5210" authorId="1" shapeId="0" xr:uid="{00000000-0006-0000-0100-000079140000}">
      <text>
        <r>
          <rPr>
            <sz val="11"/>
            <color theme="1"/>
            <rFont val="Calibri"/>
            <family val="2"/>
            <scheme val="minor"/>
          </rPr>
          <t>Introducir un texto con el nombre o referencia de la contratación</t>
        </r>
      </text>
    </comment>
    <comment ref="B5210" authorId="1" shapeId="0" xr:uid="{00000000-0006-0000-0100-00007A140000}">
      <text>
        <r>
          <rPr>
            <sz val="11"/>
            <color theme="1"/>
            <rFont val="Calibri"/>
            <family val="2"/>
            <scheme val="minor"/>
          </rPr>
          <t>Introduzca un texto con la finalidad de la contratación</t>
        </r>
      </text>
    </comment>
    <comment ref="C5210" authorId="1" shapeId="0" xr:uid="{00000000-0006-0000-0100-00007B140000}">
      <text>
        <r>
          <rPr>
            <sz val="11"/>
            <color theme="1"/>
            <rFont val="Calibri"/>
            <family val="2"/>
            <scheme val="minor"/>
          </rPr>
          <t>Seleccionar un valor del listado</t>
        </r>
      </text>
    </comment>
    <comment ref="D5210" authorId="1" shapeId="0" xr:uid="{00000000-0006-0000-0100-00007C140000}">
      <text>
        <r>
          <rPr>
            <sz val="11"/>
            <color theme="1"/>
            <rFont val="Calibri"/>
            <family val="2"/>
            <scheme val="minor"/>
          </rPr>
          <t>Seleccione el tipo de procedimiento</t>
        </r>
      </text>
    </comment>
    <comment ref="E5210" authorId="1" shapeId="0" xr:uid="{00000000-0006-0000-0100-00007D140000}">
      <text>
        <r>
          <rPr>
            <sz val="11"/>
            <color theme="1"/>
            <rFont val="Calibri"/>
            <family val="2"/>
            <scheme val="minor"/>
          </rPr>
          <t>Seleccione un valor de la lista</t>
        </r>
      </text>
    </comment>
    <comment ref="F5210" authorId="1" shapeId="0" xr:uid="{00000000-0006-0000-0100-00007E140000}">
      <text>
        <r>
          <rPr>
            <sz val="11"/>
            <color theme="1"/>
            <rFont val="Calibri"/>
            <family val="2"/>
            <scheme val="minor"/>
          </rPr>
          <t>Introduzca el código SNIP</t>
        </r>
      </text>
    </comment>
    <comment ref="C5211" authorId="1" shapeId="0" xr:uid="{00000000-0006-0000-0100-00007F140000}">
      <text>
        <r>
          <rPr>
            <sz val="11"/>
            <color theme="1"/>
            <rFont val="Calibri"/>
            <family val="2"/>
            <scheme val="minor"/>
          </rPr>
          <t>Introduzca la fecha de inicio del proceso, en formato dd-mm-aaaa</t>
        </r>
      </text>
    </comment>
    <comment ref="F5211" authorId="1" shapeId="0" xr:uid="{00000000-0006-0000-0100-0000811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12" authorId="1" shapeId="0" xr:uid="{00000000-0006-0000-0100-000082140000}">
      <text/>
    </comment>
    <comment ref="C5213" authorId="1" shapeId="0" xr:uid="{00000000-0006-0000-0100-000080140000}">
      <text>
        <r>
          <rPr>
            <sz val="11"/>
            <color theme="1"/>
            <rFont val="Calibri"/>
            <family val="2"/>
            <scheme val="minor"/>
          </rPr>
          <t>Introduzca la fecha prevista de adjudicación, en formato dd-mm-aaaa</t>
        </r>
      </text>
    </comment>
    <comment ref="F5213" authorId="1" shapeId="0" xr:uid="{00000000-0006-0000-0100-000083140000}">
      <text/>
    </comment>
    <comment ref="F5214" authorId="1" shapeId="0" xr:uid="{00000000-0006-0000-0100-000084140000}">
      <text/>
    </comment>
    <comment ref="A5216" authorId="1" shapeId="0" xr:uid="{00000000-0006-0000-0100-000085140000}">
      <text>
        <r>
          <rPr>
            <sz val="11"/>
            <color theme="1"/>
            <rFont val="Calibri"/>
            <family val="2"/>
            <scheme val="minor"/>
          </rPr>
          <t>Introduzca un codigo UNSPSC</t>
        </r>
      </text>
    </comment>
    <comment ref="B5216" authorId="1" shapeId="0" xr:uid="{00000000-0006-0000-0100-000086140000}">
      <text>
        <r>
          <rPr>
            <sz val="11"/>
            <color theme="1"/>
            <rFont val="Calibri"/>
            <family val="2"/>
            <scheme val="minor"/>
          </rPr>
          <t>Descripción calculada automáticamente a partir de código del artículo</t>
        </r>
      </text>
    </comment>
    <comment ref="C5216" authorId="1" shapeId="0" xr:uid="{00000000-0006-0000-0100-000087140000}">
      <text>
        <r>
          <rPr>
            <sz val="11"/>
            <color theme="1"/>
            <rFont val="Calibri"/>
            <family val="2"/>
            <scheme val="minor"/>
          </rPr>
          <t>Seleccione un valor de la lista</t>
        </r>
      </text>
    </comment>
    <comment ref="D5216" authorId="1" shapeId="0" xr:uid="{00000000-0006-0000-0100-000088140000}">
      <text>
        <r>
          <rPr>
            <sz val="11"/>
            <color theme="1"/>
            <rFont val="Calibri"/>
            <family val="2"/>
            <scheme val="minor"/>
          </rPr>
          <t>Introduzca un número con dos decimales como máximo. Debe ser igual o mayor a la "Cantidad Real Consumida"</t>
        </r>
      </text>
    </comment>
    <comment ref="E5216" authorId="1" shapeId="0" xr:uid="{00000000-0006-0000-0100-000089140000}">
      <text>
        <r>
          <rPr>
            <sz val="11"/>
            <color theme="1"/>
            <rFont val="Calibri"/>
            <family val="2"/>
            <scheme val="minor"/>
          </rPr>
          <t>Introduzca un número con dos decimales como máximo</t>
        </r>
      </text>
    </comment>
    <comment ref="F5216" authorId="1" shapeId="0" xr:uid="{00000000-0006-0000-0100-00008A140000}">
      <text>
        <r>
          <rPr>
            <sz val="11"/>
            <color theme="1"/>
            <rFont val="Calibri"/>
            <family val="2"/>
            <scheme val="minor"/>
          </rPr>
          <t>Monto calculado automáticamente por el sistema</t>
        </r>
      </text>
    </comment>
    <comment ref="A5222" authorId="1" shapeId="0" xr:uid="{00000000-0006-0000-0100-00008B140000}">
      <text>
        <r>
          <rPr>
            <sz val="11"/>
            <color theme="1"/>
            <rFont val="Calibri"/>
            <family val="2"/>
            <scheme val="minor"/>
          </rPr>
          <t>Introducir un texto con el nombre o referencia de la contratación</t>
        </r>
      </text>
    </comment>
    <comment ref="B5222" authorId="1" shapeId="0" xr:uid="{00000000-0006-0000-0100-00008C140000}">
      <text>
        <r>
          <rPr>
            <sz val="11"/>
            <color theme="1"/>
            <rFont val="Calibri"/>
            <family val="2"/>
            <scheme val="minor"/>
          </rPr>
          <t>Introduzca un texto con la finalidad de la contratación</t>
        </r>
      </text>
    </comment>
    <comment ref="C5222" authorId="1" shapeId="0" xr:uid="{00000000-0006-0000-0100-00008D140000}">
      <text>
        <r>
          <rPr>
            <sz val="11"/>
            <color theme="1"/>
            <rFont val="Calibri"/>
            <family val="2"/>
            <scheme val="minor"/>
          </rPr>
          <t>Seleccionar un valor del listado</t>
        </r>
      </text>
    </comment>
    <comment ref="D5222" authorId="1" shapeId="0" xr:uid="{00000000-0006-0000-0100-00008E140000}">
      <text>
        <r>
          <rPr>
            <sz val="11"/>
            <color theme="1"/>
            <rFont val="Calibri"/>
            <family val="2"/>
            <scheme val="minor"/>
          </rPr>
          <t>Seleccione el tipo de procedimiento</t>
        </r>
      </text>
    </comment>
    <comment ref="E5222" authorId="1" shapeId="0" xr:uid="{00000000-0006-0000-0100-00008F140000}">
      <text>
        <r>
          <rPr>
            <sz val="11"/>
            <color theme="1"/>
            <rFont val="Calibri"/>
            <family val="2"/>
            <scheme val="minor"/>
          </rPr>
          <t>Seleccione un valor de la lista</t>
        </r>
      </text>
    </comment>
    <comment ref="F5222" authorId="1" shapeId="0" xr:uid="{00000000-0006-0000-0100-000090140000}">
      <text>
        <r>
          <rPr>
            <sz val="11"/>
            <color theme="1"/>
            <rFont val="Calibri"/>
            <family val="2"/>
            <scheme val="minor"/>
          </rPr>
          <t>Introduzca el código SNIP</t>
        </r>
      </text>
    </comment>
    <comment ref="C5223" authorId="1" shapeId="0" xr:uid="{00000000-0006-0000-0100-000091140000}">
      <text>
        <r>
          <rPr>
            <sz val="11"/>
            <color theme="1"/>
            <rFont val="Calibri"/>
            <family val="2"/>
            <scheme val="minor"/>
          </rPr>
          <t>Introduzca la fecha de inicio del proceso, en formato dd-mm-aaaa</t>
        </r>
      </text>
    </comment>
    <comment ref="F5223" authorId="1" shapeId="0" xr:uid="{00000000-0006-0000-0100-0000931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24" authorId="1" shapeId="0" xr:uid="{00000000-0006-0000-0100-000094140000}">
      <text/>
    </comment>
    <comment ref="C5225" authorId="1" shapeId="0" xr:uid="{00000000-0006-0000-0100-000092140000}">
      <text>
        <r>
          <rPr>
            <sz val="11"/>
            <color theme="1"/>
            <rFont val="Calibri"/>
            <family val="2"/>
            <scheme val="minor"/>
          </rPr>
          <t>Introduzca la fecha prevista de adjudicación, en formato dd-mm-aaaa</t>
        </r>
      </text>
    </comment>
    <comment ref="F5225" authorId="1" shapeId="0" xr:uid="{00000000-0006-0000-0100-000095140000}">
      <text/>
    </comment>
    <comment ref="F5226" authorId="1" shapeId="0" xr:uid="{00000000-0006-0000-0100-000096140000}">
      <text/>
    </comment>
    <comment ref="A5228" authorId="1" shapeId="0" xr:uid="{00000000-0006-0000-0100-000097140000}">
      <text>
        <r>
          <rPr>
            <sz val="11"/>
            <color theme="1"/>
            <rFont val="Calibri"/>
            <family val="2"/>
            <scheme val="minor"/>
          </rPr>
          <t>Introduzca un codigo UNSPSC</t>
        </r>
      </text>
    </comment>
    <comment ref="B5228" authorId="1" shapeId="0" xr:uid="{00000000-0006-0000-0100-000098140000}">
      <text>
        <r>
          <rPr>
            <sz val="11"/>
            <color theme="1"/>
            <rFont val="Calibri"/>
            <family val="2"/>
            <scheme val="minor"/>
          </rPr>
          <t>Descripción calculada automáticamente a partir de código del artículo</t>
        </r>
      </text>
    </comment>
    <comment ref="C5228" authorId="1" shapeId="0" xr:uid="{00000000-0006-0000-0100-000099140000}">
      <text>
        <r>
          <rPr>
            <sz val="11"/>
            <color theme="1"/>
            <rFont val="Calibri"/>
            <family val="2"/>
            <scheme val="minor"/>
          </rPr>
          <t>Seleccione un valor de la lista</t>
        </r>
      </text>
    </comment>
    <comment ref="D5228" authorId="1" shapeId="0" xr:uid="{00000000-0006-0000-0100-00009A140000}">
      <text>
        <r>
          <rPr>
            <sz val="11"/>
            <color theme="1"/>
            <rFont val="Calibri"/>
            <family val="2"/>
            <scheme val="minor"/>
          </rPr>
          <t>Introduzca un número con dos decimales como máximo. Debe ser igual o mayor a la "Cantidad Real Consumida"</t>
        </r>
      </text>
    </comment>
    <comment ref="E5228" authorId="1" shapeId="0" xr:uid="{00000000-0006-0000-0100-00009B140000}">
      <text>
        <r>
          <rPr>
            <sz val="11"/>
            <color theme="1"/>
            <rFont val="Calibri"/>
            <family val="2"/>
            <scheme val="minor"/>
          </rPr>
          <t>Introduzca un número con dos decimales como máximo</t>
        </r>
      </text>
    </comment>
    <comment ref="F5228" authorId="1" shapeId="0" xr:uid="{00000000-0006-0000-0100-00009C140000}">
      <text>
        <r>
          <rPr>
            <sz val="11"/>
            <color theme="1"/>
            <rFont val="Calibri"/>
            <family val="2"/>
            <scheme val="minor"/>
          </rPr>
          <t>Monto calculado automáticamente por el sistema</t>
        </r>
      </text>
    </comment>
    <comment ref="A5234" authorId="1" shapeId="0" xr:uid="{00000000-0006-0000-0100-00009D140000}">
      <text>
        <r>
          <rPr>
            <sz val="11"/>
            <color theme="1"/>
            <rFont val="Calibri"/>
            <family val="2"/>
            <scheme val="minor"/>
          </rPr>
          <t>Introducir un texto con el nombre o referencia de la contratación</t>
        </r>
      </text>
    </comment>
    <comment ref="B5234" authorId="1" shapeId="0" xr:uid="{00000000-0006-0000-0100-00009E140000}">
      <text>
        <r>
          <rPr>
            <sz val="11"/>
            <color theme="1"/>
            <rFont val="Calibri"/>
            <family val="2"/>
            <scheme val="minor"/>
          </rPr>
          <t>Introduzca un texto con la finalidad de la contratación</t>
        </r>
      </text>
    </comment>
    <comment ref="C5234" authorId="1" shapeId="0" xr:uid="{00000000-0006-0000-0100-00009F140000}">
      <text>
        <r>
          <rPr>
            <sz val="11"/>
            <color theme="1"/>
            <rFont val="Calibri"/>
            <family val="2"/>
            <scheme val="minor"/>
          </rPr>
          <t>Seleccionar un valor del listado</t>
        </r>
      </text>
    </comment>
    <comment ref="D5234" authorId="1" shapeId="0" xr:uid="{00000000-0006-0000-0100-0000A0140000}">
      <text>
        <r>
          <rPr>
            <sz val="11"/>
            <color theme="1"/>
            <rFont val="Calibri"/>
            <family val="2"/>
            <scheme val="minor"/>
          </rPr>
          <t>Seleccione el tipo de procedimiento</t>
        </r>
      </text>
    </comment>
    <comment ref="E5234" authorId="1" shapeId="0" xr:uid="{00000000-0006-0000-0100-0000A1140000}">
      <text>
        <r>
          <rPr>
            <sz val="11"/>
            <color theme="1"/>
            <rFont val="Calibri"/>
            <family val="2"/>
            <scheme val="minor"/>
          </rPr>
          <t>Seleccione un valor de la lista</t>
        </r>
      </text>
    </comment>
    <comment ref="F5234" authorId="1" shapeId="0" xr:uid="{00000000-0006-0000-0100-0000A2140000}">
      <text>
        <r>
          <rPr>
            <sz val="11"/>
            <color theme="1"/>
            <rFont val="Calibri"/>
            <family val="2"/>
            <scheme val="minor"/>
          </rPr>
          <t>Introduzca el código SNIP</t>
        </r>
      </text>
    </comment>
    <comment ref="C5235" authorId="1" shapeId="0" xr:uid="{00000000-0006-0000-0100-0000A3140000}">
      <text>
        <r>
          <rPr>
            <sz val="11"/>
            <color theme="1"/>
            <rFont val="Calibri"/>
            <family val="2"/>
            <scheme val="minor"/>
          </rPr>
          <t>Introduzca la fecha de inicio del proceso, en formato dd-mm-aaaa</t>
        </r>
      </text>
    </comment>
    <comment ref="F5235" authorId="1" shapeId="0" xr:uid="{00000000-0006-0000-0100-0000A51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36" authorId="1" shapeId="0" xr:uid="{00000000-0006-0000-0100-0000A6140000}">
      <text/>
    </comment>
    <comment ref="C5237" authorId="1" shapeId="0" xr:uid="{00000000-0006-0000-0100-0000A4140000}">
      <text>
        <r>
          <rPr>
            <sz val="11"/>
            <color theme="1"/>
            <rFont val="Calibri"/>
            <family val="2"/>
            <scheme val="minor"/>
          </rPr>
          <t>Introduzca la fecha prevista de adjudicación, en formato dd-mm-aaaa</t>
        </r>
      </text>
    </comment>
    <comment ref="F5237" authorId="1" shapeId="0" xr:uid="{00000000-0006-0000-0100-0000A7140000}">
      <text/>
    </comment>
    <comment ref="F5238" authorId="1" shapeId="0" xr:uid="{00000000-0006-0000-0100-0000A8140000}">
      <text/>
    </comment>
    <comment ref="A5240" authorId="1" shapeId="0" xr:uid="{00000000-0006-0000-0100-0000A9140000}">
      <text>
        <r>
          <rPr>
            <sz val="11"/>
            <color theme="1"/>
            <rFont val="Calibri"/>
            <family val="2"/>
            <scheme val="minor"/>
          </rPr>
          <t>Introduzca un codigo UNSPSC</t>
        </r>
      </text>
    </comment>
    <comment ref="B5240" authorId="1" shapeId="0" xr:uid="{00000000-0006-0000-0100-0000AA140000}">
      <text>
        <r>
          <rPr>
            <sz val="11"/>
            <color theme="1"/>
            <rFont val="Calibri"/>
            <family val="2"/>
            <scheme val="minor"/>
          </rPr>
          <t>Descripción calculada automáticamente a partir de código del artículo</t>
        </r>
      </text>
    </comment>
    <comment ref="C5240" authorId="1" shapeId="0" xr:uid="{00000000-0006-0000-0100-0000AB140000}">
      <text>
        <r>
          <rPr>
            <sz val="11"/>
            <color theme="1"/>
            <rFont val="Calibri"/>
            <family val="2"/>
            <scheme val="minor"/>
          </rPr>
          <t>Seleccione un valor de la lista</t>
        </r>
      </text>
    </comment>
    <comment ref="D5240" authorId="1" shapeId="0" xr:uid="{00000000-0006-0000-0100-0000AC140000}">
      <text>
        <r>
          <rPr>
            <sz val="11"/>
            <color theme="1"/>
            <rFont val="Calibri"/>
            <family val="2"/>
            <scheme val="minor"/>
          </rPr>
          <t>Introduzca un número con dos decimales como máximo. Debe ser igual o mayor a la "Cantidad Real Consumida"</t>
        </r>
      </text>
    </comment>
    <comment ref="E5240" authorId="1" shapeId="0" xr:uid="{00000000-0006-0000-0100-0000AD140000}">
      <text>
        <r>
          <rPr>
            <sz val="11"/>
            <color theme="1"/>
            <rFont val="Calibri"/>
            <family val="2"/>
            <scheme val="minor"/>
          </rPr>
          <t>Introduzca un número con dos decimales como máximo</t>
        </r>
      </text>
    </comment>
    <comment ref="F5240" authorId="1" shapeId="0" xr:uid="{00000000-0006-0000-0100-0000AE140000}">
      <text>
        <r>
          <rPr>
            <sz val="11"/>
            <color theme="1"/>
            <rFont val="Calibri"/>
            <family val="2"/>
            <scheme val="minor"/>
          </rPr>
          <t>Monto calculado automáticamente por el sistema</t>
        </r>
      </text>
    </comment>
    <comment ref="A5246" authorId="1" shapeId="0" xr:uid="{00000000-0006-0000-0100-0000AF140000}">
      <text>
        <r>
          <rPr>
            <sz val="11"/>
            <color theme="1"/>
            <rFont val="Calibri"/>
            <family val="2"/>
            <scheme val="minor"/>
          </rPr>
          <t>Introducir un texto con el nombre o referencia de la contratación</t>
        </r>
      </text>
    </comment>
    <comment ref="B5246" authorId="1" shapeId="0" xr:uid="{00000000-0006-0000-0100-0000B0140000}">
      <text>
        <r>
          <rPr>
            <sz val="11"/>
            <color theme="1"/>
            <rFont val="Calibri"/>
            <family val="2"/>
            <scheme val="minor"/>
          </rPr>
          <t>Introduzca un texto con la finalidad de la contratación</t>
        </r>
      </text>
    </comment>
    <comment ref="C5246" authorId="1" shapeId="0" xr:uid="{00000000-0006-0000-0100-0000B1140000}">
      <text>
        <r>
          <rPr>
            <sz val="11"/>
            <color theme="1"/>
            <rFont val="Calibri"/>
            <family val="2"/>
            <scheme val="minor"/>
          </rPr>
          <t>Seleccionar un valor del listado</t>
        </r>
      </text>
    </comment>
    <comment ref="D5246" authorId="1" shapeId="0" xr:uid="{00000000-0006-0000-0100-0000B2140000}">
      <text>
        <r>
          <rPr>
            <sz val="11"/>
            <color theme="1"/>
            <rFont val="Calibri"/>
            <family val="2"/>
            <scheme val="minor"/>
          </rPr>
          <t>Seleccione el tipo de procedimiento</t>
        </r>
      </text>
    </comment>
    <comment ref="E5246" authorId="1" shapeId="0" xr:uid="{00000000-0006-0000-0100-0000B3140000}">
      <text>
        <r>
          <rPr>
            <sz val="11"/>
            <color theme="1"/>
            <rFont val="Calibri"/>
            <family val="2"/>
            <scheme val="minor"/>
          </rPr>
          <t>Seleccione un valor de la lista</t>
        </r>
      </text>
    </comment>
    <comment ref="F5246" authorId="1" shapeId="0" xr:uid="{00000000-0006-0000-0100-0000B4140000}">
      <text>
        <r>
          <rPr>
            <sz val="11"/>
            <color theme="1"/>
            <rFont val="Calibri"/>
            <family val="2"/>
            <scheme val="minor"/>
          </rPr>
          <t>Introduzca el código SNIP</t>
        </r>
      </text>
    </comment>
    <comment ref="C5247" authorId="1" shapeId="0" xr:uid="{00000000-0006-0000-0100-0000B5140000}">
      <text>
        <r>
          <rPr>
            <sz val="11"/>
            <color theme="1"/>
            <rFont val="Calibri"/>
            <family val="2"/>
            <scheme val="minor"/>
          </rPr>
          <t>Introduzca la fecha de inicio del proceso, en formato dd-mm-aaaa</t>
        </r>
      </text>
    </comment>
    <comment ref="F5247" authorId="1" shapeId="0" xr:uid="{00000000-0006-0000-0100-0000B71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48" authorId="1" shapeId="0" xr:uid="{00000000-0006-0000-0100-0000B8140000}">
      <text/>
    </comment>
    <comment ref="C5249" authorId="1" shapeId="0" xr:uid="{00000000-0006-0000-0100-0000B6140000}">
      <text>
        <r>
          <rPr>
            <sz val="11"/>
            <color theme="1"/>
            <rFont val="Calibri"/>
            <family val="2"/>
            <scheme val="minor"/>
          </rPr>
          <t>Introduzca la fecha prevista de adjudicación, en formato dd-mm-aaaa</t>
        </r>
      </text>
    </comment>
    <comment ref="F5249" authorId="1" shapeId="0" xr:uid="{00000000-0006-0000-0100-0000B9140000}">
      <text/>
    </comment>
    <comment ref="F5250" authorId="1" shapeId="0" xr:uid="{00000000-0006-0000-0100-0000BA140000}">
      <text/>
    </comment>
    <comment ref="A5252" authorId="1" shapeId="0" xr:uid="{00000000-0006-0000-0100-0000BB140000}">
      <text>
        <r>
          <rPr>
            <sz val="11"/>
            <color theme="1"/>
            <rFont val="Calibri"/>
            <family val="2"/>
            <scheme val="minor"/>
          </rPr>
          <t>Introduzca un codigo UNSPSC</t>
        </r>
      </text>
    </comment>
    <comment ref="B5252" authorId="1" shapeId="0" xr:uid="{00000000-0006-0000-0100-0000BC140000}">
      <text>
        <r>
          <rPr>
            <sz val="11"/>
            <color theme="1"/>
            <rFont val="Calibri"/>
            <family val="2"/>
            <scheme val="minor"/>
          </rPr>
          <t>Descripción calculada automáticamente a partir de código del artículo</t>
        </r>
      </text>
    </comment>
    <comment ref="C5252" authorId="1" shapeId="0" xr:uid="{00000000-0006-0000-0100-0000BD140000}">
      <text>
        <r>
          <rPr>
            <sz val="11"/>
            <color theme="1"/>
            <rFont val="Calibri"/>
            <family val="2"/>
            <scheme val="minor"/>
          </rPr>
          <t>Seleccione un valor de la lista</t>
        </r>
      </text>
    </comment>
    <comment ref="D5252" authorId="1" shapeId="0" xr:uid="{00000000-0006-0000-0100-0000BE140000}">
      <text>
        <r>
          <rPr>
            <sz val="11"/>
            <color theme="1"/>
            <rFont val="Calibri"/>
            <family val="2"/>
            <scheme val="minor"/>
          </rPr>
          <t>Introduzca un número con dos decimales como máximo. Debe ser igual o mayor a la "Cantidad Real Consumida"</t>
        </r>
      </text>
    </comment>
    <comment ref="E5252" authorId="1" shapeId="0" xr:uid="{00000000-0006-0000-0100-0000BF140000}">
      <text>
        <r>
          <rPr>
            <sz val="11"/>
            <color theme="1"/>
            <rFont val="Calibri"/>
            <family val="2"/>
            <scheme val="minor"/>
          </rPr>
          <t>Introduzca un número con dos decimales como máximo</t>
        </r>
      </text>
    </comment>
    <comment ref="F5252" authorId="1" shapeId="0" xr:uid="{00000000-0006-0000-0100-0000C0140000}">
      <text>
        <r>
          <rPr>
            <sz val="11"/>
            <color theme="1"/>
            <rFont val="Calibri"/>
            <family val="2"/>
            <scheme val="minor"/>
          </rPr>
          <t>Monto calculado automáticamente por el sistema</t>
        </r>
      </text>
    </comment>
    <comment ref="A5277" authorId="1" shapeId="0" xr:uid="{00000000-0006-0000-0100-0000C1140000}">
      <text>
        <r>
          <rPr>
            <sz val="11"/>
            <color theme="1"/>
            <rFont val="Calibri"/>
            <family val="2"/>
            <scheme val="minor"/>
          </rPr>
          <t>Introducir un texto con el nombre o referencia de la contratación</t>
        </r>
      </text>
    </comment>
    <comment ref="B5277" authorId="1" shapeId="0" xr:uid="{00000000-0006-0000-0100-0000C2140000}">
      <text>
        <r>
          <rPr>
            <sz val="11"/>
            <color theme="1"/>
            <rFont val="Calibri"/>
            <family val="2"/>
            <scheme val="minor"/>
          </rPr>
          <t>Introduzca un texto con la finalidad de la contratación</t>
        </r>
      </text>
    </comment>
    <comment ref="C5277" authorId="1" shapeId="0" xr:uid="{00000000-0006-0000-0100-0000C3140000}">
      <text>
        <r>
          <rPr>
            <sz val="11"/>
            <color theme="1"/>
            <rFont val="Calibri"/>
            <family val="2"/>
            <scheme val="minor"/>
          </rPr>
          <t>Seleccionar un valor del listado</t>
        </r>
      </text>
    </comment>
    <comment ref="D5277" authorId="1" shapeId="0" xr:uid="{00000000-0006-0000-0100-0000C4140000}">
      <text>
        <r>
          <rPr>
            <sz val="11"/>
            <color theme="1"/>
            <rFont val="Calibri"/>
            <family val="2"/>
            <scheme val="minor"/>
          </rPr>
          <t>Seleccione el tipo de procedimiento</t>
        </r>
      </text>
    </comment>
    <comment ref="E5277" authorId="1" shapeId="0" xr:uid="{00000000-0006-0000-0100-0000C5140000}">
      <text>
        <r>
          <rPr>
            <sz val="11"/>
            <color theme="1"/>
            <rFont val="Calibri"/>
            <family val="2"/>
            <scheme val="minor"/>
          </rPr>
          <t>Seleccione un valor de la lista</t>
        </r>
      </text>
    </comment>
    <comment ref="F5277" authorId="1" shapeId="0" xr:uid="{00000000-0006-0000-0100-0000C6140000}">
      <text>
        <r>
          <rPr>
            <sz val="11"/>
            <color theme="1"/>
            <rFont val="Calibri"/>
            <family val="2"/>
            <scheme val="minor"/>
          </rPr>
          <t>Introduzca el código SNIP</t>
        </r>
      </text>
    </comment>
    <comment ref="C5278" authorId="1" shapeId="0" xr:uid="{00000000-0006-0000-0100-0000C7140000}">
      <text>
        <r>
          <rPr>
            <sz val="11"/>
            <color theme="1"/>
            <rFont val="Calibri"/>
            <family val="2"/>
            <scheme val="minor"/>
          </rPr>
          <t>Introduzca la fecha de inicio del proceso, en formato dd-mm-aaaa</t>
        </r>
      </text>
    </comment>
    <comment ref="F5278" authorId="1" shapeId="0" xr:uid="{00000000-0006-0000-0100-0000C91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79" authorId="1" shapeId="0" xr:uid="{00000000-0006-0000-0100-0000CA140000}">
      <text/>
    </comment>
    <comment ref="C5280" authorId="1" shapeId="0" xr:uid="{00000000-0006-0000-0100-0000C8140000}">
      <text>
        <r>
          <rPr>
            <sz val="11"/>
            <color theme="1"/>
            <rFont val="Calibri"/>
            <family val="2"/>
            <scheme val="minor"/>
          </rPr>
          <t>Introduzca la fecha prevista de adjudicación, en formato dd-mm-aaaa</t>
        </r>
      </text>
    </comment>
    <comment ref="F5280" authorId="1" shapeId="0" xr:uid="{00000000-0006-0000-0100-0000CB140000}">
      <text/>
    </comment>
    <comment ref="F5281" authorId="1" shapeId="0" xr:uid="{00000000-0006-0000-0100-0000CC140000}">
      <text/>
    </comment>
    <comment ref="A5283" authorId="1" shapeId="0" xr:uid="{00000000-0006-0000-0100-0000CD140000}">
      <text>
        <r>
          <rPr>
            <sz val="11"/>
            <color theme="1"/>
            <rFont val="Calibri"/>
            <family val="2"/>
            <scheme val="minor"/>
          </rPr>
          <t>Introduzca un codigo UNSPSC</t>
        </r>
      </text>
    </comment>
    <comment ref="B5283" authorId="1" shapeId="0" xr:uid="{00000000-0006-0000-0100-0000CE140000}">
      <text>
        <r>
          <rPr>
            <sz val="11"/>
            <color theme="1"/>
            <rFont val="Calibri"/>
            <family val="2"/>
            <scheme val="minor"/>
          </rPr>
          <t>Descripción calculada automáticamente a partir de código del artículo</t>
        </r>
      </text>
    </comment>
    <comment ref="C5283" authorId="1" shapeId="0" xr:uid="{00000000-0006-0000-0100-0000CF140000}">
      <text>
        <r>
          <rPr>
            <sz val="11"/>
            <color theme="1"/>
            <rFont val="Calibri"/>
            <family val="2"/>
            <scheme val="minor"/>
          </rPr>
          <t>Seleccione un valor de la lista</t>
        </r>
      </text>
    </comment>
    <comment ref="D5283" authorId="1" shapeId="0" xr:uid="{00000000-0006-0000-0100-0000D0140000}">
      <text>
        <r>
          <rPr>
            <sz val="11"/>
            <color theme="1"/>
            <rFont val="Calibri"/>
            <family val="2"/>
            <scheme val="minor"/>
          </rPr>
          <t>Introduzca un número con dos decimales como máximo. Debe ser igual o mayor a la "Cantidad Real Consumida"</t>
        </r>
      </text>
    </comment>
    <comment ref="E5283" authorId="1" shapeId="0" xr:uid="{00000000-0006-0000-0100-0000D1140000}">
      <text>
        <r>
          <rPr>
            <sz val="11"/>
            <color theme="1"/>
            <rFont val="Calibri"/>
            <family val="2"/>
            <scheme val="minor"/>
          </rPr>
          <t>Introduzca un número con dos decimales como máximo</t>
        </r>
      </text>
    </comment>
    <comment ref="F5283" authorId="1" shapeId="0" xr:uid="{00000000-0006-0000-0100-0000D2140000}">
      <text>
        <r>
          <rPr>
            <sz val="11"/>
            <color theme="1"/>
            <rFont val="Calibri"/>
            <family val="2"/>
            <scheme val="minor"/>
          </rPr>
          <t>Monto calculado automáticamente por el sistema</t>
        </r>
      </text>
    </comment>
    <comment ref="A5304" authorId="1" shapeId="0" xr:uid="{00000000-0006-0000-0100-0000D3140000}">
      <text>
        <r>
          <rPr>
            <sz val="11"/>
            <color theme="1"/>
            <rFont val="Calibri"/>
            <family val="2"/>
            <scheme val="minor"/>
          </rPr>
          <t>Introducir un texto con el nombre o referencia de la contratación</t>
        </r>
      </text>
    </comment>
    <comment ref="B5304" authorId="1" shapeId="0" xr:uid="{00000000-0006-0000-0100-0000D4140000}">
      <text>
        <r>
          <rPr>
            <sz val="11"/>
            <color theme="1"/>
            <rFont val="Calibri"/>
            <family val="2"/>
            <scheme val="minor"/>
          </rPr>
          <t>Introduzca un texto con la finalidad de la contratación</t>
        </r>
      </text>
    </comment>
    <comment ref="C5304" authorId="1" shapeId="0" xr:uid="{00000000-0006-0000-0100-0000D5140000}">
      <text>
        <r>
          <rPr>
            <sz val="11"/>
            <color theme="1"/>
            <rFont val="Calibri"/>
            <family val="2"/>
            <scheme val="minor"/>
          </rPr>
          <t>Seleccionar un valor del listado</t>
        </r>
      </text>
    </comment>
    <comment ref="D5304" authorId="1" shapeId="0" xr:uid="{00000000-0006-0000-0100-0000D6140000}">
      <text>
        <r>
          <rPr>
            <sz val="11"/>
            <color theme="1"/>
            <rFont val="Calibri"/>
            <family val="2"/>
            <scheme val="minor"/>
          </rPr>
          <t>Seleccione el tipo de procedimiento</t>
        </r>
      </text>
    </comment>
    <comment ref="E5304" authorId="1" shapeId="0" xr:uid="{00000000-0006-0000-0100-0000D7140000}">
      <text>
        <r>
          <rPr>
            <sz val="11"/>
            <color theme="1"/>
            <rFont val="Calibri"/>
            <family val="2"/>
            <scheme val="minor"/>
          </rPr>
          <t>Seleccione un valor de la lista</t>
        </r>
      </text>
    </comment>
    <comment ref="F5304" authorId="1" shapeId="0" xr:uid="{00000000-0006-0000-0100-0000D8140000}">
      <text>
        <r>
          <rPr>
            <sz val="11"/>
            <color theme="1"/>
            <rFont val="Calibri"/>
            <family val="2"/>
            <scheme val="minor"/>
          </rPr>
          <t>Introduzca el código SNIP</t>
        </r>
      </text>
    </comment>
    <comment ref="C5305" authorId="1" shapeId="0" xr:uid="{00000000-0006-0000-0100-0000D9140000}">
      <text>
        <r>
          <rPr>
            <sz val="11"/>
            <color theme="1"/>
            <rFont val="Calibri"/>
            <family val="2"/>
            <scheme val="minor"/>
          </rPr>
          <t>Introduzca la fecha de inicio del proceso, en formato dd-mm-aaaa</t>
        </r>
      </text>
    </comment>
    <comment ref="F5305" authorId="1" shapeId="0" xr:uid="{00000000-0006-0000-0100-0000DB1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06" authorId="1" shapeId="0" xr:uid="{00000000-0006-0000-0100-0000DC140000}">
      <text/>
    </comment>
    <comment ref="C5307" authorId="1" shapeId="0" xr:uid="{00000000-0006-0000-0100-0000DA140000}">
      <text>
        <r>
          <rPr>
            <sz val="11"/>
            <color theme="1"/>
            <rFont val="Calibri"/>
            <family val="2"/>
            <scheme val="minor"/>
          </rPr>
          <t>Introduzca la fecha prevista de adjudicación, en formato dd-mm-aaaa</t>
        </r>
      </text>
    </comment>
    <comment ref="F5307" authorId="1" shapeId="0" xr:uid="{00000000-0006-0000-0100-0000DD140000}">
      <text/>
    </comment>
    <comment ref="F5308" authorId="1" shapeId="0" xr:uid="{00000000-0006-0000-0100-0000DE140000}">
      <text/>
    </comment>
    <comment ref="A5310" authorId="1" shapeId="0" xr:uid="{00000000-0006-0000-0100-0000DF140000}">
      <text>
        <r>
          <rPr>
            <sz val="11"/>
            <color theme="1"/>
            <rFont val="Calibri"/>
            <family val="2"/>
            <scheme val="minor"/>
          </rPr>
          <t>Introduzca un codigo UNSPSC</t>
        </r>
      </text>
    </comment>
    <comment ref="B5310" authorId="1" shapeId="0" xr:uid="{00000000-0006-0000-0100-0000E0140000}">
      <text>
        <r>
          <rPr>
            <sz val="11"/>
            <color theme="1"/>
            <rFont val="Calibri"/>
            <family val="2"/>
            <scheme val="minor"/>
          </rPr>
          <t>Descripción calculada automáticamente a partir de código del artículo</t>
        </r>
      </text>
    </comment>
    <comment ref="C5310" authorId="1" shapeId="0" xr:uid="{00000000-0006-0000-0100-0000E1140000}">
      <text>
        <r>
          <rPr>
            <sz val="11"/>
            <color theme="1"/>
            <rFont val="Calibri"/>
            <family val="2"/>
            <scheme val="minor"/>
          </rPr>
          <t>Seleccione un valor de la lista</t>
        </r>
      </text>
    </comment>
    <comment ref="D5310" authorId="1" shapeId="0" xr:uid="{00000000-0006-0000-0100-0000E2140000}">
      <text>
        <r>
          <rPr>
            <sz val="11"/>
            <color theme="1"/>
            <rFont val="Calibri"/>
            <family val="2"/>
            <scheme val="minor"/>
          </rPr>
          <t>Introduzca un número con dos decimales como máximo. Debe ser igual o mayor a la "Cantidad Real Consumida"</t>
        </r>
      </text>
    </comment>
    <comment ref="E5310" authorId="1" shapeId="0" xr:uid="{00000000-0006-0000-0100-0000E3140000}">
      <text>
        <r>
          <rPr>
            <sz val="11"/>
            <color theme="1"/>
            <rFont val="Calibri"/>
            <family val="2"/>
            <scheme val="minor"/>
          </rPr>
          <t>Introduzca un número con dos decimales como máximo</t>
        </r>
      </text>
    </comment>
    <comment ref="F5310" authorId="1" shapeId="0" xr:uid="{00000000-0006-0000-0100-0000E4140000}">
      <text>
        <r>
          <rPr>
            <sz val="11"/>
            <color theme="1"/>
            <rFont val="Calibri"/>
            <family val="2"/>
            <scheme val="minor"/>
          </rPr>
          <t>Monto calculado automáticamente por el sistema</t>
        </r>
      </text>
    </comment>
    <comment ref="A5334" authorId="1" shapeId="0" xr:uid="{00000000-0006-0000-0100-0000E5140000}">
      <text>
        <r>
          <rPr>
            <sz val="11"/>
            <color theme="1"/>
            <rFont val="Calibri"/>
            <family val="2"/>
            <scheme val="minor"/>
          </rPr>
          <t>Introducir un texto con el nombre o referencia de la contratación</t>
        </r>
      </text>
    </comment>
    <comment ref="B5334" authorId="1" shapeId="0" xr:uid="{00000000-0006-0000-0100-0000E6140000}">
      <text>
        <r>
          <rPr>
            <sz val="11"/>
            <color theme="1"/>
            <rFont val="Calibri"/>
            <family val="2"/>
            <scheme val="minor"/>
          </rPr>
          <t>Introduzca un texto con la finalidad de la contratación</t>
        </r>
      </text>
    </comment>
    <comment ref="C5334" authorId="1" shapeId="0" xr:uid="{00000000-0006-0000-0100-0000E7140000}">
      <text>
        <r>
          <rPr>
            <sz val="11"/>
            <color theme="1"/>
            <rFont val="Calibri"/>
            <family val="2"/>
            <scheme val="minor"/>
          </rPr>
          <t>Seleccionar un valor del listado</t>
        </r>
      </text>
    </comment>
    <comment ref="D5334" authorId="1" shapeId="0" xr:uid="{00000000-0006-0000-0100-0000E8140000}">
      <text>
        <r>
          <rPr>
            <sz val="11"/>
            <color theme="1"/>
            <rFont val="Calibri"/>
            <family val="2"/>
            <scheme val="minor"/>
          </rPr>
          <t>Seleccione el tipo de procedimiento</t>
        </r>
      </text>
    </comment>
    <comment ref="E5334" authorId="1" shapeId="0" xr:uid="{00000000-0006-0000-0100-0000E9140000}">
      <text>
        <r>
          <rPr>
            <sz val="11"/>
            <color theme="1"/>
            <rFont val="Calibri"/>
            <family val="2"/>
            <scheme val="minor"/>
          </rPr>
          <t>Seleccione un valor de la lista</t>
        </r>
      </text>
    </comment>
    <comment ref="F5334" authorId="1" shapeId="0" xr:uid="{00000000-0006-0000-0100-0000EA140000}">
      <text>
        <r>
          <rPr>
            <sz val="11"/>
            <color theme="1"/>
            <rFont val="Calibri"/>
            <family val="2"/>
            <scheme val="minor"/>
          </rPr>
          <t>Introduzca el código SNIP</t>
        </r>
      </text>
    </comment>
    <comment ref="C5335" authorId="1" shapeId="0" xr:uid="{00000000-0006-0000-0100-0000EB140000}">
      <text>
        <r>
          <rPr>
            <sz val="11"/>
            <color theme="1"/>
            <rFont val="Calibri"/>
            <family val="2"/>
            <scheme val="minor"/>
          </rPr>
          <t>Introduzca la fecha de inicio del proceso, en formato dd-mm-aaaa</t>
        </r>
      </text>
    </comment>
    <comment ref="F5335" authorId="1" shapeId="0" xr:uid="{00000000-0006-0000-0100-0000ED1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36" authorId="1" shapeId="0" xr:uid="{00000000-0006-0000-0100-0000EE140000}">
      <text/>
    </comment>
    <comment ref="C5337" authorId="1" shapeId="0" xr:uid="{00000000-0006-0000-0100-0000EC140000}">
      <text>
        <r>
          <rPr>
            <sz val="11"/>
            <color theme="1"/>
            <rFont val="Calibri"/>
            <family val="2"/>
            <scheme val="minor"/>
          </rPr>
          <t>Introduzca la fecha prevista de adjudicación, en formato dd-mm-aaaa</t>
        </r>
      </text>
    </comment>
    <comment ref="F5337" authorId="1" shapeId="0" xr:uid="{00000000-0006-0000-0100-0000EF140000}">
      <text/>
    </comment>
    <comment ref="F5338" authorId="1" shapeId="0" xr:uid="{00000000-0006-0000-0100-0000F0140000}">
      <text/>
    </comment>
    <comment ref="A5340" authorId="1" shapeId="0" xr:uid="{00000000-0006-0000-0100-0000F1140000}">
      <text>
        <r>
          <rPr>
            <sz val="11"/>
            <color theme="1"/>
            <rFont val="Calibri"/>
            <family val="2"/>
            <scheme val="minor"/>
          </rPr>
          <t>Introduzca un codigo UNSPSC</t>
        </r>
      </text>
    </comment>
    <comment ref="B5340" authorId="1" shapeId="0" xr:uid="{00000000-0006-0000-0100-0000F2140000}">
      <text>
        <r>
          <rPr>
            <sz val="11"/>
            <color theme="1"/>
            <rFont val="Calibri"/>
            <family val="2"/>
            <scheme val="minor"/>
          </rPr>
          <t>Descripción calculada automáticamente a partir de código del artículo</t>
        </r>
      </text>
    </comment>
    <comment ref="C5340" authorId="1" shapeId="0" xr:uid="{00000000-0006-0000-0100-0000F3140000}">
      <text>
        <r>
          <rPr>
            <sz val="11"/>
            <color theme="1"/>
            <rFont val="Calibri"/>
            <family val="2"/>
            <scheme val="minor"/>
          </rPr>
          <t>Seleccione un valor de la lista</t>
        </r>
      </text>
    </comment>
    <comment ref="D5340" authorId="1" shapeId="0" xr:uid="{00000000-0006-0000-0100-0000F4140000}">
      <text>
        <r>
          <rPr>
            <sz val="11"/>
            <color theme="1"/>
            <rFont val="Calibri"/>
            <family val="2"/>
            <scheme val="minor"/>
          </rPr>
          <t>Introduzca un número con dos decimales como máximo. Debe ser igual o mayor a la "Cantidad Real Consumida"</t>
        </r>
      </text>
    </comment>
    <comment ref="E5340" authorId="1" shapeId="0" xr:uid="{00000000-0006-0000-0100-0000F5140000}">
      <text>
        <r>
          <rPr>
            <sz val="11"/>
            <color theme="1"/>
            <rFont val="Calibri"/>
            <family val="2"/>
            <scheme val="minor"/>
          </rPr>
          <t>Introduzca un número con dos decimales como máximo</t>
        </r>
      </text>
    </comment>
    <comment ref="F5340" authorId="1" shapeId="0" xr:uid="{00000000-0006-0000-0100-0000F6140000}">
      <text>
        <r>
          <rPr>
            <sz val="11"/>
            <color theme="1"/>
            <rFont val="Calibri"/>
            <family val="2"/>
            <scheme val="minor"/>
          </rPr>
          <t>Monto calculado automáticamente por el sistema</t>
        </r>
      </text>
    </comment>
    <comment ref="A5360" authorId="1" shapeId="0" xr:uid="{00000000-0006-0000-0100-0000F7140000}">
      <text>
        <r>
          <rPr>
            <sz val="11"/>
            <color theme="1"/>
            <rFont val="Calibri"/>
            <family val="2"/>
            <scheme val="minor"/>
          </rPr>
          <t>Introducir un texto con el nombre o referencia de la contratación</t>
        </r>
      </text>
    </comment>
    <comment ref="B5360" authorId="1" shapeId="0" xr:uid="{00000000-0006-0000-0100-0000F8140000}">
      <text>
        <r>
          <rPr>
            <sz val="11"/>
            <color theme="1"/>
            <rFont val="Calibri"/>
            <family val="2"/>
            <scheme val="minor"/>
          </rPr>
          <t>Introduzca un texto con la finalidad de la contratación</t>
        </r>
      </text>
    </comment>
    <comment ref="C5360" authorId="1" shapeId="0" xr:uid="{00000000-0006-0000-0100-0000F9140000}">
      <text>
        <r>
          <rPr>
            <sz val="11"/>
            <color theme="1"/>
            <rFont val="Calibri"/>
            <family val="2"/>
            <scheme val="minor"/>
          </rPr>
          <t>Seleccionar un valor del listado</t>
        </r>
      </text>
    </comment>
    <comment ref="D5360" authorId="1" shapeId="0" xr:uid="{00000000-0006-0000-0100-0000FA140000}">
      <text>
        <r>
          <rPr>
            <sz val="11"/>
            <color theme="1"/>
            <rFont val="Calibri"/>
            <family val="2"/>
            <scheme val="minor"/>
          </rPr>
          <t>Seleccione el tipo de procedimiento</t>
        </r>
      </text>
    </comment>
    <comment ref="E5360" authorId="1" shapeId="0" xr:uid="{00000000-0006-0000-0100-0000FB140000}">
      <text>
        <r>
          <rPr>
            <sz val="11"/>
            <color theme="1"/>
            <rFont val="Calibri"/>
            <family val="2"/>
            <scheme val="minor"/>
          </rPr>
          <t>Seleccione un valor de la lista</t>
        </r>
      </text>
    </comment>
    <comment ref="F5360" authorId="1" shapeId="0" xr:uid="{00000000-0006-0000-0100-0000FC140000}">
      <text>
        <r>
          <rPr>
            <sz val="11"/>
            <color theme="1"/>
            <rFont val="Calibri"/>
            <family val="2"/>
            <scheme val="minor"/>
          </rPr>
          <t>Introduzca el código SNIP</t>
        </r>
      </text>
    </comment>
    <comment ref="C5361" authorId="1" shapeId="0" xr:uid="{00000000-0006-0000-0100-0000FD140000}">
      <text>
        <r>
          <rPr>
            <sz val="11"/>
            <color theme="1"/>
            <rFont val="Calibri"/>
            <family val="2"/>
            <scheme val="minor"/>
          </rPr>
          <t>Introduzca la fecha de inicio del proceso, en formato dd-mm-aaaa</t>
        </r>
      </text>
    </comment>
    <comment ref="F5361" authorId="1" shapeId="0" xr:uid="{00000000-0006-0000-0100-0000FF1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62" authorId="1" shapeId="0" xr:uid="{00000000-0006-0000-0100-000000150000}">
      <text/>
    </comment>
    <comment ref="C5363" authorId="1" shapeId="0" xr:uid="{00000000-0006-0000-0100-0000FE140000}">
      <text>
        <r>
          <rPr>
            <sz val="11"/>
            <color theme="1"/>
            <rFont val="Calibri"/>
            <family val="2"/>
            <scheme val="minor"/>
          </rPr>
          <t>Introduzca la fecha prevista de adjudicación, en formato dd-mm-aaaa</t>
        </r>
      </text>
    </comment>
    <comment ref="F5363" authorId="1" shapeId="0" xr:uid="{00000000-0006-0000-0100-000001150000}">
      <text/>
    </comment>
    <comment ref="F5364" authorId="1" shapeId="0" xr:uid="{00000000-0006-0000-0100-000002150000}">
      <text/>
    </comment>
    <comment ref="A5366" authorId="1" shapeId="0" xr:uid="{00000000-0006-0000-0100-000003150000}">
      <text>
        <r>
          <rPr>
            <sz val="11"/>
            <color theme="1"/>
            <rFont val="Calibri"/>
            <family val="2"/>
            <scheme val="minor"/>
          </rPr>
          <t>Introduzca un codigo UNSPSC</t>
        </r>
      </text>
    </comment>
    <comment ref="B5366" authorId="1" shapeId="0" xr:uid="{00000000-0006-0000-0100-000004150000}">
      <text>
        <r>
          <rPr>
            <sz val="11"/>
            <color theme="1"/>
            <rFont val="Calibri"/>
            <family val="2"/>
            <scheme val="minor"/>
          </rPr>
          <t>Descripción calculada automáticamente a partir de código del artículo</t>
        </r>
      </text>
    </comment>
    <comment ref="C5366" authorId="1" shapeId="0" xr:uid="{00000000-0006-0000-0100-000005150000}">
      <text>
        <r>
          <rPr>
            <sz val="11"/>
            <color theme="1"/>
            <rFont val="Calibri"/>
            <family val="2"/>
            <scheme val="minor"/>
          </rPr>
          <t>Seleccione un valor de la lista</t>
        </r>
      </text>
    </comment>
    <comment ref="D5366" authorId="1" shapeId="0" xr:uid="{00000000-0006-0000-0100-000006150000}">
      <text>
        <r>
          <rPr>
            <sz val="11"/>
            <color theme="1"/>
            <rFont val="Calibri"/>
            <family val="2"/>
            <scheme val="minor"/>
          </rPr>
          <t>Introduzca un número con dos decimales como máximo. Debe ser igual o mayor a la "Cantidad Real Consumida"</t>
        </r>
      </text>
    </comment>
    <comment ref="E5366" authorId="1" shapeId="0" xr:uid="{00000000-0006-0000-0100-000007150000}">
      <text>
        <r>
          <rPr>
            <sz val="11"/>
            <color theme="1"/>
            <rFont val="Calibri"/>
            <family val="2"/>
            <scheme val="minor"/>
          </rPr>
          <t>Introduzca un número con dos decimales como máximo</t>
        </r>
      </text>
    </comment>
    <comment ref="F5366" authorId="1" shapeId="0" xr:uid="{00000000-0006-0000-0100-000008150000}">
      <text>
        <r>
          <rPr>
            <sz val="11"/>
            <color theme="1"/>
            <rFont val="Calibri"/>
            <family val="2"/>
            <scheme val="minor"/>
          </rPr>
          <t>Monto calculado automáticamente por el sistema</t>
        </r>
      </text>
    </comment>
    <comment ref="A5373" authorId="1" shapeId="0" xr:uid="{00000000-0006-0000-0100-000009150000}">
      <text>
        <r>
          <rPr>
            <sz val="11"/>
            <color theme="1"/>
            <rFont val="Calibri"/>
            <family val="2"/>
            <scheme val="minor"/>
          </rPr>
          <t>Introducir un texto con el nombre o referencia de la contratación</t>
        </r>
      </text>
    </comment>
    <comment ref="B5373" authorId="1" shapeId="0" xr:uid="{00000000-0006-0000-0100-00000A150000}">
      <text>
        <r>
          <rPr>
            <sz val="11"/>
            <color theme="1"/>
            <rFont val="Calibri"/>
            <family val="2"/>
            <scheme val="minor"/>
          </rPr>
          <t>Introduzca un texto con la finalidad de la contratación</t>
        </r>
      </text>
    </comment>
    <comment ref="C5373" authorId="1" shapeId="0" xr:uid="{00000000-0006-0000-0100-00000B150000}">
      <text>
        <r>
          <rPr>
            <sz val="11"/>
            <color theme="1"/>
            <rFont val="Calibri"/>
            <family val="2"/>
            <scheme val="minor"/>
          </rPr>
          <t>Seleccionar un valor del listado</t>
        </r>
      </text>
    </comment>
    <comment ref="D5373" authorId="1" shapeId="0" xr:uid="{00000000-0006-0000-0100-00000C150000}">
      <text>
        <r>
          <rPr>
            <sz val="11"/>
            <color theme="1"/>
            <rFont val="Calibri"/>
            <family val="2"/>
            <scheme val="minor"/>
          </rPr>
          <t>Seleccione el tipo de procedimiento</t>
        </r>
      </text>
    </comment>
    <comment ref="E5373" authorId="1" shapeId="0" xr:uid="{00000000-0006-0000-0100-00000D150000}">
      <text>
        <r>
          <rPr>
            <sz val="11"/>
            <color theme="1"/>
            <rFont val="Calibri"/>
            <family val="2"/>
            <scheme val="minor"/>
          </rPr>
          <t>Seleccione un valor de la lista</t>
        </r>
      </text>
    </comment>
    <comment ref="F5373" authorId="1" shapeId="0" xr:uid="{00000000-0006-0000-0100-00000E150000}">
      <text>
        <r>
          <rPr>
            <sz val="11"/>
            <color theme="1"/>
            <rFont val="Calibri"/>
            <family val="2"/>
            <scheme val="minor"/>
          </rPr>
          <t>Introduzca el código SNIP</t>
        </r>
      </text>
    </comment>
    <comment ref="C5374" authorId="1" shapeId="0" xr:uid="{00000000-0006-0000-0100-00000F150000}">
      <text>
        <r>
          <rPr>
            <sz val="11"/>
            <color theme="1"/>
            <rFont val="Calibri"/>
            <family val="2"/>
            <scheme val="minor"/>
          </rPr>
          <t>Introduzca la fecha de inicio del proceso, en formato dd-mm-aaaa</t>
        </r>
      </text>
    </comment>
    <comment ref="F5374" authorId="1" shapeId="0" xr:uid="{00000000-0006-0000-0100-0000111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75" authorId="1" shapeId="0" xr:uid="{00000000-0006-0000-0100-000012150000}">
      <text/>
    </comment>
    <comment ref="C5376" authorId="1" shapeId="0" xr:uid="{00000000-0006-0000-0100-000010150000}">
      <text>
        <r>
          <rPr>
            <sz val="11"/>
            <color theme="1"/>
            <rFont val="Calibri"/>
            <family val="2"/>
            <scheme val="minor"/>
          </rPr>
          <t>Introduzca la fecha prevista de adjudicación, en formato dd-mm-aaaa</t>
        </r>
      </text>
    </comment>
    <comment ref="F5376" authorId="1" shapeId="0" xr:uid="{00000000-0006-0000-0100-000013150000}">
      <text/>
    </comment>
    <comment ref="F5377" authorId="1" shapeId="0" xr:uid="{00000000-0006-0000-0100-000014150000}">
      <text/>
    </comment>
    <comment ref="A5379" authorId="1" shapeId="0" xr:uid="{00000000-0006-0000-0100-000015150000}">
      <text>
        <r>
          <rPr>
            <sz val="11"/>
            <color theme="1"/>
            <rFont val="Calibri"/>
            <family val="2"/>
            <scheme val="minor"/>
          </rPr>
          <t>Introduzca un codigo UNSPSC</t>
        </r>
      </text>
    </comment>
    <comment ref="B5379" authorId="1" shapeId="0" xr:uid="{00000000-0006-0000-0100-000016150000}">
      <text>
        <r>
          <rPr>
            <sz val="11"/>
            <color theme="1"/>
            <rFont val="Calibri"/>
            <family val="2"/>
            <scheme val="minor"/>
          </rPr>
          <t>Descripción calculada automáticamente a partir de código del artículo</t>
        </r>
      </text>
    </comment>
    <comment ref="C5379" authorId="1" shapeId="0" xr:uid="{00000000-0006-0000-0100-000017150000}">
      <text>
        <r>
          <rPr>
            <sz val="11"/>
            <color theme="1"/>
            <rFont val="Calibri"/>
            <family val="2"/>
            <scheme val="minor"/>
          </rPr>
          <t>Seleccione un valor de la lista</t>
        </r>
      </text>
    </comment>
    <comment ref="D5379" authorId="1" shapeId="0" xr:uid="{00000000-0006-0000-0100-000018150000}">
      <text>
        <r>
          <rPr>
            <sz val="11"/>
            <color theme="1"/>
            <rFont val="Calibri"/>
            <family val="2"/>
            <scheme val="minor"/>
          </rPr>
          <t>Introduzca un número con dos decimales como máximo. Debe ser igual o mayor a la "Cantidad Real Consumida"</t>
        </r>
      </text>
    </comment>
    <comment ref="E5379" authorId="1" shapeId="0" xr:uid="{00000000-0006-0000-0100-000019150000}">
      <text>
        <r>
          <rPr>
            <sz val="11"/>
            <color theme="1"/>
            <rFont val="Calibri"/>
            <family val="2"/>
            <scheme val="minor"/>
          </rPr>
          <t>Introduzca un número con dos decimales como máximo</t>
        </r>
      </text>
    </comment>
    <comment ref="F5379" authorId="1" shapeId="0" xr:uid="{00000000-0006-0000-0100-00001A150000}">
      <text>
        <r>
          <rPr>
            <sz val="11"/>
            <color theme="1"/>
            <rFont val="Calibri"/>
            <family val="2"/>
            <scheme val="minor"/>
          </rPr>
          <t>Monto calculado automáticamente por el sistema</t>
        </r>
      </text>
    </comment>
    <comment ref="A5391" authorId="1" shapeId="0" xr:uid="{00000000-0006-0000-0100-00001B150000}">
      <text>
        <r>
          <rPr>
            <sz val="11"/>
            <color theme="1"/>
            <rFont val="Calibri"/>
            <family val="2"/>
            <scheme val="minor"/>
          </rPr>
          <t>Introducir un texto con el nombre o referencia de la contratación</t>
        </r>
      </text>
    </comment>
    <comment ref="B5391" authorId="1" shapeId="0" xr:uid="{00000000-0006-0000-0100-00001C150000}">
      <text>
        <r>
          <rPr>
            <sz val="11"/>
            <color theme="1"/>
            <rFont val="Calibri"/>
            <family val="2"/>
            <scheme val="minor"/>
          </rPr>
          <t>Introduzca un texto con la finalidad de la contratación</t>
        </r>
      </text>
    </comment>
    <comment ref="C5391" authorId="1" shapeId="0" xr:uid="{00000000-0006-0000-0100-00001D150000}">
      <text>
        <r>
          <rPr>
            <sz val="11"/>
            <color theme="1"/>
            <rFont val="Calibri"/>
            <family val="2"/>
            <scheme val="minor"/>
          </rPr>
          <t>Seleccionar un valor del listado</t>
        </r>
      </text>
    </comment>
    <comment ref="D5391" authorId="1" shapeId="0" xr:uid="{00000000-0006-0000-0100-00001E150000}">
      <text>
        <r>
          <rPr>
            <sz val="11"/>
            <color theme="1"/>
            <rFont val="Calibri"/>
            <family val="2"/>
            <scheme val="minor"/>
          </rPr>
          <t>Seleccione el tipo de procedimiento</t>
        </r>
      </text>
    </comment>
    <comment ref="E5391" authorId="1" shapeId="0" xr:uid="{00000000-0006-0000-0100-00001F150000}">
      <text>
        <r>
          <rPr>
            <sz val="11"/>
            <color theme="1"/>
            <rFont val="Calibri"/>
            <family val="2"/>
            <scheme val="minor"/>
          </rPr>
          <t>Seleccione un valor de la lista</t>
        </r>
      </text>
    </comment>
    <comment ref="F5391" authorId="1" shapeId="0" xr:uid="{00000000-0006-0000-0100-000020150000}">
      <text>
        <r>
          <rPr>
            <sz val="11"/>
            <color theme="1"/>
            <rFont val="Calibri"/>
            <family val="2"/>
            <scheme val="minor"/>
          </rPr>
          <t>Introduzca el código SNIP</t>
        </r>
      </text>
    </comment>
    <comment ref="C5392" authorId="1" shapeId="0" xr:uid="{00000000-0006-0000-0100-000021150000}">
      <text>
        <r>
          <rPr>
            <sz val="11"/>
            <color theme="1"/>
            <rFont val="Calibri"/>
            <family val="2"/>
            <scheme val="minor"/>
          </rPr>
          <t>Introduzca la fecha de inicio del proceso, en formato dd-mm-aaaa</t>
        </r>
      </text>
    </comment>
    <comment ref="F5392" authorId="1" shapeId="0" xr:uid="{00000000-0006-0000-0100-0000231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93" authorId="1" shapeId="0" xr:uid="{00000000-0006-0000-0100-000024150000}">
      <text/>
    </comment>
    <comment ref="C5394" authorId="1" shapeId="0" xr:uid="{00000000-0006-0000-0100-000022150000}">
      <text>
        <r>
          <rPr>
            <sz val="11"/>
            <color theme="1"/>
            <rFont val="Calibri"/>
            <family val="2"/>
            <scheme val="minor"/>
          </rPr>
          <t>Introduzca la fecha prevista de adjudicación, en formato dd-mm-aaaa</t>
        </r>
      </text>
    </comment>
    <comment ref="F5394" authorId="1" shapeId="0" xr:uid="{00000000-0006-0000-0100-000025150000}">
      <text/>
    </comment>
    <comment ref="F5395" authorId="1" shapeId="0" xr:uid="{00000000-0006-0000-0100-000026150000}">
      <text/>
    </comment>
    <comment ref="A5397" authorId="1" shapeId="0" xr:uid="{00000000-0006-0000-0100-000027150000}">
      <text>
        <r>
          <rPr>
            <sz val="11"/>
            <color theme="1"/>
            <rFont val="Calibri"/>
            <family val="2"/>
            <scheme val="minor"/>
          </rPr>
          <t>Introduzca un codigo UNSPSC</t>
        </r>
      </text>
    </comment>
    <comment ref="B5397" authorId="1" shapeId="0" xr:uid="{00000000-0006-0000-0100-000028150000}">
      <text>
        <r>
          <rPr>
            <sz val="11"/>
            <color theme="1"/>
            <rFont val="Calibri"/>
            <family val="2"/>
            <scheme val="minor"/>
          </rPr>
          <t>Descripción calculada automáticamente a partir de código del artículo</t>
        </r>
      </text>
    </comment>
    <comment ref="C5397" authorId="1" shapeId="0" xr:uid="{00000000-0006-0000-0100-000029150000}">
      <text>
        <r>
          <rPr>
            <sz val="11"/>
            <color theme="1"/>
            <rFont val="Calibri"/>
            <family val="2"/>
            <scheme val="minor"/>
          </rPr>
          <t>Seleccione un valor de la lista</t>
        </r>
      </text>
    </comment>
    <comment ref="D5397" authorId="1" shapeId="0" xr:uid="{00000000-0006-0000-0100-00002A150000}">
      <text>
        <r>
          <rPr>
            <sz val="11"/>
            <color theme="1"/>
            <rFont val="Calibri"/>
            <family val="2"/>
            <scheme val="minor"/>
          </rPr>
          <t>Introduzca un número con dos decimales como máximo. Debe ser igual o mayor a la "Cantidad Real Consumida"</t>
        </r>
      </text>
    </comment>
    <comment ref="E5397" authorId="1" shapeId="0" xr:uid="{00000000-0006-0000-0100-00002B150000}">
      <text>
        <r>
          <rPr>
            <sz val="11"/>
            <color theme="1"/>
            <rFont val="Calibri"/>
            <family val="2"/>
            <scheme val="minor"/>
          </rPr>
          <t>Introduzca un número con dos decimales como máximo</t>
        </r>
      </text>
    </comment>
    <comment ref="F5397" authorId="1" shapeId="0" xr:uid="{00000000-0006-0000-0100-00002C150000}">
      <text>
        <r>
          <rPr>
            <sz val="11"/>
            <color theme="1"/>
            <rFont val="Calibri"/>
            <family val="2"/>
            <scheme val="minor"/>
          </rPr>
          <t>Monto calculado automáticamente por el sistema</t>
        </r>
      </text>
    </comment>
    <comment ref="A5405" authorId="1" shapeId="0" xr:uid="{00000000-0006-0000-0100-00002D150000}">
      <text>
        <r>
          <rPr>
            <sz val="11"/>
            <color theme="1"/>
            <rFont val="Calibri"/>
            <family val="2"/>
            <scheme val="minor"/>
          </rPr>
          <t>Introducir un texto con el nombre o referencia de la contratación</t>
        </r>
      </text>
    </comment>
    <comment ref="B5405" authorId="1" shapeId="0" xr:uid="{00000000-0006-0000-0100-00002E150000}">
      <text>
        <r>
          <rPr>
            <sz val="11"/>
            <color theme="1"/>
            <rFont val="Calibri"/>
            <family val="2"/>
            <scheme val="minor"/>
          </rPr>
          <t>Introduzca un texto con la finalidad de la contratación</t>
        </r>
      </text>
    </comment>
    <comment ref="C5405" authorId="1" shapeId="0" xr:uid="{00000000-0006-0000-0100-00002F150000}">
      <text>
        <r>
          <rPr>
            <sz val="11"/>
            <color theme="1"/>
            <rFont val="Calibri"/>
            <family val="2"/>
            <scheme val="minor"/>
          </rPr>
          <t>Seleccionar un valor del listado</t>
        </r>
      </text>
    </comment>
    <comment ref="D5405" authorId="1" shapeId="0" xr:uid="{00000000-0006-0000-0100-000030150000}">
      <text>
        <r>
          <rPr>
            <sz val="11"/>
            <color theme="1"/>
            <rFont val="Calibri"/>
            <family val="2"/>
            <scheme val="minor"/>
          </rPr>
          <t>Seleccione el tipo de procedimiento</t>
        </r>
      </text>
    </comment>
    <comment ref="E5405" authorId="1" shapeId="0" xr:uid="{00000000-0006-0000-0100-000031150000}">
      <text>
        <r>
          <rPr>
            <sz val="11"/>
            <color theme="1"/>
            <rFont val="Calibri"/>
            <family val="2"/>
            <scheme val="minor"/>
          </rPr>
          <t>Seleccione un valor de la lista</t>
        </r>
      </text>
    </comment>
    <comment ref="F5405" authorId="1" shapeId="0" xr:uid="{00000000-0006-0000-0100-000032150000}">
      <text>
        <r>
          <rPr>
            <sz val="11"/>
            <color theme="1"/>
            <rFont val="Calibri"/>
            <family val="2"/>
            <scheme val="minor"/>
          </rPr>
          <t>Introduzca el código SNIP</t>
        </r>
      </text>
    </comment>
    <comment ref="C5406" authorId="1" shapeId="0" xr:uid="{00000000-0006-0000-0100-000033150000}">
      <text>
        <r>
          <rPr>
            <sz val="11"/>
            <color theme="1"/>
            <rFont val="Calibri"/>
            <family val="2"/>
            <scheme val="minor"/>
          </rPr>
          <t>Introduzca la fecha de inicio del proceso, en formato dd-mm-aaaa</t>
        </r>
      </text>
    </comment>
    <comment ref="F5406" authorId="1" shapeId="0" xr:uid="{00000000-0006-0000-0100-0000351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07" authorId="1" shapeId="0" xr:uid="{00000000-0006-0000-0100-000036150000}">
      <text/>
    </comment>
    <comment ref="C5408" authorId="1" shapeId="0" xr:uid="{00000000-0006-0000-0100-000034150000}">
      <text>
        <r>
          <rPr>
            <sz val="11"/>
            <color theme="1"/>
            <rFont val="Calibri"/>
            <family val="2"/>
            <scheme val="minor"/>
          </rPr>
          <t>Introduzca la fecha prevista de adjudicación, en formato dd-mm-aaaa</t>
        </r>
      </text>
    </comment>
    <comment ref="F5408" authorId="1" shapeId="0" xr:uid="{00000000-0006-0000-0100-000037150000}">
      <text/>
    </comment>
    <comment ref="F5409" authorId="1" shapeId="0" xr:uid="{00000000-0006-0000-0100-000038150000}">
      <text/>
    </comment>
    <comment ref="A5411" authorId="1" shapeId="0" xr:uid="{00000000-0006-0000-0100-000039150000}">
      <text>
        <r>
          <rPr>
            <sz val="11"/>
            <color theme="1"/>
            <rFont val="Calibri"/>
            <family val="2"/>
            <scheme val="minor"/>
          </rPr>
          <t>Introduzca un codigo UNSPSC</t>
        </r>
      </text>
    </comment>
    <comment ref="B5411" authorId="1" shapeId="0" xr:uid="{00000000-0006-0000-0100-00003A150000}">
      <text>
        <r>
          <rPr>
            <sz val="11"/>
            <color theme="1"/>
            <rFont val="Calibri"/>
            <family val="2"/>
            <scheme val="minor"/>
          </rPr>
          <t>Descripción calculada automáticamente a partir de código del artículo</t>
        </r>
      </text>
    </comment>
    <comment ref="C5411" authorId="1" shapeId="0" xr:uid="{00000000-0006-0000-0100-00003B150000}">
      <text>
        <r>
          <rPr>
            <sz val="11"/>
            <color theme="1"/>
            <rFont val="Calibri"/>
            <family val="2"/>
            <scheme val="minor"/>
          </rPr>
          <t>Seleccione un valor de la lista</t>
        </r>
      </text>
    </comment>
    <comment ref="D5411" authorId="1" shapeId="0" xr:uid="{00000000-0006-0000-0100-00003C150000}">
      <text>
        <r>
          <rPr>
            <sz val="11"/>
            <color theme="1"/>
            <rFont val="Calibri"/>
            <family val="2"/>
            <scheme val="minor"/>
          </rPr>
          <t>Introduzca un número con dos decimales como máximo. Debe ser igual o mayor a la "Cantidad Real Consumida"</t>
        </r>
      </text>
    </comment>
    <comment ref="E5411" authorId="1" shapeId="0" xr:uid="{00000000-0006-0000-0100-00003D150000}">
      <text>
        <r>
          <rPr>
            <sz val="11"/>
            <color theme="1"/>
            <rFont val="Calibri"/>
            <family val="2"/>
            <scheme val="minor"/>
          </rPr>
          <t>Introduzca un número con dos decimales como máximo</t>
        </r>
      </text>
    </comment>
    <comment ref="F5411" authorId="1" shapeId="0" xr:uid="{00000000-0006-0000-0100-00003E150000}">
      <text>
        <r>
          <rPr>
            <sz val="11"/>
            <color theme="1"/>
            <rFont val="Calibri"/>
            <family val="2"/>
            <scheme val="minor"/>
          </rPr>
          <t>Monto calculado automáticamente por el sistema</t>
        </r>
      </text>
    </comment>
    <comment ref="A5417" authorId="1" shapeId="0" xr:uid="{00000000-0006-0000-0100-00003F150000}">
      <text>
        <r>
          <rPr>
            <sz val="11"/>
            <color theme="1"/>
            <rFont val="Calibri"/>
            <family val="2"/>
            <scheme val="minor"/>
          </rPr>
          <t>Introducir un texto con el nombre o referencia de la contratación</t>
        </r>
      </text>
    </comment>
    <comment ref="B5417" authorId="1" shapeId="0" xr:uid="{00000000-0006-0000-0100-000040150000}">
      <text>
        <r>
          <rPr>
            <sz val="11"/>
            <color theme="1"/>
            <rFont val="Calibri"/>
            <family val="2"/>
            <scheme val="minor"/>
          </rPr>
          <t>Introduzca un texto con la finalidad de la contratación</t>
        </r>
      </text>
    </comment>
    <comment ref="C5417" authorId="1" shapeId="0" xr:uid="{00000000-0006-0000-0100-000041150000}">
      <text>
        <r>
          <rPr>
            <sz val="11"/>
            <color theme="1"/>
            <rFont val="Calibri"/>
            <family val="2"/>
            <scheme val="minor"/>
          </rPr>
          <t>Seleccionar un valor del listado</t>
        </r>
      </text>
    </comment>
    <comment ref="D5417" authorId="1" shapeId="0" xr:uid="{00000000-0006-0000-0100-000042150000}">
      <text>
        <r>
          <rPr>
            <sz val="11"/>
            <color theme="1"/>
            <rFont val="Calibri"/>
            <family val="2"/>
            <scheme val="minor"/>
          </rPr>
          <t>Seleccione el tipo de procedimiento</t>
        </r>
      </text>
    </comment>
    <comment ref="E5417" authorId="1" shapeId="0" xr:uid="{00000000-0006-0000-0100-000043150000}">
      <text>
        <r>
          <rPr>
            <sz val="11"/>
            <color theme="1"/>
            <rFont val="Calibri"/>
            <family val="2"/>
            <scheme val="minor"/>
          </rPr>
          <t>Seleccione un valor de la lista</t>
        </r>
      </text>
    </comment>
    <comment ref="F5417" authorId="1" shapeId="0" xr:uid="{00000000-0006-0000-0100-000044150000}">
      <text>
        <r>
          <rPr>
            <sz val="11"/>
            <color theme="1"/>
            <rFont val="Calibri"/>
            <family val="2"/>
            <scheme val="minor"/>
          </rPr>
          <t>Introduzca el código SNIP</t>
        </r>
      </text>
    </comment>
    <comment ref="C5418" authorId="1" shapeId="0" xr:uid="{00000000-0006-0000-0100-000045150000}">
      <text>
        <r>
          <rPr>
            <sz val="11"/>
            <color theme="1"/>
            <rFont val="Calibri"/>
            <family val="2"/>
            <scheme val="minor"/>
          </rPr>
          <t>Introduzca la fecha de inicio del proceso, en formato dd-mm-aaaa</t>
        </r>
      </text>
    </comment>
    <comment ref="F5418" authorId="1" shapeId="0" xr:uid="{00000000-0006-0000-0100-0000471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19" authorId="1" shapeId="0" xr:uid="{00000000-0006-0000-0100-000048150000}">
      <text/>
    </comment>
    <comment ref="C5420" authorId="1" shapeId="0" xr:uid="{00000000-0006-0000-0100-000046150000}">
      <text>
        <r>
          <rPr>
            <sz val="11"/>
            <color theme="1"/>
            <rFont val="Calibri"/>
            <family val="2"/>
            <scheme val="minor"/>
          </rPr>
          <t>Introduzca la fecha prevista de adjudicación, en formato dd-mm-aaaa</t>
        </r>
      </text>
    </comment>
    <comment ref="F5420" authorId="1" shapeId="0" xr:uid="{00000000-0006-0000-0100-000049150000}">
      <text/>
    </comment>
    <comment ref="F5421" authorId="1" shapeId="0" xr:uid="{00000000-0006-0000-0100-00004A150000}">
      <text/>
    </comment>
    <comment ref="A5423" authorId="1" shapeId="0" xr:uid="{00000000-0006-0000-0100-00004B150000}">
      <text>
        <r>
          <rPr>
            <sz val="11"/>
            <color theme="1"/>
            <rFont val="Calibri"/>
            <family val="2"/>
            <scheme val="minor"/>
          </rPr>
          <t>Introduzca un codigo UNSPSC</t>
        </r>
      </text>
    </comment>
    <comment ref="B5423" authorId="1" shapeId="0" xr:uid="{00000000-0006-0000-0100-00004C150000}">
      <text>
        <r>
          <rPr>
            <sz val="11"/>
            <color theme="1"/>
            <rFont val="Calibri"/>
            <family val="2"/>
            <scheme val="minor"/>
          </rPr>
          <t>Descripción calculada automáticamente a partir de código del artículo</t>
        </r>
      </text>
    </comment>
    <comment ref="C5423" authorId="1" shapeId="0" xr:uid="{00000000-0006-0000-0100-00004D150000}">
      <text>
        <r>
          <rPr>
            <sz val="11"/>
            <color theme="1"/>
            <rFont val="Calibri"/>
            <family val="2"/>
            <scheme val="minor"/>
          </rPr>
          <t>Seleccione un valor de la lista</t>
        </r>
      </text>
    </comment>
    <comment ref="D5423" authorId="1" shapeId="0" xr:uid="{00000000-0006-0000-0100-00004E150000}">
      <text>
        <r>
          <rPr>
            <sz val="11"/>
            <color theme="1"/>
            <rFont val="Calibri"/>
            <family val="2"/>
            <scheme val="minor"/>
          </rPr>
          <t>Introduzca un número con dos decimales como máximo. Debe ser igual o mayor a la "Cantidad Real Consumida"</t>
        </r>
      </text>
    </comment>
    <comment ref="E5423" authorId="1" shapeId="0" xr:uid="{00000000-0006-0000-0100-00004F150000}">
      <text>
        <r>
          <rPr>
            <sz val="11"/>
            <color theme="1"/>
            <rFont val="Calibri"/>
            <family val="2"/>
            <scheme val="minor"/>
          </rPr>
          <t>Introduzca un número con dos decimales como máximo</t>
        </r>
      </text>
    </comment>
    <comment ref="F5423" authorId="1" shapeId="0" xr:uid="{00000000-0006-0000-0100-000050150000}">
      <text>
        <r>
          <rPr>
            <sz val="11"/>
            <color theme="1"/>
            <rFont val="Calibri"/>
            <family val="2"/>
            <scheme val="minor"/>
          </rPr>
          <t>Monto calculado automáticamente por el sistema</t>
        </r>
      </text>
    </comment>
    <comment ref="A5429" authorId="1" shapeId="0" xr:uid="{00000000-0006-0000-0100-000051150000}">
      <text>
        <r>
          <rPr>
            <sz val="11"/>
            <color theme="1"/>
            <rFont val="Calibri"/>
            <family val="2"/>
            <scheme val="minor"/>
          </rPr>
          <t>Introducir un texto con el nombre o referencia de la contratación</t>
        </r>
      </text>
    </comment>
    <comment ref="B5429" authorId="1" shapeId="0" xr:uid="{00000000-0006-0000-0100-000052150000}">
      <text>
        <r>
          <rPr>
            <sz val="11"/>
            <color theme="1"/>
            <rFont val="Calibri"/>
            <family val="2"/>
            <scheme val="minor"/>
          </rPr>
          <t>Introduzca un texto con la finalidad de la contratación</t>
        </r>
      </text>
    </comment>
    <comment ref="C5429" authorId="1" shapeId="0" xr:uid="{00000000-0006-0000-0100-000053150000}">
      <text>
        <r>
          <rPr>
            <sz val="11"/>
            <color theme="1"/>
            <rFont val="Calibri"/>
            <family val="2"/>
            <scheme val="minor"/>
          </rPr>
          <t>Seleccionar un valor del listado</t>
        </r>
      </text>
    </comment>
    <comment ref="D5429" authorId="1" shapeId="0" xr:uid="{00000000-0006-0000-0100-000054150000}">
      <text>
        <r>
          <rPr>
            <sz val="11"/>
            <color theme="1"/>
            <rFont val="Calibri"/>
            <family val="2"/>
            <scheme val="minor"/>
          </rPr>
          <t>Seleccione el tipo de procedimiento</t>
        </r>
      </text>
    </comment>
    <comment ref="E5429" authorId="1" shapeId="0" xr:uid="{00000000-0006-0000-0100-000055150000}">
      <text>
        <r>
          <rPr>
            <sz val="11"/>
            <color theme="1"/>
            <rFont val="Calibri"/>
            <family val="2"/>
            <scheme val="minor"/>
          </rPr>
          <t>Seleccione un valor de la lista</t>
        </r>
      </text>
    </comment>
    <comment ref="F5429" authorId="1" shapeId="0" xr:uid="{00000000-0006-0000-0100-000056150000}">
      <text>
        <r>
          <rPr>
            <sz val="11"/>
            <color theme="1"/>
            <rFont val="Calibri"/>
            <family val="2"/>
            <scheme val="minor"/>
          </rPr>
          <t>Introduzca el código SNIP</t>
        </r>
      </text>
    </comment>
    <comment ref="C5430" authorId="1" shapeId="0" xr:uid="{00000000-0006-0000-0100-000057150000}">
      <text>
        <r>
          <rPr>
            <sz val="11"/>
            <color theme="1"/>
            <rFont val="Calibri"/>
            <family val="2"/>
            <scheme val="minor"/>
          </rPr>
          <t>Introduzca la fecha de inicio del proceso, en formato dd-mm-aaaa</t>
        </r>
      </text>
    </comment>
    <comment ref="F5430" authorId="1" shapeId="0" xr:uid="{00000000-0006-0000-0100-0000591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31" authorId="1" shapeId="0" xr:uid="{00000000-0006-0000-0100-00005A150000}">
      <text/>
    </comment>
    <comment ref="C5432" authorId="1" shapeId="0" xr:uid="{00000000-0006-0000-0100-000058150000}">
      <text>
        <r>
          <rPr>
            <sz val="11"/>
            <color theme="1"/>
            <rFont val="Calibri"/>
            <family val="2"/>
            <scheme val="minor"/>
          </rPr>
          <t>Introduzca la fecha prevista de adjudicación, en formato dd-mm-aaaa</t>
        </r>
      </text>
    </comment>
    <comment ref="F5432" authorId="1" shapeId="0" xr:uid="{00000000-0006-0000-0100-00005B150000}">
      <text/>
    </comment>
    <comment ref="F5433" authorId="1" shapeId="0" xr:uid="{00000000-0006-0000-0100-00005C150000}">
      <text/>
    </comment>
    <comment ref="A5435" authorId="1" shapeId="0" xr:uid="{00000000-0006-0000-0100-00005D150000}">
      <text>
        <r>
          <rPr>
            <sz val="11"/>
            <color theme="1"/>
            <rFont val="Calibri"/>
            <family val="2"/>
            <scheme val="minor"/>
          </rPr>
          <t>Introduzca un codigo UNSPSC</t>
        </r>
      </text>
    </comment>
    <comment ref="B5435" authorId="1" shapeId="0" xr:uid="{00000000-0006-0000-0100-00005E150000}">
      <text>
        <r>
          <rPr>
            <sz val="11"/>
            <color theme="1"/>
            <rFont val="Calibri"/>
            <family val="2"/>
            <scheme val="minor"/>
          </rPr>
          <t>Descripción calculada automáticamente a partir de código del artículo</t>
        </r>
      </text>
    </comment>
    <comment ref="C5435" authorId="1" shapeId="0" xr:uid="{00000000-0006-0000-0100-00005F150000}">
      <text>
        <r>
          <rPr>
            <sz val="11"/>
            <color theme="1"/>
            <rFont val="Calibri"/>
            <family val="2"/>
            <scheme val="minor"/>
          </rPr>
          <t>Seleccione un valor de la lista</t>
        </r>
      </text>
    </comment>
    <comment ref="D5435" authorId="1" shapeId="0" xr:uid="{00000000-0006-0000-0100-000060150000}">
      <text>
        <r>
          <rPr>
            <sz val="11"/>
            <color theme="1"/>
            <rFont val="Calibri"/>
            <family val="2"/>
            <scheme val="minor"/>
          </rPr>
          <t>Introduzca un número con dos decimales como máximo. Debe ser igual o mayor a la "Cantidad Real Consumida"</t>
        </r>
      </text>
    </comment>
    <comment ref="E5435" authorId="1" shapeId="0" xr:uid="{00000000-0006-0000-0100-000061150000}">
      <text>
        <r>
          <rPr>
            <sz val="11"/>
            <color theme="1"/>
            <rFont val="Calibri"/>
            <family val="2"/>
            <scheme val="minor"/>
          </rPr>
          <t>Introduzca un número con dos decimales como máximo</t>
        </r>
      </text>
    </comment>
    <comment ref="F5435" authorId="1" shapeId="0" xr:uid="{00000000-0006-0000-0100-000062150000}">
      <text>
        <r>
          <rPr>
            <sz val="11"/>
            <color theme="1"/>
            <rFont val="Calibri"/>
            <family val="2"/>
            <scheme val="minor"/>
          </rPr>
          <t>Monto calculado automáticamente por el sistema</t>
        </r>
      </text>
    </comment>
    <comment ref="A5442" authorId="1" shapeId="0" xr:uid="{00000000-0006-0000-0100-000063150000}">
      <text>
        <r>
          <rPr>
            <sz val="11"/>
            <color theme="1"/>
            <rFont val="Calibri"/>
            <family val="2"/>
            <scheme val="minor"/>
          </rPr>
          <t>Introducir un texto con el nombre o referencia de la contratación</t>
        </r>
      </text>
    </comment>
    <comment ref="B5442" authorId="1" shapeId="0" xr:uid="{00000000-0006-0000-0100-000064150000}">
      <text>
        <r>
          <rPr>
            <sz val="11"/>
            <color theme="1"/>
            <rFont val="Calibri"/>
            <family val="2"/>
            <scheme val="minor"/>
          </rPr>
          <t>Introduzca un texto con la finalidad de la contratación</t>
        </r>
      </text>
    </comment>
    <comment ref="C5442" authorId="1" shapeId="0" xr:uid="{00000000-0006-0000-0100-000065150000}">
      <text>
        <r>
          <rPr>
            <sz val="11"/>
            <color theme="1"/>
            <rFont val="Calibri"/>
            <family val="2"/>
            <scheme val="minor"/>
          </rPr>
          <t>Seleccionar un valor del listado</t>
        </r>
      </text>
    </comment>
    <comment ref="D5442" authorId="1" shapeId="0" xr:uid="{00000000-0006-0000-0100-000066150000}">
      <text>
        <r>
          <rPr>
            <sz val="11"/>
            <color theme="1"/>
            <rFont val="Calibri"/>
            <family val="2"/>
            <scheme val="minor"/>
          </rPr>
          <t>Seleccione el tipo de procedimiento</t>
        </r>
      </text>
    </comment>
    <comment ref="E5442" authorId="1" shapeId="0" xr:uid="{00000000-0006-0000-0100-000067150000}">
      <text>
        <r>
          <rPr>
            <sz val="11"/>
            <color theme="1"/>
            <rFont val="Calibri"/>
            <family val="2"/>
            <scheme val="minor"/>
          </rPr>
          <t>Seleccione un valor de la lista</t>
        </r>
      </text>
    </comment>
    <comment ref="F5442" authorId="1" shapeId="0" xr:uid="{00000000-0006-0000-0100-000068150000}">
      <text>
        <r>
          <rPr>
            <sz val="11"/>
            <color theme="1"/>
            <rFont val="Calibri"/>
            <family val="2"/>
            <scheme val="minor"/>
          </rPr>
          <t>Introduzca el código SNIP</t>
        </r>
      </text>
    </comment>
    <comment ref="C5443" authorId="1" shapeId="0" xr:uid="{00000000-0006-0000-0100-000069150000}">
      <text>
        <r>
          <rPr>
            <sz val="11"/>
            <color theme="1"/>
            <rFont val="Calibri"/>
            <family val="2"/>
            <scheme val="minor"/>
          </rPr>
          <t>Introduzca la fecha de inicio del proceso, en formato dd-mm-aaaa</t>
        </r>
      </text>
    </comment>
    <comment ref="F5443" authorId="1" shapeId="0" xr:uid="{00000000-0006-0000-0100-00006B1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44" authorId="1" shapeId="0" xr:uid="{00000000-0006-0000-0100-00006C150000}">
      <text/>
    </comment>
    <comment ref="C5445" authorId="1" shapeId="0" xr:uid="{00000000-0006-0000-0100-00006A150000}">
      <text>
        <r>
          <rPr>
            <sz val="11"/>
            <color theme="1"/>
            <rFont val="Calibri"/>
            <family val="2"/>
            <scheme val="minor"/>
          </rPr>
          <t>Introduzca la fecha prevista de adjudicación, en formato dd-mm-aaaa</t>
        </r>
      </text>
    </comment>
    <comment ref="F5445" authorId="1" shapeId="0" xr:uid="{00000000-0006-0000-0100-00006D150000}">
      <text/>
    </comment>
    <comment ref="F5446" authorId="1" shapeId="0" xr:uid="{00000000-0006-0000-0100-00006E150000}">
      <text/>
    </comment>
    <comment ref="A5448" authorId="1" shapeId="0" xr:uid="{00000000-0006-0000-0100-00006F150000}">
      <text>
        <r>
          <rPr>
            <sz val="11"/>
            <color theme="1"/>
            <rFont val="Calibri"/>
            <family val="2"/>
            <scheme val="minor"/>
          </rPr>
          <t>Introduzca un codigo UNSPSC</t>
        </r>
      </text>
    </comment>
    <comment ref="B5448" authorId="1" shapeId="0" xr:uid="{00000000-0006-0000-0100-000070150000}">
      <text>
        <r>
          <rPr>
            <sz val="11"/>
            <color theme="1"/>
            <rFont val="Calibri"/>
            <family val="2"/>
            <scheme val="minor"/>
          </rPr>
          <t>Descripción calculada automáticamente a partir de código del artículo</t>
        </r>
      </text>
    </comment>
    <comment ref="C5448" authorId="1" shapeId="0" xr:uid="{00000000-0006-0000-0100-000071150000}">
      <text>
        <r>
          <rPr>
            <sz val="11"/>
            <color theme="1"/>
            <rFont val="Calibri"/>
            <family val="2"/>
            <scheme val="minor"/>
          </rPr>
          <t>Seleccione un valor de la lista</t>
        </r>
      </text>
    </comment>
    <comment ref="D5448" authorId="1" shapeId="0" xr:uid="{00000000-0006-0000-0100-000072150000}">
      <text>
        <r>
          <rPr>
            <sz val="11"/>
            <color theme="1"/>
            <rFont val="Calibri"/>
            <family val="2"/>
            <scheme val="minor"/>
          </rPr>
          <t>Introduzca un número con dos decimales como máximo. Debe ser igual o mayor a la "Cantidad Real Consumida"</t>
        </r>
      </text>
    </comment>
    <comment ref="E5448" authorId="1" shapeId="0" xr:uid="{00000000-0006-0000-0100-000073150000}">
      <text>
        <r>
          <rPr>
            <sz val="11"/>
            <color theme="1"/>
            <rFont val="Calibri"/>
            <family val="2"/>
            <scheme val="minor"/>
          </rPr>
          <t>Introduzca un número con dos decimales como máximo</t>
        </r>
      </text>
    </comment>
    <comment ref="F5448" authorId="1" shapeId="0" xr:uid="{00000000-0006-0000-0100-000074150000}">
      <text>
        <r>
          <rPr>
            <sz val="11"/>
            <color theme="1"/>
            <rFont val="Calibri"/>
            <family val="2"/>
            <scheme val="minor"/>
          </rPr>
          <t>Monto calculado automáticamente por el sistema</t>
        </r>
      </text>
    </comment>
    <comment ref="A5489" authorId="1" shapeId="0" xr:uid="{00000000-0006-0000-0100-000075150000}">
      <text>
        <r>
          <rPr>
            <sz val="11"/>
            <color theme="1"/>
            <rFont val="Calibri"/>
            <family val="2"/>
            <scheme val="minor"/>
          </rPr>
          <t>Introducir un texto con el nombre o referencia de la contratación</t>
        </r>
      </text>
    </comment>
    <comment ref="B5489" authorId="1" shapeId="0" xr:uid="{00000000-0006-0000-0100-000076150000}">
      <text>
        <r>
          <rPr>
            <sz val="11"/>
            <color theme="1"/>
            <rFont val="Calibri"/>
            <family val="2"/>
            <scheme val="minor"/>
          </rPr>
          <t>Introduzca un texto con la finalidad de la contratación</t>
        </r>
      </text>
    </comment>
    <comment ref="C5489" authorId="1" shapeId="0" xr:uid="{00000000-0006-0000-0100-000077150000}">
      <text>
        <r>
          <rPr>
            <sz val="11"/>
            <color theme="1"/>
            <rFont val="Calibri"/>
            <family val="2"/>
            <scheme val="minor"/>
          </rPr>
          <t>Seleccionar un valor del listado</t>
        </r>
      </text>
    </comment>
    <comment ref="D5489" authorId="1" shapeId="0" xr:uid="{00000000-0006-0000-0100-000078150000}">
      <text>
        <r>
          <rPr>
            <sz val="11"/>
            <color theme="1"/>
            <rFont val="Calibri"/>
            <family val="2"/>
            <scheme val="minor"/>
          </rPr>
          <t>Seleccione el tipo de procedimiento</t>
        </r>
      </text>
    </comment>
    <comment ref="E5489" authorId="1" shapeId="0" xr:uid="{00000000-0006-0000-0100-000079150000}">
      <text>
        <r>
          <rPr>
            <sz val="11"/>
            <color theme="1"/>
            <rFont val="Calibri"/>
            <family val="2"/>
            <scheme val="minor"/>
          </rPr>
          <t>Seleccione un valor de la lista</t>
        </r>
      </text>
    </comment>
    <comment ref="F5489" authorId="1" shapeId="0" xr:uid="{00000000-0006-0000-0100-00007A150000}">
      <text>
        <r>
          <rPr>
            <sz val="11"/>
            <color theme="1"/>
            <rFont val="Calibri"/>
            <family val="2"/>
            <scheme val="minor"/>
          </rPr>
          <t>Introduzca el código SNIP</t>
        </r>
      </text>
    </comment>
    <comment ref="C5490" authorId="1" shapeId="0" xr:uid="{00000000-0006-0000-0100-00007B150000}">
      <text>
        <r>
          <rPr>
            <sz val="11"/>
            <color theme="1"/>
            <rFont val="Calibri"/>
            <family val="2"/>
            <scheme val="minor"/>
          </rPr>
          <t>Introduzca la fecha de inicio del proceso, en formato dd-mm-aaaa</t>
        </r>
      </text>
    </comment>
    <comment ref="F5490" authorId="1" shapeId="0" xr:uid="{00000000-0006-0000-0100-00007D1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91" authorId="1" shapeId="0" xr:uid="{00000000-0006-0000-0100-00007E150000}">
      <text/>
    </comment>
    <comment ref="C5492" authorId="1" shapeId="0" xr:uid="{00000000-0006-0000-0100-00007C150000}">
      <text>
        <r>
          <rPr>
            <sz val="11"/>
            <color theme="1"/>
            <rFont val="Calibri"/>
            <family val="2"/>
            <scheme val="minor"/>
          </rPr>
          <t>Introduzca la fecha prevista de adjudicación, en formato dd-mm-aaaa</t>
        </r>
      </text>
    </comment>
    <comment ref="F5492" authorId="1" shapeId="0" xr:uid="{00000000-0006-0000-0100-00007F150000}">
      <text/>
    </comment>
    <comment ref="F5493" authorId="1" shapeId="0" xr:uid="{00000000-0006-0000-0100-000080150000}">
      <text/>
    </comment>
    <comment ref="A5495" authorId="1" shapeId="0" xr:uid="{00000000-0006-0000-0100-000081150000}">
      <text>
        <r>
          <rPr>
            <sz val="11"/>
            <color theme="1"/>
            <rFont val="Calibri"/>
            <family val="2"/>
            <scheme val="minor"/>
          </rPr>
          <t>Introduzca un codigo UNSPSC</t>
        </r>
      </text>
    </comment>
    <comment ref="B5495" authorId="1" shapeId="0" xr:uid="{00000000-0006-0000-0100-000082150000}">
      <text>
        <r>
          <rPr>
            <sz val="11"/>
            <color theme="1"/>
            <rFont val="Calibri"/>
            <family val="2"/>
            <scheme val="minor"/>
          </rPr>
          <t>Descripción calculada automáticamente a partir de código del artículo</t>
        </r>
      </text>
    </comment>
    <comment ref="C5495" authorId="1" shapeId="0" xr:uid="{00000000-0006-0000-0100-000083150000}">
      <text>
        <r>
          <rPr>
            <sz val="11"/>
            <color theme="1"/>
            <rFont val="Calibri"/>
            <family val="2"/>
            <scheme val="minor"/>
          </rPr>
          <t>Seleccione un valor de la lista</t>
        </r>
      </text>
    </comment>
    <comment ref="D5495" authorId="1" shapeId="0" xr:uid="{00000000-0006-0000-0100-000084150000}">
      <text>
        <r>
          <rPr>
            <sz val="11"/>
            <color theme="1"/>
            <rFont val="Calibri"/>
            <family val="2"/>
            <scheme val="minor"/>
          </rPr>
          <t>Introduzca un número con dos decimales como máximo. Debe ser igual o mayor a la "Cantidad Real Consumida"</t>
        </r>
      </text>
    </comment>
    <comment ref="E5495" authorId="1" shapeId="0" xr:uid="{00000000-0006-0000-0100-000085150000}">
      <text>
        <r>
          <rPr>
            <sz val="11"/>
            <color theme="1"/>
            <rFont val="Calibri"/>
            <family val="2"/>
            <scheme val="minor"/>
          </rPr>
          <t>Introduzca un número con dos decimales como máximo</t>
        </r>
      </text>
    </comment>
    <comment ref="F5495" authorId="1" shapeId="0" xr:uid="{00000000-0006-0000-0100-000086150000}">
      <text>
        <r>
          <rPr>
            <sz val="11"/>
            <color theme="1"/>
            <rFont val="Calibri"/>
            <family val="2"/>
            <scheme val="minor"/>
          </rPr>
          <t>Monto calculado automáticamente por el sistema</t>
        </r>
      </text>
    </comment>
    <comment ref="A5503" authorId="1" shapeId="0" xr:uid="{00000000-0006-0000-0100-000087150000}">
      <text>
        <r>
          <rPr>
            <sz val="11"/>
            <color theme="1"/>
            <rFont val="Calibri"/>
            <family val="2"/>
            <scheme val="minor"/>
          </rPr>
          <t>Introducir un texto con el nombre o referencia de la contratación</t>
        </r>
      </text>
    </comment>
    <comment ref="B5503" authorId="1" shapeId="0" xr:uid="{00000000-0006-0000-0100-000088150000}">
      <text>
        <r>
          <rPr>
            <sz val="11"/>
            <color theme="1"/>
            <rFont val="Calibri"/>
            <family val="2"/>
            <scheme val="minor"/>
          </rPr>
          <t>Introduzca un texto con la finalidad de la contratación</t>
        </r>
      </text>
    </comment>
    <comment ref="C5503" authorId="1" shapeId="0" xr:uid="{00000000-0006-0000-0100-000089150000}">
      <text>
        <r>
          <rPr>
            <sz val="11"/>
            <color theme="1"/>
            <rFont val="Calibri"/>
            <family val="2"/>
            <scheme val="minor"/>
          </rPr>
          <t>Seleccionar un valor del listado</t>
        </r>
      </text>
    </comment>
    <comment ref="D5503" authorId="1" shapeId="0" xr:uid="{00000000-0006-0000-0100-00008A150000}">
      <text>
        <r>
          <rPr>
            <sz val="11"/>
            <color theme="1"/>
            <rFont val="Calibri"/>
            <family val="2"/>
            <scheme val="minor"/>
          </rPr>
          <t>Seleccione el tipo de procedimiento</t>
        </r>
      </text>
    </comment>
    <comment ref="E5503" authorId="1" shapeId="0" xr:uid="{00000000-0006-0000-0100-00008B150000}">
      <text>
        <r>
          <rPr>
            <sz val="11"/>
            <color theme="1"/>
            <rFont val="Calibri"/>
            <family val="2"/>
            <scheme val="minor"/>
          </rPr>
          <t>Seleccione un valor de la lista</t>
        </r>
      </text>
    </comment>
    <comment ref="F5503" authorId="1" shapeId="0" xr:uid="{00000000-0006-0000-0100-00008C150000}">
      <text>
        <r>
          <rPr>
            <sz val="11"/>
            <color theme="1"/>
            <rFont val="Calibri"/>
            <family val="2"/>
            <scheme val="minor"/>
          </rPr>
          <t>Introduzca el código SNIP</t>
        </r>
      </text>
    </comment>
    <comment ref="C5504" authorId="1" shapeId="0" xr:uid="{00000000-0006-0000-0100-00008D150000}">
      <text>
        <r>
          <rPr>
            <sz val="11"/>
            <color theme="1"/>
            <rFont val="Calibri"/>
            <family val="2"/>
            <scheme val="minor"/>
          </rPr>
          <t>Introduzca la fecha de inicio del proceso, en formato dd-mm-aaaa</t>
        </r>
      </text>
    </comment>
    <comment ref="F5504" authorId="1" shapeId="0" xr:uid="{00000000-0006-0000-0100-00008F1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05" authorId="1" shapeId="0" xr:uid="{00000000-0006-0000-0100-000090150000}">
      <text/>
    </comment>
    <comment ref="C5506" authorId="1" shapeId="0" xr:uid="{00000000-0006-0000-0100-00008E150000}">
      <text>
        <r>
          <rPr>
            <sz val="11"/>
            <color theme="1"/>
            <rFont val="Calibri"/>
            <family val="2"/>
            <scheme val="minor"/>
          </rPr>
          <t>Introduzca la fecha prevista de adjudicación, en formato dd-mm-aaaa</t>
        </r>
      </text>
    </comment>
    <comment ref="F5506" authorId="1" shapeId="0" xr:uid="{00000000-0006-0000-0100-000091150000}">
      <text/>
    </comment>
    <comment ref="F5507" authorId="1" shapeId="0" xr:uid="{00000000-0006-0000-0100-000092150000}">
      <text/>
    </comment>
    <comment ref="A5509" authorId="1" shapeId="0" xr:uid="{00000000-0006-0000-0100-000093150000}">
      <text>
        <r>
          <rPr>
            <sz val="11"/>
            <color theme="1"/>
            <rFont val="Calibri"/>
            <family val="2"/>
            <scheme val="minor"/>
          </rPr>
          <t>Introduzca un codigo UNSPSC</t>
        </r>
      </text>
    </comment>
    <comment ref="B5509" authorId="1" shapeId="0" xr:uid="{00000000-0006-0000-0100-000094150000}">
      <text>
        <r>
          <rPr>
            <sz val="11"/>
            <color theme="1"/>
            <rFont val="Calibri"/>
            <family val="2"/>
            <scheme val="minor"/>
          </rPr>
          <t>Descripción calculada automáticamente a partir de código del artículo</t>
        </r>
      </text>
    </comment>
    <comment ref="C5509" authorId="1" shapeId="0" xr:uid="{00000000-0006-0000-0100-000095150000}">
      <text>
        <r>
          <rPr>
            <sz val="11"/>
            <color theme="1"/>
            <rFont val="Calibri"/>
            <family val="2"/>
            <scheme val="minor"/>
          </rPr>
          <t>Seleccione un valor de la lista</t>
        </r>
      </text>
    </comment>
    <comment ref="D5509" authorId="1" shapeId="0" xr:uid="{00000000-0006-0000-0100-000096150000}">
      <text>
        <r>
          <rPr>
            <sz val="11"/>
            <color theme="1"/>
            <rFont val="Calibri"/>
            <family val="2"/>
            <scheme val="minor"/>
          </rPr>
          <t>Introduzca un número con dos decimales como máximo. Debe ser igual o mayor a la "Cantidad Real Consumida"</t>
        </r>
      </text>
    </comment>
    <comment ref="E5509" authorId="1" shapeId="0" xr:uid="{00000000-0006-0000-0100-000097150000}">
      <text>
        <r>
          <rPr>
            <sz val="11"/>
            <color theme="1"/>
            <rFont val="Calibri"/>
            <family val="2"/>
            <scheme val="minor"/>
          </rPr>
          <t>Introduzca un número con dos decimales como máximo</t>
        </r>
      </text>
    </comment>
    <comment ref="F5509" authorId="1" shapeId="0" xr:uid="{00000000-0006-0000-0100-000098150000}">
      <text>
        <r>
          <rPr>
            <sz val="11"/>
            <color theme="1"/>
            <rFont val="Calibri"/>
            <family val="2"/>
            <scheme val="minor"/>
          </rPr>
          <t>Monto calculado automáticamente por el sistema</t>
        </r>
      </text>
    </comment>
    <comment ref="A5523" authorId="1" shapeId="0" xr:uid="{00000000-0006-0000-0100-000099150000}">
      <text>
        <r>
          <rPr>
            <sz val="11"/>
            <color theme="1"/>
            <rFont val="Calibri"/>
            <family val="2"/>
            <scheme val="minor"/>
          </rPr>
          <t>Introducir un texto con el nombre o referencia de la contratación</t>
        </r>
      </text>
    </comment>
    <comment ref="B5523" authorId="1" shapeId="0" xr:uid="{00000000-0006-0000-0100-00009A150000}">
      <text>
        <r>
          <rPr>
            <sz val="11"/>
            <color theme="1"/>
            <rFont val="Calibri"/>
            <family val="2"/>
            <scheme val="minor"/>
          </rPr>
          <t>Introduzca un texto con la finalidad de la contratación</t>
        </r>
      </text>
    </comment>
    <comment ref="C5523" authorId="1" shapeId="0" xr:uid="{00000000-0006-0000-0100-00009B150000}">
      <text>
        <r>
          <rPr>
            <sz val="11"/>
            <color theme="1"/>
            <rFont val="Calibri"/>
            <family val="2"/>
            <scheme val="minor"/>
          </rPr>
          <t>Seleccionar un valor del listado</t>
        </r>
      </text>
    </comment>
    <comment ref="D5523" authorId="1" shapeId="0" xr:uid="{00000000-0006-0000-0100-00009C150000}">
      <text>
        <r>
          <rPr>
            <sz val="11"/>
            <color theme="1"/>
            <rFont val="Calibri"/>
            <family val="2"/>
            <scheme val="minor"/>
          </rPr>
          <t>Seleccione el tipo de procedimiento</t>
        </r>
      </text>
    </comment>
    <comment ref="E5523" authorId="1" shapeId="0" xr:uid="{00000000-0006-0000-0100-00009D150000}">
      <text>
        <r>
          <rPr>
            <sz val="11"/>
            <color theme="1"/>
            <rFont val="Calibri"/>
            <family val="2"/>
            <scheme val="minor"/>
          </rPr>
          <t>Seleccione un valor de la lista</t>
        </r>
      </text>
    </comment>
    <comment ref="F5523" authorId="1" shapeId="0" xr:uid="{00000000-0006-0000-0100-00009E150000}">
      <text>
        <r>
          <rPr>
            <sz val="11"/>
            <color theme="1"/>
            <rFont val="Calibri"/>
            <family val="2"/>
            <scheme val="minor"/>
          </rPr>
          <t>Introduzca el código SNIP</t>
        </r>
      </text>
    </comment>
    <comment ref="C5524" authorId="1" shapeId="0" xr:uid="{00000000-0006-0000-0100-00009F150000}">
      <text>
        <r>
          <rPr>
            <sz val="11"/>
            <color theme="1"/>
            <rFont val="Calibri"/>
            <family val="2"/>
            <scheme val="minor"/>
          </rPr>
          <t>Introduzca la fecha de inicio del proceso, en formato dd-mm-aaaa</t>
        </r>
      </text>
    </comment>
    <comment ref="F5524" authorId="1" shapeId="0" xr:uid="{00000000-0006-0000-0100-0000A11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25" authorId="1" shapeId="0" xr:uid="{00000000-0006-0000-0100-0000A2150000}">
      <text/>
    </comment>
    <comment ref="C5526" authorId="1" shapeId="0" xr:uid="{00000000-0006-0000-0100-0000A0150000}">
      <text>
        <r>
          <rPr>
            <sz val="11"/>
            <color theme="1"/>
            <rFont val="Calibri"/>
            <family val="2"/>
            <scheme val="minor"/>
          </rPr>
          <t>Introduzca la fecha prevista de adjudicación, en formato dd-mm-aaaa</t>
        </r>
      </text>
    </comment>
    <comment ref="F5526" authorId="1" shapeId="0" xr:uid="{00000000-0006-0000-0100-0000A3150000}">
      <text/>
    </comment>
    <comment ref="F5527" authorId="1" shapeId="0" xr:uid="{00000000-0006-0000-0100-0000A4150000}">
      <text/>
    </comment>
    <comment ref="A5529" authorId="1" shapeId="0" xr:uid="{00000000-0006-0000-0100-0000A5150000}">
      <text>
        <r>
          <rPr>
            <sz val="11"/>
            <color theme="1"/>
            <rFont val="Calibri"/>
            <family val="2"/>
            <scheme val="minor"/>
          </rPr>
          <t>Introduzca un codigo UNSPSC</t>
        </r>
      </text>
    </comment>
    <comment ref="B5529" authorId="1" shapeId="0" xr:uid="{00000000-0006-0000-0100-0000A6150000}">
      <text>
        <r>
          <rPr>
            <sz val="11"/>
            <color theme="1"/>
            <rFont val="Calibri"/>
            <family val="2"/>
            <scheme val="minor"/>
          </rPr>
          <t>Descripción calculada automáticamente a partir de código del artículo</t>
        </r>
      </text>
    </comment>
    <comment ref="C5529" authorId="1" shapeId="0" xr:uid="{00000000-0006-0000-0100-0000A7150000}">
      <text>
        <r>
          <rPr>
            <sz val="11"/>
            <color theme="1"/>
            <rFont val="Calibri"/>
            <family val="2"/>
            <scheme val="minor"/>
          </rPr>
          <t>Seleccione un valor de la lista</t>
        </r>
      </text>
    </comment>
    <comment ref="D5529" authorId="1" shapeId="0" xr:uid="{00000000-0006-0000-0100-0000A8150000}">
      <text>
        <r>
          <rPr>
            <sz val="11"/>
            <color theme="1"/>
            <rFont val="Calibri"/>
            <family val="2"/>
            <scheme val="minor"/>
          </rPr>
          <t>Introduzca un número con dos decimales como máximo. Debe ser igual o mayor a la "Cantidad Real Consumida"</t>
        </r>
      </text>
    </comment>
    <comment ref="E5529" authorId="1" shapeId="0" xr:uid="{00000000-0006-0000-0100-0000A9150000}">
      <text>
        <r>
          <rPr>
            <sz val="11"/>
            <color theme="1"/>
            <rFont val="Calibri"/>
            <family val="2"/>
            <scheme val="minor"/>
          </rPr>
          <t>Introduzca un número con dos decimales como máximo</t>
        </r>
      </text>
    </comment>
    <comment ref="F5529" authorId="1" shapeId="0" xr:uid="{00000000-0006-0000-0100-0000AA150000}">
      <text>
        <r>
          <rPr>
            <sz val="11"/>
            <color theme="1"/>
            <rFont val="Calibri"/>
            <family val="2"/>
            <scheme val="minor"/>
          </rPr>
          <t>Monto calculado automáticamente por el sistema</t>
        </r>
      </text>
    </comment>
    <comment ref="A5538" authorId="1" shapeId="0" xr:uid="{00000000-0006-0000-0100-0000AB150000}">
      <text>
        <r>
          <rPr>
            <sz val="11"/>
            <color theme="1"/>
            <rFont val="Calibri"/>
            <family val="2"/>
            <scheme val="minor"/>
          </rPr>
          <t>Introducir un texto con el nombre o referencia de la contratación</t>
        </r>
      </text>
    </comment>
    <comment ref="B5538" authorId="1" shapeId="0" xr:uid="{00000000-0006-0000-0100-0000AC150000}">
      <text>
        <r>
          <rPr>
            <sz val="11"/>
            <color theme="1"/>
            <rFont val="Calibri"/>
            <family val="2"/>
            <scheme val="minor"/>
          </rPr>
          <t>Introduzca un texto con la finalidad de la contratación</t>
        </r>
      </text>
    </comment>
    <comment ref="C5538" authorId="1" shapeId="0" xr:uid="{00000000-0006-0000-0100-0000AD150000}">
      <text>
        <r>
          <rPr>
            <sz val="11"/>
            <color theme="1"/>
            <rFont val="Calibri"/>
            <family val="2"/>
            <scheme val="minor"/>
          </rPr>
          <t>Seleccionar un valor del listado</t>
        </r>
      </text>
    </comment>
    <comment ref="D5538" authorId="1" shapeId="0" xr:uid="{00000000-0006-0000-0100-0000AE150000}">
      <text>
        <r>
          <rPr>
            <sz val="11"/>
            <color theme="1"/>
            <rFont val="Calibri"/>
            <family val="2"/>
            <scheme val="minor"/>
          </rPr>
          <t>Seleccione el tipo de procedimiento</t>
        </r>
      </text>
    </comment>
    <comment ref="E5538" authorId="1" shapeId="0" xr:uid="{00000000-0006-0000-0100-0000AF150000}">
      <text>
        <r>
          <rPr>
            <sz val="11"/>
            <color theme="1"/>
            <rFont val="Calibri"/>
            <family val="2"/>
            <scheme val="minor"/>
          </rPr>
          <t>Seleccione un valor de la lista</t>
        </r>
      </text>
    </comment>
    <comment ref="F5538" authorId="1" shapeId="0" xr:uid="{00000000-0006-0000-0100-0000B0150000}">
      <text>
        <r>
          <rPr>
            <sz val="11"/>
            <color theme="1"/>
            <rFont val="Calibri"/>
            <family val="2"/>
            <scheme val="minor"/>
          </rPr>
          <t>Introduzca el código SNIP</t>
        </r>
      </text>
    </comment>
    <comment ref="C5539" authorId="1" shapeId="0" xr:uid="{00000000-0006-0000-0100-0000B1150000}">
      <text>
        <r>
          <rPr>
            <sz val="11"/>
            <color theme="1"/>
            <rFont val="Calibri"/>
            <family val="2"/>
            <scheme val="minor"/>
          </rPr>
          <t>Introduzca la fecha de inicio del proceso, en formato dd-mm-aaaa</t>
        </r>
      </text>
    </comment>
    <comment ref="F5539" authorId="1" shapeId="0" xr:uid="{00000000-0006-0000-0100-0000B31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40" authorId="1" shapeId="0" xr:uid="{00000000-0006-0000-0100-0000B4150000}">
      <text/>
    </comment>
    <comment ref="C5541" authorId="1" shapeId="0" xr:uid="{00000000-0006-0000-0100-0000B2150000}">
      <text>
        <r>
          <rPr>
            <sz val="11"/>
            <color theme="1"/>
            <rFont val="Calibri"/>
            <family val="2"/>
            <scheme val="minor"/>
          </rPr>
          <t>Introduzca la fecha prevista de adjudicación, en formato dd-mm-aaaa</t>
        </r>
      </text>
    </comment>
    <comment ref="F5541" authorId="1" shapeId="0" xr:uid="{00000000-0006-0000-0100-0000B5150000}">
      <text/>
    </comment>
    <comment ref="F5542" authorId="1" shapeId="0" xr:uid="{00000000-0006-0000-0100-0000B6150000}">
      <text/>
    </comment>
    <comment ref="A5544" authorId="1" shapeId="0" xr:uid="{00000000-0006-0000-0100-0000B7150000}">
      <text>
        <r>
          <rPr>
            <sz val="11"/>
            <color theme="1"/>
            <rFont val="Calibri"/>
            <family val="2"/>
            <scheme val="minor"/>
          </rPr>
          <t>Introduzca un codigo UNSPSC</t>
        </r>
      </text>
    </comment>
    <comment ref="B5544" authorId="1" shapeId="0" xr:uid="{00000000-0006-0000-0100-0000B8150000}">
      <text>
        <r>
          <rPr>
            <sz val="11"/>
            <color theme="1"/>
            <rFont val="Calibri"/>
            <family val="2"/>
            <scheme val="minor"/>
          </rPr>
          <t>Descripción calculada automáticamente a partir de código del artículo</t>
        </r>
      </text>
    </comment>
    <comment ref="C5544" authorId="1" shapeId="0" xr:uid="{00000000-0006-0000-0100-0000B9150000}">
      <text>
        <r>
          <rPr>
            <sz val="11"/>
            <color theme="1"/>
            <rFont val="Calibri"/>
            <family val="2"/>
            <scheme val="minor"/>
          </rPr>
          <t>Seleccione un valor de la lista</t>
        </r>
      </text>
    </comment>
    <comment ref="D5544" authorId="1" shapeId="0" xr:uid="{00000000-0006-0000-0100-0000BA150000}">
      <text>
        <r>
          <rPr>
            <sz val="11"/>
            <color theme="1"/>
            <rFont val="Calibri"/>
            <family val="2"/>
            <scheme val="minor"/>
          </rPr>
          <t>Introduzca un número con dos decimales como máximo. Debe ser igual o mayor a la "Cantidad Real Consumida"</t>
        </r>
      </text>
    </comment>
    <comment ref="E5544" authorId="1" shapeId="0" xr:uid="{00000000-0006-0000-0100-0000BB150000}">
      <text>
        <r>
          <rPr>
            <sz val="11"/>
            <color theme="1"/>
            <rFont val="Calibri"/>
            <family val="2"/>
            <scheme val="minor"/>
          </rPr>
          <t>Introduzca un número con dos decimales como máximo</t>
        </r>
      </text>
    </comment>
    <comment ref="F5544" authorId="1" shapeId="0" xr:uid="{00000000-0006-0000-0100-0000BC150000}">
      <text>
        <r>
          <rPr>
            <sz val="11"/>
            <color theme="1"/>
            <rFont val="Calibri"/>
            <family val="2"/>
            <scheme val="minor"/>
          </rPr>
          <t>Monto calculado automáticamente por el sistema</t>
        </r>
      </text>
    </comment>
    <comment ref="A5554" authorId="1" shapeId="0" xr:uid="{00000000-0006-0000-0100-0000BD150000}">
      <text>
        <r>
          <rPr>
            <sz val="11"/>
            <color theme="1"/>
            <rFont val="Calibri"/>
            <family val="2"/>
            <scheme val="minor"/>
          </rPr>
          <t>Introducir un texto con el nombre o referencia de la contratación</t>
        </r>
      </text>
    </comment>
    <comment ref="B5554" authorId="1" shapeId="0" xr:uid="{00000000-0006-0000-0100-0000BE150000}">
      <text>
        <r>
          <rPr>
            <sz val="11"/>
            <color theme="1"/>
            <rFont val="Calibri"/>
            <family val="2"/>
            <scheme val="minor"/>
          </rPr>
          <t>Introduzca un texto con la finalidad de la contratación</t>
        </r>
      </text>
    </comment>
    <comment ref="C5554" authorId="1" shapeId="0" xr:uid="{00000000-0006-0000-0100-0000BF150000}">
      <text>
        <r>
          <rPr>
            <sz val="11"/>
            <color theme="1"/>
            <rFont val="Calibri"/>
            <family val="2"/>
            <scheme val="minor"/>
          </rPr>
          <t>Seleccionar un valor del listado</t>
        </r>
      </text>
    </comment>
    <comment ref="D5554" authorId="1" shapeId="0" xr:uid="{00000000-0006-0000-0100-0000C0150000}">
      <text>
        <r>
          <rPr>
            <sz val="11"/>
            <color theme="1"/>
            <rFont val="Calibri"/>
            <family val="2"/>
            <scheme val="minor"/>
          </rPr>
          <t>Seleccione el tipo de procedimiento</t>
        </r>
      </text>
    </comment>
    <comment ref="E5554" authorId="1" shapeId="0" xr:uid="{00000000-0006-0000-0100-0000C1150000}">
      <text>
        <r>
          <rPr>
            <sz val="11"/>
            <color theme="1"/>
            <rFont val="Calibri"/>
            <family val="2"/>
            <scheme val="minor"/>
          </rPr>
          <t>Seleccione un valor de la lista</t>
        </r>
      </text>
    </comment>
    <comment ref="F5554" authorId="1" shapeId="0" xr:uid="{00000000-0006-0000-0100-0000C2150000}">
      <text>
        <r>
          <rPr>
            <sz val="11"/>
            <color theme="1"/>
            <rFont val="Calibri"/>
            <family val="2"/>
            <scheme val="minor"/>
          </rPr>
          <t>Introduzca el código SNIP</t>
        </r>
      </text>
    </comment>
    <comment ref="C5555" authorId="1" shapeId="0" xr:uid="{00000000-0006-0000-0100-0000C3150000}">
      <text>
        <r>
          <rPr>
            <sz val="11"/>
            <color theme="1"/>
            <rFont val="Calibri"/>
            <family val="2"/>
            <scheme val="minor"/>
          </rPr>
          <t>Introduzca la fecha de inicio del proceso, en formato dd-mm-aaaa</t>
        </r>
      </text>
    </comment>
    <comment ref="F5555" authorId="1" shapeId="0" xr:uid="{00000000-0006-0000-0100-0000C51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56" authorId="1" shapeId="0" xr:uid="{00000000-0006-0000-0100-0000C6150000}">
      <text/>
    </comment>
    <comment ref="C5557" authorId="1" shapeId="0" xr:uid="{00000000-0006-0000-0100-0000C4150000}">
      <text>
        <r>
          <rPr>
            <sz val="11"/>
            <color theme="1"/>
            <rFont val="Calibri"/>
            <family val="2"/>
            <scheme val="minor"/>
          </rPr>
          <t>Introduzca la fecha prevista de adjudicación, en formato dd-mm-aaaa</t>
        </r>
      </text>
    </comment>
    <comment ref="F5557" authorId="1" shapeId="0" xr:uid="{00000000-0006-0000-0100-0000C7150000}">
      <text/>
    </comment>
    <comment ref="F5558" authorId="1" shapeId="0" xr:uid="{00000000-0006-0000-0100-0000C8150000}">
      <text/>
    </comment>
    <comment ref="A5560" authorId="1" shapeId="0" xr:uid="{00000000-0006-0000-0100-0000C9150000}">
      <text>
        <r>
          <rPr>
            <sz val="11"/>
            <color theme="1"/>
            <rFont val="Calibri"/>
            <family val="2"/>
            <scheme val="minor"/>
          </rPr>
          <t>Introduzca un codigo UNSPSC</t>
        </r>
      </text>
    </comment>
    <comment ref="B5560" authorId="1" shapeId="0" xr:uid="{00000000-0006-0000-0100-0000CA150000}">
      <text>
        <r>
          <rPr>
            <sz val="11"/>
            <color theme="1"/>
            <rFont val="Calibri"/>
            <family val="2"/>
            <scheme val="minor"/>
          </rPr>
          <t>Descripción calculada automáticamente a partir de código del artículo</t>
        </r>
      </text>
    </comment>
    <comment ref="C5560" authorId="1" shapeId="0" xr:uid="{00000000-0006-0000-0100-0000CB150000}">
      <text>
        <r>
          <rPr>
            <sz val="11"/>
            <color theme="1"/>
            <rFont val="Calibri"/>
            <family val="2"/>
            <scheme val="minor"/>
          </rPr>
          <t>Seleccione un valor de la lista</t>
        </r>
      </text>
    </comment>
    <comment ref="D5560" authorId="1" shapeId="0" xr:uid="{00000000-0006-0000-0100-0000CC150000}">
      <text>
        <r>
          <rPr>
            <sz val="11"/>
            <color theme="1"/>
            <rFont val="Calibri"/>
            <family val="2"/>
            <scheme val="minor"/>
          </rPr>
          <t>Introduzca un número con dos decimales como máximo. Debe ser igual o mayor a la "Cantidad Real Consumida"</t>
        </r>
      </text>
    </comment>
    <comment ref="E5560" authorId="1" shapeId="0" xr:uid="{00000000-0006-0000-0100-0000CD150000}">
      <text>
        <r>
          <rPr>
            <sz val="11"/>
            <color theme="1"/>
            <rFont val="Calibri"/>
            <family val="2"/>
            <scheme val="minor"/>
          </rPr>
          <t>Introduzca un número con dos decimales como máximo</t>
        </r>
      </text>
    </comment>
    <comment ref="F5560" authorId="1" shapeId="0" xr:uid="{00000000-0006-0000-0100-0000CE150000}">
      <text>
        <r>
          <rPr>
            <sz val="11"/>
            <color theme="1"/>
            <rFont val="Calibri"/>
            <family val="2"/>
            <scheme val="minor"/>
          </rPr>
          <t>Monto calculado automáticamente por el sistema</t>
        </r>
      </text>
    </comment>
    <comment ref="A5568" authorId="1" shapeId="0" xr:uid="{00000000-0006-0000-0100-0000CF150000}">
      <text>
        <r>
          <rPr>
            <sz val="11"/>
            <color theme="1"/>
            <rFont val="Calibri"/>
            <family val="2"/>
            <scheme val="minor"/>
          </rPr>
          <t>Introducir un texto con el nombre o referencia de la contratación</t>
        </r>
      </text>
    </comment>
    <comment ref="B5568" authorId="1" shapeId="0" xr:uid="{00000000-0006-0000-0100-0000D0150000}">
      <text>
        <r>
          <rPr>
            <sz val="11"/>
            <color theme="1"/>
            <rFont val="Calibri"/>
            <family val="2"/>
            <scheme val="minor"/>
          </rPr>
          <t>Introduzca un texto con la finalidad de la contratación</t>
        </r>
      </text>
    </comment>
    <comment ref="C5568" authorId="1" shapeId="0" xr:uid="{00000000-0006-0000-0100-0000D1150000}">
      <text>
        <r>
          <rPr>
            <sz val="11"/>
            <color theme="1"/>
            <rFont val="Calibri"/>
            <family val="2"/>
            <scheme val="minor"/>
          </rPr>
          <t>Seleccionar un valor del listado</t>
        </r>
      </text>
    </comment>
    <comment ref="D5568" authorId="1" shapeId="0" xr:uid="{00000000-0006-0000-0100-0000D2150000}">
      <text>
        <r>
          <rPr>
            <sz val="11"/>
            <color theme="1"/>
            <rFont val="Calibri"/>
            <family val="2"/>
            <scheme val="minor"/>
          </rPr>
          <t>Seleccione el tipo de procedimiento</t>
        </r>
      </text>
    </comment>
    <comment ref="E5568" authorId="1" shapeId="0" xr:uid="{00000000-0006-0000-0100-0000D3150000}">
      <text>
        <r>
          <rPr>
            <sz val="11"/>
            <color theme="1"/>
            <rFont val="Calibri"/>
            <family val="2"/>
            <scheme val="minor"/>
          </rPr>
          <t>Seleccione un valor de la lista</t>
        </r>
      </text>
    </comment>
    <comment ref="F5568" authorId="1" shapeId="0" xr:uid="{00000000-0006-0000-0100-0000D4150000}">
      <text>
        <r>
          <rPr>
            <sz val="11"/>
            <color theme="1"/>
            <rFont val="Calibri"/>
            <family val="2"/>
            <scheme val="minor"/>
          </rPr>
          <t>Introduzca el código SNIP</t>
        </r>
      </text>
    </comment>
    <comment ref="C5569" authorId="1" shapeId="0" xr:uid="{00000000-0006-0000-0100-0000D5150000}">
      <text>
        <r>
          <rPr>
            <sz val="11"/>
            <color theme="1"/>
            <rFont val="Calibri"/>
            <family val="2"/>
            <scheme val="minor"/>
          </rPr>
          <t>Introduzca la fecha de inicio del proceso, en formato dd-mm-aaaa</t>
        </r>
      </text>
    </comment>
    <comment ref="F5569" authorId="1" shapeId="0" xr:uid="{00000000-0006-0000-0100-0000D71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70" authorId="1" shapeId="0" xr:uid="{00000000-0006-0000-0100-0000D8150000}">
      <text/>
    </comment>
    <comment ref="C5571" authorId="1" shapeId="0" xr:uid="{00000000-0006-0000-0100-0000D6150000}">
      <text>
        <r>
          <rPr>
            <sz val="11"/>
            <color theme="1"/>
            <rFont val="Calibri"/>
            <family val="2"/>
            <scheme val="minor"/>
          </rPr>
          <t>Introduzca la fecha prevista de adjudicación, en formato dd-mm-aaaa</t>
        </r>
      </text>
    </comment>
    <comment ref="F5571" authorId="1" shapeId="0" xr:uid="{00000000-0006-0000-0100-0000D9150000}">
      <text/>
    </comment>
    <comment ref="F5572" authorId="1" shapeId="0" xr:uid="{00000000-0006-0000-0100-0000DA150000}">
      <text/>
    </comment>
    <comment ref="A5574" authorId="1" shapeId="0" xr:uid="{00000000-0006-0000-0100-0000DB150000}">
      <text>
        <r>
          <rPr>
            <sz val="11"/>
            <color theme="1"/>
            <rFont val="Calibri"/>
            <family val="2"/>
            <scheme val="minor"/>
          </rPr>
          <t>Introduzca un codigo UNSPSC</t>
        </r>
      </text>
    </comment>
    <comment ref="B5574" authorId="1" shapeId="0" xr:uid="{00000000-0006-0000-0100-0000DC150000}">
      <text>
        <r>
          <rPr>
            <sz val="11"/>
            <color theme="1"/>
            <rFont val="Calibri"/>
            <family val="2"/>
            <scheme val="minor"/>
          </rPr>
          <t>Descripción calculada automáticamente a partir de código del artículo</t>
        </r>
      </text>
    </comment>
    <comment ref="C5574" authorId="1" shapeId="0" xr:uid="{00000000-0006-0000-0100-0000DD150000}">
      <text>
        <r>
          <rPr>
            <sz val="11"/>
            <color theme="1"/>
            <rFont val="Calibri"/>
            <family val="2"/>
            <scheme val="minor"/>
          </rPr>
          <t>Seleccione un valor de la lista</t>
        </r>
      </text>
    </comment>
    <comment ref="D5574" authorId="1" shapeId="0" xr:uid="{00000000-0006-0000-0100-0000DE150000}">
      <text>
        <r>
          <rPr>
            <sz val="11"/>
            <color theme="1"/>
            <rFont val="Calibri"/>
            <family val="2"/>
            <scheme val="minor"/>
          </rPr>
          <t>Introduzca un número con dos decimales como máximo. Debe ser igual o mayor a la "Cantidad Real Consumida"</t>
        </r>
      </text>
    </comment>
    <comment ref="E5574" authorId="1" shapeId="0" xr:uid="{00000000-0006-0000-0100-0000DF150000}">
      <text>
        <r>
          <rPr>
            <sz val="11"/>
            <color theme="1"/>
            <rFont val="Calibri"/>
            <family val="2"/>
            <scheme val="minor"/>
          </rPr>
          <t>Introduzca un número con dos decimales como máximo</t>
        </r>
      </text>
    </comment>
    <comment ref="F5574" authorId="1" shapeId="0" xr:uid="{00000000-0006-0000-0100-0000E0150000}">
      <text>
        <r>
          <rPr>
            <sz val="11"/>
            <color theme="1"/>
            <rFont val="Calibri"/>
            <family val="2"/>
            <scheme val="minor"/>
          </rPr>
          <t>Monto calculado automáticamente por el sistema</t>
        </r>
      </text>
    </comment>
    <comment ref="A5581" authorId="1" shapeId="0" xr:uid="{00000000-0006-0000-0100-0000E1150000}">
      <text>
        <r>
          <rPr>
            <sz val="11"/>
            <color theme="1"/>
            <rFont val="Calibri"/>
            <family val="2"/>
            <scheme val="minor"/>
          </rPr>
          <t>Introducir un texto con el nombre o referencia de la contratación</t>
        </r>
      </text>
    </comment>
    <comment ref="B5581" authorId="1" shapeId="0" xr:uid="{00000000-0006-0000-0100-0000E2150000}">
      <text>
        <r>
          <rPr>
            <sz val="11"/>
            <color theme="1"/>
            <rFont val="Calibri"/>
            <family val="2"/>
            <scheme val="minor"/>
          </rPr>
          <t>Introduzca un texto con la finalidad de la contratación</t>
        </r>
      </text>
    </comment>
    <comment ref="C5581" authorId="1" shapeId="0" xr:uid="{00000000-0006-0000-0100-0000E3150000}">
      <text>
        <r>
          <rPr>
            <sz val="11"/>
            <color theme="1"/>
            <rFont val="Calibri"/>
            <family val="2"/>
            <scheme val="minor"/>
          </rPr>
          <t>Seleccionar un valor del listado</t>
        </r>
      </text>
    </comment>
    <comment ref="D5581" authorId="1" shapeId="0" xr:uid="{00000000-0006-0000-0100-0000E4150000}">
      <text>
        <r>
          <rPr>
            <sz val="11"/>
            <color theme="1"/>
            <rFont val="Calibri"/>
            <family val="2"/>
            <scheme val="minor"/>
          </rPr>
          <t>Seleccione el tipo de procedimiento</t>
        </r>
      </text>
    </comment>
    <comment ref="E5581" authorId="1" shapeId="0" xr:uid="{00000000-0006-0000-0100-0000E5150000}">
      <text>
        <r>
          <rPr>
            <sz val="11"/>
            <color theme="1"/>
            <rFont val="Calibri"/>
            <family val="2"/>
            <scheme val="minor"/>
          </rPr>
          <t>Seleccione un valor de la lista</t>
        </r>
      </text>
    </comment>
    <comment ref="F5581" authorId="1" shapeId="0" xr:uid="{00000000-0006-0000-0100-0000E6150000}">
      <text>
        <r>
          <rPr>
            <sz val="11"/>
            <color theme="1"/>
            <rFont val="Calibri"/>
            <family val="2"/>
            <scheme val="minor"/>
          </rPr>
          <t>Introduzca el código SNIP</t>
        </r>
      </text>
    </comment>
    <comment ref="C5582" authorId="1" shapeId="0" xr:uid="{00000000-0006-0000-0100-0000E7150000}">
      <text>
        <r>
          <rPr>
            <sz val="11"/>
            <color theme="1"/>
            <rFont val="Calibri"/>
            <family val="2"/>
            <scheme val="minor"/>
          </rPr>
          <t>Introduzca la fecha de inicio del proceso, en formato dd-mm-aaaa</t>
        </r>
      </text>
    </comment>
    <comment ref="F5582" authorId="1" shapeId="0" xr:uid="{00000000-0006-0000-0100-0000E91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83" authorId="1" shapeId="0" xr:uid="{00000000-0006-0000-0100-0000EA150000}">
      <text/>
    </comment>
    <comment ref="C5584" authorId="1" shapeId="0" xr:uid="{00000000-0006-0000-0100-0000E8150000}">
      <text>
        <r>
          <rPr>
            <sz val="11"/>
            <color theme="1"/>
            <rFont val="Calibri"/>
            <family val="2"/>
            <scheme val="minor"/>
          </rPr>
          <t>Introduzca la fecha prevista de adjudicación, en formato dd-mm-aaaa</t>
        </r>
      </text>
    </comment>
    <comment ref="F5584" authorId="1" shapeId="0" xr:uid="{00000000-0006-0000-0100-0000EB150000}">
      <text/>
    </comment>
    <comment ref="F5585" authorId="1" shapeId="0" xr:uid="{00000000-0006-0000-0100-0000EC150000}">
      <text/>
    </comment>
    <comment ref="A5587" authorId="1" shapeId="0" xr:uid="{00000000-0006-0000-0100-0000ED150000}">
      <text>
        <r>
          <rPr>
            <sz val="11"/>
            <color theme="1"/>
            <rFont val="Calibri"/>
            <family val="2"/>
            <scheme val="minor"/>
          </rPr>
          <t>Introduzca un codigo UNSPSC</t>
        </r>
      </text>
    </comment>
    <comment ref="B5587" authorId="1" shapeId="0" xr:uid="{00000000-0006-0000-0100-0000EE150000}">
      <text>
        <r>
          <rPr>
            <sz val="11"/>
            <color theme="1"/>
            <rFont val="Calibri"/>
            <family val="2"/>
            <scheme val="minor"/>
          </rPr>
          <t>Descripción calculada automáticamente a partir de código del artículo</t>
        </r>
      </text>
    </comment>
    <comment ref="C5587" authorId="1" shapeId="0" xr:uid="{00000000-0006-0000-0100-0000EF150000}">
      <text>
        <r>
          <rPr>
            <sz val="11"/>
            <color theme="1"/>
            <rFont val="Calibri"/>
            <family val="2"/>
            <scheme val="minor"/>
          </rPr>
          <t>Seleccione un valor de la lista</t>
        </r>
      </text>
    </comment>
    <comment ref="D5587" authorId="1" shapeId="0" xr:uid="{00000000-0006-0000-0100-0000F0150000}">
      <text>
        <r>
          <rPr>
            <sz val="11"/>
            <color theme="1"/>
            <rFont val="Calibri"/>
            <family val="2"/>
            <scheme val="minor"/>
          </rPr>
          <t>Introduzca un número con dos decimales como máximo. Debe ser igual o mayor a la "Cantidad Real Consumida"</t>
        </r>
      </text>
    </comment>
    <comment ref="E5587" authorId="1" shapeId="0" xr:uid="{00000000-0006-0000-0100-0000F1150000}">
      <text>
        <r>
          <rPr>
            <sz val="11"/>
            <color theme="1"/>
            <rFont val="Calibri"/>
            <family val="2"/>
            <scheme val="minor"/>
          </rPr>
          <t>Introduzca un número con dos decimales como máximo</t>
        </r>
      </text>
    </comment>
    <comment ref="F5587" authorId="1" shapeId="0" xr:uid="{00000000-0006-0000-0100-0000F2150000}">
      <text>
        <r>
          <rPr>
            <sz val="11"/>
            <color theme="1"/>
            <rFont val="Calibri"/>
            <family val="2"/>
            <scheme val="minor"/>
          </rPr>
          <t>Monto calculado automáticamente por el sistema</t>
        </r>
      </text>
    </comment>
    <comment ref="A5593" authorId="1" shapeId="0" xr:uid="{00000000-0006-0000-0100-0000F3150000}">
      <text>
        <r>
          <rPr>
            <sz val="11"/>
            <color theme="1"/>
            <rFont val="Calibri"/>
            <family val="2"/>
            <scheme val="minor"/>
          </rPr>
          <t>Introducir un texto con el nombre o referencia de la contratación</t>
        </r>
      </text>
    </comment>
    <comment ref="B5593" authorId="1" shapeId="0" xr:uid="{00000000-0006-0000-0100-0000F4150000}">
      <text>
        <r>
          <rPr>
            <sz val="11"/>
            <color theme="1"/>
            <rFont val="Calibri"/>
            <family val="2"/>
            <scheme val="minor"/>
          </rPr>
          <t>Introduzca un texto con la finalidad de la contratación</t>
        </r>
      </text>
    </comment>
    <comment ref="C5593" authorId="1" shapeId="0" xr:uid="{00000000-0006-0000-0100-0000F5150000}">
      <text>
        <r>
          <rPr>
            <sz val="11"/>
            <color theme="1"/>
            <rFont val="Calibri"/>
            <family val="2"/>
            <scheme val="minor"/>
          </rPr>
          <t>Seleccionar un valor del listado</t>
        </r>
      </text>
    </comment>
    <comment ref="D5593" authorId="1" shapeId="0" xr:uid="{00000000-0006-0000-0100-0000F6150000}">
      <text>
        <r>
          <rPr>
            <sz val="11"/>
            <color theme="1"/>
            <rFont val="Calibri"/>
            <family val="2"/>
            <scheme val="minor"/>
          </rPr>
          <t>Seleccione el tipo de procedimiento</t>
        </r>
      </text>
    </comment>
    <comment ref="E5593" authorId="1" shapeId="0" xr:uid="{00000000-0006-0000-0100-0000F7150000}">
      <text>
        <r>
          <rPr>
            <sz val="11"/>
            <color theme="1"/>
            <rFont val="Calibri"/>
            <family val="2"/>
            <scheme val="minor"/>
          </rPr>
          <t>Seleccione un valor de la lista</t>
        </r>
      </text>
    </comment>
    <comment ref="F5593" authorId="1" shapeId="0" xr:uid="{00000000-0006-0000-0100-0000F8150000}">
      <text>
        <r>
          <rPr>
            <sz val="11"/>
            <color theme="1"/>
            <rFont val="Calibri"/>
            <family val="2"/>
            <scheme val="minor"/>
          </rPr>
          <t>Introduzca el código SNIP</t>
        </r>
      </text>
    </comment>
    <comment ref="C5594" authorId="1" shapeId="0" xr:uid="{00000000-0006-0000-0100-0000F9150000}">
      <text>
        <r>
          <rPr>
            <sz val="11"/>
            <color theme="1"/>
            <rFont val="Calibri"/>
            <family val="2"/>
            <scheme val="minor"/>
          </rPr>
          <t>Introduzca la fecha de inicio del proceso, en formato dd-mm-aaaa</t>
        </r>
      </text>
    </comment>
    <comment ref="F5594" authorId="1" shapeId="0" xr:uid="{00000000-0006-0000-0100-0000FB1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95" authorId="1" shapeId="0" xr:uid="{00000000-0006-0000-0100-0000FC150000}">
      <text/>
    </comment>
    <comment ref="C5596" authorId="1" shapeId="0" xr:uid="{00000000-0006-0000-0100-0000FA150000}">
      <text>
        <r>
          <rPr>
            <sz val="11"/>
            <color theme="1"/>
            <rFont val="Calibri"/>
            <family val="2"/>
            <scheme val="minor"/>
          </rPr>
          <t>Introduzca la fecha prevista de adjudicación, en formato dd-mm-aaaa</t>
        </r>
      </text>
    </comment>
    <comment ref="F5596" authorId="1" shapeId="0" xr:uid="{00000000-0006-0000-0100-0000FD150000}">
      <text/>
    </comment>
    <comment ref="F5597" authorId="1" shapeId="0" xr:uid="{00000000-0006-0000-0100-0000FE150000}">
      <text/>
    </comment>
    <comment ref="A5599" authorId="1" shapeId="0" xr:uid="{00000000-0006-0000-0100-0000FF150000}">
      <text>
        <r>
          <rPr>
            <sz val="11"/>
            <color theme="1"/>
            <rFont val="Calibri"/>
            <family val="2"/>
            <scheme val="minor"/>
          </rPr>
          <t>Introduzca un codigo UNSPSC</t>
        </r>
      </text>
    </comment>
    <comment ref="B5599" authorId="1" shapeId="0" xr:uid="{00000000-0006-0000-0100-000000160000}">
      <text>
        <r>
          <rPr>
            <sz val="11"/>
            <color theme="1"/>
            <rFont val="Calibri"/>
            <family val="2"/>
            <scheme val="minor"/>
          </rPr>
          <t>Descripción calculada automáticamente a partir de código del artículo</t>
        </r>
      </text>
    </comment>
    <comment ref="C5599" authorId="1" shapeId="0" xr:uid="{00000000-0006-0000-0100-000001160000}">
      <text>
        <r>
          <rPr>
            <sz val="11"/>
            <color theme="1"/>
            <rFont val="Calibri"/>
            <family val="2"/>
            <scheme val="minor"/>
          </rPr>
          <t>Seleccione un valor de la lista</t>
        </r>
      </text>
    </comment>
    <comment ref="D5599" authorId="1" shapeId="0" xr:uid="{00000000-0006-0000-0100-000002160000}">
      <text>
        <r>
          <rPr>
            <sz val="11"/>
            <color theme="1"/>
            <rFont val="Calibri"/>
            <family val="2"/>
            <scheme val="minor"/>
          </rPr>
          <t>Introduzca un número con dos decimales como máximo. Debe ser igual o mayor a la "Cantidad Real Consumida"</t>
        </r>
      </text>
    </comment>
    <comment ref="E5599" authorId="1" shapeId="0" xr:uid="{00000000-0006-0000-0100-000003160000}">
      <text>
        <r>
          <rPr>
            <sz val="11"/>
            <color theme="1"/>
            <rFont val="Calibri"/>
            <family val="2"/>
            <scheme val="minor"/>
          </rPr>
          <t>Introduzca un número con dos decimales como máximo</t>
        </r>
      </text>
    </comment>
    <comment ref="F5599" authorId="1" shapeId="0" xr:uid="{00000000-0006-0000-0100-000004160000}">
      <text>
        <r>
          <rPr>
            <sz val="11"/>
            <color theme="1"/>
            <rFont val="Calibri"/>
            <family val="2"/>
            <scheme val="minor"/>
          </rPr>
          <t>Monto calculado automáticamente por el sistema</t>
        </r>
      </text>
    </comment>
    <comment ref="A5604" authorId="1" shapeId="0" xr:uid="{00000000-0006-0000-0100-000005160000}">
      <text>
        <r>
          <rPr>
            <sz val="11"/>
            <color theme="1"/>
            <rFont val="Calibri"/>
            <family val="2"/>
            <scheme val="minor"/>
          </rPr>
          <t>Introducir un texto con el nombre o referencia de la contratación</t>
        </r>
      </text>
    </comment>
    <comment ref="B5604" authorId="1" shapeId="0" xr:uid="{00000000-0006-0000-0100-000006160000}">
      <text>
        <r>
          <rPr>
            <sz val="11"/>
            <color theme="1"/>
            <rFont val="Calibri"/>
            <family val="2"/>
            <scheme val="minor"/>
          </rPr>
          <t>Introduzca un texto con la finalidad de la contratación</t>
        </r>
      </text>
    </comment>
    <comment ref="C5604" authorId="1" shapeId="0" xr:uid="{00000000-0006-0000-0100-000007160000}">
      <text>
        <r>
          <rPr>
            <sz val="11"/>
            <color theme="1"/>
            <rFont val="Calibri"/>
            <family val="2"/>
            <scheme val="minor"/>
          </rPr>
          <t>Seleccionar un valor del listado</t>
        </r>
      </text>
    </comment>
    <comment ref="D5604" authorId="1" shapeId="0" xr:uid="{00000000-0006-0000-0100-000008160000}">
      <text>
        <r>
          <rPr>
            <sz val="11"/>
            <color theme="1"/>
            <rFont val="Calibri"/>
            <family val="2"/>
            <scheme val="minor"/>
          </rPr>
          <t>Seleccione el tipo de procedimiento</t>
        </r>
      </text>
    </comment>
    <comment ref="E5604" authorId="1" shapeId="0" xr:uid="{00000000-0006-0000-0100-000009160000}">
      <text>
        <r>
          <rPr>
            <sz val="11"/>
            <color theme="1"/>
            <rFont val="Calibri"/>
            <family val="2"/>
            <scheme val="minor"/>
          </rPr>
          <t>Seleccione un valor de la lista</t>
        </r>
      </text>
    </comment>
    <comment ref="F5604" authorId="1" shapeId="0" xr:uid="{00000000-0006-0000-0100-00000A160000}">
      <text>
        <r>
          <rPr>
            <sz val="11"/>
            <color theme="1"/>
            <rFont val="Calibri"/>
            <family val="2"/>
            <scheme val="minor"/>
          </rPr>
          <t>Introduzca el código SNIP</t>
        </r>
      </text>
    </comment>
    <comment ref="C5605" authorId="1" shapeId="0" xr:uid="{00000000-0006-0000-0100-00000B160000}">
      <text>
        <r>
          <rPr>
            <sz val="11"/>
            <color theme="1"/>
            <rFont val="Calibri"/>
            <family val="2"/>
            <scheme val="minor"/>
          </rPr>
          <t>Introduzca la fecha de inicio del proceso, en formato dd-mm-aaaa</t>
        </r>
      </text>
    </comment>
    <comment ref="F5605" authorId="1" shapeId="0" xr:uid="{00000000-0006-0000-0100-00000D1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06" authorId="1" shapeId="0" xr:uid="{00000000-0006-0000-0100-00000E160000}">
      <text/>
    </comment>
    <comment ref="C5607" authorId="1" shapeId="0" xr:uid="{00000000-0006-0000-0100-00000C160000}">
      <text>
        <r>
          <rPr>
            <sz val="11"/>
            <color theme="1"/>
            <rFont val="Calibri"/>
            <family val="2"/>
            <scheme val="minor"/>
          </rPr>
          <t>Introduzca la fecha prevista de adjudicación, en formato dd-mm-aaaa</t>
        </r>
      </text>
    </comment>
    <comment ref="F5607" authorId="1" shapeId="0" xr:uid="{00000000-0006-0000-0100-00000F160000}">
      <text/>
    </comment>
    <comment ref="F5608" authorId="1" shapeId="0" xr:uid="{00000000-0006-0000-0100-000010160000}">
      <text/>
    </comment>
    <comment ref="A5610" authorId="1" shapeId="0" xr:uid="{00000000-0006-0000-0100-000011160000}">
      <text>
        <r>
          <rPr>
            <sz val="11"/>
            <color theme="1"/>
            <rFont val="Calibri"/>
            <family val="2"/>
            <scheme val="minor"/>
          </rPr>
          <t>Introduzca un codigo UNSPSC</t>
        </r>
      </text>
    </comment>
    <comment ref="B5610" authorId="1" shapeId="0" xr:uid="{00000000-0006-0000-0100-000012160000}">
      <text>
        <r>
          <rPr>
            <sz val="11"/>
            <color theme="1"/>
            <rFont val="Calibri"/>
            <family val="2"/>
            <scheme val="minor"/>
          </rPr>
          <t>Descripción calculada automáticamente a partir de código del artículo</t>
        </r>
      </text>
    </comment>
    <comment ref="C5610" authorId="1" shapeId="0" xr:uid="{00000000-0006-0000-0100-000013160000}">
      <text>
        <r>
          <rPr>
            <sz val="11"/>
            <color theme="1"/>
            <rFont val="Calibri"/>
            <family val="2"/>
            <scheme val="minor"/>
          </rPr>
          <t>Seleccione un valor de la lista</t>
        </r>
      </text>
    </comment>
    <comment ref="D5610" authorId="1" shapeId="0" xr:uid="{00000000-0006-0000-0100-000014160000}">
      <text>
        <r>
          <rPr>
            <sz val="11"/>
            <color theme="1"/>
            <rFont val="Calibri"/>
            <family val="2"/>
            <scheme val="minor"/>
          </rPr>
          <t>Introduzca un número con dos decimales como máximo. Debe ser igual o mayor a la "Cantidad Real Consumida"</t>
        </r>
      </text>
    </comment>
    <comment ref="E5610" authorId="1" shapeId="0" xr:uid="{00000000-0006-0000-0100-000015160000}">
      <text>
        <r>
          <rPr>
            <sz val="11"/>
            <color theme="1"/>
            <rFont val="Calibri"/>
            <family val="2"/>
            <scheme val="minor"/>
          </rPr>
          <t>Introduzca un número con dos decimales como máximo</t>
        </r>
      </text>
    </comment>
    <comment ref="F5610" authorId="1" shapeId="0" xr:uid="{00000000-0006-0000-0100-000016160000}">
      <text>
        <r>
          <rPr>
            <sz val="11"/>
            <color theme="1"/>
            <rFont val="Calibri"/>
            <family val="2"/>
            <scheme val="minor"/>
          </rPr>
          <t>Monto calculado automáticamente por el sistema</t>
        </r>
      </text>
    </comment>
    <comment ref="A5615" authorId="1" shapeId="0" xr:uid="{00000000-0006-0000-0100-000017160000}">
      <text>
        <r>
          <rPr>
            <sz val="11"/>
            <color theme="1"/>
            <rFont val="Calibri"/>
            <family val="2"/>
            <scheme val="minor"/>
          </rPr>
          <t>Introducir un texto con el nombre o referencia de la contratación</t>
        </r>
      </text>
    </comment>
    <comment ref="B5615" authorId="1" shapeId="0" xr:uid="{00000000-0006-0000-0100-000018160000}">
      <text>
        <r>
          <rPr>
            <sz val="11"/>
            <color theme="1"/>
            <rFont val="Calibri"/>
            <family val="2"/>
            <scheme val="minor"/>
          </rPr>
          <t>Introduzca un texto con la finalidad de la contratación</t>
        </r>
      </text>
    </comment>
    <comment ref="C5615" authorId="1" shapeId="0" xr:uid="{00000000-0006-0000-0100-000019160000}">
      <text>
        <r>
          <rPr>
            <sz val="11"/>
            <color theme="1"/>
            <rFont val="Calibri"/>
            <family val="2"/>
            <scheme val="minor"/>
          </rPr>
          <t>Seleccionar un valor del listado</t>
        </r>
      </text>
    </comment>
    <comment ref="D5615" authorId="1" shapeId="0" xr:uid="{00000000-0006-0000-0100-00001A160000}">
      <text>
        <r>
          <rPr>
            <sz val="11"/>
            <color theme="1"/>
            <rFont val="Calibri"/>
            <family val="2"/>
            <scheme val="minor"/>
          </rPr>
          <t>Seleccione el tipo de procedimiento</t>
        </r>
      </text>
    </comment>
    <comment ref="E5615" authorId="1" shapeId="0" xr:uid="{00000000-0006-0000-0100-00001B160000}">
      <text>
        <r>
          <rPr>
            <sz val="11"/>
            <color theme="1"/>
            <rFont val="Calibri"/>
            <family val="2"/>
            <scheme val="minor"/>
          </rPr>
          <t>Seleccione un valor de la lista</t>
        </r>
      </text>
    </comment>
    <comment ref="F5615" authorId="1" shapeId="0" xr:uid="{00000000-0006-0000-0100-00001C160000}">
      <text>
        <r>
          <rPr>
            <sz val="11"/>
            <color theme="1"/>
            <rFont val="Calibri"/>
            <family val="2"/>
            <scheme val="minor"/>
          </rPr>
          <t>Introduzca el código SNIP</t>
        </r>
      </text>
    </comment>
    <comment ref="C5616" authorId="1" shapeId="0" xr:uid="{00000000-0006-0000-0100-00001D160000}">
      <text>
        <r>
          <rPr>
            <sz val="11"/>
            <color theme="1"/>
            <rFont val="Calibri"/>
            <family val="2"/>
            <scheme val="minor"/>
          </rPr>
          <t>Introduzca la fecha de inicio del proceso, en formato dd-mm-aaaa</t>
        </r>
      </text>
    </comment>
    <comment ref="F5616" authorId="1" shapeId="0" xr:uid="{00000000-0006-0000-0100-00001F1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17" authorId="1" shapeId="0" xr:uid="{00000000-0006-0000-0100-000020160000}">
      <text/>
    </comment>
    <comment ref="C5618" authorId="1" shapeId="0" xr:uid="{00000000-0006-0000-0100-00001E160000}">
      <text>
        <r>
          <rPr>
            <sz val="11"/>
            <color theme="1"/>
            <rFont val="Calibri"/>
            <family val="2"/>
            <scheme val="minor"/>
          </rPr>
          <t>Introduzca la fecha prevista de adjudicación, en formato dd-mm-aaaa</t>
        </r>
      </text>
    </comment>
    <comment ref="F5618" authorId="1" shapeId="0" xr:uid="{00000000-0006-0000-0100-000021160000}">
      <text/>
    </comment>
    <comment ref="F5619" authorId="1" shapeId="0" xr:uid="{00000000-0006-0000-0100-000022160000}">
      <text/>
    </comment>
    <comment ref="A5621" authorId="1" shapeId="0" xr:uid="{00000000-0006-0000-0100-000023160000}">
      <text>
        <r>
          <rPr>
            <sz val="11"/>
            <color theme="1"/>
            <rFont val="Calibri"/>
            <family val="2"/>
            <scheme val="minor"/>
          </rPr>
          <t>Introduzca un codigo UNSPSC</t>
        </r>
      </text>
    </comment>
    <comment ref="B5621" authorId="1" shapeId="0" xr:uid="{00000000-0006-0000-0100-000024160000}">
      <text>
        <r>
          <rPr>
            <sz val="11"/>
            <color theme="1"/>
            <rFont val="Calibri"/>
            <family val="2"/>
            <scheme val="minor"/>
          </rPr>
          <t>Descripción calculada automáticamente a partir de código del artículo</t>
        </r>
      </text>
    </comment>
    <comment ref="C5621" authorId="1" shapeId="0" xr:uid="{00000000-0006-0000-0100-000025160000}">
      <text>
        <r>
          <rPr>
            <sz val="11"/>
            <color theme="1"/>
            <rFont val="Calibri"/>
            <family val="2"/>
            <scheme val="minor"/>
          </rPr>
          <t>Seleccione un valor de la lista</t>
        </r>
      </text>
    </comment>
    <comment ref="D5621" authorId="1" shapeId="0" xr:uid="{00000000-0006-0000-0100-000026160000}">
      <text>
        <r>
          <rPr>
            <sz val="11"/>
            <color theme="1"/>
            <rFont val="Calibri"/>
            <family val="2"/>
            <scheme val="minor"/>
          </rPr>
          <t>Introduzca un número con dos decimales como máximo. Debe ser igual o mayor a la "Cantidad Real Consumida"</t>
        </r>
      </text>
    </comment>
    <comment ref="E5621" authorId="1" shapeId="0" xr:uid="{00000000-0006-0000-0100-000027160000}">
      <text>
        <r>
          <rPr>
            <sz val="11"/>
            <color theme="1"/>
            <rFont val="Calibri"/>
            <family val="2"/>
            <scheme val="minor"/>
          </rPr>
          <t>Introduzca un número con dos decimales como máximo</t>
        </r>
      </text>
    </comment>
    <comment ref="F5621" authorId="1" shapeId="0" xr:uid="{00000000-0006-0000-0100-000028160000}">
      <text>
        <r>
          <rPr>
            <sz val="11"/>
            <color theme="1"/>
            <rFont val="Calibri"/>
            <family val="2"/>
            <scheme val="minor"/>
          </rPr>
          <t>Monto calculado automáticamente por el sistema</t>
        </r>
      </text>
    </comment>
    <comment ref="A5628" authorId="1" shapeId="0" xr:uid="{00000000-0006-0000-0100-000029160000}">
      <text>
        <r>
          <rPr>
            <sz val="11"/>
            <color theme="1"/>
            <rFont val="Calibri"/>
            <family val="2"/>
            <scheme val="minor"/>
          </rPr>
          <t>Introducir un texto con el nombre o referencia de la contratación</t>
        </r>
      </text>
    </comment>
    <comment ref="B5628" authorId="1" shapeId="0" xr:uid="{00000000-0006-0000-0100-00002A160000}">
      <text>
        <r>
          <rPr>
            <sz val="11"/>
            <color theme="1"/>
            <rFont val="Calibri"/>
            <family val="2"/>
            <scheme val="minor"/>
          </rPr>
          <t>Introduzca un texto con la finalidad de la contratación</t>
        </r>
      </text>
    </comment>
    <comment ref="C5628" authorId="1" shapeId="0" xr:uid="{00000000-0006-0000-0100-00002B160000}">
      <text>
        <r>
          <rPr>
            <sz val="11"/>
            <color theme="1"/>
            <rFont val="Calibri"/>
            <family val="2"/>
            <scheme val="minor"/>
          </rPr>
          <t>Seleccionar un valor del listado</t>
        </r>
      </text>
    </comment>
    <comment ref="D5628" authorId="1" shapeId="0" xr:uid="{00000000-0006-0000-0100-00002C160000}">
      <text>
        <r>
          <rPr>
            <sz val="11"/>
            <color theme="1"/>
            <rFont val="Calibri"/>
            <family val="2"/>
            <scheme val="minor"/>
          </rPr>
          <t>Seleccione el tipo de procedimiento</t>
        </r>
      </text>
    </comment>
    <comment ref="E5628" authorId="1" shapeId="0" xr:uid="{00000000-0006-0000-0100-00002D160000}">
      <text>
        <r>
          <rPr>
            <sz val="11"/>
            <color theme="1"/>
            <rFont val="Calibri"/>
            <family val="2"/>
            <scheme val="minor"/>
          </rPr>
          <t>Seleccione un valor de la lista</t>
        </r>
      </text>
    </comment>
    <comment ref="F5628" authorId="1" shapeId="0" xr:uid="{00000000-0006-0000-0100-00002E160000}">
      <text>
        <r>
          <rPr>
            <sz val="11"/>
            <color theme="1"/>
            <rFont val="Calibri"/>
            <family val="2"/>
            <scheme val="minor"/>
          </rPr>
          <t>Introduzca el código SNIP</t>
        </r>
      </text>
    </comment>
    <comment ref="C5629" authorId="1" shapeId="0" xr:uid="{00000000-0006-0000-0100-00002F160000}">
      <text>
        <r>
          <rPr>
            <sz val="11"/>
            <color theme="1"/>
            <rFont val="Calibri"/>
            <family val="2"/>
            <scheme val="minor"/>
          </rPr>
          <t>Introduzca la fecha de inicio del proceso, en formato dd-mm-aaaa</t>
        </r>
      </text>
    </comment>
    <comment ref="F5629" authorId="1" shapeId="0" xr:uid="{00000000-0006-0000-0100-0000311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30" authorId="1" shapeId="0" xr:uid="{00000000-0006-0000-0100-000032160000}">
      <text/>
    </comment>
    <comment ref="C5631" authorId="1" shapeId="0" xr:uid="{00000000-0006-0000-0100-000030160000}">
      <text>
        <r>
          <rPr>
            <sz val="11"/>
            <color theme="1"/>
            <rFont val="Calibri"/>
            <family val="2"/>
            <scheme val="minor"/>
          </rPr>
          <t>Introduzca la fecha prevista de adjudicación, en formato dd-mm-aaaa</t>
        </r>
      </text>
    </comment>
    <comment ref="F5631" authorId="1" shapeId="0" xr:uid="{00000000-0006-0000-0100-000033160000}">
      <text/>
    </comment>
    <comment ref="F5632" authorId="1" shapeId="0" xr:uid="{00000000-0006-0000-0100-000034160000}">
      <text/>
    </comment>
    <comment ref="A5634" authorId="1" shapeId="0" xr:uid="{00000000-0006-0000-0100-000035160000}">
      <text>
        <r>
          <rPr>
            <sz val="11"/>
            <color theme="1"/>
            <rFont val="Calibri"/>
            <family val="2"/>
            <scheme val="minor"/>
          </rPr>
          <t>Introduzca un codigo UNSPSC</t>
        </r>
      </text>
    </comment>
    <comment ref="B5634" authorId="1" shapeId="0" xr:uid="{00000000-0006-0000-0100-000036160000}">
      <text>
        <r>
          <rPr>
            <sz val="11"/>
            <color theme="1"/>
            <rFont val="Calibri"/>
            <family val="2"/>
            <scheme val="minor"/>
          </rPr>
          <t>Descripción calculada automáticamente a partir de código del artículo</t>
        </r>
      </text>
    </comment>
    <comment ref="C5634" authorId="1" shapeId="0" xr:uid="{00000000-0006-0000-0100-000037160000}">
      <text>
        <r>
          <rPr>
            <sz val="11"/>
            <color theme="1"/>
            <rFont val="Calibri"/>
            <family val="2"/>
            <scheme val="minor"/>
          </rPr>
          <t>Seleccione un valor de la lista</t>
        </r>
      </text>
    </comment>
    <comment ref="D5634" authorId="1" shapeId="0" xr:uid="{00000000-0006-0000-0100-000038160000}">
      <text>
        <r>
          <rPr>
            <sz val="11"/>
            <color theme="1"/>
            <rFont val="Calibri"/>
            <family val="2"/>
            <scheme val="minor"/>
          </rPr>
          <t>Introduzca un número con dos decimales como máximo. Debe ser igual o mayor a la "Cantidad Real Consumida"</t>
        </r>
      </text>
    </comment>
    <comment ref="E5634" authorId="1" shapeId="0" xr:uid="{00000000-0006-0000-0100-000039160000}">
      <text>
        <r>
          <rPr>
            <sz val="11"/>
            <color theme="1"/>
            <rFont val="Calibri"/>
            <family val="2"/>
            <scheme val="minor"/>
          </rPr>
          <t>Introduzca un número con dos decimales como máximo</t>
        </r>
      </text>
    </comment>
    <comment ref="F5634" authorId="1" shapeId="0" xr:uid="{00000000-0006-0000-0100-00003A160000}">
      <text>
        <r>
          <rPr>
            <sz val="11"/>
            <color theme="1"/>
            <rFont val="Calibri"/>
            <family val="2"/>
            <scheme val="minor"/>
          </rPr>
          <t>Monto calculado automáticamente por el sistema</t>
        </r>
      </text>
    </comment>
    <comment ref="A5639" authorId="1" shapeId="0" xr:uid="{00000000-0006-0000-0100-00003B160000}">
      <text>
        <r>
          <rPr>
            <sz val="11"/>
            <color theme="1"/>
            <rFont val="Calibri"/>
            <family val="2"/>
            <scheme val="minor"/>
          </rPr>
          <t>Introducir un texto con el nombre o referencia de la contratación</t>
        </r>
      </text>
    </comment>
    <comment ref="B5639" authorId="1" shapeId="0" xr:uid="{00000000-0006-0000-0100-00003C160000}">
      <text>
        <r>
          <rPr>
            <sz val="11"/>
            <color theme="1"/>
            <rFont val="Calibri"/>
            <family val="2"/>
            <scheme val="minor"/>
          </rPr>
          <t>Introduzca un texto con la finalidad de la contratación</t>
        </r>
      </text>
    </comment>
    <comment ref="C5639" authorId="1" shapeId="0" xr:uid="{00000000-0006-0000-0100-00003D160000}">
      <text>
        <r>
          <rPr>
            <sz val="11"/>
            <color theme="1"/>
            <rFont val="Calibri"/>
            <family val="2"/>
            <scheme val="minor"/>
          </rPr>
          <t>Seleccionar un valor del listado</t>
        </r>
      </text>
    </comment>
    <comment ref="D5639" authorId="1" shapeId="0" xr:uid="{00000000-0006-0000-0100-00003E160000}">
      <text>
        <r>
          <rPr>
            <sz val="11"/>
            <color theme="1"/>
            <rFont val="Calibri"/>
            <family val="2"/>
            <scheme val="minor"/>
          </rPr>
          <t>Seleccione el tipo de procedimiento</t>
        </r>
      </text>
    </comment>
    <comment ref="E5639" authorId="1" shapeId="0" xr:uid="{00000000-0006-0000-0100-00003F160000}">
      <text>
        <r>
          <rPr>
            <sz val="11"/>
            <color theme="1"/>
            <rFont val="Calibri"/>
            <family val="2"/>
            <scheme val="minor"/>
          </rPr>
          <t>Seleccione un valor de la lista</t>
        </r>
      </text>
    </comment>
    <comment ref="F5639" authorId="1" shapeId="0" xr:uid="{00000000-0006-0000-0100-000040160000}">
      <text>
        <r>
          <rPr>
            <sz val="11"/>
            <color theme="1"/>
            <rFont val="Calibri"/>
            <family val="2"/>
            <scheme val="minor"/>
          </rPr>
          <t>Introduzca el código SNIP</t>
        </r>
      </text>
    </comment>
    <comment ref="C5640" authorId="1" shapeId="0" xr:uid="{00000000-0006-0000-0100-000041160000}">
      <text>
        <r>
          <rPr>
            <sz val="11"/>
            <color theme="1"/>
            <rFont val="Calibri"/>
            <family val="2"/>
            <scheme val="minor"/>
          </rPr>
          <t>Introduzca la fecha de inicio del proceso, en formato dd-mm-aaaa</t>
        </r>
      </text>
    </comment>
    <comment ref="F5640" authorId="1" shapeId="0" xr:uid="{00000000-0006-0000-0100-0000431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41" authorId="1" shapeId="0" xr:uid="{00000000-0006-0000-0100-000044160000}">
      <text/>
    </comment>
    <comment ref="C5642" authorId="1" shapeId="0" xr:uid="{00000000-0006-0000-0100-000042160000}">
      <text>
        <r>
          <rPr>
            <sz val="11"/>
            <color theme="1"/>
            <rFont val="Calibri"/>
            <family val="2"/>
            <scheme val="minor"/>
          </rPr>
          <t>Introduzca la fecha prevista de adjudicación, en formato dd-mm-aaaa</t>
        </r>
      </text>
    </comment>
    <comment ref="F5642" authorId="1" shapeId="0" xr:uid="{00000000-0006-0000-0100-000045160000}">
      <text/>
    </comment>
    <comment ref="F5643" authorId="1" shapeId="0" xr:uid="{00000000-0006-0000-0100-000046160000}">
      <text/>
    </comment>
    <comment ref="A5645" authorId="1" shapeId="0" xr:uid="{00000000-0006-0000-0100-000047160000}">
      <text>
        <r>
          <rPr>
            <sz val="11"/>
            <color theme="1"/>
            <rFont val="Calibri"/>
            <family val="2"/>
            <scheme val="minor"/>
          </rPr>
          <t>Introduzca un codigo UNSPSC</t>
        </r>
      </text>
    </comment>
    <comment ref="B5645" authorId="1" shapeId="0" xr:uid="{00000000-0006-0000-0100-000048160000}">
      <text>
        <r>
          <rPr>
            <sz val="11"/>
            <color theme="1"/>
            <rFont val="Calibri"/>
            <family val="2"/>
            <scheme val="minor"/>
          </rPr>
          <t>Descripción calculada automáticamente a partir de código del artículo</t>
        </r>
      </text>
    </comment>
    <comment ref="C5645" authorId="1" shapeId="0" xr:uid="{00000000-0006-0000-0100-000049160000}">
      <text>
        <r>
          <rPr>
            <sz val="11"/>
            <color theme="1"/>
            <rFont val="Calibri"/>
            <family val="2"/>
            <scheme val="minor"/>
          </rPr>
          <t>Seleccione un valor de la lista</t>
        </r>
      </text>
    </comment>
    <comment ref="D5645" authorId="1" shapeId="0" xr:uid="{00000000-0006-0000-0100-00004A160000}">
      <text>
        <r>
          <rPr>
            <sz val="11"/>
            <color theme="1"/>
            <rFont val="Calibri"/>
            <family val="2"/>
            <scheme val="minor"/>
          </rPr>
          <t>Introduzca un número con dos decimales como máximo. Debe ser igual o mayor a la "Cantidad Real Consumida"</t>
        </r>
      </text>
    </comment>
    <comment ref="E5645" authorId="1" shapeId="0" xr:uid="{00000000-0006-0000-0100-00004B160000}">
      <text>
        <r>
          <rPr>
            <sz val="11"/>
            <color theme="1"/>
            <rFont val="Calibri"/>
            <family val="2"/>
            <scheme val="minor"/>
          </rPr>
          <t>Introduzca un número con dos decimales como máximo</t>
        </r>
      </text>
    </comment>
    <comment ref="F5645" authorId="1" shapeId="0" xr:uid="{00000000-0006-0000-0100-00004C160000}">
      <text>
        <r>
          <rPr>
            <sz val="11"/>
            <color theme="1"/>
            <rFont val="Calibri"/>
            <family val="2"/>
            <scheme val="minor"/>
          </rPr>
          <t>Monto calculado automáticamente por el sistema</t>
        </r>
      </text>
    </comment>
    <comment ref="A5650" authorId="1" shapeId="0" xr:uid="{00000000-0006-0000-0100-00004D160000}">
      <text>
        <r>
          <rPr>
            <sz val="11"/>
            <color theme="1"/>
            <rFont val="Calibri"/>
            <family val="2"/>
            <scheme val="minor"/>
          </rPr>
          <t>Introducir un texto con el nombre o referencia de la contratación</t>
        </r>
      </text>
    </comment>
    <comment ref="B5650" authorId="1" shapeId="0" xr:uid="{00000000-0006-0000-0100-00004E160000}">
      <text>
        <r>
          <rPr>
            <sz val="11"/>
            <color theme="1"/>
            <rFont val="Calibri"/>
            <family val="2"/>
            <scheme val="minor"/>
          </rPr>
          <t>Introduzca un texto con la finalidad de la contratación</t>
        </r>
      </text>
    </comment>
    <comment ref="C5650" authorId="1" shapeId="0" xr:uid="{00000000-0006-0000-0100-00004F160000}">
      <text>
        <r>
          <rPr>
            <sz val="11"/>
            <color theme="1"/>
            <rFont val="Calibri"/>
            <family val="2"/>
            <scheme val="minor"/>
          </rPr>
          <t>Seleccionar un valor del listado</t>
        </r>
      </text>
    </comment>
    <comment ref="D5650" authorId="1" shapeId="0" xr:uid="{00000000-0006-0000-0100-000050160000}">
      <text>
        <r>
          <rPr>
            <sz val="11"/>
            <color theme="1"/>
            <rFont val="Calibri"/>
            <family val="2"/>
            <scheme val="minor"/>
          </rPr>
          <t>Seleccione el tipo de procedimiento</t>
        </r>
      </text>
    </comment>
    <comment ref="E5650" authorId="1" shapeId="0" xr:uid="{00000000-0006-0000-0100-000051160000}">
      <text>
        <r>
          <rPr>
            <sz val="11"/>
            <color theme="1"/>
            <rFont val="Calibri"/>
            <family val="2"/>
            <scheme val="minor"/>
          </rPr>
          <t>Seleccione un valor de la lista</t>
        </r>
      </text>
    </comment>
    <comment ref="F5650" authorId="1" shapeId="0" xr:uid="{00000000-0006-0000-0100-000052160000}">
      <text>
        <r>
          <rPr>
            <sz val="11"/>
            <color theme="1"/>
            <rFont val="Calibri"/>
            <family val="2"/>
            <scheme val="minor"/>
          </rPr>
          <t>Introduzca el código SNIP</t>
        </r>
      </text>
    </comment>
    <comment ref="C5651" authorId="1" shapeId="0" xr:uid="{00000000-0006-0000-0100-000053160000}">
      <text>
        <r>
          <rPr>
            <sz val="11"/>
            <color theme="1"/>
            <rFont val="Calibri"/>
            <family val="2"/>
            <scheme val="minor"/>
          </rPr>
          <t>Introduzca la fecha de inicio del proceso, en formato dd-mm-aaaa</t>
        </r>
      </text>
    </comment>
    <comment ref="F5651" authorId="1" shapeId="0" xr:uid="{00000000-0006-0000-0100-0000551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52" authorId="1" shapeId="0" xr:uid="{00000000-0006-0000-0100-000056160000}">
      <text/>
    </comment>
    <comment ref="C5653" authorId="1" shapeId="0" xr:uid="{00000000-0006-0000-0100-000054160000}">
      <text>
        <r>
          <rPr>
            <sz val="11"/>
            <color theme="1"/>
            <rFont val="Calibri"/>
            <family val="2"/>
            <scheme val="minor"/>
          </rPr>
          <t>Introduzca la fecha prevista de adjudicación, en formato dd-mm-aaaa</t>
        </r>
      </text>
    </comment>
    <comment ref="F5653" authorId="1" shapeId="0" xr:uid="{00000000-0006-0000-0100-000057160000}">
      <text/>
    </comment>
    <comment ref="F5654" authorId="1" shapeId="0" xr:uid="{00000000-0006-0000-0100-000058160000}">
      <text/>
    </comment>
    <comment ref="A5656" authorId="1" shapeId="0" xr:uid="{00000000-0006-0000-0100-000059160000}">
      <text>
        <r>
          <rPr>
            <sz val="11"/>
            <color theme="1"/>
            <rFont val="Calibri"/>
            <family val="2"/>
            <scheme val="minor"/>
          </rPr>
          <t>Introduzca un codigo UNSPSC</t>
        </r>
      </text>
    </comment>
    <comment ref="B5656" authorId="1" shapeId="0" xr:uid="{00000000-0006-0000-0100-00005A160000}">
      <text>
        <r>
          <rPr>
            <sz val="11"/>
            <color theme="1"/>
            <rFont val="Calibri"/>
            <family val="2"/>
            <scheme val="minor"/>
          </rPr>
          <t>Descripción calculada automáticamente a partir de código del artículo</t>
        </r>
      </text>
    </comment>
    <comment ref="C5656" authorId="1" shapeId="0" xr:uid="{00000000-0006-0000-0100-00005B160000}">
      <text>
        <r>
          <rPr>
            <sz val="11"/>
            <color theme="1"/>
            <rFont val="Calibri"/>
            <family val="2"/>
            <scheme val="minor"/>
          </rPr>
          <t>Seleccione un valor de la lista</t>
        </r>
      </text>
    </comment>
    <comment ref="D5656" authorId="1" shapeId="0" xr:uid="{00000000-0006-0000-0100-00005C160000}">
      <text>
        <r>
          <rPr>
            <sz val="11"/>
            <color theme="1"/>
            <rFont val="Calibri"/>
            <family val="2"/>
            <scheme val="minor"/>
          </rPr>
          <t>Introduzca un número con dos decimales como máximo. Debe ser igual o mayor a la "Cantidad Real Consumida"</t>
        </r>
      </text>
    </comment>
    <comment ref="E5656" authorId="1" shapeId="0" xr:uid="{00000000-0006-0000-0100-00005D160000}">
      <text>
        <r>
          <rPr>
            <sz val="11"/>
            <color theme="1"/>
            <rFont val="Calibri"/>
            <family val="2"/>
            <scheme val="minor"/>
          </rPr>
          <t>Introduzca un número con dos decimales como máximo</t>
        </r>
      </text>
    </comment>
    <comment ref="F5656" authorId="1" shapeId="0" xr:uid="{00000000-0006-0000-0100-00005E160000}">
      <text>
        <r>
          <rPr>
            <sz val="11"/>
            <color theme="1"/>
            <rFont val="Calibri"/>
            <family val="2"/>
            <scheme val="minor"/>
          </rPr>
          <t>Monto calculado automáticamente por el sistema</t>
        </r>
      </text>
    </comment>
    <comment ref="A5661" authorId="1" shapeId="0" xr:uid="{00000000-0006-0000-0100-00005F160000}">
      <text>
        <r>
          <rPr>
            <sz val="11"/>
            <color theme="1"/>
            <rFont val="Calibri"/>
            <family val="2"/>
            <scheme val="minor"/>
          </rPr>
          <t>Introducir un texto con el nombre o referencia de la contratación</t>
        </r>
      </text>
    </comment>
    <comment ref="B5661" authorId="1" shapeId="0" xr:uid="{00000000-0006-0000-0100-000060160000}">
      <text>
        <r>
          <rPr>
            <sz val="11"/>
            <color theme="1"/>
            <rFont val="Calibri"/>
            <family val="2"/>
            <scheme val="minor"/>
          </rPr>
          <t>Introduzca un texto con la finalidad de la contratación</t>
        </r>
      </text>
    </comment>
    <comment ref="C5661" authorId="1" shapeId="0" xr:uid="{00000000-0006-0000-0100-000061160000}">
      <text>
        <r>
          <rPr>
            <sz val="11"/>
            <color theme="1"/>
            <rFont val="Calibri"/>
            <family val="2"/>
            <scheme val="minor"/>
          </rPr>
          <t>Seleccionar un valor del listado</t>
        </r>
      </text>
    </comment>
    <comment ref="D5661" authorId="1" shapeId="0" xr:uid="{00000000-0006-0000-0100-000062160000}">
      <text>
        <r>
          <rPr>
            <sz val="11"/>
            <color theme="1"/>
            <rFont val="Calibri"/>
            <family val="2"/>
            <scheme val="minor"/>
          </rPr>
          <t>Seleccione el tipo de procedimiento</t>
        </r>
      </text>
    </comment>
    <comment ref="E5661" authorId="1" shapeId="0" xr:uid="{00000000-0006-0000-0100-000063160000}">
      <text>
        <r>
          <rPr>
            <sz val="11"/>
            <color theme="1"/>
            <rFont val="Calibri"/>
            <family val="2"/>
            <scheme val="minor"/>
          </rPr>
          <t>Seleccione un valor de la lista</t>
        </r>
      </text>
    </comment>
    <comment ref="F5661" authorId="1" shapeId="0" xr:uid="{00000000-0006-0000-0100-000064160000}">
      <text>
        <r>
          <rPr>
            <sz val="11"/>
            <color theme="1"/>
            <rFont val="Calibri"/>
            <family val="2"/>
            <scheme val="minor"/>
          </rPr>
          <t>Introduzca el código SNIP</t>
        </r>
      </text>
    </comment>
    <comment ref="C5662" authorId="1" shapeId="0" xr:uid="{00000000-0006-0000-0100-000065160000}">
      <text>
        <r>
          <rPr>
            <sz val="11"/>
            <color theme="1"/>
            <rFont val="Calibri"/>
            <family val="2"/>
            <scheme val="minor"/>
          </rPr>
          <t>Introduzca la fecha de inicio del proceso, en formato dd-mm-aaaa</t>
        </r>
      </text>
    </comment>
    <comment ref="F5662" authorId="1" shapeId="0" xr:uid="{00000000-0006-0000-0100-0000671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63" authorId="1" shapeId="0" xr:uid="{00000000-0006-0000-0100-000068160000}">
      <text/>
    </comment>
    <comment ref="C5664" authorId="1" shapeId="0" xr:uid="{00000000-0006-0000-0100-000066160000}">
      <text>
        <r>
          <rPr>
            <sz val="11"/>
            <color theme="1"/>
            <rFont val="Calibri"/>
            <family val="2"/>
            <scheme val="minor"/>
          </rPr>
          <t>Introduzca la fecha prevista de adjudicación, en formato dd-mm-aaaa</t>
        </r>
      </text>
    </comment>
    <comment ref="F5664" authorId="1" shapeId="0" xr:uid="{00000000-0006-0000-0100-000069160000}">
      <text/>
    </comment>
    <comment ref="F5665" authorId="1" shapeId="0" xr:uid="{00000000-0006-0000-0100-00006A160000}">
      <text/>
    </comment>
    <comment ref="A5667" authorId="1" shapeId="0" xr:uid="{00000000-0006-0000-0100-00006B160000}">
      <text>
        <r>
          <rPr>
            <sz val="11"/>
            <color theme="1"/>
            <rFont val="Calibri"/>
            <family val="2"/>
            <scheme val="minor"/>
          </rPr>
          <t>Introduzca un codigo UNSPSC</t>
        </r>
      </text>
    </comment>
    <comment ref="B5667" authorId="1" shapeId="0" xr:uid="{00000000-0006-0000-0100-00006C160000}">
      <text>
        <r>
          <rPr>
            <sz val="11"/>
            <color theme="1"/>
            <rFont val="Calibri"/>
            <family val="2"/>
            <scheme val="minor"/>
          </rPr>
          <t>Descripción calculada automáticamente a partir de código del artículo</t>
        </r>
      </text>
    </comment>
    <comment ref="C5667" authorId="1" shapeId="0" xr:uid="{00000000-0006-0000-0100-00006D160000}">
      <text>
        <r>
          <rPr>
            <sz val="11"/>
            <color theme="1"/>
            <rFont val="Calibri"/>
            <family val="2"/>
            <scheme val="minor"/>
          </rPr>
          <t>Seleccione un valor de la lista</t>
        </r>
      </text>
    </comment>
    <comment ref="D5667" authorId="1" shapeId="0" xr:uid="{00000000-0006-0000-0100-00006E160000}">
      <text>
        <r>
          <rPr>
            <sz val="11"/>
            <color theme="1"/>
            <rFont val="Calibri"/>
            <family val="2"/>
            <scheme val="minor"/>
          </rPr>
          <t>Introduzca un número con dos decimales como máximo. Debe ser igual o mayor a la "Cantidad Real Consumida"</t>
        </r>
      </text>
    </comment>
    <comment ref="E5667" authorId="1" shapeId="0" xr:uid="{00000000-0006-0000-0100-00006F160000}">
      <text>
        <r>
          <rPr>
            <sz val="11"/>
            <color theme="1"/>
            <rFont val="Calibri"/>
            <family val="2"/>
            <scheme val="minor"/>
          </rPr>
          <t>Introduzca un número con dos decimales como máximo</t>
        </r>
      </text>
    </comment>
    <comment ref="F5667" authorId="1" shapeId="0" xr:uid="{00000000-0006-0000-0100-000070160000}">
      <text>
        <r>
          <rPr>
            <sz val="11"/>
            <color theme="1"/>
            <rFont val="Calibri"/>
            <family val="2"/>
            <scheme val="minor"/>
          </rPr>
          <t>Monto calculado automáticamente por el sistema</t>
        </r>
      </text>
    </comment>
    <comment ref="A5690" authorId="1" shapeId="0" xr:uid="{00000000-0006-0000-0100-000071160000}">
      <text>
        <r>
          <rPr>
            <sz val="11"/>
            <color theme="1"/>
            <rFont val="Calibri"/>
            <family val="2"/>
            <scheme val="minor"/>
          </rPr>
          <t>Introducir un texto con el nombre o referencia de la contratación</t>
        </r>
      </text>
    </comment>
    <comment ref="B5690" authorId="1" shapeId="0" xr:uid="{00000000-0006-0000-0100-000072160000}">
      <text>
        <r>
          <rPr>
            <sz val="11"/>
            <color theme="1"/>
            <rFont val="Calibri"/>
            <family val="2"/>
            <scheme val="minor"/>
          </rPr>
          <t>Introduzca un texto con la finalidad de la contratación</t>
        </r>
      </text>
    </comment>
    <comment ref="C5690" authorId="1" shapeId="0" xr:uid="{00000000-0006-0000-0100-000073160000}">
      <text>
        <r>
          <rPr>
            <sz val="11"/>
            <color theme="1"/>
            <rFont val="Calibri"/>
            <family val="2"/>
            <scheme val="minor"/>
          </rPr>
          <t>Seleccionar un valor del listado</t>
        </r>
      </text>
    </comment>
    <comment ref="D5690" authorId="1" shapeId="0" xr:uid="{00000000-0006-0000-0100-000074160000}">
      <text>
        <r>
          <rPr>
            <sz val="11"/>
            <color theme="1"/>
            <rFont val="Calibri"/>
            <family val="2"/>
            <scheme val="minor"/>
          </rPr>
          <t>Seleccione el tipo de procedimiento</t>
        </r>
      </text>
    </comment>
    <comment ref="E5690" authorId="1" shapeId="0" xr:uid="{00000000-0006-0000-0100-000075160000}">
      <text>
        <r>
          <rPr>
            <sz val="11"/>
            <color theme="1"/>
            <rFont val="Calibri"/>
            <family val="2"/>
            <scheme val="minor"/>
          </rPr>
          <t>Seleccione un valor de la lista</t>
        </r>
      </text>
    </comment>
    <comment ref="F5690" authorId="1" shapeId="0" xr:uid="{00000000-0006-0000-0100-000076160000}">
      <text>
        <r>
          <rPr>
            <sz val="11"/>
            <color theme="1"/>
            <rFont val="Calibri"/>
            <family val="2"/>
            <scheme val="minor"/>
          </rPr>
          <t>Introduzca el código SNIP</t>
        </r>
      </text>
    </comment>
    <comment ref="C5691" authorId="1" shapeId="0" xr:uid="{00000000-0006-0000-0100-000077160000}">
      <text>
        <r>
          <rPr>
            <sz val="11"/>
            <color theme="1"/>
            <rFont val="Calibri"/>
            <family val="2"/>
            <scheme val="minor"/>
          </rPr>
          <t>Introduzca la fecha de inicio del proceso, en formato dd-mm-aaaa</t>
        </r>
      </text>
    </comment>
    <comment ref="F5691" authorId="1" shapeId="0" xr:uid="{00000000-0006-0000-0100-0000791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92" authorId="1" shapeId="0" xr:uid="{00000000-0006-0000-0100-00007A160000}">
      <text/>
    </comment>
    <comment ref="C5693" authorId="1" shapeId="0" xr:uid="{00000000-0006-0000-0100-000078160000}">
      <text>
        <r>
          <rPr>
            <sz val="11"/>
            <color theme="1"/>
            <rFont val="Calibri"/>
            <family val="2"/>
            <scheme val="minor"/>
          </rPr>
          <t>Introduzca la fecha prevista de adjudicación, en formato dd-mm-aaaa</t>
        </r>
      </text>
    </comment>
    <comment ref="F5693" authorId="1" shapeId="0" xr:uid="{00000000-0006-0000-0100-00007B160000}">
      <text/>
    </comment>
    <comment ref="F5694" authorId="1" shapeId="0" xr:uid="{00000000-0006-0000-0100-00007C160000}">
      <text/>
    </comment>
    <comment ref="A5696" authorId="1" shapeId="0" xr:uid="{00000000-0006-0000-0100-00007D160000}">
      <text>
        <r>
          <rPr>
            <sz val="11"/>
            <color theme="1"/>
            <rFont val="Calibri"/>
            <family val="2"/>
            <scheme val="minor"/>
          </rPr>
          <t>Introduzca un codigo UNSPSC</t>
        </r>
      </text>
    </comment>
    <comment ref="B5696" authorId="1" shapeId="0" xr:uid="{00000000-0006-0000-0100-00007E160000}">
      <text>
        <r>
          <rPr>
            <sz val="11"/>
            <color theme="1"/>
            <rFont val="Calibri"/>
            <family val="2"/>
            <scheme val="minor"/>
          </rPr>
          <t>Descripción calculada automáticamente a partir de código del artículo</t>
        </r>
      </text>
    </comment>
    <comment ref="C5696" authorId="1" shapeId="0" xr:uid="{00000000-0006-0000-0100-00007F160000}">
      <text>
        <r>
          <rPr>
            <sz val="11"/>
            <color theme="1"/>
            <rFont val="Calibri"/>
            <family val="2"/>
            <scheme val="minor"/>
          </rPr>
          <t>Seleccione un valor de la lista</t>
        </r>
      </text>
    </comment>
    <comment ref="D5696" authorId="1" shapeId="0" xr:uid="{00000000-0006-0000-0100-000080160000}">
      <text>
        <r>
          <rPr>
            <sz val="11"/>
            <color theme="1"/>
            <rFont val="Calibri"/>
            <family val="2"/>
            <scheme val="minor"/>
          </rPr>
          <t>Introduzca un número con dos decimales como máximo. Debe ser igual o mayor a la "Cantidad Real Consumida"</t>
        </r>
      </text>
    </comment>
    <comment ref="E5696" authorId="1" shapeId="0" xr:uid="{00000000-0006-0000-0100-000081160000}">
      <text>
        <r>
          <rPr>
            <sz val="11"/>
            <color theme="1"/>
            <rFont val="Calibri"/>
            <family val="2"/>
            <scheme val="minor"/>
          </rPr>
          <t>Introduzca un número con dos decimales como máximo</t>
        </r>
      </text>
    </comment>
    <comment ref="F5696" authorId="1" shapeId="0" xr:uid="{00000000-0006-0000-0100-000082160000}">
      <text>
        <r>
          <rPr>
            <sz val="11"/>
            <color theme="1"/>
            <rFont val="Calibri"/>
            <family val="2"/>
            <scheme val="minor"/>
          </rPr>
          <t>Monto calculado automáticamente por el sistema</t>
        </r>
      </text>
    </comment>
    <comment ref="A5721" authorId="1" shapeId="0" xr:uid="{00000000-0006-0000-0100-000083160000}">
      <text>
        <r>
          <rPr>
            <sz val="11"/>
            <color theme="1"/>
            <rFont val="Calibri"/>
            <family val="2"/>
            <scheme val="minor"/>
          </rPr>
          <t>Introducir un texto con el nombre o referencia de la contratación</t>
        </r>
      </text>
    </comment>
    <comment ref="B5721" authorId="1" shapeId="0" xr:uid="{00000000-0006-0000-0100-000084160000}">
      <text>
        <r>
          <rPr>
            <sz val="11"/>
            <color theme="1"/>
            <rFont val="Calibri"/>
            <family val="2"/>
            <scheme val="minor"/>
          </rPr>
          <t>Introduzca un texto con la finalidad de la contratación</t>
        </r>
      </text>
    </comment>
    <comment ref="C5721" authorId="1" shapeId="0" xr:uid="{00000000-0006-0000-0100-000085160000}">
      <text>
        <r>
          <rPr>
            <sz val="11"/>
            <color theme="1"/>
            <rFont val="Calibri"/>
            <family val="2"/>
            <scheme val="minor"/>
          </rPr>
          <t>Seleccionar un valor del listado</t>
        </r>
      </text>
    </comment>
    <comment ref="D5721" authorId="1" shapeId="0" xr:uid="{00000000-0006-0000-0100-000086160000}">
      <text>
        <r>
          <rPr>
            <sz val="11"/>
            <color theme="1"/>
            <rFont val="Calibri"/>
            <family val="2"/>
            <scheme val="minor"/>
          </rPr>
          <t>Seleccione el tipo de procedimiento</t>
        </r>
      </text>
    </comment>
    <comment ref="E5721" authorId="1" shapeId="0" xr:uid="{00000000-0006-0000-0100-000087160000}">
      <text>
        <r>
          <rPr>
            <sz val="11"/>
            <color theme="1"/>
            <rFont val="Calibri"/>
            <family val="2"/>
            <scheme val="minor"/>
          </rPr>
          <t>Seleccione un valor de la lista</t>
        </r>
      </text>
    </comment>
    <comment ref="F5721" authorId="1" shapeId="0" xr:uid="{00000000-0006-0000-0100-000088160000}">
      <text>
        <r>
          <rPr>
            <sz val="11"/>
            <color theme="1"/>
            <rFont val="Calibri"/>
            <family val="2"/>
            <scheme val="minor"/>
          </rPr>
          <t>Introduzca el código SNIP</t>
        </r>
      </text>
    </comment>
    <comment ref="C5722" authorId="1" shapeId="0" xr:uid="{00000000-0006-0000-0100-000089160000}">
      <text>
        <r>
          <rPr>
            <sz val="11"/>
            <color theme="1"/>
            <rFont val="Calibri"/>
            <family val="2"/>
            <scheme val="minor"/>
          </rPr>
          <t>Introduzca la fecha de inicio del proceso, en formato dd-mm-aaaa</t>
        </r>
      </text>
    </comment>
    <comment ref="F5722" authorId="1" shapeId="0" xr:uid="{00000000-0006-0000-0100-00008B1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23" authorId="1" shapeId="0" xr:uid="{00000000-0006-0000-0100-00008C160000}">
      <text/>
    </comment>
    <comment ref="C5724" authorId="1" shapeId="0" xr:uid="{00000000-0006-0000-0100-00008A160000}">
      <text>
        <r>
          <rPr>
            <sz val="11"/>
            <color theme="1"/>
            <rFont val="Calibri"/>
            <family val="2"/>
            <scheme val="minor"/>
          </rPr>
          <t>Introduzca la fecha prevista de adjudicación, en formato dd-mm-aaaa</t>
        </r>
      </text>
    </comment>
    <comment ref="F5724" authorId="1" shapeId="0" xr:uid="{00000000-0006-0000-0100-00008D160000}">
      <text/>
    </comment>
    <comment ref="F5725" authorId="1" shapeId="0" xr:uid="{00000000-0006-0000-0100-00008E160000}">
      <text/>
    </comment>
    <comment ref="A5727" authorId="1" shapeId="0" xr:uid="{00000000-0006-0000-0100-00008F160000}">
      <text>
        <r>
          <rPr>
            <sz val="11"/>
            <color theme="1"/>
            <rFont val="Calibri"/>
            <family val="2"/>
            <scheme val="minor"/>
          </rPr>
          <t>Introduzca un codigo UNSPSC</t>
        </r>
      </text>
    </comment>
    <comment ref="B5727" authorId="1" shapeId="0" xr:uid="{00000000-0006-0000-0100-000090160000}">
      <text>
        <r>
          <rPr>
            <sz val="11"/>
            <color theme="1"/>
            <rFont val="Calibri"/>
            <family val="2"/>
            <scheme val="minor"/>
          </rPr>
          <t>Descripción calculada automáticamente a partir de código del artículo</t>
        </r>
      </text>
    </comment>
    <comment ref="C5727" authorId="1" shapeId="0" xr:uid="{00000000-0006-0000-0100-000091160000}">
      <text>
        <r>
          <rPr>
            <sz val="11"/>
            <color theme="1"/>
            <rFont val="Calibri"/>
            <family val="2"/>
            <scheme val="minor"/>
          </rPr>
          <t>Seleccione un valor de la lista</t>
        </r>
      </text>
    </comment>
    <comment ref="D5727" authorId="1" shapeId="0" xr:uid="{00000000-0006-0000-0100-000092160000}">
      <text>
        <r>
          <rPr>
            <sz val="11"/>
            <color theme="1"/>
            <rFont val="Calibri"/>
            <family val="2"/>
            <scheme val="minor"/>
          </rPr>
          <t>Introduzca un número con dos decimales como máximo. Debe ser igual o mayor a la "Cantidad Real Consumida"</t>
        </r>
      </text>
    </comment>
    <comment ref="E5727" authorId="1" shapeId="0" xr:uid="{00000000-0006-0000-0100-000093160000}">
      <text>
        <r>
          <rPr>
            <sz val="11"/>
            <color theme="1"/>
            <rFont val="Calibri"/>
            <family val="2"/>
            <scheme val="minor"/>
          </rPr>
          <t>Introduzca un número con dos decimales como máximo</t>
        </r>
      </text>
    </comment>
    <comment ref="F5727" authorId="1" shapeId="0" xr:uid="{00000000-0006-0000-0100-000094160000}">
      <text>
        <r>
          <rPr>
            <sz val="11"/>
            <color theme="1"/>
            <rFont val="Calibri"/>
            <family val="2"/>
            <scheme val="minor"/>
          </rPr>
          <t>Monto calculado automáticamente por el sistema</t>
        </r>
      </text>
    </comment>
    <comment ref="A5755" authorId="1" shapeId="0" xr:uid="{00000000-0006-0000-0100-000095160000}">
      <text>
        <r>
          <rPr>
            <sz val="11"/>
            <color theme="1"/>
            <rFont val="Calibri"/>
            <family val="2"/>
            <scheme val="minor"/>
          </rPr>
          <t>Introducir un texto con el nombre o referencia de la contratación</t>
        </r>
      </text>
    </comment>
    <comment ref="B5755" authorId="1" shapeId="0" xr:uid="{00000000-0006-0000-0100-000096160000}">
      <text>
        <r>
          <rPr>
            <sz val="11"/>
            <color theme="1"/>
            <rFont val="Calibri"/>
            <family val="2"/>
            <scheme val="minor"/>
          </rPr>
          <t>Introduzca un texto con la finalidad de la contratación</t>
        </r>
      </text>
    </comment>
    <comment ref="C5755" authorId="1" shapeId="0" xr:uid="{00000000-0006-0000-0100-000097160000}">
      <text>
        <r>
          <rPr>
            <sz val="11"/>
            <color theme="1"/>
            <rFont val="Calibri"/>
            <family val="2"/>
            <scheme val="minor"/>
          </rPr>
          <t>Seleccionar un valor del listado</t>
        </r>
      </text>
    </comment>
    <comment ref="D5755" authorId="1" shapeId="0" xr:uid="{00000000-0006-0000-0100-000098160000}">
      <text>
        <r>
          <rPr>
            <sz val="11"/>
            <color theme="1"/>
            <rFont val="Calibri"/>
            <family val="2"/>
            <scheme val="minor"/>
          </rPr>
          <t>Seleccione el tipo de procedimiento</t>
        </r>
      </text>
    </comment>
    <comment ref="E5755" authorId="1" shapeId="0" xr:uid="{00000000-0006-0000-0100-000099160000}">
      <text>
        <r>
          <rPr>
            <sz val="11"/>
            <color theme="1"/>
            <rFont val="Calibri"/>
            <family val="2"/>
            <scheme val="minor"/>
          </rPr>
          <t>Seleccione un valor de la lista</t>
        </r>
      </text>
    </comment>
    <comment ref="F5755" authorId="1" shapeId="0" xr:uid="{00000000-0006-0000-0100-00009A160000}">
      <text>
        <r>
          <rPr>
            <sz val="11"/>
            <color theme="1"/>
            <rFont val="Calibri"/>
            <family val="2"/>
            <scheme val="minor"/>
          </rPr>
          <t>Introduzca el código SNIP</t>
        </r>
      </text>
    </comment>
    <comment ref="C5756" authorId="1" shapeId="0" xr:uid="{00000000-0006-0000-0100-00009B160000}">
      <text>
        <r>
          <rPr>
            <sz val="11"/>
            <color theme="1"/>
            <rFont val="Calibri"/>
            <family val="2"/>
            <scheme val="minor"/>
          </rPr>
          <t>Introduzca la fecha de inicio del proceso, en formato dd-mm-aaaa</t>
        </r>
      </text>
    </comment>
    <comment ref="F5756" authorId="1" shapeId="0" xr:uid="{00000000-0006-0000-0100-00009D1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57" authorId="1" shapeId="0" xr:uid="{00000000-0006-0000-0100-00009E160000}">
      <text/>
    </comment>
    <comment ref="C5758" authorId="1" shapeId="0" xr:uid="{00000000-0006-0000-0100-00009C160000}">
      <text>
        <r>
          <rPr>
            <sz val="11"/>
            <color theme="1"/>
            <rFont val="Calibri"/>
            <family val="2"/>
            <scheme val="minor"/>
          </rPr>
          <t>Introduzca la fecha prevista de adjudicación, en formato dd-mm-aaaa</t>
        </r>
      </text>
    </comment>
    <comment ref="F5758" authorId="1" shapeId="0" xr:uid="{00000000-0006-0000-0100-00009F160000}">
      <text/>
    </comment>
    <comment ref="F5759" authorId="1" shapeId="0" xr:uid="{00000000-0006-0000-0100-0000A0160000}">
      <text/>
    </comment>
    <comment ref="A5761" authorId="1" shapeId="0" xr:uid="{00000000-0006-0000-0100-0000A1160000}">
      <text>
        <r>
          <rPr>
            <sz val="11"/>
            <color theme="1"/>
            <rFont val="Calibri"/>
            <family val="2"/>
            <scheme val="minor"/>
          </rPr>
          <t>Introduzca un codigo UNSPSC</t>
        </r>
      </text>
    </comment>
    <comment ref="B5761" authorId="1" shapeId="0" xr:uid="{00000000-0006-0000-0100-0000A2160000}">
      <text>
        <r>
          <rPr>
            <sz val="11"/>
            <color theme="1"/>
            <rFont val="Calibri"/>
            <family val="2"/>
            <scheme val="minor"/>
          </rPr>
          <t>Descripción calculada automáticamente a partir de código del artículo</t>
        </r>
      </text>
    </comment>
    <comment ref="C5761" authorId="1" shapeId="0" xr:uid="{00000000-0006-0000-0100-0000A3160000}">
      <text>
        <r>
          <rPr>
            <sz val="11"/>
            <color theme="1"/>
            <rFont val="Calibri"/>
            <family val="2"/>
            <scheme val="minor"/>
          </rPr>
          <t>Seleccione un valor de la lista</t>
        </r>
      </text>
    </comment>
    <comment ref="D5761" authorId="1" shapeId="0" xr:uid="{00000000-0006-0000-0100-0000A4160000}">
      <text>
        <r>
          <rPr>
            <sz val="11"/>
            <color theme="1"/>
            <rFont val="Calibri"/>
            <family val="2"/>
            <scheme val="minor"/>
          </rPr>
          <t>Introduzca un número con dos decimales como máximo. Debe ser igual o mayor a la "Cantidad Real Consumida"</t>
        </r>
      </text>
    </comment>
    <comment ref="E5761" authorId="1" shapeId="0" xr:uid="{00000000-0006-0000-0100-0000A5160000}">
      <text>
        <r>
          <rPr>
            <sz val="11"/>
            <color theme="1"/>
            <rFont val="Calibri"/>
            <family val="2"/>
            <scheme val="minor"/>
          </rPr>
          <t>Introduzca un número con dos decimales como máximo</t>
        </r>
      </text>
    </comment>
    <comment ref="F5761" authorId="1" shapeId="0" xr:uid="{00000000-0006-0000-0100-0000A616000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<sst xmlns="http://schemas.openxmlformats.org/spreadsheetml/2006/main" count="33624" uniqueCount="19660">
  <si>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</si>
  <si>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</si>
  <si>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</si>
  <si>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</si>
  <si>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</si>
  <si>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</si>
  <si>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</si>
  <si>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</si>
  <si>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</si>
  <si>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</si>
  <si>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</si>
  <si>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</si>
  <si>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</si>
  <si>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</si>
  <si>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</si>
  <si>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</si>
  <si>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</si>
  <si>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</si>
  <si>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</si>
  <si>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</si>
  <si>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</si>
  <si>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</si>
  <si>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</si>
  <si>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</si>
  <si>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</si>
  <si>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</si>
  <si>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</si>
  <si>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</si>
  <si>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</si>
  <si>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</si>
  <si>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</si>
  <si>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</si>
  <si>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</si>
  <si>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</si>
  <si>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</si>
  <si>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</si>
  <si>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</si>
  <si>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</si>
  <si>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</si>
  <si>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</si>
  <si>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</si>
  <si>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</si>
  <si>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</si>
  <si>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</si>
  <si>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</si>
  <si>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</si>
  <si>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</si>
  <si>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</si>
  <si>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82121503</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</si>
  <si>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</si>
  <si>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</si>
  <si>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</si>
  <si>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</si>
  <si>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</si>
  <si>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</si>
  <si>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</si>
  <si>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</si>
  <si>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</si>
  <si>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</si>
  <si>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</si>
  <si>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</si>
  <si>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</si>
  <si>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</si>
  <si>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</si>
  <si>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</si>
  <si>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</si>
  <si>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</si>
  <si>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</si>
  <si>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</si>
  <si>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</si>
  <si>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</si>
  <si>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</si>
  <si>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</si>
  <si>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</si>
  <si>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</si>
  <si>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</si>
  <si>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</si>
  <si>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</si>
  <si>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</si>
  <si>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</si>
  <si>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</si>
  <si>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</si>
  <si>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</si>
  <si>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</si>
  <si>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</si>
  <si>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</si>
  <si>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</si>
  <si>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</si>
  <si>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</si>
  <si>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</si>
  <si>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</si>
  <si>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</si>
  <si>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</si>
  <si>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Lámpara miniatura</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</si>
  <si>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</si>
  <si>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</si>
  <si>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</si>
  <si>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</si>
  <si>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</si>
  <si>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</si>
  <si>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</si>
  <si>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</si>
  <si>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44121604</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</si>
  <si>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</si>
  <si>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</si>
  <si>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</si>
  <si>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</si>
  <si>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</si>
  <si>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</si>
  <si>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</si>
  <si>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</si>
  <si>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</si>
  <si>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</si>
  <si>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82121504</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</si>
  <si>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</si>
  <si>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</si>
  <si>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</si>
  <si>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</si>
  <si>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</si>
  <si>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</si>
  <si>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</si>
  <si>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</si>
  <si>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</si>
  <si>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</si>
  <si>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</si>
  <si>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</si>
  <si>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</si>
  <si>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Suministros  de  embalaje</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</si>
  <si>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</si>
  <si>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</si>
  <si>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</si>
  <si>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</si>
  <si>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</si>
  <si>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</si>
  <si>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</si>
  <si>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</si>
  <si>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</si>
  <si>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</si>
  <si>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</si>
  <si>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</si>
  <si>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</si>
  <si>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</si>
  <si>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</si>
  <si>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</si>
  <si>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</si>
  <si>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</si>
  <si>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31231311</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</si>
  <si>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</si>
  <si>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</si>
  <si>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</si>
  <si>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</si>
  <si>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</si>
  <si>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</si>
  <si>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</si>
  <si>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</si>
  <si>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</si>
  <si>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</si>
  <si>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</si>
  <si>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</si>
  <si>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</si>
  <si>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</si>
  <si>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</si>
  <si>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</si>
  <si>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</si>
  <si>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</si>
  <si>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</si>
  <si>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</si>
  <si>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</si>
  <si>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</si>
  <si>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</si>
  <si>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</si>
  <si>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</si>
  <si>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</si>
  <si>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</si>
  <si>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</si>
  <si>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</si>
  <si>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</si>
  <si>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</si>
  <si>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</si>
  <si>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</si>
  <si>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</si>
  <si>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</si>
  <si>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</si>
  <si>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</si>
  <si>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</si>
  <si>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</si>
  <si>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</si>
  <si>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</si>
  <si>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</si>
  <si>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</si>
  <si>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</si>
  <si>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</si>
  <si>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</si>
  <si>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</si>
  <si>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</si>
  <si>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</si>
  <si>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</si>
  <si>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</si>
  <si>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</si>
  <si>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</si>
  <si>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</si>
  <si>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27112001</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</si>
  <si>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</si>
  <si>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</si>
  <si>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</si>
  <si>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</si>
  <si>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</si>
  <si>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</si>
  <si>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</si>
  <si>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</si>
  <si>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</si>
  <si>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</si>
  <si>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</si>
  <si>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</si>
  <si>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</si>
  <si>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</si>
  <si>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</si>
  <si>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</si>
  <si>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</si>
  <si>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</si>
  <si>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</si>
  <si>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</si>
  <si>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</si>
  <si>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</si>
  <si>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</si>
  <si>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</si>
  <si>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</si>
  <si>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</si>
  <si>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</si>
  <si>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</si>
  <si>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</si>
  <si>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53102504</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</si>
  <si>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</si>
  <si>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</si>
  <si>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</si>
  <si>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</si>
  <si>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</si>
  <si>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</si>
  <si>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</si>
  <si>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</si>
  <si>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</si>
  <si>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</si>
  <si>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</si>
  <si>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</si>
  <si>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</si>
  <si>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</si>
  <si>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</si>
  <si>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</si>
  <si>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</si>
  <si>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</si>
  <si>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</si>
  <si>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</si>
  <si>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</si>
  <si>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</si>
  <si>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</si>
  <si>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</si>
  <si>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</si>
  <si>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</si>
  <si>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</si>
  <si>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</si>
  <si>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</si>
  <si>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</si>
  <si>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</si>
  <si>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</si>
  <si>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</si>
  <si>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</si>
  <si>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</si>
  <si>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</si>
  <si>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</si>
  <si>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</si>
  <si>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</si>
  <si>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</si>
  <si>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</si>
  <si>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</si>
  <si>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</si>
  <si>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</si>
  <si>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</si>
  <si>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</si>
  <si>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</si>
  <si>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</si>
  <si>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</si>
  <si>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</si>
  <si>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</si>
  <si>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</si>
  <si>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</si>
  <si>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</si>
  <si>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39121705</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</si>
  <si>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</si>
  <si>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</si>
  <si>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</si>
  <si>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</si>
  <si>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</si>
  <si>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</si>
  <si>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</si>
  <si>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</si>
  <si>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</si>
  <si>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</si>
  <si>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</si>
  <si>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</si>
  <si>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</si>
  <si>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</si>
  <si>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</si>
  <si>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</si>
  <si>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</si>
  <si>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</si>
  <si>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</si>
  <si>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</si>
  <si>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</si>
  <si>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</si>
  <si>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</si>
  <si>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</si>
  <si>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</si>
  <si>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</si>
  <si>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</si>
  <si>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</si>
  <si>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</si>
  <si>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</si>
  <si>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</si>
  <si>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</si>
  <si>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</si>
  <si>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</si>
  <si>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</si>
  <si>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</si>
  <si>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</si>
  <si>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93131608</t>
  </si>
  <si>
    <t>Salsas para ensaladas o dips</t>
  </si>
  <si>
    <t>Dispensadores de ítems de acomodación personal</t>
  </si>
  <si>
    <t>Mesas para planos</t>
  </si>
  <si>
    <t>Servicio de construcción de represas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</si>
  <si>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</si>
  <si>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</si>
  <si>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</si>
  <si>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</si>
  <si>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</si>
  <si>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</si>
  <si>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</si>
  <si>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</si>
  <si>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</si>
  <si>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</si>
  <si>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</si>
  <si>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</si>
  <si>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</si>
  <si>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</si>
  <si>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</si>
  <si>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</si>
  <si>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</si>
  <si>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</si>
  <si>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</si>
  <si>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</si>
  <si>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27112709</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</si>
  <si>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</si>
  <si>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</si>
  <si>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</si>
  <si>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</si>
  <si>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</si>
  <si>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</si>
  <si>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</si>
  <si>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</si>
  <si>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</si>
  <si>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</si>
  <si>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</si>
  <si>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</si>
  <si>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</si>
  <si>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</si>
  <si>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</si>
  <si>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41122411</t>
  </si>
  <si>
    <t>Grasa de lana</t>
  </si>
  <si>
    <t>Papel  para  uso  industrial</t>
  </si>
  <si>
    <t>81111805</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</si>
  <si>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</si>
  <si>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</si>
  <si>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</si>
  <si>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</si>
  <si>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</si>
  <si>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</si>
  <si>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</si>
  <si>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</si>
  <si>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</si>
  <si>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</si>
  <si>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</si>
  <si>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</si>
  <si>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</si>
  <si>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</si>
  <si>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</si>
  <si>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</si>
  <si>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46181801</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</si>
  <si>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</si>
  <si>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</si>
  <si>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</si>
  <si>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</si>
  <si>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</si>
  <si>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</si>
  <si>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</si>
  <si>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</si>
  <si>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</si>
  <si>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</si>
  <si>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</si>
  <si>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</si>
  <si>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</si>
  <si>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</si>
  <si>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</si>
  <si>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</si>
  <si>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</si>
  <si>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</si>
  <si>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</si>
  <si>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</si>
  <si>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</si>
  <si>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</si>
  <si>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</si>
  <si>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</si>
  <si>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</si>
  <si>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</si>
  <si>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</si>
  <si>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</si>
  <si>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</si>
  <si>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</si>
  <si>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</si>
  <si>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</si>
  <si>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</si>
  <si>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</si>
  <si>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</si>
  <si>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</si>
  <si>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</si>
  <si>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</si>
  <si>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</si>
  <si>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</si>
  <si>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</si>
  <si>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</si>
  <si>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</si>
  <si>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</si>
  <si>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</si>
  <si>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</si>
  <si>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</si>
  <si>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</si>
  <si>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</si>
  <si>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</si>
  <si>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</si>
  <si>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</si>
  <si>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</si>
  <si>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</si>
  <si>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</si>
  <si>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27111701</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</si>
  <si>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</si>
  <si>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</si>
  <si>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</si>
  <si>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</si>
  <si>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</si>
  <si>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</si>
  <si>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</si>
  <si>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49161608</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</si>
  <si>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</si>
  <si>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</si>
  <si>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</si>
  <si>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</si>
  <si>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</si>
  <si>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</si>
  <si>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</si>
  <si>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</si>
  <si>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</si>
  <si>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 xml:space="preserve">Caja divisora (“splitter”) scart </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</si>
  <si>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</si>
  <si>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</si>
  <si>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</si>
  <si>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</si>
  <si>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</si>
  <si>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</si>
  <si>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</si>
  <si>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</si>
  <si>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</si>
  <si>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</si>
  <si>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</si>
  <si>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</si>
  <si>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</si>
  <si>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</si>
  <si>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</si>
  <si>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39121007</t>
  </si>
  <si>
    <t>Bloques de terminales</t>
  </si>
  <si>
    <t>Yaguate</t>
  </si>
  <si>
    <t>Productos de resucitación, anestesia y respiratorio</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</si>
  <si>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</si>
  <si>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</si>
  <si>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</si>
  <si>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</si>
  <si>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</si>
  <si>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</si>
  <si>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</si>
  <si>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</si>
  <si>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</si>
  <si>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Telas y vestidos médicos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</si>
  <si>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</si>
  <si>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</si>
  <si>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</si>
  <si>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</si>
  <si>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</si>
  <si>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</si>
  <si>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</si>
  <si>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</si>
  <si>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</si>
  <si>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</si>
  <si>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</si>
  <si>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</si>
  <si>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</si>
  <si>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</si>
  <si>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</si>
  <si>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</si>
  <si>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</si>
  <si>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</si>
  <si>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</si>
  <si>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</si>
  <si>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</si>
  <si>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</si>
  <si>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</si>
  <si>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</si>
  <si>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</si>
  <si>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</si>
  <si>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</si>
  <si>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</si>
  <si>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</si>
  <si>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</si>
  <si>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</si>
  <si>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</si>
  <si>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</si>
  <si>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</si>
  <si>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</si>
  <si>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</si>
  <si>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</si>
  <si>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</si>
  <si>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</si>
  <si>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Servicio de limpieza de pisos</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</si>
  <si>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</si>
  <si>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</si>
  <si>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</si>
  <si>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</si>
  <si>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</si>
  <si>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</si>
  <si>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</si>
  <si>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</si>
  <si>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</si>
  <si>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</si>
  <si>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</si>
  <si>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</si>
  <si>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</si>
  <si>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</si>
  <si>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</si>
  <si>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</si>
  <si>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</si>
  <si>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</si>
  <si>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</si>
  <si>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</si>
  <si>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</si>
  <si>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</si>
  <si>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</si>
  <si>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</si>
  <si>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</si>
  <si>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</si>
  <si>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</si>
  <si>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</si>
  <si>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</si>
  <si>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</si>
  <si>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</si>
  <si>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</si>
  <si>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</si>
  <si>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</si>
  <si>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</si>
  <si>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</si>
  <si>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</si>
  <si>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</si>
  <si>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</si>
  <si>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</si>
  <si>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</si>
  <si>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</si>
  <si>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</si>
  <si>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</si>
  <si>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</si>
  <si>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</si>
  <si>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</si>
  <si>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</si>
  <si>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</si>
  <si>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</si>
  <si>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</si>
  <si>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31161501</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</si>
  <si>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</si>
  <si>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</si>
  <si>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</si>
  <si>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</si>
  <si>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</si>
  <si>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</si>
  <si>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</si>
  <si>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</si>
  <si>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</si>
  <si>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</si>
  <si>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</si>
  <si>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</si>
  <si>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</si>
  <si>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</si>
  <si>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</si>
  <si>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</si>
  <si>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</si>
  <si>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</si>
  <si>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</si>
  <si>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</si>
  <si>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</si>
  <si>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</si>
  <si>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</si>
  <si>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</si>
  <si>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</si>
  <si>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</si>
  <si>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</si>
  <si>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</si>
  <si>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</si>
  <si>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</si>
  <si>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</si>
  <si>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41112211</t>
  </si>
  <si>
    <t>Gabinetes clínicos para junto a la cama o accesorios</t>
  </si>
  <si>
    <t>Cepos</t>
  </si>
  <si>
    <t>Cheques o chequeras</t>
  </si>
  <si>
    <t>Camas o accesorios de cuidado del paciente para uso general</t>
  </si>
  <si>
    <t>Componentes de aleación ferrosa maquinados por extrusión en caliente</t>
  </si>
  <si>
    <t>Mantenimiento o reparación del sistema de plomería</t>
  </si>
  <si>
    <t>Tanques de buceo</t>
  </si>
  <si>
    <t>46181604</t>
  </si>
  <si>
    <t>Americio am</t>
  </si>
  <si>
    <t>Etiquetas para el equipaje</t>
  </si>
  <si>
    <t>Trapos</t>
  </si>
  <si>
    <t>53102301</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</si>
  <si>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</si>
  <si>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</si>
  <si>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</si>
  <si>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</si>
  <si>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</si>
  <si>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</si>
  <si>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</si>
  <si>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</si>
  <si>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</si>
  <si>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</si>
  <si>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</si>
  <si>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</si>
  <si>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</si>
  <si>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</si>
  <si>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</si>
  <si>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</si>
  <si>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</si>
  <si>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</si>
  <si>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</si>
  <si>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</si>
  <si>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</si>
  <si>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</si>
  <si>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</si>
  <si>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</si>
  <si>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</si>
  <si>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</si>
  <si>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</si>
  <si>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</si>
  <si>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</si>
  <si>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</si>
  <si>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</si>
  <si>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</si>
  <si>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</si>
  <si>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</si>
  <si>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</si>
  <si>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Aplique decorativo del vehículo</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</si>
  <si>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</si>
  <si>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</si>
  <si>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</si>
  <si>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</si>
  <si>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</si>
  <si>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</si>
  <si>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</si>
  <si>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</si>
  <si>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</si>
  <si>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</si>
  <si>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</si>
  <si>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</si>
  <si>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</si>
  <si>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</si>
  <si>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Mezclador de videos</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</si>
  <si>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</si>
  <si>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</si>
  <si>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</si>
  <si>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</si>
  <si>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</si>
  <si>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</si>
  <si>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</si>
  <si>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</si>
  <si>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</si>
  <si>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</si>
  <si>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</si>
  <si>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</si>
  <si>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</si>
  <si>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</si>
  <si>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</si>
  <si>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</si>
  <si>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</si>
  <si>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</si>
  <si>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</si>
  <si>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</si>
  <si>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</si>
  <si>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</si>
  <si>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</si>
  <si>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</si>
  <si>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</si>
  <si>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</si>
  <si>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</si>
  <si>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</si>
  <si>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</si>
  <si>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</si>
  <si>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</si>
  <si>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</si>
  <si>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</si>
  <si>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</si>
  <si>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</si>
  <si>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</si>
  <si>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</si>
  <si>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</si>
  <si>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</si>
  <si>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</si>
  <si>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</si>
  <si>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</si>
  <si>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</si>
  <si>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</si>
  <si>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</si>
  <si>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</si>
  <si>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</si>
  <si>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</si>
  <si>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</si>
  <si>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</si>
  <si>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</si>
  <si>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</si>
  <si>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</si>
  <si>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</si>
  <si>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</si>
  <si>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</si>
  <si>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</si>
  <si>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</si>
  <si>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</si>
  <si>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</si>
  <si>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</si>
  <si>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</si>
  <si>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</si>
  <si>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</si>
  <si>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</si>
  <si>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</si>
  <si>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</si>
  <si>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</si>
  <si>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49161517</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</si>
  <si>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</si>
  <si>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</si>
  <si>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</si>
  <si>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</si>
  <si>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</si>
  <si>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</si>
  <si>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</si>
  <si>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</si>
  <si>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</si>
  <si>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</si>
  <si>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</si>
  <si>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</si>
  <si>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</si>
  <si>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</si>
  <si>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</si>
  <si>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</si>
  <si>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</si>
  <si>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</si>
  <si>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</si>
  <si>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</si>
  <si>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</si>
  <si>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</si>
  <si>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</si>
  <si>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46181811</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</si>
  <si>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</si>
  <si>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</si>
  <si>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</si>
  <si>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</si>
  <si>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</si>
  <si>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</si>
  <si>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</si>
  <si>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</si>
  <si>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</si>
  <si>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</si>
  <si>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</si>
  <si>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</si>
  <si>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</si>
  <si>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</si>
  <si>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</si>
  <si>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</si>
  <si>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</si>
  <si>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</si>
  <si>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</si>
  <si>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</si>
  <si>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</si>
  <si>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</si>
  <si>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</si>
  <si>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</si>
  <si>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</si>
  <si>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</si>
  <si>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</si>
  <si>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</si>
  <si>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</si>
  <si>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</si>
  <si>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</si>
  <si>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</si>
  <si>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</si>
  <si>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</si>
  <si>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</si>
  <si>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</si>
  <si>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</si>
  <si>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</si>
  <si>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</si>
  <si>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</si>
  <si>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</si>
  <si>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</si>
  <si>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</si>
  <si>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</si>
  <si>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</si>
  <si>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</si>
  <si>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</si>
  <si>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</si>
  <si>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</si>
  <si>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</si>
  <si>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</si>
  <si>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</si>
  <si>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</si>
  <si>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</si>
  <si>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</si>
  <si>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</si>
  <si>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</si>
  <si>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</si>
  <si>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</si>
  <si>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</si>
  <si>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</si>
  <si>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</si>
  <si>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</si>
  <si>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</si>
  <si>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</si>
  <si>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</si>
  <si>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</si>
  <si>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</si>
  <si>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</si>
  <si>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</si>
  <si>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</si>
  <si>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</si>
  <si>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</si>
  <si>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</si>
  <si>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41115309</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</si>
  <si>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</si>
  <si>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</si>
  <si>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</si>
  <si>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</si>
  <si>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</si>
  <si>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</si>
  <si>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</si>
  <si>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</si>
  <si>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</si>
  <si>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</si>
  <si>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</si>
  <si>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</si>
  <si>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</si>
  <si>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</si>
  <si>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Aislamiento de ajuste holgado</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</si>
  <si>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</si>
  <si>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</si>
  <si>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</si>
  <si>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</si>
  <si>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</si>
  <si>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</si>
  <si>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</si>
  <si>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</si>
  <si>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</si>
  <si>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</si>
  <si>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</si>
  <si>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</si>
  <si>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</si>
  <si>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</si>
  <si>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</si>
  <si>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</si>
  <si>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</si>
  <si>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</si>
  <si>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</si>
  <si>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</si>
  <si>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</si>
  <si>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</si>
  <si>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</si>
  <si>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</si>
  <si>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</si>
  <si>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</si>
  <si>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</si>
  <si>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</si>
  <si>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</si>
  <si>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</si>
  <si>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</si>
  <si>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</si>
  <si>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</si>
  <si>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</si>
  <si>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</si>
  <si>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</si>
  <si>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</si>
  <si>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</si>
  <si>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</si>
  <si>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</si>
  <si>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</si>
  <si>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</si>
  <si>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</si>
  <si>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</si>
  <si>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</si>
  <si>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</si>
  <si>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</si>
  <si>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</si>
  <si>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</si>
  <si>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</si>
  <si>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</si>
  <si>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</si>
  <si>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</si>
  <si>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</si>
  <si>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</si>
  <si>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</si>
  <si>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</si>
  <si>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</si>
  <si>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</si>
  <si>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</si>
  <si>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</si>
  <si>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</si>
  <si>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</si>
  <si>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</si>
  <si>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</si>
  <si>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</si>
  <si>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</si>
  <si>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</si>
  <si>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</si>
  <si>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</si>
  <si>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11131501</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</si>
  <si>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</si>
  <si>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</si>
  <si>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</si>
  <si>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</si>
  <si>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</si>
  <si>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</si>
  <si>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</si>
  <si>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</si>
  <si>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Lubricantes,  aceites,  grasas  y  anticorrosivos</t>
  </si>
  <si>
    <t>Suministros de tracción de mano o dedos</t>
  </si>
  <si>
    <t>Lanzadores de misiles</t>
  </si>
  <si>
    <t>Maquinas dispensadoras de cantidades grandes</t>
  </si>
  <si>
    <t>Ordeñadoras</t>
  </si>
  <si>
    <t>46181504</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</si>
  <si>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</si>
  <si>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</si>
  <si>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</si>
  <si>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</si>
  <si>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</si>
  <si>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</si>
  <si>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40142323</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</si>
  <si>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</si>
  <si>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</si>
  <si>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</si>
  <si>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</si>
  <si>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</si>
  <si>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</si>
  <si>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</si>
  <si>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</si>
  <si>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</si>
  <si>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25171718</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</si>
  <si>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</si>
  <si>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</si>
  <si>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</si>
  <si>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</si>
  <si>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</si>
  <si>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</si>
  <si>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</si>
  <si>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</si>
  <si>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</si>
  <si>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</si>
  <si>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</si>
  <si>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</si>
  <si>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</si>
  <si>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</si>
  <si>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</si>
  <si>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</si>
  <si>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</si>
  <si>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</si>
  <si>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</si>
  <si>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</si>
  <si>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</si>
  <si>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</si>
  <si>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</si>
  <si>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</si>
  <si>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</si>
  <si>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31211508</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</si>
  <si>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</si>
  <si>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</si>
  <si>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</si>
  <si>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</si>
  <si>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</si>
  <si>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</si>
  <si>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</si>
  <si>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</si>
  <si>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</si>
  <si>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</si>
  <si>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</si>
  <si>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</si>
  <si>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</si>
  <si>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</si>
  <si>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</si>
  <si>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</si>
  <si>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</si>
  <si>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</si>
  <si>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</si>
  <si>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</si>
  <si>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Regla diagnóstica de rayos x para uso médico</t>
  </si>
  <si>
    <t>Maquinaria de inspección de alcantarillas</t>
  </si>
  <si>
    <t>Caja de ingletes</t>
  </si>
  <si>
    <t>Unidades de mezclado de lechada fracturación</t>
  </si>
  <si>
    <t>Oxígeno o</t>
  </si>
  <si>
    <t>Orificios de ajuste</t>
  </si>
  <si>
    <t>Rododendros</t>
  </si>
  <si>
    <t>Instrumentos para probar vidrio</t>
  </si>
  <si>
    <t>31163211</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</si>
  <si>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</si>
  <si>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</si>
  <si>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</si>
  <si>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</si>
  <si>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</si>
  <si>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</si>
  <si>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</si>
  <si>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</si>
  <si>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</si>
  <si>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</si>
  <si>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</si>
  <si>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</si>
  <si>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</si>
  <si>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</si>
  <si>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</si>
  <si>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</si>
  <si>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</si>
  <si>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</si>
  <si>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</si>
  <si>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</si>
  <si>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</si>
  <si>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</si>
  <si>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</si>
  <si>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</si>
  <si>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</si>
  <si>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</si>
  <si>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</si>
  <si>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</si>
  <si>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</si>
  <si>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</si>
  <si>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</si>
  <si>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</si>
  <si>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</si>
  <si>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</si>
  <si>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</si>
  <si>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53121706</t>
  </si>
  <si>
    <t>Intensificadores de presión</t>
  </si>
  <si>
    <t>Sparfloxacina</t>
  </si>
  <si>
    <t>Servicios de pintores</t>
  </si>
  <si>
    <t>Vehículos de juguete</t>
  </si>
  <si>
    <t>Reubicación de personal</t>
  </si>
  <si>
    <t>51171702</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</si>
  <si>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</si>
  <si>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</si>
  <si>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</si>
  <si>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</si>
  <si>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</si>
  <si>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</si>
  <si>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</si>
  <si>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</si>
  <si>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</si>
  <si>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</si>
  <si>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</si>
  <si>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</si>
  <si>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</si>
  <si>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</si>
  <si>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</si>
  <si>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</si>
  <si>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</si>
  <si>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</si>
  <si>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</si>
  <si>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</si>
  <si>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</si>
  <si>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</si>
  <si>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</si>
  <si>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Adquisicion de alimentos y bebidas</t>
  </si>
  <si>
    <t>Servicios farmacéuticos comerciales</t>
  </si>
  <si>
    <t>Ensambles de placas atornilladas de cobre</t>
  </si>
  <si>
    <t>Equipos de intercambio de base</t>
  </si>
  <si>
    <t>Piezas de latón forjadas a martinete</t>
  </si>
  <si>
    <t>Estrategias de prevención de la guerra</t>
  </si>
  <si>
    <t>55121606</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</si>
  <si>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</si>
  <si>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</si>
  <si>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</si>
  <si>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</si>
  <si>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</si>
  <si>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</si>
  <si>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</si>
  <si>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</si>
  <si>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</si>
  <si>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</si>
  <si>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</si>
  <si>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</si>
  <si>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</si>
  <si>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</si>
  <si>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</si>
  <si>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</si>
  <si>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</si>
  <si>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</si>
  <si>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</si>
  <si>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</si>
  <si>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</si>
  <si>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</si>
  <si>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</si>
  <si>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Adquisicion de Mochilas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</si>
  <si>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</si>
  <si>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</si>
  <si>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</si>
  <si>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</si>
  <si>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</si>
  <si>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</si>
  <si>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</si>
  <si>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</si>
  <si>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</si>
  <si>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</si>
  <si>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</si>
  <si>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</si>
  <si>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</si>
  <si>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</si>
  <si>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</si>
  <si>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</si>
  <si>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</si>
  <si>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</si>
  <si>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</si>
  <si>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</si>
  <si>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</si>
  <si>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</si>
  <si>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</si>
  <si>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</si>
  <si>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Lámpara de inducción.</t>
  </si>
  <si>
    <t>Necesidades de dotación de personal financiero temporal</t>
  </si>
  <si>
    <t>Juegos de lotería</t>
  </si>
  <si>
    <t>Máquina giratoria con cazoleta de rastrillos abiertas</t>
  </si>
  <si>
    <t>Registradores de datos de vuelo</t>
  </si>
  <si>
    <t>Separadores de dientes para uso odontológico</t>
  </si>
  <si>
    <t>10161707</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</si>
  <si>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</si>
  <si>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</si>
  <si>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</si>
  <si>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</si>
  <si>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</si>
  <si>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</si>
  <si>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</si>
  <si>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</si>
  <si>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</si>
  <si>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</si>
  <si>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</si>
  <si>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</si>
  <si>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</si>
  <si>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</si>
  <si>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</si>
  <si>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</si>
  <si>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Equipo de vídeo, filmación o fotografía</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</si>
  <si>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</si>
  <si>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</si>
  <si>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</si>
  <si>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</si>
  <si>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</si>
  <si>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</si>
  <si>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</si>
  <si>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</si>
  <si>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</si>
  <si>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</si>
  <si>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</si>
  <si>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</si>
  <si>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</si>
  <si>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</si>
  <si>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</si>
  <si>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</si>
  <si>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46182306</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</si>
  <si>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</si>
  <si>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</si>
  <si>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</si>
  <si>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</si>
  <si>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</si>
  <si>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</si>
  <si>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</si>
  <si>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</si>
  <si>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</si>
  <si>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</si>
  <si>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</si>
  <si>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</si>
  <si>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</si>
  <si>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</si>
  <si>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Recipientes  y  almacenamiento</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</si>
  <si>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</si>
  <si>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</si>
  <si>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</si>
  <si>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</si>
  <si>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</si>
  <si>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</si>
  <si>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</si>
  <si>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</si>
  <si>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</si>
  <si>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</si>
  <si>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</si>
  <si>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</si>
  <si>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</si>
  <si>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</si>
  <si>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</si>
  <si>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</si>
  <si>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</si>
  <si>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</si>
  <si>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</si>
  <si>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</si>
  <si>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</si>
  <si>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</si>
  <si>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</si>
  <si>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</si>
  <si>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</si>
  <si>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</si>
  <si>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</si>
  <si>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</si>
  <si>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</si>
  <si>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</si>
  <si>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</si>
  <si>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</si>
  <si>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</si>
  <si>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</si>
  <si>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</si>
  <si>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</si>
  <si>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</si>
  <si>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</si>
  <si>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</si>
  <si>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</si>
  <si>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</si>
  <si>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</si>
  <si>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</si>
  <si>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</si>
  <si>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</si>
  <si>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</si>
  <si>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</si>
  <si>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</si>
  <si>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</si>
  <si>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</si>
  <si>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</si>
  <si>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</si>
  <si>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</si>
  <si>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</si>
  <si>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</si>
  <si>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</si>
  <si>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</si>
  <si>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</si>
  <si>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</si>
  <si>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12141916</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</si>
  <si>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</si>
  <si>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</si>
  <si>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</si>
  <si>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</si>
  <si>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</si>
  <si>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</si>
  <si>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</si>
  <si>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</si>
  <si>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</si>
  <si>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</si>
  <si>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</si>
  <si>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</si>
  <si>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</si>
  <si>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</si>
  <si>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</si>
  <si>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</si>
  <si>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</si>
  <si>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</si>
  <si>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</si>
  <si>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</si>
  <si>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</si>
  <si>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44122003</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</si>
  <si>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</si>
  <si>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</si>
  <si>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</si>
  <si>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</si>
  <si>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</si>
  <si>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</si>
  <si>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</si>
  <si>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</si>
  <si>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</si>
  <si>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</si>
  <si>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</si>
  <si>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</si>
  <si>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</si>
  <si>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</si>
  <si>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</si>
  <si>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</si>
  <si>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</si>
  <si>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</si>
  <si>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</si>
  <si>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</si>
  <si>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</si>
  <si>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</si>
  <si>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</si>
  <si>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</si>
  <si>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</si>
  <si>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</si>
  <si>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</si>
  <si>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</si>
  <si>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</si>
  <si>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</si>
  <si>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</si>
  <si>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</si>
  <si>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</si>
  <si>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</si>
  <si>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</si>
  <si>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</si>
  <si>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</si>
  <si>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</si>
  <si>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</si>
  <si>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</si>
  <si>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Adquisicion de Locker</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</si>
  <si>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</si>
  <si>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</si>
  <si>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</si>
  <si>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</si>
  <si>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</si>
  <si>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</si>
  <si>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</si>
  <si>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</si>
  <si>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</si>
  <si>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</si>
  <si>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</si>
  <si>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</si>
  <si>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</si>
  <si>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53131608</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</si>
  <si>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</si>
  <si>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</si>
  <si>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</si>
  <si>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</si>
  <si>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</si>
  <si>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</si>
  <si>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</si>
  <si>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</si>
  <si>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</si>
  <si>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</si>
  <si>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</si>
  <si>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</si>
  <si>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</si>
  <si>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</si>
  <si>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</si>
  <si>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</si>
  <si>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</si>
  <si>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</si>
  <si>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</si>
  <si>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</si>
  <si>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</si>
  <si>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</si>
  <si>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</si>
  <si>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</si>
  <si>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</si>
  <si>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</si>
  <si>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</si>
  <si>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</si>
  <si>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</si>
  <si>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</si>
  <si>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</si>
  <si>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</si>
  <si>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</si>
  <si>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Fuentes  de  energía</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</si>
  <si>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</si>
  <si>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</si>
  <si>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</si>
  <si>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</si>
  <si>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</si>
  <si>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</si>
  <si>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</si>
  <si>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</si>
  <si>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</si>
  <si>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</si>
  <si>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</si>
  <si>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</si>
  <si>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</si>
  <si>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</si>
  <si>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</si>
  <si>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</si>
  <si>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</si>
  <si>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</si>
  <si>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</si>
  <si>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</si>
  <si>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</si>
  <si>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</si>
  <si>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</si>
  <si>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</si>
  <si>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</si>
  <si>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</si>
  <si>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</si>
  <si>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</si>
  <si>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</si>
  <si>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</si>
  <si>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</si>
  <si>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</si>
  <si>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</si>
  <si>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</si>
  <si>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</si>
  <si>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</si>
  <si>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</si>
  <si>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</si>
  <si>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Convertidor de sincronización</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</si>
  <si>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</si>
  <si>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</si>
  <si>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</si>
  <si>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</si>
  <si>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</si>
  <si>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</si>
  <si>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</si>
  <si>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</si>
  <si>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</si>
  <si>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42141705</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</si>
  <si>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</si>
  <si>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</si>
  <si>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</si>
  <si>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</si>
  <si>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</si>
  <si>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</si>
  <si>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</si>
  <si>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</si>
  <si>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</si>
  <si>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</si>
  <si>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</si>
  <si>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</si>
  <si>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</si>
  <si>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</si>
  <si>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</si>
  <si>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</si>
  <si>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</si>
  <si>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</si>
  <si>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</si>
  <si>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</si>
  <si>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</si>
  <si>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</si>
  <si>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</si>
  <si>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</si>
  <si>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</si>
  <si>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</si>
  <si>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</si>
  <si>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</si>
  <si>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</si>
  <si>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</si>
  <si>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</si>
  <si>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</si>
  <si>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</si>
  <si>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</si>
  <si>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</si>
  <si>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</si>
  <si>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</si>
  <si>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</si>
  <si>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</si>
  <si>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</si>
  <si>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</si>
  <si>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</si>
  <si>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</si>
  <si>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</si>
  <si>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</si>
  <si>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</si>
  <si>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</si>
  <si>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</si>
  <si>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</si>
  <si>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</si>
  <si>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</si>
  <si>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</si>
  <si>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</si>
  <si>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</si>
  <si>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</si>
  <si>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</si>
  <si>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</si>
  <si>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</si>
  <si>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</si>
  <si>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</si>
  <si>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</si>
  <si>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</si>
  <si>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</si>
  <si>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</si>
  <si>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</si>
  <si>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</si>
  <si>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</si>
  <si>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</si>
  <si>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</si>
  <si>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</si>
  <si>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</si>
  <si>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</si>
  <si>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</si>
  <si>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</si>
  <si>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</si>
  <si>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</si>
  <si>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</si>
  <si>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</si>
  <si>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</si>
  <si>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</si>
  <si>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</si>
  <si>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</si>
  <si>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</si>
  <si>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</si>
  <si>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</si>
  <si>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</si>
  <si>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</si>
  <si>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</si>
  <si>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</si>
  <si>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</si>
  <si>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</si>
  <si>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</si>
  <si>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</si>
  <si>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</si>
  <si>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</si>
  <si>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</si>
  <si>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</si>
  <si>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</si>
  <si>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</si>
  <si>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</si>
  <si>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</si>
  <si>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</si>
  <si>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</si>
  <si>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</si>
  <si>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</si>
  <si>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</si>
  <si>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</si>
  <si>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53101502</t>
  </si>
  <si>
    <t>Polietilenglicol laxante</t>
  </si>
  <si>
    <t>Clorhidrato de ciclizina</t>
  </si>
  <si>
    <t>Implante o eslinga ginecológica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</si>
  <si>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</si>
  <si>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</si>
  <si>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</si>
  <si>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</si>
  <si>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</si>
  <si>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</si>
  <si>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</si>
  <si>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</si>
  <si>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</si>
  <si>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</si>
  <si>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</si>
  <si>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</si>
  <si>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</si>
  <si>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</si>
  <si>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</si>
  <si>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</si>
  <si>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</si>
  <si>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</si>
  <si>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</si>
  <si>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</si>
  <si>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</si>
  <si>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</si>
  <si>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</si>
  <si>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</si>
  <si>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</si>
  <si>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</si>
  <si>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</si>
  <si>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</si>
  <si>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</si>
  <si>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</si>
  <si>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</si>
  <si>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</si>
  <si>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</si>
  <si>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</si>
  <si>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</si>
  <si>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</si>
  <si>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</si>
  <si>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</si>
  <si>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</si>
  <si>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</si>
  <si>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</si>
  <si>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</si>
  <si>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</si>
  <si>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</si>
  <si>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</si>
  <si>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</si>
  <si>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</si>
  <si>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</si>
  <si>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</si>
  <si>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</si>
  <si>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</si>
  <si>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</si>
  <si>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</si>
  <si>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</si>
  <si>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</si>
  <si>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</si>
  <si>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</si>
  <si>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</si>
  <si>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</si>
  <si>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</si>
  <si>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</si>
  <si>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</si>
  <si>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</si>
  <si>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</si>
  <si>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</si>
  <si>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</si>
  <si>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</si>
  <si>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</si>
  <si>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</si>
  <si>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</si>
  <si>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</si>
  <si>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</si>
  <si>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</si>
  <si>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</si>
  <si>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 xml:space="preserve">Estuches o cubiertas para altavoces </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</si>
  <si>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</si>
  <si>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</si>
  <si>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</si>
  <si>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</si>
  <si>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</si>
  <si>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</si>
  <si>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</si>
  <si>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</si>
  <si>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</si>
  <si>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</si>
  <si>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43211501</t>
  </si>
  <si>
    <t>72101516</t>
  </si>
  <si>
    <t>Nabumetona</t>
  </si>
  <si>
    <t>Lanchas de recreo a motor</t>
  </si>
  <si>
    <t>14111604</t>
  </si>
  <si>
    <t>Equipo de blindaje EMI de interferencia electromagnética</t>
  </si>
  <si>
    <t>Burletes</t>
  </si>
  <si>
    <t>Objetos fundidos maquinados por proceso v de hierro</t>
  </si>
  <si>
    <t>Membranas de transferencia por adsorción</t>
  </si>
  <si>
    <t>39121523</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</si>
  <si>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</si>
  <si>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</si>
  <si>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</si>
  <si>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</si>
  <si>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</si>
  <si>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</si>
  <si>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</si>
  <si>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</si>
  <si>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</si>
  <si>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</si>
  <si>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</si>
  <si>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</si>
  <si>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</si>
  <si>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</si>
  <si>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</si>
  <si>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</si>
  <si>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</si>
  <si>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</si>
  <si>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</si>
  <si>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</si>
  <si>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</si>
  <si>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</si>
  <si>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</si>
  <si>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</si>
  <si>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</si>
  <si>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</si>
  <si>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</si>
  <si>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</si>
  <si>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</si>
  <si>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</si>
  <si>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</si>
  <si>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</si>
  <si>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</si>
  <si>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</si>
  <si>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</si>
  <si>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</si>
  <si>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23171522</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</si>
  <si>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</si>
  <si>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</si>
  <si>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</si>
  <si>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</si>
  <si>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</si>
  <si>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</si>
  <si>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</si>
  <si>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</si>
  <si>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</si>
  <si>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</si>
  <si>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</si>
  <si>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</si>
  <si>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41112207</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</si>
  <si>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</si>
  <si>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</si>
  <si>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</si>
  <si>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</si>
  <si>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</si>
  <si>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</si>
  <si>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</si>
  <si>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Servicio de construcción de muelles</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</si>
  <si>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</si>
  <si>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</si>
  <si>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</si>
  <si>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</si>
  <si>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</si>
  <si>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</si>
  <si>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</si>
  <si>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</si>
  <si>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</si>
  <si>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</si>
  <si>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</si>
  <si>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</si>
  <si>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</si>
  <si>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</si>
  <si>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</si>
  <si>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</si>
  <si>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</si>
  <si>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</si>
  <si>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</si>
  <si>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</si>
  <si>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</si>
  <si>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</si>
  <si>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</si>
  <si>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</si>
  <si>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</si>
  <si>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</si>
  <si>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</si>
  <si>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</si>
  <si>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</si>
  <si>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</si>
  <si>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</si>
  <si>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</si>
  <si>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</si>
  <si>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</si>
  <si>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</si>
  <si>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</si>
  <si>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</si>
  <si>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</si>
  <si>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</si>
  <si>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</si>
  <si>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</si>
  <si>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</si>
  <si>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</si>
  <si>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</si>
  <si>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</si>
  <si>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</si>
  <si>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</si>
  <si>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</si>
  <si>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</si>
  <si>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</si>
  <si>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</si>
  <si>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</si>
  <si>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</si>
  <si>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</si>
  <si>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</si>
  <si>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</si>
  <si>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</si>
  <si>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</si>
  <si>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</si>
  <si>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90101603</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</si>
  <si>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</si>
  <si>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</si>
  <si>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</si>
  <si>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</si>
  <si>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</si>
  <si>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</si>
  <si>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</si>
  <si>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</si>
  <si>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</si>
  <si>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</si>
  <si>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</si>
  <si>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</si>
  <si>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</si>
  <si>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</si>
  <si>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</si>
  <si>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</si>
  <si>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</si>
  <si>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</si>
  <si>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</si>
  <si>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</si>
  <si>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</si>
  <si>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</si>
  <si>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</si>
  <si>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</si>
  <si>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</si>
  <si>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</si>
  <si>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</si>
  <si>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Adquisicion de Arañas para Bajante</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</si>
  <si>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</si>
  <si>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</si>
  <si>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</si>
  <si>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</si>
  <si>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</si>
  <si>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</si>
  <si>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</si>
  <si>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</si>
  <si>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</si>
  <si>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</si>
  <si>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</si>
  <si>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</si>
  <si>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</si>
  <si>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</si>
  <si>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</si>
  <si>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</si>
  <si>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Adquisicio de licencias informaticas de auditoria y proteccion de base de datos</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</si>
  <si>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</si>
  <si>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</si>
  <si>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</si>
  <si>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</si>
  <si>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</si>
  <si>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</si>
  <si>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</si>
  <si>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</si>
  <si>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</si>
  <si>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</si>
  <si>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</si>
  <si>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</si>
  <si>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</si>
  <si>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</si>
  <si>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</si>
  <si>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</si>
  <si>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</si>
  <si>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</si>
  <si>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</si>
  <si>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</si>
  <si>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</si>
  <si>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</si>
  <si>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</si>
  <si>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</si>
  <si>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</si>
  <si>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</si>
  <si>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</si>
  <si>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</si>
  <si>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</si>
  <si>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</si>
  <si>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</si>
  <si>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</si>
  <si>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</si>
  <si>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</si>
  <si>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</si>
  <si>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</si>
  <si>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</si>
  <si>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</si>
  <si>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</si>
  <si>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</si>
  <si>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</si>
  <si>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</si>
  <si>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</si>
  <si>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</si>
  <si>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</si>
  <si>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</si>
  <si>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</si>
  <si>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</si>
  <si>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</si>
  <si>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 xml:space="preserve">Contratacion de servicios y alquileres para eventos </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</si>
  <si>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</si>
  <si>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</si>
  <si>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</si>
  <si>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</si>
  <si>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</si>
  <si>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</si>
  <si>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</si>
  <si>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</si>
  <si>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</si>
  <si>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</si>
  <si>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</si>
  <si>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</si>
  <si>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</si>
  <si>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</si>
  <si>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</si>
  <si>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</si>
  <si>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</si>
  <si>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</si>
  <si>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</si>
  <si>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</si>
  <si>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</si>
  <si>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</si>
  <si>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</si>
  <si>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</si>
  <si>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</si>
  <si>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</si>
  <si>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</si>
  <si>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</si>
  <si>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</si>
  <si>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</si>
  <si>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</si>
  <si>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</si>
  <si>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</si>
  <si>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</si>
  <si>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</si>
  <si>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</si>
  <si>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</si>
  <si>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</si>
  <si>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</si>
  <si>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</si>
  <si>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</si>
  <si>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</si>
  <si>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</si>
  <si>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</si>
  <si>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</si>
  <si>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</si>
  <si>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</si>
  <si>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</si>
  <si>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</si>
  <si>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</si>
  <si>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</si>
  <si>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</si>
  <si>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</si>
  <si>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</si>
  <si>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</si>
  <si>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</si>
  <si>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Vehículos  de  motor</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</si>
  <si>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</si>
  <si>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</si>
  <si>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</si>
  <si>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</si>
  <si>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</si>
  <si>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</si>
  <si>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</si>
  <si>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</si>
  <si>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</si>
  <si>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</si>
  <si>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</si>
  <si>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</si>
  <si>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</si>
  <si>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</si>
  <si>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</si>
  <si>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</si>
  <si>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</si>
  <si>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Contratacion servicio de consultoria en estructura organizacional y tecnologia</t>
  </si>
  <si>
    <t>Forjas de estaño maquinadas con impresión por troquel</t>
  </si>
  <si>
    <t>Excavadoras de ruedas</t>
  </si>
  <si>
    <t>Preparación contra óxido</t>
  </si>
  <si>
    <t>44111905</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</si>
  <si>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</si>
  <si>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</si>
  <si>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</si>
  <si>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</si>
  <si>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</si>
  <si>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</si>
  <si>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</si>
  <si>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</si>
  <si>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</si>
  <si>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</si>
  <si>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</si>
  <si>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</si>
  <si>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</si>
  <si>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</si>
  <si>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</si>
  <si>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</si>
  <si>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</si>
  <si>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</si>
  <si>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</si>
  <si>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</si>
  <si>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</si>
  <si>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</si>
  <si>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</si>
  <si>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</si>
  <si>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</si>
  <si>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</si>
  <si>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</si>
  <si>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</si>
  <si>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</si>
  <si>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</si>
  <si>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</si>
  <si>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</si>
  <si>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</si>
  <si>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</si>
  <si>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</si>
  <si>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</si>
  <si>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90101802</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</si>
  <si>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</si>
  <si>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</si>
  <si>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</si>
  <si>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</si>
  <si>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</si>
  <si>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</si>
  <si>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</si>
  <si>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</si>
  <si>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</si>
  <si>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</si>
  <si>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</si>
  <si>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</si>
  <si>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</si>
  <si>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</si>
  <si>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</si>
  <si>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</si>
  <si>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</si>
  <si>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</si>
  <si>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</si>
  <si>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</si>
  <si>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</si>
  <si>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</si>
  <si>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</si>
  <si>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</si>
  <si>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Brazo articulado de dirección</t>
  </si>
  <si>
    <t>Equipo de medición de flujo</t>
  </si>
  <si>
    <t>Servicios de diseño de empaques</t>
  </si>
  <si>
    <t>56101522</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</si>
  <si>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</si>
  <si>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</si>
  <si>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</si>
  <si>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</si>
  <si>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</si>
  <si>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</si>
  <si>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</si>
  <si>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</si>
  <si>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</si>
  <si>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</si>
  <si>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</si>
  <si>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</si>
  <si>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</si>
  <si>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</si>
  <si>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</si>
  <si>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</si>
  <si>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</si>
  <si>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</si>
  <si>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</si>
  <si>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</si>
  <si>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</si>
  <si>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</si>
  <si>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49101602</t>
  </si>
  <si>
    <t>Varillas de soldadura o soldadura con latón a gas</t>
  </si>
  <si>
    <t>Necesidades de dotación de personal de producción temporal</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</si>
  <si>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</si>
  <si>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</si>
  <si>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</si>
  <si>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</si>
  <si>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</si>
  <si>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</si>
  <si>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</si>
  <si>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</si>
  <si>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</si>
  <si>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</si>
  <si>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</si>
  <si>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</si>
  <si>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</si>
  <si>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</si>
  <si>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</si>
  <si>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</si>
  <si>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</si>
  <si>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</si>
  <si>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</si>
  <si>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</si>
  <si>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</si>
  <si>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</si>
  <si>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</si>
  <si>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</si>
  <si>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</si>
  <si>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</si>
  <si>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</si>
  <si>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</si>
  <si>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</si>
  <si>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</si>
  <si>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</si>
  <si>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</si>
  <si>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</si>
  <si>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</si>
  <si>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</si>
  <si>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</si>
  <si>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</si>
  <si>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47131807</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</si>
  <si>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</si>
  <si>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</si>
  <si>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</si>
  <si>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</si>
  <si>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</si>
  <si>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</si>
  <si>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</si>
  <si>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Lámpara de criptón</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</si>
  <si>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</si>
  <si>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</si>
  <si>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</si>
  <si>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</si>
  <si>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</si>
  <si>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</si>
  <si>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</si>
  <si>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</si>
  <si>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</si>
  <si>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</si>
  <si>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</si>
  <si>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</si>
  <si>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</si>
  <si>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</si>
  <si>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</si>
  <si>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</si>
  <si>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</si>
  <si>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</si>
  <si>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</si>
  <si>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</si>
  <si>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Sistemas de computador para archivo de fotografías médicas pacs</t>
  </si>
  <si>
    <t>Telemercadeo</t>
  </si>
  <si>
    <t>Materiales didácticos de materiales</t>
  </si>
  <si>
    <t>Productos para el cuidado de heridas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</si>
  <si>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</si>
  <si>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</si>
  <si>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</si>
  <si>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</si>
  <si>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</si>
  <si>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</si>
  <si>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</si>
  <si>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</si>
  <si>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</si>
  <si>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</si>
  <si>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</si>
  <si>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</si>
  <si>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</si>
  <si>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</si>
  <si>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</si>
  <si>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</si>
  <si>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</si>
  <si>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</si>
  <si>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</si>
  <si>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</si>
  <si>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</si>
  <si>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</si>
  <si>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</si>
  <si>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</si>
  <si>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</si>
  <si>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</si>
  <si>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</si>
  <si>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</si>
  <si>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</si>
  <si>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</si>
  <si>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</si>
  <si>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</si>
  <si>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</si>
  <si>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</si>
  <si>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</si>
  <si>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</si>
  <si>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</si>
  <si>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</si>
  <si>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 xml:space="preserve">COPIAS </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</si>
  <si>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</si>
  <si>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</si>
  <si>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</si>
  <si>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</si>
  <si>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</si>
  <si>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</si>
  <si>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</si>
  <si>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</si>
  <si>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</si>
  <si>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</si>
  <si>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31211501</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</si>
  <si>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</si>
  <si>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</si>
  <si>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</si>
  <si>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</si>
  <si>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</si>
  <si>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</si>
  <si>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</si>
  <si>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</si>
  <si>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</si>
  <si>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</si>
  <si>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</si>
  <si>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</si>
  <si>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</si>
  <si>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</si>
  <si>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41115603</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</si>
  <si>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</si>
  <si>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</si>
  <si>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</si>
  <si>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</si>
  <si>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</si>
  <si>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</si>
  <si>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</si>
  <si>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</si>
  <si>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</si>
  <si>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</si>
  <si>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</si>
  <si>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</si>
  <si>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</si>
  <si>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</si>
  <si>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</si>
  <si>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</si>
  <si>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</si>
  <si>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</si>
  <si>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</si>
  <si>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</si>
  <si>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</si>
  <si>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</si>
  <si>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</si>
  <si>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</si>
  <si>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</si>
  <si>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</si>
  <si>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</si>
  <si>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</si>
  <si>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</si>
  <si>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</si>
  <si>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</si>
  <si>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</si>
  <si>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</si>
  <si>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</si>
  <si>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</si>
  <si>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</si>
  <si>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</si>
  <si>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</si>
  <si>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</si>
  <si>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</si>
  <si>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</si>
  <si>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</si>
  <si>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</si>
  <si>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42131606</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</si>
  <si>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</si>
  <si>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</si>
  <si>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</si>
  <si>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</si>
  <si>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</si>
  <si>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</si>
  <si>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</si>
  <si>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</si>
  <si>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</si>
  <si>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</si>
  <si>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Analizadores de frecuencia</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</si>
  <si>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</si>
  <si>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</si>
  <si>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</si>
  <si>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</si>
  <si>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</si>
  <si>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</si>
  <si>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</si>
  <si>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</si>
  <si>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</si>
  <si>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</si>
  <si>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</si>
  <si>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</si>
  <si>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</si>
  <si>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</si>
  <si>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</si>
  <si>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</si>
  <si>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</si>
  <si>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</si>
  <si>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</si>
  <si>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</si>
  <si>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</si>
  <si>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</si>
  <si>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</si>
  <si>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</si>
  <si>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</si>
  <si>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</si>
  <si>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</si>
  <si>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</si>
  <si>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</si>
  <si>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25174601</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</si>
  <si>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</si>
  <si>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</si>
  <si>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</si>
  <si>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</si>
  <si>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</si>
  <si>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</si>
  <si>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</si>
  <si>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</si>
  <si>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</si>
  <si>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</si>
  <si>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</si>
  <si>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</si>
  <si>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</si>
  <si>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</si>
  <si>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</si>
  <si>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</si>
  <si>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</si>
  <si>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</si>
  <si>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</si>
  <si>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</si>
  <si>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</si>
  <si>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</si>
  <si>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</si>
  <si>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</si>
  <si>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</si>
  <si>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</si>
  <si>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</si>
  <si>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</si>
  <si>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</si>
  <si>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</si>
  <si>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</si>
  <si>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</si>
  <si>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</si>
  <si>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</si>
  <si>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</si>
  <si>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</si>
  <si>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</si>
  <si>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</si>
  <si>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39121514</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</si>
  <si>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</si>
  <si>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</si>
  <si>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</si>
  <si>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</si>
  <si>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</si>
  <si>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</si>
  <si>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</si>
  <si>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</si>
  <si>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</si>
  <si>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</si>
  <si>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</si>
  <si>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</si>
  <si>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</si>
  <si>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</si>
  <si>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</si>
  <si>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</si>
  <si>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</si>
  <si>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</si>
  <si>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</si>
  <si>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</si>
  <si>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</si>
  <si>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</si>
  <si>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</si>
  <si>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</si>
  <si>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</si>
  <si>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</si>
  <si>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</si>
  <si>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</si>
  <si>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</si>
  <si>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</si>
  <si>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</si>
  <si>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</si>
  <si>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</si>
  <si>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</si>
  <si>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</si>
  <si>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</si>
  <si>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</si>
  <si>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</si>
  <si>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</si>
  <si>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</si>
  <si>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</si>
  <si>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</si>
  <si>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</si>
  <si>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</si>
  <si>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</si>
  <si>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</si>
  <si>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</si>
  <si>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</si>
  <si>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</si>
  <si>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</si>
  <si>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</si>
  <si>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</si>
  <si>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</si>
  <si>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39121409</t>
  </si>
  <si>
    <t>Analizadores de bioluminiscencia o quimioluminiscencia</t>
  </si>
  <si>
    <t>Servicios de mantenimiento y reparación de bicicletas</t>
  </si>
  <si>
    <t>Trampolines para ejercicios</t>
  </si>
  <si>
    <t>Objetos de aleación no ferrosa fundidos en molde de yeso</t>
  </si>
  <si>
    <t>Compresores de combinación</t>
  </si>
  <si>
    <t>Botes para desembarco de tanques</t>
  </si>
  <si>
    <t>Restaurantes y catering (servicios de comidas y bebidas)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</si>
  <si>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</si>
  <si>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</si>
  <si>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</si>
  <si>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</si>
  <si>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</si>
  <si>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</si>
  <si>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</si>
  <si>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</si>
  <si>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</si>
  <si>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</si>
  <si>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</si>
  <si>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</si>
  <si>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</si>
  <si>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</si>
  <si>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</si>
  <si>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</si>
  <si>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</si>
  <si>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</si>
  <si>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</si>
  <si>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</si>
  <si>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</si>
  <si>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</si>
  <si>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</si>
  <si>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</si>
  <si>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</si>
  <si>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</si>
  <si>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</si>
  <si>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</si>
  <si>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</si>
  <si>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</si>
  <si>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</si>
  <si>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</si>
  <si>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</si>
  <si>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</si>
  <si>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</si>
  <si>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</si>
  <si>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</si>
  <si>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</si>
  <si>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</si>
  <si>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</si>
  <si>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</si>
  <si>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</si>
  <si>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</si>
  <si>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</si>
  <si>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</si>
  <si>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</si>
  <si>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</si>
  <si>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</si>
  <si>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</si>
  <si>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</si>
  <si>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</si>
  <si>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</si>
  <si>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</si>
  <si>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</si>
  <si>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</si>
  <si>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</si>
  <si>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</si>
  <si>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</si>
  <si>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</si>
  <si>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</si>
  <si>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</si>
  <si>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46171613</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</si>
  <si>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</si>
  <si>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</si>
  <si>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</si>
  <si>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</si>
  <si>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</si>
  <si>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</si>
  <si>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</si>
  <si>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</si>
  <si>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</si>
  <si>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</si>
  <si>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</si>
  <si>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</si>
  <si>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</si>
  <si>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</si>
  <si>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</si>
  <si>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</si>
  <si>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</si>
  <si>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</si>
  <si>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Afalizumab</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</si>
  <si>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</si>
  <si>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</si>
  <si>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</si>
  <si>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</si>
  <si>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</si>
  <si>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</si>
  <si>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</si>
  <si>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</si>
  <si>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</si>
  <si>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</si>
  <si>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</si>
  <si>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</si>
  <si>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</si>
  <si>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</si>
  <si>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</si>
  <si>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</si>
  <si>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</si>
  <si>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47131605</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</si>
  <si>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</si>
  <si>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</si>
  <si>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</si>
  <si>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</si>
  <si>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</si>
  <si>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</si>
  <si>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</si>
  <si>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</si>
  <si>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</si>
  <si>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</si>
  <si>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</si>
  <si>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</si>
  <si>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</si>
  <si>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</si>
  <si>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</si>
  <si>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</si>
  <si>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</si>
  <si>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</si>
  <si>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</si>
  <si>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</si>
  <si>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</si>
  <si>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</si>
  <si>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</si>
  <si>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</si>
  <si>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</si>
  <si>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</si>
  <si>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</si>
  <si>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</si>
  <si>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</si>
  <si>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</si>
  <si>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</si>
  <si>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44121708</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</si>
  <si>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</si>
  <si>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</si>
  <si>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</si>
  <si>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</si>
  <si>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</si>
  <si>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</si>
  <si>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</si>
  <si>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</si>
  <si>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</si>
  <si>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</si>
  <si>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</si>
  <si>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</si>
  <si>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</si>
  <si>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</si>
  <si>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</si>
  <si>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</si>
  <si>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</si>
  <si>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</si>
  <si>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</si>
  <si>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</si>
  <si>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</si>
  <si>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</si>
  <si>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</si>
  <si>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</si>
  <si>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</si>
  <si>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</si>
  <si>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</si>
  <si>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</si>
  <si>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</si>
  <si>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Incubadoras de cámara única de tres gases de pared seca</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</si>
  <si>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</si>
  <si>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</si>
  <si>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</si>
  <si>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</si>
  <si>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</si>
  <si>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</si>
  <si>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</si>
  <si>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</si>
  <si>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</si>
  <si>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</si>
  <si>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</si>
  <si>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</si>
  <si>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</si>
  <si>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</si>
  <si>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</si>
  <si>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</si>
  <si>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</si>
  <si>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</si>
  <si>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</si>
  <si>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</si>
  <si>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</si>
  <si>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</si>
  <si>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</si>
  <si>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</si>
  <si>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</si>
  <si>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</si>
  <si>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</si>
  <si>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</si>
  <si>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</si>
  <si>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</si>
  <si>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</si>
  <si>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</si>
  <si>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</si>
  <si>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</si>
  <si>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</si>
  <si>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</si>
  <si>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</si>
  <si>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</si>
  <si>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</si>
  <si>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</si>
  <si>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</si>
  <si>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</si>
  <si>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</si>
  <si>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</si>
  <si>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</si>
  <si>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</si>
  <si>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</si>
  <si>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</si>
  <si>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10171504</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</si>
  <si>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</si>
  <si>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</si>
  <si>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</si>
  <si>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</si>
  <si>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</si>
  <si>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</si>
  <si>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</si>
  <si>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</si>
  <si>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Conector automático de hilos o cables</t>
  </si>
  <si>
    <t>Linternas de pruebas de percepción del color</t>
  </si>
  <si>
    <t>Percoladores urológicos</t>
  </si>
  <si>
    <t>Elevador de plataforma</t>
  </si>
  <si>
    <t>53111501</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</si>
  <si>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</si>
  <si>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</si>
  <si>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</si>
  <si>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</si>
  <si>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</si>
  <si>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</si>
  <si>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</si>
  <si>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 xml:space="preserve">Accesorios para reproductores portátiles de medios </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</si>
  <si>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</si>
  <si>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</si>
  <si>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</si>
  <si>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</si>
  <si>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</si>
  <si>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</si>
  <si>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</si>
  <si>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</si>
  <si>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</si>
  <si>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</si>
  <si>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</si>
  <si>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</si>
  <si>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</si>
  <si>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</si>
  <si>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</si>
  <si>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</si>
  <si>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</si>
  <si>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</si>
  <si>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</si>
  <si>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</si>
  <si>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</si>
  <si>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</si>
  <si>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</si>
  <si>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</si>
  <si>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</si>
  <si>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</si>
  <si>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</si>
  <si>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</si>
  <si>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</si>
  <si>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</si>
  <si>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</si>
  <si>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</si>
  <si>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</si>
  <si>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</si>
  <si>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</si>
  <si>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</si>
  <si>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</si>
  <si>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</si>
  <si>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</si>
  <si>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</si>
  <si>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</si>
  <si>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</si>
  <si>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</si>
  <si>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</si>
  <si>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</si>
  <si>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</si>
  <si>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</si>
  <si>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</si>
  <si>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</si>
  <si>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</si>
  <si>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</si>
  <si>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</si>
  <si>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</si>
  <si>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</si>
  <si>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</si>
  <si>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</si>
  <si>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</si>
  <si>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</si>
  <si>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</si>
  <si>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</si>
  <si>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</si>
  <si>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Sodium aurothiouslfate o sodium aurotiosulfate</t>
  </si>
  <si>
    <t>Representación política</t>
  </si>
  <si>
    <t>Componentes de cobre maquinados por extrusión de impacto</t>
  </si>
  <si>
    <t>Licitacion Publica</t>
  </si>
  <si>
    <t>Servicios de cementar envoltura de superficie</t>
  </si>
  <si>
    <t>Servicios de registro por rayos gamma</t>
  </si>
  <si>
    <t>Rodillo transportador</t>
  </si>
  <si>
    <t>25101507</t>
  </si>
  <si>
    <t>Brocas para poner tuercas</t>
  </si>
  <si>
    <t>11121610</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</si>
  <si>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</si>
  <si>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</si>
  <si>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</si>
  <si>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</si>
  <si>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</si>
  <si>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</si>
  <si>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</si>
  <si>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</si>
  <si>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</si>
  <si>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</si>
  <si>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</si>
  <si>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</si>
  <si>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</si>
  <si>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Maquinaria  y  equipo  para  agricultura,  silvicultura  y  paisajismo</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</si>
  <si>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</si>
  <si>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</si>
  <si>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</si>
  <si>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</si>
  <si>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</si>
  <si>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</si>
  <si>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</si>
  <si>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</si>
  <si>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</si>
  <si>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</si>
  <si>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</si>
  <si>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</si>
  <si>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</si>
  <si>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</si>
  <si>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</si>
  <si>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</si>
  <si>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</si>
  <si>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</si>
  <si>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</si>
  <si>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</si>
  <si>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</si>
  <si>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</si>
  <si>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</si>
  <si>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</si>
  <si>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</si>
  <si>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39121303</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</si>
  <si>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</si>
  <si>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</si>
  <si>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</si>
  <si>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</si>
  <si>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</si>
  <si>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</si>
  <si>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</si>
  <si>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</si>
  <si>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</si>
  <si>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</si>
  <si>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</si>
  <si>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</si>
  <si>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</si>
  <si>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Tecnologías de fabricación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</si>
  <si>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</si>
  <si>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</si>
  <si>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</si>
  <si>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</si>
  <si>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</si>
  <si>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</si>
  <si>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</si>
  <si>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</si>
  <si>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Lente intraocular iol</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</si>
  <si>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</si>
  <si>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</si>
  <si>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</si>
  <si>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</si>
  <si>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</si>
  <si>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</si>
  <si>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</si>
  <si>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</si>
  <si>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</si>
  <si>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</si>
  <si>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</si>
  <si>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</si>
  <si>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</si>
  <si>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</si>
  <si>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</si>
  <si>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Mantenimiento del sistema nearline o de respaldo</t>
  </si>
  <si>
    <t>51121703</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</si>
  <si>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</si>
  <si>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</si>
  <si>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</si>
  <si>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</si>
  <si>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</si>
  <si>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</si>
  <si>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</si>
  <si>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</si>
  <si>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</si>
  <si>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</si>
  <si>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</si>
  <si>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</si>
  <si>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</si>
  <si>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</si>
  <si>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</si>
  <si>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</si>
  <si>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</si>
  <si>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</si>
  <si>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</si>
  <si>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</si>
  <si>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Vajilla fina para servicio de comidas.</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</si>
  <si>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</si>
  <si>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</si>
  <si>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</si>
  <si>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</si>
  <si>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</si>
  <si>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</si>
  <si>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</si>
  <si>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</si>
  <si>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</si>
  <si>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</si>
  <si>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</si>
  <si>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</si>
  <si>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</si>
  <si>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</si>
  <si>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</si>
  <si>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</si>
  <si>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</si>
  <si>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</si>
  <si>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</si>
  <si>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</si>
  <si>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</si>
  <si>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</si>
  <si>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</si>
  <si>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</si>
  <si>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</si>
  <si>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</si>
  <si>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</si>
  <si>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</si>
  <si>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</si>
  <si>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</si>
  <si>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</si>
  <si>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</si>
  <si>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</si>
  <si>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39121529</t>
  </si>
  <si>
    <t>Lingotes de estiramiento por presión de aleación ferrosa</t>
  </si>
  <si>
    <t>Tarjetas de puerto en serie</t>
  </si>
  <si>
    <t>Maquinaria de doblado de tubos</t>
  </si>
  <si>
    <t>Conectores coaxiales</t>
  </si>
  <si>
    <t>Medina</t>
  </si>
  <si>
    <t>Karts</t>
  </si>
  <si>
    <t>Software de multiplexor</t>
  </si>
  <si>
    <t>27111707</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</si>
  <si>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</si>
  <si>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</si>
  <si>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</si>
  <si>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</si>
  <si>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</si>
  <si>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</si>
  <si>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</si>
  <si>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</si>
  <si>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</si>
  <si>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</si>
  <si>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</si>
  <si>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</si>
  <si>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</si>
  <si>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</si>
  <si>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</si>
  <si>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</si>
  <si>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</si>
  <si>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</si>
  <si>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</si>
  <si>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</si>
  <si>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</si>
  <si>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</si>
  <si>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</si>
  <si>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</si>
  <si>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</si>
  <si>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</si>
  <si>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</si>
  <si>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</si>
  <si>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</si>
  <si>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</si>
  <si>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</si>
  <si>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</si>
  <si>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82101502</t>
  </si>
  <si>
    <t>86111701</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</si>
  <si>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</si>
  <si>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</si>
  <si>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</si>
  <si>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</si>
  <si>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</si>
  <si>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</si>
  <si>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</si>
  <si>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</si>
  <si>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</si>
  <si>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</si>
  <si>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</si>
  <si>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</si>
  <si>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</si>
  <si>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</si>
  <si>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</si>
  <si>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</si>
  <si>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</si>
  <si>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</si>
  <si>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</si>
  <si>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</si>
  <si>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</si>
  <si>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</si>
  <si>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</si>
  <si>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</si>
  <si>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</si>
  <si>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</si>
  <si>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</si>
  <si>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</si>
  <si>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</si>
  <si>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</si>
  <si>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</si>
  <si>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</si>
  <si>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</si>
  <si>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</si>
  <si>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</si>
  <si>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</si>
  <si>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</si>
  <si>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</si>
  <si>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</si>
  <si>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</si>
  <si>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</si>
  <si>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</si>
  <si>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</si>
  <si>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</si>
  <si>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</si>
  <si>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</si>
  <si>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</si>
  <si>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</si>
  <si>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</si>
  <si>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</si>
  <si>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</si>
  <si>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</si>
  <si>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</si>
  <si>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</si>
  <si>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</si>
  <si>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</si>
  <si>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</si>
  <si>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</si>
  <si>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</si>
  <si>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</si>
  <si>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</si>
  <si>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</si>
  <si>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</si>
  <si>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</si>
  <si>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</si>
  <si>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</si>
  <si>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</si>
  <si>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</si>
  <si>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</si>
  <si>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</si>
  <si>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</si>
  <si>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</si>
  <si>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</si>
  <si>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</si>
  <si>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</si>
  <si>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</si>
  <si>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</si>
  <si>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</si>
  <si>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</si>
  <si>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</si>
  <si>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</si>
  <si>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</si>
  <si>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</si>
  <si>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</si>
  <si>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</si>
  <si>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80141611</t>
  </si>
  <si>
    <t>Clasificación del suelo</t>
  </si>
  <si>
    <t>40141901</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</si>
  <si>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</si>
  <si>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</si>
  <si>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</si>
  <si>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</si>
  <si>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</si>
  <si>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</si>
  <si>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</si>
  <si>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</si>
  <si>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Productos quirúrgicos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</si>
  <si>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</si>
  <si>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</si>
  <si>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</si>
  <si>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</si>
  <si>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</si>
  <si>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</si>
  <si>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</si>
  <si>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</si>
  <si>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</si>
  <si>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</si>
  <si>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</si>
  <si>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</si>
  <si>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</si>
  <si>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</si>
  <si>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</si>
  <si>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</si>
  <si>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</si>
  <si>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</si>
  <si>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</si>
  <si>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</si>
  <si>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</si>
  <si>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</si>
  <si>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</si>
  <si>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</si>
  <si>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</si>
  <si>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</si>
  <si>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</si>
  <si>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</si>
  <si>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</si>
  <si>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</si>
  <si>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</si>
  <si>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</si>
  <si>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</si>
  <si>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 xml:space="preserve">Estimulador de nervios implantable </t>
  </si>
  <si>
    <t>Patos (bacinillas) para uso general</t>
  </si>
  <si>
    <t>Organizadores individual (sin apoyo)</t>
  </si>
  <si>
    <t>Extensor o retardador de pintura</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</si>
  <si>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</si>
  <si>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</si>
  <si>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</si>
  <si>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</si>
  <si>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</si>
  <si>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</si>
  <si>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</si>
  <si>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</si>
  <si>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</si>
  <si>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</si>
  <si>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</si>
  <si>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</si>
  <si>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</si>
  <si>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</si>
  <si>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</si>
  <si>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</si>
  <si>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</si>
  <si>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</si>
  <si>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</si>
  <si>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</si>
  <si>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</si>
  <si>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</si>
  <si>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</si>
  <si>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 de construcción de metro</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</si>
  <si>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</si>
  <si>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</si>
  <si>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</si>
  <si>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</si>
  <si>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</si>
  <si>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</si>
  <si>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</si>
  <si>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</si>
  <si>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</si>
  <si>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</si>
  <si>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</si>
  <si>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</si>
  <si>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</si>
  <si>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</si>
  <si>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</si>
  <si>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</si>
  <si>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</si>
  <si>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</si>
  <si>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</si>
  <si>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</si>
  <si>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</si>
  <si>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</si>
  <si>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</si>
  <si>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</si>
  <si>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</si>
  <si>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</si>
  <si>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</si>
  <si>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</si>
  <si>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</si>
  <si>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</si>
  <si>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</si>
  <si>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</si>
  <si>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</si>
  <si>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</si>
  <si>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</si>
  <si>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</si>
  <si>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</si>
  <si>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</si>
  <si>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</si>
  <si>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</si>
  <si>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</si>
  <si>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</si>
  <si>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</si>
  <si>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</si>
  <si>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</si>
  <si>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</si>
  <si>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</si>
  <si>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</si>
  <si>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</si>
  <si>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</si>
  <si>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</si>
  <si>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</si>
  <si>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</si>
  <si>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</si>
  <si>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</si>
  <si>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</si>
  <si>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</si>
  <si>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</si>
  <si>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</si>
  <si>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</si>
  <si>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</si>
  <si>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</si>
  <si>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</si>
  <si>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</si>
  <si>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</si>
  <si>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</si>
  <si>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</si>
  <si>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</si>
  <si>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</si>
  <si>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</si>
  <si>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</si>
  <si>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</si>
  <si>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39121703</t>
  </si>
  <si>
    <t>Compactadores o incineradores para el tratamiento de residuos radiactivos</t>
  </si>
  <si>
    <t>Villa Bisonó (Navarrete)</t>
  </si>
  <si>
    <t>Colina</t>
  </si>
  <si>
    <t>Muelles helicoidales</t>
  </si>
  <si>
    <t>Manabao</t>
  </si>
  <si>
    <t>Localizadores de ensamble de sello</t>
  </si>
  <si>
    <t>Cámaras de pesaje de nutrición enteral</t>
  </si>
  <si>
    <t>30103001</t>
  </si>
  <si>
    <t>Las Lagunas</t>
  </si>
  <si>
    <t>Tubos de irrigación urinaria</t>
  </si>
  <si>
    <t>Sistemas de comunicación pública</t>
  </si>
  <si>
    <t>Conmutadores de tensión media</t>
  </si>
  <si>
    <t>Almohadillas o joy sticks de juegos</t>
  </si>
  <si>
    <t>Desactivado por UNSPSC</t>
  </si>
  <si>
    <t>Tubos de pruebas de separador</t>
  </si>
  <si>
    <t xml:space="preserve">Soporte para parlantes </t>
  </si>
  <si>
    <t>Citrato de piperazina</t>
  </si>
  <si>
    <t>11101502</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</si>
  <si>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</si>
  <si>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</si>
  <si>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</si>
  <si>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</si>
  <si>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</si>
  <si>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</si>
  <si>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</si>
  <si>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</si>
  <si>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</si>
  <si>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</si>
  <si>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</si>
  <si>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</si>
  <si>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</si>
  <si>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</si>
  <si>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</si>
  <si>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</si>
  <si>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</si>
  <si>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</si>
  <si>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</si>
  <si>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</si>
  <si>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</si>
  <si>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</si>
  <si>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</si>
  <si>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</si>
  <si>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</si>
  <si>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</si>
  <si>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</si>
  <si>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</si>
  <si>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</si>
  <si>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</si>
  <si>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Servicio de mantenimiento y reparación de Motocicletas</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</si>
  <si>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</si>
  <si>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</si>
  <si>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</si>
  <si>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</si>
  <si>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</si>
  <si>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</si>
  <si>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</si>
  <si>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</si>
  <si>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</si>
  <si>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</si>
  <si>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</si>
  <si>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</si>
  <si>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</si>
  <si>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</si>
  <si>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43232907</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</si>
  <si>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</si>
  <si>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</si>
  <si>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</si>
  <si>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</si>
  <si>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</si>
  <si>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</si>
  <si>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</si>
  <si>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</si>
  <si>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</si>
  <si>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</si>
  <si>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</si>
  <si>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</si>
  <si>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</si>
  <si>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</si>
  <si>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</si>
  <si>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</si>
  <si>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</si>
  <si>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</si>
  <si>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</si>
  <si>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</si>
  <si>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</si>
  <si>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</si>
  <si>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</si>
  <si>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</si>
  <si>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</si>
  <si>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</si>
  <si>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</si>
  <si>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</si>
  <si>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</si>
  <si>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</si>
  <si>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</si>
  <si>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</si>
  <si>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</si>
  <si>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</si>
  <si>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</si>
  <si>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</si>
  <si>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</si>
  <si>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</si>
  <si>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</si>
  <si>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</si>
  <si>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</si>
  <si>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</si>
  <si>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</si>
  <si>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</si>
  <si>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</si>
  <si>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</si>
  <si>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</si>
  <si>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</si>
  <si>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</si>
  <si>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</si>
  <si>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</si>
  <si>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</si>
  <si>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</si>
  <si>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</si>
  <si>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</si>
  <si>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</si>
  <si>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</si>
  <si>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</si>
  <si>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</si>
  <si>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</si>
  <si>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</si>
  <si>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</si>
  <si>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</si>
  <si>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</si>
  <si>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</si>
  <si>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</si>
  <si>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</si>
  <si>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</si>
  <si>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</si>
  <si>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</si>
  <si>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</si>
  <si>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</si>
  <si>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</si>
  <si>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</si>
  <si>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</si>
  <si>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</si>
  <si>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</si>
  <si>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</si>
  <si>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</si>
  <si>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</si>
  <si>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</si>
  <si>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</si>
  <si>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</si>
  <si>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</si>
  <si>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</si>
  <si>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</si>
  <si>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</si>
  <si>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</si>
  <si>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</si>
  <si>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</si>
  <si>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 de inspección, mantenimiento o reparación de extinguidores de fuego</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</si>
  <si>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</si>
  <si>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</si>
  <si>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</si>
  <si>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</si>
  <si>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</si>
  <si>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</si>
  <si>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</si>
  <si>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</si>
  <si>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</si>
  <si>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</si>
  <si>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26111702</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</si>
  <si>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</si>
  <si>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</si>
  <si>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</si>
  <si>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</si>
  <si>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</si>
  <si>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</si>
  <si>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</si>
  <si>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</si>
  <si>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</si>
  <si>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</si>
  <si>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</si>
  <si>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</si>
  <si>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</si>
  <si>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</si>
  <si>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</si>
  <si>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</si>
  <si>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</si>
  <si>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</si>
  <si>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</si>
  <si>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31162403</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</si>
  <si>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</si>
  <si>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</si>
  <si>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</si>
  <si>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</si>
  <si>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</si>
  <si>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</si>
  <si>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</si>
  <si>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82121505</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</si>
  <si>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</si>
  <si>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</si>
  <si>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</si>
  <si>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</si>
  <si>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</si>
  <si>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</si>
  <si>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</si>
  <si>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</si>
  <si>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</si>
  <si>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</si>
  <si>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</si>
  <si>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</si>
  <si>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</si>
  <si>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</si>
  <si>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</si>
  <si>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</si>
  <si>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Adquisicion de Triangulos de Seguridad</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</si>
  <si>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</si>
  <si>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</si>
  <si>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</si>
  <si>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</si>
  <si>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</si>
  <si>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</si>
  <si>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</si>
  <si>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</si>
  <si>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</si>
  <si>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</si>
  <si>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</si>
  <si>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</si>
  <si>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</si>
  <si>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</si>
  <si>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</si>
  <si>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</si>
  <si>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</si>
  <si>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Contratacion de servicio de investigacion y asesoria</t>
  </si>
  <si>
    <t>Clomipramina</t>
  </si>
  <si>
    <t>Xinafoato de salmeterol</t>
  </si>
  <si>
    <t>Adaptadores de catéteres endoscópicos</t>
  </si>
  <si>
    <t>Reflectores</t>
  </si>
  <si>
    <t>Sets de carteleras de idiomas</t>
  </si>
  <si>
    <t>49161504</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</si>
  <si>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</si>
  <si>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</si>
  <si>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</si>
  <si>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</si>
  <si>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</si>
  <si>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</si>
  <si>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</si>
  <si>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</si>
  <si>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</si>
  <si>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</si>
  <si>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</si>
  <si>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</si>
  <si>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</si>
  <si>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</si>
  <si>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</si>
  <si>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</si>
  <si>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</si>
  <si>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</si>
  <si>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</si>
  <si>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</si>
  <si>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</si>
  <si>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</si>
  <si>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</si>
  <si>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</si>
  <si>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</si>
  <si>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</si>
  <si>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</si>
  <si>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</si>
  <si>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</si>
  <si>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</si>
  <si>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</si>
  <si>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</si>
  <si>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</si>
  <si>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51142414</t>
  </si>
  <si>
    <t>Hornos de sistemas de pintura</t>
  </si>
  <si>
    <t>14111705</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</si>
  <si>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</si>
  <si>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</si>
  <si>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</si>
  <si>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</si>
  <si>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</si>
  <si>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</si>
  <si>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</si>
  <si>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</si>
  <si>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</si>
  <si>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</si>
  <si>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</si>
  <si>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</si>
  <si>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</si>
  <si>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</si>
  <si>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</si>
  <si>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</si>
  <si>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</si>
  <si>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</si>
  <si>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</si>
  <si>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</si>
  <si>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</si>
  <si>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</si>
  <si>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</si>
  <si>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</si>
  <si>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Adquisicion de Suvenir</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</si>
  <si>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</si>
  <si>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</si>
  <si>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</si>
  <si>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</si>
  <si>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</si>
  <si>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</si>
  <si>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</si>
  <si>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</si>
  <si>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</si>
  <si>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</si>
  <si>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</si>
  <si>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</si>
  <si>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</si>
  <si>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</si>
  <si>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</si>
  <si>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</si>
  <si>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</si>
  <si>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</si>
  <si>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</si>
  <si>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</si>
  <si>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</si>
  <si>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</si>
  <si>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</si>
  <si>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Mantenimiento de impresoras, escáneres y equipos multifuncionales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</si>
  <si>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</si>
  <si>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</si>
  <si>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</si>
  <si>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</si>
  <si>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</si>
  <si>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</si>
  <si>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</si>
  <si>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</si>
  <si>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</si>
  <si>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</si>
  <si>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</si>
  <si>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</si>
  <si>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</si>
  <si>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</si>
  <si>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</si>
  <si>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</si>
  <si>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</si>
  <si>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</si>
  <si>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</si>
  <si>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</si>
  <si>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</si>
  <si>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</si>
  <si>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</si>
  <si>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</si>
  <si>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</si>
  <si>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</si>
  <si>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</si>
  <si>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</si>
  <si>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</si>
  <si>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</si>
  <si>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</si>
  <si>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</si>
  <si>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</si>
  <si>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</si>
  <si>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</si>
  <si>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</si>
  <si>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</si>
  <si>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43231512</t>
  </si>
  <si>
    <t xml:space="preserve">Adquisicion de Postes </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</si>
  <si>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</si>
  <si>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</si>
  <si>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</si>
  <si>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</si>
  <si>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</si>
  <si>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</si>
  <si>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</si>
  <si>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</si>
  <si>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</si>
  <si>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</si>
  <si>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</si>
  <si>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</si>
  <si>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</si>
  <si>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</si>
  <si>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</si>
  <si>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</si>
  <si>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</si>
  <si>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</si>
  <si>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</si>
  <si>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</si>
  <si>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</si>
  <si>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</si>
  <si>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</si>
  <si>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</si>
  <si>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</si>
  <si>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</si>
  <si>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</si>
  <si>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</si>
  <si>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</si>
  <si>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</si>
  <si>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</si>
  <si>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</si>
  <si>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</si>
  <si>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</si>
  <si>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</si>
  <si>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</si>
  <si>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</si>
  <si>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</si>
  <si>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</si>
  <si>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</si>
  <si>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</si>
  <si>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</si>
  <si>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</si>
  <si>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</si>
  <si>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</si>
  <si>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</si>
  <si>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</si>
  <si>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</si>
  <si>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</si>
  <si>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</si>
  <si>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</si>
  <si>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</si>
  <si>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Tacógrafo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</si>
  <si>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</si>
  <si>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</si>
  <si>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</si>
  <si>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</si>
  <si>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</si>
  <si>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</si>
  <si>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</si>
  <si>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</si>
  <si>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</si>
  <si>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</si>
  <si>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</si>
  <si>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Servicios de voladura de minas</t>
  </si>
  <si>
    <t>Servicios de monitoreo del control de arena</t>
  </si>
  <si>
    <t>Elevadores de misiles sólidos</t>
  </si>
  <si>
    <t>Férulas</t>
  </si>
  <si>
    <t>Alquiler de Counter para Ferias</t>
  </si>
  <si>
    <t>Brocas de destornillador</t>
  </si>
  <si>
    <t>Materiales de enseñanza de capacitación para evitar el suicidio de adolescentes</t>
  </si>
  <si>
    <t>31162806</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</si>
  <si>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</si>
  <si>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</si>
  <si>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</si>
  <si>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</si>
  <si>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</si>
  <si>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</si>
  <si>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</si>
  <si>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Atlizumab o tocilizumab</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</si>
  <si>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</si>
  <si>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</si>
  <si>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</si>
  <si>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</si>
  <si>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</si>
  <si>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</si>
  <si>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</si>
  <si>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</si>
  <si>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</si>
  <si>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</si>
  <si>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</si>
  <si>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</si>
  <si>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</si>
  <si>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</si>
  <si>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</si>
  <si>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</si>
  <si>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</si>
  <si>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</si>
  <si>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80141607</t>
  </si>
  <si>
    <t>Baterías  y  generadores  y  transmisión  de  energía  cinética</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</si>
  <si>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</si>
  <si>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</si>
  <si>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</si>
  <si>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</si>
  <si>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</si>
  <si>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</si>
  <si>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</si>
  <si>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</si>
  <si>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</si>
  <si>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</si>
  <si>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</si>
  <si>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</si>
  <si>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</si>
  <si>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</si>
  <si>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</si>
  <si>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</si>
  <si>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</si>
  <si>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</si>
  <si>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</si>
  <si>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</si>
  <si>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</si>
  <si>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</si>
  <si>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</si>
  <si>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</si>
  <si>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</si>
  <si>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</si>
  <si>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</si>
  <si>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</si>
  <si>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</si>
  <si>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</si>
  <si>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</si>
  <si>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</si>
  <si>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</si>
  <si>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</si>
  <si>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</si>
  <si>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</si>
  <si>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</si>
  <si>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</si>
  <si>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</si>
  <si>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</si>
  <si>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</si>
  <si>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</si>
  <si>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</si>
  <si>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</si>
  <si>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</si>
  <si>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</si>
  <si>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</si>
  <si>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</si>
  <si>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</si>
  <si>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</si>
  <si>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</si>
  <si>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</si>
  <si>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</si>
  <si>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</si>
  <si>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</si>
  <si>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</si>
  <si>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</si>
  <si>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49161520</t>
  </si>
  <si>
    <t>Suplementos de amino ácidos</t>
  </si>
  <si>
    <t>80141617</t>
  </si>
  <si>
    <t>48101904</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</si>
  <si>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</si>
  <si>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</si>
  <si>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</si>
  <si>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</si>
  <si>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</si>
  <si>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</si>
  <si>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</si>
  <si>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</si>
  <si>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</si>
  <si>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</si>
  <si>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</si>
  <si>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</si>
  <si>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</si>
  <si>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</si>
  <si>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</si>
  <si>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</si>
  <si>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</si>
  <si>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</si>
  <si>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</si>
  <si>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</si>
  <si>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</si>
  <si>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</si>
  <si>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</si>
  <si>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</si>
  <si>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</si>
  <si>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</si>
  <si>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</si>
  <si>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</si>
  <si>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</si>
  <si>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26131701</t>
  </si>
  <si>
    <t>Columnas de burbuja</t>
  </si>
  <si>
    <t>Refrigeradores de cromatografía</t>
  </si>
  <si>
    <t>Papel vegetal prensado</t>
  </si>
  <si>
    <t>Bandejas de procedimiento para exámenes</t>
  </si>
  <si>
    <t>53121603</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</si>
  <si>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</si>
  <si>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</si>
  <si>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</si>
  <si>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</si>
  <si>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</si>
  <si>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</si>
  <si>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</si>
  <si>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</si>
  <si>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</si>
  <si>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</si>
  <si>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</si>
  <si>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</si>
  <si>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</si>
  <si>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</si>
  <si>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</si>
  <si>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</si>
  <si>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</si>
  <si>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</si>
  <si>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</si>
  <si>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</si>
  <si>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</si>
  <si>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</si>
  <si>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</si>
  <si>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</si>
  <si>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</si>
  <si>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</si>
  <si>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</si>
  <si>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Dispositivo de despliegue de información visual</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</si>
  <si>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</si>
  <si>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</si>
  <si>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</si>
  <si>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</si>
  <si>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</si>
  <si>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</si>
  <si>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</si>
  <si>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</si>
  <si>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</si>
  <si>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</si>
  <si>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</si>
  <si>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Operador de introducción de datos corriente abajo</t>
  </si>
  <si>
    <t>Colchas o cubrecamas para hospital</t>
  </si>
  <si>
    <t>Componentes de zinc formados por estiramiento</t>
  </si>
  <si>
    <t>Oxacilina sódica</t>
  </si>
  <si>
    <t>Tapetes del vehículo</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</si>
  <si>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</si>
  <si>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</si>
  <si>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</si>
  <si>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</si>
  <si>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</si>
  <si>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</si>
  <si>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</si>
  <si>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</si>
  <si>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</si>
  <si>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</si>
  <si>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</si>
  <si>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</si>
  <si>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</si>
  <si>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</si>
  <si>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</si>
  <si>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</si>
  <si>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</si>
  <si>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</si>
  <si>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</si>
  <si>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</si>
  <si>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</si>
  <si>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</si>
  <si>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</si>
  <si>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</si>
  <si>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</si>
  <si>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</si>
  <si>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</si>
  <si>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</si>
  <si>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</si>
  <si>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</si>
  <si>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</si>
  <si>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27112504</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</si>
  <si>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</si>
  <si>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</si>
  <si>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</si>
  <si>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</si>
  <si>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</si>
  <si>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</si>
  <si>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</si>
  <si>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</si>
  <si>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</si>
  <si>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</si>
  <si>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</si>
  <si>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</si>
  <si>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</si>
  <si>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</si>
  <si>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</si>
  <si>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</si>
  <si>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</si>
  <si>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</si>
  <si>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</si>
  <si>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</si>
  <si>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</si>
  <si>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</si>
  <si>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</si>
  <si>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</si>
  <si>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</si>
  <si>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</si>
  <si>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</si>
  <si>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</si>
  <si>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2024</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</si>
  <si>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</si>
  <si>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</si>
  <si>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</si>
  <si>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</si>
  <si>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</si>
  <si>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</si>
  <si>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</si>
  <si>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</si>
  <si>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</si>
  <si>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</si>
  <si>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</si>
  <si>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</si>
  <si>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</si>
  <si>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</si>
  <si>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</si>
  <si>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</si>
  <si>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</si>
  <si>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</si>
  <si>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</si>
  <si>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</si>
  <si>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</si>
  <si>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</si>
  <si>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</si>
  <si>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</si>
  <si>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</si>
  <si>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</si>
  <si>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</si>
  <si>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</si>
  <si>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</si>
  <si>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</si>
  <si>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</si>
  <si>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</si>
  <si>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</si>
  <si>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</si>
  <si>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</si>
  <si>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</si>
  <si>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</si>
  <si>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</si>
  <si>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22101519</t>
  </si>
  <si>
    <t>Máquinas de cigarrillos</t>
  </si>
  <si>
    <t>Equipo de examen de partículas magnéticas</t>
  </si>
  <si>
    <t>Compuestos abrasivos</t>
  </si>
  <si>
    <t>Servicios de asesoría  fiscal</t>
  </si>
  <si>
    <t>Cristo Rey de Guaraguao</t>
  </si>
  <si>
    <t>Refuerzo o cerrado líquido para hilo</t>
  </si>
  <si>
    <t>Coleccionables y condecoraciones</t>
  </si>
  <si>
    <t>82121902</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</si>
  <si>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</si>
  <si>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</si>
  <si>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</si>
  <si>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</si>
  <si>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</si>
  <si>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</si>
  <si>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</si>
  <si>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</si>
  <si>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</si>
  <si>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</si>
  <si>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</si>
  <si>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</si>
  <si>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</si>
  <si>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</si>
  <si>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</si>
  <si>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</si>
  <si>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</si>
  <si>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</si>
  <si>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</si>
  <si>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</si>
  <si>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</si>
  <si>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</si>
  <si>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</si>
  <si>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</si>
  <si>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</si>
  <si>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</si>
  <si>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</si>
  <si>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</si>
  <si>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</si>
  <si>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</si>
  <si>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</si>
  <si>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</si>
  <si>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</si>
  <si>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</si>
  <si>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</si>
  <si>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</si>
  <si>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</si>
  <si>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Orden público y seguridad</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</si>
  <si>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</si>
  <si>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</si>
  <si>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</si>
  <si>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</si>
  <si>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</si>
  <si>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</si>
  <si>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14111519</t>
  </si>
  <si>
    <t>Equipo de video de red</t>
  </si>
  <si>
    <t>Kits de fijación endoscópica</t>
  </si>
  <si>
    <t>Servicios de organizaciones o movimientos juveniles</t>
  </si>
  <si>
    <t>Retractores traqueales</t>
  </si>
  <si>
    <t>53131605</t>
  </si>
  <si>
    <t>Bloques sintéticos para impresión</t>
  </si>
  <si>
    <t>10161801</t>
  </si>
  <si>
    <t>Servicios de fabricación de equipos de aire acondicionado, ventilación o refrigeración</t>
  </si>
  <si>
    <t>Servicios de cadena de montaje</t>
  </si>
  <si>
    <t>Controles de calidad o calibradores o estándares de parasitología o micología</t>
  </si>
  <si>
    <t>Latón en placa labrada</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</si>
  <si>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</si>
  <si>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</si>
  <si>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</si>
  <si>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</si>
  <si>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</si>
  <si>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</si>
  <si>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</si>
  <si>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</si>
  <si>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</si>
  <si>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</si>
  <si>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</si>
  <si>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</si>
  <si>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</si>
  <si>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</si>
  <si>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</si>
  <si>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</si>
  <si>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</si>
  <si>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</si>
  <si>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</si>
  <si>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</si>
  <si>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</si>
  <si>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</si>
  <si>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</si>
  <si>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</si>
  <si>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</si>
  <si>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</si>
  <si>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</si>
  <si>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</si>
  <si>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</si>
  <si>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</si>
  <si>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</si>
  <si>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</si>
  <si>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</si>
  <si>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</si>
  <si>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</si>
  <si>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</si>
  <si>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</si>
  <si>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</si>
  <si>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</si>
  <si>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</si>
  <si>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</si>
  <si>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</si>
  <si>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</si>
  <si>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</si>
  <si>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</si>
  <si>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</si>
  <si>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</si>
  <si>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</si>
  <si>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</si>
  <si>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</si>
  <si>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</si>
  <si>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</si>
  <si>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</si>
  <si>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</si>
  <si>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</si>
  <si>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</si>
  <si>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</si>
  <si>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</si>
  <si>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</si>
  <si>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</si>
  <si>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</si>
  <si>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</si>
  <si>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</si>
  <si>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</si>
  <si>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</si>
  <si>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Productos de papel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</si>
  <si>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</si>
  <si>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</si>
  <si>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</si>
  <si>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</si>
  <si>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</si>
  <si>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</si>
  <si>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</si>
  <si>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</si>
  <si>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41111714</t>
  </si>
  <si>
    <t>Ensambles de placas soldadas de acero inoxidable</t>
  </si>
  <si>
    <t>50202305</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</si>
  <si>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</si>
  <si>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</si>
  <si>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</si>
  <si>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</si>
  <si>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</si>
  <si>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</si>
  <si>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</si>
  <si>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</si>
  <si>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</si>
  <si>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</si>
  <si>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</si>
  <si>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</si>
  <si>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</si>
  <si>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</si>
  <si>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</si>
  <si>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</si>
  <si>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</si>
  <si>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</si>
  <si>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</si>
  <si>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</si>
  <si>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</si>
  <si>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</si>
  <si>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</si>
  <si>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</si>
  <si>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</si>
  <si>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</si>
  <si>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</si>
  <si>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</si>
  <si>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</si>
  <si>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31201521</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</si>
  <si>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</si>
  <si>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</si>
  <si>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</si>
  <si>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</si>
  <si>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</si>
  <si>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</si>
  <si>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</si>
  <si>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</si>
  <si>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</si>
  <si>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</si>
  <si>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Humectante o cera para dedos</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</si>
  <si>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</si>
  <si>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</si>
  <si>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</si>
  <si>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</si>
  <si>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</si>
  <si>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</si>
  <si>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</si>
  <si>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</si>
  <si>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</si>
  <si>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</si>
  <si>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</si>
  <si>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</si>
  <si>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</si>
  <si>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24101507</t>
  </si>
  <si>
    <t>52161512</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</si>
  <si>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</si>
  <si>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</si>
  <si>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</si>
  <si>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</si>
  <si>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</si>
  <si>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</si>
  <si>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</si>
  <si>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</si>
  <si>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</si>
  <si>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</si>
  <si>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</si>
  <si>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</si>
  <si>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</si>
  <si>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</si>
  <si>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</si>
  <si>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</si>
  <si>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</si>
  <si>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</si>
  <si>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</si>
  <si>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</si>
  <si>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</si>
  <si>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</si>
  <si>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</si>
  <si>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</si>
  <si>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Cámara de neumáticos de camiones pesados</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</si>
  <si>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</si>
  <si>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</si>
  <si>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</si>
  <si>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</si>
  <si>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</si>
  <si>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</si>
  <si>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</si>
  <si>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</si>
  <si>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</si>
  <si>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</si>
  <si>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</si>
  <si>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</si>
  <si>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</si>
  <si>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</si>
  <si>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</si>
  <si>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</si>
  <si>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</si>
  <si>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</si>
  <si>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</si>
  <si>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</si>
  <si>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55121804</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</si>
  <si>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</si>
  <si>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</si>
  <si>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</si>
  <si>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</si>
  <si>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</si>
  <si>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</si>
  <si>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</si>
  <si>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</si>
  <si>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</si>
  <si>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</si>
  <si>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 xml:space="preserve">Estructuras prefabicadas baños portatiles </t>
  </si>
  <si>
    <t>Inductores o reguladores</t>
  </si>
  <si>
    <t>Medio para parasitología o micología</t>
  </si>
  <si>
    <t>Fluorosilicona fvmq</t>
  </si>
  <si>
    <t>Válvulas de mariposa con diseño de disco</t>
  </si>
  <si>
    <t>Servicios de pruebas del control de gas o agua</t>
  </si>
  <si>
    <t>54101604</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</si>
  <si>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</si>
  <si>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</si>
  <si>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</si>
  <si>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</si>
  <si>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</si>
  <si>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</si>
  <si>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</si>
  <si>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</si>
  <si>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</si>
  <si>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</si>
  <si>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</si>
  <si>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</si>
  <si>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</si>
  <si>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</si>
  <si>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</si>
  <si>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</si>
  <si>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</si>
  <si>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</si>
  <si>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</si>
  <si>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</si>
  <si>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</si>
  <si>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</si>
  <si>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</si>
  <si>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</si>
  <si>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</si>
  <si>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</si>
  <si>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</si>
  <si>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</si>
  <si>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</si>
  <si>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</si>
  <si>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</si>
  <si>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</si>
  <si>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</si>
  <si>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</si>
  <si>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</si>
  <si>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</si>
  <si>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</si>
  <si>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</si>
  <si>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</si>
  <si>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</si>
  <si>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41102702</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</si>
  <si>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</si>
  <si>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</si>
  <si>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</si>
  <si>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</si>
  <si>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</si>
  <si>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</si>
  <si>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</si>
  <si>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</si>
  <si>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</si>
  <si>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Empaques, glándulas, fundas y cubiertas</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</si>
  <si>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</si>
  <si>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</si>
  <si>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</si>
  <si>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</si>
  <si>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</si>
  <si>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</si>
  <si>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</si>
  <si>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</si>
  <si>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</si>
  <si>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</si>
  <si>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</si>
  <si>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</si>
  <si>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</si>
  <si>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</si>
  <si>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</si>
  <si>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</si>
  <si>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</si>
  <si>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</si>
  <si>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</si>
  <si>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</si>
  <si>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Servicios de inspección de vehículos</t>
  </si>
  <si>
    <t>Bombas de mano</t>
  </si>
  <si>
    <t>Medicamentos para el sistema nervioso central</t>
  </si>
  <si>
    <t>Toallas playeras</t>
  </si>
  <si>
    <t>Fuentes de ondas</t>
  </si>
  <si>
    <t>Papel membreteado</t>
  </si>
  <si>
    <t>Aplicación de recepción (pu) de inserción de vidrio</t>
  </si>
  <si>
    <t>Adquisicion de licencias informaticas para el MEM</t>
  </si>
  <si>
    <t>Kits intravenosos iv para servicios médicos de emergencia</t>
  </si>
  <si>
    <t>Alfileres neurológicos</t>
  </si>
  <si>
    <t>Equipo de posicionar sísmico</t>
  </si>
  <si>
    <t>Colestiramina</t>
  </si>
  <si>
    <t>Linternas de queroseno, propano o butano</t>
  </si>
  <si>
    <t>Servicio de pavimentación de calles y carreteras</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</si>
  <si>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</si>
  <si>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</si>
  <si>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</si>
  <si>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</si>
  <si>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</si>
  <si>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</si>
  <si>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</si>
  <si>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</si>
  <si>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</si>
  <si>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</si>
  <si>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</si>
  <si>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</si>
  <si>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</si>
  <si>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</si>
  <si>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</si>
  <si>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</si>
  <si>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</si>
  <si>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</si>
  <si>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</si>
  <si>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</si>
  <si>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</si>
  <si>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</si>
  <si>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</si>
  <si>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</si>
  <si>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</si>
  <si>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</si>
  <si>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</si>
  <si>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</si>
  <si>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</si>
  <si>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</si>
  <si>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</si>
  <si>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</si>
  <si>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</si>
  <si>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</si>
  <si>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</si>
  <si>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</si>
  <si>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</si>
  <si>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</si>
  <si>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</si>
  <si>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</si>
  <si>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</si>
  <si>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</si>
  <si>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</si>
  <si>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</si>
  <si>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</si>
  <si>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</si>
  <si>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</si>
  <si>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51241208</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</si>
  <si>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</si>
  <si>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</si>
  <si>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</si>
  <si>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</si>
  <si>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</si>
  <si>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</si>
  <si>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</si>
  <si>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</si>
  <si>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</si>
  <si>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</si>
  <si>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</si>
  <si>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</si>
  <si>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</si>
  <si>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</si>
  <si>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</si>
  <si>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</si>
  <si>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</si>
  <si>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</si>
  <si>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</si>
  <si>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43191606</t>
  </si>
  <si>
    <t>Banda de bronce</t>
  </si>
  <si>
    <t>Vehículos de lanzamiento líquido</t>
  </si>
  <si>
    <t>Contenedores o accesorios de materiales de desecho de uso odontológico</t>
  </si>
  <si>
    <t>46181503</t>
  </si>
  <si>
    <t>Núcleo de panal de metal no ferroso</t>
  </si>
  <si>
    <t xml:space="preserve"> Sistema de audio video del vehículo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</si>
  <si>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</si>
  <si>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</si>
  <si>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</si>
  <si>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</si>
  <si>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</si>
  <si>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</si>
  <si>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</si>
  <si>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</si>
  <si>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</si>
  <si>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</si>
  <si>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</si>
  <si>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</si>
  <si>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</si>
  <si>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</si>
  <si>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</si>
  <si>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</si>
  <si>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</si>
  <si>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</si>
  <si>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</si>
  <si>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</si>
  <si>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</si>
  <si>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</si>
  <si>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</si>
  <si>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</si>
  <si>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</si>
  <si>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27112703</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</si>
  <si>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</si>
  <si>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</si>
  <si>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</si>
  <si>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</si>
  <si>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</si>
  <si>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</si>
  <si>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</si>
  <si>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</si>
  <si>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</si>
  <si>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</si>
  <si>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</si>
  <si>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</si>
  <si>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</si>
  <si>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</si>
  <si>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</si>
  <si>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</si>
  <si>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</si>
  <si>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</si>
  <si>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</si>
  <si>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</si>
  <si>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</si>
  <si>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</si>
  <si>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</si>
  <si>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</si>
  <si>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</si>
  <si>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</si>
  <si>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</si>
  <si>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</si>
  <si>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</si>
  <si>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</si>
  <si>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</si>
  <si>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</si>
  <si>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</si>
  <si>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</si>
  <si>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</si>
  <si>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</si>
  <si>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</si>
  <si>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31201605</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</si>
  <si>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</si>
  <si>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</si>
  <si>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</si>
  <si>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</si>
  <si>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</si>
  <si>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</si>
  <si>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</si>
  <si>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</si>
  <si>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</si>
  <si>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</si>
  <si>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</si>
  <si>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27112106</t>
  </si>
  <si>
    <t>Papel de fotografía</t>
  </si>
  <si>
    <t>Guadañas</t>
  </si>
  <si>
    <t xml:space="preserve">Dispositivo para almacenar discos de vinilo </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</si>
  <si>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</si>
  <si>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</si>
  <si>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</si>
  <si>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</si>
  <si>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</si>
  <si>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</si>
  <si>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</si>
  <si>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</si>
  <si>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</si>
  <si>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</si>
  <si>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</si>
  <si>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</si>
  <si>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</si>
  <si>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39121311</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</si>
  <si>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</si>
  <si>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</si>
  <si>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</si>
  <si>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</si>
  <si>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</si>
  <si>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</si>
  <si>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</si>
  <si>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</si>
  <si>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</si>
  <si>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</si>
  <si>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</si>
  <si>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</si>
  <si>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</si>
  <si>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</si>
  <si>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</si>
  <si>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</si>
  <si>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</si>
  <si>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</si>
  <si>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</si>
  <si>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</si>
  <si>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</si>
  <si>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</si>
  <si>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</si>
  <si>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</si>
  <si>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</si>
  <si>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</si>
  <si>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</si>
  <si>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</si>
  <si>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</si>
  <si>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</si>
  <si>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</si>
  <si>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</si>
  <si>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</si>
  <si>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</si>
  <si>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</si>
  <si>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</si>
  <si>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</si>
  <si>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</si>
  <si>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</si>
  <si>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</si>
  <si>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</si>
  <si>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</si>
  <si>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</si>
  <si>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</si>
  <si>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</si>
  <si>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</si>
  <si>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</si>
  <si>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Adquisicion de Botas</t>
  </si>
  <si>
    <t>Griseofulvina</t>
  </si>
  <si>
    <t>Servicios de química de la producción del campo petrolero</t>
  </si>
  <si>
    <t>Gabinetes o muebles de almacenamiento de instrumentos para uso médico</t>
  </si>
  <si>
    <t>Pedología</t>
  </si>
  <si>
    <t>Engranaje de dirección de vehículo</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</si>
  <si>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</si>
  <si>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</si>
  <si>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</si>
  <si>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</si>
  <si>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</si>
  <si>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</si>
  <si>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</si>
  <si>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</si>
  <si>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</si>
  <si>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</si>
  <si>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</si>
  <si>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</si>
  <si>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</si>
  <si>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</si>
  <si>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</si>
  <si>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</si>
  <si>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</si>
  <si>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</si>
  <si>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</si>
  <si>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</si>
  <si>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</si>
  <si>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</si>
  <si>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</si>
  <si>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</si>
  <si>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</si>
  <si>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</si>
  <si>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</si>
  <si>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</si>
  <si>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49161506</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</si>
  <si>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</si>
  <si>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</si>
  <si>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</si>
  <si>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</si>
  <si>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</si>
  <si>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</si>
  <si>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</si>
  <si>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</si>
  <si>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</si>
  <si>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</si>
  <si>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</si>
  <si>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</si>
  <si>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</si>
  <si>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</si>
  <si>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</si>
  <si>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</si>
  <si>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</si>
  <si>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</si>
  <si>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</si>
  <si>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</si>
  <si>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</si>
  <si>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</si>
  <si>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</si>
  <si>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</si>
  <si>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</si>
  <si>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</si>
  <si>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</si>
  <si>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</si>
  <si>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</si>
  <si>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</si>
  <si>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</si>
  <si>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</si>
  <si>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</si>
  <si>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</si>
  <si>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</si>
  <si>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</si>
  <si>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</si>
  <si>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</si>
  <si>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</si>
  <si>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</si>
  <si>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</si>
  <si>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</si>
  <si>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</si>
  <si>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</si>
  <si>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</si>
  <si>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</si>
  <si>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</si>
  <si>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41113624</t>
  </si>
  <si>
    <t>Ensambles de barras soldadas con soldadura sónica de aleación wasp</t>
  </si>
  <si>
    <t>Absorbentes para limpieza de heridas</t>
  </si>
  <si>
    <t>46181704</t>
  </si>
  <si>
    <t>27112004</t>
  </si>
  <si>
    <t>Mezclas de nitrógeno – fósforo – potasio – npk</t>
  </si>
  <si>
    <t>Disco compacto cd de sólo lectura</t>
  </si>
  <si>
    <t>Servicios de medición de calibre durante la perforación</t>
  </si>
  <si>
    <t>Calentadores de agua para uso doméstico</t>
  </si>
  <si>
    <t>Interruptor de combinación del vehículo</t>
  </si>
  <si>
    <t>Bases militares nacionales</t>
  </si>
  <si>
    <t>Ruedas de rodillos</t>
  </si>
  <si>
    <t xml:space="preserve">Sistema digital de imágenes de rayos x </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</si>
  <si>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</si>
  <si>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</si>
  <si>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</si>
  <si>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</si>
  <si>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</si>
  <si>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</si>
  <si>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</si>
  <si>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</si>
  <si>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Servicio de Mantenimiento de Señalización Ferroviaria</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</si>
  <si>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</si>
  <si>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</si>
  <si>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</si>
  <si>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</si>
  <si>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</si>
  <si>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</si>
  <si>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</si>
  <si>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</si>
  <si>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</si>
  <si>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</si>
  <si>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</si>
  <si>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</si>
  <si>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</si>
  <si>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</si>
  <si>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</si>
  <si>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</si>
  <si>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</si>
  <si>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</si>
  <si>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</si>
  <si>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</si>
  <si>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31201601</t>
  </si>
  <si>
    <t>Adquisicion de zafacones plasticos</t>
  </si>
  <si>
    <t>Producción de plantas textiles</t>
  </si>
  <si>
    <t>Instrumentos quirúrgicos maxilofaciales o accesorios</t>
  </si>
  <si>
    <t>Vulcanizadoras</t>
  </si>
  <si>
    <t>Epoetina alfa</t>
  </si>
  <si>
    <t>Unidades de enfriamiento o circuladores de agua fría</t>
  </si>
  <si>
    <t>24112401</t>
  </si>
  <si>
    <t>Quinupristina</t>
  </si>
  <si>
    <t>Buques dragaminas</t>
  </si>
  <si>
    <t>24112405</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</si>
  <si>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</si>
  <si>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</si>
  <si>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</si>
  <si>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</si>
  <si>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</si>
  <si>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</si>
  <si>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</si>
  <si>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</si>
  <si>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</si>
  <si>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</si>
  <si>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</si>
  <si>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</si>
  <si>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</si>
  <si>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</si>
  <si>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</si>
  <si>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</si>
  <si>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</si>
  <si>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</si>
  <si>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</si>
  <si>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</si>
  <si>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</si>
  <si>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</si>
  <si>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</si>
  <si>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Productos de examen y control del paciente</t>
  </si>
  <si>
    <t>Compra de Extintores</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</si>
  <si>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</si>
  <si>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</si>
  <si>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</si>
  <si>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</si>
  <si>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</si>
  <si>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</si>
  <si>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</si>
  <si>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</si>
  <si>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</si>
  <si>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</si>
  <si>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</si>
  <si>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</si>
  <si>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</si>
  <si>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</si>
  <si>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</si>
  <si>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</si>
  <si>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Adquisicion de Mesas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</si>
  <si>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</si>
  <si>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</si>
  <si>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</si>
  <si>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</si>
  <si>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</si>
  <si>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</si>
  <si>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</si>
  <si>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</si>
  <si>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</si>
  <si>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</si>
  <si>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</si>
  <si>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</si>
  <si>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</si>
  <si>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</si>
  <si>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</si>
  <si>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</si>
  <si>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</si>
  <si>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</si>
  <si>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</si>
  <si>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</si>
  <si>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</si>
  <si>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Adquisicion de Taladoras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</si>
  <si>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</si>
  <si>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</si>
  <si>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</si>
  <si>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</si>
  <si>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</si>
  <si>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</si>
  <si>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</si>
  <si>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</si>
  <si>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</si>
  <si>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</si>
  <si>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</si>
  <si>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</si>
  <si>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</si>
  <si>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</si>
  <si>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</si>
  <si>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</si>
  <si>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</si>
  <si>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</si>
  <si>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</si>
  <si>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</si>
  <si>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</si>
  <si>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</si>
  <si>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</si>
  <si>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</si>
  <si>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</si>
  <si>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</si>
  <si>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</si>
  <si>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</si>
  <si>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</si>
  <si>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</si>
  <si>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</si>
  <si>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</si>
  <si>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</si>
  <si>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</si>
  <si>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</si>
  <si>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</si>
  <si>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</si>
  <si>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</si>
  <si>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</si>
  <si>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</si>
  <si>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</si>
  <si>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</si>
  <si>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</si>
  <si>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</si>
  <si>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</si>
  <si>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</si>
  <si>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</si>
  <si>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</si>
  <si>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</si>
  <si>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</si>
  <si>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</si>
  <si>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</si>
  <si>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</si>
  <si>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</si>
  <si>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</si>
  <si>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</si>
  <si>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</si>
  <si>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</si>
  <si>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</si>
  <si>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44101716</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</si>
  <si>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</si>
  <si>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</si>
  <si>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</si>
  <si>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</si>
  <si>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</si>
  <si>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</si>
  <si>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</si>
  <si>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</si>
  <si>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</si>
  <si>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</si>
  <si>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</si>
  <si>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</si>
  <si>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</si>
  <si>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</si>
  <si>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</si>
  <si>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</si>
  <si>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</si>
  <si>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</si>
  <si>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</si>
  <si>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</si>
  <si>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</si>
  <si>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</si>
  <si>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</si>
  <si>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</si>
  <si>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</si>
  <si>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</si>
  <si>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</si>
  <si>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</si>
  <si>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</si>
  <si>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</si>
  <si>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Contratacion de servicio de reparacion de vehiculos</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</si>
  <si>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</si>
  <si>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</si>
  <si>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</si>
  <si>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</si>
  <si>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</si>
  <si>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</si>
  <si>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</si>
  <si>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</si>
  <si>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</si>
  <si>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</si>
  <si>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</si>
  <si>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</si>
  <si>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</si>
  <si>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</si>
  <si>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</si>
  <si>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</si>
  <si>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</si>
  <si>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</si>
  <si>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</si>
  <si>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</si>
  <si>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</si>
  <si>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</si>
  <si>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</si>
  <si>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</si>
  <si>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</si>
  <si>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</si>
  <si>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</si>
  <si>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</si>
  <si>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</si>
  <si>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</si>
  <si>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23131507</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</si>
  <si>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</si>
  <si>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</si>
  <si>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</si>
  <si>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</si>
  <si>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</si>
  <si>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</si>
  <si>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</si>
  <si>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</si>
  <si>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Medicamentos antiinfecciosos</t>
  </si>
  <si>
    <t>Nucleótidos u oligómeros conjugados</t>
  </si>
  <si>
    <t>Amonio molibdato</t>
  </si>
  <si>
    <t>Fisostigmina</t>
  </si>
  <si>
    <t>47131604</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</si>
  <si>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</si>
  <si>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</si>
  <si>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</si>
  <si>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</si>
  <si>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</si>
  <si>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</si>
  <si>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</si>
  <si>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</si>
  <si>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</si>
  <si>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</si>
  <si>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</si>
  <si>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</si>
  <si>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</si>
  <si>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</si>
  <si>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</si>
  <si>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</si>
  <si>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</si>
  <si>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</si>
  <si>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Adquisicion de agua purificada para el MEM</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</si>
  <si>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</si>
  <si>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</si>
  <si>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</si>
  <si>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</si>
  <si>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</si>
  <si>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</si>
  <si>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</si>
  <si>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</si>
  <si>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</si>
  <si>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</si>
  <si>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</si>
  <si>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</si>
  <si>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</si>
  <si>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</si>
  <si>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</si>
  <si>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</si>
  <si>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</si>
  <si>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</si>
  <si>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</si>
  <si>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</si>
  <si>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</si>
  <si>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</si>
  <si>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</si>
  <si>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</si>
  <si>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</si>
  <si>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</si>
  <si>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</si>
  <si>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</si>
  <si>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</si>
  <si>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Aparatos electrodomésticos</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</si>
  <si>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</si>
  <si>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</si>
  <si>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</si>
  <si>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</si>
  <si>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</si>
  <si>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</si>
  <si>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</si>
  <si>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</si>
  <si>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</si>
  <si>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</si>
  <si>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</si>
  <si>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</si>
  <si>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</si>
  <si>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</si>
  <si>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</si>
  <si>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</si>
  <si>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</si>
  <si>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Equipos, suministros y componentes eléctricos</t>
  </si>
  <si>
    <t>Separadores para periodoncia</t>
  </si>
  <si>
    <t>44122022</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</si>
  <si>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</si>
  <si>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</si>
  <si>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</si>
  <si>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</si>
  <si>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</si>
  <si>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</si>
  <si>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</si>
  <si>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</si>
  <si>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49101705</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</si>
  <si>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</si>
  <si>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</si>
  <si>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</si>
  <si>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</si>
  <si>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</si>
  <si>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</si>
  <si>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</si>
  <si>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</si>
  <si>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</si>
  <si>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</si>
  <si>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</si>
  <si>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</si>
  <si>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</si>
  <si>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</si>
  <si>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</si>
  <si>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</si>
  <si>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</si>
  <si>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</si>
  <si>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</si>
  <si>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</si>
  <si>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</si>
  <si>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</si>
  <si>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</si>
  <si>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27111516</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</si>
  <si>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</si>
  <si>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</si>
  <si>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</si>
  <si>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</si>
  <si>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</si>
  <si>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</si>
  <si>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</si>
  <si>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</si>
  <si>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</si>
  <si>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</si>
  <si>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</si>
  <si>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</si>
  <si>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</si>
  <si>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</si>
  <si>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</si>
  <si>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</si>
  <si>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</si>
  <si>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</si>
  <si>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</si>
  <si>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</si>
  <si>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</si>
  <si>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</si>
  <si>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</si>
  <si>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</si>
  <si>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</si>
  <si>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</si>
  <si>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</si>
  <si>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</si>
  <si>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</si>
  <si>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</si>
  <si>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</si>
  <si>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</si>
  <si>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39121602</t>
  </si>
  <si>
    <t>Ensambles de barras remachadas de titanio</t>
  </si>
  <si>
    <t>90111503</t>
  </si>
  <si>
    <t>Servicios de elaboración de especias</t>
  </si>
  <si>
    <t>Objetos maquinados de aleación no ferrosa fundidos en molde cerámico</t>
  </si>
  <si>
    <t>Tarjetas o puertos de interruptor</t>
  </si>
  <si>
    <t>Pristinamicina</t>
  </si>
  <si>
    <t>Techos blandos desmontables</t>
  </si>
  <si>
    <t>Bombas de balancín de boca de pozo</t>
  </si>
  <si>
    <t>Ministerio de Energía y Minas</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</si>
  <si>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</si>
  <si>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</si>
  <si>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</si>
  <si>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</si>
  <si>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</si>
  <si>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</si>
  <si>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</si>
  <si>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</si>
  <si>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</si>
  <si>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</si>
  <si>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</si>
  <si>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</si>
  <si>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</si>
  <si>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</si>
  <si>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</si>
  <si>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</si>
  <si>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</si>
  <si>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</si>
  <si>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</si>
  <si>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</si>
  <si>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</si>
  <si>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</si>
  <si>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</si>
  <si>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</si>
  <si>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</si>
  <si>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</si>
  <si>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</si>
  <si>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</si>
  <si>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</si>
  <si>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</si>
  <si>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</si>
  <si>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</si>
  <si>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</si>
  <si>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</si>
  <si>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</si>
  <si>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</si>
  <si>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</si>
  <si>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</si>
  <si>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</si>
  <si>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</si>
  <si>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</si>
  <si>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</si>
  <si>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</si>
  <si>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</si>
  <si>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</si>
  <si>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</si>
  <si>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</si>
  <si>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</si>
  <si>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</si>
  <si>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Mantenimiento del servidor X86</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</si>
  <si>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</si>
  <si>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</si>
  <si>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</si>
  <si>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</si>
  <si>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</si>
  <si>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</si>
  <si>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</si>
  <si>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</si>
  <si>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</si>
  <si>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</si>
  <si>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</si>
  <si>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</si>
  <si>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</si>
  <si>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</si>
  <si>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</si>
  <si>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</si>
  <si>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</si>
  <si>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15101505</t>
  </si>
  <si>
    <t>Lana sin procesar</t>
  </si>
  <si>
    <t>Embarcaciones a vela de recreo</t>
  </si>
  <si>
    <t>Lupas</t>
  </si>
  <si>
    <t>Santo Domingo Este</t>
  </si>
  <si>
    <t>Servicios de formación profesional de la marina mercante</t>
  </si>
  <si>
    <t>Productos químicos de prueba del agua</t>
  </si>
  <si>
    <t>Insulina</t>
  </si>
  <si>
    <t>Andamios</t>
  </si>
  <si>
    <t>24111503</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</si>
  <si>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</si>
  <si>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</si>
  <si>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</si>
  <si>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</si>
  <si>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</si>
  <si>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</si>
  <si>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</si>
  <si>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</si>
  <si>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</si>
  <si>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</si>
  <si>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</si>
  <si>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</si>
  <si>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</si>
  <si>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</si>
  <si>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</si>
  <si>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</si>
  <si>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</si>
  <si>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</si>
  <si>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</si>
  <si>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</si>
  <si>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</si>
  <si>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</si>
  <si>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</si>
  <si>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</si>
  <si>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</si>
  <si>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</si>
  <si>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47121807</t>
  </si>
  <si>
    <t>Mantenimiento y reparación de cámaras fotográficas</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</si>
  <si>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</si>
  <si>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</si>
  <si>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</si>
  <si>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</si>
  <si>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</si>
  <si>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</si>
  <si>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</si>
  <si>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Glucosamine hcl</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</si>
  <si>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</si>
  <si>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</si>
  <si>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</si>
  <si>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</si>
  <si>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</si>
  <si>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</si>
  <si>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</si>
  <si>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</si>
  <si>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</si>
  <si>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</si>
  <si>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</si>
  <si>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</si>
  <si>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</si>
  <si>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</si>
  <si>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</si>
  <si>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</si>
  <si>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</si>
  <si>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</si>
  <si>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</si>
  <si>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</si>
  <si>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</si>
  <si>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</si>
  <si>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</si>
  <si>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</si>
  <si>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</si>
  <si>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</si>
  <si>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</si>
  <si>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</si>
  <si>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</si>
  <si>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</si>
  <si>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</si>
  <si>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</si>
  <si>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</si>
  <si>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</si>
  <si>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</si>
  <si>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</si>
  <si>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</si>
  <si>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</si>
  <si>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</si>
  <si>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</si>
  <si>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</si>
  <si>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</si>
  <si>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</si>
  <si>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</si>
  <si>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</si>
  <si>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</si>
  <si>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</si>
  <si>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</si>
  <si>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</si>
  <si>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</si>
  <si>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</si>
  <si>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</si>
  <si>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</si>
  <si>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</si>
  <si>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</si>
  <si>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</si>
  <si>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</si>
  <si>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</si>
  <si>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</si>
  <si>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</si>
  <si>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</si>
  <si>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</si>
  <si>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</si>
  <si>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</si>
  <si>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</si>
  <si>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</si>
  <si>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</si>
  <si>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</si>
  <si>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</si>
  <si>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</si>
  <si>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</si>
  <si>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</si>
  <si>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</si>
  <si>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</si>
  <si>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</si>
  <si>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</si>
  <si>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</si>
  <si>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</si>
  <si>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</si>
  <si>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</si>
  <si>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</si>
  <si>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</si>
  <si>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</si>
  <si>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</si>
  <si>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</si>
  <si>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</si>
  <si>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</si>
  <si>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</si>
  <si>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</si>
  <si>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</si>
  <si>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</si>
  <si>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</si>
  <si>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</si>
  <si>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</si>
  <si>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</si>
  <si>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</si>
  <si>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</si>
  <si>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</si>
  <si>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27112005</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</si>
  <si>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</si>
  <si>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</si>
  <si>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</si>
  <si>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</si>
  <si>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</si>
  <si>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</si>
  <si>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</si>
  <si>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</si>
  <si>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</si>
  <si>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</si>
  <si>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</si>
  <si>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</si>
  <si>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</si>
  <si>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</si>
  <si>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</si>
  <si>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</si>
  <si>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</si>
  <si>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</si>
  <si>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</si>
  <si>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23171504</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</si>
  <si>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</si>
  <si>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</si>
  <si>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</si>
  <si>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</si>
  <si>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</si>
  <si>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</si>
  <si>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</si>
  <si>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</si>
  <si>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</si>
  <si>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</si>
  <si>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</si>
  <si>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</si>
  <si>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</si>
  <si>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</si>
  <si>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</si>
  <si>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</si>
  <si>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</si>
  <si>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</si>
  <si>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</si>
  <si>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</si>
  <si>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</si>
  <si>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</si>
  <si>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</si>
  <si>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</si>
  <si>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</si>
  <si>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</si>
  <si>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</si>
  <si>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</si>
  <si>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</si>
  <si>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</si>
  <si>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</si>
  <si>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</si>
  <si>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</si>
  <si>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</si>
  <si>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</si>
  <si>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</si>
  <si>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</si>
  <si>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</si>
  <si>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</si>
  <si>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</si>
  <si>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</si>
  <si>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</si>
  <si>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</si>
  <si>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</si>
  <si>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</si>
  <si>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</si>
  <si>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</si>
  <si>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Rodamientos, cojinetes ruedas y engranajes</t>
  </si>
  <si>
    <t>Tablas de protección de base</t>
  </si>
  <si>
    <t>Adquisicion de Varillas</t>
  </si>
  <si>
    <t>Soporte guía ajustable</t>
  </si>
  <si>
    <t>Plantadoras</t>
  </si>
  <si>
    <t>Objetos maquinados en molde permanente de compuestos fundidos</t>
  </si>
  <si>
    <t>Arnés del alimentador</t>
  </si>
  <si>
    <t>Suministros, productos de tratamiento y cuidado del enfermo</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</si>
  <si>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</si>
  <si>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</si>
  <si>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</si>
  <si>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</si>
  <si>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</si>
  <si>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</si>
  <si>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</si>
  <si>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</si>
  <si>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</si>
  <si>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31191507</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</si>
  <si>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</si>
  <si>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</si>
  <si>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</si>
  <si>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</si>
  <si>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</si>
  <si>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</si>
  <si>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42241701</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</si>
  <si>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</si>
  <si>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</si>
  <si>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</si>
  <si>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</si>
  <si>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</si>
  <si>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</si>
  <si>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</si>
  <si>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</si>
  <si>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</si>
  <si>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</si>
  <si>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</si>
  <si>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</si>
  <si>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</si>
  <si>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14111704</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</si>
  <si>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</si>
  <si>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</si>
  <si>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</si>
  <si>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</si>
  <si>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</si>
  <si>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</si>
  <si>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</si>
  <si>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</si>
  <si>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</si>
  <si>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</si>
  <si>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</si>
  <si>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</si>
  <si>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Neumáticos para automoviles o camiones ligeros</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</si>
  <si>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</si>
  <si>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</si>
  <si>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</si>
  <si>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</si>
  <si>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</si>
  <si>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</si>
  <si>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</si>
  <si>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</si>
  <si>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</si>
  <si>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</si>
  <si>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</si>
  <si>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</si>
  <si>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</si>
  <si>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</si>
  <si>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</si>
  <si>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</si>
  <si>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</si>
  <si>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</si>
  <si>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</si>
  <si>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90101602</t>
  </si>
  <si>
    <t>Espejos para uso logopédico</t>
  </si>
  <si>
    <t>Matanzas</t>
  </si>
  <si>
    <t>Membranas dializadoras para aparatos de hemodiálisis</t>
  </si>
  <si>
    <t>Herramientas de colisión de cable de recuperación</t>
  </si>
  <si>
    <t>Servicios de asistencia de personal médico</t>
  </si>
  <si>
    <t>15121501</t>
  </si>
  <si>
    <t>42192210</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</si>
  <si>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</si>
  <si>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</si>
  <si>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</si>
  <si>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</si>
  <si>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</si>
  <si>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</si>
  <si>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</si>
  <si>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</si>
  <si>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</si>
  <si>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</si>
  <si>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</si>
  <si>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</si>
  <si>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</si>
  <si>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</si>
  <si>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</si>
  <si>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</si>
  <si>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</si>
  <si>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</si>
  <si>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</si>
  <si>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</si>
  <si>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</si>
  <si>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</si>
  <si>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</si>
  <si>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</si>
  <si>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</si>
  <si>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</si>
  <si>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</si>
  <si>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</si>
  <si>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</si>
  <si>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</si>
  <si>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Refrigeración  industrial</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</si>
  <si>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</si>
  <si>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</si>
  <si>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</si>
  <si>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</si>
  <si>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</si>
  <si>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</si>
  <si>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</si>
  <si>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</si>
  <si>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</si>
  <si>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</si>
  <si>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</si>
  <si>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</si>
  <si>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</si>
  <si>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</si>
  <si>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</si>
  <si>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</si>
  <si>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</si>
  <si>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</si>
  <si>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</si>
  <si>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</si>
  <si>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</si>
  <si>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</si>
  <si>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</si>
  <si>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</si>
  <si>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</si>
  <si>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</si>
  <si>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</si>
  <si>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</si>
  <si>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</si>
  <si>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</si>
  <si>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</si>
  <si>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</si>
  <si>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</si>
  <si>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</si>
  <si>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</si>
  <si>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</si>
  <si>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</si>
  <si>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</si>
  <si>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</si>
  <si>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</si>
  <si>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</si>
  <si>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</si>
  <si>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</si>
  <si>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</si>
  <si>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</si>
  <si>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</si>
  <si>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</si>
  <si>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</si>
  <si>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</si>
  <si>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</si>
  <si>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</si>
  <si>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</si>
  <si>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</si>
  <si>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</si>
  <si>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</si>
  <si>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</si>
  <si>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</si>
  <si>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</si>
  <si>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</si>
  <si>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</si>
  <si>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</si>
  <si>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</si>
  <si>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</si>
  <si>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</si>
  <si>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</si>
  <si>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</si>
  <si>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</si>
  <si>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</si>
  <si>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</si>
  <si>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</si>
  <si>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</si>
  <si>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</si>
  <si>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82141507</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</si>
  <si>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</si>
  <si>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</si>
  <si>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</si>
  <si>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</si>
  <si>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</si>
  <si>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</si>
  <si>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</si>
  <si>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</si>
  <si>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</si>
  <si>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</si>
  <si>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</si>
  <si>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</si>
  <si>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</si>
  <si>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</si>
  <si>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</si>
  <si>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</si>
  <si>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31162305</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</si>
  <si>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</si>
  <si>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</si>
  <si>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</si>
  <si>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</si>
  <si>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</si>
  <si>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</si>
  <si>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</si>
  <si>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</si>
  <si>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</si>
  <si>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</si>
  <si>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</si>
  <si>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</si>
  <si>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26121604</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</si>
  <si>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</si>
  <si>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</si>
  <si>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</si>
  <si>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</si>
  <si>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</si>
  <si>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</si>
  <si>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</si>
  <si>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</si>
  <si>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</si>
  <si>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</si>
  <si>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</si>
  <si>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</si>
  <si>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</si>
  <si>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</si>
  <si>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</si>
  <si>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</si>
  <si>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</si>
  <si>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</si>
  <si>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</si>
  <si>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</si>
  <si>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</si>
  <si>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</si>
  <si>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</si>
  <si>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</si>
  <si>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</si>
  <si>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</si>
  <si>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</si>
  <si>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</si>
  <si>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</si>
  <si>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</si>
  <si>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</si>
  <si>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</si>
  <si>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44103504</t>
  </si>
  <si>
    <t>Maniquíes humanos anatómicos para educación o entrenamiento médico</t>
  </si>
  <si>
    <t>Sacabocados para melón o mantequilla para uso doméstico</t>
  </si>
  <si>
    <t>Lentes para cámaras</t>
  </si>
  <si>
    <t>Herramientas para cortar el cable de recuperación</t>
  </si>
  <si>
    <t>13101708</t>
  </si>
  <si>
    <t>Servicios de medición de flujo para registros de producción</t>
  </si>
  <si>
    <t>Codos de tubo</t>
  </si>
  <si>
    <t>Porta trajes</t>
  </si>
  <si>
    <t>27111902</t>
  </si>
  <si>
    <t>Dacarbazina</t>
  </si>
  <si>
    <t>Camillas canasta o accesorios</t>
  </si>
  <si>
    <t>Kits de construcción de tejidos de cadáveres</t>
  </si>
  <si>
    <t>Sulfato de d-anfetamina</t>
  </si>
  <si>
    <t>52141501</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</si>
  <si>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</si>
  <si>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</si>
  <si>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</si>
  <si>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</si>
  <si>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</si>
  <si>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</si>
  <si>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</si>
  <si>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</si>
  <si>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</si>
  <si>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</si>
  <si>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</si>
  <si>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</si>
  <si>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</si>
  <si>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</si>
  <si>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</si>
  <si>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</si>
  <si>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</si>
  <si>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</si>
  <si>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</si>
  <si>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</si>
  <si>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</si>
  <si>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</si>
  <si>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</si>
  <si>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</si>
  <si>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27111511</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</si>
  <si>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</si>
  <si>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</si>
  <si>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</si>
  <si>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</si>
  <si>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</si>
  <si>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</si>
  <si>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</si>
  <si>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</si>
  <si>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90101604</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</si>
  <si>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</si>
  <si>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</si>
  <si>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</si>
  <si>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</si>
  <si>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</si>
  <si>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</si>
  <si>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</si>
  <si>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</si>
  <si>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</si>
  <si>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</si>
  <si>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</si>
  <si>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</si>
  <si>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</si>
  <si>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</si>
  <si>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</si>
  <si>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</si>
  <si>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</si>
  <si>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31231313</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</si>
  <si>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</si>
  <si>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</si>
  <si>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</si>
  <si>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</si>
  <si>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</si>
  <si>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</si>
  <si>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</si>
  <si>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</si>
  <si>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</si>
  <si>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</si>
  <si>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</si>
  <si>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</si>
  <si>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</si>
  <si>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</si>
  <si>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</si>
  <si>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25161507</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</si>
  <si>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</si>
  <si>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</si>
  <si>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</si>
  <si>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</si>
  <si>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</si>
  <si>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</si>
  <si>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</si>
  <si>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</si>
  <si>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</si>
  <si>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</si>
  <si>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</si>
  <si>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</si>
  <si>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</si>
  <si>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</si>
  <si>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</si>
  <si>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</si>
  <si>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</si>
  <si>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</si>
  <si>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</si>
  <si>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</si>
  <si>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</si>
  <si>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Sodio na</t>
  </si>
  <si>
    <t>Objetos maquinados de titanio fundidos en molde en concha</t>
  </si>
  <si>
    <t>Samario sm</t>
  </si>
  <si>
    <t>Peravia</t>
  </si>
  <si>
    <t>Transformadores de distribución de potencia</t>
  </si>
  <si>
    <t>Adhesivos y selladores</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</si>
  <si>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</si>
  <si>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</si>
  <si>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</si>
  <si>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</si>
  <si>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</si>
  <si>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</si>
  <si>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</si>
  <si>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</si>
  <si>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</si>
  <si>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</si>
  <si>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</si>
  <si>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</si>
  <si>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</si>
  <si>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</si>
  <si>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</si>
  <si>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</si>
  <si>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</si>
  <si>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</si>
  <si>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31211917</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</si>
  <si>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</si>
  <si>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</si>
  <si>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</si>
  <si>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</si>
  <si>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</si>
  <si>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</si>
  <si>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</si>
  <si>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</si>
  <si>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</si>
  <si>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</si>
  <si>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</si>
  <si>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</si>
  <si>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</si>
  <si>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</si>
  <si>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</si>
  <si>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</si>
  <si>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</si>
  <si>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</si>
  <si>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</si>
  <si>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</si>
  <si>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</si>
  <si>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</si>
  <si>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</si>
  <si>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</si>
  <si>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</si>
  <si>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</si>
  <si>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</si>
  <si>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</si>
  <si>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</si>
  <si>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</si>
  <si>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</si>
  <si>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</si>
  <si>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</si>
  <si>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</si>
  <si>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</si>
  <si>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</si>
  <si>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</si>
  <si>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</si>
  <si>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</si>
  <si>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51142001</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</si>
  <si>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</si>
  <si>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</si>
  <si>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</si>
  <si>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</si>
  <si>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</si>
  <si>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</si>
  <si>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</si>
  <si>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</si>
  <si>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</si>
  <si>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</si>
  <si>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</si>
  <si>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</si>
  <si>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</si>
  <si>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</si>
  <si>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</si>
  <si>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</si>
  <si>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</si>
  <si>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</si>
  <si>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</si>
  <si>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51171707</t>
  </si>
  <si>
    <t>Estufas de calefacción</t>
  </si>
  <si>
    <t>Bromhidrato de eletriptan</t>
  </si>
  <si>
    <t>Máquinas de prensa de identificación id</t>
  </si>
  <si>
    <t>Tapas de encuadernación</t>
  </si>
  <si>
    <t>Escuelas de música</t>
  </si>
  <si>
    <t>40142324</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</si>
  <si>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</si>
  <si>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</si>
  <si>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</si>
  <si>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</si>
  <si>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</si>
  <si>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</si>
  <si>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</si>
  <si>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</si>
  <si>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</si>
  <si>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</si>
  <si>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</si>
  <si>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</si>
  <si>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</si>
  <si>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</si>
  <si>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</si>
  <si>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</si>
  <si>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</si>
  <si>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</si>
  <si>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</si>
  <si>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</si>
  <si>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</si>
  <si>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</si>
  <si>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</si>
  <si>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</si>
  <si>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</si>
  <si>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</si>
  <si>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</si>
  <si>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</si>
  <si>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</si>
  <si>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</si>
  <si>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</si>
  <si>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</si>
  <si>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</si>
  <si>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</si>
  <si>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</si>
  <si>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</si>
  <si>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</si>
  <si>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</si>
  <si>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</si>
  <si>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</si>
  <si>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</si>
  <si>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</si>
  <si>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82101905</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</si>
  <si>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</si>
  <si>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</si>
  <si>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</si>
  <si>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</si>
  <si>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</si>
  <si>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</si>
  <si>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</si>
  <si>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</si>
  <si>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44122010</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</si>
  <si>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</si>
  <si>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</si>
  <si>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</si>
  <si>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</si>
  <si>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</si>
  <si>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</si>
  <si>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</si>
  <si>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</si>
  <si>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</si>
  <si>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</si>
  <si>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</si>
  <si>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</si>
  <si>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</si>
  <si>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</si>
  <si>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</si>
  <si>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41113711</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</si>
  <si>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</si>
  <si>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</si>
  <si>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</si>
  <si>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</si>
  <si>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</si>
  <si>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</si>
  <si>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</si>
  <si>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</si>
  <si>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</si>
  <si>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</si>
  <si>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</si>
  <si>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</si>
  <si>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</si>
  <si>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</si>
  <si>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</si>
  <si>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</si>
  <si>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</si>
  <si>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</si>
  <si>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</si>
  <si>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Combustibles</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</si>
  <si>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</si>
  <si>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</si>
  <si>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</si>
  <si>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</si>
  <si>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</si>
  <si>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</si>
  <si>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</si>
  <si>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</si>
  <si>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</si>
  <si>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</si>
  <si>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</si>
  <si>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</si>
  <si>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</si>
  <si>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</si>
  <si>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</si>
  <si>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</si>
  <si>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</si>
  <si>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</si>
  <si>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44121505</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</si>
  <si>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</si>
  <si>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</si>
  <si>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</si>
  <si>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</si>
  <si>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</si>
  <si>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</si>
  <si>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</si>
  <si>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</si>
  <si>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</si>
  <si>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Aerosol de pimienta</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</si>
  <si>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</si>
  <si>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</si>
  <si>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</si>
  <si>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</si>
  <si>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</si>
  <si>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</si>
  <si>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</si>
  <si>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</si>
  <si>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</si>
  <si>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</si>
  <si>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</si>
  <si>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</si>
  <si>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</si>
  <si>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</si>
  <si>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40142613</t>
  </si>
  <si>
    <t>Rosina de goma</t>
  </si>
  <si>
    <t>Filtros de láser</t>
  </si>
  <si>
    <t>Suministros para identificación de animales</t>
  </si>
  <si>
    <t>Incubadoras de cámara dual de dióxido de carbono de pared seca con control de humedad</t>
  </si>
  <si>
    <t>26101731</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</si>
  <si>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</si>
  <si>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</si>
  <si>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</si>
  <si>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</si>
  <si>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</si>
  <si>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</si>
  <si>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</si>
  <si>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</si>
  <si>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</si>
  <si>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</si>
  <si>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</si>
  <si>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</si>
  <si>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</si>
  <si>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</si>
  <si>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</si>
  <si>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</si>
  <si>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</si>
  <si>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</si>
  <si>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</si>
  <si>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</si>
  <si>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</si>
  <si>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</si>
  <si>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</si>
  <si>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</si>
  <si>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</si>
  <si>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</si>
  <si>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</si>
  <si>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</si>
  <si>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</si>
  <si>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</si>
  <si>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</si>
  <si>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</si>
  <si>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</si>
  <si>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</si>
  <si>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</si>
  <si>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</si>
  <si>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</si>
  <si>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</si>
  <si>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</si>
  <si>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27112904</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</si>
  <si>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</si>
  <si>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</si>
  <si>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</si>
  <si>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</si>
  <si>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</si>
  <si>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</si>
  <si>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</si>
  <si>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</si>
  <si>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</si>
  <si>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</si>
  <si>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</si>
  <si>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</si>
  <si>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</si>
  <si>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</si>
  <si>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</si>
  <si>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</si>
  <si>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</si>
  <si>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</si>
  <si>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</si>
  <si>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</si>
  <si>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</si>
  <si>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</si>
  <si>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</si>
  <si>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</si>
  <si>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</si>
  <si>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</si>
  <si>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</si>
  <si>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</si>
  <si>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</si>
  <si>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</si>
  <si>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</si>
  <si>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</si>
  <si>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</si>
  <si>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</si>
  <si>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</si>
  <si>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</si>
  <si>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</si>
  <si>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</si>
  <si>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</si>
  <si>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</si>
  <si>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</si>
  <si>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</si>
  <si>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</si>
  <si>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55121704</t>
  </si>
  <si>
    <t>31161812</t>
  </si>
  <si>
    <t>39121613</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</si>
  <si>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</si>
  <si>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</si>
  <si>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</si>
  <si>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</si>
  <si>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</si>
  <si>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</si>
  <si>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</si>
  <si>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</si>
  <si>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</si>
  <si>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</si>
  <si>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</si>
  <si>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</si>
  <si>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</si>
  <si>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</si>
  <si>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</si>
  <si>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</si>
  <si>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52121701</t>
  </si>
  <si>
    <t>Forjaduras en estampa cerrada de plomo</t>
  </si>
  <si>
    <t>Objetos maquinados en molde permanente de acero fundidos</t>
  </si>
  <si>
    <t>Película de rayos x</t>
  </si>
  <si>
    <t>Moldeable tabular alúmina</t>
  </si>
  <si>
    <t>39121004</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</si>
  <si>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</si>
  <si>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</si>
  <si>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</si>
  <si>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</si>
  <si>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</si>
  <si>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</si>
  <si>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</si>
  <si>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</si>
  <si>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</si>
  <si>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</si>
  <si>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</si>
  <si>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</si>
  <si>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</si>
  <si>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</si>
  <si>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</si>
  <si>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</si>
  <si>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</si>
  <si>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</si>
  <si>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Convertidor de estándares de video</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</si>
  <si>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</si>
  <si>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</si>
  <si>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</si>
  <si>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</si>
  <si>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</si>
  <si>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</si>
  <si>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</si>
  <si>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</si>
  <si>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</si>
  <si>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</si>
  <si>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</si>
  <si>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</si>
  <si>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</si>
  <si>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</si>
  <si>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</si>
  <si>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</si>
  <si>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</si>
  <si>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</si>
  <si>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Marcador de piel de rayos x para uso médico</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</si>
  <si>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</si>
  <si>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</si>
  <si>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</si>
  <si>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</si>
  <si>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</si>
  <si>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</si>
  <si>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</si>
  <si>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</si>
  <si>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</si>
  <si>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</si>
  <si>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</si>
  <si>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</si>
  <si>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</si>
  <si>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</si>
  <si>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</si>
  <si>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</si>
  <si>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</si>
  <si>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</si>
  <si>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</si>
  <si>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</si>
  <si>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</si>
  <si>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</si>
  <si>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</si>
  <si>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</si>
  <si>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</si>
  <si>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</si>
  <si>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</si>
  <si>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</si>
  <si>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</si>
  <si>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</si>
  <si>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Caucho  y  elastómeros</t>
  </si>
  <si>
    <t>Desactivado por la ONU</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</si>
  <si>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</si>
  <si>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</si>
  <si>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</si>
  <si>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</si>
  <si>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</si>
  <si>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</si>
  <si>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</si>
  <si>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</si>
  <si>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</si>
  <si>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</si>
  <si>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</si>
  <si>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</si>
  <si>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</si>
  <si>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</si>
  <si>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</si>
  <si>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</si>
  <si>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</si>
  <si>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</si>
  <si>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</si>
  <si>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</si>
  <si>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</si>
  <si>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</si>
  <si>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</si>
  <si>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</si>
  <si>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</si>
  <si>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</si>
  <si>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</si>
  <si>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</si>
  <si>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</si>
  <si>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</si>
  <si>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</si>
  <si>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</si>
  <si>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</si>
  <si>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</si>
  <si>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</si>
  <si>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</si>
  <si>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</si>
  <si>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</si>
  <si>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</si>
  <si>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</si>
  <si>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</si>
  <si>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</si>
  <si>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</si>
  <si>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</si>
  <si>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</si>
  <si>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</si>
  <si>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</si>
  <si>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</si>
  <si>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</si>
  <si>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</si>
  <si>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</si>
  <si>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</si>
  <si>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</si>
  <si>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</si>
  <si>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</si>
  <si>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</si>
  <si>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</si>
  <si>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</si>
  <si>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</si>
  <si>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</si>
  <si>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</si>
  <si>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</si>
  <si>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</si>
  <si>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</si>
  <si>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</si>
  <si>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</si>
  <si>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</si>
  <si>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</si>
  <si>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</si>
  <si>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</si>
  <si>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</si>
  <si>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</si>
  <si>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</si>
  <si>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</si>
  <si>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</si>
  <si>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</si>
  <si>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</si>
  <si>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</si>
  <si>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</si>
  <si>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</si>
  <si>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</si>
  <si>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</si>
  <si>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</si>
  <si>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</si>
  <si>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</si>
  <si>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</si>
  <si>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</si>
  <si>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</si>
  <si>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</si>
  <si>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</si>
  <si>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</si>
  <si>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</si>
  <si>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</si>
  <si>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</si>
  <si>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</si>
  <si>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</si>
  <si>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</si>
  <si>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</si>
  <si>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</si>
  <si>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</si>
  <si>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</si>
  <si>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</si>
  <si>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</si>
  <si>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</si>
  <si>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</si>
  <si>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</si>
  <si>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</si>
  <si>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</si>
  <si>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43211502</t>
  </si>
  <si>
    <t>Bombeo o drenaje</t>
  </si>
  <si>
    <t>Cintas de medición para uso quirúrgico</t>
  </si>
  <si>
    <t>Lámpara de arco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</si>
  <si>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</si>
  <si>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</si>
  <si>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</si>
  <si>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</si>
  <si>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</si>
  <si>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</si>
  <si>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</si>
  <si>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</si>
  <si>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</si>
  <si>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</si>
  <si>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</si>
  <si>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</si>
  <si>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</si>
  <si>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</si>
  <si>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</si>
  <si>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</si>
  <si>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41115830</t>
  </si>
  <si>
    <t>Hornos de seguridad para laboratorios</t>
  </si>
  <si>
    <t>Mesas de dibujo</t>
  </si>
  <si>
    <t>Necesidades de dotación personal  financiero permanente</t>
  </si>
  <si>
    <t>Equipos para rotulado</t>
  </si>
  <si>
    <t>Cadenas de corte</t>
  </si>
  <si>
    <t>78111808</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</si>
  <si>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</si>
  <si>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</si>
  <si>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</si>
  <si>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</si>
  <si>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</si>
  <si>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</si>
  <si>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</si>
  <si>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</si>
  <si>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</si>
  <si>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</si>
  <si>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</si>
  <si>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 xml:space="preserve">Servicios de mantenimiento de elevadores. </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</si>
  <si>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</si>
  <si>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</si>
  <si>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</si>
  <si>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</si>
  <si>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</si>
  <si>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</si>
  <si>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</si>
  <si>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</si>
  <si>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</si>
  <si>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</si>
  <si>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</si>
  <si>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</si>
  <si>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</si>
  <si>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</si>
  <si>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</si>
  <si>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</si>
  <si>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</si>
  <si>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</si>
  <si>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</si>
  <si>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</si>
  <si>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</si>
  <si>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</si>
  <si>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</si>
  <si>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</si>
  <si>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</si>
  <si>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</si>
  <si>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</si>
  <si>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</si>
  <si>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Cortina del vehículo</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</si>
  <si>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</si>
  <si>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</si>
  <si>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</si>
  <si>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</si>
  <si>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</si>
  <si>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</si>
  <si>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</si>
  <si>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</si>
  <si>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</si>
  <si>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</si>
  <si>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Sistemas educativos alternativos</t>
  </si>
  <si>
    <t>Trituradores de rollo</t>
  </si>
  <si>
    <t>Guardas de salpicaduras o accesorios para uso quirúrgico</t>
  </si>
  <si>
    <t>Secadoras de ropa</t>
  </si>
  <si>
    <t>45121601</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</si>
  <si>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</si>
  <si>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</si>
  <si>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</si>
  <si>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</si>
  <si>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</si>
  <si>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</si>
  <si>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</si>
  <si>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</si>
  <si>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</si>
  <si>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</si>
  <si>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</si>
  <si>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</si>
  <si>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</si>
  <si>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</si>
  <si>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</si>
  <si>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</si>
  <si>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</si>
  <si>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</si>
  <si>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12141901</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</si>
  <si>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</si>
  <si>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</si>
  <si>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</si>
  <si>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</si>
  <si>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</si>
  <si>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</si>
  <si>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</si>
  <si>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</si>
  <si>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</si>
  <si>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</si>
  <si>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</si>
  <si>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</si>
  <si>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</si>
  <si>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</si>
  <si>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</si>
  <si>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</si>
  <si>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</si>
  <si>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</si>
  <si>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</si>
  <si>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</si>
  <si>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</si>
  <si>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</si>
  <si>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</si>
  <si>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</si>
  <si>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</si>
  <si>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</si>
  <si>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</si>
  <si>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</si>
  <si>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</si>
  <si>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</si>
  <si>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</si>
  <si>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</si>
  <si>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</si>
  <si>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</si>
  <si>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</si>
  <si>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</si>
  <si>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</si>
  <si>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</si>
  <si>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</si>
  <si>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</si>
  <si>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</si>
  <si>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</si>
  <si>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</si>
  <si>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</si>
  <si>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</si>
  <si>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</si>
  <si>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</si>
  <si>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</si>
  <si>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</si>
  <si>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25102106</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</si>
  <si>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</si>
  <si>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</si>
  <si>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</si>
  <si>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</si>
  <si>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</si>
  <si>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</si>
  <si>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</si>
  <si>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</si>
  <si>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</si>
  <si>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</si>
  <si>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</si>
  <si>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</si>
  <si>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</si>
  <si>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</si>
  <si>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</si>
  <si>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</si>
  <si>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</si>
  <si>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</si>
  <si>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</si>
  <si>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</si>
  <si>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</si>
  <si>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</si>
  <si>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</si>
  <si>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</si>
  <si>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</si>
  <si>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</si>
  <si>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</si>
  <si>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</si>
  <si>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</si>
  <si>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</si>
  <si>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</si>
  <si>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</si>
  <si>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</si>
  <si>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</si>
  <si>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</si>
  <si>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</si>
  <si>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</si>
  <si>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</si>
  <si>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</si>
  <si>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</si>
  <si>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27111710</t>
  </si>
  <si>
    <t>Materia prima en placas o barras labradas</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</si>
  <si>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</si>
  <si>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</si>
  <si>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</si>
  <si>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</si>
  <si>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</si>
  <si>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</si>
  <si>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</si>
  <si>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</si>
  <si>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</si>
  <si>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</si>
  <si>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</si>
  <si>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</si>
  <si>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</si>
  <si>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</si>
  <si>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</si>
  <si>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</si>
  <si>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</si>
  <si>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</si>
  <si>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</si>
  <si>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</si>
  <si>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</si>
  <si>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</si>
  <si>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</si>
  <si>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</si>
  <si>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</si>
  <si>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</si>
  <si>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</si>
  <si>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</si>
  <si>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</si>
  <si>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</si>
  <si>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</si>
  <si>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</si>
  <si>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</si>
  <si>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</si>
  <si>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</si>
  <si>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</si>
  <si>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</si>
  <si>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</si>
  <si>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</si>
  <si>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</si>
  <si>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</si>
  <si>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</si>
  <si>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</si>
  <si>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</si>
  <si>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</si>
  <si>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</si>
  <si>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</si>
  <si>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</si>
  <si>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</si>
  <si>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</si>
  <si>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</si>
  <si>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</si>
  <si>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</si>
  <si>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</si>
  <si>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</si>
  <si>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</si>
  <si>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</si>
  <si>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</si>
  <si>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</si>
  <si>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</si>
  <si>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</si>
  <si>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</si>
  <si>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</si>
  <si>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</si>
  <si>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</si>
  <si>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</si>
  <si>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</si>
  <si>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</si>
  <si>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</si>
  <si>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</si>
  <si>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</si>
  <si>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</si>
  <si>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</si>
  <si>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</si>
  <si>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</si>
  <si>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</si>
  <si>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</si>
  <si>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</si>
  <si>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</si>
  <si>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</si>
  <si>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</si>
  <si>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</si>
  <si>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</si>
  <si>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</si>
  <si>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</si>
  <si>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</si>
  <si>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27111601</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</si>
  <si>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</si>
  <si>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</si>
  <si>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</si>
  <si>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</si>
  <si>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</si>
  <si>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</si>
  <si>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</si>
  <si>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</si>
  <si>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</si>
  <si>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</si>
  <si>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</si>
  <si>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</si>
  <si>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</si>
  <si>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</si>
  <si>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</si>
  <si>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</si>
  <si>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</si>
  <si>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</si>
  <si>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</si>
  <si>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</si>
  <si>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</si>
  <si>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</si>
  <si>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</si>
  <si>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</si>
  <si>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</si>
  <si>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</si>
  <si>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</si>
  <si>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</si>
  <si>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</si>
  <si>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</si>
  <si>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</si>
  <si>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</si>
  <si>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</si>
  <si>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</si>
  <si>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</si>
  <si>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</si>
  <si>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</si>
  <si>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</si>
  <si>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43211802</t>
  </si>
  <si>
    <t>Cubiertas para revistas o libros</t>
  </si>
  <si>
    <t>Sulfanilamida</t>
  </si>
  <si>
    <t>Cambiador de bombilla de luz</t>
  </si>
  <si>
    <t>La Entrada</t>
  </si>
  <si>
    <t>Hornillas eléctricas de laboratorio</t>
  </si>
  <si>
    <t>Portadores de lámina de oro</t>
  </si>
  <si>
    <t>Xilófonos</t>
  </si>
  <si>
    <t>Anakinra</t>
  </si>
  <si>
    <t>26101758</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</si>
  <si>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</si>
  <si>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</si>
  <si>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</si>
  <si>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</si>
  <si>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</si>
  <si>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</si>
  <si>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</si>
  <si>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</si>
  <si>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</si>
  <si>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</si>
  <si>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</si>
  <si>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</si>
  <si>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</si>
  <si>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23231402</t>
  </si>
  <si>
    <t>Grapas de retención</t>
  </si>
  <si>
    <t>Glipizida</t>
  </si>
  <si>
    <t>Juegos de apuestas en red</t>
  </si>
  <si>
    <t>Jarabacoa</t>
  </si>
  <si>
    <t>Otros deportes</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</si>
  <si>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</si>
  <si>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</si>
  <si>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</si>
  <si>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</si>
  <si>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</si>
  <si>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</si>
  <si>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</si>
  <si>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</si>
  <si>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</si>
  <si>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</si>
  <si>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</si>
  <si>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</si>
  <si>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</si>
  <si>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</si>
  <si>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</si>
  <si>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</si>
  <si>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</si>
  <si>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</si>
  <si>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</si>
  <si>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Unidades de medios removibles de alta capacidad</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</si>
  <si>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</si>
  <si>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</si>
  <si>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</si>
  <si>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</si>
  <si>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</si>
  <si>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</si>
  <si>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</si>
  <si>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</si>
  <si>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</si>
  <si>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</si>
  <si>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82101504</t>
  </si>
  <si>
    <t>Rollos de télex</t>
  </si>
  <si>
    <t>Propiltiouracilo</t>
  </si>
  <si>
    <t>Bombas para sumideros</t>
  </si>
  <si>
    <t>Vestidos o cascos o máscaras faciales o accesorios de aislamiento de cirugía</t>
  </si>
  <si>
    <t>Barras de plomo</t>
  </si>
  <si>
    <t>Desviadores de fluido</t>
  </si>
  <si>
    <t>Cinematografía</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</si>
  <si>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</si>
  <si>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</si>
  <si>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</si>
  <si>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</si>
  <si>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</si>
  <si>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</si>
  <si>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</si>
  <si>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</si>
  <si>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</si>
  <si>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</si>
  <si>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</si>
  <si>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</si>
  <si>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</si>
  <si>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</si>
  <si>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</si>
  <si>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</si>
  <si>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</si>
  <si>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</si>
  <si>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</si>
  <si>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</si>
  <si>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</si>
  <si>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</si>
  <si>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</si>
  <si>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</si>
  <si>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</si>
  <si>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</si>
  <si>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</si>
  <si>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</si>
  <si>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</si>
  <si>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</si>
  <si>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</si>
  <si>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</si>
  <si>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</si>
  <si>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</si>
  <si>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</si>
  <si>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</si>
  <si>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</si>
  <si>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</si>
  <si>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</si>
  <si>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</si>
  <si>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</si>
  <si>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</si>
  <si>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</si>
  <si>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</si>
  <si>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</si>
  <si>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</si>
  <si>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</si>
  <si>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</si>
  <si>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</si>
  <si>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</si>
  <si>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</si>
  <si>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</si>
  <si>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</si>
  <si>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</si>
  <si>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</si>
  <si>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</si>
  <si>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</si>
  <si>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56101702</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</si>
  <si>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</si>
  <si>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</si>
  <si>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</si>
  <si>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</si>
  <si>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</si>
  <si>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</si>
  <si>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</si>
  <si>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</si>
  <si>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</si>
  <si>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</si>
  <si>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</si>
  <si>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</si>
  <si>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</si>
  <si>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</si>
  <si>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</si>
  <si>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</si>
  <si>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</si>
  <si>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</si>
  <si>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</si>
  <si>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</si>
  <si>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</si>
  <si>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</si>
  <si>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</si>
  <si>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</si>
  <si>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</si>
  <si>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</si>
  <si>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</si>
  <si>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</si>
  <si>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</si>
  <si>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</si>
  <si>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</si>
  <si>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</si>
  <si>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</si>
  <si>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</si>
  <si>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</si>
  <si>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</si>
  <si>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</si>
  <si>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</si>
  <si>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47131603</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</si>
  <si>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</si>
  <si>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</si>
  <si>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</si>
  <si>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</si>
  <si>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</si>
  <si>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</si>
  <si>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</si>
  <si>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</si>
  <si>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</si>
  <si>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</si>
  <si>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</si>
  <si>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</si>
  <si>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</si>
  <si>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</si>
  <si>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</si>
  <si>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</si>
  <si>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50192701</t>
  </si>
  <si>
    <t>Sujetadores de ojos o sus accesorios</t>
  </si>
  <si>
    <t>Embrague centrífugo</t>
  </si>
  <si>
    <t>Colgadores o sus accesorios para películas de rayos x</t>
  </si>
  <si>
    <t>Cacerolas para baño maría</t>
  </si>
  <si>
    <t>Apartamento</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</si>
  <si>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</si>
  <si>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</si>
  <si>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</si>
  <si>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</si>
  <si>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</si>
  <si>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</si>
  <si>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</si>
  <si>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</si>
  <si>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</si>
  <si>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</si>
  <si>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</si>
  <si>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</si>
  <si>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</si>
  <si>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</si>
  <si>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</si>
  <si>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</si>
  <si>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</si>
  <si>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</si>
  <si>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</si>
  <si>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</si>
  <si>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</si>
  <si>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</si>
  <si>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</si>
  <si>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</si>
  <si>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</si>
  <si>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</si>
  <si>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</si>
  <si>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</si>
  <si>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</si>
  <si>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</si>
  <si>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</si>
  <si>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</si>
  <si>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</si>
  <si>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</si>
  <si>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</si>
  <si>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</si>
  <si>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</si>
  <si>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</si>
  <si>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</si>
  <si>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</si>
  <si>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</si>
  <si>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</si>
  <si>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</si>
  <si>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</si>
  <si>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80161507</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</si>
  <si>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</si>
  <si>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</si>
  <si>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</si>
  <si>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</si>
  <si>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</si>
  <si>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</si>
  <si>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</si>
  <si>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</si>
  <si>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</si>
  <si>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</si>
  <si>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</si>
  <si>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</si>
  <si>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</si>
  <si>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</si>
  <si>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</si>
  <si>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</si>
  <si>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</si>
  <si>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</si>
  <si>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</si>
  <si>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</si>
  <si>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</si>
  <si>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</si>
  <si>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</si>
  <si>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</si>
  <si>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</si>
  <si>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</si>
  <si>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</si>
  <si>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</si>
  <si>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</si>
  <si>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</si>
  <si>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</si>
  <si>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</si>
  <si>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</si>
  <si>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</si>
  <si>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</si>
  <si>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</si>
  <si>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</si>
  <si>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</si>
  <si>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</si>
  <si>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</si>
  <si>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</si>
  <si>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</si>
  <si>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</si>
  <si>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</si>
  <si>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</si>
  <si>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</si>
  <si>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Funda o inserto o sobre para película de radiología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</si>
  <si>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</si>
  <si>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</si>
  <si>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</si>
  <si>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</si>
  <si>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</si>
  <si>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</si>
  <si>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</si>
  <si>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</si>
  <si>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</si>
  <si>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Mantenimiento o reparación de equipo médico mayor (capital)</t>
  </si>
  <si>
    <t>49161604</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</si>
  <si>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</si>
  <si>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</si>
  <si>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</si>
  <si>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</si>
  <si>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</si>
  <si>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</si>
  <si>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</si>
  <si>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</si>
  <si>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</si>
  <si>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</si>
  <si>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</si>
  <si>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</si>
  <si>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</si>
  <si>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</si>
  <si>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</si>
  <si>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</si>
  <si>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</si>
  <si>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</si>
  <si>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</si>
  <si>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</si>
  <si>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</si>
  <si>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</si>
  <si>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</si>
  <si>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</si>
  <si>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</si>
  <si>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</si>
  <si>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</si>
  <si>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</si>
  <si>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</si>
  <si>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</si>
  <si>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</si>
  <si>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</si>
  <si>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</si>
  <si>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</si>
  <si>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</si>
  <si>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</si>
  <si>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</si>
  <si>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</si>
  <si>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</si>
  <si>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</si>
  <si>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</si>
  <si>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</si>
  <si>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</si>
  <si>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</si>
  <si>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</si>
  <si>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</si>
  <si>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</si>
  <si>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</si>
  <si>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</si>
  <si>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</si>
  <si>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</si>
  <si>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</si>
  <si>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</si>
  <si>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</si>
  <si>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</si>
  <si>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</si>
  <si>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</si>
  <si>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</si>
  <si>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</si>
  <si>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</si>
  <si>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</si>
  <si>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</si>
  <si>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Matadero Público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</si>
  <si>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</si>
  <si>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</si>
  <si>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</si>
  <si>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</si>
  <si>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</si>
  <si>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</si>
  <si>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</si>
  <si>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</si>
  <si>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</si>
  <si>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</si>
  <si>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</si>
  <si>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</si>
  <si>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</si>
  <si>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</si>
  <si>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</si>
  <si>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</si>
  <si>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</si>
  <si>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</si>
  <si>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</si>
  <si>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</si>
  <si>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</si>
  <si>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</si>
  <si>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</si>
  <si>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49161503</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</si>
  <si>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</si>
  <si>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</si>
  <si>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</si>
  <si>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</si>
  <si>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</si>
  <si>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</si>
  <si>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</si>
  <si>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</si>
  <si>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</si>
  <si>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</si>
  <si>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</si>
  <si>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</si>
  <si>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</si>
  <si>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</si>
  <si>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42171917</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</si>
  <si>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</si>
  <si>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</si>
  <si>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</si>
  <si>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</si>
  <si>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</si>
  <si>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</si>
  <si>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</si>
  <si>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</si>
  <si>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</si>
  <si>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</si>
  <si>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</si>
  <si>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</si>
  <si>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</si>
  <si>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</si>
  <si>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</si>
  <si>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</si>
  <si>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</si>
  <si>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</si>
  <si>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</si>
  <si>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</si>
  <si>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</si>
  <si>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</si>
  <si>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</si>
  <si>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</si>
  <si>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</si>
  <si>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</si>
  <si>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</si>
  <si>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</si>
  <si>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</si>
  <si>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</si>
  <si>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</si>
  <si>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</si>
  <si>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</si>
  <si>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</si>
  <si>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</si>
  <si>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</si>
  <si>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</si>
  <si>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Equipos de servicios de alimentación para instituciones</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</si>
  <si>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</si>
  <si>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</si>
  <si>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</si>
  <si>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</si>
  <si>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</si>
  <si>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</si>
  <si>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</si>
  <si>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</si>
  <si>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</si>
  <si>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</si>
  <si>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</si>
  <si>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</si>
  <si>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</si>
  <si>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</si>
  <si>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</si>
  <si>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</si>
  <si>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</si>
  <si>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</si>
  <si>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</si>
  <si>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</si>
  <si>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</si>
  <si>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</si>
  <si>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</si>
  <si>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</si>
  <si>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</si>
  <si>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</si>
  <si>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Ataúdes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</si>
  <si>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</si>
  <si>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</si>
  <si>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</si>
  <si>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</si>
  <si>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</si>
  <si>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</si>
  <si>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</si>
  <si>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</si>
  <si>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</si>
  <si>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</si>
  <si>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</si>
  <si>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</si>
  <si>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</si>
  <si>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</si>
  <si>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</si>
  <si>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</si>
  <si>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</si>
  <si>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</si>
  <si>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</si>
  <si>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</si>
  <si>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</si>
  <si>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</si>
  <si>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</si>
  <si>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</si>
  <si>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</si>
  <si>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</si>
  <si>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</si>
  <si>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</si>
  <si>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</si>
  <si>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</si>
  <si>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</si>
  <si>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</si>
  <si>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</si>
  <si>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39121405</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</si>
  <si>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</si>
  <si>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</si>
  <si>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</si>
  <si>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</si>
  <si>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</si>
  <si>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</si>
  <si>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</si>
  <si>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</si>
  <si>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</si>
  <si>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</si>
  <si>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</si>
  <si>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</si>
  <si>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</si>
  <si>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</si>
  <si>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</si>
  <si>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</si>
  <si>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</si>
  <si>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</si>
  <si>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</si>
  <si>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</si>
  <si>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</si>
  <si>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</si>
  <si>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</si>
  <si>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</si>
  <si>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43211708</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</si>
  <si>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</si>
  <si>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</si>
  <si>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</si>
  <si>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</si>
  <si>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</si>
  <si>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</si>
  <si>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</si>
  <si>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</si>
  <si>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</si>
  <si>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</si>
  <si>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</si>
  <si>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</si>
  <si>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</si>
  <si>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</si>
  <si>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</si>
  <si>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</si>
  <si>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</si>
  <si>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</si>
  <si>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</si>
  <si>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</si>
  <si>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</si>
  <si>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</si>
  <si>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</si>
  <si>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</si>
  <si>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</si>
  <si>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</si>
  <si>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</si>
  <si>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</si>
  <si>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</si>
  <si>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</si>
  <si>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</si>
  <si>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</si>
  <si>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</si>
  <si>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</si>
  <si>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</si>
  <si>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</si>
  <si>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</si>
  <si>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</si>
  <si>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</si>
  <si>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</si>
  <si>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</si>
  <si>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</si>
  <si>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</si>
  <si>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</si>
  <si>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</si>
  <si>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</si>
  <si>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</si>
  <si>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</si>
  <si>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</si>
  <si>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</si>
  <si>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</si>
  <si>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</si>
  <si>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</si>
  <si>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</si>
  <si>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</si>
  <si>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</si>
  <si>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</si>
  <si>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</si>
  <si>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</si>
  <si>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</si>
  <si>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</si>
  <si>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</si>
  <si>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</si>
  <si>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</si>
  <si>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</si>
  <si>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</si>
  <si>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</si>
  <si>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</si>
  <si>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</si>
  <si>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</si>
  <si>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</si>
  <si>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</si>
  <si>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</si>
  <si>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</si>
  <si>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</si>
  <si>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</si>
  <si>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</si>
  <si>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</si>
  <si>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</si>
  <si>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</si>
  <si>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</si>
  <si>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</si>
  <si>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</si>
  <si>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</si>
  <si>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</si>
  <si>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</si>
  <si>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</si>
  <si>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</si>
  <si>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</si>
  <si>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</si>
  <si>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</si>
  <si>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</si>
  <si>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</si>
  <si>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</si>
  <si>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</si>
  <si>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</si>
  <si>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</si>
  <si>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</si>
  <si>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</si>
  <si>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50161509</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</si>
  <si>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</si>
  <si>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</si>
  <si>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</si>
  <si>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</si>
  <si>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</si>
  <si>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</si>
  <si>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</si>
  <si>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</si>
  <si>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</si>
  <si>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</si>
  <si>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</si>
  <si>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</si>
  <si>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</si>
  <si>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</si>
  <si>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</si>
  <si>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</si>
  <si>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</si>
  <si>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</si>
  <si>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</si>
  <si>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</si>
  <si>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</si>
  <si>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</si>
  <si>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</si>
  <si>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</si>
  <si>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</si>
  <si>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</si>
  <si>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</si>
  <si>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21102001</t>
  </si>
  <si>
    <t>Herramientas de flotación de cemento</t>
  </si>
  <si>
    <t>Enhebradores de seda dental</t>
  </si>
  <si>
    <t>Detonadores</t>
  </si>
  <si>
    <t xml:space="preserve">Servicio de construcción de lechos de vía para ferrocarril y vías férreas  </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</si>
  <si>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</si>
  <si>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</si>
  <si>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</si>
  <si>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</si>
  <si>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</si>
  <si>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</si>
  <si>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</si>
  <si>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</si>
  <si>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</si>
  <si>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</si>
  <si>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31211909</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</si>
  <si>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</si>
  <si>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</si>
  <si>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</si>
  <si>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</si>
  <si>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</si>
  <si>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</si>
  <si>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</si>
  <si>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</si>
  <si>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</si>
  <si>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43211602</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</si>
  <si>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</si>
  <si>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</si>
  <si>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</si>
  <si>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</si>
  <si>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</si>
  <si>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</si>
  <si>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</si>
  <si>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</si>
  <si>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</si>
  <si>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</si>
  <si>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</si>
  <si>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</si>
  <si>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</si>
  <si>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11162116</t>
  </si>
  <si>
    <t>Consulta de maquillaje</t>
  </si>
  <si>
    <t>Unidades de registrar datos de superficie</t>
  </si>
  <si>
    <t>Dopplers vasculares de mano o accesorios</t>
  </si>
  <si>
    <t>Obturadores de control de arena</t>
  </si>
  <si>
    <t>Escobillas de serigrafía</t>
  </si>
  <si>
    <t>Núcleo de panal de titanio</t>
  </si>
  <si>
    <t>Consola de audio video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</si>
  <si>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</si>
  <si>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</si>
  <si>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</si>
  <si>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</si>
  <si>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</si>
  <si>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</si>
  <si>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</si>
  <si>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</si>
  <si>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</si>
  <si>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</si>
  <si>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</si>
  <si>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</si>
  <si>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</si>
  <si>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</si>
  <si>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</si>
  <si>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47131502</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</si>
  <si>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</si>
  <si>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</si>
  <si>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</si>
  <si>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</si>
  <si>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</si>
  <si>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</si>
  <si>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</si>
  <si>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</si>
  <si>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</si>
  <si>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</si>
  <si>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</si>
  <si>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</si>
  <si>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</si>
  <si>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</si>
  <si>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</si>
  <si>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</si>
  <si>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</si>
  <si>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</si>
  <si>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</si>
  <si>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</si>
  <si>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</si>
  <si>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</si>
  <si>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</si>
  <si>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</si>
  <si>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</si>
  <si>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</si>
  <si>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</si>
  <si>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</si>
  <si>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</si>
  <si>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</si>
  <si>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</si>
  <si>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</si>
  <si>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</si>
  <si>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</si>
  <si>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</si>
  <si>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</si>
  <si>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</si>
  <si>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Publicidad</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</si>
  <si>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</si>
  <si>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</si>
  <si>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</si>
  <si>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</si>
  <si>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</si>
  <si>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</si>
  <si>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</si>
  <si>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</si>
  <si>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</si>
  <si>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</si>
  <si>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</si>
  <si>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</si>
  <si>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</si>
  <si>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</si>
  <si>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</si>
  <si>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</si>
  <si>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</si>
  <si>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</si>
  <si>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</si>
  <si>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</si>
  <si>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</si>
  <si>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</si>
  <si>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</si>
  <si>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</si>
  <si>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</si>
  <si>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</si>
  <si>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</si>
  <si>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</si>
  <si>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</si>
  <si>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</si>
  <si>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</si>
  <si>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</si>
  <si>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</si>
  <si>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</si>
  <si>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</si>
  <si>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</si>
  <si>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</si>
  <si>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</si>
  <si>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</si>
  <si>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</si>
  <si>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</si>
  <si>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</si>
  <si>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</si>
  <si>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</si>
  <si>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</si>
  <si>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</si>
  <si>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</si>
  <si>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</si>
  <si>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</si>
  <si>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</si>
  <si>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</si>
  <si>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23171906</t>
  </si>
  <si>
    <t>Carteles borrador para arte</t>
  </si>
  <si>
    <t>Diacs</t>
  </si>
  <si>
    <t>Insignias</t>
  </si>
  <si>
    <t>Perforadoras para uso quirúrgico</t>
  </si>
  <si>
    <t>Fluidos de amortiguación</t>
  </si>
  <si>
    <t>31201512</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</si>
  <si>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</si>
  <si>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</si>
  <si>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</si>
  <si>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</si>
  <si>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</si>
  <si>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</si>
  <si>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</si>
  <si>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</si>
  <si>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</si>
  <si>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</si>
  <si>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</si>
  <si>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</si>
  <si>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</si>
  <si>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</si>
  <si>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</si>
  <si>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</si>
  <si>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</si>
  <si>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</si>
  <si>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</si>
  <si>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</si>
  <si>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</si>
  <si>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</si>
  <si>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</si>
  <si>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</si>
  <si>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</si>
  <si>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</si>
  <si>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</si>
  <si>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</si>
  <si>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</si>
  <si>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</si>
  <si>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</si>
  <si>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</si>
  <si>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</si>
  <si>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</si>
  <si>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</si>
  <si>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</si>
  <si>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</si>
  <si>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</si>
  <si>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</si>
  <si>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</si>
  <si>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</si>
  <si>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</si>
  <si>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</si>
  <si>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</si>
  <si>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</si>
  <si>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</si>
  <si>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</si>
  <si>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</si>
  <si>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</si>
  <si>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</si>
  <si>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</si>
  <si>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</si>
  <si>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</si>
  <si>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</si>
  <si>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</si>
  <si>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</si>
  <si>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</si>
  <si>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</si>
  <si>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42311511</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</si>
  <si>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</si>
  <si>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</si>
  <si>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</si>
  <si>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</si>
  <si>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</si>
  <si>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</si>
  <si>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</si>
  <si>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</si>
  <si>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</si>
  <si>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Generador de caracteres</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</si>
  <si>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</si>
  <si>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</si>
  <si>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</si>
  <si>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</si>
  <si>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</si>
  <si>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</si>
  <si>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</si>
  <si>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Servicio de mantenimiento o reparación de equipos y sistemas de protección contra incendios</t>
  </si>
  <si>
    <t>Llaves de cinta</t>
  </si>
  <si>
    <t>Servicio de construcción de sistemas de drenaje</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</si>
  <si>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</si>
  <si>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</si>
  <si>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</si>
  <si>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</si>
  <si>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</si>
  <si>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</si>
  <si>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</si>
  <si>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</si>
  <si>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</si>
  <si>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</si>
  <si>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</si>
  <si>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</si>
  <si>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</si>
  <si>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</si>
  <si>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</si>
  <si>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</si>
  <si>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 xml:space="preserve">Soporte para micrófonos </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</si>
  <si>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</si>
  <si>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</si>
  <si>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</si>
  <si>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</si>
  <si>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</si>
  <si>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</si>
  <si>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</si>
  <si>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</si>
  <si>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</si>
  <si>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</si>
  <si>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</si>
  <si>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</si>
  <si>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</si>
  <si>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</si>
  <si>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</si>
  <si>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</si>
  <si>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</si>
  <si>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</si>
  <si>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</si>
  <si>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</si>
  <si>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</si>
  <si>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</si>
  <si>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</si>
  <si>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</si>
  <si>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</si>
  <si>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</si>
  <si>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</si>
  <si>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</si>
  <si>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</si>
  <si>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</si>
  <si>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</si>
  <si>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</si>
  <si>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</si>
  <si>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</si>
  <si>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</si>
  <si>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</si>
  <si>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</si>
  <si>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</si>
  <si>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</si>
  <si>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</si>
  <si>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</si>
  <si>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</si>
  <si>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</si>
  <si>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</si>
  <si>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</si>
  <si>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 xml:space="preserve"> Neumáticos para camiones pesados</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</si>
  <si>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</si>
  <si>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</si>
  <si>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</si>
  <si>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</si>
  <si>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</si>
  <si>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</si>
  <si>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</si>
  <si>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</si>
  <si>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</si>
  <si>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</si>
  <si>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</si>
  <si>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</si>
  <si>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</si>
  <si>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13101717</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</si>
  <si>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</si>
  <si>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</si>
  <si>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</si>
  <si>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</si>
  <si>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</si>
  <si>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</si>
  <si>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</si>
  <si>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</si>
  <si>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</si>
  <si>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</si>
  <si>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</si>
  <si>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</si>
  <si>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</si>
  <si>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</si>
  <si>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</si>
  <si>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</si>
  <si>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</si>
  <si>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</si>
  <si>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</si>
  <si>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</si>
  <si>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</si>
  <si>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</si>
  <si>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</si>
  <si>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</si>
  <si>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</si>
  <si>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</si>
  <si>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</si>
  <si>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</si>
  <si>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</si>
  <si>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</si>
  <si>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</si>
  <si>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</si>
  <si>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</si>
  <si>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</si>
  <si>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30102303</t>
  </si>
  <si>
    <t>Biosferas</t>
  </si>
  <si>
    <t>Material de blindaje EMI de interferencia electromagnética</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</si>
  <si>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</si>
  <si>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</si>
  <si>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</si>
  <si>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</si>
  <si>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</si>
  <si>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</si>
  <si>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</si>
  <si>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</si>
  <si>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</si>
  <si>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</si>
  <si>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</si>
  <si>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</si>
  <si>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</si>
  <si>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</si>
  <si>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</si>
  <si>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</si>
  <si>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</si>
  <si>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</si>
  <si>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</si>
  <si>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</si>
  <si>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</si>
  <si>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</si>
  <si>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</si>
  <si>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</si>
  <si>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</si>
  <si>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</si>
  <si>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</si>
  <si>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</si>
  <si>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Sellador de bolsas al vacío</t>
  </si>
  <si>
    <t>Servicios de fumigación de cultivos</t>
  </si>
  <si>
    <t>Cefadroxilo</t>
  </si>
  <si>
    <t>39121001</t>
  </si>
  <si>
    <t>80141903</t>
  </si>
  <si>
    <t>Kits para extracción de proteína de levadura</t>
  </si>
  <si>
    <t>Servicio de mantenimiento de edificios</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</si>
  <si>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</si>
  <si>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</si>
  <si>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</si>
  <si>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</si>
  <si>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</si>
  <si>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</si>
  <si>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</si>
  <si>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</si>
  <si>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</si>
  <si>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</si>
  <si>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</si>
  <si>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Productos medicinales de deportes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</si>
  <si>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</si>
  <si>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</si>
  <si>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</si>
  <si>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</si>
  <si>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</si>
  <si>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</si>
  <si>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</si>
  <si>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</si>
  <si>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</si>
  <si>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Adquisicion articulos ferreteros</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</si>
  <si>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</si>
  <si>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</si>
  <si>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</si>
  <si>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</si>
  <si>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</si>
  <si>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</si>
  <si>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</si>
  <si>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</si>
  <si>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</si>
  <si>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</si>
  <si>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</si>
  <si>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</si>
  <si>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</si>
  <si>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</si>
  <si>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</si>
  <si>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</si>
  <si>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</si>
  <si>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</si>
  <si>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</si>
  <si>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</si>
  <si>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</si>
  <si>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</si>
  <si>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</si>
  <si>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</si>
  <si>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</si>
  <si>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92101702</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</si>
  <si>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</si>
  <si>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</si>
  <si>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</si>
  <si>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</si>
  <si>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</si>
  <si>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</si>
  <si>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</si>
  <si>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</si>
  <si>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</si>
  <si>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</si>
  <si>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</si>
  <si>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</si>
  <si>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</si>
  <si>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</si>
  <si>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</si>
  <si>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</si>
  <si>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</si>
  <si>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</si>
  <si>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</si>
  <si>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</si>
  <si>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</si>
  <si>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</si>
  <si>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</si>
  <si>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</si>
  <si>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</si>
  <si>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</si>
  <si>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</si>
  <si>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30102901</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</si>
  <si>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</si>
  <si>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</si>
  <si>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</si>
  <si>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</si>
  <si>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</si>
  <si>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</si>
  <si>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</si>
  <si>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</si>
  <si>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</si>
  <si>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</si>
  <si>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</si>
  <si>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</si>
  <si>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</si>
  <si>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</si>
  <si>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</si>
  <si>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</si>
  <si>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</si>
  <si>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</si>
  <si>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</si>
  <si>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</si>
  <si>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</si>
  <si>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</si>
  <si>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</si>
  <si>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</si>
  <si>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</si>
  <si>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</si>
  <si>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</si>
  <si>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</si>
  <si>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42181801</t>
  </si>
  <si>
    <t>Invernaderos</t>
  </si>
  <si>
    <t>82131603</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</si>
  <si>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</si>
  <si>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</si>
  <si>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</si>
  <si>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</si>
  <si>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</si>
  <si>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</si>
  <si>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</si>
  <si>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</si>
  <si>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</si>
  <si>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</si>
  <si>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</si>
  <si>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</si>
  <si>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</si>
  <si>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</si>
  <si>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</si>
  <si>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</si>
  <si>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</si>
  <si>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</si>
  <si>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</si>
  <si>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</si>
  <si>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</si>
  <si>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</si>
  <si>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</si>
  <si>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</si>
  <si>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</si>
  <si>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</si>
  <si>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</si>
  <si>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42182107</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</si>
  <si>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</si>
  <si>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</si>
  <si>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</si>
  <si>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</si>
  <si>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</si>
  <si>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</si>
  <si>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</si>
  <si>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</si>
  <si>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</si>
  <si>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</si>
  <si>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</si>
  <si>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</si>
  <si>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</si>
  <si>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</si>
  <si>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</si>
  <si>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</si>
  <si>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</si>
  <si>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</si>
  <si>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</si>
  <si>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</si>
  <si>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</si>
  <si>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</si>
  <si>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</si>
  <si>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</si>
  <si>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</si>
  <si>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</si>
  <si>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</si>
  <si>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</si>
  <si>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</si>
  <si>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</si>
  <si>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</si>
  <si>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</si>
  <si>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</si>
  <si>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</si>
  <si>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</si>
  <si>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</si>
  <si>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</si>
  <si>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</si>
  <si>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</si>
  <si>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</si>
  <si>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</si>
  <si>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</si>
  <si>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</si>
  <si>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</si>
  <si>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</si>
  <si>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</si>
  <si>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</si>
  <si>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</si>
  <si>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</si>
  <si>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</si>
  <si>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</si>
  <si>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</si>
  <si>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</si>
  <si>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</si>
  <si>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</si>
  <si>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</si>
  <si>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</si>
  <si>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</si>
  <si>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</si>
  <si>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</si>
  <si>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</si>
  <si>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</si>
  <si>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</si>
  <si>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80161502</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</si>
  <si>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</si>
  <si>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</si>
  <si>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</si>
  <si>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</si>
  <si>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</si>
  <si>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</si>
  <si>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</si>
  <si>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</si>
  <si>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</si>
  <si>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</si>
  <si>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</si>
  <si>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</si>
  <si>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</si>
  <si>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</si>
  <si>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</si>
  <si>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</si>
  <si>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80101507</t>
  </si>
  <si>
    <t>Vertederas de movimiento de tierra</t>
  </si>
  <si>
    <t>Sistemas de control de la estabilidad del vehículo</t>
  </si>
  <si>
    <t>Máquinas para fechar o numerar</t>
  </si>
  <si>
    <t>Adquisicion de Materiales de oficina</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</si>
  <si>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</si>
  <si>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</si>
  <si>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</si>
  <si>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</si>
  <si>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</si>
  <si>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</si>
  <si>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</si>
  <si>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</si>
  <si>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</si>
  <si>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</si>
  <si>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</si>
  <si>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</si>
  <si>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</si>
  <si>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</si>
  <si>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</si>
  <si>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</si>
  <si>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</si>
  <si>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</si>
  <si>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</si>
  <si>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51142121</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</si>
  <si>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</si>
  <si>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</si>
  <si>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</si>
  <si>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</si>
  <si>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</si>
  <si>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</si>
  <si>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</si>
  <si>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</si>
  <si>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27112014</t>
  </si>
  <si>
    <t>Juntas obturadoras de metal</t>
  </si>
  <si>
    <t>Filtros de pantalla para aparatos de anestesia</t>
  </si>
  <si>
    <t>51111701</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</si>
  <si>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</si>
  <si>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</si>
  <si>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</si>
  <si>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</si>
  <si>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</si>
  <si>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</si>
  <si>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</si>
  <si>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</si>
  <si>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</si>
  <si>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</si>
  <si>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</si>
  <si>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</si>
  <si>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</si>
  <si>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</si>
  <si>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</si>
  <si>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</si>
  <si>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</si>
  <si>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</si>
  <si>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</si>
  <si>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</si>
  <si>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</si>
  <si>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</si>
  <si>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</si>
  <si>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</si>
  <si>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</si>
  <si>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</si>
  <si>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</si>
  <si>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</si>
  <si>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</si>
  <si>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</si>
  <si>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</si>
  <si>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</si>
  <si>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</si>
  <si>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</si>
  <si>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</si>
  <si>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</si>
  <si>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</si>
  <si>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</si>
  <si>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</si>
  <si>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</si>
  <si>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</si>
  <si>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</si>
  <si>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39121310</t>
  </si>
  <si>
    <t>Computadores personales</t>
  </si>
  <si>
    <t>Vehículos utilitarios</t>
  </si>
  <si>
    <t>31201522</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</si>
  <si>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</si>
  <si>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</si>
  <si>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</si>
  <si>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</si>
  <si>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</si>
  <si>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</si>
  <si>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</si>
  <si>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</si>
  <si>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</si>
  <si>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</si>
  <si>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</si>
  <si>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</si>
  <si>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</si>
  <si>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</si>
  <si>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</si>
  <si>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</si>
  <si>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</si>
  <si>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</si>
  <si>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</si>
  <si>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</si>
  <si>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</si>
  <si>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</si>
  <si>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</si>
  <si>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</si>
  <si>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</si>
  <si>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</si>
  <si>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</si>
  <si>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</si>
  <si>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</si>
  <si>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</si>
  <si>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</si>
  <si>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</si>
  <si>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</si>
  <si>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</si>
  <si>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</si>
  <si>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</si>
  <si>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</si>
  <si>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</si>
  <si>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</si>
  <si>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</si>
  <si>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</si>
  <si>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</si>
  <si>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</si>
  <si>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</si>
  <si>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</si>
  <si>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</si>
  <si>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</si>
  <si>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</si>
  <si>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</si>
  <si>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</si>
  <si>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</si>
  <si>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</si>
  <si>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</si>
  <si>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</si>
  <si>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</si>
  <si>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</si>
  <si>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</si>
  <si>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</si>
  <si>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</si>
  <si>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</si>
  <si>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</si>
  <si>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</si>
  <si>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</si>
  <si>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</si>
  <si>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</si>
  <si>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</si>
  <si>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</si>
  <si>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</si>
  <si>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</si>
  <si>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Servicio de construcción, mantenimiento y reparación de estanques</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</si>
  <si>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</si>
  <si>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</si>
  <si>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</si>
  <si>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</si>
  <si>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</si>
  <si>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</si>
  <si>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</si>
  <si>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</si>
  <si>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</si>
  <si>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</si>
  <si>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</si>
  <si>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</si>
  <si>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</si>
  <si>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</si>
  <si>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</si>
  <si>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</si>
  <si>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</si>
  <si>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</si>
  <si>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</si>
  <si>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</si>
  <si>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</si>
  <si>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</si>
  <si>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</si>
  <si>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</si>
  <si>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27112801</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</si>
  <si>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</si>
  <si>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</si>
  <si>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</si>
  <si>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</si>
  <si>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</si>
  <si>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</si>
  <si>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</si>
  <si>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</si>
  <si>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</si>
  <si>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</si>
  <si>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</si>
  <si>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</si>
  <si>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</si>
  <si>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</si>
  <si>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</si>
  <si>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</si>
  <si>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</si>
  <si>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</si>
  <si>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</si>
  <si>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</si>
  <si>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</si>
  <si>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</si>
  <si>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</si>
  <si>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</si>
  <si>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</si>
  <si>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</si>
  <si>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</si>
  <si>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</si>
  <si>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</si>
  <si>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</si>
  <si>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82111804</t>
  </si>
  <si>
    <t>26111707</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</si>
  <si>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</si>
  <si>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</si>
  <si>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</si>
  <si>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</si>
  <si>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</si>
  <si>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</si>
  <si>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</si>
  <si>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</si>
  <si>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 xml:space="preserve">Generadores diesel </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</si>
  <si>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</si>
  <si>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</si>
  <si>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</si>
  <si>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</si>
  <si>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</si>
  <si>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</si>
  <si>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</si>
  <si>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</si>
  <si>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</si>
  <si>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</si>
  <si>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</si>
  <si>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</si>
  <si>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</si>
  <si>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</si>
  <si>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</si>
  <si>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</si>
  <si>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</si>
  <si>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</si>
  <si>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</si>
  <si>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</si>
  <si>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</si>
  <si>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</si>
  <si>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</si>
  <si>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</si>
  <si>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</si>
  <si>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Fibra,  hilos  e  hilados</t>
  </si>
  <si>
    <t>Calentadores de procesamiento de aire</t>
  </si>
  <si>
    <t>Gabinetes de archivo o accesorios</t>
  </si>
  <si>
    <t>Mirtazapina</t>
  </si>
  <si>
    <t>Escudo o emblema interior del vehículo</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</si>
  <si>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</si>
  <si>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</si>
  <si>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</si>
  <si>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</si>
  <si>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</si>
  <si>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</si>
  <si>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</si>
  <si>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</si>
  <si>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</si>
  <si>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</si>
  <si>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</si>
  <si>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</si>
  <si>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</si>
  <si>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</si>
  <si>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</si>
  <si>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</si>
  <si>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</si>
  <si>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</si>
  <si>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</si>
  <si>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</si>
  <si>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</si>
  <si>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</si>
  <si>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</si>
  <si>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</si>
  <si>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</si>
  <si>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</si>
  <si>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</si>
  <si>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</si>
  <si>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</si>
  <si>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</si>
  <si>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</si>
  <si>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</si>
  <si>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</si>
  <si>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</si>
  <si>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</si>
  <si>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</si>
  <si>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</si>
  <si>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</si>
  <si>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</si>
  <si>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</si>
  <si>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51161620</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</si>
  <si>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</si>
  <si>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</si>
  <si>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</si>
  <si>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</si>
  <si>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</si>
  <si>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</si>
  <si>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</si>
  <si>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</si>
  <si>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</si>
  <si>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</si>
  <si>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</si>
  <si>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</si>
  <si>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</si>
  <si>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Colimador de rayos x radiográfico y fluoroscópico</t>
  </si>
  <si>
    <t>Software de flujo de trabajo de contenido</t>
  </si>
  <si>
    <t>Fórmulas de suplementos para adultos de uso general</t>
  </si>
  <si>
    <t>Servicios de inspección o higiene de la carne</t>
  </si>
  <si>
    <t>51142402</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</si>
  <si>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</si>
  <si>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</si>
  <si>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</si>
  <si>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</si>
  <si>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</si>
  <si>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</si>
  <si>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</si>
  <si>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</si>
  <si>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</si>
  <si>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</si>
  <si>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</si>
  <si>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</si>
  <si>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</si>
  <si>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</si>
  <si>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</si>
  <si>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Tejidos  y  materiales  de  cuero</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</si>
  <si>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</si>
  <si>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</si>
  <si>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</si>
  <si>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</si>
  <si>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</si>
  <si>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</si>
  <si>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</si>
  <si>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</si>
  <si>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</si>
  <si>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</si>
  <si>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</si>
  <si>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</si>
  <si>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</si>
  <si>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</si>
  <si>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</si>
  <si>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</si>
  <si>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</si>
  <si>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</si>
  <si>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</si>
  <si>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</si>
  <si>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</si>
  <si>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</si>
  <si>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</si>
  <si>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</si>
  <si>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</si>
  <si>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</si>
  <si>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</si>
  <si>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30102904</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</si>
  <si>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</si>
  <si>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</si>
  <si>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</si>
  <si>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</si>
  <si>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</si>
  <si>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</si>
  <si>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</si>
  <si>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</si>
  <si>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</si>
  <si>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31162904</t>
  </si>
  <si>
    <t>Dispensadores de pitillos</t>
  </si>
  <si>
    <t>Cabezales de rociadores de incendios</t>
  </si>
  <si>
    <t>24131501</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</si>
  <si>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</si>
  <si>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</si>
  <si>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</si>
  <si>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</si>
  <si>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</si>
  <si>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</si>
  <si>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</si>
  <si>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</si>
  <si>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</si>
  <si>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</si>
  <si>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</si>
  <si>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</si>
  <si>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</si>
  <si>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</si>
  <si>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</si>
  <si>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</si>
  <si>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</si>
  <si>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</si>
  <si>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</si>
  <si>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</si>
  <si>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</si>
  <si>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</si>
  <si>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</si>
  <si>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Convertidores de oxígeno líquido</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</si>
  <si>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</si>
  <si>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</si>
  <si>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</si>
  <si>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</si>
  <si>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</si>
  <si>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</si>
  <si>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</si>
  <si>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</si>
  <si>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</si>
  <si>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</si>
  <si>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</si>
  <si>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</si>
  <si>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</si>
  <si>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</si>
  <si>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</si>
  <si>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Cementerio</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</si>
  <si>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</si>
  <si>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</si>
  <si>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</si>
  <si>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</si>
  <si>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</si>
  <si>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</si>
  <si>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</si>
  <si>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</si>
  <si>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</si>
  <si>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</si>
  <si>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</si>
  <si>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</si>
  <si>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</si>
  <si>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</si>
  <si>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</si>
  <si>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</si>
  <si>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</si>
  <si>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</si>
  <si>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</si>
  <si>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</si>
  <si>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</si>
  <si>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</si>
  <si>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</si>
  <si>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</si>
  <si>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</si>
  <si>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</si>
  <si>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</si>
  <si>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</si>
  <si>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</si>
  <si>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</si>
  <si>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</si>
  <si>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</si>
  <si>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46191601</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</si>
  <si>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</si>
  <si>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</si>
  <si>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</si>
  <si>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</si>
  <si>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</si>
  <si>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</si>
  <si>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</si>
  <si>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</si>
  <si>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</si>
  <si>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</si>
  <si>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</si>
  <si>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</si>
  <si>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</si>
  <si>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</si>
  <si>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</si>
  <si>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</si>
  <si>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</si>
  <si>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</si>
  <si>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</si>
  <si>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</si>
  <si>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</si>
  <si>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</si>
  <si>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</si>
  <si>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</si>
  <si>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</si>
  <si>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</si>
  <si>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25201901</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</si>
  <si>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</si>
  <si>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</si>
  <si>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</si>
  <si>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</si>
  <si>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</si>
  <si>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</si>
  <si>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</si>
  <si>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</si>
  <si>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</si>
  <si>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</si>
  <si>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</si>
  <si>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</si>
  <si>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</si>
  <si>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</si>
  <si>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</si>
  <si>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</si>
  <si>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</si>
  <si>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</si>
  <si>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</si>
  <si>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</si>
  <si>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</si>
  <si>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</si>
  <si>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</si>
  <si>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</si>
  <si>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</si>
  <si>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82101503</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</si>
  <si>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</si>
  <si>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</si>
  <si>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</si>
  <si>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</si>
  <si>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</si>
  <si>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</si>
  <si>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</si>
  <si>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</si>
  <si>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</si>
  <si>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</si>
  <si>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</si>
  <si>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</si>
  <si>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</si>
  <si>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</si>
  <si>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31211505</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</si>
  <si>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</si>
  <si>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</si>
  <si>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</si>
  <si>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</si>
  <si>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</si>
  <si>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</si>
  <si>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</si>
  <si>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</si>
  <si>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</si>
  <si>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</si>
  <si>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23153501</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</si>
  <si>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</si>
  <si>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</si>
  <si>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</si>
  <si>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</si>
  <si>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</si>
  <si>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</si>
  <si>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</si>
  <si>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</si>
  <si>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</si>
  <si>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</si>
  <si>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</si>
  <si>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</si>
  <si>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</si>
  <si>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</si>
  <si>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</si>
  <si>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</si>
  <si>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</si>
  <si>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</si>
  <si>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</si>
  <si>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</si>
  <si>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</si>
  <si>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</si>
  <si>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</si>
  <si>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14111512</t>
  </si>
  <si>
    <t>Dispensadores de medicamentos</t>
  </si>
  <si>
    <t>44122011</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</si>
  <si>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</si>
  <si>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</si>
  <si>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</si>
  <si>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</si>
  <si>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</si>
  <si>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</si>
  <si>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</si>
  <si>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</si>
  <si>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</si>
  <si>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</si>
  <si>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</si>
  <si>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</si>
  <si>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</si>
  <si>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</si>
  <si>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</si>
  <si>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</si>
  <si>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</si>
  <si>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</si>
  <si>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50201714</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</si>
  <si>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</si>
  <si>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</si>
  <si>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</si>
  <si>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</si>
  <si>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</si>
  <si>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</si>
  <si>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</si>
  <si>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</si>
  <si>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</si>
  <si>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</si>
  <si>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</si>
  <si>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</si>
  <si>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</si>
  <si>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</si>
  <si>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</si>
  <si>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</si>
  <si>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</si>
  <si>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</si>
  <si>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Indicador de la presión de aceite del vehículo</t>
  </si>
  <si>
    <t>Servicios de trituración secundaria, regeneración o revestimiento para herramientas de corte</t>
  </si>
  <si>
    <t>Servicios telegráficos de agencias de noticias</t>
  </si>
  <si>
    <t>Objetos de fundición centrífuga de estaño</t>
  </si>
  <si>
    <t>0222</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</si>
  <si>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</si>
  <si>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</si>
  <si>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</si>
  <si>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</si>
  <si>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</si>
  <si>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</si>
  <si>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</si>
  <si>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</si>
  <si>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</si>
  <si>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</si>
  <si>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</si>
  <si>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82101501</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</si>
  <si>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</si>
  <si>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</si>
  <si>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</si>
  <si>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</si>
  <si>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</si>
  <si>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</si>
  <si>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</si>
  <si>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</si>
  <si>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</si>
  <si>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</si>
  <si>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</si>
  <si>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</si>
  <si>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</si>
  <si>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</si>
  <si>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</si>
  <si>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</si>
  <si>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</si>
  <si>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</si>
  <si>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</si>
  <si>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</si>
  <si>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</si>
  <si>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</si>
  <si>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</si>
  <si>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</si>
  <si>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</si>
  <si>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</si>
  <si>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</si>
  <si>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</si>
  <si>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</si>
  <si>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</si>
  <si>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</si>
  <si>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</si>
  <si>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</si>
  <si>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</si>
  <si>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</si>
  <si>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</si>
  <si>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</si>
  <si>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</si>
  <si>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</si>
  <si>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</si>
  <si>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Servicio de gráficos por computadora</t>
  </si>
  <si>
    <t>Colchones neumáticos</t>
  </si>
  <si>
    <t>Equipos de medición de la fuerza del campo</t>
  </si>
  <si>
    <t>Cascos para motociclistas</t>
  </si>
  <si>
    <t>Metimazol</t>
  </si>
  <si>
    <t>Pigmentos orgánicos</t>
  </si>
  <si>
    <t>Equipo para llenado de ampolletas</t>
  </si>
  <si>
    <t>40141739</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</si>
  <si>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</si>
  <si>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</si>
  <si>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</si>
  <si>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</si>
  <si>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</si>
  <si>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</si>
  <si>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</si>
  <si>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</si>
  <si>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</si>
  <si>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</si>
  <si>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</si>
  <si>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</si>
  <si>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</si>
  <si>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</si>
  <si>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</si>
  <si>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</si>
  <si>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</si>
  <si>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</si>
  <si>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</si>
  <si>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</si>
  <si>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</si>
  <si>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</si>
  <si>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</si>
  <si>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</si>
  <si>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</si>
  <si>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</si>
  <si>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</si>
  <si>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</si>
  <si>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</si>
  <si>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</si>
  <si>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</si>
  <si>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</si>
  <si>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</si>
  <si>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</si>
  <si>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</si>
  <si>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</si>
  <si>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</si>
  <si>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</si>
  <si>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</si>
  <si>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</si>
  <si>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</si>
  <si>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</si>
  <si>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</si>
  <si>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</si>
  <si>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</si>
  <si>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</si>
  <si>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</si>
  <si>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</si>
  <si>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</si>
  <si>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</si>
  <si>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</si>
  <si>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</si>
  <si>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</si>
  <si>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</si>
  <si>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</si>
  <si>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</si>
  <si>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</si>
  <si>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</si>
  <si>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</si>
  <si>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</si>
  <si>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</si>
  <si>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</si>
  <si>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</si>
  <si>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</si>
  <si>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</si>
  <si>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</si>
  <si>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</si>
  <si>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</si>
  <si>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</si>
  <si>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</si>
  <si>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</si>
  <si>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</si>
  <si>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</si>
  <si>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</si>
  <si>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</si>
  <si>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</si>
  <si>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</si>
  <si>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</si>
  <si>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</si>
  <si>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</si>
  <si>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</si>
  <si>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</si>
  <si>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</si>
  <si>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Servicio de Mantenimiento de Extintores</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</si>
  <si>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</si>
  <si>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</si>
  <si>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</si>
  <si>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</si>
  <si>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</si>
  <si>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</si>
  <si>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</si>
  <si>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</si>
  <si>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</si>
  <si>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</si>
  <si>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Generador de sincronización</t>
  </si>
  <si>
    <t>Telurio te</t>
  </si>
  <si>
    <t>Objetos fundidos maquinados con troquel de latón</t>
  </si>
  <si>
    <t>Forros para calzado</t>
  </si>
  <si>
    <t>Enderezadores manuales de cables</t>
  </si>
  <si>
    <t>Tubería de bronce</t>
  </si>
  <si>
    <t>Cable triaxial</t>
  </si>
  <si>
    <t>26111720</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</si>
  <si>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</si>
  <si>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</si>
  <si>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</si>
  <si>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</si>
  <si>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</si>
  <si>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</si>
  <si>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31163301</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</si>
  <si>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</si>
  <si>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</si>
  <si>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</si>
  <si>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</si>
  <si>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</si>
  <si>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</si>
  <si>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</si>
  <si>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</si>
  <si>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</si>
  <si>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</si>
  <si>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</si>
  <si>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</si>
  <si>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</si>
  <si>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</si>
  <si>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</si>
  <si>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</si>
  <si>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</si>
  <si>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</si>
  <si>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</si>
  <si>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</si>
  <si>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</si>
  <si>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</si>
  <si>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</si>
  <si>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</si>
  <si>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</si>
  <si>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</si>
  <si>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</si>
  <si>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</si>
  <si>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</si>
  <si>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</si>
  <si>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52151607</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</si>
  <si>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</si>
  <si>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</si>
  <si>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</si>
  <si>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</si>
  <si>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</si>
  <si>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</si>
  <si>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</si>
  <si>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</si>
  <si>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</si>
  <si>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</si>
  <si>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</si>
  <si>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</si>
  <si>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</si>
  <si>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Adquisición de Compresor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</si>
  <si>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</si>
  <si>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</si>
  <si>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</si>
  <si>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</si>
  <si>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</si>
  <si>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</si>
  <si>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</si>
  <si>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</si>
  <si>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</si>
  <si>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</si>
  <si>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</si>
  <si>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</si>
  <si>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</si>
  <si>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</si>
  <si>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</si>
  <si>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</si>
  <si>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</si>
  <si>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</si>
  <si>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</si>
  <si>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</si>
  <si>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</si>
  <si>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</si>
  <si>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</si>
  <si>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</si>
  <si>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</si>
  <si>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</si>
  <si>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</si>
  <si>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</si>
  <si>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</si>
  <si>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</si>
  <si>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</si>
  <si>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</si>
  <si>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</si>
  <si>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</si>
  <si>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</si>
  <si>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</si>
  <si>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</si>
  <si>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</si>
  <si>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</si>
  <si>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</si>
  <si>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39121522</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</si>
  <si>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</si>
  <si>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</si>
  <si>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</si>
  <si>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</si>
  <si>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</si>
  <si>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</si>
  <si>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</si>
  <si>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</si>
  <si>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</si>
  <si>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10191509</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</si>
  <si>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</si>
  <si>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</si>
  <si>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</si>
  <si>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</si>
  <si>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</si>
  <si>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</si>
  <si>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</si>
  <si>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</si>
  <si>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</si>
  <si>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</si>
  <si>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</si>
  <si>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</si>
  <si>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</si>
  <si>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</si>
  <si>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</si>
  <si>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</si>
  <si>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</si>
  <si>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</si>
  <si>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</si>
  <si>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</si>
  <si>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</si>
  <si>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</si>
  <si>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</si>
  <si>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</si>
  <si>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</si>
  <si>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</si>
  <si>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</si>
  <si>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</si>
  <si>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</si>
  <si>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</si>
  <si>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</si>
  <si>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</si>
  <si>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</si>
  <si>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</si>
  <si>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</si>
  <si>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</si>
  <si>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</si>
  <si>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</si>
  <si>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</si>
  <si>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</si>
  <si>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</si>
  <si>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</si>
  <si>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</si>
  <si>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</si>
  <si>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</si>
  <si>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</si>
  <si>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</si>
  <si>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</si>
  <si>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</si>
  <si>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</si>
  <si>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</si>
  <si>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</si>
  <si>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</si>
  <si>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</si>
  <si>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</si>
  <si>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</si>
  <si>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</si>
  <si>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</si>
  <si>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</si>
  <si>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</si>
  <si>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</si>
  <si>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</si>
  <si>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</si>
  <si>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</si>
  <si>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</si>
  <si>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</si>
  <si>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</si>
  <si>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</si>
  <si>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</si>
  <si>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</si>
  <si>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</si>
  <si>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</si>
  <si>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</si>
  <si>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</si>
  <si>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</si>
  <si>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</si>
  <si>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Servicios fotográficos</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</si>
  <si>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</si>
  <si>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</si>
  <si>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</si>
  <si>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</si>
  <si>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</si>
  <si>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</si>
  <si>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</si>
  <si>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</si>
  <si>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</si>
  <si>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</si>
  <si>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</si>
  <si>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</si>
  <si>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</si>
  <si>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</si>
  <si>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</si>
  <si>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</si>
  <si>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</si>
  <si>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</si>
  <si>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</si>
  <si>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</si>
  <si>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</si>
  <si>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</si>
  <si>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</si>
  <si>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</si>
  <si>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</si>
  <si>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</si>
  <si>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</si>
  <si>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</si>
  <si>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</si>
  <si>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</si>
  <si>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</si>
  <si>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90101601</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</si>
  <si>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</si>
  <si>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</si>
  <si>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</si>
  <si>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</si>
  <si>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</si>
  <si>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</si>
  <si>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</si>
  <si>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</si>
  <si>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</si>
  <si>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</si>
  <si>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</si>
  <si>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</si>
  <si>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</si>
  <si>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</si>
  <si>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</si>
  <si>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</si>
  <si>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</si>
  <si>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</si>
  <si>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</si>
  <si>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</si>
  <si>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</si>
  <si>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</si>
  <si>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</si>
  <si>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</si>
  <si>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</si>
  <si>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</si>
  <si>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</si>
  <si>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</si>
  <si>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</si>
  <si>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</si>
  <si>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</si>
  <si>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</si>
  <si>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</si>
  <si>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</si>
  <si>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</si>
  <si>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</si>
  <si>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</si>
  <si>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</si>
  <si>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31162304</t>
  </si>
  <si>
    <t>Sulfonamidas</t>
  </si>
  <si>
    <t>Alquiler de local</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</si>
  <si>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</si>
  <si>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</si>
  <si>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</si>
  <si>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</si>
  <si>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</si>
  <si>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</si>
  <si>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</si>
  <si>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</si>
  <si>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</si>
  <si>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</si>
  <si>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</si>
  <si>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</si>
  <si>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</si>
  <si>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</si>
  <si>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</si>
  <si>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</si>
  <si>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</si>
  <si>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</si>
  <si>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</si>
  <si>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</si>
  <si>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</si>
  <si>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</si>
  <si>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</si>
  <si>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</si>
  <si>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</si>
  <si>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</si>
  <si>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</si>
  <si>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</si>
  <si>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</si>
  <si>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</si>
  <si>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</si>
  <si>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</si>
  <si>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</si>
  <si>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</si>
  <si>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</si>
  <si>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</si>
  <si>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</si>
  <si>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</si>
  <si>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</si>
  <si>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</si>
  <si>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</si>
  <si>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</si>
  <si>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</si>
  <si>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</si>
  <si>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</si>
  <si>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</si>
  <si>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</si>
  <si>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</si>
  <si>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</si>
  <si>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</si>
  <si>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</si>
  <si>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</si>
  <si>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</si>
  <si>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</si>
  <si>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</si>
  <si>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</si>
  <si>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</si>
  <si>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</si>
  <si>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</si>
  <si>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</si>
  <si>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</si>
  <si>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</si>
  <si>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</si>
  <si>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</si>
  <si>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</si>
  <si>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</si>
  <si>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</si>
  <si>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</si>
  <si>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</si>
  <si>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</si>
  <si>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</si>
  <si>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</si>
  <si>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</si>
  <si>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</si>
  <si>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</si>
  <si>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</si>
  <si>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</si>
  <si>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</si>
  <si>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</si>
  <si>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</si>
  <si>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</si>
  <si>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</si>
  <si>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</si>
  <si>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</si>
  <si>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</si>
  <si>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</si>
  <si>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</si>
  <si>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</si>
  <si>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</si>
  <si>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</si>
  <si>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</si>
  <si>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</si>
  <si>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</si>
  <si>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</si>
  <si>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</si>
  <si>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</si>
  <si>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</si>
  <si>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</si>
  <si>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</si>
  <si>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</si>
  <si>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</si>
  <si>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</si>
  <si>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</si>
  <si>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</si>
  <si>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</si>
  <si>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</si>
  <si>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</si>
  <si>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</si>
  <si>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</si>
  <si>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</si>
  <si>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</si>
  <si>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</si>
  <si>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</si>
  <si>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</si>
  <si>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</si>
  <si>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</si>
  <si>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</si>
  <si>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</si>
  <si>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</si>
  <si>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</si>
  <si>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</si>
  <si>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</si>
  <si>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</si>
  <si>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</si>
  <si>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</si>
  <si>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</si>
  <si>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</si>
  <si>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</si>
  <si>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</si>
  <si>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</si>
  <si>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</si>
  <si>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</si>
  <si>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</si>
  <si>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</si>
  <si>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</si>
  <si>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</si>
  <si>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</si>
  <si>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</si>
  <si>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</si>
  <si>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</si>
  <si>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</si>
  <si>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</si>
  <si>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</si>
  <si>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</si>
  <si>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</si>
  <si>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</si>
  <si>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</si>
  <si>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</si>
  <si>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</si>
  <si>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</si>
  <si>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</si>
  <si>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</si>
  <si>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</si>
  <si>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</si>
  <si>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</si>
  <si>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</si>
  <si>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</si>
  <si>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</si>
  <si>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49161607</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</si>
  <si>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</si>
  <si>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</si>
  <si>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</si>
  <si>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</si>
  <si>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</si>
  <si>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</si>
  <si>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</si>
  <si>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</si>
  <si>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</si>
  <si>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</si>
  <si>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</si>
  <si>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</si>
  <si>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</si>
  <si>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</si>
  <si>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</si>
  <si>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</si>
  <si>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</si>
  <si>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</si>
  <si>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Semilla o Plántula de Tabaco</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</si>
  <si>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</si>
  <si>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</si>
  <si>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</si>
  <si>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</si>
  <si>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</si>
  <si>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</si>
  <si>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</si>
  <si>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</si>
  <si>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</si>
  <si>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</si>
  <si>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</si>
  <si>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</si>
  <si>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</si>
  <si>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</si>
  <si>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</si>
  <si>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</si>
  <si>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</si>
  <si>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</si>
  <si>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</si>
  <si>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</si>
  <si>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</si>
  <si>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</si>
  <si>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</si>
  <si>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</si>
  <si>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</si>
  <si>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</si>
  <si>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</si>
  <si>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31201610</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</si>
  <si>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</si>
  <si>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</si>
  <si>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</si>
  <si>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</si>
  <si>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</si>
  <si>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</si>
  <si>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</si>
  <si>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</si>
  <si>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</si>
  <si>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</si>
  <si>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</si>
  <si>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31201603</t>
  </si>
  <si>
    <t>Leznas de impresión</t>
  </si>
  <si>
    <t>Planchas para uso doméstico</t>
  </si>
  <si>
    <t>Jeringas de tuberculina</t>
  </si>
  <si>
    <t>Tazas o botellas para administrar medicamentos o accesorios</t>
  </si>
  <si>
    <t>Poleas o accesorios para rehabilitación o terapia</t>
  </si>
  <si>
    <t>Terminales de pago para puntos de venta</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</si>
  <si>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</si>
  <si>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</si>
  <si>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</si>
  <si>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</si>
  <si>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</si>
  <si>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</si>
  <si>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</si>
  <si>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</si>
  <si>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</si>
  <si>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</si>
  <si>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</si>
  <si>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</si>
  <si>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</si>
  <si>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</si>
  <si>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</si>
  <si>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</si>
  <si>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</si>
  <si>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</si>
  <si>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</si>
  <si>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</si>
  <si>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</si>
  <si>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</si>
  <si>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</si>
  <si>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</si>
  <si>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</si>
  <si>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</si>
  <si>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</si>
  <si>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</si>
  <si>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</si>
  <si>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</si>
  <si>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</si>
  <si>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</si>
  <si>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</si>
  <si>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</si>
  <si>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</si>
  <si>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</si>
  <si>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</si>
  <si>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</si>
  <si>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</si>
  <si>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</si>
  <si>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</si>
  <si>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</si>
  <si>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</si>
  <si>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</si>
  <si>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</si>
  <si>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</si>
  <si>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</si>
  <si>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</si>
  <si>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</si>
  <si>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</si>
  <si>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</si>
  <si>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</si>
  <si>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</si>
  <si>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</si>
  <si>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</si>
  <si>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</si>
  <si>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</si>
  <si>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</si>
  <si>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</si>
  <si>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</si>
  <si>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</si>
  <si>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</si>
  <si>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</si>
  <si>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</si>
  <si>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</si>
  <si>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</si>
  <si>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</si>
  <si>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56101536</t>
  </si>
  <si>
    <t>Servicio de construcción de riel ligero</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</si>
  <si>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</si>
  <si>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</si>
  <si>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</si>
  <si>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</si>
  <si>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</si>
  <si>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</si>
  <si>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</si>
  <si>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</si>
  <si>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</si>
  <si>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</si>
  <si>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</si>
  <si>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</si>
  <si>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</si>
  <si>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</si>
  <si>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</si>
  <si>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</si>
  <si>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</si>
  <si>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</si>
  <si>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</si>
  <si>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</si>
  <si>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</si>
  <si>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</si>
  <si>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</si>
  <si>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</si>
  <si>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</si>
  <si>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</si>
  <si>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</si>
  <si>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</si>
  <si>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</si>
  <si>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</si>
  <si>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</si>
  <si>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</si>
  <si>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</si>
  <si>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42132201</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</si>
  <si>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</si>
  <si>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</si>
  <si>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</si>
  <si>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</si>
  <si>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</si>
  <si>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</si>
  <si>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</si>
  <si>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</si>
  <si>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</si>
  <si>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</si>
  <si>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</si>
  <si>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53101602</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</si>
  <si>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</si>
  <si>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</si>
  <si>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</si>
  <si>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</si>
  <si>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</si>
  <si>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</si>
  <si>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</si>
  <si>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</si>
  <si>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</si>
  <si>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</si>
  <si>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</si>
  <si>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40141716</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</si>
  <si>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</si>
  <si>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</si>
  <si>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</si>
  <si>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</si>
  <si>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</si>
  <si>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</si>
  <si>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</si>
  <si>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</si>
  <si>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</si>
  <si>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</si>
  <si>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</si>
  <si>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</si>
  <si>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</si>
  <si>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</si>
  <si>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</si>
  <si>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</si>
  <si>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</si>
  <si>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</si>
  <si>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</si>
  <si>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</si>
  <si>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</si>
  <si>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41113601</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</si>
  <si>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</si>
  <si>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</si>
  <si>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</si>
  <si>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</si>
  <si>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</si>
  <si>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</si>
  <si>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</si>
  <si>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</si>
  <si>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Instalaciones hoteleras, alojamientos y centros de encuentros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</si>
  <si>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</si>
  <si>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</si>
  <si>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</si>
  <si>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</si>
  <si>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</si>
  <si>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</si>
  <si>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</si>
  <si>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</si>
  <si>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</si>
  <si>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</si>
  <si>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</si>
  <si>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</si>
  <si>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</si>
  <si>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</si>
  <si>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</si>
  <si>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</si>
  <si>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27112826</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</si>
  <si>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</si>
  <si>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</si>
  <si>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</si>
  <si>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</si>
  <si>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</si>
  <si>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</si>
  <si>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</si>
  <si>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</si>
  <si>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</si>
  <si>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</si>
  <si>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26121701</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</si>
  <si>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</si>
  <si>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</si>
  <si>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</si>
  <si>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</si>
  <si>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</si>
  <si>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</si>
  <si>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</si>
  <si>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Libros de códigos</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</si>
  <si>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</si>
  <si>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</si>
  <si>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</si>
  <si>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</si>
  <si>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</si>
  <si>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</si>
  <si>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</si>
  <si>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</si>
  <si>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</si>
  <si>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</si>
  <si>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</si>
  <si>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</si>
  <si>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</si>
  <si>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</si>
  <si>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</si>
  <si>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</si>
  <si>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</si>
  <si>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</si>
  <si>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</si>
  <si>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</si>
  <si>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</si>
  <si>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</si>
  <si>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</si>
  <si>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</si>
  <si>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</si>
  <si>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</si>
  <si>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44122005</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</si>
  <si>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</si>
  <si>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</si>
  <si>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</si>
  <si>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</si>
  <si>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</si>
  <si>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</si>
  <si>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</si>
  <si>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</si>
  <si>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</si>
  <si>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</si>
  <si>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</si>
  <si>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47131831</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</si>
  <si>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</si>
  <si>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</si>
  <si>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</si>
  <si>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</si>
  <si>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</si>
  <si>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</si>
  <si>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</si>
  <si>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</si>
  <si>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</si>
  <si>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</si>
  <si>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</si>
  <si>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</si>
  <si>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</si>
  <si>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</si>
  <si>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</si>
  <si>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</si>
  <si>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</si>
  <si>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</si>
  <si>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</si>
  <si>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</si>
  <si>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</si>
  <si>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</si>
  <si>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</si>
  <si>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</si>
  <si>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</si>
  <si>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</si>
  <si>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</si>
  <si>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</si>
  <si>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</si>
  <si>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</si>
  <si>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</si>
  <si>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</si>
  <si>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</si>
  <si>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</si>
  <si>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</si>
  <si>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</si>
  <si>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</si>
  <si>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</si>
  <si>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</si>
  <si>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Sincronizador de marco</t>
  </si>
  <si>
    <t>Máquinas de forja de extremos</t>
  </si>
  <si>
    <t>Aplicador de terminado para pisos</t>
  </si>
  <si>
    <t>Muelles espirales</t>
  </si>
  <si>
    <t>Kit de mantenimiento de vehículo de soporte en tierra</t>
  </si>
  <si>
    <t>Kit de ventriculostomía</t>
  </si>
  <si>
    <t>Objetos maquinados no metálicos fundidos en arena</t>
  </si>
  <si>
    <t>Componentes de cobre maquinados por extrusión en caliente</t>
  </si>
  <si>
    <t>Desarrolladores temporales de software de tecnologías de la información</t>
  </si>
  <si>
    <t>Servicios de ingeniería del depósito</t>
  </si>
  <si>
    <t>40141731</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</si>
  <si>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</si>
  <si>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</si>
  <si>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</si>
  <si>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</si>
  <si>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</si>
  <si>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</si>
  <si>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</si>
  <si>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</si>
  <si>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</si>
  <si>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</si>
  <si>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</si>
  <si>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</si>
  <si>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</si>
  <si>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</si>
  <si>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</si>
  <si>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</si>
  <si>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</si>
  <si>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</si>
  <si>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</si>
  <si>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</si>
  <si>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</si>
  <si>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</si>
  <si>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</si>
  <si>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</si>
  <si>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</si>
  <si>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</si>
  <si>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</si>
  <si>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</si>
  <si>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</si>
  <si>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</si>
  <si>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</si>
  <si>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</si>
  <si>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</si>
  <si>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</si>
  <si>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</si>
  <si>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</si>
  <si>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</si>
  <si>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</si>
  <si>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</si>
  <si>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</si>
  <si>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</si>
  <si>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</si>
  <si>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</si>
  <si>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</si>
  <si>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</si>
  <si>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</si>
  <si>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</si>
  <si>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</si>
  <si>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</si>
  <si>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</si>
  <si>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</si>
  <si>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</si>
  <si>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</si>
  <si>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</si>
  <si>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</si>
  <si>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</si>
  <si>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</si>
  <si>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</si>
  <si>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</si>
  <si>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Comercialización y distribución</t>
  </si>
  <si>
    <t>Iones cromatográficos</t>
  </si>
  <si>
    <t>Moldes de supositorios</t>
  </si>
  <si>
    <t>46182001</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</si>
  <si>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</si>
  <si>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</si>
  <si>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</si>
  <si>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</si>
  <si>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</si>
  <si>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</si>
  <si>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</si>
  <si>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27111605</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</si>
  <si>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</si>
  <si>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</si>
  <si>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</si>
  <si>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</si>
  <si>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</si>
  <si>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</si>
  <si>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</si>
  <si>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</si>
  <si>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</si>
  <si>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</si>
  <si>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</si>
  <si>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</si>
  <si>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</si>
  <si>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40101701</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</si>
  <si>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</si>
  <si>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</si>
  <si>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</si>
  <si>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</si>
  <si>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</si>
  <si>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</si>
  <si>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</si>
  <si>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</si>
  <si>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</si>
  <si>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</si>
  <si>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</si>
  <si>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</si>
  <si>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23101512</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</si>
  <si>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</si>
  <si>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</si>
  <si>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</si>
  <si>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</si>
  <si>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</si>
  <si>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</si>
  <si>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</si>
  <si>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</si>
  <si>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</si>
  <si>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</si>
  <si>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</si>
  <si>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</si>
  <si>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</si>
  <si>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</si>
  <si>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</si>
  <si>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</si>
  <si>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</si>
  <si>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</si>
  <si>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</si>
  <si>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</si>
  <si>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</si>
  <si>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</si>
  <si>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</si>
  <si>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</si>
  <si>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</si>
  <si>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</si>
  <si>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</si>
  <si>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</si>
  <si>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</si>
  <si>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</si>
  <si>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</si>
  <si>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</si>
  <si>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Servicio de dragado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</si>
  <si>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</si>
  <si>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</si>
  <si>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</si>
  <si>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</si>
  <si>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</si>
  <si>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</si>
  <si>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</si>
  <si>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</si>
  <si>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</si>
  <si>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</si>
  <si>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</si>
  <si>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</si>
  <si>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</si>
  <si>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Lámpara de xenón</t>
  </si>
  <si>
    <t>Componentes de acero al carbono perforados</t>
  </si>
  <si>
    <t>Curva de tubería</t>
  </si>
  <si>
    <t>90141603</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</si>
  <si>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</si>
  <si>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</si>
  <si>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</si>
  <si>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</si>
  <si>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</si>
  <si>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</si>
  <si>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</si>
  <si>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</si>
  <si>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</si>
  <si>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</si>
  <si>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</si>
  <si>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</si>
  <si>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</si>
  <si>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</si>
  <si>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</si>
  <si>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</si>
  <si>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</si>
  <si>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</si>
  <si>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42312003</t>
  </si>
  <si>
    <t>Servicios de cementar geo térmico de pozo</t>
  </si>
  <si>
    <t>Desprendedor de etiqueta de seguridad</t>
  </si>
  <si>
    <t>42291604</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</si>
  <si>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</si>
  <si>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</si>
  <si>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</si>
  <si>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</si>
  <si>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</si>
  <si>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</si>
  <si>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</si>
  <si>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</si>
  <si>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</si>
  <si>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</si>
  <si>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</si>
  <si>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</si>
  <si>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</si>
  <si>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</si>
  <si>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</si>
  <si>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</si>
  <si>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</si>
  <si>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</si>
  <si>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</si>
  <si>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</si>
  <si>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</si>
  <si>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</si>
  <si>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</si>
  <si>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</si>
  <si>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</si>
  <si>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</si>
  <si>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</si>
  <si>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</si>
  <si>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</si>
  <si>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</si>
  <si>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</si>
  <si>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</si>
  <si>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</si>
  <si>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</si>
  <si>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</si>
  <si>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</si>
  <si>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</si>
  <si>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</si>
  <si>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</si>
  <si>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</si>
  <si>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</si>
  <si>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</si>
  <si>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</si>
  <si>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</si>
  <si>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</si>
  <si>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</si>
  <si>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</si>
  <si>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</si>
  <si>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</si>
  <si>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</si>
  <si>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</si>
  <si>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</si>
  <si>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</si>
  <si>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</si>
  <si>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</si>
  <si>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</si>
  <si>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</si>
  <si>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</si>
  <si>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</si>
  <si>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</si>
  <si>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</si>
  <si>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Adquisición de equipos de laboratorio</t>
  </si>
  <si>
    <t>Inyección de alcohol deshidratado</t>
  </si>
  <si>
    <t>Reservorios o sus accesorios de autotransfusión</t>
  </si>
  <si>
    <t>27111726</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</si>
  <si>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</si>
  <si>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</si>
  <si>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</si>
  <si>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</si>
  <si>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</si>
  <si>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</si>
  <si>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</si>
  <si>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</si>
  <si>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</si>
  <si>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</si>
  <si>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</si>
  <si>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</si>
  <si>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</si>
  <si>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</si>
  <si>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</si>
  <si>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</si>
  <si>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</si>
  <si>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</si>
  <si>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</si>
  <si>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</si>
  <si>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</si>
  <si>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</si>
  <si>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</si>
  <si>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</si>
  <si>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</si>
  <si>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</si>
  <si>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</si>
  <si>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</si>
  <si>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</si>
  <si>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</si>
  <si>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</si>
  <si>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</si>
  <si>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</si>
  <si>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</si>
  <si>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</si>
  <si>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</si>
  <si>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</si>
  <si>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</si>
  <si>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</si>
  <si>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44111808</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</si>
  <si>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</si>
  <si>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</si>
  <si>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</si>
  <si>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</si>
  <si>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</si>
  <si>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</si>
  <si>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</si>
  <si>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</si>
  <si>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</si>
  <si>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</si>
  <si>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</si>
  <si>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</si>
  <si>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</si>
  <si>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</si>
  <si>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</si>
  <si>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</si>
  <si>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</si>
  <si>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</si>
  <si>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</si>
  <si>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</si>
  <si>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</si>
  <si>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</si>
  <si>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</si>
  <si>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</si>
  <si>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</si>
  <si>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</si>
  <si>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</si>
  <si>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</si>
  <si>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</si>
  <si>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</si>
  <si>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Generador de logos</t>
  </si>
  <si>
    <t>Control de cambio de divisas</t>
  </si>
  <si>
    <t>Válvulas de autotransfusión</t>
  </si>
  <si>
    <t>Exposiciones de arte</t>
  </si>
  <si>
    <t>Diagramas del espectro</t>
  </si>
  <si>
    <t>Libro de actividades de pentominós</t>
  </si>
  <si>
    <t>Servicios de cuidados personal en instituciones especializadas</t>
  </si>
  <si>
    <t>49161509</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</si>
  <si>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</si>
  <si>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</si>
  <si>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</si>
  <si>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</si>
  <si>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</si>
  <si>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</si>
  <si>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</si>
  <si>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</si>
  <si>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</si>
  <si>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</si>
  <si>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</si>
  <si>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</si>
  <si>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</si>
  <si>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</si>
  <si>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Contratacion de servicio de alquiler de salon para actividades del MEM</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</si>
  <si>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</si>
  <si>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</si>
  <si>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</si>
  <si>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</si>
  <si>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</si>
  <si>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</si>
  <si>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</si>
  <si>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</si>
  <si>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</si>
  <si>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</si>
  <si>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</si>
  <si>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</si>
  <si>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</si>
  <si>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</si>
  <si>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</si>
  <si>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</si>
  <si>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</si>
  <si>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</si>
  <si>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</si>
  <si>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</si>
  <si>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</si>
  <si>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</si>
  <si>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</si>
  <si>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</si>
  <si>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46182201</t>
  </si>
  <si>
    <t>Sensores de inductancia eléctrica</t>
  </si>
  <si>
    <t>Destructores</t>
  </si>
  <si>
    <t>27112201</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</si>
  <si>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</si>
  <si>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</si>
  <si>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</si>
  <si>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</si>
  <si>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</si>
  <si>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</si>
  <si>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</si>
  <si>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Sistemas de correo de voz</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</si>
  <si>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</si>
  <si>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</si>
  <si>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</si>
  <si>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</si>
  <si>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</si>
  <si>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</si>
  <si>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</si>
  <si>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</si>
  <si>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</si>
  <si>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</si>
  <si>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</si>
  <si>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</si>
  <si>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</si>
  <si>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</si>
  <si>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</si>
  <si>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</si>
  <si>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</si>
  <si>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</si>
  <si>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</si>
  <si>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</si>
  <si>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</si>
  <si>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</si>
  <si>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</si>
  <si>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</si>
  <si>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</si>
  <si>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</si>
  <si>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</si>
  <si>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</si>
  <si>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</si>
  <si>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</si>
  <si>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</si>
  <si>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</si>
  <si>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</si>
  <si>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</si>
  <si>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</si>
  <si>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</si>
  <si>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</si>
  <si>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</si>
  <si>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</si>
  <si>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</si>
  <si>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</si>
  <si>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</si>
  <si>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</si>
  <si>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</si>
  <si>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</si>
  <si>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</si>
  <si>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42143608</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</si>
  <si>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</si>
  <si>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</si>
  <si>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</si>
  <si>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</si>
  <si>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</si>
  <si>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</si>
  <si>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</si>
  <si>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</si>
  <si>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</si>
  <si>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</si>
  <si>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</si>
  <si>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</si>
  <si>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</si>
  <si>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</si>
  <si>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</si>
  <si>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</si>
  <si>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</si>
  <si>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</si>
  <si>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</si>
  <si>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</si>
  <si>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</si>
  <si>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</si>
  <si>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</si>
  <si>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</si>
  <si>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</si>
  <si>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</si>
  <si>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</si>
  <si>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</si>
  <si>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</si>
  <si>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</si>
  <si>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</si>
  <si>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</si>
  <si>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</si>
  <si>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</si>
  <si>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</si>
  <si>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</si>
  <si>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</si>
  <si>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</si>
  <si>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</si>
  <si>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</si>
  <si>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</si>
  <si>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</si>
  <si>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</si>
  <si>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</si>
  <si>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</si>
  <si>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</si>
  <si>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</si>
  <si>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</si>
  <si>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</si>
  <si>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</si>
  <si>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</si>
  <si>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</si>
  <si>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</si>
  <si>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</si>
  <si>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</si>
  <si>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</si>
  <si>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</si>
  <si>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</si>
  <si>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</si>
  <si>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</si>
  <si>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</si>
  <si>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</si>
  <si>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</si>
  <si>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</si>
  <si>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</si>
  <si>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</si>
  <si>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</si>
  <si>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</si>
  <si>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</si>
  <si>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</si>
  <si>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</si>
  <si>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</si>
  <si>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</si>
  <si>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</si>
  <si>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</si>
  <si>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</si>
  <si>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</si>
  <si>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</si>
  <si>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</si>
  <si>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</si>
  <si>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</si>
  <si>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</si>
  <si>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</si>
  <si>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</si>
  <si>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</si>
  <si>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</si>
  <si>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</si>
  <si>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</si>
  <si>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</si>
  <si>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</si>
  <si>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</si>
  <si>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</si>
  <si>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</si>
  <si>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</si>
  <si>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</si>
  <si>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</si>
  <si>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</si>
  <si>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</si>
  <si>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</si>
  <si>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</si>
  <si>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</si>
  <si>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</si>
  <si>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fabricación y reparación de muebles</t>
  </si>
  <si>
    <t>Servicios de limpieza de telas y muebles</t>
  </si>
  <si>
    <t>Plantilla de boquilla</t>
  </si>
  <si>
    <t>Ensambles de láminas pegadas de latón</t>
  </si>
  <si>
    <t>Puertas de avión</t>
  </si>
  <si>
    <t>Adhesivos de seguimiento basados en la biblia</t>
  </si>
  <si>
    <t>Epidiascopios</t>
  </si>
  <si>
    <t>Campanas</t>
  </si>
  <si>
    <t>Dominós</t>
  </si>
  <si>
    <t>Objetos de bronce fundidos en molde fijo.</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</si>
  <si>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</si>
  <si>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</si>
  <si>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</si>
  <si>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</si>
  <si>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</si>
  <si>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</si>
  <si>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</si>
  <si>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</si>
  <si>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</si>
  <si>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</si>
  <si>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</si>
  <si>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</si>
  <si>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</si>
  <si>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</si>
  <si>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</si>
  <si>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</si>
  <si>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</si>
  <si>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</si>
  <si>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</si>
  <si>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</si>
  <si>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</si>
  <si>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</si>
  <si>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</si>
  <si>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</si>
  <si>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</si>
  <si>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</si>
  <si>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</si>
  <si>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</si>
  <si>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</si>
  <si>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</si>
  <si>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</si>
  <si>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</si>
  <si>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</si>
  <si>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</si>
  <si>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</si>
  <si>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</si>
  <si>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</si>
  <si>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</si>
  <si>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</si>
  <si>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</si>
  <si>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</si>
  <si>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</si>
  <si>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</si>
  <si>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</si>
  <si>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</si>
  <si>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</si>
  <si>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</si>
  <si>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</si>
  <si>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</si>
  <si>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</si>
  <si>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</si>
  <si>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</si>
  <si>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</si>
  <si>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</si>
  <si>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</si>
  <si>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</si>
  <si>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</si>
  <si>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</si>
  <si>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</si>
  <si>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</si>
  <si>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</si>
  <si>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</si>
  <si>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</si>
  <si>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</si>
  <si>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</si>
  <si>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</si>
  <si>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</si>
  <si>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</si>
  <si>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</si>
  <si>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</si>
  <si>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</si>
  <si>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</si>
  <si>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</si>
  <si>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39121406</t>
  </si>
  <si>
    <t>Congeladores para bancos de sangre</t>
  </si>
  <si>
    <t>Pulidoras eléctricas</t>
  </si>
  <si>
    <t>Termómetros de superficie</t>
  </si>
  <si>
    <t>Servicio de corte para derecho de vía</t>
  </si>
  <si>
    <t>44121628</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</si>
  <si>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</si>
  <si>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</si>
  <si>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</si>
  <si>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</si>
  <si>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</si>
  <si>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</si>
  <si>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</si>
  <si>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</si>
  <si>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</si>
  <si>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</si>
  <si>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44121618</t>
  </si>
  <si>
    <t>Sábanas refractarias</t>
  </si>
  <si>
    <t>Juntas de revisión de estándares profesionales</t>
  </si>
  <si>
    <t>COMPRA MENOR</t>
  </si>
  <si>
    <t>Incubadoras para uso general de convección de gravedad</t>
  </si>
  <si>
    <t>Bases de tubo</t>
  </si>
  <si>
    <t>Adquisicion de licencia ISO TooL</t>
  </si>
  <si>
    <t>31181510</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</si>
  <si>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</si>
  <si>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</si>
  <si>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</si>
  <si>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</si>
  <si>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</si>
  <si>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</si>
  <si>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</si>
  <si>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</si>
  <si>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</si>
  <si>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</si>
  <si>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</si>
  <si>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</si>
  <si>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</si>
  <si>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</si>
  <si>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</si>
  <si>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</si>
  <si>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</si>
  <si>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</si>
  <si>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</si>
  <si>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</si>
  <si>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</si>
  <si>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</si>
  <si>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</si>
  <si>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</si>
  <si>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</si>
  <si>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</si>
  <si>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</si>
  <si>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</si>
  <si>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</si>
  <si>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</si>
  <si>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</si>
  <si>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</si>
  <si>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</si>
  <si>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</si>
  <si>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</si>
  <si>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</si>
  <si>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</si>
  <si>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</si>
  <si>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</si>
  <si>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</si>
  <si>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</si>
  <si>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</si>
  <si>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</si>
  <si>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</si>
  <si>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</si>
  <si>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</si>
  <si>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Servicio de construcción de embarcaderos</t>
  </si>
  <si>
    <t>Contadores de células diferenciales hematológicas manuales o electrónicos</t>
  </si>
  <si>
    <t>Cañas de felpilla de algodón</t>
  </si>
  <si>
    <t>Protectores de micrófono para teléfonos de pago</t>
  </si>
  <si>
    <t>Probadores de presión sanguínea para uso veterinario</t>
  </si>
  <si>
    <t>44121715</t>
  </si>
  <si>
    <t>Objetos fundidos maquinados por proceso v de acero</t>
  </si>
  <si>
    <t>Procesadores de tejidos</t>
  </si>
  <si>
    <t>Aceites sintéticos</t>
  </si>
  <si>
    <t>Ensambles de tubos soldados con disolvente de acero inoxidable</t>
  </si>
  <si>
    <t>Hexaminas</t>
  </si>
  <si>
    <t>Servicios de impresión industrial  a pantalla</t>
  </si>
  <si>
    <t>30201706</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</si>
  <si>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</si>
  <si>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</si>
  <si>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</si>
  <si>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</si>
  <si>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</si>
  <si>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</si>
  <si>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</si>
  <si>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</si>
  <si>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</si>
  <si>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</si>
  <si>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</si>
  <si>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</si>
  <si>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</si>
  <si>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</si>
  <si>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</si>
  <si>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</si>
  <si>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</si>
  <si>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</si>
  <si>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</si>
  <si>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</si>
  <si>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</si>
  <si>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Seguridad y protección personal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</si>
  <si>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</si>
  <si>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</si>
  <si>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</si>
  <si>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</si>
  <si>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</si>
  <si>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</si>
  <si>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</si>
  <si>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</si>
  <si>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</si>
  <si>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</si>
  <si>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52161535</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</si>
  <si>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</si>
  <si>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</si>
  <si>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</si>
  <si>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</si>
  <si>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</si>
  <si>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</si>
  <si>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</si>
  <si>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</si>
  <si>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</si>
  <si>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</si>
  <si>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25101801</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</si>
  <si>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</si>
  <si>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</si>
  <si>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</si>
  <si>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</si>
  <si>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</si>
  <si>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</si>
  <si>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</si>
  <si>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</si>
  <si>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</si>
  <si>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</si>
  <si>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</si>
  <si>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</si>
  <si>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</si>
  <si>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</si>
  <si>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</si>
  <si>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32101522</t>
  </si>
  <si>
    <t>Servicios de prevención o control de enfermedades de transmisión sexual</t>
  </si>
  <si>
    <t>Estructuras prefabicadas</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</si>
  <si>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</si>
  <si>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</si>
  <si>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</si>
  <si>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</si>
  <si>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</si>
  <si>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</si>
  <si>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</si>
  <si>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</si>
  <si>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</si>
  <si>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</si>
  <si>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</si>
  <si>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</si>
  <si>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</si>
  <si>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</si>
  <si>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</si>
  <si>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</si>
  <si>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</si>
  <si>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</si>
  <si>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</si>
  <si>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</si>
  <si>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</si>
  <si>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</si>
  <si>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</si>
  <si>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</si>
  <si>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</si>
  <si>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</si>
  <si>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</si>
  <si>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</si>
  <si>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</si>
  <si>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</si>
  <si>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</si>
  <si>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</si>
  <si>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</si>
  <si>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</si>
  <si>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</si>
  <si>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</si>
  <si>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</si>
  <si>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</si>
  <si>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</si>
  <si>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</si>
  <si>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43212110</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</si>
  <si>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</si>
  <si>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</si>
  <si>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</si>
  <si>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</si>
  <si>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</si>
  <si>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</si>
  <si>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</si>
  <si>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</si>
  <si>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</si>
  <si>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</si>
  <si>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</si>
  <si>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47131701</t>
  </si>
  <si>
    <t>Pedestales</t>
  </si>
  <si>
    <t>Iluminación solar interior</t>
  </si>
  <si>
    <t>Baitoa</t>
  </si>
  <si>
    <t>Retenedoras para muelles</t>
  </si>
  <si>
    <t>Fulvestrant</t>
  </si>
  <si>
    <t>80131502</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</si>
  <si>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</si>
  <si>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</si>
  <si>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</si>
  <si>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</si>
  <si>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</si>
  <si>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</si>
  <si>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</si>
  <si>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</si>
  <si>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</si>
  <si>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</si>
  <si>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</si>
  <si>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</si>
  <si>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</si>
  <si>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Detector de fugas a tierra y alarma contra incendios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</si>
  <si>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</si>
  <si>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</si>
  <si>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</si>
  <si>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</si>
  <si>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</si>
  <si>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</si>
  <si>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</si>
  <si>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</si>
  <si>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</si>
  <si>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</si>
  <si>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</si>
  <si>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</si>
  <si>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</si>
  <si>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</si>
  <si>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</si>
  <si>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</si>
  <si>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</si>
  <si>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</si>
  <si>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</si>
  <si>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</si>
  <si>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</si>
  <si>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</si>
  <si>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</si>
  <si>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</si>
  <si>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</si>
  <si>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</si>
  <si>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</si>
  <si>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</si>
  <si>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</si>
  <si>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</si>
  <si>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</si>
  <si>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</si>
  <si>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</si>
  <si>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</si>
  <si>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</si>
  <si>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Equipo de extracción para laboratorios</t>
  </si>
  <si>
    <t>Rodio rh</t>
  </si>
  <si>
    <t>Cristales piezoeléctricos</t>
  </si>
  <si>
    <t>Marrones calientes</t>
  </si>
  <si>
    <t>Licitacion Restringida</t>
  </si>
  <si>
    <t>Aislamiento de tabla rígida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</si>
  <si>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</si>
  <si>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</si>
  <si>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</si>
  <si>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</si>
  <si>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</si>
  <si>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</si>
  <si>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</si>
  <si>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</si>
  <si>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</si>
  <si>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</si>
  <si>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</si>
  <si>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</si>
  <si>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Servicio de alquiler de generadores portátiles</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</si>
  <si>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</si>
  <si>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</si>
  <si>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</si>
  <si>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</si>
  <si>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</si>
  <si>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</si>
  <si>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</si>
  <si>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</si>
  <si>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</si>
  <si>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</si>
  <si>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</si>
  <si>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</si>
  <si>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Servicio de construcción de dársenas</t>
  </si>
  <si>
    <t>Bicheros</t>
  </si>
  <si>
    <t>52161505</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</si>
  <si>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</si>
  <si>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</si>
  <si>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</si>
  <si>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</si>
  <si>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</si>
  <si>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</si>
  <si>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</si>
  <si>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</si>
  <si>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</si>
  <si>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</si>
  <si>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</si>
  <si>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</si>
  <si>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</si>
  <si>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</si>
  <si>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</si>
  <si>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</si>
  <si>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</si>
  <si>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</si>
  <si>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</si>
  <si>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</si>
  <si>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</si>
  <si>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</si>
  <si>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</si>
  <si>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</si>
  <si>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</si>
  <si>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</si>
  <si>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</si>
  <si>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</si>
  <si>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</si>
  <si>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</si>
  <si>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</si>
  <si>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</si>
  <si>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</si>
  <si>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</si>
  <si>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</si>
  <si>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</si>
  <si>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</si>
  <si>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</si>
  <si>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</si>
  <si>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</si>
  <si>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</si>
  <si>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</si>
  <si>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</si>
  <si>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</si>
  <si>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</si>
  <si>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</si>
  <si>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</si>
  <si>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</si>
  <si>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</si>
  <si>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</si>
  <si>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</si>
  <si>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</si>
  <si>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</si>
  <si>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</si>
  <si>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</si>
  <si>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</si>
  <si>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</si>
  <si>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</si>
  <si>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</si>
  <si>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</si>
  <si>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</si>
  <si>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</si>
  <si>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</si>
  <si>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</si>
  <si>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</si>
  <si>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</si>
  <si>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</si>
  <si>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</si>
  <si>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</si>
  <si>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</si>
  <si>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</si>
  <si>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</si>
  <si>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</si>
  <si>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</si>
  <si>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</si>
  <si>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</si>
  <si>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</si>
  <si>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</si>
  <si>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</si>
  <si>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</si>
  <si>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</si>
  <si>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</si>
  <si>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</si>
  <si>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</si>
  <si>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</si>
  <si>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</si>
  <si>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</si>
  <si>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</si>
  <si>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</si>
  <si>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</si>
  <si>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</si>
  <si>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</si>
  <si>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</si>
  <si>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</si>
  <si>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</si>
  <si>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45121516</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</si>
  <si>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</si>
  <si>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</si>
  <si>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</si>
  <si>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</si>
  <si>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</si>
  <si>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</si>
  <si>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</si>
  <si>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</si>
  <si>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</si>
  <si>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</si>
  <si>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</si>
  <si>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</si>
  <si>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Carrizo semilla o esqueje</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</si>
  <si>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</si>
  <si>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</si>
  <si>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</si>
  <si>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</si>
  <si>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</si>
  <si>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</si>
  <si>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</si>
  <si>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</si>
  <si>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</si>
  <si>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</si>
  <si>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</si>
  <si>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</si>
  <si>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</si>
  <si>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</si>
  <si>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</si>
  <si>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</si>
  <si>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</si>
  <si>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</si>
  <si>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</si>
  <si>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</si>
  <si>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</si>
  <si>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</si>
  <si>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</si>
  <si>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</si>
  <si>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</si>
  <si>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32121501</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</si>
  <si>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</si>
  <si>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</si>
  <si>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</si>
  <si>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</si>
  <si>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</si>
  <si>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</si>
  <si>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</si>
  <si>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</si>
  <si>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</si>
  <si>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</si>
  <si>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</si>
  <si>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</si>
  <si>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</si>
  <si>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</si>
  <si>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</si>
  <si>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</si>
  <si>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</si>
  <si>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</si>
  <si>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</si>
  <si>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</si>
  <si>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</si>
  <si>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</si>
  <si>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</si>
  <si>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</si>
  <si>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</si>
  <si>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</si>
  <si>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</si>
  <si>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</si>
  <si>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</si>
  <si>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</si>
  <si>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</si>
  <si>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</si>
  <si>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</si>
  <si>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</si>
  <si>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</si>
  <si>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</si>
  <si>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</si>
  <si>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</si>
  <si>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</si>
  <si>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</si>
  <si>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</si>
  <si>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</si>
  <si>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</si>
  <si>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</si>
  <si>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</si>
  <si>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</si>
  <si>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</si>
  <si>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</si>
  <si>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</si>
  <si>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</si>
  <si>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</si>
  <si>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</si>
  <si>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</si>
  <si>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</si>
  <si>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</si>
  <si>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</si>
  <si>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</si>
  <si>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</si>
  <si>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</si>
  <si>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</si>
  <si>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50201706</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</si>
  <si>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</si>
  <si>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</si>
  <si>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</si>
  <si>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</si>
  <si>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</si>
  <si>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</si>
  <si>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</si>
  <si>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</si>
  <si>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</si>
  <si>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</si>
  <si>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</si>
  <si>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</si>
  <si>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</si>
  <si>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</si>
  <si>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</si>
  <si>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</si>
  <si>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</si>
  <si>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</si>
  <si>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</si>
  <si>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</si>
  <si>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</si>
  <si>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</si>
  <si>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</si>
  <si>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</si>
  <si>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</si>
  <si>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</si>
  <si>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</si>
  <si>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</si>
  <si>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</si>
  <si>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</si>
  <si>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</si>
  <si>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</si>
  <si>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</si>
  <si>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</si>
  <si>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</si>
  <si>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</si>
  <si>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</si>
  <si>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</si>
  <si>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</si>
  <si>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</si>
  <si>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</si>
  <si>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</si>
  <si>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</si>
  <si>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</si>
  <si>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</si>
  <si>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</si>
  <si>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</si>
  <si>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</si>
  <si>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</si>
  <si>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</si>
  <si>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</si>
  <si>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</si>
  <si>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</si>
  <si>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</si>
  <si>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</si>
  <si>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</si>
  <si>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</si>
  <si>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</si>
  <si>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</si>
  <si>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</si>
  <si>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</si>
  <si>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</si>
  <si>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</si>
  <si>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</si>
  <si>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</si>
  <si>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</si>
  <si>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</si>
  <si>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</si>
  <si>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</si>
  <si>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</si>
  <si>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</si>
  <si>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</si>
  <si>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</si>
  <si>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</si>
  <si>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</si>
  <si>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</si>
  <si>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</si>
  <si>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</si>
  <si>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</si>
  <si>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</si>
  <si>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</si>
  <si>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</si>
  <si>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</si>
  <si>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</si>
  <si>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</si>
  <si>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</si>
  <si>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</si>
  <si>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</si>
  <si>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</si>
  <si>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</si>
  <si>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</si>
  <si>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</si>
  <si>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</si>
  <si>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</si>
  <si>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</si>
  <si>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</si>
  <si>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</si>
  <si>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</si>
  <si>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39121009</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</si>
  <si>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</si>
  <si>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</si>
  <si>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</si>
  <si>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</si>
  <si>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</si>
  <si>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</si>
  <si>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</si>
  <si>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</si>
  <si>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</si>
  <si>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</si>
  <si>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</si>
  <si>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</si>
  <si>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</si>
  <si>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</si>
  <si>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</si>
  <si>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</si>
  <si>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</si>
  <si>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</si>
  <si>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</si>
  <si>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</si>
  <si>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</si>
  <si>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</si>
  <si>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</si>
  <si>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</si>
  <si>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</si>
  <si>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</si>
  <si>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</si>
  <si>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</si>
  <si>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</si>
  <si>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</si>
  <si>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</si>
  <si>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42271708</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</si>
  <si>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</si>
  <si>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</si>
  <si>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</si>
  <si>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</si>
  <si>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</si>
  <si>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</si>
  <si>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</si>
  <si>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</si>
  <si>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</si>
  <si>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</si>
  <si>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</si>
  <si>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</si>
  <si>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</si>
  <si>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</si>
  <si>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</si>
  <si>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</si>
  <si>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</si>
  <si>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</si>
  <si>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</si>
  <si>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</si>
  <si>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</si>
  <si>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</si>
  <si>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</si>
  <si>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</si>
  <si>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</si>
  <si>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</si>
  <si>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</si>
  <si>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</si>
  <si>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</si>
  <si>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</si>
  <si>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</si>
  <si>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</si>
  <si>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</si>
  <si>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</si>
  <si>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 xml:space="preserve">Kit de reparación de neumáticos  </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</si>
  <si>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</si>
  <si>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</si>
  <si>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</si>
  <si>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</si>
  <si>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</si>
  <si>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</si>
  <si>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</si>
  <si>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</si>
  <si>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</si>
  <si>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</si>
  <si>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</si>
  <si>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Equipo de efectos de video digital dve</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</si>
  <si>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</si>
  <si>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</si>
  <si>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</si>
  <si>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</si>
  <si>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</si>
  <si>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</si>
  <si>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</si>
  <si>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</si>
  <si>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</si>
  <si>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</si>
  <si>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</si>
  <si>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Exprimidor de ajo para uso doméstico</t>
  </si>
  <si>
    <t>Estantes para secado</t>
  </si>
  <si>
    <t>Maza para pastelería congelada</t>
  </si>
  <si>
    <t>Servicios de bombeo del campo petrolero utilizando tubería flexible continua</t>
  </si>
  <si>
    <t>Cortinas de cirugía</t>
  </si>
  <si>
    <t>Gaitas</t>
  </si>
  <si>
    <t>Formación profesional para la industria láctea</t>
  </si>
  <si>
    <t>31161503</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</si>
  <si>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</si>
  <si>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</si>
  <si>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</si>
  <si>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</si>
  <si>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</si>
  <si>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</si>
  <si>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52161518</t>
  </si>
  <si>
    <t>Gorros o capuchas para cirujano</t>
  </si>
  <si>
    <t>Servicios de estimulación de la matriz de base no ácida</t>
  </si>
  <si>
    <t>Funerarias o crematorios</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</si>
  <si>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</si>
  <si>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</si>
  <si>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</si>
  <si>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</si>
  <si>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</si>
  <si>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</si>
  <si>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</si>
  <si>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</si>
  <si>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</si>
  <si>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</si>
  <si>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</si>
  <si>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</si>
  <si>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</si>
  <si>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</si>
  <si>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</si>
  <si>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</si>
  <si>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</si>
  <si>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</si>
  <si>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</si>
  <si>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</si>
  <si>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</si>
  <si>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</si>
  <si>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</si>
  <si>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Servicio de arrendamiento de baños portátiles</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</si>
  <si>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</si>
  <si>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</si>
  <si>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</si>
  <si>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</si>
  <si>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</si>
  <si>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</si>
  <si>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</si>
  <si>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</si>
  <si>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</si>
  <si>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</si>
  <si>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</si>
  <si>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</si>
  <si>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</si>
  <si>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</si>
  <si>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</si>
  <si>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</si>
  <si>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</si>
  <si>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</si>
  <si>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</si>
  <si>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</si>
  <si>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</si>
  <si>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</si>
  <si>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</si>
  <si>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</si>
  <si>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</si>
  <si>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</si>
  <si>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</si>
  <si>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</si>
  <si>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</si>
  <si>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</si>
  <si>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</si>
  <si>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</si>
  <si>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</si>
  <si>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</si>
  <si>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</si>
  <si>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</si>
  <si>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</si>
  <si>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</si>
  <si>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</si>
  <si>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Lamina de acero Inoxidable</t>
  </si>
  <si>
    <t>Servicios de comparación de tarifas de la industria del transporte o de auditoria de fletes</t>
  </si>
  <si>
    <t>Clorhidrato de mebeverina</t>
  </si>
  <si>
    <t>Packs de comprobación para esterilizadores de vapor</t>
  </si>
  <si>
    <t>80141902</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</si>
  <si>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</si>
  <si>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</si>
  <si>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</si>
  <si>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</si>
  <si>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</si>
  <si>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</si>
  <si>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</si>
  <si>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</si>
  <si>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</si>
  <si>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</si>
  <si>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</si>
  <si>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</si>
  <si>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</si>
  <si>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</si>
  <si>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</si>
  <si>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</si>
  <si>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</si>
  <si>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</si>
  <si>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44121802</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</si>
  <si>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</si>
  <si>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</si>
  <si>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</si>
  <si>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</si>
  <si>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</si>
  <si>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</si>
  <si>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</si>
  <si>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</si>
  <si>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47131805</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</si>
  <si>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</si>
  <si>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</si>
  <si>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</si>
  <si>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</si>
  <si>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</si>
  <si>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</si>
  <si>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</si>
  <si>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</si>
  <si>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</si>
  <si>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47101601</t>
  </si>
  <si>
    <t>Arnés de alambrado especial</t>
  </si>
  <si>
    <t>Mesas para examen pediátrico</t>
  </si>
  <si>
    <t>Servicios de transmisión por fax</t>
  </si>
  <si>
    <t>Unidad de cuidados intensivos</t>
  </si>
  <si>
    <t>Equipos de bombeo a través de la línea de flujo</t>
  </si>
  <si>
    <t>Servicios de niñera o cuidado de niños</t>
  </si>
  <si>
    <t>39121601</t>
  </si>
  <si>
    <t>Fresadoras con mango</t>
  </si>
  <si>
    <t>Objetos de acero fundidos por moldeo en cáscara</t>
  </si>
  <si>
    <t>Sistemas de purificación del agua para unidades de hemodiálisis</t>
  </si>
  <si>
    <t>31162501</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</si>
  <si>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</si>
  <si>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</si>
  <si>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</si>
  <si>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</si>
  <si>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</si>
  <si>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</si>
  <si>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</si>
  <si>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</si>
  <si>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</si>
  <si>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</si>
  <si>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</si>
  <si>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</si>
  <si>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</si>
  <si>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</si>
  <si>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</si>
  <si>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</si>
  <si>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</si>
  <si>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</si>
  <si>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</si>
  <si>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</si>
  <si>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</si>
  <si>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</si>
  <si>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</si>
  <si>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</si>
  <si>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</si>
  <si>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</si>
  <si>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</si>
  <si>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</si>
  <si>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</si>
  <si>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</si>
  <si>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</si>
  <si>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</si>
  <si>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</si>
  <si>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</si>
  <si>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</si>
  <si>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</si>
  <si>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</si>
  <si>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</si>
  <si>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</si>
  <si>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</si>
  <si>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</si>
  <si>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</si>
  <si>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</si>
  <si>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</si>
  <si>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</si>
  <si>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</si>
  <si>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</si>
  <si>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</si>
  <si>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</si>
  <si>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</si>
  <si>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</si>
  <si>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</si>
  <si>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</si>
  <si>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</si>
  <si>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</si>
  <si>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</si>
  <si>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</si>
  <si>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</si>
  <si>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</si>
  <si>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</si>
  <si>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</si>
  <si>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</si>
  <si>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</si>
  <si>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</si>
  <si>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</si>
  <si>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40142008</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</si>
  <si>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</si>
  <si>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</si>
  <si>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</si>
  <si>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</si>
  <si>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</si>
  <si>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</si>
  <si>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</si>
  <si>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</si>
  <si>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</si>
  <si>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</si>
  <si>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</si>
  <si>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</si>
  <si>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Trampas para el control de insectos voladores.</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</si>
  <si>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</si>
  <si>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</si>
  <si>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</si>
  <si>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</si>
  <si>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</si>
  <si>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</si>
  <si>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</si>
  <si>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</si>
  <si>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</si>
  <si>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</si>
  <si>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</si>
  <si>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</si>
  <si>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</si>
  <si>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</si>
  <si>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</si>
  <si>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</si>
  <si>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</si>
  <si>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</si>
  <si>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</si>
  <si>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</si>
  <si>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</si>
  <si>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</si>
  <si>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</si>
  <si>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</si>
  <si>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</si>
  <si>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</si>
  <si>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</si>
  <si>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</si>
  <si>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</si>
  <si>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</si>
  <si>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</si>
  <si>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</si>
  <si>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</si>
  <si>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Clordiazepóxido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</si>
  <si>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</si>
  <si>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</si>
  <si>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</si>
  <si>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</si>
  <si>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</si>
  <si>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</si>
  <si>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</si>
  <si>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</si>
  <si>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</si>
  <si>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</si>
  <si>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</si>
  <si>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</si>
  <si>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</si>
  <si>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</si>
  <si>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</si>
  <si>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</si>
  <si>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</si>
  <si>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</si>
  <si>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</si>
  <si>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</si>
  <si>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</si>
  <si>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</si>
  <si>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</si>
  <si>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</si>
  <si>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</si>
  <si>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</si>
  <si>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</si>
  <si>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</si>
  <si>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</si>
  <si>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</si>
  <si>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</si>
  <si>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</si>
  <si>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</si>
  <si>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</si>
  <si>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</si>
  <si>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</si>
  <si>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</si>
  <si>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</si>
  <si>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</si>
  <si>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</si>
  <si>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</si>
  <si>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</si>
  <si>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</si>
  <si>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</si>
  <si>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</si>
  <si>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</si>
  <si>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</si>
  <si>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</si>
  <si>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</si>
  <si>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</si>
  <si>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</si>
  <si>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</si>
  <si>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</si>
  <si>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</si>
  <si>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</si>
  <si>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</si>
  <si>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</si>
  <si>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Mantenimiento de licencia perpetua AD 360</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</si>
  <si>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</si>
  <si>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</si>
  <si>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</si>
  <si>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</si>
  <si>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</si>
  <si>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</si>
  <si>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</si>
  <si>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</si>
  <si>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</si>
  <si>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</si>
  <si>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</si>
  <si>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</si>
  <si>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</si>
  <si>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</si>
  <si>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</si>
  <si>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</si>
  <si>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</si>
  <si>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</si>
  <si>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</si>
  <si>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</si>
  <si>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</si>
  <si>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</si>
  <si>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</si>
  <si>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</si>
  <si>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</si>
  <si>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</si>
  <si>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45121510</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</si>
  <si>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</si>
  <si>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</si>
  <si>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</si>
  <si>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</si>
  <si>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</si>
  <si>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</si>
  <si>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</si>
  <si>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</si>
  <si>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Adquisicion de cajas de carton</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</si>
  <si>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</si>
  <si>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</si>
  <si>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</si>
  <si>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</si>
  <si>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</si>
  <si>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</si>
  <si>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</si>
  <si>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</si>
  <si>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</si>
  <si>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</si>
  <si>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</si>
  <si>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</si>
  <si>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</si>
  <si>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</si>
  <si>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</si>
  <si>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</si>
  <si>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</si>
  <si>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</si>
  <si>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</si>
  <si>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</si>
  <si>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</si>
  <si>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</si>
  <si>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</si>
  <si>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</si>
  <si>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</si>
  <si>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</si>
  <si>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</si>
  <si>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</si>
  <si>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</si>
  <si>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</si>
  <si>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</si>
  <si>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</si>
  <si>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</si>
  <si>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</si>
  <si>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27112122</t>
  </si>
  <si>
    <t>Tipografía</t>
  </si>
  <si>
    <t>Pinturas o medios al oleo sintéticos tratados con calor</t>
  </si>
  <si>
    <t>Recopilación o distribución de datos de la industria pesquera</t>
  </si>
  <si>
    <t>Bicicletas para niños</t>
  </si>
  <si>
    <t>Carritos de pacientes</t>
  </si>
  <si>
    <t>44111611</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</si>
  <si>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</si>
  <si>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</si>
  <si>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</si>
  <si>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</si>
  <si>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</si>
  <si>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</si>
  <si>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</si>
  <si>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</si>
  <si>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</si>
  <si>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</si>
  <si>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</si>
  <si>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</si>
  <si>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</si>
  <si>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</si>
  <si>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</si>
  <si>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</si>
  <si>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</si>
  <si>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</si>
  <si>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</si>
  <si>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</si>
  <si>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</si>
  <si>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</si>
  <si>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</si>
  <si>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</si>
  <si>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</si>
  <si>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</si>
  <si>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</si>
  <si>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</si>
  <si>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</si>
  <si>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</si>
  <si>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</si>
  <si>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</si>
  <si>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</si>
  <si>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</si>
  <si>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</si>
  <si>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</si>
  <si>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</si>
  <si>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 xml:space="preserve">Servicio de almacenamiento en la nube de Internet </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</si>
  <si>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</si>
  <si>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</si>
  <si>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</si>
  <si>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</si>
  <si>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</si>
  <si>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</si>
  <si>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</si>
  <si>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</si>
  <si>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</si>
  <si>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</si>
  <si>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</si>
  <si>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</si>
  <si>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</si>
  <si>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</si>
  <si>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23153025</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</si>
  <si>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</si>
  <si>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</si>
  <si>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</si>
  <si>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</si>
  <si>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</si>
  <si>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</si>
  <si>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</si>
  <si>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</si>
  <si>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</si>
  <si>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</si>
  <si>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</si>
  <si>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</si>
  <si>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</si>
  <si>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</si>
  <si>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</si>
  <si>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</si>
  <si>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</si>
  <si>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</si>
  <si>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</si>
  <si>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Semillas de pasto</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</si>
  <si>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</si>
  <si>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</si>
  <si>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</si>
  <si>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</si>
  <si>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</si>
  <si>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</si>
  <si>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</si>
  <si>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</si>
  <si>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</si>
  <si>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</si>
  <si>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</si>
  <si>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</si>
  <si>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</si>
  <si>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</si>
  <si>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</si>
  <si>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</si>
  <si>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</si>
  <si>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</si>
  <si>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</si>
  <si>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</si>
  <si>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</si>
  <si>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</si>
  <si>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</si>
  <si>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</si>
  <si>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</si>
  <si>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</si>
  <si>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</si>
  <si>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</si>
  <si>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</si>
  <si>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</si>
  <si>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</si>
  <si>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</si>
  <si>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</si>
  <si>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</si>
  <si>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</si>
  <si>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</si>
  <si>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</si>
  <si>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</si>
  <si>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</si>
  <si>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</si>
  <si>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</si>
  <si>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31181506</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</si>
  <si>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</si>
  <si>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</si>
  <si>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</si>
  <si>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</si>
  <si>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</si>
  <si>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</si>
  <si>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</si>
  <si>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</si>
  <si>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</si>
  <si>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</si>
  <si>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</si>
  <si>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</si>
  <si>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</si>
  <si>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</si>
  <si>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</si>
  <si>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</si>
  <si>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</si>
  <si>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</si>
  <si>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</si>
  <si>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</si>
  <si>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</si>
  <si>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</si>
  <si>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</si>
  <si>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</si>
  <si>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</si>
  <si>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</si>
  <si>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</si>
  <si>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</si>
  <si>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</si>
  <si>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</si>
  <si>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</si>
  <si>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</si>
  <si>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</si>
  <si>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</si>
  <si>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</si>
  <si>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</si>
  <si>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</si>
  <si>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</si>
  <si>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</si>
  <si>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</si>
  <si>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</si>
  <si>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</si>
  <si>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</si>
  <si>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</si>
  <si>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</si>
  <si>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</si>
  <si>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</si>
  <si>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</si>
  <si>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</si>
  <si>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</si>
  <si>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</si>
  <si>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</si>
  <si>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</si>
  <si>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</si>
  <si>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</si>
  <si>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31161730</t>
  </si>
  <si>
    <t>Formación o desarrollo laboral</t>
  </si>
  <si>
    <t>Unidades múltiples de fracturación</t>
  </si>
  <si>
    <t>Loma de Cabrera</t>
  </si>
  <si>
    <t>Servicios de enfriamiento o refrigeración</t>
  </si>
  <si>
    <t>Forjaduras anulares laminadas de aleación ferrosa</t>
  </si>
  <si>
    <t>Tanques almacenadores de petróleo</t>
  </si>
  <si>
    <t>30102005</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</si>
  <si>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</si>
  <si>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</si>
  <si>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</si>
  <si>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</si>
  <si>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</si>
  <si>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</si>
  <si>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</si>
  <si>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</si>
  <si>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</si>
  <si>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</si>
  <si>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</si>
  <si>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</si>
  <si>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</si>
  <si>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</si>
  <si>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</si>
  <si>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</si>
  <si>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</si>
  <si>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</si>
  <si>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</si>
  <si>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</si>
  <si>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</si>
  <si>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</si>
  <si>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</si>
  <si>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</si>
  <si>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</si>
  <si>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</si>
  <si>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</si>
  <si>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</si>
  <si>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</si>
  <si>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</si>
  <si>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</si>
  <si>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</si>
  <si>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</si>
  <si>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</si>
  <si>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</si>
  <si>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</si>
  <si>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</si>
  <si>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</si>
  <si>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</si>
  <si>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</si>
  <si>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</si>
  <si>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</si>
  <si>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</si>
  <si>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</si>
  <si>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</si>
  <si>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</si>
  <si>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</si>
  <si>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</si>
  <si>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</si>
  <si>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</si>
  <si>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</si>
  <si>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</si>
  <si>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</si>
  <si>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</si>
  <si>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</si>
  <si>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</si>
  <si>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</si>
  <si>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</si>
  <si>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</si>
  <si>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</si>
  <si>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</si>
  <si>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</si>
  <si>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</si>
  <si>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</si>
  <si>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</si>
  <si>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</si>
  <si>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</si>
  <si>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</si>
  <si>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</si>
  <si>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</si>
  <si>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</si>
  <si>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</si>
  <si>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47121702</t>
  </si>
  <si>
    <t>Distribuidoras de material bituminoso</t>
  </si>
  <si>
    <t>Objetos de metal precioso fundidos a la cera perdida</t>
  </si>
  <si>
    <t>Torre de perforación</t>
  </si>
  <si>
    <t>Placa de plomo</t>
  </si>
  <si>
    <t>Almohadillas de uso oftálmico</t>
  </si>
  <si>
    <t>Cintas métricas</t>
  </si>
  <si>
    <t>Compuestos para brillado</t>
  </si>
  <si>
    <t>Mantenimiento de servidores UNIX</t>
  </si>
  <si>
    <t>Clorhidrato de halofantrina</t>
  </si>
  <si>
    <t>Cordón de neumáticos</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</si>
  <si>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</si>
  <si>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</si>
  <si>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</si>
  <si>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</si>
  <si>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</si>
  <si>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</si>
  <si>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</si>
  <si>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</si>
  <si>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</si>
  <si>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</si>
  <si>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</si>
  <si>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</si>
  <si>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</si>
  <si>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</si>
  <si>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</si>
  <si>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</si>
  <si>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</si>
  <si>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</si>
  <si>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</si>
  <si>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</si>
  <si>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</si>
  <si>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</si>
  <si>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</si>
  <si>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</si>
  <si>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</si>
  <si>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</si>
  <si>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</si>
  <si>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</si>
  <si>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</si>
  <si>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</si>
  <si>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</si>
  <si>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</si>
  <si>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</si>
  <si>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</si>
  <si>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</si>
  <si>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</si>
  <si>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</si>
  <si>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</si>
  <si>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21101701</t>
  </si>
  <si>
    <t>40142318</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</si>
  <si>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</si>
  <si>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</si>
  <si>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</si>
  <si>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</si>
  <si>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</si>
  <si>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</si>
  <si>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</si>
  <si>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</si>
  <si>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</si>
  <si>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</si>
  <si>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</si>
  <si>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</si>
  <si>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</si>
  <si>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</si>
  <si>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</si>
  <si>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</si>
  <si>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</si>
  <si>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</si>
  <si>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</si>
  <si>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</si>
  <si>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</si>
  <si>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</si>
  <si>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</si>
  <si>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</si>
  <si>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</si>
  <si>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</si>
  <si>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</si>
  <si>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</si>
  <si>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</si>
  <si>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</si>
  <si>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Servicio de Mantenimiento de Electrificación de Tracción</t>
  </si>
  <si>
    <t>Discos</t>
  </si>
  <si>
    <t>Materiales de enseñanza de análisis de colores personales</t>
  </si>
  <si>
    <t>Módulo de fibra de compensación de dispersión dcfm</t>
  </si>
  <si>
    <t>Recursos de plantaciones de hoja ancha</t>
  </si>
  <si>
    <t>Medicamentos cardiovasculares</t>
  </si>
  <si>
    <t>Señales de tráfico</t>
  </si>
  <si>
    <t>Coníferas</t>
  </si>
  <si>
    <t>Remolques carrotanque con temperatura controlada</t>
  </si>
  <si>
    <t>Depósito de trenes</t>
  </si>
  <si>
    <t>Aparatos probadores de fundición</t>
  </si>
  <si>
    <t>31161803</t>
  </si>
  <si>
    <t>Oviedo</t>
  </si>
  <si>
    <t>Servicios de protección de los ecosistemas</t>
  </si>
  <si>
    <t>Válvulas de seguridad de pistón</t>
  </si>
  <si>
    <t>Microscopios de disección de luz o de estéreo</t>
  </si>
  <si>
    <t>Levotiroxina</t>
  </si>
  <si>
    <t>Componentes para tecnología de la información, difusión o telecomunicaciones</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</si>
  <si>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</si>
  <si>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</si>
  <si>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</si>
  <si>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</si>
  <si>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</si>
  <si>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</si>
  <si>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</si>
  <si>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</si>
  <si>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</si>
  <si>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</si>
  <si>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</si>
  <si>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</si>
  <si>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</si>
  <si>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</si>
  <si>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</si>
  <si>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</si>
  <si>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</si>
  <si>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</si>
  <si>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</si>
  <si>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</si>
  <si>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</si>
  <si>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</si>
  <si>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</si>
  <si>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</si>
  <si>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</si>
  <si>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</si>
  <si>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</si>
  <si>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</si>
  <si>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</si>
  <si>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</si>
  <si>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</si>
  <si>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</si>
  <si>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</si>
  <si>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</si>
  <si>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</si>
  <si>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</si>
  <si>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</si>
  <si>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</si>
  <si>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</si>
  <si>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</si>
  <si>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</si>
  <si>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</si>
  <si>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</si>
  <si>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</si>
  <si>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</si>
  <si>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</si>
  <si>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</si>
  <si>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</si>
  <si>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</si>
  <si>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</si>
  <si>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</si>
  <si>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</si>
  <si>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</si>
  <si>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</si>
  <si>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</si>
  <si>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</si>
  <si>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</si>
  <si>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</si>
  <si>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</si>
  <si>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</si>
  <si>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</si>
  <si>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</si>
  <si>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</si>
  <si>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</si>
  <si>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</si>
  <si>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</si>
  <si>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</si>
  <si>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</si>
  <si>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</si>
  <si>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</si>
  <si>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</si>
  <si>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</si>
  <si>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</si>
  <si>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</si>
  <si>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</si>
  <si>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</si>
  <si>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</si>
  <si>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</si>
  <si>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</si>
  <si>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</si>
  <si>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</si>
  <si>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</si>
  <si>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</si>
  <si>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Medicamentos que afectan al sistema gastrointestinal</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</si>
  <si>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</si>
  <si>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</si>
  <si>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</si>
  <si>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</si>
  <si>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</si>
  <si>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</si>
  <si>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</si>
  <si>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</si>
  <si>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</si>
  <si>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</si>
  <si>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</si>
  <si>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</si>
  <si>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</si>
  <si>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</si>
  <si>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</si>
  <si>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31171804</t>
  </si>
  <si>
    <t>Componentes de titanio hidroformados</t>
  </si>
  <si>
    <t>Componentes de titanio formados por estiramiento por presión</t>
  </si>
  <si>
    <t>Mandolina para uso doméstico</t>
  </si>
  <si>
    <t>44122107</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</si>
  <si>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</si>
  <si>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</si>
  <si>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</si>
  <si>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</si>
  <si>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</si>
  <si>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</si>
  <si>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</si>
  <si>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</si>
  <si>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</si>
  <si>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31211906</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</si>
  <si>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</si>
  <si>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</si>
  <si>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</si>
  <si>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</si>
  <si>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</si>
  <si>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</si>
  <si>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</si>
  <si>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</si>
  <si>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</si>
  <si>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</si>
  <si>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</si>
  <si>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</si>
  <si>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</si>
  <si>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</si>
  <si>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</si>
  <si>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</si>
  <si>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</si>
  <si>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</si>
  <si>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</si>
  <si>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</si>
  <si>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</si>
  <si>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</si>
  <si>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</si>
  <si>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</si>
  <si>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</si>
  <si>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</si>
  <si>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</si>
  <si>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</si>
  <si>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</si>
  <si>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</si>
  <si>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</si>
  <si>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</si>
  <si>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</si>
  <si>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</si>
  <si>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</si>
  <si>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Contenedores de carga.</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</si>
  <si>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</si>
  <si>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</si>
  <si>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</si>
  <si>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</si>
  <si>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</si>
  <si>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</si>
  <si>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</si>
  <si>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</si>
  <si>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</si>
  <si>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</si>
  <si>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</si>
  <si>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</si>
  <si>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</si>
  <si>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</si>
  <si>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</si>
  <si>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</si>
  <si>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</si>
  <si>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</si>
  <si>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</si>
  <si>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</si>
  <si>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</si>
  <si>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</si>
  <si>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</si>
  <si>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</si>
  <si>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</si>
  <si>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</si>
  <si>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</si>
  <si>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</si>
  <si>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</si>
  <si>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</si>
  <si>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</si>
  <si>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</si>
  <si>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</si>
  <si>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</si>
  <si>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</si>
  <si>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</si>
  <si>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</si>
  <si>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</si>
  <si>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</si>
  <si>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</si>
  <si>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</si>
  <si>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</si>
  <si>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</si>
  <si>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</si>
  <si>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</si>
  <si>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</si>
  <si>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</si>
  <si>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</si>
  <si>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</si>
  <si>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</si>
  <si>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</si>
  <si>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</si>
  <si>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</si>
  <si>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</si>
  <si>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</si>
  <si>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</si>
  <si>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</si>
  <si>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</si>
  <si>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Acabadoras de asfalto</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</si>
  <si>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</si>
  <si>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</si>
  <si>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</si>
  <si>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</si>
  <si>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</si>
  <si>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</si>
  <si>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</si>
  <si>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</si>
  <si>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</si>
  <si>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</si>
  <si>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</si>
  <si>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</si>
  <si>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</si>
  <si>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</si>
  <si>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</si>
  <si>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</si>
  <si>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</si>
  <si>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</si>
  <si>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</si>
  <si>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</si>
  <si>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</si>
  <si>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</si>
  <si>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</si>
  <si>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</si>
  <si>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</si>
  <si>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</si>
  <si>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</si>
  <si>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</si>
  <si>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</si>
  <si>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</si>
  <si>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</si>
  <si>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</si>
  <si>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</si>
  <si>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</si>
  <si>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</si>
  <si>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</si>
  <si>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</si>
  <si>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</si>
  <si>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</si>
  <si>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</si>
  <si>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</si>
  <si>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Timones o volantes de cuero</t>
  </si>
  <si>
    <t>24111802</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</si>
  <si>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</si>
  <si>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</si>
  <si>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</si>
  <si>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</si>
  <si>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</si>
  <si>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</si>
  <si>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</si>
  <si>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</si>
  <si>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</si>
  <si>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</si>
  <si>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</si>
  <si>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</si>
  <si>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</si>
  <si>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</si>
  <si>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</si>
  <si>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</si>
  <si>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</si>
  <si>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</si>
  <si>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</si>
  <si>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</si>
  <si>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</si>
  <si>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</si>
  <si>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</si>
  <si>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</si>
  <si>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</si>
  <si>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</si>
  <si>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</si>
  <si>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</si>
  <si>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</si>
  <si>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</si>
  <si>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</si>
  <si>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</si>
  <si>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</si>
  <si>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</si>
  <si>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</si>
  <si>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</si>
  <si>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</si>
  <si>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</si>
  <si>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</si>
  <si>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</si>
  <si>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</si>
  <si>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</si>
  <si>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</si>
  <si>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</si>
  <si>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</si>
  <si>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</si>
  <si>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</si>
  <si>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</si>
  <si>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</si>
  <si>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</si>
  <si>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</si>
  <si>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</si>
  <si>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</si>
  <si>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</si>
  <si>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</si>
  <si>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</si>
  <si>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</si>
  <si>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</si>
  <si>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</si>
  <si>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</si>
  <si>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</si>
  <si>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</si>
  <si>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</si>
  <si>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</si>
  <si>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</si>
  <si>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</si>
  <si>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</si>
  <si>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</si>
  <si>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23151607</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</si>
  <si>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</si>
  <si>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</si>
  <si>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</si>
  <si>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</si>
  <si>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</si>
  <si>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</si>
  <si>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</si>
  <si>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</si>
  <si>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</si>
  <si>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</si>
  <si>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</si>
  <si>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</si>
  <si>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</si>
  <si>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27112802</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</si>
  <si>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</si>
  <si>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</si>
  <si>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</si>
  <si>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</si>
  <si>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</si>
  <si>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</si>
  <si>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</si>
  <si>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</si>
  <si>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</si>
  <si>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</si>
  <si>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</si>
  <si>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</si>
  <si>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</si>
  <si>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</si>
  <si>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</si>
  <si>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</si>
  <si>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</si>
  <si>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</si>
  <si>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</si>
  <si>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</si>
  <si>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</si>
  <si>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</si>
  <si>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</si>
  <si>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</si>
  <si>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</si>
  <si>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</si>
  <si>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</si>
  <si>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</si>
  <si>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</si>
  <si>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</si>
  <si>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</si>
  <si>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</si>
  <si>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</si>
  <si>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</si>
  <si>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</si>
  <si>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</si>
  <si>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</si>
  <si>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</si>
  <si>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</si>
  <si>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</si>
  <si>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39121525</t>
  </si>
  <si>
    <t>Papas preparadas y congeladas o arroz o pasta o relleno</t>
  </si>
  <si>
    <t>Componentes de estaño estampados</t>
  </si>
  <si>
    <t>Cuña de etalón</t>
  </si>
  <si>
    <t>Libros de recursos de poesía</t>
  </si>
  <si>
    <t>Ensambles estructurales atornillados no metálica</t>
  </si>
  <si>
    <t>Agujas para anestesia</t>
  </si>
  <si>
    <t>53121601</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</si>
  <si>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</si>
  <si>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</si>
  <si>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</si>
  <si>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</si>
  <si>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</si>
  <si>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</si>
  <si>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</si>
  <si>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</si>
  <si>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</si>
  <si>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</si>
  <si>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47131711</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</si>
  <si>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</si>
  <si>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</si>
  <si>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</si>
  <si>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</si>
  <si>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</si>
  <si>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</si>
  <si>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</si>
  <si>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</si>
  <si>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</si>
  <si>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</si>
  <si>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</si>
  <si>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</si>
  <si>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</si>
  <si>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</si>
  <si>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</si>
  <si>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</si>
  <si>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</si>
  <si>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</si>
  <si>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</si>
  <si>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</si>
  <si>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</si>
  <si>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</si>
  <si>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</si>
  <si>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</si>
  <si>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</si>
  <si>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</si>
  <si>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</si>
  <si>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</si>
  <si>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</si>
  <si>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</si>
  <si>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</si>
  <si>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39121407</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</si>
  <si>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</si>
  <si>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</si>
  <si>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</si>
  <si>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</si>
  <si>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</si>
  <si>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</si>
  <si>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</si>
  <si>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</si>
  <si>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</si>
  <si>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</si>
  <si>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</si>
  <si>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</si>
  <si>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</si>
  <si>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</si>
  <si>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</si>
  <si>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</si>
  <si>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</si>
  <si>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</si>
  <si>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</si>
  <si>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</si>
  <si>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</si>
  <si>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</si>
  <si>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</si>
  <si>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</si>
  <si>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</si>
  <si>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</si>
  <si>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</si>
  <si>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</si>
  <si>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</si>
  <si>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</si>
  <si>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</si>
  <si>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</si>
  <si>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</si>
  <si>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</si>
  <si>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</si>
  <si>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</si>
  <si>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 xml:space="preserve">Implante gastrointestinal </t>
  </si>
  <si>
    <t>Tinta de huellas dactilares</t>
  </si>
  <si>
    <t>Equipo de partición de geles</t>
  </si>
  <si>
    <t>Nagua</t>
  </si>
  <si>
    <t>Perfiles de caucho</t>
  </si>
  <si>
    <t>Tijeras de bajo grado</t>
  </si>
  <si>
    <t>51142119</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</si>
  <si>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</si>
  <si>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</si>
  <si>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</si>
  <si>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</si>
  <si>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</si>
  <si>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</si>
  <si>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</si>
  <si>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</si>
  <si>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</si>
  <si>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</si>
  <si>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78180102</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</si>
  <si>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</si>
  <si>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</si>
  <si>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</si>
  <si>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</si>
  <si>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</si>
  <si>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</si>
  <si>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</si>
  <si>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</si>
  <si>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</si>
  <si>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</si>
  <si>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 xml:space="preserve">Alquiler de local </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</si>
  <si>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</si>
  <si>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</si>
  <si>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</si>
  <si>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</si>
  <si>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</si>
  <si>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</si>
  <si>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</si>
  <si>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Certificados basados en la biblia</t>
  </si>
  <si>
    <t>Cohetes reutilizables</t>
  </si>
  <si>
    <t>43201803</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</si>
  <si>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</si>
  <si>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</si>
  <si>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</si>
  <si>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</si>
  <si>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</si>
  <si>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</si>
  <si>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</si>
  <si>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</si>
  <si>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</si>
  <si>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</si>
  <si>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</si>
  <si>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</si>
  <si>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</si>
  <si>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Aparato para uso doméstico para diversas formas de cocción</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</si>
  <si>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</si>
  <si>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</si>
  <si>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</si>
  <si>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</si>
  <si>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</si>
  <si>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</si>
  <si>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</si>
  <si>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</si>
  <si>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</si>
  <si>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</si>
  <si>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</si>
  <si>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</si>
  <si>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</si>
  <si>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</si>
  <si>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</si>
  <si>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</si>
  <si>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</si>
  <si>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</si>
  <si>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</si>
  <si>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</si>
  <si>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</si>
  <si>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</si>
  <si>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</si>
  <si>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</si>
  <si>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</si>
  <si>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</si>
  <si>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</si>
  <si>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</si>
  <si>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Servicio de tendido de rieles ferroviarios</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</si>
  <si>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</si>
  <si>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</si>
  <si>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</si>
  <si>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</si>
  <si>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</si>
  <si>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</si>
  <si>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</si>
  <si>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</si>
  <si>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</si>
  <si>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</si>
  <si>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</si>
  <si>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</si>
  <si>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</si>
  <si>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</si>
  <si>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</si>
  <si>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</si>
  <si>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</si>
  <si>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</si>
  <si>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</si>
  <si>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</si>
  <si>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</si>
  <si>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</si>
  <si>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</si>
  <si>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</si>
  <si>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</si>
  <si>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</si>
  <si>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</si>
  <si>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</si>
  <si>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</si>
  <si>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</si>
  <si>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</si>
  <si>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</si>
  <si>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</si>
  <si>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</si>
  <si>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</si>
  <si>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</si>
  <si>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</si>
  <si>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</si>
  <si>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Detectores de gases</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</si>
  <si>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</si>
  <si>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</si>
  <si>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</si>
  <si>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</si>
  <si>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</si>
  <si>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</si>
  <si>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</si>
  <si>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</si>
  <si>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</si>
  <si>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</si>
  <si>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</si>
  <si>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</si>
  <si>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</si>
  <si>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</si>
  <si>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</si>
  <si>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</si>
  <si>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</si>
  <si>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</si>
  <si>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</si>
  <si>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</si>
  <si>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</si>
  <si>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</si>
  <si>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</si>
  <si>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</si>
  <si>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43211507</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</si>
  <si>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</si>
  <si>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</si>
  <si>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</si>
  <si>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</si>
  <si>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</si>
  <si>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</si>
  <si>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</si>
  <si>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</si>
  <si>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</si>
  <si>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</si>
  <si>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</si>
  <si>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</si>
  <si>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</si>
  <si>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</si>
  <si>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</si>
  <si>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</si>
  <si>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</si>
  <si>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</si>
  <si>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</si>
  <si>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Adquisición de Ventiladores para el MEM</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</si>
  <si>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</si>
  <si>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</si>
  <si>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</si>
  <si>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</si>
  <si>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</si>
  <si>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</si>
  <si>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</si>
  <si>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</si>
  <si>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</si>
  <si>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</si>
  <si>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</si>
  <si>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</si>
  <si>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</si>
  <si>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</si>
  <si>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</si>
  <si>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</si>
  <si>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</si>
  <si>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</si>
  <si>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</si>
  <si>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</si>
  <si>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</si>
  <si>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</si>
  <si>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</si>
  <si>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</si>
  <si>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</si>
  <si>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</si>
  <si>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</si>
  <si>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</si>
  <si>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</si>
  <si>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</si>
  <si>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</si>
  <si>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</si>
  <si>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</si>
  <si>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</si>
  <si>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</si>
  <si>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</si>
  <si>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</si>
  <si>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</si>
  <si>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</si>
  <si>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</si>
  <si>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</si>
  <si>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</si>
  <si>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</si>
  <si>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</si>
  <si>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</si>
  <si>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</si>
  <si>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</si>
  <si>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</si>
  <si>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</si>
  <si>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</si>
  <si>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</si>
  <si>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</si>
  <si>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</si>
  <si>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</si>
  <si>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</si>
  <si>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</si>
  <si>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</si>
  <si>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</si>
  <si>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</si>
  <si>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</si>
  <si>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</si>
  <si>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</si>
  <si>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</si>
  <si>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</si>
  <si>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</si>
  <si>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</si>
  <si>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</si>
  <si>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</si>
  <si>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</si>
  <si>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</si>
  <si>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</si>
  <si>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</si>
  <si>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</si>
  <si>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</si>
  <si>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</si>
  <si>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</si>
  <si>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</si>
  <si>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</si>
  <si>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23101508</t>
  </si>
  <si>
    <t>24141705</t>
  </si>
  <si>
    <t>Kits de modificación de teléfonos</t>
  </si>
  <si>
    <t>Sala de conferencias</t>
  </si>
  <si>
    <t>Forjas de plomo maquinadas con impresión por troquel</t>
  </si>
  <si>
    <t>Tarjetas de patrones o actividades de bloques para patrones</t>
  </si>
  <si>
    <t>Servicios de rociado de frutas o verduras</t>
  </si>
  <si>
    <t>Cámara de neumáticos o tubos para bicicleta</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</si>
  <si>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</si>
  <si>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</si>
  <si>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</si>
  <si>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</si>
  <si>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</si>
  <si>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</si>
  <si>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</si>
  <si>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</si>
  <si>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</si>
  <si>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</si>
  <si>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</si>
  <si>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</si>
  <si>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</si>
  <si>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</si>
  <si>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</si>
  <si>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</si>
  <si>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</si>
  <si>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</si>
  <si>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</si>
  <si>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</si>
  <si>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</si>
  <si>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</si>
  <si>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</si>
  <si>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</si>
  <si>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</si>
  <si>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</si>
  <si>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</si>
  <si>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</si>
  <si>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</si>
  <si>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</si>
  <si>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</si>
  <si>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</si>
  <si>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</si>
  <si>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</si>
  <si>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</si>
  <si>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</si>
  <si>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</si>
  <si>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</si>
  <si>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</si>
  <si>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</si>
  <si>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</si>
  <si>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</si>
  <si>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</si>
  <si>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</si>
  <si>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</si>
  <si>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</si>
  <si>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</si>
  <si>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</si>
  <si>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20111709</t>
  </si>
  <si>
    <t>Papel crepé semi blanqueado</t>
  </si>
  <si>
    <t>Válvulas de seguridad de la superficie de boca de pozo</t>
  </si>
  <si>
    <t>Analizadores químicos</t>
  </si>
  <si>
    <t>Tapas de esterilización</t>
  </si>
  <si>
    <t>Impuesto sobre beneficios extraordinarios</t>
  </si>
  <si>
    <t>Adquisicion de Alguicidas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</si>
  <si>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</si>
  <si>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</si>
  <si>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</si>
  <si>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</si>
  <si>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</si>
  <si>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</si>
  <si>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</si>
  <si>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</si>
  <si>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</si>
  <si>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</si>
  <si>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</si>
  <si>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</si>
  <si>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</si>
  <si>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</si>
  <si>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</si>
  <si>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</si>
  <si>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 xml:space="preserve">Cobertor de timones o volantes </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</si>
  <si>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</si>
  <si>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</si>
  <si>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</si>
  <si>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</si>
  <si>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</si>
  <si>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</si>
  <si>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</si>
  <si>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</si>
  <si>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</si>
  <si>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</si>
  <si>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</si>
  <si>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</si>
  <si>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Adquisicion de Lanyard</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</si>
  <si>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</si>
  <si>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</si>
  <si>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</si>
  <si>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</si>
  <si>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</si>
  <si>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</si>
  <si>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</si>
  <si>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</si>
  <si>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</si>
  <si>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</si>
  <si>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</si>
  <si>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</si>
  <si>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</si>
  <si>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</si>
  <si>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</si>
  <si>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</si>
  <si>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</si>
  <si>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</si>
  <si>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</si>
  <si>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</si>
  <si>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</si>
  <si>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</si>
  <si>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</si>
  <si>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</si>
  <si>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</si>
  <si>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</si>
  <si>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</si>
  <si>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</si>
  <si>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</si>
  <si>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</si>
  <si>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Acolchado de caucho de la llave</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</si>
  <si>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</si>
  <si>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</si>
  <si>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</si>
  <si>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</si>
  <si>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</si>
  <si>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</si>
  <si>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</si>
  <si>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</si>
  <si>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</si>
  <si>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</si>
  <si>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</si>
  <si>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</si>
  <si>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</si>
  <si>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</si>
  <si>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</si>
  <si>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</si>
  <si>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</si>
  <si>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</si>
  <si>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</si>
  <si>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</si>
  <si>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</si>
  <si>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</si>
  <si>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</si>
  <si>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</si>
  <si>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</si>
  <si>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</si>
  <si>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</si>
  <si>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</si>
  <si>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</si>
  <si>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</si>
  <si>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</si>
  <si>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</si>
  <si>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</si>
  <si>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Mesas para encima de la cama o accesorios</t>
  </si>
  <si>
    <t>Criostatos</t>
  </si>
  <si>
    <t>Servicios de talleres postales</t>
  </si>
  <si>
    <t>Software de sistemas de manejo de base datos</t>
  </si>
  <si>
    <t>Libros de cocina o recetarios</t>
  </si>
  <si>
    <t>Servicios de mantenimiento del alumbrado</t>
  </si>
  <si>
    <t>Servicios de tatuajes</t>
  </si>
  <si>
    <t>Casamata militar</t>
  </si>
  <si>
    <t xml:space="preserve">Amplificador de señal de discos de vinilo </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</si>
  <si>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</si>
  <si>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</si>
  <si>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</si>
  <si>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</si>
  <si>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</si>
  <si>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</si>
  <si>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</si>
  <si>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</si>
  <si>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</si>
  <si>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</si>
  <si>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</si>
  <si>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</si>
  <si>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</si>
  <si>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</si>
  <si>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Sistema móvil de rayos x</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</si>
  <si>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</si>
  <si>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</si>
  <si>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</si>
  <si>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</si>
  <si>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</si>
  <si>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</si>
  <si>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</si>
  <si>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</si>
  <si>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</si>
  <si>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</si>
  <si>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</si>
  <si>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</si>
  <si>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</si>
  <si>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</si>
  <si>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</si>
  <si>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</si>
  <si>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</si>
  <si>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</si>
  <si>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</si>
  <si>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</si>
  <si>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</si>
  <si>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</si>
  <si>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</si>
  <si>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</si>
  <si>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</si>
  <si>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</si>
  <si>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</si>
  <si>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</si>
  <si>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</si>
  <si>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</si>
  <si>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Lámpara Led</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</si>
  <si>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</si>
  <si>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</si>
  <si>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</si>
  <si>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</si>
  <si>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</si>
  <si>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</si>
  <si>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</si>
  <si>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</si>
  <si>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</si>
  <si>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</si>
  <si>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</si>
  <si>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</si>
  <si>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</si>
  <si>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</si>
  <si>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</si>
  <si>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</si>
  <si>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</si>
  <si>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</si>
  <si>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</si>
  <si>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</si>
  <si>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</si>
  <si>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Servicios de mantenimiento y reparación de camiones pesados</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</si>
  <si>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</si>
  <si>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</si>
  <si>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</si>
  <si>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</si>
  <si>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</si>
  <si>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</si>
  <si>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</si>
  <si>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</si>
  <si>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</si>
  <si>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</si>
  <si>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</si>
  <si>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</si>
  <si>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</si>
  <si>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</si>
  <si>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</si>
  <si>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</si>
  <si>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</si>
  <si>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</si>
  <si>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</si>
  <si>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</si>
  <si>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</si>
  <si>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</si>
  <si>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</si>
  <si>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23232001</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</si>
  <si>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</si>
  <si>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</si>
  <si>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</si>
  <si>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</si>
  <si>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</si>
  <si>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</si>
  <si>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</si>
  <si>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</si>
  <si>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</si>
  <si>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</si>
  <si>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</si>
  <si>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</si>
  <si>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</si>
  <si>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</si>
  <si>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</si>
  <si>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</si>
  <si>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</si>
  <si>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</si>
  <si>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</si>
  <si>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</si>
  <si>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</si>
  <si>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</si>
  <si>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</si>
  <si>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</si>
  <si>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</si>
  <si>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</si>
  <si>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</si>
  <si>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</si>
  <si>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</si>
  <si>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</si>
  <si>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</si>
  <si>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</si>
  <si>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</si>
  <si>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</si>
  <si>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</si>
  <si>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</si>
  <si>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</si>
  <si>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80101502</t>
  </si>
  <si>
    <t>Munición para deportes</t>
  </si>
  <si>
    <t>Pedro Brand</t>
  </si>
  <si>
    <t>Minería hidráulica</t>
  </si>
  <si>
    <t>Estribos del taladro de perforación</t>
  </si>
  <si>
    <t>14111515</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</si>
  <si>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</si>
  <si>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</si>
  <si>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</si>
  <si>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</si>
  <si>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</si>
  <si>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</si>
  <si>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</si>
  <si>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</si>
  <si>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</si>
  <si>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</si>
  <si>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</si>
  <si>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</si>
  <si>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</si>
  <si>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</si>
  <si>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</si>
  <si>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42182105</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</si>
  <si>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</si>
  <si>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</si>
  <si>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</si>
  <si>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</si>
  <si>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</si>
  <si>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</si>
  <si>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</si>
  <si>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</si>
  <si>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</si>
  <si>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</si>
  <si>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</si>
  <si>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</si>
  <si>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</si>
  <si>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</si>
  <si>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</si>
  <si>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</si>
  <si>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</si>
  <si>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</si>
  <si>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</si>
  <si>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</si>
  <si>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</si>
  <si>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</si>
  <si>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</si>
  <si>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</si>
  <si>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</si>
  <si>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</si>
  <si>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</si>
  <si>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</si>
  <si>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</si>
  <si>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</si>
  <si>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</si>
  <si>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</si>
  <si>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Adquición de Articulos Ferreteros</t>
  </si>
  <si>
    <t>Servicios de fabricación de cemento o cal o yeso</t>
  </si>
  <si>
    <t>Bolas de billar</t>
  </si>
  <si>
    <t>Sen o senósidos</t>
  </si>
  <si>
    <t>Acueductos</t>
  </si>
  <si>
    <t xml:space="preserve">Contratacion de servicio de transporte y/o alquileres </t>
  </si>
  <si>
    <t>Tubos fotomultiplicadores</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</si>
  <si>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</si>
  <si>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</si>
  <si>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</si>
  <si>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</si>
  <si>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</si>
  <si>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</si>
  <si>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</si>
  <si>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</si>
  <si>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</si>
  <si>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</si>
  <si>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</si>
  <si>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</si>
  <si>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</si>
  <si>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</si>
  <si>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</si>
  <si>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</si>
  <si>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</si>
  <si>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</si>
  <si>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</si>
  <si>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</si>
  <si>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</si>
  <si>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Colchas aislantes</t>
  </si>
  <si>
    <t>Platos especiales para bacterias</t>
  </si>
  <si>
    <t>Cajas registradoras de juguete</t>
  </si>
  <si>
    <t>Componentes de plomo estampados</t>
  </si>
  <si>
    <t>Espéculos para otoscopia</t>
  </si>
  <si>
    <t>Interruptores de mercurio</t>
  </si>
  <si>
    <t>Tractores delanteros de cabina baja</t>
  </si>
  <si>
    <t>39121305</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</si>
  <si>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</si>
  <si>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</si>
  <si>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</si>
  <si>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</si>
  <si>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</si>
  <si>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</si>
  <si>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</si>
  <si>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</si>
  <si>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</si>
  <si>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</si>
  <si>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</si>
  <si>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</si>
  <si>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</si>
  <si>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</si>
  <si>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</si>
  <si>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Contratacion de servicios de planificacion de reuniones y eventos</t>
  </si>
  <si>
    <t>Coladores de aceite</t>
  </si>
  <si>
    <t>Retenedores o accesorios para filtros</t>
  </si>
  <si>
    <t>72131601</t>
  </si>
  <si>
    <t>Alambre de cobre "nu gold"</t>
  </si>
  <si>
    <t>Componentes de magnesio formados con explosivos</t>
  </si>
  <si>
    <t>27112813</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</si>
  <si>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</si>
  <si>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</si>
  <si>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</si>
  <si>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</si>
  <si>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</si>
  <si>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</si>
  <si>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</si>
  <si>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</si>
  <si>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</si>
  <si>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</si>
  <si>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</si>
  <si>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</si>
  <si>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</si>
  <si>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</si>
  <si>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82111501</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</si>
  <si>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</si>
  <si>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</si>
  <si>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</si>
  <si>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</si>
  <si>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</si>
  <si>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</si>
  <si>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</si>
  <si>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</si>
  <si>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</si>
  <si>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</si>
  <si>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</si>
  <si>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Escritura y traducciones</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</si>
  <si>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</si>
  <si>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</si>
  <si>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</si>
  <si>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</si>
  <si>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</si>
  <si>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</si>
  <si>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</si>
  <si>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</si>
  <si>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</si>
  <si>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</si>
  <si>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</si>
  <si>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</si>
  <si>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</si>
  <si>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</si>
  <si>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</si>
  <si>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</si>
  <si>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</si>
  <si>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</si>
  <si>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</si>
  <si>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</si>
  <si>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</si>
  <si>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</si>
  <si>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</si>
  <si>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</si>
  <si>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</si>
  <si>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</si>
  <si>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</si>
  <si>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</si>
  <si>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</si>
  <si>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</si>
  <si>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</si>
  <si>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</si>
  <si>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</si>
  <si>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</si>
  <si>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</si>
  <si>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</si>
  <si>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</si>
  <si>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</si>
  <si>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</si>
  <si>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51191603</t>
  </si>
  <si>
    <t>Instalación de controles electrónicos</t>
  </si>
  <si>
    <t>Sucralfato</t>
  </si>
  <si>
    <t>Melatonina</t>
  </si>
  <si>
    <t>Guardabarros</t>
  </si>
  <si>
    <t>Herramientas de perforación direccional de hoyo derecho</t>
  </si>
  <si>
    <t>Servicios de payasos</t>
  </si>
  <si>
    <t>Servicio de construcción de canales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</si>
  <si>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</si>
  <si>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</si>
  <si>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</si>
  <si>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</si>
  <si>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</si>
  <si>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</si>
  <si>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</si>
  <si>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</si>
  <si>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</si>
  <si>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</si>
  <si>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</si>
  <si>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</si>
  <si>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</si>
  <si>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</si>
  <si>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</si>
  <si>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</si>
  <si>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</si>
  <si>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</si>
  <si>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</si>
  <si>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</si>
  <si>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</si>
  <si>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</si>
  <si>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</si>
  <si>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</si>
  <si>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41113630</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</si>
  <si>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</si>
  <si>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</si>
  <si>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</si>
  <si>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</si>
  <si>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</si>
  <si>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</si>
  <si>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</si>
  <si>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</si>
  <si>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44112005</t>
  </si>
  <si>
    <t>Central de energía eólica</t>
  </si>
  <si>
    <t>Sonares</t>
  </si>
  <si>
    <t>41102404</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</si>
  <si>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</si>
  <si>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</si>
  <si>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</si>
  <si>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</si>
  <si>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</si>
  <si>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</si>
  <si>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</si>
  <si>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</si>
  <si>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</si>
  <si>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</si>
  <si>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</si>
  <si>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</si>
  <si>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</si>
  <si>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</si>
  <si>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</si>
  <si>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</si>
  <si>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</si>
  <si>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</si>
  <si>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</si>
  <si>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</si>
  <si>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</si>
  <si>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</si>
  <si>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</si>
  <si>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</si>
  <si>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</si>
  <si>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</si>
  <si>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</si>
  <si>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</si>
  <si>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</si>
  <si>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</si>
  <si>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</si>
  <si>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</si>
  <si>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</si>
  <si>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</si>
  <si>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</si>
  <si>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</si>
  <si>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</si>
  <si>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</si>
  <si>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</si>
  <si>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</si>
  <si>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</si>
  <si>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</si>
  <si>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</si>
  <si>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</si>
  <si>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</si>
  <si>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</si>
  <si>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</si>
  <si>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</si>
  <si>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</si>
  <si>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</si>
  <si>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</si>
  <si>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53102710</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</si>
  <si>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</si>
  <si>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</si>
  <si>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</si>
  <si>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</si>
  <si>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</si>
  <si>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</si>
  <si>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</si>
  <si>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</si>
  <si>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</si>
  <si>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</si>
  <si>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</si>
  <si>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</si>
  <si>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</si>
  <si>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</si>
  <si>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</si>
  <si>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</si>
  <si>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</si>
  <si>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</si>
  <si>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Herramientas  de  mano</t>
  </si>
  <si>
    <t>Objetos de acero inoxidable fundidos por moldeo en cáscara</t>
  </si>
  <si>
    <t>Bandejas o cubetas para instrumentos dentales</t>
  </si>
  <si>
    <t>Sistemas de audio conferencias</t>
  </si>
  <si>
    <t>Coladeras para uso comercial</t>
  </si>
  <si>
    <t>Servicio de arrendamiento de oficinas portátiles o modulares</t>
  </si>
  <si>
    <t>Polímero cristal líquido lcp</t>
  </si>
  <si>
    <t>Alarma de subtensión</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</si>
  <si>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</si>
  <si>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</si>
  <si>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</si>
  <si>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</si>
  <si>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</si>
  <si>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</si>
  <si>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</si>
  <si>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</si>
  <si>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</si>
  <si>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</si>
  <si>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</si>
  <si>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</si>
  <si>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</si>
  <si>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</si>
  <si>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</si>
  <si>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</si>
  <si>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</si>
  <si>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</si>
  <si>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</si>
  <si>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</si>
  <si>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</si>
  <si>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</si>
  <si>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</si>
  <si>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</si>
  <si>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50202310</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</si>
  <si>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</si>
  <si>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</si>
  <si>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</si>
  <si>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</si>
  <si>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</si>
  <si>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</si>
  <si>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</si>
  <si>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</si>
  <si>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</si>
  <si>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</si>
  <si>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</si>
  <si>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</si>
  <si>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</si>
  <si>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</si>
  <si>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</si>
  <si>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</si>
  <si>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</si>
  <si>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</si>
  <si>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</si>
  <si>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</si>
  <si>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</si>
  <si>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</si>
  <si>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</si>
  <si>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</si>
  <si>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</si>
  <si>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</si>
  <si>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</si>
  <si>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</si>
  <si>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</si>
  <si>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</si>
  <si>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</si>
  <si>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</si>
  <si>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</si>
  <si>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</si>
  <si>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</si>
  <si>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Jeringas de cromatografía</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</si>
  <si>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</si>
  <si>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</si>
  <si>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</si>
  <si>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</si>
  <si>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</si>
  <si>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</si>
  <si>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</si>
  <si>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</si>
  <si>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</si>
  <si>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</si>
  <si>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</si>
  <si>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</si>
  <si>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</si>
  <si>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</si>
  <si>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</si>
  <si>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</si>
  <si>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Codificador de grupo de expertos de películas animadas mpeg</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</si>
  <si>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</si>
  <si>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</si>
  <si>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</si>
  <si>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</si>
  <si>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</si>
  <si>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</si>
  <si>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</si>
  <si>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</si>
  <si>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</si>
  <si>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</si>
  <si>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</si>
  <si>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</si>
  <si>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</si>
  <si>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</si>
  <si>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</si>
  <si>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</si>
  <si>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</si>
  <si>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</si>
  <si>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</si>
  <si>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</si>
  <si>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</si>
  <si>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</si>
  <si>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</si>
  <si>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</si>
  <si>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</si>
  <si>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</si>
  <si>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</si>
  <si>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</si>
  <si>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</si>
  <si>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</si>
  <si>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</si>
  <si>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</si>
  <si>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</si>
  <si>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</si>
  <si>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</si>
  <si>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</si>
  <si>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</si>
  <si>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 xml:space="preserve"> Luz de seguridad personal</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</si>
  <si>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</si>
  <si>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</si>
  <si>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</si>
  <si>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</si>
  <si>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</si>
  <si>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</si>
  <si>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</si>
  <si>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</si>
  <si>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</si>
  <si>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</si>
  <si>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</si>
  <si>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</si>
  <si>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</si>
  <si>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</si>
  <si>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</si>
  <si>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</si>
  <si>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</si>
  <si>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</si>
  <si>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</si>
  <si>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</si>
  <si>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</si>
  <si>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</si>
  <si>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</si>
  <si>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</si>
  <si>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</si>
  <si>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</si>
  <si>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39121701</t>
  </si>
  <si>
    <t>Tiaras</t>
  </si>
  <si>
    <t>39121721</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</si>
  <si>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</si>
  <si>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</si>
  <si>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</si>
  <si>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</si>
  <si>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</si>
  <si>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</si>
  <si>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</si>
  <si>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</si>
  <si>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</si>
  <si>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</si>
  <si>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</si>
  <si>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Productos para los servicios médicos de urgencias y campo</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</si>
  <si>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</si>
  <si>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</si>
  <si>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</si>
  <si>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</si>
  <si>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</si>
  <si>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</si>
  <si>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</si>
  <si>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</si>
  <si>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</si>
  <si>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</si>
  <si>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</si>
  <si>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</si>
  <si>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Establecimientos de comida rápida.</t>
  </si>
  <si>
    <t>Libros de recursos o actividades de la multiplicación</t>
  </si>
  <si>
    <t>Clorhidrato de terbinafina</t>
  </si>
  <si>
    <t>Set de muebles</t>
  </si>
  <si>
    <t>Acero en placa labrada</t>
  </si>
  <si>
    <t>Equipos de vacío o vapor de mercurio</t>
  </si>
  <si>
    <t>40101605</t>
  </si>
  <si>
    <t>Servicios de herbicidas</t>
  </si>
  <si>
    <t>Máquinas para hacer pulpa de madera</t>
  </si>
  <si>
    <t>81112501</t>
  </si>
  <si>
    <t>Tubos o estiradores endoscopicos</t>
  </si>
  <si>
    <t>Incubadoras para cultivo de tejidos</t>
  </si>
  <si>
    <t>Sandalias para hombre</t>
  </si>
  <si>
    <t>Reparación y mantenimiento de automóvil y de camiones ligeros</t>
  </si>
  <si>
    <t>Equipo para el esquilar o peluquear de animales</t>
  </si>
  <si>
    <t>Estaciones de trabajo químico para uso forense</t>
  </si>
  <si>
    <t>26121532</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</si>
  <si>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</si>
  <si>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</si>
  <si>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</si>
  <si>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</si>
  <si>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</si>
  <si>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</si>
  <si>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</si>
  <si>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</si>
  <si>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</si>
  <si>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</si>
  <si>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</si>
  <si>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</si>
  <si>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</si>
  <si>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</si>
  <si>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</si>
  <si>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</si>
  <si>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</si>
  <si>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</si>
  <si>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</si>
  <si>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</si>
  <si>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</si>
  <si>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</si>
  <si>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</si>
  <si>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</si>
  <si>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</si>
  <si>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</si>
  <si>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</si>
  <si>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</si>
  <si>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</si>
  <si>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</si>
  <si>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</si>
  <si>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40142317</t>
  </si>
  <si>
    <t>Pétalos secos</t>
  </si>
  <si>
    <t>Alquiler de perros guardianes</t>
  </si>
  <si>
    <t>Elementos  y  gases</t>
  </si>
  <si>
    <t>Postrer Río</t>
  </si>
  <si>
    <t>Componentes no metálicos formados con explosivos</t>
  </si>
  <si>
    <t>Equipo para producción submarina de boca de pozo</t>
  </si>
  <si>
    <t>Reservas de metales preciosos</t>
  </si>
  <si>
    <t>Software de navegación de rutas</t>
  </si>
  <si>
    <t>Chapa de caucho</t>
  </si>
  <si>
    <t>23171512</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</si>
  <si>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</si>
  <si>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</si>
  <si>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</si>
  <si>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</si>
  <si>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</si>
  <si>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</si>
  <si>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</si>
  <si>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</si>
  <si>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</si>
  <si>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</si>
  <si>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</si>
  <si>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</si>
  <si>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</si>
  <si>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</si>
  <si>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</si>
  <si>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</si>
  <si>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</si>
  <si>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</si>
  <si>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</si>
  <si>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</si>
  <si>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</si>
  <si>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</si>
  <si>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</si>
  <si>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</si>
  <si>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</si>
  <si>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</si>
  <si>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</si>
  <si>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</si>
  <si>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</si>
  <si>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</si>
  <si>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</si>
  <si>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</si>
  <si>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</si>
  <si>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</si>
  <si>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</si>
  <si>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</si>
  <si>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</si>
  <si>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</si>
  <si>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</si>
  <si>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</si>
  <si>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</si>
  <si>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</si>
  <si>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</si>
  <si>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</si>
  <si>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</si>
  <si>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</si>
  <si>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</si>
  <si>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</si>
  <si>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</si>
  <si>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</si>
  <si>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</si>
  <si>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</si>
  <si>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</si>
  <si>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</si>
  <si>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</si>
  <si>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</si>
  <si>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</si>
  <si>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</si>
  <si>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</si>
  <si>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</si>
  <si>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</si>
  <si>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</si>
  <si>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</si>
  <si>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</si>
  <si>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</si>
  <si>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</si>
  <si>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</si>
  <si>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</si>
  <si>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</si>
  <si>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</si>
  <si>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</si>
  <si>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</si>
  <si>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</si>
  <si>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</si>
  <si>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</si>
  <si>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</si>
  <si>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</si>
  <si>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</si>
  <si>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</si>
  <si>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</si>
  <si>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</si>
  <si>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</si>
  <si>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</si>
  <si>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</si>
  <si>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</si>
  <si>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</si>
  <si>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</si>
  <si>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</si>
  <si>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</si>
  <si>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</si>
  <si>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</si>
  <si>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</si>
  <si>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</si>
  <si>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</si>
  <si>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</si>
  <si>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</si>
  <si>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</si>
  <si>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</si>
  <si>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</si>
  <si>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47131618</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</si>
  <si>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</si>
  <si>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</si>
  <si>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</si>
  <si>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</si>
  <si>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</si>
  <si>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</si>
  <si>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</si>
  <si>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</si>
  <si>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</si>
  <si>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</si>
  <si>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</si>
  <si>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</si>
  <si>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</si>
  <si>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</si>
  <si>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</si>
  <si>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</si>
  <si>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</si>
  <si>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</si>
  <si>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</si>
  <si>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</si>
  <si>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</si>
  <si>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</si>
  <si>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</si>
  <si>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</si>
  <si>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</si>
  <si>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</si>
  <si>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Nivel</t>
  </si>
  <si>
    <t>Gabinetes de control de presión de aire para uso médico</t>
  </si>
  <si>
    <t>Dispositivos para colgar cuadros</t>
  </si>
  <si>
    <t>Irbesartán</t>
  </si>
  <si>
    <t>Láminas de silicona</t>
  </si>
  <si>
    <t>72101607</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</si>
  <si>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</si>
  <si>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</si>
  <si>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</si>
  <si>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</si>
  <si>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</si>
  <si>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</si>
  <si>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</si>
  <si>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</si>
  <si>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</si>
  <si>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</si>
  <si>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</si>
  <si>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</si>
  <si>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</si>
  <si>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</si>
  <si>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</si>
  <si>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</si>
  <si>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</si>
  <si>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</si>
  <si>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45121504</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</si>
  <si>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</si>
  <si>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</si>
  <si>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</si>
  <si>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</si>
  <si>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</si>
  <si>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</si>
  <si>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</si>
  <si>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</si>
  <si>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</si>
  <si>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</si>
  <si>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</si>
  <si>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</si>
  <si>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</si>
  <si>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</si>
  <si>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</si>
  <si>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</si>
  <si>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</si>
  <si>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</si>
  <si>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</si>
  <si>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</si>
  <si>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Utensilios de cocina domésticos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</si>
  <si>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</si>
  <si>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</si>
  <si>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</si>
  <si>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</si>
  <si>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</si>
  <si>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</si>
  <si>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</si>
  <si>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</si>
  <si>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</si>
  <si>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</si>
  <si>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</si>
  <si>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</si>
  <si>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</si>
  <si>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</si>
  <si>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</si>
  <si>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</si>
  <si>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</si>
  <si>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</si>
  <si>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</si>
  <si>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</si>
  <si>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</si>
  <si>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</si>
  <si>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</si>
  <si>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</si>
  <si>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</si>
  <si>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</si>
  <si>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</si>
  <si>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</si>
  <si>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</si>
  <si>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</si>
  <si>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</si>
  <si>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</si>
  <si>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</si>
  <si>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</si>
  <si>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</si>
  <si>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</si>
  <si>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</si>
  <si>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</si>
  <si>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</si>
  <si>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</si>
  <si>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</si>
  <si>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</si>
  <si>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</si>
  <si>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</si>
  <si>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</si>
  <si>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</si>
  <si>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</si>
  <si>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</si>
  <si>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</si>
  <si>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</si>
  <si>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</si>
  <si>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</si>
  <si>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</si>
  <si>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</si>
  <si>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31201617</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</si>
  <si>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</si>
  <si>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</si>
  <si>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</si>
  <si>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</si>
  <si>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</si>
  <si>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</si>
  <si>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</si>
  <si>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</si>
  <si>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</si>
  <si>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</si>
  <si>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</si>
  <si>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</si>
  <si>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</si>
  <si>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</si>
  <si>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</si>
  <si>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</si>
  <si>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Kit de preparación para prótesis de pene.</t>
  </si>
  <si>
    <t>Anillo de pistón</t>
  </si>
  <si>
    <t>Servicio de licencias de programas informáticos</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</si>
  <si>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</si>
  <si>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</si>
  <si>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</si>
  <si>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</si>
  <si>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</si>
  <si>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</si>
  <si>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</si>
  <si>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</si>
  <si>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</si>
  <si>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</si>
  <si>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</si>
  <si>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</si>
  <si>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</si>
  <si>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</si>
  <si>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</si>
  <si>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</si>
  <si>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</si>
  <si>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</si>
  <si>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</si>
  <si>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</si>
  <si>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</si>
  <si>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</si>
  <si>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</si>
  <si>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</si>
  <si>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</si>
  <si>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</si>
  <si>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</si>
  <si>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</si>
  <si>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</si>
  <si>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</si>
  <si>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</si>
  <si>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</si>
  <si>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</si>
  <si>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</si>
  <si>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</si>
  <si>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</si>
  <si>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</si>
  <si>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</si>
  <si>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</si>
  <si>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</si>
  <si>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</si>
  <si>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</si>
  <si>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</si>
  <si>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</si>
  <si>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</si>
  <si>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</si>
  <si>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</si>
  <si>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</si>
  <si>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52141503</t>
  </si>
  <si>
    <t>Lámparas de calor o sus accesorios para uso médico</t>
  </si>
  <si>
    <t>Partes de repuesto para bombas de alcantarillado</t>
  </si>
  <si>
    <t>Equipo de circuito de conmutador</t>
  </si>
  <si>
    <t>Navas</t>
  </si>
  <si>
    <t>Caballos</t>
  </si>
  <si>
    <t>Anillos de molde o suministros relacionados para uso odontológico</t>
  </si>
  <si>
    <t>Minerales, minerales metálicos y metales</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</si>
  <si>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</si>
  <si>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</si>
  <si>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</si>
  <si>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</si>
  <si>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</si>
  <si>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</si>
  <si>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</si>
  <si>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</si>
  <si>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</si>
  <si>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</si>
  <si>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</si>
  <si>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</si>
  <si>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</si>
  <si>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</si>
  <si>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</si>
  <si>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</si>
  <si>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</si>
  <si>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</si>
  <si>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</si>
  <si>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</si>
  <si>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</si>
  <si>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</si>
  <si>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</si>
  <si>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</si>
  <si>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</si>
  <si>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31162414</t>
  </si>
  <si>
    <t>Oximas</t>
  </si>
  <si>
    <t>Valoración del estado de salud individual</t>
  </si>
  <si>
    <t>Guías de referencia de preálgebra o álgebra</t>
  </si>
  <si>
    <t>Adquisicion e Varillas</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</si>
  <si>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</si>
  <si>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</si>
  <si>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</si>
  <si>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</si>
  <si>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</si>
  <si>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</si>
  <si>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</si>
  <si>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</si>
  <si>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</si>
  <si>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</si>
  <si>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</si>
  <si>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</si>
  <si>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</si>
  <si>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</si>
  <si>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</si>
  <si>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</si>
  <si>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</si>
  <si>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</si>
  <si>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</si>
  <si>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</si>
  <si>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51161811</t>
  </si>
  <si>
    <t>42181501</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</si>
  <si>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</si>
  <si>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</si>
  <si>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</si>
  <si>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</si>
  <si>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</si>
  <si>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</si>
  <si>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</si>
  <si>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</si>
  <si>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</si>
  <si>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</si>
  <si>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</si>
  <si>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</si>
  <si>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</si>
  <si>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</si>
  <si>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</si>
  <si>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</si>
  <si>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</si>
  <si>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</si>
  <si>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</si>
  <si>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</si>
  <si>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</si>
  <si>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</si>
  <si>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44121716</t>
  </si>
  <si>
    <t>Estantes para tubos de ensayo</t>
  </si>
  <si>
    <t>Fundición en arena de zinc</t>
  </si>
  <si>
    <t>Perforadora de avance</t>
  </si>
  <si>
    <t>Sujetadores de esferos o lápices</t>
  </si>
  <si>
    <t>Concesiones de guardarropía</t>
  </si>
  <si>
    <t xml:space="preserve">Contratacion de servicio de serigrafiado e impresión </t>
  </si>
  <si>
    <t>44121706</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</si>
  <si>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</si>
  <si>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</si>
  <si>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</si>
  <si>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</si>
  <si>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</si>
  <si>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</si>
  <si>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</si>
  <si>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</si>
  <si>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</si>
  <si>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</si>
  <si>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</si>
  <si>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</si>
  <si>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</si>
  <si>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</si>
  <si>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</si>
  <si>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</si>
  <si>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</si>
  <si>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</si>
  <si>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</si>
  <si>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</si>
  <si>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</si>
  <si>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</si>
  <si>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</si>
  <si>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</si>
  <si>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</si>
  <si>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</si>
  <si>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</si>
  <si>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</si>
  <si>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</si>
  <si>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</si>
  <si>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</si>
  <si>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</si>
  <si>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</si>
  <si>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</si>
  <si>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</si>
  <si>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</si>
  <si>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</si>
  <si>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</si>
  <si>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</si>
  <si>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</si>
  <si>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81141504</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</si>
  <si>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</si>
  <si>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</si>
  <si>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</si>
  <si>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</si>
  <si>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</si>
  <si>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</si>
  <si>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</si>
  <si>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</si>
  <si>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</si>
  <si>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</si>
  <si>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</si>
  <si>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</si>
  <si>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</si>
  <si>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</si>
  <si>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</si>
  <si>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</si>
  <si>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</si>
  <si>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</si>
  <si>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</si>
  <si>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40141636</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</si>
  <si>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</si>
  <si>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</si>
  <si>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</si>
  <si>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</si>
  <si>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</si>
  <si>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</si>
  <si>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</si>
  <si>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</si>
  <si>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</si>
  <si>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</si>
  <si>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</si>
  <si>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</si>
  <si>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</si>
  <si>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</si>
  <si>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</si>
  <si>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</si>
  <si>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</si>
  <si>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</si>
  <si>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</si>
  <si>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</si>
  <si>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</si>
  <si>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</si>
  <si>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</si>
  <si>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</si>
  <si>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</si>
  <si>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</si>
  <si>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</si>
  <si>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</si>
  <si>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</si>
  <si>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</si>
  <si>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</si>
  <si>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</si>
  <si>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</si>
  <si>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</si>
  <si>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</si>
  <si>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</si>
  <si>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</si>
  <si>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</si>
  <si>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</si>
  <si>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</si>
  <si>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</si>
  <si>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</si>
  <si>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</si>
  <si>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</si>
  <si>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</si>
  <si>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</si>
  <si>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</si>
  <si>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</si>
  <si>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</si>
  <si>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</si>
  <si>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</si>
  <si>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</si>
  <si>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</si>
  <si>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</si>
  <si>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</si>
  <si>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</si>
  <si>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</si>
  <si>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</si>
  <si>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</si>
  <si>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</si>
  <si>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</si>
  <si>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</si>
  <si>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</si>
  <si>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</si>
  <si>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</si>
  <si>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</si>
  <si>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</si>
  <si>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</si>
  <si>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</si>
  <si>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</si>
  <si>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</si>
  <si>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</si>
  <si>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</si>
  <si>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</si>
  <si>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</si>
  <si>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</si>
  <si>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</si>
  <si>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</si>
  <si>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</si>
  <si>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</si>
  <si>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</si>
  <si>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</si>
  <si>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</si>
  <si>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47131611</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</si>
  <si>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</si>
  <si>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</si>
  <si>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</si>
  <si>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</si>
  <si>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</si>
  <si>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</si>
  <si>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</si>
  <si>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</si>
  <si>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</si>
  <si>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</si>
  <si>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</si>
  <si>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</si>
  <si>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</si>
  <si>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000916</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</si>
  <si>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</si>
  <si>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</si>
  <si>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</si>
  <si>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</si>
  <si>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</si>
  <si>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</si>
  <si>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</si>
  <si>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</si>
  <si>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</si>
  <si>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</si>
  <si>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</si>
  <si>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</si>
  <si>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Software de recursos humanos.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</si>
  <si>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</si>
  <si>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</si>
  <si>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</si>
  <si>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</si>
  <si>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</si>
  <si>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</si>
  <si>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</si>
  <si>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</si>
  <si>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</si>
  <si>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26121524</t>
  </si>
  <si>
    <t>Talegos de esterilización</t>
  </si>
  <si>
    <t>EL VALLE</t>
  </si>
  <si>
    <t>Estación de bombeo</t>
  </si>
  <si>
    <t>Conductos de acero</t>
  </si>
  <si>
    <t>Óxido de polietileno</t>
  </si>
  <si>
    <t>Flucitosina</t>
  </si>
  <si>
    <t>Trípodes para instrumentos</t>
  </si>
  <si>
    <t>Camisas o blusas para mujer</t>
  </si>
  <si>
    <t>23131703</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</si>
  <si>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</si>
  <si>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</si>
  <si>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</si>
  <si>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</si>
  <si>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</si>
  <si>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</si>
  <si>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</si>
  <si>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</si>
  <si>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</si>
  <si>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</si>
  <si>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</si>
  <si>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</si>
  <si>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</si>
  <si>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</si>
  <si>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</si>
  <si>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</si>
  <si>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</si>
  <si>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</si>
  <si>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</si>
  <si>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</si>
  <si>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</si>
  <si>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</si>
  <si>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</si>
  <si>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</si>
  <si>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Productos  animales  no  comestibles</t>
  </si>
  <si>
    <t>51102710</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</si>
  <si>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</si>
  <si>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</si>
  <si>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</si>
  <si>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</si>
  <si>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</si>
  <si>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</si>
  <si>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</si>
  <si>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</si>
  <si>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44122027</t>
  </si>
  <si>
    <t>Clorhidrato de bepridil</t>
  </si>
  <si>
    <t>Escudos térmicas</t>
  </si>
  <si>
    <t>Palos para convulsiones</t>
  </si>
  <si>
    <t>Injertos o injertos dobles hidráulicos</t>
  </si>
  <si>
    <t>TOTAL COMPRA ESTIMADA</t>
  </si>
  <si>
    <t>Interferon</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</si>
  <si>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</si>
  <si>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</si>
  <si>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</si>
  <si>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</si>
  <si>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</si>
  <si>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</si>
  <si>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</si>
  <si>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</si>
  <si>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</si>
  <si>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</si>
  <si>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</si>
  <si>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</si>
  <si>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</si>
  <si>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</si>
  <si>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</si>
  <si>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</si>
  <si>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</si>
  <si>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</si>
  <si>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</si>
  <si>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</si>
  <si>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</si>
  <si>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</si>
  <si>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</si>
  <si>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</si>
  <si>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</si>
  <si>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</si>
  <si>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</si>
  <si>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</si>
  <si>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</si>
  <si>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</si>
  <si>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</si>
  <si>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</si>
  <si>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</si>
  <si>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</si>
  <si>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</si>
  <si>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</si>
  <si>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31211504</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</si>
  <si>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</si>
  <si>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</si>
  <si>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</si>
  <si>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</si>
  <si>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</si>
  <si>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</si>
  <si>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</si>
  <si>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</si>
  <si>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</si>
  <si>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</si>
  <si>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</si>
  <si>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</si>
  <si>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</si>
  <si>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</si>
  <si>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</si>
  <si>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</si>
  <si>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</si>
  <si>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</si>
  <si>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</si>
  <si>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</si>
  <si>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</si>
  <si>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</si>
  <si>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</si>
  <si>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</si>
  <si>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</si>
  <si>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</si>
  <si>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</si>
  <si>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</si>
  <si>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</si>
  <si>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</si>
  <si>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</si>
  <si>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</si>
  <si>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</si>
  <si>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</si>
  <si>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</si>
  <si>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</si>
  <si>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</si>
  <si>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</si>
  <si>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</si>
  <si>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</si>
  <si>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</si>
  <si>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</si>
  <si>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</si>
  <si>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</si>
  <si>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</si>
  <si>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</si>
  <si>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</si>
  <si>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</si>
  <si>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</si>
  <si>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</si>
  <si>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</si>
  <si>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</si>
  <si>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</si>
  <si>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</si>
  <si>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</si>
  <si>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</si>
  <si>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</si>
  <si>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</si>
  <si>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</si>
  <si>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</si>
  <si>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</si>
  <si>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</si>
  <si>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</si>
  <si>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</si>
  <si>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Pistola de Electroshock</t>
  </si>
  <si>
    <t>Resina sulfuro de polifenilene</t>
  </si>
  <si>
    <t>47131803</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</si>
  <si>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</si>
  <si>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</si>
  <si>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</si>
  <si>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</si>
  <si>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</si>
  <si>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</si>
  <si>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</si>
  <si>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</si>
  <si>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</si>
  <si>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</si>
  <si>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</si>
  <si>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</si>
  <si>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</si>
  <si>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</si>
  <si>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</si>
  <si>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</si>
  <si>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</si>
  <si>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</si>
  <si>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</si>
  <si>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</si>
  <si>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</si>
  <si>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</si>
  <si>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</si>
  <si>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15101506</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</si>
  <si>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</si>
  <si>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</si>
  <si>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</si>
  <si>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</si>
  <si>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</si>
  <si>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</si>
  <si>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</si>
  <si>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</si>
  <si>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</si>
  <si>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</si>
  <si>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</si>
  <si>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</si>
  <si>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</si>
  <si>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</si>
  <si>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</si>
  <si>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</si>
  <si>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</si>
  <si>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</si>
  <si>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</si>
  <si>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</si>
  <si>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</si>
  <si>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</si>
  <si>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</si>
  <si>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</si>
  <si>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</si>
  <si>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</si>
  <si>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27111803</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</si>
  <si>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</si>
  <si>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</si>
  <si>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</si>
  <si>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</si>
  <si>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</si>
  <si>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</si>
  <si>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</si>
  <si>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</si>
  <si>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</si>
  <si>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</si>
  <si>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</si>
  <si>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</si>
  <si>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</si>
  <si>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</si>
  <si>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</si>
  <si>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</si>
  <si>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</si>
  <si>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</si>
  <si>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</si>
  <si>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</si>
  <si>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</si>
  <si>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</si>
  <si>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</si>
  <si>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</si>
  <si>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</si>
  <si>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</si>
  <si>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Códigos legales</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</si>
  <si>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</si>
  <si>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</si>
  <si>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</si>
  <si>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</si>
  <si>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</si>
  <si>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</si>
  <si>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</si>
  <si>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</si>
  <si>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</si>
  <si>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</si>
  <si>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</si>
  <si>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</si>
  <si>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</si>
  <si>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</si>
  <si>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</si>
  <si>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26121609</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</si>
  <si>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</si>
  <si>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</si>
  <si>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</si>
  <si>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</si>
  <si>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</si>
  <si>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</si>
  <si>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</si>
  <si>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</si>
  <si>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</si>
  <si>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</si>
  <si>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</si>
  <si>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</si>
  <si>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</si>
  <si>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</si>
  <si>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</si>
  <si>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</si>
  <si>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</si>
  <si>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</si>
  <si>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</si>
  <si>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</si>
  <si>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</si>
  <si>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</si>
  <si>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</si>
  <si>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</si>
  <si>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</si>
  <si>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</si>
  <si>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</si>
  <si>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</si>
  <si>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</si>
  <si>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</si>
  <si>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</si>
  <si>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</si>
  <si>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</si>
  <si>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</si>
  <si>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</si>
  <si>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</si>
  <si>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</si>
  <si>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</si>
  <si>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</si>
  <si>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</si>
  <si>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</si>
  <si>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</si>
  <si>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</si>
  <si>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</si>
  <si>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</si>
  <si>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</si>
  <si>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</si>
  <si>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</si>
  <si>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</si>
  <si>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</si>
  <si>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</si>
  <si>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</si>
  <si>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</si>
  <si>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Adquisicion de Material de Higiene</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</si>
  <si>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</si>
  <si>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</si>
  <si>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</si>
  <si>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</si>
  <si>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</si>
  <si>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</si>
  <si>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</si>
  <si>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</si>
  <si>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</si>
  <si>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</si>
  <si>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</si>
  <si>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</si>
  <si>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</si>
  <si>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</si>
  <si>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</si>
  <si>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</si>
  <si>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</si>
  <si>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</si>
  <si>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</si>
  <si>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</si>
  <si>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</si>
  <si>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</si>
  <si>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</si>
  <si>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</si>
  <si>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Mantenimiento o reparación de equipo médico menor</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</si>
  <si>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</si>
  <si>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</si>
  <si>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</si>
  <si>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</si>
  <si>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</si>
  <si>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</si>
  <si>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</si>
  <si>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</si>
  <si>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</si>
  <si>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</si>
  <si>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</si>
  <si>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</si>
  <si>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</si>
  <si>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</si>
  <si>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</si>
  <si>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</si>
  <si>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</si>
  <si>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</si>
  <si>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</si>
  <si>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</si>
  <si>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</si>
  <si>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</si>
  <si>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</si>
  <si>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</si>
  <si>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Esterilizador de teteros para uso doméstico</t>
  </si>
  <si>
    <t>Budesonida</t>
  </si>
  <si>
    <t>Beractant</t>
  </si>
  <si>
    <t>Soportes o retenes del rodamiento</t>
  </si>
  <si>
    <t>Pectina  purificada con acidophilus</t>
  </si>
  <si>
    <t>Aparato de electrones</t>
  </si>
  <si>
    <t>39121507</t>
  </si>
  <si>
    <t>Sistemas de inyección de parafina</t>
  </si>
  <si>
    <t>Reactivos analizadores de histología</t>
  </si>
  <si>
    <t>Cabinas de rociado</t>
  </si>
  <si>
    <t>Cable de puente eléctrico (jumper)</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</si>
  <si>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</si>
  <si>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</si>
  <si>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</si>
  <si>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</si>
  <si>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</si>
  <si>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</si>
  <si>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</si>
  <si>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</si>
  <si>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</si>
  <si>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</si>
  <si>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</si>
  <si>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</si>
  <si>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</si>
  <si>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</si>
  <si>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</si>
  <si>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</si>
  <si>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</si>
  <si>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</si>
  <si>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</si>
  <si>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</si>
  <si>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</si>
  <si>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</si>
  <si>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</si>
  <si>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</si>
  <si>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</si>
  <si>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</si>
  <si>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</si>
  <si>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</si>
  <si>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</si>
  <si>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</si>
  <si>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</si>
  <si>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</si>
  <si>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</si>
  <si>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</si>
  <si>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</si>
  <si>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</si>
  <si>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</si>
  <si>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</si>
  <si>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</si>
  <si>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</si>
  <si>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</si>
  <si>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</si>
  <si>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</si>
  <si>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</si>
  <si>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</si>
  <si>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</si>
  <si>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</si>
  <si>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</si>
  <si>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</si>
  <si>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</si>
  <si>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</si>
  <si>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</si>
  <si>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</si>
  <si>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</si>
  <si>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</si>
  <si>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</si>
  <si>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</si>
  <si>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</si>
  <si>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</si>
  <si>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</si>
  <si>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</si>
  <si>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</si>
  <si>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</si>
  <si>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</si>
  <si>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</si>
  <si>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</si>
  <si>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</si>
  <si>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</si>
  <si>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</si>
  <si>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</si>
  <si>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</si>
  <si>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</si>
  <si>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</si>
  <si>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</si>
  <si>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</si>
  <si>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</si>
  <si>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</si>
  <si>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</si>
  <si>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</si>
  <si>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23151820</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</si>
  <si>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</si>
  <si>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</si>
  <si>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</si>
  <si>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</si>
  <si>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</si>
  <si>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</si>
  <si>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</si>
  <si>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</si>
  <si>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</si>
  <si>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</si>
  <si>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</si>
  <si>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</si>
  <si>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</si>
  <si>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</si>
  <si>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</si>
  <si>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</si>
  <si>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</si>
  <si>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</si>
  <si>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</si>
  <si>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</si>
  <si>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</si>
  <si>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</si>
  <si>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</si>
  <si>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</si>
  <si>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</si>
  <si>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</si>
  <si>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</si>
  <si>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</si>
  <si>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</si>
  <si>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</si>
  <si>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</si>
  <si>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</si>
  <si>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</si>
  <si>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</si>
  <si>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</si>
  <si>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</si>
  <si>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</si>
  <si>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</si>
  <si>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</si>
  <si>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</si>
  <si>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</si>
  <si>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</si>
  <si>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</si>
  <si>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</si>
  <si>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</si>
  <si>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</si>
  <si>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</si>
  <si>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</si>
  <si>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</si>
  <si>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30102409</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</si>
  <si>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</si>
  <si>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</si>
  <si>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</si>
  <si>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</si>
  <si>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</si>
  <si>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</si>
  <si>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</si>
  <si>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</si>
  <si>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</si>
  <si>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</si>
  <si>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</si>
  <si>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</si>
  <si>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</si>
  <si>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</si>
  <si>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</si>
  <si>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</si>
  <si>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</si>
  <si>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</si>
  <si>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</si>
  <si>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</si>
  <si>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</si>
  <si>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</si>
  <si>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</si>
  <si>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</si>
  <si>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Servicio de perforación de compuertas flotantes</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</si>
  <si>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</si>
  <si>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</si>
  <si>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</si>
  <si>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</si>
  <si>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</si>
  <si>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</si>
  <si>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</si>
  <si>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</si>
  <si>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</si>
  <si>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</si>
  <si>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</si>
  <si>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</si>
  <si>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</si>
  <si>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</si>
  <si>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</si>
  <si>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</si>
  <si>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</si>
  <si>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</si>
  <si>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</si>
  <si>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27112101</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</si>
  <si>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</si>
  <si>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</si>
  <si>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</si>
  <si>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</si>
  <si>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</si>
  <si>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</si>
  <si>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</si>
  <si>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</si>
  <si>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</si>
  <si>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</si>
  <si>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</si>
  <si>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Bloques para aislamiento</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</si>
  <si>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</si>
  <si>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</si>
  <si>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</si>
  <si>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</si>
  <si>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</si>
  <si>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</si>
  <si>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</si>
  <si>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</si>
  <si>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</si>
  <si>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</si>
  <si>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</si>
  <si>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</si>
  <si>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</si>
  <si>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</si>
  <si>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</si>
  <si>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</si>
  <si>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</si>
  <si>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Lámparas fluorescentes compactas CFL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</si>
  <si>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</si>
  <si>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</si>
  <si>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</si>
  <si>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</si>
  <si>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</si>
  <si>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</si>
  <si>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</si>
  <si>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</si>
  <si>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</si>
  <si>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</si>
  <si>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</si>
  <si>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</si>
  <si>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</si>
  <si>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</si>
  <si>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</si>
  <si>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</si>
  <si>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</si>
  <si>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</si>
  <si>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</si>
  <si>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</si>
  <si>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</si>
  <si>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</si>
  <si>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</si>
  <si>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</si>
  <si>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</si>
  <si>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</si>
  <si>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</si>
  <si>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</si>
  <si>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</si>
  <si>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</si>
  <si>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Equipos y accesorios para acampada y exteriores</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</si>
  <si>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</si>
  <si>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</si>
  <si>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</si>
  <si>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</si>
  <si>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</si>
  <si>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</si>
  <si>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</si>
  <si>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</si>
  <si>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</si>
  <si>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</si>
  <si>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</si>
  <si>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</si>
  <si>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</si>
  <si>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</si>
  <si>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</si>
  <si>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</si>
  <si>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</si>
  <si>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</si>
  <si>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</si>
  <si>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</si>
  <si>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</si>
  <si>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</si>
  <si>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</si>
  <si>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</si>
  <si>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</si>
  <si>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</si>
  <si>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</si>
  <si>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</si>
  <si>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</si>
  <si>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</si>
  <si>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</si>
  <si>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</si>
  <si>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</si>
  <si>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</si>
  <si>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</si>
  <si>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</si>
  <si>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</si>
  <si>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</si>
  <si>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</si>
  <si>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</si>
  <si>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</si>
  <si>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</si>
  <si>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</si>
  <si>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51102709</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</si>
  <si>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</si>
  <si>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</si>
  <si>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</si>
  <si>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</si>
  <si>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</si>
  <si>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</si>
  <si>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</si>
  <si>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</si>
  <si>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</si>
  <si>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</si>
  <si>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</si>
  <si>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</si>
  <si>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</si>
  <si>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</si>
  <si>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</si>
  <si>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</si>
  <si>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Software</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</si>
  <si>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</si>
  <si>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</si>
  <si>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</si>
  <si>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</si>
  <si>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</si>
  <si>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</si>
  <si>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</si>
  <si>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</si>
  <si>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</si>
  <si>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</si>
  <si>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</si>
  <si>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</si>
  <si>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</si>
  <si>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</si>
  <si>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43211903</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</si>
  <si>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</si>
  <si>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</si>
  <si>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</si>
  <si>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</si>
  <si>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</si>
  <si>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</si>
  <si>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</si>
  <si>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</si>
  <si>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</si>
  <si>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</si>
  <si>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</si>
  <si>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</si>
  <si>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</si>
  <si>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</si>
  <si>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</si>
  <si>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</si>
  <si>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</si>
  <si>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</si>
  <si>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</si>
  <si>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</si>
  <si>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</si>
  <si>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</si>
  <si>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</si>
  <si>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</si>
  <si>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</si>
  <si>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</si>
  <si>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</si>
  <si>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</si>
  <si>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</si>
  <si>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</si>
  <si>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</si>
  <si>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</si>
  <si>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</si>
  <si>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</si>
  <si>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</si>
  <si>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</si>
  <si>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</si>
  <si>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</si>
  <si>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</si>
  <si>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</si>
  <si>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</si>
  <si>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</si>
  <si>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</si>
  <si>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</si>
  <si>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</si>
  <si>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</si>
  <si>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</si>
  <si>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</si>
  <si>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</si>
  <si>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</si>
  <si>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</si>
  <si>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</si>
  <si>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</si>
  <si>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</si>
  <si>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</si>
  <si>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</si>
  <si>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</si>
  <si>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</si>
  <si>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</si>
  <si>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</si>
  <si>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</si>
  <si>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</si>
  <si>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</si>
  <si>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</si>
  <si>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</si>
  <si>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</si>
  <si>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</si>
  <si>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</si>
  <si>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</si>
  <si>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</si>
  <si>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</si>
  <si>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</si>
  <si>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</si>
  <si>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</si>
  <si>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</si>
  <si>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</si>
  <si>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</si>
  <si>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</si>
  <si>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</si>
  <si>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</si>
  <si>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</si>
  <si>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</si>
  <si>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</si>
  <si>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</si>
  <si>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</si>
  <si>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</si>
  <si>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</si>
  <si>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</si>
  <si>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</si>
  <si>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</si>
  <si>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</si>
  <si>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</si>
  <si>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</si>
  <si>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</si>
  <si>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</si>
  <si>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</si>
  <si>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</si>
  <si>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</si>
  <si>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</si>
  <si>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</si>
  <si>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</si>
  <si>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</si>
  <si>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</si>
  <si>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</si>
  <si>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</si>
  <si>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</si>
  <si>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</si>
  <si>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</si>
  <si>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</si>
  <si>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</si>
  <si>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</si>
  <si>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</si>
  <si>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</si>
  <si>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</si>
  <si>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</si>
  <si>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</si>
  <si>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</si>
  <si>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</si>
  <si>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</si>
  <si>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</si>
  <si>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</si>
  <si>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</si>
  <si>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</si>
  <si>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</si>
  <si>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</si>
  <si>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</si>
  <si>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</si>
  <si>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</si>
  <si>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</si>
  <si>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</si>
  <si>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</si>
  <si>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</si>
  <si>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</si>
  <si>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</si>
  <si>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</si>
  <si>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</si>
  <si>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</si>
  <si>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</si>
  <si>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</si>
  <si>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</si>
  <si>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</si>
  <si>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</si>
  <si>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</si>
  <si>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</si>
  <si>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</si>
  <si>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</si>
  <si>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</si>
  <si>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</si>
  <si>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</si>
  <si>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</si>
  <si>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</si>
  <si>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Adquisicion de Kit de Tocador</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</si>
  <si>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</si>
  <si>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</si>
  <si>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</si>
  <si>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</si>
  <si>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</si>
  <si>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</si>
  <si>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</si>
  <si>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Contratacion de obras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</si>
  <si>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</si>
  <si>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</si>
  <si>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</si>
  <si>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</si>
  <si>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</si>
  <si>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</si>
  <si>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</si>
  <si>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</si>
  <si>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</si>
  <si>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</si>
  <si>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</si>
  <si>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</si>
  <si>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</si>
  <si>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</si>
  <si>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</si>
  <si>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</si>
  <si>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</si>
  <si>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</si>
  <si>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</si>
  <si>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</si>
  <si>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</si>
  <si>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</si>
  <si>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</si>
  <si>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</si>
  <si>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</si>
  <si>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</si>
  <si>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</si>
  <si>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</si>
  <si>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</si>
  <si>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</si>
  <si>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</si>
  <si>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</si>
  <si>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</si>
  <si>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</si>
  <si>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</si>
  <si>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</si>
  <si>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</si>
  <si>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</si>
  <si>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</si>
  <si>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</si>
  <si>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</si>
  <si>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</si>
  <si>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</si>
  <si>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</si>
  <si>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</si>
  <si>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</si>
  <si>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</si>
  <si>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</si>
  <si>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</si>
  <si>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</si>
  <si>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</si>
  <si>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</si>
  <si>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</si>
  <si>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</si>
  <si>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</si>
  <si>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</si>
  <si>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</si>
  <si>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Servicio de gestión de programación de sistemas o aplicaciones</t>
  </si>
  <si>
    <t>Papel de transferencia en caliente para copiadoras</t>
  </si>
  <si>
    <t>Servicios presidenciales</t>
  </si>
  <si>
    <t>Planos inclinados</t>
  </si>
  <si>
    <t>Servicios de tratamiento de derramamiento  de petróleo</t>
  </si>
  <si>
    <t>Adaptadores o accesorios para jeringa</t>
  </si>
  <si>
    <t>51101561</t>
  </si>
  <si>
    <t>Guía de sierra</t>
  </si>
  <si>
    <t>Defensa civil</t>
  </si>
  <si>
    <t>51101511</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</si>
  <si>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</si>
  <si>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</si>
  <si>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</si>
  <si>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</si>
  <si>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</si>
  <si>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</si>
  <si>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</si>
  <si>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26121505</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</si>
  <si>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</si>
  <si>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</si>
  <si>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</si>
  <si>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</si>
  <si>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</si>
  <si>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</si>
  <si>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</si>
  <si>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</si>
  <si>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Panel de control de alarma contra incendios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</si>
  <si>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</si>
  <si>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</si>
  <si>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</si>
  <si>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</si>
  <si>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</si>
  <si>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</si>
  <si>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</si>
  <si>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</si>
  <si>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</si>
  <si>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</si>
  <si>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</si>
  <si>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</si>
  <si>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</si>
  <si>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</si>
  <si>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</si>
  <si>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Materiales de afilado pulido y alisado</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</si>
  <si>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</si>
  <si>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</si>
  <si>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</si>
  <si>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</si>
  <si>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</si>
  <si>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</si>
  <si>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</si>
  <si>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</si>
  <si>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</si>
  <si>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</si>
  <si>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</si>
  <si>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</si>
  <si>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</si>
  <si>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</si>
  <si>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</si>
  <si>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</si>
  <si>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</si>
  <si>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</si>
  <si>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</si>
  <si>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</si>
  <si>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</si>
  <si>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</si>
  <si>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</si>
  <si>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</si>
  <si>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</si>
  <si>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</si>
  <si>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</si>
  <si>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31161818</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</si>
  <si>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</si>
  <si>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</si>
  <si>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</si>
  <si>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</si>
  <si>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</si>
  <si>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</si>
  <si>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</si>
  <si>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</si>
  <si>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Vehículo acuático operado a distancia.</t>
  </si>
  <si>
    <t>14111507</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</si>
  <si>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</si>
  <si>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</si>
  <si>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</si>
  <si>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</si>
  <si>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</si>
  <si>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</si>
  <si>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</si>
  <si>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</si>
  <si>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</si>
  <si>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</si>
  <si>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</si>
  <si>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</si>
  <si>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</si>
  <si>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</si>
  <si>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</si>
  <si>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</si>
  <si>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</si>
  <si>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</si>
  <si>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</si>
  <si>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</si>
  <si>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</si>
  <si>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</si>
  <si>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</si>
  <si>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</si>
  <si>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</si>
  <si>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</si>
  <si>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</si>
  <si>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</si>
  <si>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</si>
  <si>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</si>
  <si>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</si>
  <si>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</si>
  <si>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</si>
  <si>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</si>
  <si>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Mantenimiento o soporte de equipo de telecomunicaciones</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</si>
  <si>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</si>
  <si>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</si>
  <si>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</si>
  <si>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</si>
  <si>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</si>
  <si>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</si>
  <si>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</si>
  <si>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</si>
  <si>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</si>
  <si>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</si>
  <si>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</si>
  <si>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</si>
  <si>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</si>
  <si>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</si>
  <si>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</si>
  <si>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</si>
  <si>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</si>
  <si>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</si>
  <si>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</si>
  <si>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</si>
  <si>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</si>
  <si>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</si>
  <si>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</si>
  <si>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</si>
  <si>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</si>
  <si>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</si>
  <si>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</si>
  <si>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</si>
  <si>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</si>
  <si>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</si>
  <si>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</si>
  <si>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</si>
  <si>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</si>
  <si>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</si>
  <si>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</si>
  <si>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</si>
  <si>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</si>
  <si>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</si>
  <si>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</si>
  <si>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</si>
  <si>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</si>
  <si>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</si>
  <si>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</si>
  <si>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</si>
  <si>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</si>
  <si>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Chequeras o libretas de cuentas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</si>
  <si>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</si>
  <si>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</si>
  <si>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</si>
  <si>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</si>
  <si>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</si>
  <si>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</si>
  <si>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</si>
  <si>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</si>
  <si>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</si>
  <si>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</si>
  <si>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</si>
  <si>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</si>
  <si>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</si>
  <si>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</si>
  <si>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</si>
  <si>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</si>
  <si>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</si>
  <si>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</si>
  <si>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</si>
  <si>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</si>
  <si>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 xml:space="preserve">Fertilizantes  y  nutrientes  para  plantas  y  herbicidas  </t>
  </si>
  <si>
    <t>Cuartos refrigeradores para la morgue</t>
  </si>
  <si>
    <t>Retractores para cirugía plástica</t>
  </si>
  <si>
    <t>Lámpara de haz sellado</t>
  </si>
  <si>
    <t>Semillas o plántulas de repollitos de bruselas</t>
  </si>
  <si>
    <t>Servicios de desviación con aparato para cambiar el trazo de perforación</t>
  </si>
  <si>
    <t>Sets o accesorios de muestreadores de células endometriales</t>
  </si>
  <si>
    <t>Poli éter bloque amida peba</t>
  </si>
  <si>
    <t>14111530</t>
  </si>
  <si>
    <t>51171909</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</si>
  <si>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</si>
  <si>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</si>
  <si>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</si>
  <si>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</si>
  <si>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</si>
  <si>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</si>
  <si>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</si>
  <si>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</si>
  <si>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</si>
  <si>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Componentes  y  sistemas  de  transporte</t>
  </si>
  <si>
    <t>Maquinaria para asar</t>
  </si>
  <si>
    <t>51142103</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</si>
  <si>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</si>
  <si>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</si>
  <si>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</si>
  <si>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</si>
  <si>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</si>
  <si>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</si>
  <si>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</si>
  <si>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</si>
  <si>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</si>
  <si>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Servicios o reparaciones o mantenimiento de calles o parqueaderos</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</si>
  <si>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</si>
  <si>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</si>
  <si>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</si>
  <si>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</si>
  <si>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</si>
  <si>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</si>
  <si>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</si>
  <si>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</si>
  <si>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</si>
  <si>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</si>
  <si>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</si>
  <si>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</si>
  <si>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</si>
  <si>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</si>
  <si>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</si>
  <si>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</si>
  <si>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</si>
  <si>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</si>
  <si>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</si>
  <si>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</si>
  <si>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</si>
  <si>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</si>
  <si>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</si>
  <si>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</si>
  <si>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</si>
  <si>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</si>
  <si>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</si>
  <si>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</si>
  <si>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</si>
  <si>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</si>
  <si>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</si>
  <si>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</si>
  <si>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</si>
  <si>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</si>
  <si>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</si>
  <si>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</si>
  <si>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</si>
  <si>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</si>
  <si>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</si>
  <si>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</si>
  <si>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</si>
  <si>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Luz negra</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</si>
  <si>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</si>
  <si>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</si>
  <si>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</si>
  <si>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</si>
  <si>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</si>
  <si>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</si>
  <si>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</si>
  <si>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</si>
  <si>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</si>
  <si>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</si>
  <si>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</si>
  <si>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53103001</t>
  </si>
  <si>
    <t>Ensambles de tubos soldados con disolvente de latón</t>
  </si>
  <si>
    <t>Calibrador go nogo</t>
  </si>
  <si>
    <t>Bolsas de carpa</t>
  </si>
  <si>
    <t>Depósitos de acumulador</t>
  </si>
  <si>
    <t>Servicio de construcción de diques o malecones</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</si>
  <si>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</si>
  <si>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</si>
  <si>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</si>
  <si>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</si>
  <si>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</si>
  <si>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</si>
  <si>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</si>
  <si>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</si>
  <si>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</si>
  <si>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</si>
  <si>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</si>
  <si>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</si>
  <si>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</si>
  <si>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</si>
  <si>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</si>
  <si>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</si>
  <si>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</si>
  <si>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</si>
  <si>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</si>
  <si>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</si>
  <si>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</si>
  <si>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</si>
  <si>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</si>
  <si>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</si>
  <si>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</si>
  <si>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</si>
  <si>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40151601</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</si>
  <si>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</si>
  <si>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</si>
  <si>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</si>
  <si>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</si>
  <si>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</si>
  <si>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</si>
  <si>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</si>
  <si>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</si>
  <si>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</si>
  <si>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</si>
  <si>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</si>
  <si>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</si>
  <si>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</si>
  <si>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</si>
  <si>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</si>
  <si>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</si>
  <si>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</si>
  <si>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</si>
  <si>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</si>
  <si>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</si>
  <si>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</si>
  <si>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Cuero de búfalo</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</si>
  <si>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</si>
  <si>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</si>
  <si>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</si>
  <si>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</si>
  <si>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</si>
  <si>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</si>
  <si>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</si>
  <si>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</si>
  <si>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</si>
  <si>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</si>
  <si>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Reducidor de ruido de videos</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</si>
  <si>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</si>
  <si>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</si>
  <si>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</si>
  <si>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</si>
  <si>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</si>
  <si>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</si>
  <si>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</si>
  <si>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</si>
  <si>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</si>
  <si>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</si>
  <si>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</si>
  <si>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</si>
  <si>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</si>
  <si>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</si>
  <si>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</si>
  <si>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</si>
  <si>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</si>
  <si>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</si>
  <si>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</si>
  <si>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</si>
  <si>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</si>
  <si>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</si>
  <si>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</si>
  <si>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</si>
  <si>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</si>
  <si>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</si>
  <si>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</si>
  <si>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</si>
  <si>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</si>
  <si>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</si>
  <si>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</si>
  <si>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</si>
  <si>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</si>
  <si>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</si>
  <si>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</si>
  <si>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</si>
  <si>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</si>
  <si>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</si>
  <si>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</si>
  <si>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</si>
  <si>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</si>
  <si>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</si>
  <si>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</si>
  <si>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</si>
  <si>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Teleprónter</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</si>
  <si>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</si>
  <si>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</si>
  <si>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</si>
  <si>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</si>
  <si>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</si>
  <si>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</si>
  <si>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</si>
  <si>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</si>
  <si>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</si>
  <si>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</si>
  <si>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</si>
  <si>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</si>
  <si>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</si>
  <si>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</si>
  <si>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</si>
  <si>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</si>
  <si>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</si>
  <si>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</si>
  <si>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</si>
  <si>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</si>
  <si>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</si>
  <si>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</si>
  <si>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</si>
  <si>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</si>
  <si>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</si>
  <si>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</si>
  <si>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</si>
  <si>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</si>
  <si>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</si>
  <si>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</si>
  <si>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</si>
  <si>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</si>
  <si>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</si>
  <si>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</si>
  <si>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</si>
  <si>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</si>
  <si>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</si>
  <si>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</si>
  <si>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</si>
  <si>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</si>
  <si>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</si>
  <si>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</si>
  <si>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</si>
  <si>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</si>
  <si>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</si>
  <si>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</si>
  <si>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</si>
  <si>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</si>
  <si>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</si>
  <si>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</si>
  <si>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</si>
  <si>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</si>
  <si>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</si>
  <si>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</si>
  <si>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</si>
  <si>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</si>
  <si>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</si>
  <si>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</si>
  <si>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</si>
  <si>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</si>
  <si>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</si>
  <si>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</si>
  <si>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</si>
  <si>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</si>
  <si>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</si>
  <si>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</si>
  <si>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</si>
  <si>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</si>
  <si>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</si>
  <si>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</si>
  <si>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</si>
  <si>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</si>
  <si>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44122104</t>
  </si>
  <si>
    <t>Batea de aceite</t>
  </si>
  <si>
    <t>Herraduras para mula</t>
  </si>
  <si>
    <t>Enfriadores de agua de rayos x para uso médico</t>
  </si>
  <si>
    <t>Diseño gráfico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</si>
  <si>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</si>
  <si>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</si>
  <si>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</si>
  <si>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</si>
  <si>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</si>
  <si>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</si>
  <si>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</si>
  <si>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</si>
  <si>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</si>
  <si>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</si>
  <si>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</si>
  <si>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</si>
  <si>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</si>
  <si>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</si>
  <si>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</si>
  <si>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49161507</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</si>
  <si>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</si>
  <si>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</si>
  <si>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</si>
  <si>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</si>
  <si>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</si>
  <si>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</si>
  <si>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</si>
  <si>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 xml:space="preserve">Gas refrigerante </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</si>
  <si>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</si>
  <si>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</si>
  <si>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</si>
  <si>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</si>
  <si>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</si>
  <si>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</si>
  <si>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</si>
  <si>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</si>
  <si>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</si>
  <si>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</si>
  <si>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</si>
  <si>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</si>
  <si>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</si>
  <si>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</si>
  <si>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</si>
  <si>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</si>
  <si>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</si>
  <si>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</si>
  <si>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</si>
  <si>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</si>
  <si>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</si>
  <si>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</si>
  <si>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</si>
  <si>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</si>
  <si>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</si>
  <si>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</si>
  <si>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</si>
  <si>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</si>
  <si>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</si>
  <si>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</si>
  <si>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</si>
  <si>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</si>
  <si>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</si>
  <si>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</si>
  <si>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</si>
  <si>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</si>
  <si>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</si>
  <si>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</si>
  <si>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</si>
  <si>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</si>
  <si>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</si>
  <si>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</si>
  <si>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</si>
  <si>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</si>
  <si>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</si>
  <si>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</si>
  <si>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</si>
  <si>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</si>
  <si>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</si>
  <si>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</si>
  <si>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</si>
  <si>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</si>
  <si>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</si>
  <si>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</si>
  <si>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</si>
  <si>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</si>
  <si>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</si>
  <si>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</si>
  <si>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</si>
  <si>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</si>
  <si>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</si>
  <si>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</si>
  <si>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</si>
  <si>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31161711</t>
  </si>
  <si>
    <t>31161701</t>
  </si>
  <si>
    <t>Hato del Padre</t>
  </si>
  <si>
    <t>Majagual</t>
  </si>
  <si>
    <t>Puertas rodantes</t>
  </si>
  <si>
    <t>Servicios de empacado de grava del campo petrolero</t>
  </si>
  <si>
    <t>Removedores de coronas o puentes</t>
  </si>
  <si>
    <t>Controladores de hidrato de gas</t>
  </si>
  <si>
    <t>Alquiler de estructura de Metal</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</si>
  <si>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</si>
  <si>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</si>
  <si>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</si>
  <si>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</si>
  <si>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</si>
  <si>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</si>
  <si>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</si>
  <si>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</si>
  <si>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</si>
  <si>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</si>
  <si>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</si>
  <si>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</si>
  <si>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</si>
  <si>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</si>
  <si>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</si>
  <si>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</si>
  <si>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</si>
  <si>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</si>
  <si>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</si>
  <si>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</si>
  <si>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</si>
  <si>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</si>
  <si>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</si>
  <si>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</si>
  <si>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</si>
  <si>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</si>
  <si>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</si>
  <si>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</si>
  <si>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</si>
  <si>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</si>
  <si>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</si>
  <si>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</si>
  <si>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</si>
  <si>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</si>
  <si>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</si>
  <si>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</si>
  <si>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</si>
  <si>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</si>
  <si>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</si>
  <si>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</si>
  <si>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</si>
  <si>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</si>
  <si>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</si>
  <si>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27112007</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</si>
  <si>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</si>
  <si>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</si>
  <si>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</si>
  <si>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</si>
  <si>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</si>
  <si>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</si>
  <si>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Sistema de video wall</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</si>
  <si>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</si>
  <si>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</si>
  <si>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</si>
  <si>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</si>
  <si>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</si>
  <si>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</si>
  <si>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</si>
  <si>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</si>
  <si>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</si>
  <si>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</si>
  <si>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</si>
  <si>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</si>
  <si>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41113648</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</si>
  <si>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</si>
  <si>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</si>
  <si>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</si>
  <si>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</si>
  <si>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</si>
  <si>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</si>
  <si>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</si>
  <si>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</si>
  <si>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</si>
  <si>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</si>
  <si>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</si>
  <si>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</si>
  <si>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</si>
  <si>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</si>
  <si>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</si>
  <si>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</si>
  <si>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</si>
  <si>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</si>
  <si>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</si>
  <si>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</si>
  <si>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</si>
  <si>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</si>
  <si>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</si>
  <si>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</si>
  <si>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</si>
  <si>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</si>
  <si>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</si>
  <si>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</si>
  <si>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</si>
  <si>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</si>
  <si>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</si>
  <si>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</si>
  <si>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</si>
  <si>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</si>
  <si>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</si>
  <si>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</si>
  <si>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</si>
  <si>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</si>
  <si>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</si>
  <si>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</si>
  <si>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</si>
  <si>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</si>
  <si>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</si>
  <si>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39121103</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</si>
  <si>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</si>
  <si>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</si>
  <si>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</si>
  <si>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</si>
  <si>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</si>
  <si>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</si>
  <si>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</si>
  <si>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</si>
  <si>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</si>
  <si>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</si>
  <si>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</si>
  <si>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</si>
  <si>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</si>
  <si>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</si>
  <si>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</si>
  <si>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</si>
  <si>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</si>
  <si>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</si>
  <si>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</si>
  <si>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</si>
  <si>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</si>
  <si>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</si>
  <si>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</si>
  <si>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</si>
  <si>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</si>
  <si>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</si>
  <si>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</si>
  <si>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</si>
  <si>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</si>
  <si>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</si>
  <si>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</si>
  <si>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</si>
  <si>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</si>
  <si>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</si>
  <si>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</si>
  <si>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</si>
  <si>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</si>
  <si>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</si>
  <si>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</si>
  <si>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</si>
  <si>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</si>
  <si>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</si>
  <si>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</si>
  <si>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</si>
  <si>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</si>
  <si>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</si>
  <si>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</si>
  <si>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</si>
  <si>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</si>
  <si>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</si>
  <si>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</si>
  <si>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</si>
  <si>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</si>
  <si>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32101622</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</si>
  <si>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</si>
  <si>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</si>
  <si>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</si>
  <si>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</si>
  <si>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</si>
  <si>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</si>
  <si>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</si>
  <si>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</si>
  <si>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</si>
  <si>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</si>
  <si>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</si>
  <si>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</si>
  <si>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Lámpara de sodio de baja presión HID</t>
  </si>
  <si>
    <t>Guía de alineación de la madera</t>
  </si>
  <si>
    <t>Válvulas de motor</t>
  </si>
  <si>
    <t>Buques anfibios de comando</t>
  </si>
  <si>
    <t>Mantenimiento del sistema de almacenamiento en disco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</si>
  <si>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</si>
  <si>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</si>
  <si>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</si>
  <si>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</si>
  <si>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</si>
  <si>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</si>
  <si>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</si>
  <si>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</si>
  <si>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</si>
  <si>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</si>
  <si>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</si>
  <si>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</si>
  <si>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</si>
  <si>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</si>
  <si>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</si>
  <si>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</si>
  <si>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</si>
  <si>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</si>
  <si>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</si>
  <si>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</si>
  <si>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</si>
  <si>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</si>
  <si>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</si>
  <si>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</si>
  <si>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</si>
  <si>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</si>
  <si>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Medicamentos que afectan al sistema respiratorio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</si>
  <si>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</si>
  <si>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</si>
  <si>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</si>
  <si>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</si>
  <si>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</si>
  <si>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</si>
  <si>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</si>
  <si>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</si>
  <si>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</si>
  <si>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</si>
  <si>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</si>
  <si>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</si>
  <si>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</si>
  <si>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</si>
  <si>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54101509</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</si>
  <si>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</si>
  <si>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</si>
  <si>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</si>
  <si>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</si>
  <si>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</si>
  <si>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</si>
  <si>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</si>
  <si>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</si>
  <si>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</si>
  <si>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</si>
  <si>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</si>
  <si>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</si>
  <si>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</si>
  <si>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</si>
  <si>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</si>
  <si>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</si>
  <si>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</si>
  <si>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</si>
  <si>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</si>
  <si>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</si>
  <si>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</si>
  <si>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</si>
  <si>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</si>
  <si>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</si>
  <si>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</si>
  <si>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</si>
  <si>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</si>
  <si>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</si>
  <si>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</si>
  <si>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</si>
  <si>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</si>
  <si>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</si>
  <si>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</si>
  <si>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</si>
  <si>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</si>
  <si>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</si>
  <si>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</si>
  <si>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</si>
  <si>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</si>
  <si>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</si>
  <si>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</si>
  <si>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</si>
  <si>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</si>
  <si>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</si>
  <si>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</si>
  <si>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</si>
  <si>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</si>
  <si>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</si>
  <si>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</si>
  <si>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</si>
  <si>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</si>
  <si>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</si>
  <si>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</si>
  <si>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</si>
  <si>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</si>
  <si>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</si>
  <si>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</si>
  <si>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</si>
  <si>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</si>
  <si>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</si>
  <si>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</si>
  <si>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</si>
  <si>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</si>
  <si>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</si>
  <si>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Menotropinas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</si>
  <si>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</si>
  <si>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</si>
  <si>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</si>
  <si>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</si>
  <si>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</si>
  <si>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</si>
  <si>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</si>
  <si>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</si>
  <si>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</si>
  <si>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</si>
  <si>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</si>
  <si>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</si>
  <si>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</si>
  <si>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</si>
  <si>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</si>
  <si>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</si>
  <si>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</si>
  <si>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</si>
  <si>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</si>
  <si>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</si>
  <si>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</si>
  <si>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</si>
  <si>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</si>
  <si>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</si>
  <si>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</si>
  <si>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</si>
  <si>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</si>
  <si>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</si>
  <si>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</si>
  <si>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</si>
  <si>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</si>
  <si>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</si>
  <si>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</si>
  <si>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</si>
  <si>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</si>
  <si>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</si>
  <si>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</si>
  <si>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</si>
  <si>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</si>
  <si>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</si>
  <si>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</si>
  <si>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</si>
  <si>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</si>
  <si>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</si>
  <si>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</si>
  <si>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</si>
  <si>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</si>
  <si>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</si>
  <si>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</si>
  <si>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</si>
  <si>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</si>
  <si>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</si>
  <si>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</si>
  <si>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</si>
  <si>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</si>
  <si>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</si>
  <si>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</si>
  <si>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</si>
  <si>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</si>
  <si>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</si>
  <si>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</si>
  <si>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</si>
  <si>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</si>
  <si>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</si>
  <si>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</si>
  <si>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</si>
  <si>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</si>
  <si>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</si>
  <si>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</si>
  <si>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</si>
  <si>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</si>
  <si>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</si>
  <si>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</si>
  <si>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</si>
  <si>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</si>
  <si>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</si>
  <si>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</si>
  <si>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</si>
  <si>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 xml:space="preserve">Equipo de video, filmacion o fotografia </t>
  </si>
  <si>
    <t>Materiales de enseñanza de educación sobre el parto</t>
  </si>
  <si>
    <t>Motores de corriente alterna (CA)</t>
  </si>
  <si>
    <t>Ensambles de tubos soldados con soldadura ultra violeta de titanio</t>
  </si>
  <si>
    <t>Adquisicion de Zafacones</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</si>
  <si>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</si>
  <si>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</si>
  <si>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</si>
  <si>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</si>
  <si>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</si>
  <si>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</si>
  <si>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</si>
  <si>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</si>
  <si>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</si>
  <si>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</si>
  <si>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</si>
  <si>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</si>
  <si>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</si>
  <si>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</si>
  <si>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</si>
  <si>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</si>
  <si>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</si>
  <si>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</si>
  <si>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</si>
  <si>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</si>
  <si>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</si>
  <si>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31162506</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</si>
  <si>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</si>
  <si>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</si>
  <si>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</si>
  <si>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</si>
  <si>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</si>
  <si>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</si>
  <si>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</si>
  <si>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</si>
  <si>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14121703</t>
  </si>
  <si>
    <t>Papel de seda para manualidades</t>
  </si>
  <si>
    <t>Transductores de bombas de infusión intravenosas</t>
  </si>
  <si>
    <t>Componentes de plomo formados por estiramiento</t>
  </si>
  <si>
    <t>Monserrat</t>
  </si>
  <si>
    <t>Glibenclamida o gliburida</t>
  </si>
  <si>
    <t>31162504</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</si>
  <si>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</si>
  <si>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</si>
  <si>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</si>
  <si>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</si>
  <si>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</si>
  <si>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</si>
  <si>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</si>
  <si>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</si>
  <si>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</si>
  <si>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</si>
  <si>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</si>
  <si>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</si>
  <si>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</si>
  <si>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</si>
  <si>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</si>
  <si>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</si>
  <si>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</si>
  <si>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</si>
  <si>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</si>
  <si>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</si>
  <si>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</si>
  <si>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</si>
  <si>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</si>
  <si>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</si>
  <si>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Servicio de construcción de sistemas de riego</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</si>
  <si>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</si>
  <si>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</si>
  <si>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</si>
  <si>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</si>
  <si>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</si>
  <si>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</si>
  <si>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</si>
  <si>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</si>
  <si>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</si>
  <si>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</si>
  <si>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</si>
  <si>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</si>
  <si>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</si>
  <si>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</si>
  <si>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</si>
  <si>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</si>
  <si>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46171604</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</si>
  <si>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</si>
  <si>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</si>
  <si>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</si>
  <si>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</si>
  <si>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</si>
  <si>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</si>
  <si>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41104207</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</si>
  <si>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</si>
  <si>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</si>
  <si>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</si>
  <si>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</si>
  <si>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</si>
  <si>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</si>
  <si>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</si>
  <si>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</si>
  <si>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</si>
  <si>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</si>
  <si>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Encendedor de cigarrillos del vehículo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</si>
  <si>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</si>
  <si>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</si>
  <si>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</si>
  <si>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</si>
  <si>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</si>
  <si>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</si>
  <si>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</si>
  <si>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</si>
  <si>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</si>
  <si>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</si>
  <si>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</si>
  <si>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</si>
  <si>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</si>
  <si>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</si>
  <si>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</si>
  <si>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</si>
  <si>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55121723</t>
  </si>
  <si>
    <t>Dispositivos de recolección solar</t>
  </si>
  <si>
    <t>Papeles recubiertos de silicona</t>
  </si>
  <si>
    <t>Fosfatidilcolina</t>
  </si>
  <si>
    <t>El Carretón</t>
  </si>
  <si>
    <t>Sets de ajuste de anteojos</t>
  </si>
  <si>
    <t>Vidrio templado</t>
  </si>
  <si>
    <t>Desonida</t>
  </si>
  <si>
    <t>Pasteles de sal congelados</t>
  </si>
  <si>
    <t>Los Alcarrizos</t>
  </si>
  <si>
    <t>23171507</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</si>
  <si>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</si>
  <si>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</si>
  <si>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</si>
  <si>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</si>
  <si>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</si>
  <si>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</si>
  <si>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</si>
  <si>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</si>
  <si>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</si>
  <si>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</si>
  <si>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</si>
  <si>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</si>
  <si>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</si>
  <si>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</si>
  <si>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</si>
  <si>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</si>
  <si>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</si>
  <si>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</si>
  <si>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</si>
  <si>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</si>
  <si>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</si>
  <si>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</si>
  <si>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</si>
  <si>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</si>
  <si>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</si>
  <si>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</si>
  <si>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</si>
  <si>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</si>
  <si>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</si>
  <si>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</si>
  <si>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</si>
  <si>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</si>
  <si>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</si>
  <si>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</si>
  <si>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</si>
  <si>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</si>
  <si>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</si>
  <si>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</si>
  <si>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</si>
  <si>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</si>
  <si>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</si>
  <si>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</si>
  <si>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</si>
  <si>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</si>
  <si>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</si>
  <si>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</si>
  <si>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</si>
  <si>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</si>
  <si>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</si>
  <si>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</si>
  <si>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</si>
  <si>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</si>
  <si>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</si>
  <si>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Adquisicion de Bulto para Camara</t>
  </si>
  <si>
    <t>Contratacion de servicio de almacenamiento (banco de imágenes)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</si>
  <si>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</si>
  <si>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</si>
  <si>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</si>
  <si>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</si>
  <si>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</si>
  <si>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</si>
  <si>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</si>
  <si>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</si>
  <si>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</si>
  <si>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</si>
  <si>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</si>
  <si>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</si>
  <si>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</si>
  <si>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47101613</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</si>
  <si>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</si>
  <si>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</si>
  <si>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</si>
  <si>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</si>
  <si>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</si>
  <si>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</si>
  <si>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</si>
  <si>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</si>
  <si>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</si>
  <si>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</si>
  <si>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</si>
  <si>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</si>
  <si>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</si>
  <si>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</si>
  <si>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</si>
  <si>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</si>
  <si>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</si>
  <si>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</si>
  <si>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</si>
  <si>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</si>
  <si>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</si>
  <si>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</si>
  <si>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</si>
  <si>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10171701</t>
  </si>
  <si>
    <t>40101604</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</si>
  <si>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</si>
  <si>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</si>
  <si>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</si>
  <si>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</si>
  <si>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</si>
  <si>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</si>
  <si>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</si>
  <si>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</si>
  <si>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</si>
  <si>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</si>
  <si>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</si>
  <si>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</si>
  <si>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</si>
  <si>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</si>
  <si>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</si>
  <si>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</si>
  <si>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</si>
  <si>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</si>
  <si>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</si>
  <si>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</si>
  <si>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</si>
  <si>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</si>
  <si>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</si>
  <si>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</si>
  <si>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</si>
  <si>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</si>
  <si>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</si>
  <si>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</si>
  <si>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</si>
  <si>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</si>
  <si>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</si>
  <si>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</si>
  <si>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</si>
  <si>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</si>
  <si>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</si>
  <si>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</si>
  <si>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</si>
  <si>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</si>
  <si>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</si>
  <si>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</si>
  <si>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</si>
  <si>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</si>
  <si>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</si>
  <si>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52151504</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</si>
  <si>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</si>
  <si>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</si>
  <si>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</si>
  <si>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</si>
  <si>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</si>
  <si>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</si>
  <si>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</si>
  <si>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</si>
  <si>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</si>
  <si>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</si>
  <si>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</si>
  <si>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</si>
  <si>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</si>
  <si>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Ropa</t>
  </si>
  <si>
    <t>Soluciones de glutaraldehida</t>
  </si>
  <si>
    <t>Hojas de papel aluminio laminado</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</si>
  <si>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</si>
  <si>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</si>
  <si>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</si>
  <si>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</si>
  <si>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</si>
  <si>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</si>
  <si>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</si>
  <si>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</si>
  <si>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</si>
  <si>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</si>
  <si>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</si>
  <si>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</si>
  <si>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</si>
  <si>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</si>
  <si>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</si>
  <si>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</si>
  <si>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</si>
  <si>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</si>
  <si>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</si>
  <si>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</si>
  <si>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</si>
  <si>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</si>
  <si>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</si>
  <si>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</si>
  <si>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</si>
  <si>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</si>
  <si>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</si>
  <si>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</si>
  <si>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</si>
  <si>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</si>
  <si>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</si>
  <si>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</si>
  <si>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</si>
  <si>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</si>
  <si>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</si>
  <si>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Adquisicion de licencia antivirus por un año</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</si>
  <si>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</si>
  <si>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</si>
  <si>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</si>
  <si>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</si>
  <si>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</si>
  <si>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</si>
  <si>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</si>
  <si>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</si>
  <si>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</si>
  <si>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41112213</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</si>
  <si>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</si>
  <si>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</si>
  <si>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</si>
  <si>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</si>
  <si>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</si>
  <si>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</si>
  <si>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</si>
  <si>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</si>
  <si>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</si>
  <si>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</si>
  <si>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</si>
  <si>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</si>
  <si>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</si>
  <si>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</si>
  <si>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</si>
  <si>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</si>
  <si>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</si>
  <si>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</si>
  <si>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</si>
  <si>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Contratacion de los servicios de licencias adicion de telefonos central telefonica</t>
  </si>
  <si>
    <t>Chalecos o protectores salvavidas</t>
  </si>
  <si>
    <t>Electrónica de consumo</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</si>
  <si>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</si>
  <si>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</si>
  <si>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</si>
  <si>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</si>
  <si>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</si>
  <si>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</si>
  <si>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</si>
  <si>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</si>
  <si>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</si>
  <si>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</si>
  <si>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</si>
  <si>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</si>
  <si>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</si>
  <si>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</si>
  <si>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</si>
  <si>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</si>
  <si>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</si>
  <si>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</si>
  <si>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</si>
  <si>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</si>
  <si>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</si>
  <si>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</si>
  <si>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</si>
  <si>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</si>
  <si>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</si>
  <si>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</si>
  <si>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</si>
  <si>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</si>
  <si>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</si>
  <si>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</si>
  <si>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</si>
  <si>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</si>
  <si>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</si>
  <si>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</si>
  <si>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</si>
  <si>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</si>
  <si>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</si>
  <si>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</si>
  <si>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</si>
  <si>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</si>
  <si>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</si>
  <si>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</si>
  <si>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</si>
  <si>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</si>
  <si>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</si>
  <si>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</si>
  <si>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</si>
  <si>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</si>
  <si>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</si>
  <si>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</si>
  <si>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</si>
  <si>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</si>
  <si>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</si>
  <si>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</si>
  <si>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</si>
  <si>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</si>
  <si>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</si>
  <si>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</si>
  <si>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</si>
  <si>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</si>
  <si>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</si>
  <si>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</si>
  <si>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</si>
  <si>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</si>
  <si>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</si>
  <si>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</si>
  <si>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</si>
  <si>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</si>
  <si>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</si>
  <si>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</si>
  <si>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</si>
  <si>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</si>
  <si>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</si>
  <si>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</si>
  <si>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</si>
  <si>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</si>
  <si>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</si>
  <si>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</si>
  <si>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</si>
  <si>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</si>
  <si>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</si>
  <si>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</si>
  <si>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</si>
  <si>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</si>
  <si>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</si>
  <si>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</si>
  <si>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</si>
  <si>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</si>
  <si>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</si>
  <si>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</si>
  <si>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</si>
  <si>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</si>
  <si>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</si>
  <si>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</si>
  <si>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</si>
  <si>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</si>
  <si>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</si>
  <si>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</si>
  <si>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</si>
  <si>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</si>
  <si>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</si>
  <si>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</si>
  <si>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</si>
  <si>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</si>
  <si>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</si>
  <si>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 xml:space="preserve">Tornillo de dos extremos </t>
  </si>
  <si>
    <t>Datos del mercado</t>
  </si>
  <si>
    <t>Tuberculosis</t>
  </si>
  <si>
    <t>Adquisicion de Bulto</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</si>
  <si>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</si>
  <si>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</si>
  <si>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</si>
  <si>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</si>
  <si>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</si>
  <si>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</si>
  <si>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</si>
  <si>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</si>
  <si>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</si>
  <si>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</si>
  <si>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</si>
  <si>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</si>
  <si>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</si>
  <si>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</si>
  <si>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</si>
  <si>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</si>
  <si>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</si>
  <si>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</si>
  <si>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</si>
  <si>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</si>
  <si>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</si>
  <si>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</si>
  <si>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</si>
  <si>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</si>
  <si>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</si>
  <si>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</si>
  <si>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</si>
  <si>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</si>
  <si>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</si>
  <si>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</si>
  <si>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</si>
  <si>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</si>
  <si>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</si>
  <si>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</si>
  <si>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</si>
  <si>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</si>
  <si>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</si>
  <si>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</si>
  <si>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</si>
  <si>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</si>
  <si>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</si>
  <si>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</si>
  <si>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</si>
  <si>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</si>
  <si>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</si>
  <si>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</si>
  <si>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</si>
  <si>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</si>
  <si>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</si>
  <si>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</si>
  <si>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</si>
  <si>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</si>
  <si>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</si>
  <si>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</si>
  <si>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</si>
  <si>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</si>
  <si>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</si>
  <si>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</si>
  <si>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</si>
  <si>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</si>
  <si>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</si>
  <si>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</si>
  <si>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</si>
  <si>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</si>
  <si>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</si>
  <si>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</si>
  <si>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</si>
  <si>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53101604</t>
  </si>
  <si>
    <t>Bancos limpios</t>
  </si>
  <si>
    <t>Cartuchos de ligadura para ortodoncia</t>
  </si>
  <si>
    <t>82121506</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</si>
  <si>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</si>
  <si>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</si>
  <si>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</si>
  <si>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</si>
  <si>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</si>
  <si>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</si>
  <si>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</si>
  <si>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</si>
  <si>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</si>
  <si>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</si>
  <si>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</si>
  <si>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</si>
  <si>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</si>
  <si>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</si>
  <si>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</si>
  <si>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</si>
  <si>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</si>
  <si>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</si>
  <si>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40141610</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</si>
  <si>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</si>
  <si>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</si>
  <si>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</si>
  <si>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</si>
  <si>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</si>
  <si>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</si>
  <si>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</si>
  <si>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</si>
  <si>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</si>
  <si>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</si>
  <si>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</si>
  <si>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</si>
  <si>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</si>
  <si>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</si>
  <si>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</si>
  <si>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</si>
  <si>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</si>
  <si>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</si>
  <si>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</si>
  <si>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</si>
  <si>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</si>
  <si>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</si>
  <si>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</si>
  <si>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</si>
  <si>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</si>
  <si>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</si>
  <si>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</si>
  <si>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</si>
  <si>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</si>
  <si>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</si>
  <si>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</si>
  <si>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27111705</t>
  </si>
  <si>
    <t>Tubos de percusión</t>
  </si>
  <si>
    <t>Pinceles orientales</t>
  </si>
  <si>
    <t>Vigas de plástico</t>
  </si>
  <si>
    <t>Estudio de emplazamientos de fundición</t>
  </si>
  <si>
    <t>Barómetros</t>
  </si>
  <si>
    <t>Adquisicion de Materiales de Limpieza</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</si>
  <si>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</si>
  <si>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</si>
  <si>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</si>
  <si>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</si>
  <si>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</si>
  <si>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</si>
  <si>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</si>
  <si>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</si>
  <si>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</si>
  <si>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</si>
  <si>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</si>
  <si>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</si>
  <si>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</si>
  <si>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</si>
  <si>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</si>
  <si>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</si>
  <si>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</si>
  <si>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</si>
  <si>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</si>
  <si>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</si>
  <si>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</si>
  <si>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</si>
  <si>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</si>
  <si>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31241702</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</si>
  <si>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</si>
  <si>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</si>
  <si>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</si>
  <si>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</si>
  <si>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</si>
  <si>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</si>
  <si>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</si>
  <si>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</si>
  <si>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</si>
  <si>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</si>
  <si>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</si>
  <si>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</si>
  <si>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</si>
  <si>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</si>
  <si>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</si>
  <si>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</si>
  <si>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</si>
  <si>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</si>
  <si>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</si>
  <si>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</si>
  <si>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</si>
  <si>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</si>
  <si>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</si>
  <si>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</si>
  <si>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</si>
  <si>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</si>
  <si>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</si>
  <si>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</si>
  <si>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</si>
  <si>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</si>
  <si>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</si>
  <si>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</si>
  <si>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</si>
  <si>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</si>
  <si>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</si>
  <si>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</si>
  <si>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</si>
  <si>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</si>
  <si>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</si>
  <si>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</si>
  <si>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</si>
  <si>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</si>
  <si>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</si>
  <si>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</si>
  <si>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</si>
  <si>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</si>
  <si>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</si>
  <si>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</si>
  <si>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</si>
  <si>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</si>
  <si>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</si>
  <si>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</si>
  <si>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</si>
  <si>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</si>
  <si>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</si>
  <si>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</si>
  <si>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</si>
  <si>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</si>
  <si>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</si>
  <si>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</si>
  <si>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</si>
  <si>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</si>
  <si>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</si>
  <si>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</si>
  <si>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</si>
  <si>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</si>
  <si>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</si>
  <si>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</si>
  <si>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</si>
  <si>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</si>
  <si>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</si>
  <si>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</si>
  <si>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</si>
  <si>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</si>
  <si>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</si>
  <si>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</si>
  <si>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</si>
  <si>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</si>
  <si>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</si>
  <si>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</si>
  <si>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</si>
  <si>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</si>
  <si>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</si>
  <si>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</si>
  <si>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</si>
  <si>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</si>
  <si>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</si>
  <si>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</si>
  <si>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</si>
  <si>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</si>
  <si>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31242204</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</si>
  <si>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</si>
  <si>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</si>
  <si>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</si>
  <si>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</si>
  <si>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</si>
  <si>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</si>
  <si>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</si>
  <si>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</si>
  <si>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</si>
  <si>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</si>
  <si>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</si>
  <si>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</si>
  <si>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</si>
  <si>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</si>
  <si>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</si>
  <si>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</si>
  <si>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</si>
  <si>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</si>
  <si>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</si>
  <si>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</si>
  <si>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</si>
  <si>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</si>
  <si>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</si>
  <si>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</si>
  <si>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</si>
  <si>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</si>
  <si>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</si>
  <si>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</si>
  <si>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</si>
  <si>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</si>
  <si>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</si>
  <si>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</si>
  <si>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</si>
  <si>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</si>
  <si>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</si>
  <si>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</si>
  <si>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50202301</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</si>
  <si>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</si>
  <si>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</si>
  <si>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</si>
  <si>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</si>
  <si>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</si>
  <si>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</si>
  <si>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Adquisicion de Segueta</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</si>
  <si>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</si>
  <si>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</si>
  <si>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</si>
  <si>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</si>
  <si>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</si>
  <si>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</si>
  <si>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</si>
  <si>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</si>
  <si>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</si>
  <si>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</si>
  <si>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</si>
  <si>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</si>
  <si>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</si>
  <si>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</si>
  <si>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</si>
  <si>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</si>
  <si>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</si>
  <si>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</si>
  <si>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</si>
  <si>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</si>
  <si>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</si>
  <si>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</si>
  <si>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</si>
  <si>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</si>
  <si>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</si>
  <si>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</si>
  <si>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</si>
  <si>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</si>
  <si>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</si>
  <si>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</si>
  <si>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</si>
  <si>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</si>
  <si>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</si>
  <si>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</si>
  <si>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</si>
  <si>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</si>
  <si>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</si>
  <si>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</si>
  <si>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</si>
  <si>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</si>
  <si>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</si>
  <si>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</si>
  <si>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</si>
  <si>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</si>
  <si>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</si>
  <si>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</si>
  <si>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</si>
  <si>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</si>
  <si>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</si>
  <si>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</si>
  <si>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</si>
  <si>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</si>
  <si>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Cenicero del vehículo</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</si>
  <si>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</si>
  <si>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</si>
  <si>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</si>
  <si>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</si>
  <si>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</si>
  <si>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</si>
  <si>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</si>
  <si>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</si>
  <si>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</si>
  <si>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</si>
  <si>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</si>
  <si>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</si>
  <si>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</si>
  <si>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</si>
  <si>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</si>
  <si>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</si>
  <si>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</si>
  <si>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</si>
  <si>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</si>
  <si>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</si>
  <si>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</si>
  <si>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</si>
  <si>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</si>
  <si>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</si>
  <si>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</si>
  <si>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</si>
  <si>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Monitor de precisión de video</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</si>
  <si>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</si>
  <si>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</si>
  <si>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</si>
  <si>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</si>
  <si>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</si>
  <si>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</si>
  <si>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</si>
  <si>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</si>
  <si>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</si>
  <si>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</si>
  <si>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</si>
  <si>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</si>
  <si>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Equipo  y accesorios para deportes</t>
  </si>
  <si>
    <t>Bicicletas  no  motorizadas</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</si>
  <si>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</si>
  <si>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</si>
  <si>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</si>
  <si>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</si>
  <si>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</si>
  <si>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</si>
  <si>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</si>
  <si>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</si>
  <si>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</si>
  <si>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</si>
  <si>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</si>
  <si>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</si>
  <si>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</si>
  <si>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</si>
  <si>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</si>
  <si>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</si>
  <si>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</si>
  <si>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</si>
  <si>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</si>
  <si>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</si>
  <si>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</si>
  <si>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</si>
  <si>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</si>
  <si>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</si>
  <si>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</si>
  <si>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</si>
  <si>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</si>
  <si>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</si>
  <si>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</si>
  <si>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</si>
  <si>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</si>
  <si>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Agua para batería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</si>
  <si>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</si>
  <si>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</si>
  <si>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</si>
  <si>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</si>
  <si>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</si>
  <si>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</si>
  <si>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</si>
  <si>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</si>
  <si>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</si>
  <si>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</si>
  <si>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</si>
  <si>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</si>
  <si>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</si>
  <si>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</si>
  <si>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</si>
  <si>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</si>
  <si>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</si>
  <si>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</si>
  <si>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</si>
  <si>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</si>
  <si>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</si>
  <si>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</si>
  <si>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</si>
  <si>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</si>
  <si>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</si>
  <si>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</si>
  <si>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</si>
  <si>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</si>
  <si>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</si>
  <si>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</si>
  <si>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</si>
  <si>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</si>
  <si>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</si>
  <si>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</si>
  <si>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</si>
  <si>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</si>
  <si>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</si>
  <si>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</si>
  <si>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</si>
  <si>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</si>
  <si>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</si>
  <si>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</si>
  <si>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</si>
  <si>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</si>
  <si>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</si>
  <si>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72102801</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</si>
  <si>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</si>
  <si>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</si>
  <si>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</si>
  <si>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</si>
  <si>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</si>
  <si>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</si>
  <si>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</si>
  <si>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</si>
  <si>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</si>
  <si>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</si>
  <si>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</si>
  <si>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</si>
  <si>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</si>
  <si>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</si>
  <si>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</si>
  <si>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</si>
  <si>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</si>
  <si>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</si>
  <si>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Camisetas (t-shirts)</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</si>
  <si>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</si>
  <si>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</si>
  <si>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</si>
  <si>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</si>
  <si>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</si>
  <si>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</si>
  <si>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</si>
  <si>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</si>
  <si>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</si>
  <si>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</si>
  <si>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</si>
  <si>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14111506</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</si>
  <si>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</si>
  <si>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</si>
  <si>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</si>
  <si>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</si>
  <si>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</si>
  <si>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</si>
  <si>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</si>
  <si>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</si>
  <si>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</si>
  <si>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</si>
  <si>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</si>
  <si>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</si>
  <si>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</si>
  <si>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</si>
  <si>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</si>
  <si>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</si>
  <si>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</si>
  <si>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</si>
  <si>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</si>
  <si>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</si>
  <si>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</si>
  <si>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</si>
  <si>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</si>
  <si>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</si>
  <si>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</si>
  <si>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</si>
  <si>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</si>
  <si>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</si>
  <si>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</si>
  <si>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</si>
  <si>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</si>
  <si>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</si>
  <si>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</si>
  <si>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</si>
  <si>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</si>
  <si>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</si>
  <si>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</si>
  <si>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</si>
  <si>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</si>
  <si>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</si>
  <si>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</si>
  <si>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</si>
  <si>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</si>
  <si>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</si>
  <si>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</si>
  <si>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</si>
  <si>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</si>
  <si>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</si>
  <si>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</si>
  <si>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</si>
  <si>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</si>
  <si>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</si>
  <si>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</si>
  <si>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</si>
  <si>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</si>
  <si>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</si>
  <si>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</si>
  <si>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</si>
  <si>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</si>
  <si>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</si>
  <si>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</si>
  <si>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</si>
  <si>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</si>
  <si>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</si>
  <si>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</si>
  <si>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</si>
  <si>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Productos de centro médico</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</si>
  <si>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</si>
  <si>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</si>
  <si>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</si>
  <si>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</si>
  <si>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</si>
  <si>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</si>
  <si>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</si>
  <si>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</si>
  <si>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</si>
  <si>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</si>
  <si>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</si>
  <si>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</si>
  <si>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</si>
  <si>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</si>
  <si>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</si>
  <si>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</si>
  <si>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</si>
  <si>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</si>
  <si>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</si>
  <si>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</si>
  <si>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</si>
  <si>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</si>
  <si>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</si>
  <si>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</si>
  <si>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</si>
  <si>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</si>
  <si>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</si>
  <si>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</si>
  <si>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</si>
  <si>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</si>
  <si>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</si>
  <si>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</si>
  <si>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</si>
  <si>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</si>
  <si>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</si>
  <si>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</si>
  <si>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</si>
  <si>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</si>
  <si>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</si>
  <si>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</si>
  <si>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</si>
  <si>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</si>
  <si>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</si>
  <si>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</si>
  <si>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</si>
  <si>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</si>
  <si>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</si>
  <si>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</si>
  <si>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</si>
  <si>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</si>
  <si>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</si>
  <si>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Folders de conferencias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</si>
  <si>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</si>
  <si>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</si>
  <si>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</si>
  <si>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</si>
  <si>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</si>
  <si>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</si>
  <si>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</si>
  <si>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</si>
  <si>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</si>
  <si>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</si>
  <si>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</si>
  <si>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</si>
  <si>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</si>
  <si>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</si>
  <si>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</si>
  <si>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</si>
  <si>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</si>
  <si>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</si>
  <si>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</si>
  <si>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</si>
  <si>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</si>
  <si>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</si>
  <si>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</si>
  <si>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</si>
  <si>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</si>
  <si>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</si>
  <si>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</si>
  <si>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</si>
  <si>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</si>
  <si>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</si>
  <si>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</si>
  <si>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</si>
  <si>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</si>
  <si>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</si>
  <si>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</si>
  <si>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</si>
  <si>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</si>
  <si>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</si>
  <si>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</si>
  <si>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</si>
  <si>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</si>
  <si>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</si>
  <si>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</si>
  <si>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</si>
  <si>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</si>
  <si>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</si>
  <si>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</si>
  <si>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</si>
  <si>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</si>
  <si>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</si>
  <si>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</si>
  <si>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Contratacion de servicio de alquiler de audiovisuales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</si>
  <si>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</si>
  <si>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</si>
  <si>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</si>
  <si>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</si>
  <si>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</si>
  <si>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</si>
  <si>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</si>
  <si>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</si>
  <si>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</si>
  <si>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</si>
  <si>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</si>
  <si>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</si>
  <si>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</si>
  <si>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</si>
  <si>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</si>
  <si>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</si>
  <si>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</si>
  <si>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</si>
  <si>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</si>
  <si>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</si>
  <si>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</si>
  <si>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</si>
  <si>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</si>
  <si>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</si>
  <si>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</si>
  <si>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</si>
  <si>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</si>
  <si>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</si>
  <si>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</si>
  <si>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</si>
  <si>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</si>
  <si>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</si>
  <si>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</si>
  <si>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</si>
  <si>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</si>
  <si>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</si>
  <si>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</si>
  <si>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</si>
  <si>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</si>
  <si>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</si>
  <si>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</si>
  <si>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</si>
  <si>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</si>
  <si>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</si>
  <si>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</si>
  <si>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</si>
  <si>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</si>
  <si>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</si>
  <si>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</si>
  <si>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</si>
  <si>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</si>
  <si>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</si>
  <si>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</si>
  <si>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Juego de herramienta</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</si>
  <si>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</si>
  <si>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</si>
  <si>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</si>
  <si>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</si>
  <si>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</si>
  <si>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</si>
  <si>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</si>
  <si>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</si>
  <si>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</si>
  <si>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</si>
  <si>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</si>
  <si>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</si>
  <si>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</si>
  <si>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</si>
  <si>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</si>
  <si>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</si>
  <si>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</si>
  <si>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</si>
  <si>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</si>
  <si>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</si>
  <si>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</si>
  <si>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</si>
  <si>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</si>
  <si>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</si>
  <si>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</si>
  <si>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</si>
  <si>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</si>
  <si>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</si>
  <si>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</si>
  <si>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</si>
  <si>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</si>
  <si>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</si>
  <si>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</si>
  <si>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</si>
  <si>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</si>
  <si>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</si>
  <si>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</si>
  <si>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</si>
  <si>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</si>
  <si>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</si>
  <si>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</si>
  <si>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</si>
  <si>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</si>
  <si>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</si>
  <si>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</si>
  <si>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</si>
  <si>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</si>
  <si>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</si>
  <si>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</si>
  <si>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</si>
  <si>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</si>
  <si>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</si>
  <si>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</si>
  <si>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</si>
  <si>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</si>
  <si>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</si>
  <si>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</si>
  <si>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</si>
  <si>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</si>
  <si>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</si>
  <si>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</si>
  <si>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</si>
  <si>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</si>
  <si>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</si>
  <si>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</si>
  <si>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</si>
  <si>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</si>
  <si>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</si>
  <si>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</si>
  <si>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</si>
  <si>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</si>
  <si>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</si>
  <si>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</si>
  <si>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</si>
  <si>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</si>
  <si>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</si>
  <si>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</si>
  <si>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</si>
  <si>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</si>
  <si>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</si>
  <si>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</si>
  <si>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82101603</t>
  </si>
  <si>
    <t>Bloques de mordida</t>
  </si>
  <si>
    <t>Ruedas de trapo para techos</t>
  </si>
  <si>
    <t>55121715</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</si>
  <si>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</si>
  <si>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</si>
  <si>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</si>
  <si>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</si>
  <si>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</si>
  <si>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</si>
  <si>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</si>
  <si>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</si>
  <si>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</si>
  <si>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</si>
  <si>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</si>
  <si>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</si>
  <si>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Isatoribine</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</si>
  <si>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</si>
  <si>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</si>
  <si>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</si>
  <si>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</si>
  <si>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</si>
  <si>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</si>
  <si>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</si>
  <si>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</si>
  <si>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</si>
  <si>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</si>
  <si>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</si>
  <si>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</si>
  <si>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</si>
  <si>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</si>
  <si>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</si>
  <si>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</si>
  <si>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</si>
  <si>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</si>
  <si>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</si>
  <si>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</si>
  <si>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</si>
  <si>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</si>
  <si>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</si>
  <si>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</si>
  <si>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</si>
  <si>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</si>
  <si>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</si>
  <si>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</si>
  <si>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</si>
  <si>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</si>
  <si>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</si>
  <si>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</si>
  <si>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</si>
  <si>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</si>
  <si>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</si>
  <si>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</si>
  <si>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</si>
  <si>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</si>
  <si>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</si>
  <si>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</si>
  <si>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</si>
  <si>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</si>
  <si>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</si>
  <si>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</si>
  <si>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</si>
  <si>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</si>
  <si>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</si>
  <si>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</si>
  <si>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</si>
  <si>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</si>
  <si>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</si>
  <si>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</si>
  <si>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</si>
  <si>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</si>
  <si>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</si>
  <si>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</si>
  <si>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</si>
  <si>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</si>
  <si>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</si>
  <si>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</si>
  <si>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Mantenimiento de computadoras mainframe</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</si>
  <si>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</si>
  <si>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</si>
  <si>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</si>
  <si>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</si>
  <si>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</si>
  <si>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</si>
  <si>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</si>
  <si>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</si>
  <si>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</si>
  <si>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</si>
  <si>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</si>
  <si>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</si>
  <si>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</si>
  <si>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</si>
  <si>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</si>
  <si>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</si>
  <si>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</si>
  <si>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</si>
  <si>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</si>
  <si>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</si>
  <si>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</si>
  <si>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</si>
  <si>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</si>
  <si>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</si>
  <si>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</si>
  <si>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</si>
  <si>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</si>
  <si>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</si>
  <si>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</si>
  <si>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</si>
  <si>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</si>
  <si>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</si>
  <si>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</si>
  <si>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</si>
  <si>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</si>
  <si>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</si>
  <si>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</si>
  <si>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50192801</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</si>
  <si>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</si>
  <si>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</si>
  <si>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</si>
  <si>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</si>
  <si>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</si>
  <si>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</si>
  <si>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</si>
  <si>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</si>
  <si>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</si>
  <si>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</si>
  <si>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</si>
  <si>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</si>
  <si>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</si>
  <si>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</si>
  <si>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</si>
  <si>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</si>
  <si>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</si>
  <si>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</si>
  <si>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</si>
  <si>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</si>
  <si>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</si>
  <si>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</si>
  <si>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</si>
  <si>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</si>
  <si>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</si>
  <si>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</si>
  <si>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</si>
  <si>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</si>
  <si>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</si>
  <si>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</si>
  <si>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 xml:space="preserve"> Cámara de neumático de automóvil</t>
  </si>
  <si>
    <t>Tiristores</t>
  </si>
  <si>
    <t>Nandrolona</t>
  </si>
  <si>
    <t>Accesorios para serigrafía</t>
  </si>
  <si>
    <t>Pincel pastelero para uso doméstico</t>
  </si>
  <si>
    <t>Barniz de laca</t>
  </si>
  <si>
    <t>Harina de madera</t>
  </si>
  <si>
    <t>Cuerda o pita</t>
  </si>
  <si>
    <t>Bandejas de impresión de yeso</t>
  </si>
  <si>
    <t>30102403</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</si>
  <si>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</si>
  <si>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</si>
  <si>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</si>
  <si>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</si>
  <si>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</si>
  <si>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</si>
  <si>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</si>
  <si>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</si>
  <si>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</si>
  <si>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</si>
  <si>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</si>
  <si>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</si>
  <si>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</si>
  <si>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</si>
  <si>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27111514</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</si>
  <si>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</si>
  <si>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</si>
  <si>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</si>
  <si>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</si>
  <si>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</si>
  <si>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</si>
  <si>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</si>
  <si>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</si>
  <si>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</si>
  <si>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</si>
  <si>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</si>
  <si>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</si>
  <si>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</si>
  <si>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</si>
  <si>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</si>
  <si>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</si>
  <si>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</si>
  <si>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</si>
  <si>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</si>
  <si>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</si>
  <si>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</si>
  <si>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</si>
  <si>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</si>
  <si>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Adquisicion de Banderas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</si>
  <si>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</si>
  <si>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</si>
  <si>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</si>
  <si>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</si>
  <si>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</si>
  <si>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</si>
  <si>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</si>
  <si>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</si>
  <si>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</si>
  <si>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</si>
  <si>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</si>
  <si>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</si>
  <si>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</si>
  <si>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</si>
  <si>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</si>
  <si>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</si>
  <si>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</si>
  <si>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</si>
  <si>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</si>
  <si>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</si>
  <si>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</si>
  <si>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</si>
  <si>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</si>
  <si>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</si>
  <si>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</si>
  <si>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</si>
  <si>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</si>
  <si>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</si>
  <si>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</si>
  <si>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</si>
  <si>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</si>
  <si>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</si>
  <si>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</si>
  <si>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</si>
  <si>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</si>
  <si>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</si>
  <si>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</si>
  <si>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</si>
  <si>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</si>
  <si>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</si>
  <si>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</si>
  <si>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</si>
  <si>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</si>
  <si>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</si>
  <si>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</si>
  <si>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</si>
  <si>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</si>
  <si>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</si>
  <si>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</si>
  <si>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</si>
  <si>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</si>
  <si>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</si>
  <si>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</si>
  <si>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</si>
  <si>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</si>
  <si>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</si>
  <si>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</si>
  <si>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27111702</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</si>
  <si>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</si>
  <si>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</si>
  <si>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</si>
  <si>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</si>
  <si>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</si>
  <si>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</si>
  <si>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</si>
  <si>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</si>
  <si>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</si>
  <si>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</si>
  <si>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</si>
  <si>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</si>
  <si>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</si>
  <si>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</si>
  <si>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</si>
  <si>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39121102</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</si>
  <si>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</si>
  <si>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</si>
  <si>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</si>
  <si>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</si>
  <si>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</si>
  <si>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</si>
  <si>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</si>
  <si>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</si>
  <si>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</si>
  <si>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</si>
  <si>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</si>
  <si>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</si>
  <si>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</si>
  <si>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47131710</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</si>
  <si>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</si>
  <si>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</si>
  <si>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</si>
  <si>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</si>
  <si>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</si>
  <si>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</si>
  <si>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</si>
  <si>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</si>
  <si>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</si>
  <si>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</si>
  <si>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</si>
  <si>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</si>
  <si>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</si>
  <si>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</si>
  <si>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</si>
  <si>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</si>
  <si>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</si>
  <si>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</si>
  <si>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 xml:space="preserve">Este nùmero no existe UNSPSC, por lo cual no fue incorporado </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</si>
  <si>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</si>
  <si>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</si>
  <si>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</si>
  <si>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</si>
  <si>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</si>
  <si>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</si>
  <si>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</si>
  <si>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44122026</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</si>
  <si>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</si>
  <si>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</si>
  <si>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</si>
  <si>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</si>
  <si>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</si>
  <si>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</si>
  <si>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</si>
  <si>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</si>
  <si>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</si>
  <si>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</si>
  <si>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</si>
  <si>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</si>
  <si>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</si>
  <si>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</si>
  <si>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44121615</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</si>
  <si>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</si>
  <si>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</si>
  <si>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</si>
  <si>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</si>
  <si>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</si>
  <si>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</si>
  <si>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</si>
  <si>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</si>
  <si>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</si>
  <si>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</si>
  <si>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</si>
  <si>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</si>
  <si>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</si>
  <si>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</si>
  <si>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</si>
  <si>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</si>
  <si>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</si>
  <si>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</si>
  <si>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</si>
  <si>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</si>
  <si>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</si>
  <si>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</si>
  <si>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</si>
  <si>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</si>
  <si>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</si>
  <si>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</si>
  <si>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</si>
  <si>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</si>
  <si>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</si>
  <si>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</si>
  <si>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</si>
  <si>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</si>
  <si>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</si>
  <si>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</si>
  <si>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</si>
  <si>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</si>
  <si>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</si>
  <si>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</si>
  <si>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</si>
  <si>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</si>
  <si>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</si>
  <si>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</si>
  <si>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</si>
  <si>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</si>
  <si>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</si>
  <si>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</si>
  <si>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</si>
  <si>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</si>
  <si>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</si>
  <si>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</si>
  <si>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</si>
  <si>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</si>
  <si>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</si>
  <si>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</si>
  <si>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</si>
  <si>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</si>
  <si>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</si>
  <si>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</si>
  <si>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</si>
  <si>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</si>
  <si>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</si>
  <si>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</si>
  <si>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</si>
  <si>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</si>
  <si>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</si>
  <si>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</si>
  <si>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</si>
  <si>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</si>
  <si>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</si>
  <si>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</si>
  <si>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</si>
  <si>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</si>
  <si>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</si>
  <si>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</si>
  <si>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</si>
  <si>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</si>
  <si>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</si>
  <si>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</si>
  <si>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</si>
  <si>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</si>
  <si>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</si>
  <si>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</si>
  <si>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</si>
  <si>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</si>
  <si>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</si>
  <si>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</si>
  <si>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</si>
  <si>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</si>
  <si>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</si>
  <si>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</si>
  <si>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</si>
  <si>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</si>
  <si>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</si>
  <si>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</si>
  <si>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</si>
  <si>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</si>
  <si>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</si>
  <si>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</si>
  <si>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</si>
  <si>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</si>
  <si>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</si>
  <si>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</si>
  <si>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</si>
  <si>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</si>
  <si>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</si>
  <si>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</si>
  <si>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</si>
  <si>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</si>
  <si>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</si>
  <si>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</si>
  <si>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</si>
  <si>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</si>
  <si>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</si>
  <si>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27111704</t>
  </si>
  <si>
    <t>Maquinaria, suministros y accesorios de oficina</t>
  </si>
  <si>
    <t>Tubos de empaque de bombas de perfusión</t>
  </si>
  <si>
    <t>Olla de cocción lenta para uso doméstico</t>
  </si>
  <si>
    <t>Deportes comerciales</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</si>
  <si>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</si>
  <si>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</si>
  <si>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</si>
  <si>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</si>
  <si>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</si>
  <si>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</si>
  <si>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</si>
  <si>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</si>
  <si>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</si>
  <si>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</si>
  <si>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Timones o volantes de madera</t>
  </si>
  <si>
    <t>Trámites aduaneros</t>
  </si>
  <si>
    <t>Sargramostim</t>
  </si>
  <si>
    <t>31161504</t>
  </si>
  <si>
    <t>Fosfato de potasio</t>
  </si>
  <si>
    <t>Sets de jeringas de inyección intravenosa sin aguja o cánula de inyección</t>
  </si>
  <si>
    <t>Tarjetas de examen neurosiquiátrico</t>
  </si>
  <si>
    <t>Máquinas pulidoras</t>
  </si>
  <si>
    <t>Generadores de van de graff</t>
  </si>
  <si>
    <t>81112006</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</si>
  <si>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</si>
  <si>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</si>
  <si>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</si>
  <si>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</si>
  <si>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</si>
  <si>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</si>
  <si>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</si>
  <si>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</si>
  <si>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</si>
  <si>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</si>
  <si>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</si>
  <si>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</si>
  <si>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44121613</t>
  </si>
  <si>
    <t>Sodio de rosa de bengala i 131</t>
  </si>
  <si>
    <t>Servicios de investigaciones patológicas</t>
  </si>
  <si>
    <t>Textiles de lana</t>
  </si>
  <si>
    <t>Accesorios para estampación de caucho</t>
  </si>
  <si>
    <t>Cables de retención</t>
  </si>
  <si>
    <t>Ensambles de tubería remachada de acero de aleación baja</t>
  </si>
  <si>
    <t>27111802</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</si>
  <si>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</si>
  <si>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</si>
  <si>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</si>
  <si>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</si>
  <si>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</si>
  <si>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</si>
  <si>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</si>
  <si>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</si>
  <si>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</si>
  <si>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</si>
  <si>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</si>
  <si>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</si>
  <si>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</si>
  <si>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</si>
  <si>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</si>
  <si>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</si>
  <si>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</si>
  <si>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</si>
  <si>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</si>
  <si>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</si>
  <si>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Cámara de proceso</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</si>
  <si>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</si>
  <si>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</si>
  <si>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</si>
  <si>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</si>
  <si>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</si>
  <si>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</si>
  <si>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</si>
  <si>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</si>
  <si>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</si>
  <si>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</si>
  <si>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</si>
  <si>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</si>
  <si>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Adquisicion de Materiales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</si>
  <si>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</si>
  <si>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</si>
  <si>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</si>
  <si>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</si>
  <si>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</si>
  <si>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</si>
  <si>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</si>
  <si>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</si>
  <si>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</si>
  <si>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46181802</t>
  </si>
  <si>
    <t>Accesorios borrador para arte</t>
  </si>
  <si>
    <t>Extrusiones por impacto de aluminio</t>
  </si>
  <si>
    <t>43191501</t>
  </si>
  <si>
    <t>31161513</t>
  </si>
  <si>
    <t>Gabinetes para casetes de tejidos o histología</t>
  </si>
  <si>
    <t>Ventanas de avión</t>
  </si>
  <si>
    <t>Muestrarios genómicos</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</si>
  <si>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</si>
  <si>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</si>
  <si>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</si>
  <si>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</si>
  <si>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</si>
  <si>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</si>
  <si>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</si>
  <si>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</si>
  <si>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</si>
  <si>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</si>
  <si>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</si>
  <si>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</si>
  <si>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</si>
  <si>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</si>
  <si>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</si>
  <si>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</si>
  <si>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</si>
  <si>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</si>
  <si>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</si>
  <si>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</si>
  <si>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</si>
  <si>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</si>
  <si>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</si>
  <si>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</si>
  <si>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</si>
  <si>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</si>
  <si>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</si>
  <si>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</si>
  <si>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</si>
  <si>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</si>
  <si>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</si>
  <si>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</si>
  <si>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</si>
  <si>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</si>
  <si>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</si>
  <si>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</si>
  <si>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</si>
  <si>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</si>
  <si>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</si>
  <si>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</si>
  <si>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</si>
  <si>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</si>
  <si>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</si>
  <si>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Agentes que afectan el agua y los electrolitos</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</si>
  <si>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</si>
  <si>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</si>
  <si>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</si>
  <si>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</si>
  <si>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</si>
  <si>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</si>
  <si>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</si>
  <si>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</si>
  <si>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</si>
  <si>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</si>
  <si>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56101520</t>
  </si>
  <si>
    <t>Filtros hepa para laboratorio</t>
  </si>
  <si>
    <t>Bentonita</t>
  </si>
  <si>
    <t>Bolsas de agua</t>
  </si>
  <si>
    <t>Viaducto para carretera</t>
  </si>
  <si>
    <t>Sillas para ejecutivos</t>
  </si>
  <si>
    <t>44121506</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</si>
  <si>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</si>
  <si>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</si>
  <si>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</si>
  <si>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</si>
  <si>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</si>
  <si>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</si>
  <si>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</si>
  <si>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</si>
  <si>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</si>
  <si>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</si>
  <si>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</si>
  <si>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</si>
  <si>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25101501</t>
  </si>
  <si>
    <t>Placa de cocina para uso doméstico</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</si>
  <si>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</si>
  <si>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</si>
  <si>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</si>
  <si>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</si>
  <si>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</si>
  <si>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</si>
  <si>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</si>
  <si>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</si>
  <si>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</si>
  <si>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</si>
  <si>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</si>
  <si>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</si>
  <si>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</si>
  <si>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</si>
  <si>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</si>
  <si>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</si>
  <si>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</si>
  <si>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</si>
  <si>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</si>
  <si>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</si>
  <si>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</si>
  <si>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</si>
  <si>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</si>
  <si>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</si>
  <si>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</si>
  <si>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</si>
  <si>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</si>
  <si>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</si>
  <si>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</si>
  <si>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</si>
  <si>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</si>
  <si>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</si>
  <si>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</si>
  <si>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</si>
  <si>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</si>
  <si>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</si>
  <si>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</si>
  <si>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</si>
  <si>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</si>
  <si>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</si>
  <si>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</si>
  <si>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</si>
  <si>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</si>
  <si>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</si>
  <si>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</si>
  <si>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</si>
  <si>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</si>
  <si>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</si>
  <si>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</si>
  <si>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</si>
  <si>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</si>
  <si>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</si>
  <si>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</si>
  <si>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</si>
  <si>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</si>
  <si>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</si>
  <si>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</si>
  <si>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</si>
  <si>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</si>
  <si>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</si>
  <si>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</si>
  <si>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</si>
  <si>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</si>
  <si>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</si>
  <si>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</si>
  <si>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</si>
  <si>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</si>
  <si>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</si>
  <si>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</si>
  <si>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</si>
  <si>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</si>
  <si>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</si>
  <si>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</si>
  <si>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</si>
  <si>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</si>
  <si>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</si>
  <si>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</si>
  <si>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</si>
  <si>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</si>
  <si>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</si>
  <si>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</si>
  <si>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</si>
  <si>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</si>
  <si>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</si>
  <si>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</si>
  <si>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</si>
  <si>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</si>
  <si>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</si>
  <si>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</si>
  <si>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</si>
  <si>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</si>
  <si>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</si>
  <si>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</si>
  <si>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</si>
  <si>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</si>
  <si>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</si>
  <si>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</si>
  <si>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</si>
  <si>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</si>
  <si>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</si>
  <si>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</si>
  <si>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</si>
  <si>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</si>
  <si>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</si>
  <si>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</si>
  <si>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</si>
  <si>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</si>
  <si>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</si>
  <si>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</si>
  <si>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</si>
  <si>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</si>
  <si>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</si>
  <si>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</si>
  <si>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</si>
  <si>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</si>
  <si>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</si>
  <si>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</si>
  <si>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</si>
  <si>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</si>
  <si>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</si>
  <si>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31211904</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</si>
  <si>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</si>
  <si>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</si>
  <si>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</si>
  <si>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</si>
  <si>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</si>
  <si>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</si>
  <si>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</si>
  <si>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</si>
  <si>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</si>
  <si>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</si>
  <si>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</si>
  <si>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</si>
  <si>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</si>
  <si>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</si>
  <si>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</si>
  <si>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</si>
  <si>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</si>
  <si>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</si>
  <si>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</si>
  <si>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</si>
  <si>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</si>
  <si>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</si>
  <si>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</si>
  <si>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</si>
  <si>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</si>
  <si>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</si>
  <si>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</si>
  <si>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</si>
  <si>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</si>
  <si>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</si>
  <si>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</si>
  <si>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</si>
  <si>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</si>
  <si>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</si>
  <si>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</si>
  <si>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</si>
  <si>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</si>
  <si>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 xml:space="preserve">Neumático para motocicleta </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</si>
  <si>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</si>
  <si>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</si>
  <si>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</si>
  <si>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</si>
  <si>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</si>
  <si>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</si>
  <si>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</si>
  <si>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</si>
  <si>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</si>
  <si>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</si>
  <si>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</si>
  <si>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</si>
  <si>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</si>
  <si>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</si>
  <si>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</si>
  <si>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Suministro e Instalacion de Mobiliario modular</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</si>
  <si>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</si>
  <si>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</si>
  <si>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</si>
  <si>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</si>
  <si>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</si>
  <si>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</si>
  <si>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</si>
  <si>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</si>
  <si>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</si>
  <si>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</si>
  <si>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11151502</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</si>
  <si>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</si>
  <si>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</si>
  <si>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</si>
  <si>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</si>
  <si>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</si>
  <si>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</si>
  <si>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</si>
  <si>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</si>
  <si>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Pinturas y bases y acabados</t>
  </si>
  <si>
    <t>Tarifas de soporte o mantenimiento</t>
  </si>
  <si>
    <t>Pintura de enmascarar para acuarela líquida</t>
  </si>
  <si>
    <t>Fármacos que afectan a los oídos, los ojos, la nariz y la piel</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</si>
  <si>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</si>
  <si>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</si>
  <si>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</si>
  <si>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</si>
  <si>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</si>
  <si>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</si>
  <si>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</si>
  <si>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</si>
  <si>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</si>
  <si>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</si>
  <si>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</si>
  <si>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</si>
  <si>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</si>
  <si>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</si>
  <si>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</si>
  <si>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</si>
  <si>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</si>
  <si>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</si>
  <si>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</si>
  <si>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</si>
  <si>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</si>
  <si>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</si>
  <si>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</si>
  <si>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</si>
  <si>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</si>
  <si>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</si>
  <si>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</si>
  <si>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</si>
  <si>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</si>
  <si>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</si>
  <si>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</si>
  <si>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</si>
  <si>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</si>
  <si>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</si>
  <si>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</si>
  <si>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</si>
  <si>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</si>
  <si>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</si>
  <si>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</si>
  <si>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</si>
  <si>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</si>
  <si>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</si>
  <si>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</si>
  <si>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</si>
  <si>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</si>
  <si>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</si>
  <si>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</si>
  <si>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</si>
  <si>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</si>
  <si>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</si>
  <si>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</si>
  <si>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</si>
  <si>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</si>
  <si>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</si>
  <si>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</si>
  <si>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</si>
  <si>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</si>
  <si>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</si>
  <si>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</si>
  <si>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</si>
  <si>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</si>
  <si>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</si>
  <si>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</si>
  <si>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</si>
  <si>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</si>
  <si>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</si>
  <si>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</si>
  <si>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</si>
  <si>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41114201</t>
  </si>
  <si>
    <t>47131706</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</si>
  <si>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</si>
  <si>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</si>
  <si>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</si>
  <si>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</si>
  <si>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</si>
  <si>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</si>
  <si>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</si>
  <si>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</si>
  <si>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</si>
  <si>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</si>
  <si>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Equipo de laboratorio y científico</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</si>
  <si>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</si>
  <si>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</si>
  <si>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</si>
  <si>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</si>
  <si>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</si>
  <si>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</si>
  <si>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</si>
  <si>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</si>
  <si>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</si>
  <si>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</si>
  <si>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</si>
  <si>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</si>
  <si>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</si>
  <si>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</si>
  <si>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</si>
  <si>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</si>
  <si>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</si>
  <si>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</si>
  <si>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</si>
  <si>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</si>
  <si>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</si>
  <si>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</si>
  <si>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</si>
  <si>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</si>
  <si>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</si>
  <si>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</si>
  <si>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</si>
  <si>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</si>
  <si>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</si>
  <si>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</si>
  <si>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</si>
  <si>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</si>
  <si>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</si>
  <si>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</si>
  <si>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</si>
  <si>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</si>
  <si>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</si>
  <si>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</si>
  <si>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</si>
  <si>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</si>
  <si>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</si>
  <si>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</si>
  <si>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</si>
  <si>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</si>
  <si>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</si>
  <si>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</si>
  <si>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49161612</t>
  </si>
  <si>
    <t>Barras para cánulas de esterilización</t>
  </si>
  <si>
    <t>Cajas de monedas para teléfonos de pago</t>
  </si>
  <si>
    <t>Servicios de cáterin en la obra o lugar de trabajo</t>
  </si>
  <si>
    <t>Servicios de multiplicación de semillas</t>
  </si>
  <si>
    <t>Organizadores de Filas</t>
  </si>
  <si>
    <t>Brochas</t>
  </si>
  <si>
    <t>Contratacion de servicio de consultoria y capacitacion en iniciativas estrategicas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</si>
  <si>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</si>
  <si>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</si>
  <si>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</si>
  <si>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</si>
  <si>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</si>
  <si>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</si>
  <si>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</si>
  <si>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</si>
  <si>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</si>
  <si>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</si>
  <si>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</si>
  <si>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</si>
  <si>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</si>
  <si>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</si>
  <si>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</si>
  <si>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</si>
  <si>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</si>
  <si>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</si>
  <si>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</si>
  <si>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</si>
  <si>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</si>
  <si>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Contratacion de servicios para eventos del ministerio</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</si>
  <si>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</si>
  <si>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</si>
  <si>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</si>
  <si>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</si>
  <si>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</si>
  <si>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</si>
  <si>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</si>
  <si>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</si>
  <si>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</si>
  <si>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</si>
  <si>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</si>
  <si>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</si>
  <si>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</si>
  <si>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</si>
  <si>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</si>
  <si>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</si>
  <si>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</si>
  <si>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</si>
  <si>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</si>
  <si>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</si>
  <si>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</si>
  <si>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</si>
  <si>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</si>
  <si>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</si>
  <si>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</si>
  <si>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</si>
  <si>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 xml:space="preserve">Productos  de  floricultura  y  silvicultura  </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</si>
  <si>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</si>
  <si>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</si>
  <si>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</si>
  <si>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</si>
  <si>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</si>
  <si>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</si>
  <si>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</si>
  <si>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</si>
  <si>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</si>
  <si>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</si>
  <si>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</si>
  <si>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50201713</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</si>
  <si>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</si>
  <si>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</si>
  <si>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</si>
  <si>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</si>
  <si>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</si>
  <si>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</si>
  <si>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</si>
  <si>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</si>
  <si>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</si>
  <si>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</si>
  <si>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</si>
  <si>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Bálsamos</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</si>
  <si>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</si>
  <si>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</si>
  <si>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</si>
  <si>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</si>
  <si>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</si>
  <si>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</si>
  <si>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</si>
  <si>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</si>
  <si>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</si>
  <si>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</si>
  <si>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</si>
  <si>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</si>
  <si>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</si>
  <si>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</si>
  <si>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</si>
  <si>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</si>
  <si>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N/A</t>
  </si>
  <si>
    <t>Paneles laterales de vehículos</t>
  </si>
  <si>
    <t>Clubes o servicios para aficionados a las bellas artes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</si>
  <si>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</si>
  <si>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</si>
  <si>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</si>
  <si>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</si>
  <si>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</si>
  <si>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</si>
  <si>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</si>
  <si>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</si>
  <si>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</si>
  <si>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</si>
  <si>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</si>
  <si>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</si>
  <si>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</si>
  <si>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</si>
  <si>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</si>
  <si>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</si>
  <si>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</si>
  <si>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</si>
  <si>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</si>
  <si>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</si>
  <si>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</si>
  <si>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</si>
  <si>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</si>
  <si>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</si>
  <si>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</si>
  <si>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</si>
  <si>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</si>
  <si>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</si>
  <si>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</si>
  <si>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</si>
  <si>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</si>
  <si>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</si>
  <si>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</si>
  <si>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</si>
  <si>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</si>
  <si>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</si>
  <si>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</si>
  <si>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</si>
  <si>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</si>
  <si>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</si>
  <si>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</si>
  <si>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</si>
  <si>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</si>
  <si>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</si>
  <si>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</si>
  <si>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</si>
  <si>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</si>
  <si>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</si>
  <si>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</si>
  <si>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</si>
  <si>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</si>
  <si>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</si>
  <si>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</si>
  <si>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</si>
  <si>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</si>
  <si>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</si>
  <si>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</si>
  <si>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</si>
  <si>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</si>
  <si>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</si>
  <si>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</si>
  <si>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</si>
  <si>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</si>
  <si>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</si>
  <si>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</si>
  <si>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</si>
  <si>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</si>
  <si>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</si>
  <si>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</si>
  <si>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</si>
  <si>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</si>
  <si>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</si>
  <si>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</si>
  <si>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</si>
  <si>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</si>
  <si>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</si>
  <si>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</si>
  <si>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</si>
  <si>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</si>
  <si>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</si>
  <si>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</si>
  <si>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</si>
  <si>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</si>
  <si>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</si>
  <si>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</si>
  <si>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</si>
  <si>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46181804</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</si>
  <si>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</si>
  <si>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</si>
  <si>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</si>
  <si>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</si>
  <si>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</si>
  <si>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</si>
  <si>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</si>
  <si>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</si>
  <si>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</si>
  <si>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52152102</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</si>
  <si>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</si>
  <si>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</si>
  <si>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</si>
  <si>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</si>
  <si>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</si>
  <si>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</si>
  <si>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</si>
  <si>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</si>
  <si>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</si>
  <si>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</si>
  <si>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</si>
  <si>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</si>
  <si>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</si>
  <si>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</si>
  <si>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</si>
  <si>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</si>
  <si>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</si>
  <si>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</si>
  <si>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</si>
  <si>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</si>
  <si>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Sistemas   y  componentes  y  equipos  aeroespaciales</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</si>
  <si>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</si>
  <si>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</si>
  <si>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</si>
  <si>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</si>
  <si>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</si>
  <si>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</si>
  <si>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</si>
  <si>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</si>
  <si>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</si>
  <si>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</si>
  <si>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</si>
  <si>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</si>
  <si>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</si>
  <si>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</si>
  <si>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</si>
  <si>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</si>
  <si>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</si>
  <si>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</si>
  <si>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</si>
  <si>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</si>
  <si>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</si>
  <si>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</si>
  <si>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</si>
  <si>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</si>
  <si>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</si>
  <si>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</si>
  <si>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</si>
  <si>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</si>
  <si>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</si>
  <si>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</si>
  <si>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41111616</t>
  </si>
  <si>
    <t>Portavelas</t>
  </si>
  <si>
    <t>Temazepam</t>
  </si>
  <si>
    <t>Componentes no metálicos formados enrollados</t>
  </si>
  <si>
    <t>Unidades o accesorios de insuflación o distensión para endoscopia</t>
  </si>
  <si>
    <t>Válvulas con pistones lubricados</t>
  </si>
  <si>
    <t>Revestimientos de rodamiento</t>
  </si>
  <si>
    <t xml:space="preserve">Productos  de  talabarteria  y  arreo  </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</si>
  <si>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</si>
  <si>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</si>
  <si>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</si>
  <si>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</si>
  <si>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</si>
  <si>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</si>
  <si>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</si>
  <si>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</si>
  <si>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</si>
  <si>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</si>
  <si>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</si>
  <si>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</si>
  <si>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</si>
  <si>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</si>
  <si>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</si>
  <si>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</si>
  <si>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</si>
  <si>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</si>
  <si>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</si>
  <si>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</si>
  <si>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</si>
  <si>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</si>
  <si>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</si>
  <si>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</si>
  <si>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</si>
  <si>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</si>
  <si>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</si>
  <si>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</si>
  <si>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</si>
  <si>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</si>
  <si>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</si>
  <si>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</si>
  <si>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</si>
  <si>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</si>
  <si>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</si>
  <si>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</si>
  <si>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47131812</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</si>
  <si>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</si>
  <si>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</si>
  <si>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</si>
  <si>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</si>
  <si>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</si>
  <si>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</si>
  <si>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</si>
  <si>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</si>
  <si>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</si>
  <si>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</si>
  <si>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</si>
  <si>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</si>
  <si>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</si>
  <si>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</si>
  <si>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</si>
  <si>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</si>
  <si>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</si>
  <si>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</si>
  <si>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</si>
  <si>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</si>
  <si>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</si>
  <si>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</si>
  <si>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</si>
  <si>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</si>
  <si>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</si>
  <si>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</si>
  <si>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</si>
  <si>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</si>
  <si>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</si>
  <si>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</si>
  <si>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26121611</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</si>
  <si>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</si>
  <si>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</si>
  <si>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</si>
  <si>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</si>
  <si>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</si>
  <si>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</si>
  <si>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</si>
  <si>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</si>
  <si>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</si>
  <si>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</si>
  <si>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</si>
  <si>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</si>
  <si>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</si>
  <si>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</si>
  <si>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</si>
  <si>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</si>
  <si>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</si>
  <si>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</si>
  <si>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</si>
  <si>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</si>
  <si>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</si>
  <si>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</si>
  <si>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</si>
  <si>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</si>
  <si>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</si>
  <si>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</si>
  <si>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</si>
  <si>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</si>
  <si>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</si>
  <si>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</si>
  <si>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</si>
  <si>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</si>
  <si>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</si>
  <si>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</si>
  <si>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</si>
  <si>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</si>
  <si>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</si>
  <si>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</si>
  <si>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</si>
  <si>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</si>
  <si>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</si>
  <si>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</si>
  <si>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</si>
  <si>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</si>
  <si>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</si>
  <si>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</si>
  <si>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</si>
  <si>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</si>
  <si>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</si>
  <si>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</si>
  <si>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</si>
  <si>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</si>
  <si>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</si>
  <si>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</si>
  <si>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</si>
  <si>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</si>
  <si>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</si>
  <si>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</si>
  <si>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</si>
  <si>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</si>
  <si>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</si>
  <si>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</si>
  <si>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</si>
  <si>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Servicio de mantenimiento o reparación de generadores portátiles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</si>
  <si>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</si>
  <si>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</si>
  <si>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</si>
  <si>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</si>
  <si>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</si>
  <si>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</si>
  <si>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</si>
  <si>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</si>
  <si>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</si>
  <si>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</si>
  <si>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</si>
  <si>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</si>
  <si>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</si>
  <si>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</si>
  <si>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</si>
  <si>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</si>
  <si>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</si>
  <si>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</si>
  <si>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</si>
  <si>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</si>
  <si>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25172010</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</si>
  <si>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</si>
  <si>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</si>
  <si>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</si>
  <si>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</si>
  <si>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</si>
  <si>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</si>
  <si>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</si>
  <si>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</si>
  <si>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</si>
  <si>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</si>
  <si>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</si>
  <si>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</si>
  <si>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</si>
  <si>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</si>
  <si>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</si>
  <si>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</si>
  <si>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</si>
  <si>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</si>
  <si>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</si>
  <si>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</si>
  <si>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</si>
  <si>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</si>
  <si>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</si>
  <si>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</si>
  <si>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</si>
  <si>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</si>
  <si>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</si>
  <si>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</si>
  <si>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</si>
  <si>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</si>
  <si>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</si>
  <si>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</si>
  <si>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</si>
  <si>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</si>
  <si>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</si>
  <si>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</si>
  <si>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</si>
  <si>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</si>
  <si>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15121504</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</si>
  <si>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</si>
  <si>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</si>
  <si>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</si>
  <si>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</si>
  <si>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</si>
  <si>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</si>
  <si>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</si>
  <si>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Bañeras o tinas para bebé y accesorios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</si>
  <si>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</si>
  <si>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</si>
  <si>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</si>
  <si>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</si>
  <si>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</si>
  <si>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</si>
  <si>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</si>
  <si>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</si>
  <si>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</si>
  <si>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</si>
  <si>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</si>
  <si>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</si>
  <si>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</si>
  <si>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</si>
  <si>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Servicio de construcción de marinas</t>
  </si>
  <si>
    <t>Hoja de fibra y goma</t>
  </si>
  <si>
    <t>Discos voladores</t>
  </si>
  <si>
    <t>Bloques de remolque sísmicos</t>
  </si>
  <si>
    <t>Sujetadores de cubiertos o de utensilios para los discapacitados físicamente</t>
  </si>
  <si>
    <t>Juncos para cestería</t>
  </si>
  <si>
    <t>49161603</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</si>
  <si>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</si>
  <si>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</si>
  <si>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</si>
  <si>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</si>
  <si>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</si>
  <si>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</si>
  <si>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</si>
  <si>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</si>
  <si>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</si>
  <si>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</si>
  <si>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</si>
  <si>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</si>
  <si>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</si>
  <si>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</si>
  <si>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</si>
  <si>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</si>
  <si>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</si>
  <si>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</si>
  <si>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</si>
  <si>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</si>
  <si>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</si>
  <si>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</si>
  <si>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</si>
  <si>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</si>
  <si>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</si>
  <si>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</si>
  <si>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</si>
  <si>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</si>
  <si>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</si>
  <si>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</si>
  <si>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</si>
  <si>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</si>
  <si>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</si>
  <si>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</si>
  <si>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</si>
  <si>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</si>
  <si>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</si>
  <si>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</si>
  <si>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</si>
  <si>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</si>
  <si>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</si>
  <si>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</si>
  <si>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</si>
  <si>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</si>
  <si>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</si>
  <si>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</si>
  <si>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</si>
  <si>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</si>
  <si>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</si>
  <si>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</si>
  <si>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</si>
  <si>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</si>
  <si>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</si>
  <si>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</si>
  <si>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</si>
  <si>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</si>
  <si>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</si>
  <si>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</si>
  <si>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</si>
  <si>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</si>
  <si>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</si>
  <si>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</si>
  <si>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</si>
  <si>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</si>
  <si>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</si>
  <si>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</si>
  <si>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</si>
  <si>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</si>
  <si>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</si>
  <si>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</si>
  <si>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</si>
  <si>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</si>
  <si>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</si>
  <si>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</si>
  <si>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</si>
  <si>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</si>
  <si>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</si>
  <si>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</si>
  <si>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</si>
  <si>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</si>
  <si>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</si>
  <si>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</si>
  <si>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</si>
  <si>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</si>
  <si>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</si>
  <si>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Estación total</t>
  </si>
  <si>
    <t>Impresoras de banda</t>
  </si>
  <si>
    <t>Enrolladores de cables aéreos</t>
  </si>
  <si>
    <t>Servicios de plataforma petroleras en tierra</t>
  </si>
  <si>
    <t>Tarjetas de módem</t>
  </si>
  <si>
    <t>Utensilios para servir para uso doméstico</t>
  </si>
  <si>
    <t>Tiras o sujetadores para bolsas de drenaje urinario</t>
  </si>
  <si>
    <t>31161608</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</si>
  <si>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</si>
  <si>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</si>
  <si>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</si>
  <si>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</si>
  <si>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</si>
  <si>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</si>
  <si>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</si>
  <si>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</si>
  <si>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</si>
  <si>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</si>
  <si>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</si>
  <si>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</si>
  <si>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</si>
  <si>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</si>
  <si>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</si>
  <si>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</si>
  <si>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</si>
  <si>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</si>
  <si>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</si>
  <si>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</si>
  <si>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</si>
  <si>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</si>
  <si>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</si>
  <si>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Obras Menores</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</si>
  <si>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</si>
  <si>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</si>
  <si>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</si>
  <si>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</si>
  <si>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</si>
  <si>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</si>
  <si>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</si>
  <si>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</si>
  <si>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</si>
  <si>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</si>
  <si>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</si>
  <si>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Proyectos de rehabilitación y extensión de redes eléctricas rurales y suburbanas</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</si>
  <si>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</si>
  <si>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</si>
  <si>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</si>
  <si>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</si>
  <si>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</si>
  <si>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</si>
  <si>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</si>
  <si>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90111501</t>
  </si>
  <si>
    <t>Series de disco duro</t>
  </si>
  <si>
    <t>Mezcladoras de lodo</t>
  </si>
  <si>
    <t>Objetos de aleación no ferrosa fundidos por proceso en v</t>
  </si>
  <si>
    <t>Libros en cintas o en discos compactos</t>
  </si>
  <si>
    <t>Adenosina</t>
  </si>
  <si>
    <t>Encimeras</t>
  </si>
  <si>
    <t>Equipo informático y accesorios</t>
  </si>
  <si>
    <t>Registros indicadores de esterilización</t>
  </si>
  <si>
    <t>Materiales para acabados</t>
  </si>
  <si>
    <t>Cargadores de ruedas</t>
  </si>
  <si>
    <t>Servicios de ecodesarrollo</t>
  </si>
  <si>
    <t>Estudios de estructura sociales o servicios relacionados</t>
  </si>
  <si>
    <t>Taladro de perforación en tierra</t>
  </si>
  <si>
    <t xml:space="preserve">Productos  para  el  control  de  plagas  </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</si>
  <si>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</si>
  <si>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</si>
  <si>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</si>
  <si>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</si>
  <si>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</si>
  <si>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</si>
  <si>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</si>
  <si>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</si>
  <si>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</si>
  <si>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</si>
  <si>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</si>
  <si>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</si>
  <si>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</si>
  <si>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Equipos deportivos para campos y canchas</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</si>
  <si>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</si>
  <si>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</si>
  <si>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</si>
  <si>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</si>
  <si>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</si>
  <si>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</si>
  <si>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</si>
  <si>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Adquisicion de Bulto para Computadora</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</si>
  <si>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</si>
  <si>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</si>
  <si>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</si>
  <si>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</si>
  <si>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</si>
  <si>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</si>
  <si>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</si>
  <si>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</si>
  <si>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</si>
  <si>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</si>
  <si>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</si>
  <si>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</si>
  <si>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</si>
  <si>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</si>
  <si>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</si>
  <si>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</si>
  <si>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</si>
  <si>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</si>
  <si>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</si>
  <si>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</si>
  <si>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</si>
  <si>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</si>
  <si>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</si>
  <si>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</si>
  <si>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</si>
  <si>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</si>
  <si>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</si>
  <si>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</si>
  <si>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</si>
  <si>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</si>
  <si>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</si>
  <si>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</si>
  <si>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Contratacion de servicio de alquiler y gestion de eventos para el ministerio</t>
  </si>
  <si>
    <t>Limpiador de drenajes</t>
  </si>
  <si>
    <t>Rifles de aire o pistolas de aire</t>
  </si>
  <si>
    <t>Pintura líquida para cuerpo o cara</t>
  </si>
  <si>
    <t>Ahumadores u hornos para ahumar para uso comercial</t>
  </si>
  <si>
    <t>DISTRITO MUNICIPAL</t>
  </si>
  <si>
    <t>26121520</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</si>
  <si>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</si>
  <si>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</si>
  <si>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</si>
  <si>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</si>
  <si>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</si>
  <si>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</si>
  <si>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</si>
  <si>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</si>
  <si>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</si>
  <si>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</si>
  <si>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</si>
  <si>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</si>
  <si>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</si>
  <si>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</si>
  <si>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24111501</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</si>
  <si>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</si>
  <si>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</si>
  <si>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</si>
  <si>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</si>
  <si>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</si>
  <si>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</si>
  <si>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</si>
  <si>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</si>
  <si>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</si>
  <si>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</si>
  <si>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Adquisicion de Sillas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</si>
  <si>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</si>
  <si>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</si>
  <si>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</si>
  <si>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</si>
  <si>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</si>
  <si>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</si>
  <si>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</si>
  <si>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</si>
  <si>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</si>
  <si>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</si>
  <si>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</si>
  <si>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</si>
  <si>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</si>
  <si>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</si>
  <si>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</si>
  <si>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</si>
  <si>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</si>
  <si>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</si>
  <si>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</si>
  <si>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</si>
  <si>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</si>
  <si>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</si>
  <si>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</si>
  <si>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</si>
  <si>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</si>
  <si>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</si>
  <si>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</si>
  <si>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</si>
  <si>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</si>
  <si>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</si>
  <si>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</si>
  <si>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</si>
  <si>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</si>
  <si>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</si>
  <si>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</si>
  <si>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</si>
  <si>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</si>
  <si>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</si>
  <si>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</si>
  <si>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</si>
  <si>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</si>
  <si>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</si>
  <si>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</si>
  <si>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</si>
  <si>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</si>
  <si>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</si>
  <si>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</si>
  <si>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</si>
  <si>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</si>
  <si>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</si>
  <si>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</si>
  <si>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</si>
  <si>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</si>
  <si>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</si>
  <si>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</si>
  <si>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</si>
  <si>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</si>
  <si>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</si>
  <si>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</si>
  <si>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</si>
  <si>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</si>
  <si>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</si>
  <si>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</si>
  <si>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</si>
  <si>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</si>
  <si>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</si>
  <si>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</si>
  <si>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</si>
  <si>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</si>
  <si>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</si>
  <si>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</si>
  <si>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</si>
  <si>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</si>
  <si>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</si>
  <si>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</si>
  <si>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</si>
  <si>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</si>
  <si>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</si>
  <si>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</si>
  <si>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</si>
  <si>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</si>
  <si>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</si>
  <si>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</si>
  <si>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</si>
  <si>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14111802</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</si>
  <si>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</si>
  <si>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</si>
  <si>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</si>
  <si>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</si>
  <si>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</si>
  <si>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</si>
  <si>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</si>
  <si>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</si>
  <si>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49221505</t>
  </si>
  <si>
    <t>11121503</t>
  </si>
  <si>
    <t>Don Antonio Guzmán Fernández</t>
  </si>
  <si>
    <t>Espejo de bloques para patrones</t>
  </si>
  <si>
    <t>Cortadores de roca</t>
  </si>
  <si>
    <t>Kits de empalme de cables</t>
  </si>
  <si>
    <t>27112003</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</si>
  <si>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</si>
  <si>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</si>
  <si>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</si>
  <si>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</si>
  <si>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</si>
  <si>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</si>
  <si>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</si>
  <si>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</si>
  <si>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</si>
  <si>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</si>
  <si>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</si>
  <si>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</si>
  <si>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</si>
  <si>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</si>
  <si>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</si>
  <si>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</si>
  <si>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</si>
  <si>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</si>
  <si>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</si>
  <si>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</si>
  <si>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42141501</t>
  </si>
  <si>
    <t>Hidrocloruro de naloxona</t>
  </si>
  <si>
    <t>Programas de posgrado</t>
  </si>
  <si>
    <t>51142002</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</si>
  <si>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</si>
  <si>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</si>
  <si>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</si>
  <si>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</si>
  <si>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</si>
  <si>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</si>
  <si>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</si>
  <si>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</si>
  <si>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</si>
  <si>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</si>
  <si>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</si>
  <si>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</si>
  <si>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</si>
  <si>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</si>
  <si>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</si>
  <si>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</si>
  <si>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</si>
  <si>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</si>
  <si>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</si>
  <si>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</si>
  <si>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</si>
  <si>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</si>
  <si>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</si>
  <si>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</si>
  <si>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</si>
  <si>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</si>
  <si>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</si>
  <si>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</si>
  <si>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</si>
  <si>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</si>
  <si>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</si>
  <si>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</si>
  <si>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</si>
  <si>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</si>
  <si>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</si>
  <si>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</si>
  <si>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</si>
  <si>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</si>
  <si>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</si>
  <si>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</si>
  <si>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</si>
  <si>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</si>
  <si>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</si>
  <si>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</si>
  <si>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</si>
  <si>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</si>
  <si>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</si>
  <si>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</si>
  <si>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</si>
  <si>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</si>
  <si>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</si>
  <si>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</si>
  <si>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</si>
  <si>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0001</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</si>
  <si>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</si>
  <si>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</si>
  <si>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</si>
  <si>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</si>
  <si>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</si>
  <si>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</si>
  <si>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</si>
  <si>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</si>
  <si>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</si>
  <si>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</si>
  <si>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</si>
  <si>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</si>
  <si>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</si>
  <si>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</si>
  <si>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</si>
  <si>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</si>
  <si>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</si>
  <si>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</si>
  <si>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</si>
  <si>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</si>
  <si>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</si>
  <si>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</si>
  <si>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</si>
  <si>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</si>
  <si>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</si>
  <si>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</si>
  <si>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</si>
  <si>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</si>
  <si>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</si>
  <si>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</si>
  <si>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</si>
  <si>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</si>
  <si>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</si>
  <si>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</si>
  <si>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</si>
  <si>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</si>
  <si>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</si>
  <si>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</si>
  <si>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</si>
  <si>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</si>
  <si>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</si>
  <si>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Tratamiento, suministros y eliminación de agua y aguas residuales</t>
  </si>
  <si>
    <t>Tiras para ensayos de pH</t>
  </si>
  <si>
    <t>Poleas de elevación de tijeras para cadáveres</t>
  </si>
  <si>
    <t>Forjas de berilio maquinadas por reducción</t>
  </si>
  <si>
    <t>Rejillas enfriadoras para uso doméstico</t>
  </si>
  <si>
    <t>Sistemas de barrera para puertas</t>
  </si>
  <si>
    <t>Rodillos para uso doméstico</t>
  </si>
  <si>
    <t>50171707</t>
  </si>
  <si>
    <t>Instrumentos para probar papel</t>
  </si>
  <si>
    <t>Servicios de reposición de vidrios de vehículos</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</si>
  <si>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</si>
  <si>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</si>
  <si>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</si>
  <si>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</si>
  <si>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</si>
  <si>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</si>
  <si>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</si>
  <si>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46181901</t>
  </si>
  <si>
    <t>Barras de fijación de niños para uso oftálmico</t>
  </si>
  <si>
    <t>Servicios de centros de datos</t>
  </si>
  <si>
    <t>Convertidor de tasa de aspecto de televisión</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</si>
  <si>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</si>
  <si>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</si>
  <si>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</si>
  <si>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</si>
  <si>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</si>
  <si>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</si>
  <si>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</si>
  <si>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</si>
  <si>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</si>
  <si>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</si>
  <si>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</si>
  <si>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</si>
  <si>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</si>
  <si>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</si>
  <si>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</si>
  <si>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</si>
  <si>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</si>
  <si>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Óptica industrial</t>
  </si>
  <si>
    <t>Tripanosomiasis animal</t>
  </si>
  <si>
    <t>Citrato de orfenadrina</t>
  </si>
  <si>
    <t>Instrumentos para medir la tensión de la superficie</t>
  </si>
  <si>
    <t>Unidades temáticas multiculturales</t>
  </si>
  <si>
    <t>39121435</t>
  </si>
  <si>
    <t>Ángulos de hierro</t>
  </si>
  <si>
    <t>46181506</t>
  </si>
  <si>
    <t>Deshidratadores de gabinete</t>
  </si>
  <si>
    <t>Herramientas de avellanado o escariado</t>
  </si>
  <si>
    <t>Servicios de cementar con espuma</t>
  </si>
  <si>
    <t>Diseño de aplicaciones de software de la unidad central</t>
  </si>
  <si>
    <t>Agujas romas</t>
  </si>
  <si>
    <t>10191506</t>
  </si>
  <si>
    <t>Administradores permanentes de bases de datos o de sistemas de tecnologías de la información</t>
  </si>
  <si>
    <t>Conductos o red de conductos de zinc</t>
  </si>
  <si>
    <t>11162111</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</si>
  <si>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</si>
  <si>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</si>
  <si>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</si>
  <si>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</si>
  <si>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</si>
  <si>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</si>
  <si>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</si>
  <si>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</si>
  <si>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</si>
  <si>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</si>
  <si>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</si>
  <si>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</si>
  <si>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</si>
  <si>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</si>
  <si>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52161520</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</si>
  <si>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</si>
  <si>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</si>
  <si>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</si>
  <si>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</si>
  <si>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</si>
  <si>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</si>
  <si>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</si>
  <si>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</si>
  <si>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</si>
  <si>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</si>
  <si>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</si>
  <si>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</si>
  <si>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</si>
  <si>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</si>
  <si>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</si>
  <si>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</si>
  <si>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</si>
  <si>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</si>
  <si>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</si>
  <si>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</si>
  <si>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</si>
  <si>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</si>
  <si>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</si>
  <si>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</si>
  <si>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</si>
  <si>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</si>
  <si>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</si>
  <si>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</si>
  <si>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</si>
  <si>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</si>
  <si>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</si>
  <si>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</si>
  <si>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82121702</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</si>
  <si>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</si>
  <si>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</si>
  <si>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</si>
  <si>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</si>
  <si>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</si>
  <si>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</si>
  <si>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</si>
  <si>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</si>
  <si>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</si>
  <si>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</si>
  <si>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</si>
  <si>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</si>
  <si>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</si>
  <si>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</si>
  <si>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</si>
  <si>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</si>
  <si>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</si>
  <si>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</si>
  <si>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</si>
  <si>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</si>
  <si>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</si>
  <si>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</si>
  <si>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</si>
  <si>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</si>
  <si>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</si>
  <si>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</si>
  <si>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</si>
  <si>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</si>
  <si>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</si>
  <si>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</si>
  <si>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</si>
  <si>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</si>
  <si>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</si>
  <si>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</si>
  <si>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</si>
  <si>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</si>
  <si>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</si>
  <si>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</si>
  <si>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</si>
  <si>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</si>
  <si>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</si>
  <si>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</si>
  <si>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</si>
  <si>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</si>
  <si>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</si>
  <si>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</si>
  <si>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</si>
  <si>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</si>
  <si>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Componentes pasivos discretos</t>
  </si>
  <si>
    <t>Asientos para aulas de clase</t>
  </si>
  <si>
    <t>31211801</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</si>
  <si>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</si>
  <si>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</si>
  <si>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</si>
  <si>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</si>
  <si>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</si>
  <si>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</si>
  <si>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</si>
  <si>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</si>
  <si>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Contratacion de servicio e asesoramiento en planificacion estrategica</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</si>
  <si>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</si>
  <si>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</si>
  <si>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</si>
  <si>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</si>
  <si>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</si>
  <si>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</si>
  <si>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</si>
  <si>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</si>
  <si>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Moledor de carne para uso doméstico</t>
  </si>
  <si>
    <t>Software de interconectividad de plataformas</t>
  </si>
  <si>
    <t>publicidad</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</si>
  <si>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</si>
  <si>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</si>
  <si>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</si>
  <si>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</si>
  <si>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</si>
  <si>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</si>
  <si>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</si>
  <si>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</si>
  <si>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</si>
  <si>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</si>
  <si>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</si>
  <si>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</si>
  <si>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</si>
  <si>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</si>
  <si>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</si>
  <si>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</si>
  <si>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</si>
  <si>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</si>
  <si>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</si>
  <si>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</si>
  <si>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</si>
  <si>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</si>
  <si>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</si>
  <si>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</si>
  <si>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</si>
  <si>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</si>
  <si>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</si>
  <si>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</si>
  <si>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</si>
  <si>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</si>
  <si>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</si>
  <si>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</si>
  <si>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</si>
  <si>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Adquisicion de Cruceta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</si>
  <si>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</si>
  <si>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</si>
  <si>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</si>
  <si>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</si>
  <si>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</si>
  <si>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</si>
  <si>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</si>
  <si>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</si>
  <si>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</si>
  <si>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</si>
  <si>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</si>
  <si>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</si>
  <si>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</si>
  <si>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</si>
  <si>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</si>
  <si>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</si>
  <si>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</si>
  <si>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</si>
  <si>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</si>
  <si>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</si>
  <si>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</si>
  <si>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</si>
  <si>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</si>
  <si>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</si>
  <si>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</si>
  <si>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</si>
  <si>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</si>
  <si>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</si>
  <si>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</si>
  <si>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</si>
  <si>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</si>
  <si>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</si>
  <si>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</si>
  <si>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</si>
  <si>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</si>
  <si>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</si>
  <si>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</si>
  <si>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</si>
  <si>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</si>
  <si>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</si>
  <si>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</si>
  <si>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</si>
  <si>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</si>
  <si>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</si>
  <si>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</si>
  <si>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</si>
  <si>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</si>
  <si>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</si>
  <si>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</si>
  <si>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</si>
  <si>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</si>
  <si>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</si>
  <si>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</si>
  <si>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</si>
  <si>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</si>
  <si>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</si>
  <si>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</si>
  <si>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</si>
  <si>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</si>
  <si>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</si>
  <si>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</si>
  <si>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</si>
  <si>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</si>
  <si>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</si>
  <si>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</si>
  <si>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</si>
  <si>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</si>
  <si>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</si>
  <si>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</si>
  <si>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</si>
  <si>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</si>
  <si>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Pesca de arrastre</t>
  </si>
  <si>
    <t>Secadoras infrarrojas</t>
  </si>
  <si>
    <t>Aceitunos</t>
  </si>
  <si>
    <t>Monitores de gas arterial o accesorios</t>
  </si>
  <si>
    <t>Componentes de aluminio formados por estiramiento por presión</t>
  </si>
  <si>
    <t>Vendajes de</t>
  </si>
  <si>
    <t>Interruptores de resorte</t>
  </si>
  <si>
    <t>31231302</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</si>
  <si>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</si>
  <si>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</si>
  <si>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</si>
  <si>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</si>
  <si>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</si>
  <si>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</si>
  <si>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</si>
  <si>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</si>
  <si>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</si>
  <si>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</si>
  <si>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</si>
  <si>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</si>
  <si>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</si>
  <si>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</si>
  <si>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</si>
  <si>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</si>
  <si>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</si>
  <si>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</si>
  <si>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</si>
  <si>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</si>
  <si>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</si>
  <si>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</si>
  <si>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</si>
  <si>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</si>
  <si>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</si>
  <si>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</si>
  <si>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</si>
  <si>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</si>
  <si>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</si>
  <si>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</si>
  <si>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</si>
  <si>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</si>
  <si>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</si>
  <si>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</si>
  <si>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</si>
  <si>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</si>
  <si>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</si>
  <si>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</si>
  <si>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</si>
  <si>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</si>
  <si>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</si>
  <si>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</si>
  <si>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</si>
  <si>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</si>
  <si>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</si>
  <si>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</si>
  <si>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</si>
  <si>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</si>
  <si>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</si>
  <si>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</si>
  <si>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</si>
  <si>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</si>
  <si>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</si>
  <si>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</si>
  <si>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</si>
  <si>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Servicio de instalación o mantenimiento o reparación de aires acondicionados (Installation service or maintenance or repair of air conditioners).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</si>
  <si>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</si>
  <si>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</si>
  <si>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</si>
  <si>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</si>
  <si>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</si>
  <si>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</si>
  <si>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</si>
  <si>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</si>
  <si>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</si>
  <si>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</si>
  <si>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</si>
  <si>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</si>
  <si>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</si>
  <si>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31162402</t>
  </si>
  <si>
    <t>Agujas para máquina de cose</t>
  </si>
  <si>
    <t>Monitores de pantalla táctil (touch)</t>
  </si>
  <si>
    <t>Objetos fundidos maquinados con troquel de aleaciones no ferrosas</t>
  </si>
  <si>
    <t>garajes</t>
  </si>
  <si>
    <t xml:space="preserve">Neumático de espuma </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</si>
  <si>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</si>
  <si>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</si>
  <si>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</si>
  <si>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</si>
  <si>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</si>
  <si>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</si>
  <si>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</si>
  <si>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</si>
  <si>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</si>
  <si>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</si>
  <si>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</si>
  <si>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</si>
  <si>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</si>
  <si>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</si>
  <si>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</si>
  <si>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</si>
  <si>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</si>
  <si>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</si>
  <si>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46181501</t>
  </si>
  <si>
    <t>Balanzas de triple haz</t>
  </si>
  <si>
    <t>27111801</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</si>
  <si>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</si>
  <si>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</si>
  <si>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</si>
  <si>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</si>
  <si>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</si>
  <si>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</si>
  <si>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</si>
  <si>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</si>
  <si>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</si>
  <si>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</si>
  <si>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</si>
  <si>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</si>
  <si>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</si>
  <si>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92121702</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</si>
  <si>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</si>
  <si>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</si>
  <si>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</si>
  <si>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</si>
  <si>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</si>
  <si>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</si>
  <si>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Instrumentos de medida, observación y ensayo</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</si>
  <si>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</si>
  <si>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</si>
  <si>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</si>
  <si>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</si>
  <si>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</si>
  <si>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</si>
  <si>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</si>
  <si>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</si>
  <si>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</si>
  <si>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</si>
  <si>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</si>
  <si>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</si>
  <si>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</si>
  <si>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</si>
  <si>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</si>
  <si>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</si>
  <si>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</si>
  <si>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</si>
  <si>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</si>
  <si>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</si>
  <si>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</si>
  <si>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</si>
  <si>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</si>
  <si>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</si>
  <si>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</si>
  <si>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</si>
  <si>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 xml:space="preserve">Conducto eléctrico </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</si>
  <si>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</si>
  <si>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</si>
  <si>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</si>
  <si>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</si>
  <si>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</si>
  <si>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</si>
  <si>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</si>
  <si>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</si>
  <si>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</si>
  <si>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</si>
  <si>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</si>
  <si>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</si>
  <si>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</si>
  <si>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</si>
  <si>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</si>
  <si>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49121505</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</si>
  <si>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</si>
  <si>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</si>
  <si>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</si>
  <si>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</si>
  <si>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</si>
  <si>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</si>
  <si>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</si>
  <si>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</si>
  <si>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</si>
  <si>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</si>
  <si>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</si>
  <si>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</si>
  <si>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</si>
  <si>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</si>
  <si>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</si>
  <si>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</si>
  <si>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</si>
  <si>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</si>
  <si>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</si>
  <si>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</si>
  <si>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</si>
  <si>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</si>
  <si>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</si>
  <si>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</si>
  <si>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</si>
  <si>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</si>
  <si>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</si>
  <si>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</si>
  <si>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</si>
  <si>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</si>
  <si>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</si>
  <si>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</si>
  <si>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</si>
  <si>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</si>
  <si>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</si>
  <si>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</si>
  <si>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</si>
  <si>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</si>
  <si>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Verificador de video cintas</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</si>
  <si>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</si>
  <si>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</si>
  <si>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</si>
  <si>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</si>
  <si>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</si>
  <si>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</si>
  <si>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</si>
  <si>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</si>
  <si>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</si>
  <si>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43191609</t>
  </si>
  <si>
    <t>Curetas o lanzaderas para uso quirúrgico</t>
  </si>
  <si>
    <t>Eslingas de seguridad</t>
  </si>
  <si>
    <t>Bordes o ribetes brillantes</t>
  </si>
  <si>
    <t>Impresión de hoja de instrucciones o manual técnico</t>
  </si>
  <si>
    <t>Servicios de alimentación escolar</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</si>
  <si>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</si>
  <si>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</si>
  <si>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</si>
  <si>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</si>
  <si>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</si>
  <si>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</si>
  <si>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</si>
  <si>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</si>
  <si>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</si>
  <si>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</si>
  <si>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</si>
  <si>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</si>
  <si>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</si>
  <si>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</si>
  <si>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</si>
  <si>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</si>
  <si>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86111604</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</si>
  <si>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</si>
  <si>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</si>
  <si>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</si>
  <si>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</si>
  <si>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</si>
  <si>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</si>
  <si>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</si>
  <si>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</si>
  <si>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</si>
  <si>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</si>
  <si>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</si>
  <si>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</si>
  <si>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</si>
  <si>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</si>
  <si>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</si>
  <si>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</si>
  <si>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</si>
  <si>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</si>
  <si>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</si>
  <si>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</si>
  <si>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</si>
  <si>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</si>
  <si>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</si>
  <si>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</si>
  <si>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</si>
  <si>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</si>
  <si>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</si>
  <si>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</si>
  <si>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</si>
  <si>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</si>
  <si>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</si>
  <si>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</si>
  <si>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</si>
  <si>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</si>
  <si>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Circuitos impresos, circuitos integrados y micro ensamblajes</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</si>
  <si>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</si>
  <si>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</si>
  <si>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</si>
  <si>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</si>
  <si>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</si>
  <si>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</si>
  <si>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</si>
  <si>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</si>
  <si>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</si>
  <si>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</si>
  <si>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</si>
  <si>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</si>
  <si>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</si>
  <si>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</si>
  <si>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</si>
  <si>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</si>
  <si>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</si>
  <si>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</si>
  <si>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</si>
  <si>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</si>
  <si>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</si>
  <si>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</si>
  <si>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</si>
  <si>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</si>
  <si>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</si>
  <si>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</si>
  <si>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</si>
  <si>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</si>
  <si>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</si>
  <si>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</si>
  <si>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</si>
  <si>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</si>
  <si>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</si>
  <si>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31162101</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</si>
  <si>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</si>
  <si>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</si>
  <si>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</si>
  <si>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</si>
  <si>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</si>
  <si>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</si>
  <si>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</si>
  <si>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</si>
  <si>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</si>
  <si>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</si>
  <si>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</si>
  <si>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</si>
  <si>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</si>
  <si>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</si>
  <si>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</si>
  <si>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</si>
  <si>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</si>
  <si>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</si>
  <si>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</si>
  <si>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</si>
  <si>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</si>
  <si>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</si>
  <si>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</si>
  <si>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</si>
  <si>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Dispositivos de comunicaciones y accesorios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</si>
  <si>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</si>
  <si>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</si>
  <si>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</si>
  <si>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</si>
  <si>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</si>
  <si>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</si>
  <si>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</si>
  <si>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</si>
  <si>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</si>
  <si>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</si>
  <si>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</si>
  <si>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</si>
  <si>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</si>
  <si>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</si>
  <si>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</si>
  <si>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</si>
  <si>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</si>
  <si>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</si>
  <si>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</si>
  <si>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</si>
  <si>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</si>
  <si>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</si>
  <si>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22101707</t>
  </si>
  <si>
    <t>Puertas lógicas</t>
  </si>
  <si>
    <t>Servicios de redacción literaria</t>
  </si>
  <si>
    <t>80101504</t>
  </si>
  <si>
    <t>Máquinas de escribir</t>
  </si>
  <si>
    <t>Necesidades de personal de mercadeo temporal</t>
  </si>
  <si>
    <t>Cuerdas para raquetas</t>
  </si>
  <si>
    <t>Aparato eléctrico para cocinar huevos</t>
  </si>
  <si>
    <t>No</t>
  </si>
  <si>
    <t>Kits de enseñanza de los sistemas del cuerpo</t>
  </si>
  <si>
    <t>Banda de titanio</t>
  </si>
  <si>
    <t>MIPYME MUJER</t>
  </si>
  <si>
    <t>Herramienta de carburo</t>
  </si>
  <si>
    <t>Servicios de limpieza de cultivos</t>
  </si>
  <si>
    <t>Hidrocloruro de esmolol</t>
  </si>
  <si>
    <t>Pantallas de fondo</t>
  </si>
  <si>
    <t>52151704</t>
  </si>
  <si>
    <t>Mordazas o accesorios para uso quirúrgico</t>
  </si>
  <si>
    <t>Ensambles de placas atornilladas de acero al carbono</t>
  </si>
  <si>
    <t>Cuero de cerdo</t>
  </si>
  <si>
    <t>Puertas de pantalla</t>
  </si>
  <si>
    <t>Aceites vegetales o  de planta comestibles</t>
  </si>
  <si>
    <t>26121501</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</si>
  <si>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</si>
  <si>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</si>
  <si>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</si>
  <si>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</si>
  <si>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</si>
  <si>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</si>
  <si>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</si>
  <si>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</si>
  <si>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</si>
  <si>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</si>
  <si>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</si>
  <si>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</si>
  <si>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</si>
  <si>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</si>
  <si>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</si>
  <si>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</si>
  <si>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</si>
  <si>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</si>
  <si>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</si>
  <si>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</si>
  <si>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</si>
  <si>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</si>
  <si>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</si>
  <si>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</si>
  <si>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</si>
  <si>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</si>
  <si>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</si>
  <si>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</si>
  <si>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</si>
  <si>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</si>
  <si>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</si>
  <si>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</si>
  <si>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</si>
  <si>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</si>
  <si>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</si>
  <si>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</si>
  <si>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</si>
  <si>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</si>
  <si>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</si>
  <si>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</si>
  <si>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</si>
  <si>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</si>
  <si>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</si>
  <si>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</si>
  <si>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</si>
  <si>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</si>
  <si>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</si>
  <si>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</si>
  <si>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</si>
  <si>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</si>
  <si>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</si>
  <si>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</si>
  <si>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</si>
  <si>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</si>
  <si>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</si>
  <si>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</si>
  <si>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</si>
  <si>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</si>
  <si>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</si>
  <si>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</si>
  <si>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</si>
  <si>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</si>
  <si>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</si>
  <si>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</si>
  <si>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</si>
  <si>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</si>
  <si>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</si>
  <si>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</si>
  <si>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</si>
  <si>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</si>
  <si>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</si>
  <si>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</si>
  <si>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</si>
  <si>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</si>
  <si>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</si>
  <si>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</si>
  <si>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</si>
  <si>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</si>
  <si>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</si>
  <si>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</si>
  <si>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</si>
  <si>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</si>
  <si>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</si>
  <si>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</si>
  <si>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</si>
  <si>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</si>
  <si>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</si>
  <si>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</si>
  <si>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</si>
  <si>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</si>
  <si>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</si>
  <si>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</si>
  <si>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</si>
  <si>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</si>
  <si>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</si>
  <si>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</si>
  <si>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</si>
  <si>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</si>
  <si>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</si>
  <si>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</si>
  <si>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</si>
  <si>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</si>
  <si>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</si>
  <si>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</si>
  <si>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</si>
  <si>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</si>
  <si>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</si>
  <si>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</si>
  <si>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</si>
  <si>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</si>
  <si>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</si>
  <si>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</si>
  <si>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</si>
  <si>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</si>
  <si>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</si>
  <si>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</si>
  <si>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</si>
  <si>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</si>
  <si>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</si>
  <si>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</si>
  <si>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</si>
  <si>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</si>
  <si>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14121904</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</si>
  <si>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</si>
  <si>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</si>
  <si>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</si>
  <si>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</si>
  <si>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</si>
  <si>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</si>
  <si>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</si>
  <si>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</si>
  <si>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</si>
  <si>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</si>
  <si>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</si>
  <si>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Carros</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</si>
  <si>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</si>
  <si>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</si>
  <si>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</si>
  <si>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</si>
  <si>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</si>
  <si>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</si>
  <si>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</si>
  <si>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</si>
  <si>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</si>
  <si>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</si>
  <si>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</si>
  <si>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</si>
  <si>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51142231</t>
  </si>
  <si>
    <t>43211503</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</si>
  <si>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</si>
  <si>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</si>
  <si>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</si>
  <si>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</si>
  <si>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</si>
  <si>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</si>
  <si>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</si>
  <si>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</si>
  <si>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</si>
  <si>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</si>
  <si>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</si>
  <si>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</si>
  <si>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Cajas de cenizas funerarias o urnas de cremación.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</si>
  <si>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</si>
  <si>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</si>
  <si>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</si>
  <si>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</si>
  <si>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</si>
  <si>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</si>
  <si>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</si>
  <si>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</si>
  <si>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</si>
  <si>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</si>
  <si>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</si>
  <si>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</si>
  <si>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</si>
  <si>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</si>
  <si>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</si>
  <si>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</si>
  <si>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</si>
  <si>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</si>
  <si>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</si>
  <si>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</si>
  <si>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</si>
  <si>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</si>
  <si>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</si>
  <si>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</si>
  <si>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Amplificador de procesamiento de videos</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</si>
  <si>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</si>
  <si>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</si>
  <si>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</si>
  <si>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</si>
  <si>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</si>
  <si>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</si>
  <si>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</si>
  <si>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</si>
  <si>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</si>
  <si>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</si>
  <si>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</si>
  <si>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</si>
  <si>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</si>
  <si>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</si>
  <si>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</si>
  <si>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</si>
  <si>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</si>
  <si>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</si>
  <si>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</si>
  <si>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</si>
  <si>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</si>
  <si>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</si>
  <si>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</si>
  <si>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</si>
  <si>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</si>
  <si>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</si>
  <si>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</si>
  <si>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</si>
  <si>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</si>
  <si>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</si>
  <si>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</si>
  <si>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</si>
  <si>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</si>
  <si>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</si>
  <si>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</si>
  <si>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</si>
  <si>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</si>
  <si>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</si>
  <si>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</si>
  <si>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</si>
  <si>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</si>
  <si>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</si>
  <si>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</si>
  <si>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</si>
  <si>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</si>
  <si>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</si>
  <si>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</si>
  <si>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</si>
  <si>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</si>
  <si>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</si>
  <si>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</si>
  <si>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</si>
  <si>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</si>
  <si>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</si>
  <si>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</si>
  <si>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</si>
  <si>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</si>
  <si>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</si>
  <si>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</si>
  <si>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</si>
  <si>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</si>
  <si>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</si>
  <si>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</si>
  <si>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</si>
  <si>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</si>
  <si>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</si>
  <si>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</si>
  <si>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</si>
  <si>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</si>
  <si>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</si>
  <si>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</si>
  <si>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</si>
  <si>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</si>
  <si>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</si>
  <si>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</si>
  <si>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</si>
  <si>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</si>
  <si>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</si>
  <si>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</si>
  <si>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</si>
  <si>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</si>
  <si>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</si>
  <si>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</si>
  <si>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</si>
  <si>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</si>
  <si>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</si>
  <si>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</si>
  <si>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10141608</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</si>
  <si>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</si>
  <si>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</si>
  <si>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</si>
  <si>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</si>
  <si>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</si>
  <si>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</si>
  <si>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</si>
  <si>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</si>
  <si>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</si>
  <si>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</si>
  <si>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</si>
  <si>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</si>
  <si>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</si>
  <si>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Servicios de prevención o control de epidemias</t>
  </si>
  <si>
    <t>Espectrómetros</t>
  </si>
  <si>
    <t>Jumbos hidráulicos para perforación de pozos</t>
  </si>
  <si>
    <t>25101901</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</si>
  <si>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</si>
  <si>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</si>
  <si>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</si>
  <si>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</si>
  <si>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</si>
  <si>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</si>
  <si>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</si>
  <si>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</si>
  <si>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Cable de extensión eléctrica</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</si>
  <si>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</si>
  <si>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</si>
  <si>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</si>
  <si>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</si>
  <si>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</si>
  <si>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</si>
  <si>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</si>
  <si>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</si>
  <si>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</si>
  <si>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</si>
  <si>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</si>
  <si>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</si>
  <si>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</si>
  <si>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</si>
  <si>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</si>
  <si>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</si>
  <si>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</si>
  <si>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</si>
  <si>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</si>
  <si>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</si>
  <si>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</si>
  <si>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</si>
  <si>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</si>
  <si>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</si>
  <si>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</si>
  <si>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</si>
  <si>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</si>
  <si>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</si>
  <si>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</si>
  <si>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</si>
  <si>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</si>
  <si>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</si>
  <si>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</si>
  <si>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</si>
  <si>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</si>
  <si>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</si>
  <si>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</si>
  <si>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 de Mantenimiento de Vías Ferreas</t>
  </si>
  <si>
    <t>Servicios de limpieza total orgánica de la matriz</t>
  </si>
  <si>
    <t>51101560</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</si>
  <si>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</si>
  <si>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</si>
  <si>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</si>
  <si>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</si>
  <si>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</si>
  <si>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</si>
  <si>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</si>
  <si>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</si>
  <si>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</si>
  <si>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</si>
  <si>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</si>
  <si>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</si>
  <si>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</si>
  <si>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</si>
  <si>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</si>
  <si>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</si>
  <si>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</si>
  <si>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</si>
  <si>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</si>
  <si>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</si>
  <si>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</si>
  <si>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</si>
  <si>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49211802</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</si>
  <si>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</si>
  <si>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</si>
  <si>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</si>
  <si>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</si>
  <si>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</si>
  <si>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</si>
  <si>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</si>
  <si>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</si>
  <si>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</si>
  <si>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</si>
  <si>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</si>
  <si>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</si>
  <si>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</si>
  <si>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</si>
  <si>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</si>
  <si>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</si>
  <si>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</si>
  <si>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</si>
  <si>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</si>
  <si>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</si>
  <si>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</si>
  <si>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</si>
  <si>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</si>
  <si>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</si>
  <si>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</si>
  <si>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</si>
  <si>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</si>
  <si>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</si>
  <si>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</si>
  <si>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</si>
  <si>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</si>
  <si>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</si>
  <si>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</si>
  <si>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</si>
  <si>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</si>
  <si>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46181507</t>
  </si>
  <si>
    <t>Servicios de campamentos o instalaciones para jóvenes</t>
  </si>
  <si>
    <t>14111508</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</si>
  <si>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</si>
  <si>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</si>
  <si>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</si>
  <si>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</si>
  <si>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</si>
  <si>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</si>
  <si>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Servicio de alojamiento temporal offshore</t>
  </si>
  <si>
    <t>42171607</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</si>
  <si>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</si>
  <si>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</si>
  <si>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</si>
  <si>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</si>
  <si>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</si>
  <si>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</si>
  <si>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</si>
  <si>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</si>
  <si>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</si>
  <si>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</si>
  <si>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</si>
  <si>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</si>
  <si>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</si>
  <si>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</si>
  <si>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</si>
  <si>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</si>
  <si>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</si>
  <si>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</si>
  <si>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80101506</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</si>
  <si>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</si>
  <si>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</si>
  <si>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</si>
  <si>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</si>
  <si>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</si>
  <si>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</si>
  <si>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</si>
  <si>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</si>
  <si>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</si>
  <si>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</si>
  <si>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</si>
  <si>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</si>
  <si>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</si>
  <si>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</si>
  <si>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</si>
  <si>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</si>
  <si>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</si>
  <si>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</si>
  <si>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</si>
  <si>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Adquisicion de Bolsos</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</si>
  <si>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</si>
  <si>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</si>
  <si>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</si>
  <si>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</si>
  <si>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</si>
  <si>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</si>
  <si>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</si>
  <si>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</si>
  <si>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</si>
  <si>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</si>
  <si>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39121108</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</si>
  <si>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</si>
  <si>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</si>
  <si>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</si>
  <si>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</si>
  <si>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</si>
  <si>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</si>
  <si>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</si>
  <si>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</si>
  <si>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</si>
  <si>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</si>
  <si>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</si>
  <si>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</si>
  <si>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</si>
  <si>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</si>
  <si>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</si>
  <si>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</si>
  <si>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</si>
  <si>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</si>
  <si>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</si>
  <si>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</si>
  <si>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</si>
  <si>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</si>
  <si>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</si>
  <si>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</si>
  <si>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</si>
  <si>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</si>
  <si>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</si>
  <si>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</si>
  <si>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</si>
  <si>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</si>
  <si>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</si>
  <si>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</si>
  <si>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</si>
  <si>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</si>
  <si>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</si>
  <si>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</si>
  <si>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31211803</t>
  </si>
  <si>
    <t>Deshidratadores</t>
  </si>
  <si>
    <t>Puertas, tapas o estantes de baterías</t>
  </si>
  <si>
    <t>Equipos para enfriar vasos</t>
  </si>
  <si>
    <t>Servicios audiovisuales</t>
  </si>
  <si>
    <t>Gabinetes calentadores de cobijas o soluciones</t>
  </si>
  <si>
    <t>42182103</t>
  </si>
  <si>
    <t>Alambres,  cables  y  arneses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</si>
  <si>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</si>
  <si>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</si>
  <si>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</si>
  <si>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</si>
  <si>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</si>
  <si>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</si>
  <si>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</si>
  <si>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</si>
  <si>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</si>
  <si>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</si>
  <si>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</si>
  <si>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</si>
  <si>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</si>
  <si>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</si>
  <si>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</si>
  <si>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</si>
  <si>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</si>
  <si>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</si>
  <si>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</si>
  <si>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</si>
  <si>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</si>
  <si>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</si>
  <si>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</si>
  <si>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</si>
  <si>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</si>
  <si>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</si>
  <si>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</si>
  <si>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</si>
  <si>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</si>
  <si>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</si>
  <si>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</si>
  <si>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</si>
  <si>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</si>
  <si>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</si>
  <si>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</si>
  <si>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</si>
  <si>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</si>
  <si>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</si>
  <si>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27111909</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</si>
  <si>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</si>
  <si>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</si>
  <si>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</si>
  <si>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</si>
  <si>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</si>
  <si>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</si>
  <si>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</si>
  <si>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</si>
  <si>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</si>
  <si>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</si>
  <si>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</si>
  <si>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</si>
  <si>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</si>
  <si>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</si>
  <si>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</si>
  <si>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</si>
  <si>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</si>
  <si>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</si>
  <si>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</si>
  <si>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</si>
  <si>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</si>
  <si>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</si>
  <si>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</si>
  <si>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</si>
  <si>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</si>
  <si>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</si>
  <si>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</si>
  <si>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</si>
  <si>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</si>
  <si>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</si>
  <si>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</si>
  <si>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</si>
  <si>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</si>
  <si>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</si>
  <si>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</si>
  <si>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</si>
  <si>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</si>
  <si>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</si>
  <si>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</si>
  <si>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</si>
  <si>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</si>
  <si>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</si>
  <si>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</si>
  <si>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</si>
  <si>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</si>
  <si>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</si>
  <si>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</si>
  <si>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</si>
  <si>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</si>
  <si>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</si>
  <si>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</si>
  <si>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</si>
  <si>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</si>
  <si>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</si>
  <si>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</si>
  <si>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</si>
  <si>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</si>
  <si>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</si>
  <si>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</si>
  <si>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</si>
  <si>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</si>
  <si>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</si>
  <si>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</si>
  <si>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Extractor de cocina para uso doméstico</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</si>
  <si>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</si>
  <si>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</si>
  <si>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</si>
  <si>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</si>
  <si>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</si>
  <si>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</si>
  <si>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</si>
  <si>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</si>
  <si>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</si>
  <si>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</si>
  <si>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</si>
  <si>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</si>
  <si>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</si>
  <si>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</si>
  <si>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</si>
  <si>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</si>
  <si>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</si>
  <si>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</si>
  <si>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</si>
  <si>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</si>
  <si>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</si>
  <si>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</si>
  <si>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</si>
  <si>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Adquisicion de cajas de jabon</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</si>
  <si>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</si>
  <si>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</si>
  <si>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</si>
  <si>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</si>
  <si>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</si>
  <si>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</si>
  <si>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</si>
  <si>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</si>
  <si>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</si>
  <si>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</si>
  <si>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46181605</t>
  </si>
  <si>
    <t>Clorazapato dipotásico</t>
  </si>
  <si>
    <t>Almohadillas de transmisión de ultrasonido para uso médico</t>
  </si>
  <si>
    <t>43211706</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</si>
  <si>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</si>
  <si>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</si>
  <si>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</si>
  <si>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</si>
  <si>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</si>
  <si>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</si>
  <si>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</si>
  <si>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</si>
  <si>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</si>
  <si>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</si>
  <si>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</si>
  <si>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</si>
  <si>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</si>
  <si>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</si>
  <si>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</si>
  <si>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</si>
  <si>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</si>
  <si>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</si>
  <si>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</si>
  <si>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</si>
  <si>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</si>
  <si>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</si>
  <si>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</si>
  <si>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</si>
  <si>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</si>
  <si>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</si>
  <si>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</si>
  <si>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</si>
  <si>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</si>
  <si>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</si>
  <si>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</si>
  <si>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</si>
  <si>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</si>
  <si>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</si>
  <si>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</si>
  <si>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</si>
  <si>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</si>
  <si>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</si>
  <si>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</si>
  <si>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</si>
  <si>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</si>
  <si>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</si>
  <si>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</si>
  <si>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</si>
  <si>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</si>
  <si>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</si>
  <si>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</si>
  <si>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</si>
  <si>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</si>
  <si>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</si>
  <si>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</si>
  <si>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</si>
  <si>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</si>
  <si>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</si>
  <si>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</si>
  <si>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</si>
  <si>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</si>
  <si>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</si>
  <si>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</si>
  <si>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</si>
  <si>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</si>
  <si>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</si>
  <si>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56101519</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</si>
  <si>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</si>
  <si>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</si>
  <si>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</si>
  <si>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</si>
  <si>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</si>
  <si>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</si>
  <si>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</si>
  <si>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</si>
  <si>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</si>
  <si>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</si>
  <si>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</si>
  <si>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</si>
  <si>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</si>
  <si>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</si>
  <si>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</si>
  <si>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</si>
  <si>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</si>
  <si>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</si>
  <si>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</si>
  <si>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</si>
  <si>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</si>
  <si>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</si>
  <si>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Servicios de reproducción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</si>
  <si>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</si>
  <si>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</si>
  <si>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</si>
  <si>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</si>
  <si>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</si>
  <si>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</si>
  <si>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</si>
  <si>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</si>
  <si>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</si>
  <si>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</si>
  <si>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</si>
  <si>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</si>
  <si>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</si>
  <si>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</si>
  <si>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</si>
  <si>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</si>
  <si>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</si>
  <si>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</si>
  <si>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</si>
  <si>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</si>
  <si>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</si>
  <si>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</si>
  <si>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</si>
  <si>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</si>
  <si>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Servicio de ebanistería</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</si>
  <si>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</si>
  <si>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</si>
  <si>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</si>
  <si>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</si>
  <si>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</si>
  <si>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</si>
  <si>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</si>
  <si>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</si>
  <si>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</si>
  <si>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</si>
  <si>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</si>
  <si>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</si>
  <si>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</si>
  <si>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</si>
  <si>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</si>
  <si>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</si>
  <si>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</si>
  <si>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</si>
  <si>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</si>
  <si>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</si>
  <si>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</si>
  <si>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</si>
  <si>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</si>
  <si>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</si>
  <si>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</si>
  <si>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</si>
  <si>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</si>
  <si>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</si>
  <si>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</si>
  <si>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</si>
  <si>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</si>
  <si>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</si>
  <si>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</si>
  <si>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</si>
  <si>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</si>
  <si>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</si>
  <si>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</si>
  <si>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</si>
  <si>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</si>
  <si>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</si>
  <si>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</si>
  <si>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</si>
  <si>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</si>
  <si>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27112105</t>
  </si>
  <si>
    <t>Tonómetros o accesorios para uso oftálmico</t>
  </si>
  <si>
    <t>Camino caliente para cámaras ambientales o de cultivo</t>
  </si>
  <si>
    <t>Servicios sísmicos de pozo cruzado</t>
  </si>
  <si>
    <t>Pasteles de sal de repisa</t>
  </si>
  <si>
    <t>Productos  no  comestibles  de  planta  y  silvicultura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</si>
  <si>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</si>
  <si>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</si>
  <si>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</si>
  <si>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</si>
  <si>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</si>
  <si>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</si>
  <si>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</si>
  <si>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</si>
  <si>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</si>
  <si>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</si>
  <si>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</si>
  <si>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</si>
  <si>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</si>
  <si>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41113801</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</si>
  <si>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</si>
  <si>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</si>
  <si>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</si>
  <si>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</si>
  <si>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</si>
  <si>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</si>
  <si>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</si>
  <si>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</si>
  <si>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</si>
  <si>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</si>
  <si>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</si>
  <si>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</si>
  <si>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</si>
  <si>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</si>
  <si>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</si>
  <si>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</si>
  <si>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</si>
  <si>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</si>
  <si>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</si>
  <si>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</si>
  <si>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</si>
  <si>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</si>
  <si>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</si>
  <si>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</si>
  <si>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</si>
  <si>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</si>
  <si>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</si>
  <si>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</si>
  <si>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</si>
  <si>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</si>
  <si>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</si>
  <si>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</si>
  <si>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</si>
  <si>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</si>
  <si>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</si>
  <si>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</si>
  <si>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</si>
  <si>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</si>
  <si>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27111602</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</si>
  <si>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</si>
  <si>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</si>
  <si>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</si>
  <si>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</si>
  <si>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</si>
  <si>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</si>
  <si>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</si>
  <si>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</si>
  <si>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</si>
  <si>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</si>
  <si>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</si>
  <si>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</si>
  <si>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</si>
  <si>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41104102</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</si>
  <si>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</si>
  <si>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</si>
  <si>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</si>
  <si>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</si>
  <si>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</si>
  <si>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</si>
  <si>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</si>
  <si>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</si>
  <si>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</si>
  <si>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</si>
  <si>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</si>
  <si>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</si>
  <si>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</si>
  <si>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</si>
  <si>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</si>
  <si>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</si>
  <si>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</si>
  <si>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</si>
  <si>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</si>
  <si>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</si>
  <si>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40141702</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</si>
  <si>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</si>
  <si>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</si>
  <si>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</si>
  <si>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</si>
  <si>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</si>
  <si>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</si>
  <si>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</si>
  <si>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</si>
  <si>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</si>
  <si>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</si>
  <si>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</si>
  <si>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</si>
  <si>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</si>
  <si>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</si>
  <si>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</si>
  <si>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</si>
  <si>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</si>
  <si>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</si>
  <si>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</si>
  <si>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</si>
  <si>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</si>
  <si>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</si>
  <si>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</si>
  <si>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</si>
  <si>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</si>
  <si>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</si>
  <si>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</si>
  <si>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</si>
  <si>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</si>
  <si>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</si>
  <si>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</si>
  <si>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</si>
  <si>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</si>
  <si>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</si>
  <si>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</si>
  <si>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</si>
  <si>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</si>
  <si>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</si>
  <si>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</si>
  <si>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</si>
  <si>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</si>
  <si>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</si>
  <si>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</si>
  <si>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</si>
  <si>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</si>
  <si>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</si>
  <si>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</si>
  <si>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</si>
  <si>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</si>
  <si>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</si>
  <si>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</si>
  <si>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</si>
  <si>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</si>
  <si>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</si>
  <si>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</si>
  <si>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</si>
  <si>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</si>
  <si>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</si>
  <si>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</si>
  <si>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</si>
  <si>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</si>
  <si>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</si>
  <si>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</si>
  <si>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</si>
  <si>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</si>
  <si>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</si>
  <si>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</si>
  <si>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51161606</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</si>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</sst>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4" x14ac:knownFonts="1">
    <font>
      <sz val="11"/>
      <color theme="1"/>
      <name val="Calibri"/>
      <scheme val="minor"/>
    </font>
    <font>
      <sz val="10"/>
      <name val="Arial"/>
    </font>
    <font>
      <b/>
      <sz val="11"/>
      <color rgb="FF002060"/>
      <name val="Calibri"/>
      <scheme val="minor"/>
    </font>
    <font>
      <sz val="14"/>
      <color theme="1"/>
      <name val="Arial Narrow"/>
    </font>
    <font>
      <sz val="8"/>
      <color theme="1"/>
      <name val="Calibri"/>
      <scheme val="minor"/>
    </font>
    <font>
      <b/>
      <sz val="8"/>
      <color rgb="FFFFFFFF"/>
      <name val="Arial"/>
    </font>
    <font>
      <sz val="8"/>
      <color rgb="FF000000"/>
      <name val="Arial"/>
    </font>
    <font>
      <b/>
      <sz val="10"/>
      <color rgb="FF363636"/>
      <name val="Verdana"/>
    </font>
    <font>
      <b/>
      <sz val="11"/>
      <name val="Calibri"/>
      <scheme val="minor"/>
    </font>
    <font>
      <sz val="11"/>
      <color rgb="FF002060"/>
      <name val="Calibri"/>
      <scheme val="minor"/>
    </font>
    <font>
      <b/>
      <sz val="8"/>
      <color theme="1"/>
      <name val="Calibri"/>
      <scheme val="minor"/>
    </font>
    <font>
      <sz val="14"/>
      <color theme="1"/>
      <name val="Calibri"/>
    </font>
    <font>
      <sz val="9"/>
      <color theme="1"/>
      <name val="Calibri"/>
    </font>
    <font>
      <b/>
      <sz val="12"/>
      <color theme="1"/>
      <name val="Calibri"/>
    </font>
    <font>
      <b/>
      <sz val="16"/>
      <color theme="1"/>
      <name val="Calibri"/>
    </font>
    <font>
      <b/>
      <sz val="9"/>
      <color rgb="FF002060"/>
      <name val="Calibri"/>
    </font>
    <font>
      <b/>
      <sz val="9"/>
      <color theme="1"/>
      <name val="Calibri"/>
    </font>
    <font>
      <b/>
      <sz val="18"/>
      <color theme="0"/>
      <name val="Calibri"/>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s>
  <fills count="14">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rgb="FF00B0CA"/>
        <bgColor indexed="64"/>
      </patternFill>
    </fill>
    <fill>
      <patternFill patternType="solid">
        <fgColor rgb="FF92D050"/>
        <bgColor indexed="64"/>
      </patternFill>
    </fill>
    <fill>
      <patternFill patternType="solid">
        <fgColor rgb="FFD9D9D9"/>
        <bgColor indexed="64"/>
      </patternFill>
    </fill>
    <fill>
      <patternFill patternType="solid">
        <fgColor theme="0" tint="-0.14993743705557422"/>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4"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style="thick">
        <color theme="0" tint="-0.49992370372631001"/>
      </top>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2" borderId="1">
      <alignment horizontal="center" vertical="center" wrapText="1"/>
    </xf>
    <xf numFmtId="0" fontId="10" fillId="2" borderId="1">
      <alignment horizontal="center" vertical="center" textRotation="90" wrapText="1"/>
    </xf>
    <xf numFmtId="0" fontId="10" fillId="0" borderId="1">
      <alignment horizontal="center" vertical="center"/>
    </xf>
    <xf numFmtId="169" fontId="10" fillId="0" borderId="1">
      <alignment horizontal="center" vertical="center"/>
    </xf>
    <xf numFmtId="0" fontId="10" fillId="3" borderId="1">
      <alignment horizontal="center" vertical="center"/>
    </xf>
    <xf numFmtId="0" fontId="10" fillId="4" borderId="1">
      <alignment horizontal="center" vertical="center"/>
    </xf>
    <xf numFmtId="0" fontId="4" fillId="5" borderId="2">
      <alignment horizontal="center" vertical="center"/>
    </xf>
    <xf numFmtId="170" fontId="4" fillId="5" borderId="2">
      <alignment horizontal="center" vertical="center"/>
    </xf>
    <xf numFmtId="0" fontId="4" fillId="5" borderId="2">
      <alignment horizontal="center" vertical="center" wrapText="1"/>
    </xf>
    <xf numFmtId="0" fontId="10" fillId="0" borderId="1">
      <alignment horizontal="center" vertical="center"/>
    </xf>
    <xf numFmtId="0" fontId="10" fillId="0" borderId="1">
      <alignment horizontal="left" vertical="center"/>
    </xf>
    <xf numFmtId="0" fontId="10" fillId="3" borderId="1">
      <alignment horizontal="center" vertical="center"/>
    </xf>
    <xf numFmtId="0" fontId="4" fillId="5" borderId="2">
      <alignment horizontal="left" vertical="center"/>
    </xf>
  </cellStyleXfs>
  <cellXfs count="86">
    <xf numFmtId="0" fontId="0" fillId="0" borderId="0" xfId="0"/>
    <xf numFmtId="0" fontId="10" fillId="0" borderId="1" xfId="41">
      <alignment horizontal="center" vertical="center"/>
    </xf>
    <xf numFmtId="0" fontId="5" fillId="6" borderId="0" xfId="0" applyFont="1" applyFill="1" applyAlignment="1">
      <alignment horizontal="center" vertical="center" wrapText="1"/>
    </xf>
    <xf numFmtId="0" fontId="4" fillId="0" borderId="0" xfId="0" applyFont="1"/>
    <xf numFmtId="0" fontId="6" fillId="0" borderId="0" xfId="0" applyFont="1" applyAlignment="1">
      <alignment vertical="center" wrapText="1"/>
    </xf>
    <xf numFmtId="0" fontId="4" fillId="0" borderId="0" xfId="0" applyFont="1" applyAlignment="1">
      <alignment horizontal="left"/>
    </xf>
    <xf numFmtId="0" fontId="4" fillId="0" borderId="0" xfId="0" applyFont="1" applyAlignment="1">
      <alignment horizontal="center"/>
    </xf>
    <xf numFmtId="0" fontId="4" fillId="7" borderId="0" xfId="0" applyFont="1" applyFill="1"/>
    <xf numFmtId="0" fontId="4" fillId="7" borderId="3" xfId="0" applyFont="1" applyFill="1" applyBorder="1"/>
    <xf numFmtId="0" fontId="5" fillId="6" borderId="4" xfId="0" applyFont="1" applyFill="1" applyBorder="1" applyAlignment="1">
      <alignment horizontal="center" vertical="center" wrapText="1"/>
    </xf>
    <xf numFmtId="0" fontId="4" fillId="7" borderId="5" xfId="0" applyFont="1" applyFill="1" applyBorder="1"/>
    <xf numFmtId="0" fontId="4" fillId="7" borderId="6" xfId="0" applyFont="1" applyFill="1" applyBorder="1"/>
    <xf numFmtId="0" fontId="5" fillId="6" borderId="7" xfId="0" applyFont="1" applyFill="1" applyBorder="1" applyAlignment="1">
      <alignment horizontal="center" vertical="center" wrapText="1"/>
    </xf>
    <xf numFmtId="0" fontId="5" fillId="6" borderId="8" xfId="0" applyFont="1" applyFill="1" applyBorder="1" applyAlignment="1">
      <alignment horizontal="center" vertical="center" wrapText="1"/>
    </xf>
    <xf numFmtId="0" fontId="4" fillId="7" borderId="9" xfId="0" applyFont="1" applyFill="1" applyBorder="1"/>
    <xf numFmtId="0" fontId="5" fillId="6" borderId="10"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7" fillId="0" borderId="0" xfId="0" applyFont="1"/>
    <xf numFmtId="0" fontId="5" fillId="6" borderId="0" xfId="0" applyFont="1" applyFill="1" applyAlignment="1">
      <alignment horizontal="left" vertical="center" wrapText="1"/>
    </xf>
    <xf numFmtId="0" fontId="3" fillId="0" borderId="0" xfId="0" applyFont="1" applyAlignment="1">
      <alignment horizontal="left" vertical="center"/>
    </xf>
    <xf numFmtId="0" fontId="3"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8" borderId="14" xfId="0" applyFont="1" applyFill="1" applyBorder="1" applyAlignment="1">
      <alignment vertical="center" wrapText="1"/>
    </xf>
    <xf numFmtId="168" fontId="9" fillId="9" borderId="15" xfId="0" applyNumberFormat="1" applyFont="1" applyFill="1" applyBorder="1" applyAlignment="1">
      <alignment horizontal="right"/>
    </xf>
    <xf numFmtId="0" fontId="2" fillId="8" borderId="16" xfId="0" applyFont="1" applyFill="1" applyBorder="1" applyAlignment="1">
      <alignment vertical="center" wrapText="1"/>
    </xf>
    <xf numFmtId="0" fontId="9" fillId="9" borderId="15" xfId="0" applyFont="1" applyFill="1" applyBorder="1" applyAlignment="1">
      <alignment horizontal="right"/>
    </xf>
    <xf numFmtId="38" fontId="9" fillId="9" borderId="15" xfId="0" applyNumberFormat="1" applyFont="1" applyFill="1" applyBorder="1" applyAlignment="1">
      <alignment horizontal="right"/>
    </xf>
    <xf numFmtId="1" fontId="9" fillId="9" borderId="15" xfId="0" applyNumberFormat="1" applyFont="1" applyFill="1" applyBorder="1" applyAlignment="1">
      <alignment horizontal="right"/>
    </xf>
    <xf numFmtId="0" fontId="2" fillId="9" borderId="15" xfId="0" applyFont="1" applyFill="1" applyBorder="1" applyAlignment="1">
      <alignment vertical="center" wrapText="1"/>
    </xf>
    <xf numFmtId="0" fontId="9" fillId="0" borderId="0" xfId="0" applyFont="1"/>
    <xf numFmtId="0" fontId="4" fillId="0" borderId="2" xfId="0" applyFont="1" applyBorder="1" applyAlignment="1">
      <alignment horizontal="center" vertical="center"/>
    </xf>
    <xf numFmtId="0" fontId="4" fillId="0" borderId="2" xfId="0" applyFont="1" applyBorder="1" applyAlignment="1">
      <alignment vertical="center"/>
    </xf>
    <xf numFmtId="0" fontId="10" fillId="2" borderId="1" xfId="39">
      <alignment horizontal="center" vertical="center" wrapText="1"/>
    </xf>
    <xf numFmtId="0" fontId="10" fillId="0" borderId="1" xfId="41" applyProtection="1">
      <alignment horizontal="center" vertical="center"/>
      <protection locked="0"/>
    </xf>
    <xf numFmtId="0" fontId="10" fillId="3" borderId="1" xfId="43">
      <alignment horizontal="center" vertical="center"/>
    </xf>
    <xf numFmtId="0" fontId="4" fillId="5" borderId="2" xfId="45" applyProtection="1">
      <alignment horizontal="center" vertical="center"/>
      <protection locked="0"/>
    </xf>
    <xf numFmtId="0" fontId="4" fillId="5" borderId="2" xfId="47">
      <alignment horizontal="center" vertical="center" wrapText="1"/>
    </xf>
    <xf numFmtId="170" fontId="4" fillId="5" borderId="2" xfId="46">
      <alignment horizontal="center" vertical="center"/>
    </xf>
    <xf numFmtId="170" fontId="4" fillId="5" borderId="2" xfId="46" applyProtection="1">
      <alignment horizontal="center" vertical="center"/>
      <protection locked="0"/>
    </xf>
    <xf numFmtId="0" fontId="10" fillId="4" borderId="1" xfId="44">
      <alignment horizontal="center" vertical="center"/>
    </xf>
    <xf numFmtId="0" fontId="10" fillId="4" borderId="2" xfId="44" applyBorder="1">
      <alignment horizontal="center" vertical="center"/>
    </xf>
    <xf numFmtId="170" fontId="4" fillId="4" borderId="2" xfId="46" applyFill="1">
      <alignment horizontal="center" vertical="center"/>
    </xf>
    <xf numFmtId="171" fontId="9" fillId="9" borderId="15" xfId="0" applyNumberFormat="1" applyFont="1" applyFill="1" applyBorder="1" applyAlignment="1">
      <alignment horizontal="right"/>
    </xf>
    <xf numFmtId="171" fontId="10" fillId="0" borderId="1" xfId="42" applyNumberFormat="1" applyProtection="1">
      <alignment horizontal="center" vertical="center"/>
      <protection locked="0"/>
    </xf>
    <xf numFmtId="0" fontId="11" fillId="10" borderId="0" xfId="0" applyFont="1" applyFill="1" applyAlignment="1">
      <alignment horizontal="center" vertical="center"/>
    </xf>
    <xf numFmtId="0" fontId="11" fillId="10" borderId="17" xfId="0" applyFont="1" applyFill="1" applyBorder="1" applyAlignment="1">
      <alignment horizontal="center" vertical="center"/>
    </xf>
    <xf numFmtId="0" fontId="11" fillId="0" borderId="17" xfId="0" applyFont="1" applyBorder="1" applyAlignment="1" applyProtection="1">
      <alignment vertical="center"/>
      <protection hidden="1"/>
    </xf>
    <xf numFmtId="0" fontId="12" fillId="0" borderId="0" xfId="0" applyFont="1" applyAlignment="1" applyProtection="1">
      <alignment vertical="center"/>
      <protection hidden="1"/>
    </xf>
    <xf numFmtId="0" fontId="11" fillId="0" borderId="0" xfId="0" applyFont="1" applyAlignment="1" applyProtection="1">
      <alignment vertical="center"/>
      <protection hidden="1"/>
    </xf>
    <xf numFmtId="0" fontId="13" fillId="10" borderId="0" xfId="0" applyFont="1" applyFill="1" applyAlignment="1">
      <alignment vertical="top" wrapText="1"/>
    </xf>
    <xf numFmtId="0" fontId="13" fillId="10" borderId="0" xfId="0" applyFont="1" applyFill="1" applyAlignment="1">
      <alignment vertical="center" wrapText="1"/>
    </xf>
    <xf numFmtId="0" fontId="11" fillId="10" borderId="0" xfId="0" applyFont="1" applyFill="1" applyAlignment="1">
      <alignment vertical="center"/>
    </xf>
    <xf numFmtId="0" fontId="14" fillId="10" borderId="10" xfId="0" applyFont="1" applyFill="1" applyBorder="1" applyAlignment="1">
      <alignment vertical="center"/>
    </xf>
    <xf numFmtId="0" fontId="14" fillId="10" borderId="0" xfId="0" applyFont="1" applyFill="1" applyAlignment="1">
      <alignment vertical="center"/>
    </xf>
    <xf numFmtId="0" fontId="15" fillId="10" borderId="0" xfId="0" applyFont="1" applyFill="1" applyAlignment="1">
      <alignment horizontal="left" vertical="center"/>
    </xf>
    <xf numFmtId="0" fontId="12" fillId="10" borderId="0" xfId="0" applyFont="1" applyFill="1" applyAlignment="1" applyProtection="1">
      <alignment vertical="center"/>
      <protection hidden="1"/>
    </xf>
    <xf numFmtId="0" fontId="12" fillId="10" borderId="9" xfId="0" applyFont="1" applyFill="1" applyBorder="1" applyAlignment="1" applyProtection="1">
      <alignment vertical="center"/>
      <protection hidden="1"/>
    </xf>
    <xf numFmtId="38" fontId="16" fillId="9" borderId="11" xfId="0" applyNumberFormat="1" applyFont="1" applyFill="1" applyBorder="1" applyAlignment="1">
      <alignment vertical="center" wrapText="1"/>
    </xf>
    <xf numFmtId="0" fontId="15" fillId="10" borderId="0" xfId="0" applyFont="1" applyFill="1" applyAlignment="1">
      <alignment vertical="center"/>
    </xf>
    <xf numFmtId="0" fontId="16" fillId="11" borderId="11" xfId="0" applyFont="1" applyFill="1" applyBorder="1" applyAlignment="1">
      <alignment horizontal="left" vertical="center"/>
    </xf>
    <xf numFmtId="0" fontId="16" fillId="0" borderId="1" xfId="0" applyFont="1" applyBorder="1" applyAlignment="1">
      <alignment vertical="center"/>
    </xf>
    <xf numFmtId="0" fontId="16" fillId="11" borderId="7" xfId="0" applyFont="1" applyFill="1" applyBorder="1" applyAlignment="1">
      <alignment horizontal="left" vertical="center"/>
    </xf>
    <xf numFmtId="168" fontId="16" fillId="0" borderId="1" xfId="0" applyNumberFormat="1" applyFont="1" applyBorder="1" applyAlignment="1">
      <alignment vertical="center"/>
    </xf>
    <xf numFmtId="0" fontId="12" fillId="10" borderId="10" xfId="0" applyFont="1" applyFill="1" applyBorder="1" applyAlignment="1" applyProtection="1">
      <alignment vertical="center"/>
      <protection hidden="1"/>
    </xf>
    <xf numFmtId="169" fontId="10" fillId="0" borderId="1" xfId="42" applyProtection="1">
      <alignment horizontal="center" vertical="center"/>
      <protection locked="0"/>
    </xf>
    <xf numFmtId="0" fontId="10" fillId="0" borderId="1" xfId="48">
      <alignment horizontal="center" vertical="center"/>
    </xf>
    <xf numFmtId="0" fontId="10" fillId="3" borderId="1" xfId="50">
      <alignment horizontal="center" vertical="center"/>
    </xf>
    <xf numFmtId="0" fontId="10" fillId="0" borderId="1" xfId="49" applyProtection="1">
      <alignment horizontal="left" vertical="center"/>
      <protection locked="0"/>
    </xf>
    <xf numFmtId="0" fontId="4" fillId="5" borderId="2" xfId="51" applyProtection="1">
      <alignment horizontal="left" vertical="center"/>
      <protection locked="0"/>
    </xf>
    <xf numFmtId="0" fontId="8" fillId="12" borderId="18" xfId="0" applyFont="1" applyFill="1" applyBorder="1" applyAlignment="1">
      <alignment horizontal="center" vertical="center" wrapText="1"/>
    </xf>
    <xf numFmtId="0" fontId="8" fillId="12" borderId="19" xfId="0" applyFont="1" applyFill="1" applyBorder="1" applyAlignment="1">
      <alignment horizontal="center" vertical="center" wrapText="1"/>
    </xf>
    <xf numFmtId="0" fontId="10" fillId="2" borderId="1" xfId="40">
      <alignment horizontal="center" vertical="center" textRotation="90" wrapText="1"/>
    </xf>
    <xf numFmtId="0" fontId="10" fillId="0" borderId="1" xfId="41">
      <alignment horizontal="center" vertical="center"/>
    </xf>
    <xf numFmtId="49" fontId="16" fillId="0" borderId="11" xfId="0" applyNumberFormat="1" applyFont="1" applyBorder="1" applyAlignment="1">
      <alignment horizontal="center" vertical="center" wrapText="1"/>
    </xf>
    <xf numFmtId="49" fontId="16" fillId="0" borderId="13" xfId="0" applyNumberFormat="1" applyFont="1" applyBorder="1" applyAlignment="1">
      <alignment horizontal="center" vertical="center" wrapText="1"/>
    </xf>
    <xf numFmtId="1" fontId="16" fillId="0" borderId="11" xfId="0" applyNumberFormat="1" applyFont="1" applyBorder="1" applyAlignment="1" applyProtection="1">
      <alignment horizontal="center" vertical="center" wrapText="1"/>
      <protection locked="0"/>
    </xf>
    <xf numFmtId="1" fontId="16" fillId="0" borderId="13" xfId="0" applyNumberFormat="1" applyFont="1" applyBorder="1" applyAlignment="1" applyProtection="1">
      <alignment horizontal="center" vertical="center" wrapText="1"/>
      <protection locked="0"/>
    </xf>
    <xf numFmtId="171" fontId="16" fillId="0" borderId="11" xfId="0" applyNumberFormat="1" applyFont="1" applyBorder="1" applyAlignment="1" applyProtection="1">
      <alignment horizontal="center" vertical="center" wrapText="1"/>
      <protection locked="0"/>
    </xf>
    <xf numFmtId="171" fontId="16" fillId="0" borderId="13" xfId="0" applyNumberFormat="1" applyFont="1" applyBorder="1" applyAlignment="1" applyProtection="1">
      <alignment horizontal="center" vertical="center" wrapText="1"/>
      <protection locked="0"/>
    </xf>
    <xf numFmtId="0" fontId="11" fillId="0" borderId="0" xfId="0" applyFont="1" applyAlignment="1" applyProtection="1">
      <alignment horizontal="center" vertical="center"/>
      <protection hidden="1"/>
    </xf>
    <xf numFmtId="0" fontId="17" fillId="13" borderId="0" xfId="0" applyFont="1" applyFill="1" applyAlignment="1">
      <alignment horizontal="center" vertical="top" wrapText="1"/>
    </xf>
    <xf numFmtId="0" fontId="17" fillId="13" borderId="0" xfId="0" applyFont="1" applyFill="1" applyAlignment="1">
      <alignment horizontal="center" vertical="center" wrapText="1"/>
    </xf>
  </cellXfs>
  <cellStyles count="52">
    <cellStyle name="ArticleBody" xfId="45" xr:uid="{00000000-0005-0000-0000-00002D000000}"/>
    <cellStyle name="ArticleBody_currency" xfId="46" xr:uid="{00000000-0005-0000-0000-00002E000000}"/>
    <cellStyle name="ArticleBody_text" xfId="51" xr:uid="{00000000-0005-0000-0000-000033000000}"/>
    <cellStyle name="ArticleBody_UNSCPCDescription" xfId="47" xr:uid="{00000000-0005-0000-0000-00002F000000}"/>
    <cellStyle name="ArticleHeader" xfId="44" xr:uid="{00000000-0005-0000-0000-00002C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0" builtinId="0"/>
    <cellStyle name="Normal 2" xfId="6" xr:uid="{00000000-0005-0000-0000-000006000000}"/>
    <cellStyle name="Normal 3" xfId="7" xr:uid="{00000000-0005-0000-0000-000007000000}"/>
    <cellStyle name="Normal 3 10" xfId="8" xr:uid="{00000000-0005-0000-0000-000008000000}"/>
    <cellStyle name="Normal 3 11" xfId="9" xr:uid="{00000000-0005-0000-0000-000009000000}"/>
    <cellStyle name="Normal 3 12" xfId="10" xr:uid="{00000000-0005-0000-0000-00000A000000}"/>
    <cellStyle name="Normal 3 13" xfId="11" xr:uid="{00000000-0005-0000-0000-00000B000000}"/>
    <cellStyle name="Normal 3 14" xfId="12" xr:uid="{00000000-0005-0000-0000-00000C000000}"/>
    <cellStyle name="Normal 3 15" xfId="13" xr:uid="{00000000-0005-0000-0000-00000D000000}"/>
    <cellStyle name="Normal 3 16" xfId="14" xr:uid="{00000000-0005-0000-0000-00000E000000}"/>
    <cellStyle name="Normal 3 17" xfId="15" xr:uid="{00000000-0005-0000-0000-00000F000000}"/>
    <cellStyle name="Normal 3 18" xfId="16" xr:uid="{00000000-0005-0000-0000-000010000000}"/>
    <cellStyle name="Normal 3 19" xfId="17" xr:uid="{00000000-0005-0000-0000-000011000000}"/>
    <cellStyle name="Normal 3 2" xfId="18" xr:uid="{00000000-0005-0000-0000-000012000000}"/>
    <cellStyle name="Normal 3 20" xfId="19" xr:uid="{00000000-0005-0000-0000-000013000000}"/>
    <cellStyle name="Normal 3 21" xfId="20" xr:uid="{00000000-0005-0000-0000-000014000000}"/>
    <cellStyle name="Normal 3 22" xfId="21" xr:uid="{00000000-0005-0000-0000-000015000000}"/>
    <cellStyle name="Normal 3 23" xfId="22" xr:uid="{00000000-0005-0000-0000-000016000000}"/>
    <cellStyle name="Normal 3 24" xfId="23" xr:uid="{00000000-0005-0000-0000-000017000000}"/>
    <cellStyle name="Normal 3 25" xfId="24" xr:uid="{00000000-0005-0000-0000-000018000000}"/>
    <cellStyle name="Normal 3 26" xfId="25" xr:uid="{00000000-0005-0000-0000-000019000000}"/>
    <cellStyle name="Normal 3 27" xfId="26" xr:uid="{00000000-0005-0000-0000-00001A000000}"/>
    <cellStyle name="Normal 3 28" xfId="27" xr:uid="{00000000-0005-0000-0000-00001B000000}"/>
    <cellStyle name="Normal 3 29" xfId="28" xr:uid="{00000000-0005-0000-0000-00001C000000}"/>
    <cellStyle name="Normal 3 3" xfId="29" xr:uid="{00000000-0005-0000-0000-00001D000000}"/>
    <cellStyle name="Normal 3 30" xfId="30" xr:uid="{00000000-0005-0000-0000-00001E000000}"/>
    <cellStyle name="Normal 3 31" xfId="31" xr:uid="{00000000-0005-0000-0000-00001F000000}"/>
    <cellStyle name="Normal 3 32" xfId="32" xr:uid="{00000000-0005-0000-0000-000020000000}"/>
    <cellStyle name="Normal 3 4" xfId="33" xr:uid="{00000000-0005-0000-0000-000021000000}"/>
    <cellStyle name="Normal 3 5" xfId="34" xr:uid="{00000000-0005-0000-0000-000022000000}"/>
    <cellStyle name="Normal 3 6" xfId="35" xr:uid="{00000000-0005-0000-0000-000023000000}"/>
    <cellStyle name="Normal 3 7" xfId="36" xr:uid="{00000000-0005-0000-0000-000024000000}"/>
    <cellStyle name="Normal 3 8" xfId="37" xr:uid="{00000000-0005-0000-0000-000025000000}"/>
    <cellStyle name="Normal 3 9" xfId="38" xr:uid="{00000000-0005-0000-0000-000026000000}"/>
    <cellStyle name="Percent" xfId="1" xr:uid="{00000000-0005-0000-0000-000001000000}"/>
    <cellStyle name="ProcessBody" xfId="41" xr:uid="{00000000-0005-0000-0000-000029000000}"/>
    <cellStyle name="ProcessBody_address" xfId="49" xr:uid="{00000000-0005-0000-0000-000031000000}"/>
    <cellStyle name="ProcessBody_datetime" xfId="42" xr:uid="{00000000-0005-0000-0000-00002A000000}"/>
    <cellStyle name="ProcessBody_number" xfId="48" xr:uid="{00000000-0005-0000-0000-000030000000}"/>
    <cellStyle name="ProcessHeader" xfId="39" xr:uid="{00000000-0005-0000-0000-000027000000}"/>
    <cellStyle name="ProcessHeader_vertical" xfId="40" xr:uid="{00000000-0005-0000-0000-000028000000}"/>
    <cellStyle name="ProcessSubHeader" xfId="43" xr:uid="{00000000-0005-0000-0000-00002B000000}"/>
    <cellStyle name="ProcessSubHeader_lugar" xfId="50" xr:uid="{00000000-0005-0000-0000-00003200000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7"/>
    </tableStyle>
    <tableStyle name="Table Style 2" pivot="0" count="2" xr9:uid="{00000000-0011-0000-FFFF-FFFF01000000}">
      <tableStyleElement type="wholeTable" dxfId="6"/>
      <tableStyleElement type="totalRow" dxfId="5"/>
    </tableStyle>
    <tableStyle name="Table Style 3" pivot="0" count="3" xr9:uid="{00000000-0011-0000-FFFF-FFFF02000000}">
      <tableStyleElement type="lastColumn" dxfId="4"/>
      <tableStyleElement type="firstRowStripe" dxfId="3"/>
      <tableStyleElement type="secondRowStripe" dxfId="2"/>
    </tableStyle>
    <tableStyle name="Table Style 4" pivot="0" count="2" xr9:uid="{00000000-0011-0000-FFFF-FFFF03000000}">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00.xml><?xml version="1.0" encoding="utf-8"?>
<formControlPr xmlns="http://schemas.microsoft.com/office/spreadsheetml/2009/9/main" objectType="Button" lockText="1"/>
</file>

<file path=xl/ctrlProps/ctrlProp1001.xml><?xml version="1.0" encoding="utf-8"?>
<formControlPr xmlns="http://schemas.microsoft.com/office/spreadsheetml/2009/9/main" objectType="Button" lockText="1"/>
</file>

<file path=xl/ctrlProps/ctrlProp1002.xml><?xml version="1.0" encoding="utf-8"?>
<formControlPr xmlns="http://schemas.microsoft.com/office/spreadsheetml/2009/9/main" objectType="Button" lockText="1"/>
</file>

<file path=xl/ctrlProps/ctrlProp1003.xml><?xml version="1.0" encoding="utf-8"?>
<formControlPr xmlns="http://schemas.microsoft.com/office/spreadsheetml/2009/9/main" objectType="Button" lockText="1"/>
</file>

<file path=xl/ctrlProps/ctrlProp1004.xml><?xml version="1.0" encoding="utf-8"?>
<formControlPr xmlns="http://schemas.microsoft.com/office/spreadsheetml/2009/9/main" objectType="Button" lockText="1"/>
</file>

<file path=xl/ctrlProps/ctrlProp1005.xml><?xml version="1.0" encoding="utf-8"?>
<formControlPr xmlns="http://schemas.microsoft.com/office/spreadsheetml/2009/9/main" objectType="Button" lockText="1"/>
</file>

<file path=xl/ctrlProps/ctrlProp1006.xml><?xml version="1.0" encoding="utf-8"?>
<formControlPr xmlns="http://schemas.microsoft.com/office/spreadsheetml/2009/9/main" objectType="Button" lockText="1"/>
</file>

<file path=xl/ctrlProps/ctrlProp1007.xml><?xml version="1.0" encoding="utf-8"?>
<formControlPr xmlns="http://schemas.microsoft.com/office/spreadsheetml/2009/9/main" objectType="Button" lockText="1"/>
</file>

<file path=xl/ctrlProps/ctrlProp1008.xml><?xml version="1.0" encoding="utf-8"?>
<formControlPr xmlns="http://schemas.microsoft.com/office/spreadsheetml/2009/9/main" objectType="Button" lockText="1"/>
</file>

<file path=xl/ctrlProps/ctrlProp1009.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10.xml><?xml version="1.0" encoding="utf-8"?>
<formControlPr xmlns="http://schemas.microsoft.com/office/spreadsheetml/2009/9/main" objectType="Button" lockText="1"/>
</file>

<file path=xl/ctrlProps/ctrlProp1011.xml><?xml version="1.0" encoding="utf-8"?>
<formControlPr xmlns="http://schemas.microsoft.com/office/spreadsheetml/2009/9/main" objectType="Button" lockText="1"/>
</file>

<file path=xl/ctrlProps/ctrlProp1012.xml><?xml version="1.0" encoding="utf-8"?>
<formControlPr xmlns="http://schemas.microsoft.com/office/spreadsheetml/2009/9/main" objectType="Button" lockText="1"/>
</file>

<file path=xl/ctrlProps/ctrlProp1013.xml><?xml version="1.0" encoding="utf-8"?>
<formControlPr xmlns="http://schemas.microsoft.com/office/spreadsheetml/2009/9/main" objectType="Button" lockText="1"/>
</file>

<file path=xl/ctrlProps/ctrlProp1014.xml><?xml version="1.0" encoding="utf-8"?>
<formControlPr xmlns="http://schemas.microsoft.com/office/spreadsheetml/2009/9/main" objectType="Button" lockText="1"/>
</file>

<file path=xl/ctrlProps/ctrlProp1015.xml><?xml version="1.0" encoding="utf-8"?>
<formControlPr xmlns="http://schemas.microsoft.com/office/spreadsheetml/2009/9/main" objectType="Button" lockText="1"/>
</file>

<file path=xl/ctrlProps/ctrlProp1016.xml><?xml version="1.0" encoding="utf-8"?>
<formControlPr xmlns="http://schemas.microsoft.com/office/spreadsheetml/2009/9/main" objectType="Button" lockText="1"/>
</file>

<file path=xl/ctrlProps/ctrlProp1017.xml><?xml version="1.0" encoding="utf-8"?>
<formControlPr xmlns="http://schemas.microsoft.com/office/spreadsheetml/2009/9/main" objectType="Button" lockText="1"/>
</file>

<file path=xl/ctrlProps/ctrlProp1018.xml><?xml version="1.0" encoding="utf-8"?>
<formControlPr xmlns="http://schemas.microsoft.com/office/spreadsheetml/2009/9/main" objectType="Button" lockText="1"/>
</file>

<file path=xl/ctrlProps/ctrlProp1019.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20.xml><?xml version="1.0" encoding="utf-8"?>
<formControlPr xmlns="http://schemas.microsoft.com/office/spreadsheetml/2009/9/main" objectType="Button" lockText="1"/>
</file>

<file path=xl/ctrlProps/ctrlProp1021.xml><?xml version="1.0" encoding="utf-8"?>
<formControlPr xmlns="http://schemas.microsoft.com/office/spreadsheetml/2009/9/main" objectType="Button" lockText="1"/>
</file>

<file path=xl/ctrlProps/ctrlProp1022.xml><?xml version="1.0" encoding="utf-8"?>
<formControlPr xmlns="http://schemas.microsoft.com/office/spreadsheetml/2009/9/main" objectType="Button" lockText="1"/>
</file>

<file path=xl/ctrlProps/ctrlProp1023.xml><?xml version="1.0" encoding="utf-8"?>
<formControlPr xmlns="http://schemas.microsoft.com/office/spreadsheetml/2009/9/main" objectType="Button" lockText="1"/>
</file>

<file path=xl/ctrlProps/ctrlProp1024.xml><?xml version="1.0" encoding="utf-8"?>
<formControlPr xmlns="http://schemas.microsoft.com/office/spreadsheetml/2009/9/main" objectType="Button" lockText="1"/>
</file>

<file path=xl/ctrlProps/ctrlProp1025.xml><?xml version="1.0" encoding="utf-8"?>
<formControlPr xmlns="http://schemas.microsoft.com/office/spreadsheetml/2009/9/main" objectType="Button" lockText="1"/>
</file>

<file path=xl/ctrlProps/ctrlProp1026.xml><?xml version="1.0" encoding="utf-8"?>
<formControlPr xmlns="http://schemas.microsoft.com/office/spreadsheetml/2009/9/main" objectType="Button" lockText="1"/>
</file>

<file path=xl/ctrlProps/ctrlProp1027.xml><?xml version="1.0" encoding="utf-8"?>
<formControlPr xmlns="http://schemas.microsoft.com/office/spreadsheetml/2009/9/main" objectType="Button" lockText="1"/>
</file>

<file path=xl/ctrlProps/ctrlProp1028.xml><?xml version="1.0" encoding="utf-8"?>
<formControlPr xmlns="http://schemas.microsoft.com/office/spreadsheetml/2009/9/main" objectType="Button" lockText="1"/>
</file>

<file path=xl/ctrlProps/ctrlProp1029.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30.xml><?xml version="1.0" encoding="utf-8"?>
<formControlPr xmlns="http://schemas.microsoft.com/office/spreadsheetml/2009/9/main" objectType="Button" lockText="1"/>
</file>

<file path=xl/ctrlProps/ctrlProp1031.xml><?xml version="1.0" encoding="utf-8"?>
<formControlPr xmlns="http://schemas.microsoft.com/office/spreadsheetml/2009/9/main" objectType="Button" lockText="1"/>
</file>

<file path=xl/ctrlProps/ctrlProp1032.xml><?xml version="1.0" encoding="utf-8"?>
<formControlPr xmlns="http://schemas.microsoft.com/office/spreadsheetml/2009/9/main" objectType="Button" lockText="1"/>
</file>

<file path=xl/ctrlProps/ctrlProp1033.xml><?xml version="1.0" encoding="utf-8"?>
<formControlPr xmlns="http://schemas.microsoft.com/office/spreadsheetml/2009/9/main" objectType="Button" lockText="1"/>
</file>

<file path=xl/ctrlProps/ctrlProp1034.xml><?xml version="1.0" encoding="utf-8"?>
<formControlPr xmlns="http://schemas.microsoft.com/office/spreadsheetml/2009/9/main" objectType="Button" lockText="1"/>
</file>

<file path=xl/ctrlProps/ctrlProp1035.xml><?xml version="1.0" encoding="utf-8"?>
<formControlPr xmlns="http://schemas.microsoft.com/office/spreadsheetml/2009/9/main" objectType="Button" lockText="1"/>
</file>

<file path=xl/ctrlProps/ctrlProp1036.xml><?xml version="1.0" encoding="utf-8"?>
<formControlPr xmlns="http://schemas.microsoft.com/office/spreadsheetml/2009/9/main" objectType="Button" lockText="1"/>
</file>

<file path=xl/ctrlProps/ctrlProp1037.xml><?xml version="1.0" encoding="utf-8"?>
<formControlPr xmlns="http://schemas.microsoft.com/office/spreadsheetml/2009/9/main" objectType="Button" lockText="1"/>
</file>

<file path=xl/ctrlProps/ctrlProp1038.xml><?xml version="1.0" encoding="utf-8"?>
<formControlPr xmlns="http://schemas.microsoft.com/office/spreadsheetml/2009/9/main" objectType="Button" lockText="1"/>
</file>

<file path=xl/ctrlProps/ctrlProp1039.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40.xml><?xml version="1.0" encoding="utf-8"?>
<formControlPr xmlns="http://schemas.microsoft.com/office/spreadsheetml/2009/9/main" objectType="Button" lockText="1"/>
</file>

<file path=xl/ctrlProps/ctrlProp1041.xml><?xml version="1.0" encoding="utf-8"?>
<formControlPr xmlns="http://schemas.microsoft.com/office/spreadsheetml/2009/9/main" objectType="Button" lockText="1"/>
</file>

<file path=xl/ctrlProps/ctrlProp1042.xml><?xml version="1.0" encoding="utf-8"?>
<formControlPr xmlns="http://schemas.microsoft.com/office/spreadsheetml/2009/9/main" objectType="Button" lockText="1"/>
</file>

<file path=xl/ctrlProps/ctrlProp1043.xml><?xml version="1.0" encoding="utf-8"?>
<formControlPr xmlns="http://schemas.microsoft.com/office/spreadsheetml/2009/9/main" objectType="Button" lockText="1"/>
</file>

<file path=xl/ctrlProps/ctrlProp1044.xml><?xml version="1.0" encoding="utf-8"?>
<formControlPr xmlns="http://schemas.microsoft.com/office/spreadsheetml/2009/9/main" objectType="Button" lockText="1"/>
</file>

<file path=xl/ctrlProps/ctrlProp1045.xml><?xml version="1.0" encoding="utf-8"?>
<formControlPr xmlns="http://schemas.microsoft.com/office/spreadsheetml/2009/9/main" objectType="Button" lockText="1"/>
</file>

<file path=xl/ctrlProps/ctrlProp1046.xml><?xml version="1.0" encoding="utf-8"?>
<formControlPr xmlns="http://schemas.microsoft.com/office/spreadsheetml/2009/9/main" objectType="Button" lockText="1"/>
</file>

<file path=xl/ctrlProps/ctrlProp1047.xml><?xml version="1.0" encoding="utf-8"?>
<formControlPr xmlns="http://schemas.microsoft.com/office/spreadsheetml/2009/9/main" objectType="Button" lockText="1"/>
</file>

<file path=xl/ctrlProps/ctrlProp1048.xml><?xml version="1.0" encoding="utf-8"?>
<formControlPr xmlns="http://schemas.microsoft.com/office/spreadsheetml/2009/9/main" objectType="Button" lockText="1"/>
</file>

<file path=xl/ctrlProps/ctrlProp1049.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50.xml><?xml version="1.0" encoding="utf-8"?>
<formControlPr xmlns="http://schemas.microsoft.com/office/spreadsheetml/2009/9/main" objectType="Button" lockText="1"/>
</file>

<file path=xl/ctrlProps/ctrlProp1051.xml><?xml version="1.0" encoding="utf-8"?>
<formControlPr xmlns="http://schemas.microsoft.com/office/spreadsheetml/2009/9/main" objectType="Button" lockText="1"/>
</file>

<file path=xl/ctrlProps/ctrlProp1052.xml><?xml version="1.0" encoding="utf-8"?>
<formControlPr xmlns="http://schemas.microsoft.com/office/spreadsheetml/2009/9/main" objectType="Button" lockText="1"/>
</file>

<file path=xl/ctrlProps/ctrlProp1053.xml><?xml version="1.0" encoding="utf-8"?>
<formControlPr xmlns="http://schemas.microsoft.com/office/spreadsheetml/2009/9/main" objectType="Button" lockText="1"/>
</file>

<file path=xl/ctrlProps/ctrlProp1054.xml><?xml version="1.0" encoding="utf-8"?>
<formControlPr xmlns="http://schemas.microsoft.com/office/spreadsheetml/2009/9/main" objectType="Button" lockText="1"/>
</file>

<file path=xl/ctrlProps/ctrlProp1055.xml><?xml version="1.0" encoding="utf-8"?>
<formControlPr xmlns="http://schemas.microsoft.com/office/spreadsheetml/2009/9/main" objectType="Button" lockText="1"/>
</file>

<file path=xl/ctrlProps/ctrlProp1056.xml><?xml version="1.0" encoding="utf-8"?>
<formControlPr xmlns="http://schemas.microsoft.com/office/spreadsheetml/2009/9/main" objectType="Button" lockText="1"/>
</file>

<file path=xl/ctrlProps/ctrlProp1057.xml><?xml version="1.0" encoding="utf-8"?>
<formControlPr xmlns="http://schemas.microsoft.com/office/spreadsheetml/2009/9/main" objectType="Button" lockText="1"/>
</file>

<file path=xl/ctrlProps/ctrlProp1058.xml><?xml version="1.0" encoding="utf-8"?>
<formControlPr xmlns="http://schemas.microsoft.com/office/spreadsheetml/2009/9/main" objectType="Button" lockText="1"/>
</file>

<file path=xl/ctrlProps/ctrlProp1059.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60.xml><?xml version="1.0" encoding="utf-8"?>
<formControlPr xmlns="http://schemas.microsoft.com/office/spreadsheetml/2009/9/main" objectType="Button" lockText="1"/>
</file>

<file path=xl/ctrlProps/ctrlProp1061.xml><?xml version="1.0" encoding="utf-8"?>
<formControlPr xmlns="http://schemas.microsoft.com/office/spreadsheetml/2009/9/main" objectType="Button" lockText="1"/>
</file>

<file path=xl/ctrlProps/ctrlProp1062.xml><?xml version="1.0" encoding="utf-8"?>
<formControlPr xmlns="http://schemas.microsoft.com/office/spreadsheetml/2009/9/main" objectType="Button" lockText="1"/>
</file>

<file path=xl/ctrlProps/ctrlProp1063.xml><?xml version="1.0" encoding="utf-8"?>
<formControlPr xmlns="http://schemas.microsoft.com/office/spreadsheetml/2009/9/main" objectType="Button" lockText="1"/>
</file>

<file path=xl/ctrlProps/ctrlProp1064.xml><?xml version="1.0" encoding="utf-8"?>
<formControlPr xmlns="http://schemas.microsoft.com/office/spreadsheetml/2009/9/main" objectType="Button" lockText="1"/>
</file>

<file path=xl/ctrlProps/ctrlProp1065.xml><?xml version="1.0" encoding="utf-8"?>
<formControlPr xmlns="http://schemas.microsoft.com/office/spreadsheetml/2009/9/main" objectType="Button" lockText="1"/>
</file>

<file path=xl/ctrlProps/ctrlProp1066.xml><?xml version="1.0" encoding="utf-8"?>
<formControlPr xmlns="http://schemas.microsoft.com/office/spreadsheetml/2009/9/main" objectType="Button" lockText="1"/>
</file>

<file path=xl/ctrlProps/ctrlProp1067.xml><?xml version="1.0" encoding="utf-8"?>
<formControlPr xmlns="http://schemas.microsoft.com/office/spreadsheetml/2009/9/main" objectType="Button" lockText="1"/>
</file>

<file path=xl/ctrlProps/ctrlProp1068.xml><?xml version="1.0" encoding="utf-8"?>
<formControlPr xmlns="http://schemas.microsoft.com/office/spreadsheetml/2009/9/main" objectType="Button" lockText="1"/>
</file>

<file path=xl/ctrlProps/ctrlProp1069.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70.xml><?xml version="1.0" encoding="utf-8"?>
<formControlPr xmlns="http://schemas.microsoft.com/office/spreadsheetml/2009/9/main" objectType="Button" lockText="1"/>
</file>

<file path=xl/ctrlProps/ctrlProp1071.xml><?xml version="1.0" encoding="utf-8"?>
<formControlPr xmlns="http://schemas.microsoft.com/office/spreadsheetml/2009/9/main" objectType="Button" lockText="1"/>
</file>

<file path=xl/ctrlProps/ctrlProp1072.xml><?xml version="1.0" encoding="utf-8"?>
<formControlPr xmlns="http://schemas.microsoft.com/office/spreadsheetml/2009/9/main" objectType="Button" lockText="1"/>
</file>

<file path=xl/ctrlProps/ctrlProp1073.xml><?xml version="1.0" encoding="utf-8"?>
<formControlPr xmlns="http://schemas.microsoft.com/office/spreadsheetml/2009/9/main" objectType="Button" lockText="1"/>
</file>

<file path=xl/ctrlProps/ctrlProp1074.xml><?xml version="1.0" encoding="utf-8"?>
<formControlPr xmlns="http://schemas.microsoft.com/office/spreadsheetml/2009/9/main" objectType="Button" lockText="1"/>
</file>

<file path=xl/ctrlProps/ctrlProp1075.xml><?xml version="1.0" encoding="utf-8"?>
<formControlPr xmlns="http://schemas.microsoft.com/office/spreadsheetml/2009/9/main" objectType="Button" lockText="1"/>
</file>

<file path=xl/ctrlProps/ctrlProp1076.xml><?xml version="1.0" encoding="utf-8"?>
<formControlPr xmlns="http://schemas.microsoft.com/office/spreadsheetml/2009/9/main" objectType="Button" lockText="1"/>
</file>

<file path=xl/ctrlProps/ctrlProp1077.xml><?xml version="1.0" encoding="utf-8"?>
<formControlPr xmlns="http://schemas.microsoft.com/office/spreadsheetml/2009/9/main" objectType="Button" lockText="1"/>
</file>

<file path=xl/ctrlProps/ctrlProp1078.xml><?xml version="1.0" encoding="utf-8"?>
<formControlPr xmlns="http://schemas.microsoft.com/office/spreadsheetml/2009/9/main" objectType="Button" lockText="1"/>
</file>

<file path=xl/ctrlProps/ctrlProp1079.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80.xml><?xml version="1.0" encoding="utf-8"?>
<formControlPr xmlns="http://schemas.microsoft.com/office/spreadsheetml/2009/9/main" objectType="Button" lockText="1"/>
</file>

<file path=xl/ctrlProps/ctrlProp1081.xml><?xml version="1.0" encoding="utf-8"?>
<formControlPr xmlns="http://schemas.microsoft.com/office/spreadsheetml/2009/9/main" objectType="Button" lockText="1"/>
</file>

<file path=xl/ctrlProps/ctrlProp1082.xml><?xml version="1.0" encoding="utf-8"?>
<formControlPr xmlns="http://schemas.microsoft.com/office/spreadsheetml/2009/9/main" objectType="Button" lockText="1"/>
</file>

<file path=xl/ctrlProps/ctrlProp1083.xml><?xml version="1.0" encoding="utf-8"?>
<formControlPr xmlns="http://schemas.microsoft.com/office/spreadsheetml/2009/9/main" objectType="Button" lockText="1"/>
</file>

<file path=xl/ctrlProps/ctrlProp1084.xml><?xml version="1.0" encoding="utf-8"?>
<formControlPr xmlns="http://schemas.microsoft.com/office/spreadsheetml/2009/9/main" objectType="Button" lockText="1"/>
</file>

<file path=xl/ctrlProps/ctrlProp1085.xml><?xml version="1.0" encoding="utf-8"?>
<formControlPr xmlns="http://schemas.microsoft.com/office/spreadsheetml/2009/9/main" objectType="Button" lockText="1"/>
</file>

<file path=xl/ctrlProps/ctrlProp1086.xml><?xml version="1.0" encoding="utf-8"?>
<formControlPr xmlns="http://schemas.microsoft.com/office/spreadsheetml/2009/9/main" objectType="Button" lockText="1"/>
</file>

<file path=xl/ctrlProps/ctrlProp1087.xml><?xml version="1.0" encoding="utf-8"?>
<formControlPr xmlns="http://schemas.microsoft.com/office/spreadsheetml/2009/9/main" objectType="Button" lockText="1"/>
</file>

<file path=xl/ctrlProps/ctrlProp1088.xml><?xml version="1.0" encoding="utf-8"?>
<formControlPr xmlns="http://schemas.microsoft.com/office/spreadsheetml/2009/9/main" objectType="Button" lockText="1"/>
</file>

<file path=xl/ctrlProps/ctrlProp1089.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090.xml><?xml version="1.0" encoding="utf-8"?>
<formControlPr xmlns="http://schemas.microsoft.com/office/spreadsheetml/2009/9/main" objectType="Button" lockText="1"/>
</file>

<file path=xl/ctrlProps/ctrlProp1091.xml><?xml version="1.0" encoding="utf-8"?>
<formControlPr xmlns="http://schemas.microsoft.com/office/spreadsheetml/2009/9/main" objectType="Button" lockText="1"/>
</file>

<file path=xl/ctrlProps/ctrlProp1092.xml><?xml version="1.0" encoding="utf-8"?>
<formControlPr xmlns="http://schemas.microsoft.com/office/spreadsheetml/2009/9/main" objectType="Button" lockText="1"/>
</file>

<file path=xl/ctrlProps/ctrlProp1093.xml><?xml version="1.0" encoding="utf-8"?>
<formControlPr xmlns="http://schemas.microsoft.com/office/spreadsheetml/2009/9/main" objectType="Button" lockText="1"/>
</file>

<file path=xl/ctrlProps/ctrlProp1094.xml><?xml version="1.0" encoding="utf-8"?>
<formControlPr xmlns="http://schemas.microsoft.com/office/spreadsheetml/2009/9/main" objectType="Button" lockText="1"/>
</file>

<file path=xl/ctrlProps/ctrlProp1095.xml><?xml version="1.0" encoding="utf-8"?>
<formControlPr xmlns="http://schemas.microsoft.com/office/spreadsheetml/2009/9/main" objectType="Button" lockText="1"/>
</file>

<file path=xl/ctrlProps/ctrlProp1096.xml><?xml version="1.0" encoding="utf-8"?>
<formControlPr xmlns="http://schemas.microsoft.com/office/spreadsheetml/2009/9/main" objectType="Button" lockText="1"/>
</file>

<file path=xl/ctrlProps/ctrlProp1097.xml><?xml version="1.0" encoding="utf-8"?>
<formControlPr xmlns="http://schemas.microsoft.com/office/spreadsheetml/2009/9/main" objectType="Button" lockText="1"/>
</file>

<file path=xl/ctrlProps/ctrlProp1098.xml><?xml version="1.0" encoding="utf-8"?>
<formControlPr xmlns="http://schemas.microsoft.com/office/spreadsheetml/2009/9/main" objectType="Button" lockText="1"/>
</file>

<file path=xl/ctrlProps/ctrlProp109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00.xml><?xml version="1.0" encoding="utf-8"?>
<formControlPr xmlns="http://schemas.microsoft.com/office/spreadsheetml/2009/9/main" objectType="Button" lockText="1"/>
</file>

<file path=xl/ctrlProps/ctrlProp1101.xml><?xml version="1.0" encoding="utf-8"?>
<formControlPr xmlns="http://schemas.microsoft.com/office/spreadsheetml/2009/9/main" objectType="Button" lockText="1"/>
</file>

<file path=xl/ctrlProps/ctrlProp1102.xml><?xml version="1.0" encoding="utf-8"?>
<formControlPr xmlns="http://schemas.microsoft.com/office/spreadsheetml/2009/9/main" objectType="Button" lockText="1"/>
</file>

<file path=xl/ctrlProps/ctrlProp1103.xml><?xml version="1.0" encoding="utf-8"?>
<formControlPr xmlns="http://schemas.microsoft.com/office/spreadsheetml/2009/9/main" objectType="Button" lockText="1"/>
</file>

<file path=xl/ctrlProps/ctrlProp1104.xml><?xml version="1.0" encoding="utf-8"?>
<formControlPr xmlns="http://schemas.microsoft.com/office/spreadsheetml/2009/9/main" objectType="Button" lockText="1"/>
</file>

<file path=xl/ctrlProps/ctrlProp1105.xml><?xml version="1.0" encoding="utf-8"?>
<formControlPr xmlns="http://schemas.microsoft.com/office/spreadsheetml/2009/9/main" objectType="Button" lockText="1"/>
</file>

<file path=xl/ctrlProps/ctrlProp1106.xml><?xml version="1.0" encoding="utf-8"?>
<formControlPr xmlns="http://schemas.microsoft.com/office/spreadsheetml/2009/9/main" objectType="Button" lockText="1"/>
</file>

<file path=xl/ctrlProps/ctrlProp1107.xml><?xml version="1.0" encoding="utf-8"?>
<formControlPr xmlns="http://schemas.microsoft.com/office/spreadsheetml/2009/9/main" objectType="Button" lockText="1"/>
</file>

<file path=xl/ctrlProps/ctrlProp1108.xml><?xml version="1.0" encoding="utf-8"?>
<formControlPr xmlns="http://schemas.microsoft.com/office/spreadsheetml/2009/9/main" objectType="Button" lockText="1"/>
</file>

<file path=xl/ctrlProps/ctrlProp1109.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10.xml><?xml version="1.0" encoding="utf-8"?>
<formControlPr xmlns="http://schemas.microsoft.com/office/spreadsheetml/2009/9/main" objectType="Button" lockText="1"/>
</file>

<file path=xl/ctrlProps/ctrlProp1111.xml><?xml version="1.0" encoding="utf-8"?>
<formControlPr xmlns="http://schemas.microsoft.com/office/spreadsheetml/2009/9/main" objectType="Button" lockText="1"/>
</file>

<file path=xl/ctrlProps/ctrlProp1112.xml><?xml version="1.0" encoding="utf-8"?>
<formControlPr xmlns="http://schemas.microsoft.com/office/spreadsheetml/2009/9/main" objectType="Button" lockText="1"/>
</file>

<file path=xl/ctrlProps/ctrlProp1113.xml><?xml version="1.0" encoding="utf-8"?>
<formControlPr xmlns="http://schemas.microsoft.com/office/spreadsheetml/2009/9/main" objectType="Button" lockText="1"/>
</file>

<file path=xl/ctrlProps/ctrlProp1114.xml><?xml version="1.0" encoding="utf-8"?>
<formControlPr xmlns="http://schemas.microsoft.com/office/spreadsheetml/2009/9/main" objectType="Button" lockText="1"/>
</file>

<file path=xl/ctrlProps/ctrlProp1115.xml><?xml version="1.0" encoding="utf-8"?>
<formControlPr xmlns="http://schemas.microsoft.com/office/spreadsheetml/2009/9/main" objectType="Button" lockText="1"/>
</file>

<file path=xl/ctrlProps/ctrlProp1116.xml><?xml version="1.0" encoding="utf-8"?>
<formControlPr xmlns="http://schemas.microsoft.com/office/spreadsheetml/2009/9/main" objectType="Button" lockText="1"/>
</file>

<file path=xl/ctrlProps/ctrlProp1117.xml><?xml version="1.0" encoding="utf-8"?>
<formControlPr xmlns="http://schemas.microsoft.com/office/spreadsheetml/2009/9/main" objectType="Button" lockText="1"/>
</file>

<file path=xl/ctrlProps/ctrlProp1118.xml><?xml version="1.0" encoding="utf-8"?>
<formControlPr xmlns="http://schemas.microsoft.com/office/spreadsheetml/2009/9/main" objectType="Button" lockText="1"/>
</file>

<file path=xl/ctrlProps/ctrlProp1119.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20.xml><?xml version="1.0" encoding="utf-8"?>
<formControlPr xmlns="http://schemas.microsoft.com/office/spreadsheetml/2009/9/main" objectType="Button" lockText="1"/>
</file>

<file path=xl/ctrlProps/ctrlProp1121.xml><?xml version="1.0" encoding="utf-8"?>
<formControlPr xmlns="http://schemas.microsoft.com/office/spreadsheetml/2009/9/main" objectType="Button" lockText="1"/>
</file>

<file path=xl/ctrlProps/ctrlProp1122.xml><?xml version="1.0" encoding="utf-8"?>
<formControlPr xmlns="http://schemas.microsoft.com/office/spreadsheetml/2009/9/main" objectType="Button" lockText="1"/>
</file>

<file path=xl/ctrlProps/ctrlProp1123.xml><?xml version="1.0" encoding="utf-8"?>
<formControlPr xmlns="http://schemas.microsoft.com/office/spreadsheetml/2009/9/main" objectType="Button" lockText="1"/>
</file>

<file path=xl/ctrlProps/ctrlProp1124.xml><?xml version="1.0" encoding="utf-8"?>
<formControlPr xmlns="http://schemas.microsoft.com/office/spreadsheetml/2009/9/main" objectType="Button" lockText="1"/>
</file>

<file path=xl/ctrlProps/ctrlProp1125.xml><?xml version="1.0" encoding="utf-8"?>
<formControlPr xmlns="http://schemas.microsoft.com/office/spreadsheetml/2009/9/main" objectType="Button" lockText="1"/>
</file>

<file path=xl/ctrlProps/ctrlProp1126.xml><?xml version="1.0" encoding="utf-8"?>
<formControlPr xmlns="http://schemas.microsoft.com/office/spreadsheetml/2009/9/main" objectType="Button" lockText="1"/>
</file>

<file path=xl/ctrlProps/ctrlProp1127.xml><?xml version="1.0" encoding="utf-8"?>
<formControlPr xmlns="http://schemas.microsoft.com/office/spreadsheetml/2009/9/main" objectType="Button" lockText="1"/>
</file>

<file path=xl/ctrlProps/ctrlProp1128.xml><?xml version="1.0" encoding="utf-8"?>
<formControlPr xmlns="http://schemas.microsoft.com/office/spreadsheetml/2009/9/main" objectType="Button" lockText="1"/>
</file>

<file path=xl/ctrlProps/ctrlProp1129.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30.xml><?xml version="1.0" encoding="utf-8"?>
<formControlPr xmlns="http://schemas.microsoft.com/office/spreadsheetml/2009/9/main" objectType="Button" lockText="1"/>
</file>

<file path=xl/ctrlProps/ctrlProp1131.xml><?xml version="1.0" encoding="utf-8"?>
<formControlPr xmlns="http://schemas.microsoft.com/office/spreadsheetml/2009/9/main" objectType="Button" lockText="1"/>
</file>

<file path=xl/ctrlProps/ctrlProp1132.xml><?xml version="1.0" encoding="utf-8"?>
<formControlPr xmlns="http://schemas.microsoft.com/office/spreadsheetml/2009/9/main" objectType="Button" lockText="1"/>
</file>

<file path=xl/ctrlProps/ctrlProp1133.xml><?xml version="1.0" encoding="utf-8"?>
<formControlPr xmlns="http://schemas.microsoft.com/office/spreadsheetml/2009/9/main" objectType="Button" lockText="1"/>
</file>

<file path=xl/ctrlProps/ctrlProp1134.xml><?xml version="1.0" encoding="utf-8"?>
<formControlPr xmlns="http://schemas.microsoft.com/office/spreadsheetml/2009/9/main" objectType="Button" lockText="1"/>
</file>

<file path=xl/ctrlProps/ctrlProp1135.xml><?xml version="1.0" encoding="utf-8"?>
<formControlPr xmlns="http://schemas.microsoft.com/office/spreadsheetml/2009/9/main" objectType="Button" lockText="1"/>
</file>

<file path=xl/ctrlProps/ctrlProp1136.xml><?xml version="1.0" encoding="utf-8"?>
<formControlPr xmlns="http://schemas.microsoft.com/office/spreadsheetml/2009/9/main" objectType="Button" lockText="1"/>
</file>

<file path=xl/ctrlProps/ctrlProp1137.xml><?xml version="1.0" encoding="utf-8"?>
<formControlPr xmlns="http://schemas.microsoft.com/office/spreadsheetml/2009/9/main" objectType="Button" lockText="1"/>
</file>

<file path=xl/ctrlProps/ctrlProp1138.xml><?xml version="1.0" encoding="utf-8"?>
<formControlPr xmlns="http://schemas.microsoft.com/office/spreadsheetml/2009/9/main" objectType="Button" lockText="1"/>
</file>

<file path=xl/ctrlProps/ctrlProp1139.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40.xml><?xml version="1.0" encoding="utf-8"?>
<formControlPr xmlns="http://schemas.microsoft.com/office/spreadsheetml/2009/9/main" objectType="Button" lockText="1"/>
</file>

<file path=xl/ctrlProps/ctrlProp1141.xml><?xml version="1.0" encoding="utf-8"?>
<formControlPr xmlns="http://schemas.microsoft.com/office/spreadsheetml/2009/9/main" objectType="Button" lockText="1"/>
</file>

<file path=xl/ctrlProps/ctrlProp1142.xml><?xml version="1.0" encoding="utf-8"?>
<formControlPr xmlns="http://schemas.microsoft.com/office/spreadsheetml/2009/9/main" objectType="Button" lockText="1"/>
</file>

<file path=xl/ctrlProps/ctrlProp1143.xml><?xml version="1.0" encoding="utf-8"?>
<formControlPr xmlns="http://schemas.microsoft.com/office/spreadsheetml/2009/9/main" objectType="Button" lockText="1"/>
</file>

<file path=xl/ctrlProps/ctrlProp1144.xml><?xml version="1.0" encoding="utf-8"?>
<formControlPr xmlns="http://schemas.microsoft.com/office/spreadsheetml/2009/9/main" objectType="Button" lockText="1"/>
</file>

<file path=xl/ctrlProps/ctrlProp1145.xml><?xml version="1.0" encoding="utf-8"?>
<formControlPr xmlns="http://schemas.microsoft.com/office/spreadsheetml/2009/9/main" objectType="Button" lockText="1"/>
</file>

<file path=xl/ctrlProps/ctrlProp1146.xml><?xml version="1.0" encoding="utf-8"?>
<formControlPr xmlns="http://schemas.microsoft.com/office/spreadsheetml/2009/9/main" objectType="Button" lockText="1"/>
</file>

<file path=xl/ctrlProps/ctrlProp1147.xml><?xml version="1.0" encoding="utf-8"?>
<formControlPr xmlns="http://schemas.microsoft.com/office/spreadsheetml/2009/9/main" objectType="Button" lockText="1"/>
</file>

<file path=xl/ctrlProps/ctrlProp1148.xml><?xml version="1.0" encoding="utf-8"?>
<formControlPr xmlns="http://schemas.microsoft.com/office/spreadsheetml/2009/9/main" objectType="Button" lockText="1"/>
</file>

<file path=xl/ctrlProps/ctrlProp1149.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50.xml><?xml version="1.0" encoding="utf-8"?>
<formControlPr xmlns="http://schemas.microsoft.com/office/spreadsheetml/2009/9/main" objectType="Button" lockText="1"/>
</file>

<file path=xl/ctrlProps/ctrlProp1151.xml><?xml version="1.0" encoding="utf-8"?>
<formControlPr xmlns="http://schemas.microsoft.com/office/spreadsheetml/2009/9/main" objectType="Button" lockText="1"/>
</file>

<file path=xl/ctrlProps/ctrlProp1152.xml><?xml version="1.0" encoding="utf-8"?>
<formControlPr xmlns="http://schemas.microsoft.com/office/spreadsheetml/2009/9/main" objectType="Button" lockText="1"/>
</file>

<file path=xl/ctrlProps/ctrlProp1153.xml><?xml version="1.0" encoding="utf-8"?>
<formControlPr xmlns="http://schemas.microsoft.com/office/spreadsheetml/2009/9/main" objectType="Button" lockText="1"/>
</file>

<file path=xl/ctrlProps/ctrlProp1154.xml><?xml version="1.0" encoding="utf-8"?>
<formControlPr xmlns="http://schemas.microsoft.com/office/spreadsheetml/2009/9/main" objectType="Button" lockText="1"/>
</file>

<file path=xl/ctrlProps/ctrlProp1155.xml><?xml version="1.0" encoding="utf-8"?>
<formControlPr xmlns="http://schemas.microsoft.com/office/spreadsheetml/2009/9/main" objectType="Button" lockText="1"/>
</file>

<file path=xl/ctrlProps/ctrlProp1156.xml><?xml version="1.0" encoding="utf-8"?>
<formControlPr xmlns="http://schemas.microsoft.com/office/spreadsheetml/2009/9/main" objectType="Button" lockText="1"/>
</file>

<file path=xl/ctrlProps/ctrlProp1157.xml><?xml version="1.0" encoding="utf-8"?>
<formControlPr xmlns="http://schemas.microsoft.com/office/spreadsheetml/2009/9/main" objectType="Button" lockText="1"/>
</file>

<file path=xl/ctrlProps/ctrlProp1158.xml><?xml version="1.0" encoding="utf-8"?>
<formControlPr xmlns="http://schemas.microsoft.com/office/spreadsheetml/2009/9/main" objectType="Button" lockText="1"/>
</file>

<file path=xl/ctrlProps/ctrlProp1159.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60.xml><?xml version="1.0" encoding="utf-8"?>
<formControlPr xmlns="http://schemas.microsoft.com/office/spreadsheetml/2009/9/main" objectType="Button" lockText="1"/>
</file>

<file path=xl/ctrlProps/ctrlProp1161.xml><?xml version="1.0" encoding="utf-8"?>
<formControlPr xmlns="http://schemas.microsoft.com/office/spreadsheetml/2009/9/main" objectType="Button" lockText="1"/>
</file>

<file path=xl/ctrlProps/ctrlProp1162.xml><?xml version="1.0" encoding="utf-8"?>
<formControlPr xmlns="http://schemas.microsoft.com/office/spreadsheetml/2009/9/main" objectType="Button" lockText="1"/>
</file>

<file path=xl/ctrlProps/ctrlProp1163.xml><?xml version="1.0" encoding="utf-8"?>
<formControlPr xmlns="http://schemas.microsoft.com/office/spreadsheetml/2009/9/main" objectType="Button" lockText="1"/>
</file>

<file path=xl/ctrlProps/ctrlProp1164.xml><?xml version="1.0" encoding="utf-8"?>
<formControlPr xmlns="http://schemas.microsoft.com/office/spreadsheetml/2009/9/main" objectType="Button" lockText="1"/>
</file>

<file path=xl/ctrlProps/ctrlProp1165.xml><?xml version="1.0" encoding="utf-8"?>
<formControlPr xmlns="http://schemas.microsoft.com/office/spreadsheetml/2009/9/main" objectType="Button" lockText="1"/>
</file>

<file path=xl/ctrlProps/ctrlProp1166.xml><?xml version="1.0" encoding="utf-8"?>
<formControlPr xmlns="http://schemas.microsoft.com/office/spreadsheetml/2009/9/main" objectType="Button" lockText="1"/>
</file>

<file path=xl/ctrlProps/ctrlProp1167.xml><?xml version="1.0" encoding="utf-8"?>
<formControlPr xmlns="http://schemas.microsoft.com/office/spreadsheetml/2009/9/main" objectType="Button" lockText="1"/>
</file>

<file path=xl/ctrlProps/ctrlProp1168.xml><?xml version="1.0" encoding="utf-8"?>
<formControlPr xmlns="http://schemas.microsoft.com/office/spreadsheetml/2009/9/main" objectType="Button" lockText="1"/>
</file>

<file path=xl/ctrlProps/ctrlProp1169.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70.xml><?xml version="1.0" encoding="utf-8"?>
<formControlPr xmlns="http://schemas.microsoft.com/office/spreadsheetml/2009/9/main" objectType="Button" lockText="1"/>
</file>

<file path=xl/ctrlProps/ctrlProp1171.xml><?xml version="1.0" encoding="utf-8"?>
<formControlPr xmlns="http://schemas.microsoft.com/office/spreadsheetml/2009/9/main" objectType="Button" lockText="1"/>
</file>

<file path=xl/ctrlProps/ctrlProp1172.xml><?xml version="1.0" encoding="utf-8"?>
<formControlPr xmlns="http://schemas.microsoft.com/office/spreadsheetml/2009/9/main" objectType="Button" lockText="1"/>
</file>

<file path=xl/ctrlProps/ctrlProp1173.xml><?xml version="1.0" encoding="utf-8"?>
<formControlPr xmlns="http://schemas.microsoft.com/office/spreadsheetml/2009/9/main" objectType="Button" lockText="1"/>
</file>

<file path=xl/ctrlProps/ctrlProp1174.xml><?xml version="1.0" encoding="utf-8"?>
<formControlPr xmlns="http://schemas.microsoft.com/office/spreadsheetml/2009/9/main" objectType="Button" lockText="1"/>
</file>

<file path=xl/ctrlProps/ctrlProp1175.xml><?xml version="1.0" encoding="utf-8"?>
<formControlPr xmlns="http://schemas.microsoft.com/office/spreadsheetml/2009/9/main" objectType="Button" lockText="1"/>
</file>

<file path=xl/ctrlProps/ctrlProp1176.xml><?xml version="1.0" encoding="utf-8"?>
<formControlPr xmlns="http://schemas.microsoft.com/office/spreadsheetml/2009/9/main" objectType="Button" lockText="1"/>
</file>

<file path=xl/ctrlProps/ctrlProp1177.xml><?xml version="1.0" encoding="utf-8"?>
<formControlPr xmlns="http://schemas.microsoft.com/office/spreadsheetml/2009/9/main" objectType="Button" lockText="1"/>
</file>

<file path=xl/ctrlProps/ctrlProp1178.xml><?xml version="1.0" encoding="utf-8"?>
<formControlPr xmlns="http://schemas.microsoft.com/office/spreadsheetml/2009/9/main" objectType="Button" lockText="1"/>
</file>

<file path=xl/ctrlProps/ctrlProp1179.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80.xml><?xml version="1.0" encoding="utf-8"?>
<formControlPr xmlns="http://schemas.microsoft.com/office/spreadsheetml/2009/9/main" objectType="Button" lockText="1"/>
</file>

<file path=xl/ctrlProps/ctrlProp1181.xml><?xml version="1.0" encoding="utf-8"?>
<formControlPr xmlns="http://schemas.microsoft.com/office/spreadsheetml/2009/9/main" objectType="Button" lockText="1"/>
</file>

<file path=xl/ctrlProps/ctrlProp1182.xml><?xml version="1.0" encoding="utf-8"?>
<formControlPr xmlns="http://schemas.microsoft.com/office/spreadsheetml/2009/9/main" objectType="Button" lockText="1"/>
</file>

<file path=xl/ctrlProps/ctrlProp1183.xml><?xml version="1.0" encoding="utf-8"?>
<formControlPr xmlns="http://schemas.microsoft.com/office/spreadsheetml/2009/9/main" objectType="Button" lockText="1"/>
</file>

<file path=xl/ctrlProps/ctrlProp1184.xml><?xml version="1.0" encoding="utf-8"?>
<formControlPr xmlns="http://schemas.microsoft.com/office/spreadsheetml/2009/9/main" objectType="Button" lockText="1"/>
</file>

<file path=xl/ctrlProps/ctrlProp1185.xml><?xml version="1.0" encoding="utf-8"?>
<formControlPr xmlns="http://schemas.microsoft.com/office/spreadsheetml/2009/9/main" objectType="Button" lockText="1"/>
</file>

<file path=xl/ctrlProps/ctrlProp1186.xml><?xml version="1.0" encoding="utf-8"?>
<formControlPr xmlns="http://schemas.microsoft.com/office/spreadsheetml/2009/9/main" objectType="Button" lockText="1"/>
</file>

<file path=xl/ctrlProps/ctrlProp1187.xml><?xml version="1.0" encoding="utf-8"?>
<formControlPr xmlns="http://schemas.microsoft.com/office/spreadsheetml/2009/9/main" objectType="Button" lockText="1"/>
</file>

<file path=xl/ctrlProps/ctrlProp1188.xml><?xml version="1.0" encoding="utf-8"?>
<formControlPr xmlns="http://schemas.microsoft.com/office/spreadsheetml/2009/9/main" objectType="Button" lockText="1"/>
</file>

<file path=xl/ctrlProps/ctrlProp1189.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190.xml><?xml version="1.0" encoding="utf-8"?>
<formControlPr xmlns="http://schemas.microsoft.com/office/spreadsheetml/2009/9/main" objectType="Button" lockText="1"/>
</file>

<file path=xl/ctrlProps/ctrlProp1191.xml><?xml version="1.0" encoding="utf-8"?>
<formControlPr xmlns="http://schemas.microsoft.com/office/spreadsheetml/2009/9/main" objectType="Button" lockText="1"/>
</file>

<file path=xl/ctrlProps/ctrlProp1192.xml><?xml version="1.0" encoding="utf-8"?>
<formControlPr xmlns="http://schemas.microsoft.com/office/spreadsheetml/2009/9/main" objectType="Button" lockText="1"/>
</file>

<file path=xl/ctrlProps/ctrlProp1193.xml><?xml version="1.0" encoding="utf-8"?>
<formControlPr xmlns="http://schemas.microsoft.com/office/spreadsheetml/2009/9/main" objectType="Button" lockText="1"/>
</file>

<file path=xl/ctrlProps/ctrlProp1194.xml><?xml version="1.0" encoding="utf-8"?>
<formControlPr xmlns="http://schemas.microsoft.com/office/spreadsheetml/2009/9/main" objectType="Button" lockText="1"/>
</file>

<file path=xl/ctrlProps/ctrlProp1195.xml><?xml version="1.0" encoding="utf-8"?>
<formControlPr xmlns="http://schemas.microsoft.com/office/spreadsheetml/2009/9/main" objectType="Button" lockText="1"/>
</file>

<file path=xl/ctrlProps/ctrlProp1196.xml><?xml version="1.0" encoding="utf-8"?>
<formControlPr xmlns="http://schemas.microsoft.com/office/spreadsheetml/2009/9/main" objectType="Button" lockText="1"/>
</file>

<file path=xl/ctrlProps/ctrlProp1197.xml><?xml version="1.0" encoding="utf-8"?>
<formControlPr xmlns="http://schemas.microsoft.com/office/spreadsheetml/2009/9/main" objectType="Button" lockText="1"/>
</file>

<file path=xl/ctrlProps/ctrlProp1198.xml><?xml version="1.0" encoding="utf-8"?>
<formControlPr xmlns="http://schemas.microsoft.com/office/spreadsheetml/2009/9/main" objectType="Button" lockText="1"/>
</file>

<file path=xl/ctrlProps/ctrlProp119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00.xml><?xml version="1.0" encoding="utf-8"?>
<formControlPr xmlns="http://schemas.microsoft.com/office/spreadsheetml/2009/9/main" objectType="Button" lockText="1"/>
</file>

<file path=xl/ctrlProps/ctrlProp1201.xml><?xml version="1.0" encoding="utf-8"?>
<formControlPr xmlns="http://schemas.microsoft.com/office/spreadsheetml/2009/9/main" objectType="Button" lockText="1"/>
</file>

<file path=xl/ctrlProps/ctrlProp1202.xml><?xml version="1.0" encoding="utf-8"?>
<formControlPr xmlns="http://schemas.microsoft.com/office/spreadsheetml/2009/9/main" objectType="Button" lockText="1"/>
</file>

<file path=xl/ctrlProps/ctrlProp1203.xml><?xml version="1.0" encoding="utf-8"?>
<formControlPr xmlns="http://schemas.microsoft.com/office/spreadsheetml/2009/9/main" objectType="Button" lockText="1"/>
</file>

<file path=xl/ctrlProps/ctrlProp1204.xml><?xml version="1.0" encoding="utf-8"?>
<formControlPr xmlns="http://schemas.microsoft.com/office/spreadsheetml/2009/9/main" objectType="Button" lockText="1"/>
</file>

<file path=xl/ctrlProps/ctrlProp1205.xml><?xml version="1.0" encoding="utf-8"?>
<formControlPr xmlns="http://schemas.microsoft.com/office/spreadsheetml/2009/9/main" objectType="Button" lockText="1"/>
</file>

<file path=xl/ctrlProps/ctrlProp1206.xml><?xml version="1.0" encoding="utf-8"?>
<formControlPr xmlns="http://schemas.microsoft.com/office/spreadsheetml/2009/9/main" objectType="Button" lockText="1"/>
</file>

<file path=xl/ctrlProps/ctrlProp1207.xml><?xml version="1.0" encoding="utf-8"?>
<formControlPr xmlns="http://schemas.microsoft.com/office/spreadsheetml/2009/9/main" objectType="Button" lockText="1"/>
</file>

<file path=xl/ctrlProps/ctrlProp1208.xml><?xml version="1.0" encoding="utf-8"?>
<formControlPr xmlns="http://schemas.microsoft.com/office/spreadsheetml/2009/9/main" objectType="Button" lockText="1"/>
</file>

<file path=xl/ctrlProps/ctrlProp1209.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10.xml><?xml version="1.0" encoding="utf-8"?>
<formControlPr xmlns="http://schemas.microsoft.com/office/spreadsheetml/2009/9/main" objectType="Button" lockText="1"/>
</file>

<file path=xl/ctrlProps/ctrlProp1211.xml><?xml version="1.0" encoding="utf-8"?>
<formControlPr xmlns="http://schemas.microsoft.com/office/spreadsheetml/2009/9/main" objectType="Button" lockText="1"/>
</file>

<file path=xl/ctrlProps/ctrlProp1212.xml><?xml version="1.0" encoding="utf-8"?>
<formControlPr xmlns="http://schemas.microsoft.com/office/spreadsheetml/2009/9/main" objectType="Button" lockText="1"/>
</file>

<file path=xl/ctrlProps/ctrlProp1213.xml><?xml version="1.0" encoding="utf-8"?>
<formControlPr xmlns="http://schemas.microsoft.com/office/spreadsheetml/2009/9/main" objectType="Button" lockText="1"/>
</file>

<file path=xl/ctrlProps/ctrlProp1214.xml><?xml version="1.0" encoding="utf-8"?>
<formControlPr xmlns="http://schemas.microsoft.com/office/spreadsheetml/2009/9/main" objectType="Button" lockText="1"/>
</file>

<file path=xl/ctrlProps/ctrlProp1215.xml><?xml version="1.0" encoding="utf-8"?>
<formControlPr xmlns="http://schemas.microsoft.com/office/spreadsheetml/2009/9/main" objectType="Button" lockText="1"/>
</file>

<file path=xl/ctrlProps/ctrlProp1216.xml><?xml version="1.0" encoding="utf-8"?>
<formControlPr xmlns="http://schemas.microsoft.com/office/spreadsheetml/2009/9/main" objectType="Button" lockText="1"/>
</file>

<file path=xl/ctrlProps/ctrlProp1217.xml><?xml version="1.0" encoding="utf-8"?>
<formControlPr xmlns="http://schemas.microsoft.com/office/spreadsheetml/2009/9/main" objectType="Button" lockText="1"/>
</file>

<file path=xl/ctrlProps/ctrlProp1218.xml><?xml version="1.0" encoding="utf-8"?>
<formControlPr xmlns="http://schemas.microsoft.com/office/spreadsheetml/2009/9/main" objectType="Button" lockText="1"/>
</file>

<file path=xl/ctrlProps/ctrlProp1219.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20.xml><?xml version="1.0" encoding="utf-8"?>
<formControlPr xmlns="http://schemas.microsoft.com/office/spreadsheetml/2009/9/main" objectType="Button" lockText="1"/>
</file>

<file path=xl/ctrlProps/ctrlProp1221.xml><?xml version="1.0" encoding="utf-8"?>
<formControlPr xmlns="http://schemas.microsoft.com/office/spreadsheetml/2009/9/main" objectType="Button" lockText="1"/>
</file>

<file path=xl/ctrlProps/ctrlProp1222.xml><?xml version="1.0" encoding="utf-8"?>
<formControlPr xmlns="http://schemas.microsoft.com/office/spreadsheetml/2009/9/main" objectType="Button" lockText="1"/>
</file>

<file path=xl/ctrlProps/ctrlProp1223.xml><?xml version="1.0" encoding="utf-8"?>
<formControlPr xmlns="http://schemas.microsoft.com/office/spreadsheetml/2009/9/main" objectType="Button" lockText="1"/>
</file>

<file path=xl/ctrlProps/ctrlProp1224.xml><?xml version="1.0" encoding="utf-8"?>
<formControlPr xmlns="http://schemas.microsoft.com/office/spreadsheetml/2009/9/main" objectType="Button" lockText="1"/>
</file>

<file path=xl/ctrlProps/ctrlProp1225.xml><?xml version="1.0" encoding="utf-8"?>
<formControlPr xmlns="http://schemas.microsoft.com/office/spreadsheetml/2009/9/main" objectType="Button" lockText="1"/>
</file>

<file path=xl/ctrlProps/ctrlProp1226.xml><?xml version="1.0" encoding="utf-8"?>
<formControlPr xmlns="http://schemas.microsoft.com/office/spreadsheetml/2009/9/main" objectType="Button" lockText="1"/>
</file>

<file path=xl/ctrlProps/ctrlProp1227.xml><?xml version="1.0" encoding="utf-8"?>
<formControlPr xmlns="http://schemas.microsoft.com/office/spreadsheetml/2009/9/main" objectType="Button" lockText="1"/>
</file>

<file path=xl/ctrlProps/ctrlProp1228.xml><?xml version="1.0" encoding="utf-8"?>
<formControlPr xmlns="http://schemas.microsoft.com/office/spreadsheetml/2009/9/main" objectType="Button" lockText="1"/>
</file>

<file path=xl/ctrlProps/ctrlProp1229.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30.xml><?xml version="1.0" encoding="utf-8"?>
<formControlPr xmlns="http://schemas.microsoft.com/office/spreadsheetml/2009/9/main" objectType="Button" lockText="1"/>
</file>

<file path=xl/ctrlProps/ctrlProp1231.xml><?xml version="1.0" encoding="utf-8"?>
<formControlPr xmlns="http://schemas.microsoft.com/office/spreadsheetml/2009/9/main" objectType="Button" lockText="1"/>
</file>

<file path=xl/ctrlProps/ctrlProp1232.xml><?xml version="1.0" encoding="utf-8"?>
<formControlPr xmlns="http://schemas.microsoft.com/office/spreadsheetml/2009/9/main" objectType="Button" lockText="1"/>
</file>

<file path=xl/ctrlProps/ctrlProp1233.xml><?xml version="1.0" encoding="utf-8"?>
<formControlPr xmlns="http://schemas.microsoft.com/office/spreadsheetml/2009/9/main" objectType="Button" lockText="1"/>
</file>

<file path=xl/ctrlProps/ctrlProp1234.xml><?xml version="1.0" encoding="utf-8"?>
<formControlPr xmlns="http://schemas.microsoft.com/office/spreadsheetml/2009/9/main" objectType="Button" lockText="1"/>
</file>

<file path=xl/ctrlProps/ctrlProp1235.xml><?xml version="1.0" encoding="utf-8"?>
<formControlPr xmlns="http://schemas.microsoft.com/office/spreadsheetml/2009/9/main" objectType="Button" lockText="1"/>
</file>

<file path=xl/ctrlProps/ctrlProp1236.xml><?xml version="1.0" encoding="utf-8"?>
<formControlPr xmlns="http://schemas.microsoft.com/office/spreadsheetml/2009/9/main" objectType="Button" lockText="1"/>
</file>

<file path=xl/ctrlProps/ctrlProp1237.xml><?xml version="1.0" encoding="utf-8"?>
<formControlPr xmlns="http://schemas.microsoft.com/office/spreadsheetml/2009/9/main" objectType="Button" lockText="1"/>
</file>

<file path=xl/ctrlProps/ctrlProp1238.xml><?xml version="1.0" encoding="utf-8"?>
<formControlPr xmlns="http://schemas.microsoft.com/office/spreadsheetml/2009/9/main" objectType="Button" lockText="1"/>
</file>

<file path=xl/ctrlProps/ctrlProp1239.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40.xml><?xml version="1.0" encoding="utf-8"?>
<formControlPr xmlns="http://schemas.microsoft.com/office/spreadsheetml/2009/9/main" objectType="Button" lockText="1"/>
</file>

<file path=xl/ctrlProps/ctrlProp1241.xml><?xml version="1.0" encoding="utf-8"?>
<formControlPr xmlns="http://schemas.microsoft.com/office/spreadsheetml/2009/9/main" objectType="Button" lockText="1"/>
</file>

<file path=xl/ctrlProps/ctrlProp1242.xml><?xml version="1.0" encoding="utf-8"?>
<formControlPr xmlns="http://schemas.microsoft.com/office/spreadsheetml/2009/9/main" objectType="Button" lockText="1"/>
</file>

<file path=xl/ctrlProps/ctrlProp1243.xml><?xml version="1.0" encoding="utf-8"?>
<formControlPr xmlns="http://schemas.microsoft.com/office/spreadsheetml/2009/9/main" objectType="Button" lockText="1"/>
</file>

<file path=xl/ctrlProps/ctrlProp1244.xml><?xml version="1.0" encoding="utf-8"?>
<formControlPr xmlns="http://schemas.microsoft.com/office/spreadsheetml/2009/9/main" objectType="Button" lockText="1"/>
</file>

<file path=xl/ctrlProps/ctrlProp1245.xml><?xml version="1.0" encoding="utf-8"?>
<formControlPr xmlns="http://schemas.microsoft.com/office/spreadsheetml/2009/9/main" objectType="Button" lockText="1"/>
</file>

<file path=xl/ctrlProps/ctrlProp1246.xml><?xml version="1.0" encoding="utf-8"?>
<formControlPr xmlns="http://schemas.microsoft.com/office/spreadsheetml/2009/9/main" objectType="Button" lockText="1"/>
</file>

<file path=xl/ctrlProps/ctrlProp1247.xml><?xml version="1.0" encoding="utf-8"?>
<formControlPr xmlns="http://schemas.microsoft.com/office/spreadsheetml/2009/9/main" objectType="Button" lockText="1"/>
</file>

<file path=xl/ctrlProps/ctrlProp1248.xml><?xml version="1.0" encoding="utf-8"?>
<formControlPr xmlns="http://schemas.microsoft.com/office/spreadsheetml/2009/9/main" objectType="Button" lockText="1"/>
</file>

<file path=xl/ctrlProps/ctrlProp1249.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50.xml><?xml version="1.0" encoding="utf-8"?>
<formControlPr xmlns="http://schemas.microsoft.com/office/spreadsheetml/2009/9/main" objectType="Button" lockText="1"/>
</file>

<file path=xl/ctrlProps/ctrlProp1251.xml><?xml version="1.0" encoding="utf-8"?>
<formControlPr xmlns="http://schemas.microsoft.com/office/spreadsheetml/2009/9/main" objectType="Button" lockText="1"/>
</file>

<file path=xl/ctrlProps/ctrlProp1252.xml><?xml version="1.0" encoding="utf-8"?>
<formControlPr xmlns="http://schemas.microsoft.com/office/spreadsheetml/2009/9/main" objectType="Button" lockText="1"/>
</file>

<file path=xl/ctrlProps/ctrlProp1253.xml><?xml version="1.0" encoding="utf-8"?>
<formControlPr xmlns="http://schemas.microsoft.com/office/spreadsheetml/2009/9/main" objectType="Button" lockText="1"/>
</file>

<file path=xl/ctrlProps/ctrlProp1254.xml><?xml version="1.0" encoding="utf-8"?>
<formControlPr xmlns="http://schemas.microsoft.com/office/spreadsheetml/2009/9/main" objectType="Button" lockText="1"/>
</file>

<file path=xl/ctrlProps/ctrlProp1255.xml><?xml version="1.0" encoding="utf-8"?>
<formControlPr xmlns="http://schemas.microsoft.com/office/spreadsheetml/2009/9/main" objectType="Button" lockText="1"/>
</file>

<file path=xl/ctrlProps/ctrlProp1256.xml><?xml version="1.0" encoding="utf-8"?>
<formControlPr xmlns="http://schemas.microsoft.com/office/spreadsheetml/2009/9/main" objectType="Button" lockText="1"/>
</file>

<file path=xl/ctrlProps/ctrlProp1257.xml><?xml version="1.0" encoding="utf-8"?>
<formControlPr xmlns="http://schemas.microsoft.com/office/spreadsheetml/2009/9/main" objectType="Button" lockText="1"/>
</file>

<file path=xl/ctrlProps/ctrlProp1258.xml><?xml version="1.0" encoding="utf-8"?>
<formControlPr xmlns="http://schemas.microsoft.com/office/spreadsheetml/2009/9/main" objectType="Button" lockText="1"/>
</file>

<file path=xl/ctrlProps/ctrlProp1259.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60.xml><?xml version="1.0" encoding="utf-8"?>
<formControlPr xmlns="http://schemas.microsoft.com/office/spreadsheetml/2009/9/main" objectType="Button" lockText="1"/>
</file>

<file path=xl/ctrlProps/ctrlProp1261.xml><?xml version="1.0" encoding="utf-8"?>
<formControlPr xmlns="http://schemas.microsoft.com/office/spreadsheetml/2009/9/main" objectType="Button" lockText="1"/>
</file>

<file path=xl/ctrlProps/ctrlProp1262.xml><?xml version="1.0" encoding="utf-8"?>
<formControlPr xmlns="http://schemas.microsoft.com/office/spreadsheetml/2009/9/main" objectType="Button" lockText="1"/>
</file>

<file path=xl/ctrlProps/ctrlProp1263.xml><?xml version="1.0" encoding="utf-8"?>
<formControlPr xmlns="http://schemas.microsoft.com/office/spreadsheetml/2009/9/main" objectType="Button" lockText="1"/>
</file>

<file path=xl/ctrlProps/ctrlProp1264.xml><?xml version="1.0" encoding="utf-8"?>
<formControlPr xmlns="http://schemas.microsoft.com/office/spreadsheetml/2009/9/main" objectType="Button" lockText="1"/>
</file>

<file path=xl/ctrlProps/ctrlProp1265.xml><?xml version="1.0" encoding="utf-8"?>
<formControlPr xmlns="http://schemas.microsoft.com/office/spreadsheetml/2009/9/main" objectType="Button" lockText="1"/>
</file>

<file path=xl/ctrlProps/ctrlProp1266.xml><?xml version="1.0" encoding="utf-8"?>
<formControlPr xmlns="http://schemas.microsoft.com/office/spreadsheetml/2009/9/main" objectType="Button" lockText="1"/>
</file>

<file path=xl/ctrlProps/ctrlProp1267.xml><?xml version="1.0" encoding="utf-8"?>
<formControlPr xmlns="http://schemas.microsoft.com/office/spreadsheetml/2009/9/main" objectType="Button" lockText="1"/>
</file>

<file path=xl/ctrlProps/ctrlProp1268.xml><?xml version="1.0" encoding="utf-8"?>
<formControlPr xmlns="http://schemas.microsoft.com/office/spreadsheetml/2009/9/main" objectType="Button" lockText="1"/>
</file>

<file path=xl/ctrlProps/ctrlProp1269.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70.xml><?xml version="1.0" encoding="utf-8"?>
<formControlPr xmlns="http://schemas.microsoft.com/office/spreadsheetml/2009/9/main" objectType="Button" lockText="1"/>
</file>

<file path=xl/ctrlProps/ctrlProp1271.xml><?xml version="1.0" encoding="utf-8"?>
<formControlPr xmlns="http://schemas.microsoft.com/office/spreadsheetml/2009/9/main" objectType="Button" lockText="1"/>
</file>

<file path=xl/ctrlProps/ctrlProp1272.xml><?xml version="1.0" encoding="utf-8"?>
<formControlPr xmlns="http://schemas.microsoft.com/office/spreadsheetml/2009/9/main" objectType="Button" lockText="1"/>
</file>

<file path=xl/ctrlProps/ctrlProp1273.xml><?xml version="1.0" encoding="utf-8"?>
<formControlPr xmlns="http://schemas.microsoft.com/office/spreadsheetml/2009/9/main" objectType="Button" lockText="1"/>
</file>

<file path=xl/ctrlProps/ctrlProp1274.xml><?xml version="1.0" encoding="utf-8"?>
<formControlPr xmlns="http://schemas.microsoft.com/office/spreadsheetml/2009/9/main" objectType="Button" lockText="1"/>
</file>

<file path=xl/ctrlProps/ctrlProp1275.xml><?xml version="1.0" encoding="utf-8"?>
<formControlPr xmlns="http://schemas.microsoft.com/office/spreadsheetml/2009/9/main" objectType="Button" lockText="1"/>
</file>

<file path=xl/ctrlProps/ctrlProp1276.xml><?xml version="1.0" encoding="utf-8"?>
<formControlPr xmlns="http://schemas.microsoft.com/office/spreadsheetml/2009/9/main" objectType="Button" lockText="1"/>
</file>

<file path=xl/ctrlProps/ctrlProp1277.xml><?xml version="1.0" encoding="utf-8"?>
<formControlPr xmlns="http://schemas.microsoft.com/office/spreadsheetml/2009/9/main" objectType="Button" lockText="1"/>
</file>

<file path=xl/ctrlProps/ctrlProp1278.xml><?xml version="1.0" encoding="utf-8"?>
<formControlPr xmlns="http://schemas.microsoft.com/office/spreadsheetml/2009/9/main" objectType="Button" lockText="1"/>
</file>

<file path=xl/ctrlProps/ctrlProp1279.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80.xml><?xml version="1.0" encoding="utf-8"?>
<formControlPr xmlns="http://schemas.microsoft.com/office/spreadsheetml/2009/9/main" objectType="Button" lockText="1"/>
</file>

<file path=xl/ctrlProps/ctrlProp1281.xml><?xml version="1.0" encoding="utf-8"?>
<formControlPr xmlns="http://schemas.microsoft.com/office/spreadsheetml/2009/9/main" objectType="Button" lockText="1"/>
</file>

<file path=xl/ctrlProps/ctrlProp1282.xml><?xml version="1.0" encoding="utf-8"?>
<formControlPr xmlns="http://schemas.microsoft.com/office/spreadsheetml/2009/9/main" objectType="Button" lockText="1"/>
</file>

<file path=xl/ctrlProps/ctrlProp1283.xml><?xml version="1.0" encoding="utf-8"?>
<formControlPr xmlns="http://schemas.microsoft.com/office/spreadsheetml/2009/9/main" objectType="Button" lockText="1"/>
</file>

<file path=xl/ctrlProps/ctrlProp1284.xml><?xml version="1.0" encoding="utf-8"?>
<formControlPr xmlns="http://schemas.microsoft.com/office/spreadsheetml/2009/9/main" objectType="Button" lockText="1"/>
</file>

<file path=xl/ctrlProps/ctrlProp1285.xml><?xml version="1.0" encoding="utf-8"?>
<formControlPr xmlns="http://schemas.microsoft.com/office/spreadsheetml/2009/9/main" objectType="Button" lockText="1"/>
</file>

<file path=xl/ctrlProps/ctrlProp1286.xml><?xml version="1.0" encoding="utf-8"?>
<formControlPr xmlns="http://schemas.microsoft.com/office/spreadsheetml/2009/9/main" objectType="Button" lockText="1"/>
</file>

<file path=xl/ctrlProps/ctrlProp1287.xml><?xml version="1.0" encoding="utf-8"?>
<formControlPr xmlns="http://schemas.microsoft.com/office/spreadsheetml/2009/9/main" objectType="Button" lockText="1"/>
</file>

<file path=xl/ctrlProps/ctrlProp1288.xml><?xml version="1.0" encoding="utf-8"?>
<formControlPr xmlns="http://schemas.microsoft.com/office/spreadsheetml/2009/9/main" objectType="Button" lockText="1"/>
</file>

<file path=xl/ctrlProps/ctrlProp1289.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290.xml><?xml version="1.0" encoding="utf-8"?>
<formControlPr xmlns="http://schemas.microsoft.com/office/spreadsheetml/2009/9/main" objectType="Button" lockText="1"/>
</file>

<file path=xl/ctrlProps/ctrlProp1291.xml><?xml version="1.0" encoding="utf-8"?>
<formControlPr xmlns="http://schemas.microsoft.com/office/spreadsheetml/2009/9/main" objectType="Button" lockText="1"/>
</file>

<file path=xl/ctrlProps/ctrlProp1292.xml><?xml version="1.0" encoding="utf-8"?>
<formControlPr xmlns="http://schemas.microsoft.com/office/spreadsheetml/2009/9/main" objectType="Button" lockText="1"/>
</file>

<file path=xl/ctrlProps/ctrlProp1293.xml><?xml version="1.0" encoding="utf-8"?>
<formControlPr xmlns="http://schemas.microsoft.com/office/spreadsheetml/2009/9/main" objectType="Button" lockText="1"/>
</file>

<file path=xl/ctrlProps/ctrlProp1294.xml><?xml version="1.0" encoding="utf-8"?>
<formControlPr xmlns="http://schemas.microsoft.com/office/spreadsheetml/2009/9/main" objectType="Button" lockText="1"/>
</file>

<file path=xl/ctrlProps/ctrlProp1295.xml><?xml version="1.0" encoding="utf-8"?>
<formControlPr xmlns="http://schemas.microsoft.com/office/spreadsheetml/2009/9/main" objectType="Button" lockText="1"/>
</file>

<file path=xl/ctrlProps/ctrlProp1296.xml><?xml version="1.0" encoding="utf-8"?>
<formControlPr xmlns="http://schemas.microsoft.com/office/spreadsheetml/2009/9/main" objectType="Button" lockText="1"/>
</file>

<file path=xl/ctrlProps/ctrlProp1297.xml><?xml version="1.0" encoding="utf-8"?>
<formControlPr xmlns="http://schemas.microsoft.com/office/spreadsheetml/2009/9/main" objectType="Button" lockText="1"/>
</file>

<file path=xl/ctrlProps/ctrlProp1298.xml><?xml version="1.0" encoding="utf-8"?>
<formControlPr xmlns="http://schemas.microsoft.com/office/spreadsheetml/2009/9/main" objectType="Button" lockText="1"/>
</file>

<file path=xl/ctrlProps/ctrlProp129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00.xml><?xml version="1.0" encoding="utf-8"?>
<formControlPr xmlns="http://schemas.microsoft.com/office/spreadsheetml/2009/9/main" objectType="Button" lockText="1"/>
</file>

<file path=xl/ctrlProps/ctrlProp1301.xml><?xml version="1.0" encoding="utf-8"?>
<formControlPr xmlns="http://schemas.microsoft.com/office/spreadsheetml/2009/9/main" objectType="Button" lockText="1"/>
</file>

<file path=xl/ctrlProps/ctrlProp1302.xml><?xml version="1.0" encoding="utf-8"?>
<formControlPr xmlns="http://schemas.microsoft.com/office/spreadsheetml/2009/9/main" objectType="Button" lockText="1"/>
</file>

<file path=xl/ctrlProps/ctrlProp1303.xml><?xml version="1.0" encoding="utf-8"?>
<formControlPr xmlns="http://schemas.microsoft.com/office/spreadsheetml/2009/9/main" objectType="Button" lockText="1"/>
</file>

<file path=xl/ctrlProps/ctrlProp1304.xml><?xml version="1.0" encoding="utf-8"?>
<formControlPr xmlns="http://schemas.microsoft.com/office/spreadsheetml/2009/9/main" objectType="Button" lockText="1"/>
</file>

<file path=xl/ctrlProps/ctrlProp1305.xml><?xml version="1.0" encoding="utf-8"?>
<formControlPr xmlns="http://schemas.microsoft.com/office/spreadsheetml/2009/9/main" objectType="Button" lockText="1"/>
</file>

<file path=xl/ctrlProps/ctrlProp1306.xml><?xml version="1.0" encoding="utf-8"?>
<formControlPr xmlns="http://schemas.microsoft.com/office/spreadsheetml/2009/9/main" objectType="Button" lockText="1"/>
</file>

<file path=xl/ctrlProps/ctrlProp1307.xml><?xml version="1.0" encoding="utf-8"?>
<formControlPr xmlns="http://schemas.microsoft.com/office/spreadsheetml/2009/9/main" objectType="Button" lockText="1"/>
</file>

<file path=xl/ctrlProps/ctrlProp1308.xml><?xml version="1.0" encoding="utf-8"?>
<formControlPr xmlns="http://schemas.microsoft.com/office/spreadsheetml/2009/9/main" objectType="Button" lockText="1"/>
</file>

<file path=xl/ctrlProps/ctrlProp1309.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10.xml><?xml version="1.0" encoding="utf-8"?>
<formControlPr xmlns="http://schemas.microsoft.com/office/spreadsheetml/2009/9/main" objectType="Button" lockText="1"/>
</file>

<file path=xl/ctrlProps/ctrlProp1311.xml><?xml version="1.0" encoding="utf-8"?>
<formControlPr xmlns="http://schemas.microsoft.com/office/spreadsheetml/2009/9/main" objectType="Button" lockText="1"/>
</file>

<file path=xl/ctrlProps/ctrlProp1312.xml><?xml version="1.0" encoding="utf-8"?>
<formControlPr xmlns="http://schemas.microsoft.com/office/spreadsheetml/2009/9/main" objectType="Button" lockText="1"/>
</file>

<file path=xl/ctrlProps/ctrlProp1313.xml><?xml version="1.0" encoding="utf-8"?>
<formControlPr xmlns="http://schemas.microsoft.com/office/spreadsheetml/2009/9/main" objectType="Button" lockText="1"/>
</file>

<file path=xl/ctrlProps/ctrlProp1314.xml><?xml version="1.0" encoding="utf-8"?>
<formControlPr xmlns="http://schemas.microsoft.com/office/spreadsheetml/2009/9/main" objectType="Button" lockText="1"/>
</file>

<file path=xl/ctrlProps/ctrlProp1315.xml><?xml version="1.0" encoding="utf-8"?>
<formControlPr xmlns="http://schemas.microsoft.com/office/spreadsheetml/2009/9/main" objectType="Button" lockText="1"/>
</file>

<file path=xl/ctrlProps/ctrlProp1316.xml><?xml version="1.0" encoding="utf-8"?>
<formControlPr xmlns="http://schemas.microsoft.com/office/spreadsheetml/2009/9/main" objectType="Button" lockText="1"/>
</file>

<file path=xl/ctrlProps/ctrlProp1317.xml><?xml version="1.0" encoding="utf-8"?>
<formControlPr xmlns="http://schemas.microsoft.com/office/spreadsheetml/2009/9/main" objectType="Button" lockText="1"/>
</file>

<file path=xl/ctrlProps/ctrlProp1318.xml><?xml version="1.0" encoding="utf-8"?>
<formControlPr xmlns="http://schemas.microsoft.com/office/spreadsheetml/2009/9/main" objectType="Button" lockText="1"/>
</file>

<file path=xl/ctrlProps/ctrlProp1319.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20.xml><?xml version="1.0" encoding="utf-8"?>
<formControlPr xmlns="http://schemas.microsoft.com/office/spreadsheetml/2009/9/main" objectType="Button" lockText="1"/>
</file>

<file path=xl/ctrlProps/ctrlProp1321.xml><?xml version="1.0" encoding="utf-8"?>
<formControlPr xmlns="http://schemas.microsoft.com/office/spreadsheetml/2009/9/main" objectType="Button" lockText="1"/>
</file>

<file path=xl/ctrlProps/ctrlProp1322.xml><?xml version="1.0" encoding="utf-8"?>
<formControlPr xmlns="http://schemas.microsoft.com/office/spreadsheetml/2009/9/main" objectType="Button" lockText="1"/>
</file>

<file path=xl/ctrlProps/ctrlProp1323.xml><?xml version="1.0" encoding="utf-8"?>
<formControlPr xmlns="http://schemas.microsoft.com/office/spreadsheetml/2009/9/main" objectType="Button" lockText="1"/>
</file>

<file path=xl/ctrlProps/ctrlProp1324.xml><?xml version="1.0" encoding="utf-8"?>
<formControlPr xmlns="http://schemas.microsoft.com/office/spreadsheetml/2009/9/main" objectType="Button" lockText="1"/>
</file>

<file path=xl/ctrlProps/ctrlProp1325.xml><?xml version="1.0" encoding="utf-8"?>
<formControlPr xmlns="http://schemas.microsoft.com/office/spreadsheetml/2009/9/main" objectType="Button" lockText="1"/>
</file>

<file path=xl/ctrlProps/ctrlProp1326.xml><?xml version="1.0" encoding="utf-8"?>
<formControlPr xmlns="http://schemas.microsoft.com/office/spreadsheetml/2009/9/main" objectType="Button" lockText="1"/>
</file>

<file path=xl/ctrlProps/ctrlProp1327.xml><?xml version="1.0" encoding="utf-8"?>
<formControlPr xmlns="http://schemas.microsoft.com/office/spreadsheetml/2009/9/main" objectType="Button" lockText="1"/>
</file>

<file path=xl/ctrlProps/ctrlProp1328.xml><?xml version="1.0" encoding="utf-8"?>
<formControlPr xmlns="http://schemas.microsoft.com/office/spreadsheetml/2009/9/main" objectType="Button" lockText="1"/>
</file>

<file path=xl/ctrlProps/ctrlProp1329.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30.xml><?xml version="1.0" encoding="utf-8"?>
<formControlPr xmlns="http://schemas.microsoft.com/office/spreadsheetml/2009/9/main" objectType="Button" lockText="1"/>
</file>

<file path=xl/ctrlProps/ctrlProp1331.xml><?xml version="1.0" encoding="utf-8"?>
<formControlPr xmlns="http://schemas.microsoft.com/office/spreadsheetml/2009/9/main" objectType="Button" lockText="1"/>
</file>

<file path=xl/ctrlProps/ctrlProp1332.xml><?xml version="1.0" encoding="utf-8"?>
<formControlPr xmlns="http://schemas.microsoft.com/office/spreadsheetml/2009/9/main" objectType="Button" lockText="1"/>
</file>

<file path=xl/ctrlProps/ctrlProp1333.xml><?xml version="1.0" encoding="utf-8"?>
<formControlPr xmlns="http://schemas.microsoft.com/office/spreadsheetml/2009/9/main" objectType="Button" lockText="1"/>
</file>

<file path=xl/ctrlProps/ctrlProp1334.xml><?xml version="1.0" encoding="utf-8"?>
<formControlPr xmlns="http://schemas.microsoft.com/office/spreadsheetml/2009/9/main" objectType="Button" lockText="1"/>
</file>

<file path=xl/ctrlProps/ctrlProp1335.xml><?xml version="1.0" encoding="utf-8"?>
<formControlPr xmlns="http://schemas.microsoft.com/office/spreadsheetml/2009/9/main" objectType="Button" lockText="1"/>
</file>

<file path=xl/ctrlProps/ctrlProp1336.xml><?xml version="1.0" encoding="utf-8"?>
<formControlPr xmlns="http://schemas.microsoft.com/office/spreadsheetml/2009/9/main" objectType="Button" lockText="1"/>
</file>

<file path=xl/ctrlProps/ctrlProp1337.xml><?xml version="1.0" encoding="utf-8"?>
<formControlPr xmlns="http://schemas.microsoft.com/office/spreadsheetml/2009/9/main" objectType="Button" lockText="1"/>
</file>

<file path=xl/ctrlProps/ctrlProp1338.xml><?xml version="1.0" encoding="utf-8"?>
<formControlPr xmlns="http://schemas.microsoft.com/office/spreadsheetml/2009/9/main" objectType="Button" lockText="1"/>
</file>

<file path=xl/ctrlProps/ctrlProp1339.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40.xml><?xml version="1.0" encoding="utf-8"?>
<formControlPr xmlns="http://schemas.microsoft.com/office/spreadsheetml/2009/9/main" objectType="Button" lockText="1"/>
</file>

<file path=xl/ctrlProps/ctrlProp1341.xml><?xml version="1.0" encoding="utf-8"?>
<formControlPr xmlns="http://schemas.microsoft.com/office/spreadsheetml/2009/9/main" objectType="Button" lockText="1"/>
</file>

<file path=xl/ctrlProps/ctrlProp1342.xml><?xml version="1.0" encoding="utf-8"?>
<formControlPr xmlns="http://schemas.microsoft.com/office/spreadsheetml/2009/9/main" objectType="Button" lockText="1"/>
</file>

<file path=xl/ctrlProps/ctrlProp1343.xml><?xml version="1.0" encoding="utf-8"?>
<formControlPr xmlns="http://schemas.microsoft.com/office/spreadsheetml/2009/9/main" objectType="Button" lockText="1"/>
</file>

<file path=xl/ctrlProps/ctrlProp1344.xml><?xml version="1.0" encoding="utf-8"?>
<formControlPr xmlns="http://schemas.microsoft.com/office/spreadsheetml/2009/9/main" objectType="Button" lockText="1"/>
</file>

<file path=xl/ctrlProps/ctrlProp1345.xml><?xml version="1.0" encoding="utf-8"?>
<formControlPr xmlns="http://schemas.microsoft.com/office/spreadsheetml/2009/9/main" objectType="Button" lockText="1"/>
</file>

<file path=xl/ctrlProps/ctrlProp1346.xml><?xml version="1.0" encoding="utf-8"?>
<formControlPr xmlns="http://schemas.microsoft.com/office/spreadsheetml/2009/9/main" objectType="Button" lockText="1"/>
</file>

<file path=xl/ctrlProps/ctrlProp1347.xml><?xml version="1.0" encoding="utf-8"?>
<formControlPr xmlns="http://schemas.microsoft.com/office/spreadsheetml/2009/9/main" objectType="Button" lockText="1"/>
</file>

<file path=xl/ctrlProps/ctrlProp1348.xml><?xml version="1.0" encoding="utf-8"?>
<formControlPr xmlns="http://schemas.microsoft.com/office/spreadsheetml/2009/9/main" objectType="Button" lockText="1"/>
</file>

<file path=xl/ctrlProps/ctrlProp1349.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50.xml><?xml version="1.0" encoding="utf-8"?>
<formControlPr xmlns="http://schemas.microsoft.com/office/spreadsheetml/2009/9/main" objectType="Button" lockText="1"/>
</file>

<file path=xl/ctrlProps/ctrlProp1351.xml><?xml version="1.0" encoding="utf-8"?>
<formControlPr xmlns="http://schemas.microsoft.com/office/spreadsheetml/2009/9/main" objectType="Button" lockText="1"/>
</file>

<file path=xl/ctrlProps/ctrlProp1352.xml><?xml version="1.0" encoding="utf-8"?>
<formControlPr xmlns="http://schemas.microsoft.com/office/spreadsheetml/2009/9/main" objectType="Button" lockText="1"/>
</file>

<file path=xl/ctrlProps/ctrlProp1353.xml><?xml version="1.0" encoding="utf-8"?>
<formControlPr xmlns="http://schemas.microsoft.com/office/spreadsheetml/2009/9/main" objectType="Button" lockText="1"/>
</file>

<file path=xl/ctrlProps/ctrlProp1354.xml><?xml version="1.0" encoding="utf-8"?>
<formControlPr xmlns="http://schemas.microsoft.com/office/spreadsheetml/2009/9/main" objectType="Button" lockText="1"/>
</file>

<file path=xl/ctrlProps/ctrlProp1355.xml><?xml version="1.0" encoding="utf-8"?>
<formControlPr xmlns="http://schemas.microsoft.com/office/spreadsheetml/2009/9/main" objectType="Button" lockText="1"/>
</file>

<file path=xl/ctrlProps/ctrlProp1356.xml><?xml version="1.0" encoding="utf-8"?>
<formControlPr xmlns="http://schemas.microsoft.com/office/spreadsheetml/2009/9/main" objectType="Button" lockText="1"/>
</file>

<file path=xl/ctrlProps/ctrlProp1357.xml><?xml version="1.0" encoding="utf-8"?>
<formControlPr xmlns="http://schemas.microsoft.com/office/spreadsheetml/2009/9/main" objectType="Button" lockText="1"/>
</file>

<file path=xl/ctrlProps/ctrlProp1358.xml><?xml version="1.0" encoding="utf-8"?>
<formControlPr xmlns="http://schemas.microsoft.com/office/spreadsheetml/2009/9/main" objectType="Button" lockText="1"/>
</file>

<file path=xl/ctrlProps/ctrlProp1359.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60.xml><?xml version="1.0" encoding="utf-8"?>
<formControlPr xmlns="http://schemas.microsoft.com/office/spreadsheetml/2009/9/main" objectType="Button" lockText="1"/>
</file>

<file path=xl/ctrlProps/ctrlProp1361.xml><?xml version="1.0" encoding="utf-8"?>
<formControlPr xmlns="http://schemas.microsoft.com/office/spreadsheetml/2009/9/main" objectType="Button" lockText="1"/>
</file>

<file path=xl/ctrlProps/ctrlProp1362.xml><?xml version="1.0" encoding="utf-8"?>
<formControlPr xmlns="http://schemas.microsoft.com/office/spreadsheetml/2009/9/main" objectType="Button" lockText="1"/>
</file>

<file path=xl/ctrlProps/ctrlProp1363.xml><?xml version="1.0" encoding="utf-8"?>
<formControlPr xmlns="http://schemas.microsoft.com/office/spreadsheetml/2009/9/main" objectType="Button" lockText="1"/>
</file>

<file path=xl/ctrlProps/ctrlProp1364.xml><?xml version="1.0" encoding="utf-8"?>
<formControlPr xmlns="http://schemas.microsoft.com/office/spreadsheetml/2009/9/main" objectType="Button" lockText="1"/>
</file>

<file path=xl/ctrlProps/ctrlProp1365.xml><?xml version="1.0" encoding="utf-8"?>
<formControlPr xmlns="http://schemas.microsoft.com/office/spreadsheetml/2009/9/main" objectType="Button" lockText="1"/>
</file>

<file path=xl/ctrlProps/ctrlProp1366.xml><?xml version="1.0" encoding="utf-8"?>
<formControlPr xmlns="http://schemas.microsoft.com/office/spreadsheetml/2009/9/main" objectType="Button" lockText="1"/>
</file>

<file path=xl/ctrlProps/ctrlProp1367.xml><?xml version="1.0" encoding="utf-8"?>
<formControlPr xmlns="http://schemas.microsoft.com/office/spreadsheetml/2009/9/main" objectType="Button" lockText="1"/>
</file>

<file path=xl/ctrlProps/ctrlProp1368.xml><?xml version="1.0" encoding="utf-8"?>
<formControlPr xmlns="http://schemas.microsoft.com/office/spreadsheetml/2009/9/main" objectType="Button" lockText="1"/>
</file>

<file path=xl/ctrlProps/ctrlProp1369.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70.xml><?xml version="1.0" encoding="utf-8"?>
<formControlPr xmlns="http://schemas.microsoft.com/office/spreadsheetml/2009/9/main" objectType="Button" lockText="1"/>
</file>

<file path=xl/ctrlProps/ctrlProp1371.xml><?xml version="1.0" encoding="utf-8"?>
<formControlPr xmlns="http://schemas.microsoft.com/office/spreadsheetml/2009/9/main" objectType="Button" lockText="1"/>
</file>

<file path=xl/ctrlProps/ctrlProp1372.xml><?xml version="1.0" encoding="utf-8"?>
<formControlPr xmlns="http://schemas.microsoft.com/office/spreadsheetml/2009/9/main" objectType="Button" lockText="1"/>
</file>

<file path=xl/ctrlProps/ctrlProp1373.xml><?xml version="1.0" encoding="utf-8"?>
<formControlPr xmlns="http://schemas.microsoft.com/office/spreadsheetml/2009/9/main" objectType="Button" lockText="1"/>
</file>

<file path=xl/ctrlProps/ctrlProp1374.xml><?xml version="1.0" encoding="utf-8"?>
<formControlPr xmlns="http://schemas.microsoft.com/office/spreadsheetml/2009/9/main" objectType="Button" lockText="1"/>
</file>

<file path=xl/ctrlProps/ctrlProp1375.xml><?xml version="1.0" encoding="utf-8"?>
<formControlPr xmlns="http://schemas.microsoft.com/office/spreadsheetml/2009/9/main" objectType="Button" lockText="1"/>
</file>

<file path=xl/ctrlProps/ctrlProp1376.xml><?xml version="1.0" encoding="utf-8"?>
<formControlPr xmlns="http://schemas.microsoft.com/office/spreadsheetml/2009/9/main" objectType="Button" lockText="1"/>
</file>

<file path=xl/ctrlProps/ctrlProp1377.xml><?xml version="1.0" encoding="utf-8"?>
<formControlPr xmlns="http://schemas.microsoft.com/office/spreadsheetml/2009/9/main" objectType="Button" lockText="1"/>
</file>

<file path=xl/ctrlProps/ctrlProp1378.xml><?xml version="1.0" encoding="utf-8"?>
<formControlPr xmlns="http://schemas.microsoft.com/office/spreadsheetml/2009/9/main" objectType="Button" lockText="1"/>
</file>

<file path=xl/ctrlProps/ctrlProp1379.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80.xml><?xml version="1.0" encoding="utf-8"?>
<formControlPr xmlns="http://schemas.microsoft.com/office/spreadsheetml/2009/9/main" objectType="Button" lockText="1"/>
</file>

<file path=xl/ctrlProps/ctrlProp1381.xml><?xml version="1.0" encoding="utf-8"?>
<formControlPr xmlns="http://schemas.microsoft.com/office/spreadsheetml/2009/9/main" objectType="Button" lockText="1"/>
</file>

<file path=xl/ctrlProps/ctrlProp1382.xml><?xml version="1.0" encoding="utf-8"?>
<formControlPr xmlns="http://schemas.microsoft.com/office/spreadsheetml/2009/9/main" objectType="Button" lockText="1"/>
</file>

<file path=xl/ctrlProps/ctrlProp1383.xml><?xml version="1.0" encoding="utf-8"?>
<formControlPr xmlns="http://schemas.microsoft.com/office/spreadsheetml/2009/9/main" objectType="Button" lockText="1"/>
</file>

<file path=xl/ctrlProps/ctrlProp1384.xml><?xml version="1.0" encoding="utf-8"?>
<formControlPr xmlns="http://schemas.microsoft.com/office/spreadsheetml/2009/9/main" objectType="Button" lockText="1"/>
</file>

<file path=xl/ctrlProps/ctrlProp1385.xml><?xml version="1.0" encoding="utf-8"?>
<formControlPr xmlns="http://schemas.microsoft.com/office/spreadsheetml/2009/9/main" objectType="Button" lockText="1"/>
</file>

<file path=xl/ctrlProps/ctrlProp1386.xml><?xml version="1.0" encoding="utf-8"?>
<formControlPr xmlns="http://schemas.microsoft.com/office/spreadsheetml/2009/9/main" objectType="Button" lockText="1"/>
</file>

<file path=xl/ctrlProps/ctrlProp1387.xml><?xml version="1.0" encoding="utf-8"?>
<formControlPr xmlns="http://schemas.microsoft.com/office/spreadsheetml/2009/9/main" objectType="Button" lockText="1"/>
</file>

<file path=xl/ctrlProps/ctrlProp1388.xml><?xml version="1.0" encoding="utf-8"?>
<formControlPr xmlns="http://schemas.microsoft.com/office/spreadsheetml/2009/9/main" objectType="Button" lockText="1"/>
</file>

<file path=xl/ctrlProps/ctrlProp1389.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390.xml><?xml version="1.0" encoding="utf-8"?>
<formControlPr xmlns="http://schemas.microsoft.com/office/spreadsheetml/2009/9/main" objectType="Button" lockText="1"/>
</file>

<file path=xl/ctrlProps/ctrlProp1391.xml><?xml version="1.0" encoding="utf-8"?>
<formControlPr xmlns="http://schemas.microsoft.com/office/spreadsheetml/2009/9/main" objectType="Button" lockText="1"/>
</file>

<file path=xl/ctrlProps/ctrlProp1392.xml><?xml version="1.0" encoding="utf-8"?>
<formControlPr xmlns="http://schemas.microsoft.com/office/spreadsheetml/2009/9/main" objectType="Button" lockText="1"/>
</file>

<file path=xl/ctrlProps/ctrlProp1393.xml><?xml version="1.0" encoding="utf-8"?>
<formControlPr xmlns="http://schemas.microsoft.com/office/spreadsheetml/2009/9/main" objectType="Button" lockText="1"/>
</file>

<file path=xl/ctrlProps/ctrlProp1394.xml><?xml version="1.0" encoding="utf-8"?>
<formControlPr xmlns="http://schemas.microsoft.com/office/spreadsheetml/2009/9/main" objectType="Button" lockText="1"/>
</file>

<file path=xl/ctrlProps/ctrlProp1395.xml><?xml version="1.0" encoding="utf-8"?>
<formControlPr xmlns="http://schemas.microsoft.com/office/spreadsheetml/2009/9/main" objectType="Button" lockText="1"/>
</file>

<file path=xl/ctrlProps/ctrlProp1396.xml><?xml version="1.0" encoding="utf-8"?>
<formControlPr xmlns="http://schemas.microsoft.com/office/spreadsheetml/2009/9/main" objectType="Button" lockText="1"/>
</file>

<file path=xl/ctrlProps/ctrlProp1397.xml><?xml version="1.0" encoding="utf-8"?>
<formControlPr xmlns="http://schemas.microsoft.com/office/spreadsheetml/2009/9/main" objectType="Button" lockText="1"/>
</file>

<file path=xl/ctrlProps/ctrlProp1398.xml><?xml version="1.0" encoding="utf-8"?>
<formControlPr xmlns="http://schemas.microsoft.com/office/spreadsheetml/2009/9/main" objectType="Button" lockText="1"/>
</file>

<file path=xl/ctrlProps/ctrlProp139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00.xml><?xml version="1.0" encoding="utf-8"?>
<formControlPr xmlns="http://schemas.microsoft.com/office/spreadsheetml/2009/9/main" objectType="Button" lockText="1"/>
</file>

<file path=xl/ctrlProps/ctrlProp1401.xml><?xml version="1.0" encoding="utf-8"?>
<formControlPr xmlns="http://schemas.microsoft.com/office/spreadsheetml/2009/9/main" objectType="Button" lockText="1"/>
</file>

<file path=xl/ctrlProps/ctrlProp1402.xml><?xml version="1.0" encoding="utf-8"?>
<formControlPr xmlns="http://schemas.microsoft.com/office/spreadsheetml/2009/9/main" objectType="Button" lockText="1"/>
</file>

<file path=xl/ctrlProps/ctrlProp1403.xml><?xml version="1.0" encoding="utf-8"?>
<formControlPr xmlns="http://schemas.microsoft.com/office/spreadsheetml/2009/9/main" objectType="Button" lockText="1"/>
</file>

<file path=xl/ctrlProps/ctrlProp1404.xml><?xml version="1.0" encoding="utf-8"?>
<formControlPr xmlns="http://schemas.microsoft.com/office/spreadsheetml/2009/9/main" objectType="Button" lockText="1"/>
</file>

<file path=xl/ctrlProps/ctrlProp1405.xml><?xml version="1.0" encoding="utf-8"?>
<formControlPr xmlns="http://schemas.microsoft.com/office/spreadsheetml/2009/9/main" objectType="Button" lockText="1"/>
</file>

<file path=xl/ctrlProps/ctrlProp1406.xml><?xml version="1.0" encoding="utf-8"?>
<formControlPr xmlns="http://schemas.microsoft.com/office/spreadsheetml/2009/9/main" objectType="Button" lockText="1"/>
</file>

<file path=xl/ctrlProps/ctrlProp1407.xml><?xml version="1.0" encoding="utf-8"?>
<formControlPr xmlns="http://schemas.microsoft.com/office/spreadsheetml/2009/9/main" objectType="Button" lockText="1"/>
</file>

<file path=xl/ctrlProps/ctrlProp1408.xml><?xml version="1.0" encoding="utf-8"?>
<formControlPr xmlns="http://schemas.microsoft.com/office/spreadsheetml/2009/9/main" objectType="Button" lockText="1"/>
</file>

<file path=xl/ctrlProps/ctrlProp1409.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10.xml><?xml version="1.0" encoding="utf-8"?>
<formControlPr xmlns="http://schemas.microsoft.com/office/spreadsheetml/2009/9/main" objectType="Button" lockText="1"/>
</file>

<file path=xl/ctrlProps/ctrlProp1411.xml><?xml version="1.0" encoding="utf-8"?>
<formControlPr xmlns="http://schemas.microsoft.com/office/spreadsheetml/2009/9/main" objectType="Button" lockText="1"/>
</file>

<file path=xl/ctrlProps/ctrlProp1412.xml><?xml version="1.0" encoding="utf-8"?>
<formControlPr xmlns="http://schemas.microsoft.com/office/spreadsheetml/2009/9/main" objectType="Button" lockText="1"/>
</file>

<file path=xl/ctrlProps/ctrlProp1413.xml><?xml version="1.0" encoding="utf-8"?>
<formControlPr xmlns="http://schemas.microsoft.com/office/spreadsheetml/2009/9/main" objectType="Button" lockText="1"/>
</file>

<file path=xl/ctrlProps/ctrlProp1414.xml><?xml version="1.0" encoding="utf-8"?>
<formControlPr xmlns="http://schemas.microsoft.com/office/spreadsheetml/2009/9/main" objectType="Button" lockText="1"/>
</file>

<file path=xl/ctrlProps/ctrlProp1415.xml><?xml version="1.0" encoding="utf-8"?>
<formControlPr xmlns="http://schemas.microsoft.com/office/spreadsheetml/2009/9/main" objectType="Button" lockText="1"/>
</file>

<file path=xl/ctrlProps/ctrlProp1416.xml><?xml version="1.0" encoding="utf-8"?>
<formControlPr xmlns="http://schemas.microsoft.com/office/spreadsheetml/2009/9/main" objectType="Button" lockText="1"/>
</file>

<file path=xl/ctrlProps/ctrlProp1417.xml><?xml version="1.0" encoding="utf-8"?>
<formControlPr xmlns="http://schemas.microsoft.com/office/spreadsheetml/2009/9/main" objectType="Button" lockText="1"/>
</file>

<file path=xl/ctrlProps/ctrlProp1418.xml><?xml version="1.0" encoding="utf-8"?>
<formControlPr xmlns="http://schemas.microsoft.com/office/spreadsheetml/2009/9/main" objectType="Button" lockText="1"/>
</file>

<file path=xl/ctrlProps/ctrlProp1419.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20.xml><?xml version="1.0" encoding="utf-8"?>
<formControlPr xmlns="http://schemas.microsoft.com/office/spreadsheetml/2009/9/main" objectType="Button" lockText="1"/>
</file>

<file path=xl/ctrlProps/ctrlProp1421.xml><?xml version="1.0" encoding="utf-8"?>
<formControlPr xmlns="http://schemas.microsoft.com/office/spreadsheetml/2009/9/main" objectType="Button" lockText="1"/>
</file>

<file path=xl/ctrlProps/ctrlProp1422.xml><?xml version="1.0" encoding="utf-8"?>
<formControlPr xmlns="http://schemas.microsoft.com/office/spreadsheetml/2009/9/main" objectType="Button" lockText="1"/>
</file>

<file path=xl/ctrlProps/ctrlProp1423.xml><?xml version="1.0" encoding="utf-8"?>
<formControlPr xmlns="http://schemas.microsoft.com/office/spreadsheetml/2009/9/main" objectType="Button" lockText="1"/>
</file>

<file path=xl/ctrlProps/ctrlProp1424.xml><?xml version="1.0" encoding="utf-8"?>
<formControlPr xmlns="http://schemas.microsoft.com/office/spreadsheetml/2009/9/main" objectType="Button" lockText="1"/>
</file>

<file path=xl/ctrlProps/ctrlProp1425.xml><?xml version="1.0" encoding="utf-8"?>
<formControlPr xmlns="http://schemas.microsoft.com/office/spreadsheetml/2009/9/main" objectType="Button" lockText="1"/>
</file>

<file path=xl/ctrlProps/ctrlProp1426.xml><?xml version="1.0" encoding="utf-8"?>
<formControlPr xmlns="http://schemas.microsoft.com/office/spreadsheetml/2009/9/main" objectType="Button" lockText="1"/>
</file>

<file path=xl/ctrlProps/ctrlProp1427.xml><?xml version="1.0" encoding="utf-8"?>
<formControlPr xmlns="http://schemas.microsoft.com/office/spreadsheetml/2009/9/main" objectType="Button" lockText="1"/>
</file>

<file path=xl/ctrlProps/ctrlProp1428.xml><?xml version="1.0" encoding="utf-8"?>
<formControlPr xmlns="http://schemas.microsoft.com/office/spreadsheetml/2009/9/main" objectType="Button" lockText="1"/>
</file>

<file path=xl/ctrlProps/ctrlProp1429.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30.xml><?xml version="1.0" encoding="utf-8"?>
<formControlPr xmlns="http://schemas.microsoft.com/office/spreadsheetml/2009/9/main" objectType="Button" lockText="1"/>
</file>

<file path=xl/ctrlProps/ctrlProp1431.xml><?xml version="1.0" encoding="utf-8"?>
<formControlPr xmlns="http://schemas.microsoft.com/office/spreadsheetml/2009/9/main" objectType="Button" lockText="1"/>
</file>

<file path=xl/ctrlProps/ctrlProp1432.xml><?xml version="1.0" encoding="utf-8"?>
<formControlPr xmlns="http://schemas.microsoft.com/office/spreadsheetml/2009/9/main" objectType="Button" lockText="1"/>
</file>

<file path=xl/ctrlProps/ctrlProp1433.xml><?xml version="1.0" encoding="utf-8"?>
<formControlPr xmlns="http://schemas.microsoft.com/office/spreadsheetml/2009/9/main" objectType="Button" lockText="1"/>
</file>

<file path=xl/ctrlProps/ctrlProp1434.xml><?xml version="1.0" encoding="utf-8"?>
<formControlPr xmlns="http://schemas.microsoft.com/office/spreadsheetml/2009/9/main" objectType="Button" lockText="1"/>
</file>

<file path=xl/ctrlProps/ctrlProp1435.xml><?xml version="1.0" encoding="utf-8"?>
<formControlPr xmlns="http://schemas.microsoft.com/office/spreadsheetml/2009/9/main" objectType="Button" lockText="1"/>
</file>

<file path=xl/ctrlProps/ctrlProp1436.xml><?xml version="1.0" encoding="utf-8"?>
<formControlPr xmlns="http://schemas.microsoft.com/office/spreadsheetml/2009/9/main" objectType="Button" lockText="1"/>
</file>

<file path=xl/ctrlProps/ctrlProp1437.xml><?xml version="1.0" encoding="utf-8"?>
<formControlPr xmlns="http://schemas.microsoft.com/office/spreadsheetml/2009/9/main" objectType="Button" lockText="1"/>
</file>

<file path=xl/ctrlProps/ctrlProp1438.xml><?xml version="1.0" encoding="utf-8"?>
<formControlPr xmlns="http://schemas.microsoft.com/office/spreadsheetml/2009/9/main" objectType="Button" lockText="1"/>
</file>

<file path=xl/ctrlProps/ctrlProp1439.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40.xml><?xml version="1.0" encoding="utf-8"?>
<formControlPr xmlns="http://schemas.microsoft.com/office/spreadsheetml/2009/9/main" objectType="Button" lockText="1"/>
</file>

<file path=xl/ctrlProps/ctrlProp1441.xml><?xml version="1.0" encoding="utf-8"?>
<formControlPr xmlns="http://schemas.microsoft.com/office/spreadsheetml/2009/9/main" objectType="Button" lockText="1"/>
</file>

<file path=xl/ctrlProps/ctrlProp1442.xml><?xml version="1.0" encoding="utf-8"?>
<formControlPr xmlns="http://schemas.microsoft.com/office/spreadsheetml/2009/9/main" objectType="Button" lockText="1"/>
</file>

<file path=xl/ctrlProps/ctrlProp1443.xml><?xml version="1.0" encoding="utf-8"?>
<formControlPr xmlns="http://schemas.microsoft.com/office/spreadsheetml/2009/9/main" objectType="Button" lockText="1"/>
</file>

<file path=xl/ctrlProps/ctrlProp1444.xml><?xml version="1.0" encoding="utf-8"?>
<formControlPr xmlns="http://schemas.microsoft.com/office/spreadsheetml/2009/9/main" objectType="Button" lockText="1"/>
</file>

<file path=xl/ctrlProps/ctrlProp1445.xml><?xml version="1.0" encoding="utf-8"?>
<formControlPr xmlns="http://schemas.microsoft.com/office/spreadsheetml/2009/9/main" objectType="Button" lockText="1"/>
</file>

<file path=xl/ctrlProps/ctrlProp1446.xml><?xml version="1.0" encoding="utf-8"?>
<formControlPr xmlns="http://schemas.microsoft.com/office/spreadsheetml/2009/9/main" objectType="Button" lockText="1"/>
</file>

<file path=xl/ctrlProps/ctrlProp1447.xml><?xml version="1.0" encoding="utf-8"?>
<formControlPr xmlns="http://schemas.microsoft.com/office/spreadsheetml/2009/9/main" objectType="Button" lockText="1"/>
</file>

<file path=xl/ctrlProps/ctrlProp1448.xml><?xml version="1.0" encoding="utf-8"?>
<formControlPr xmlns="http://schemas.microsoft.com/office/spreadsheetml/2009/9/main" objectType="Button" lockText="1"/>
</file>

<file path=xl/ctrlProps/ctrlProp1449.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50.xml><?xml version="1.0" encoding="utf-8"?>
<formControlPr xmlns="http://schemas.microsoft.com/office/spreadsheetml/2009/9/main" objectType="Button" lockText="1"/>
</file>

<file path=xl/ctrlProps/ctrlProp1451.xml><?xml version="1.0" encoding="utf-8"?>
<formControlPr xmlns="http://schemas.microsoft.com/office/spreadsheetml/2009/9/main" objectType="Button" lockText="1"/>
</file>

<file path=xl/ctrlProps/ctrlProp1452.xml><?xml version="1.0" encoding="utf-8"?>
<formControlPr xmlns="http://schemas.microsoft.com/office/spreadsheetml/2009/9/main" objectType="Button" lockText="1"/>
</file>

<file path=xl/ctrlProps/ctrlProp1453.xml><?xml version="1.0" encoding="utf-8"?>
<formControlPr xmlns="http://schemas.microsoft.com/office/spreadsheetml/2009/9/main" objectType="Button" lockText="1"/>
</file>

<file path=xl/ctrlProps/ctrlProp1454.xml><?xml version="1.0" encoding="utf-8"?>
<formControlPr xmlns="http://schemas.microsoft.com/office/spreadsheetml/2009/9/main" objectType="Button" lockText="1"/>
</file>

<file path=xl/ctrlProps/ctrlProp1455.xml><?xml version="1.0" encoding="utf-8"?>
<formControlPr xmlns="http://schemas.microsoft.com/office/spreadsheetml/2009/9/main" objectType="Button" lockText="1"/>
</file>

<file path=xl/ctrlProps/ctrlProp1456.xml><?xml version="1.0" encoding="utf-8"?>
<formControlPr xmlns="http://schemas.microsoft.com/office/spreadsheetml/2009/9/main" objectType="Button" lockText="1"/>
</file>

<file path=xl/ctrlProps/ctrlProp1457.xml><?xml version="1.0" encoding="utf-8"?>
<formControlPr xmlns="http://schemas.microsoft.com/office/spreadsheetml/2009/9/main" objectType="Button" lockText="1"/>
</file>

<file path=xl/ctrlProps/ctrlProp1458.xml><?xml version="1.0" encoding="utf-8"?>
<formControlPr xmlns="http://schemas.microsoft.com/office/spreadsheetml/2009/9/main" objectType="Button" lockText="1"/>
</file>

<file path=xl/ctrlProps/ctrlProp1459.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60.xml><?xml version="1.0" encoding="utf-8"?>
<formControlPr xmlns="http://schemas.microsoft.com/office/spreadsheetml/2009/9/main" objectType="Button" lockText="1"/>
</file>

<file path=xl/ctrlProps/ctrlProp1461.xml><?xml version="1.0" encoding="utf-8"?>
<formControlPr xmlns="http://schemas.microsoft.com/office/spreadsheetml/2009/9/main" objectType="Button" lockText="1"/>
</file>

<file path=xl/ctrlProps/ctrlProp1462.xml><?xml version="1.0" encoding="utf-8"?>
<formControlPr xmlns="http://schemas.microsoft.com/office/spreadsheetml/2009/9/main" objectType="Button" lockText="1"/>
</file>

<file path=xl/ctrlProps/ctrlProp1463.xml><?xml version="1.0" encoding="utf-8"?>
<formControlPr xmlns="http://schemas.microsoft.com/office/spreadsheetml/2009/9/main" objectType="Button" lockText="1"/>
</file>

<file path=xl/ctrlProps/ctrlProp1464.xml><?xml version="1.0" encoding="utf-8"?>
<formControlPr xmlns="http://schemas.microsoft.com/office/spreadsheetml/2009/9/main" objectType="Button" lockText="1"/>
</file>

<file path=xl/ctrlProps/ctrlProp1465.xml><?xml version="1.0" encoding="utf-8"?>
<formControlPr xmlns="http://schemas.microsoft.com/office/spreadsheetml/2009/9/main" objectType="Button" lockText="1"/>
</file>

<file path=xl/ctrlProps/ctrlProp1466.xml><?xml version="1.0" encoding="utf-8"?>
<formControlPr xmlns="http://schemas.microsoft.com/office/spreadsheetml/2009/9/main" objectType="Button" lockText="1"/>
</file>

<file path=xl/ctrlProps/ctrlProp1467.xml><?xml version="1.0" encoding="utf-8"?>
<formControlPr xmlns="http://schemas.microsoft.com/office/spreadsheetml/2009/9/main" objectType="Button" lockText="1"/>
</file>

<file path=xl/ctrlProps/ctrlProp1468.xml><?xml version="1.0" encoding="utf-8"?>
<formControlPr xmlns="http://schemas.microsoft.com/office/spreadsheetml/2009/9/main" objectType="Button" lockText="1"/>
</file>

<file path=xl/ctrlProps/ctrlProp1469.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70.xml><?xml version="1.0" encoding="utf-8"?>
<formControlPr xmlns="http://schemas.microsoft.com/office/spreadsheetml/2009/9/main" objectType="Button" lockText="1"/>
</file>

<file path=xl/ctrlProps/ctrlProp1471.xml><?xml version="1.0" encoding="utf-8"?>
<formControlPr xmlns="http://schemas.microsoft.com/office/spreadsheetml/2009/9/main" objectType="Button" lockText="1"/>
</file>

<file path=xl/ctrlProps/ctrlProp1472.xml><?xml version="1.0" encoding="utf-8"?>
<formControlPr xmlns="http://schemas.microsoft.com/office/spreadsheetml/2009/9/main" objectType="Button" lockText="1"/>
</file>

<file path=xl/ctrlProps/ctrlProp1473.xml><?xml version="1.0" encoding="utf-8"?>
<formControlPr xmlns="http://schemas.microsoft.com/office/spreadsheetml/2009/9/main" objectType="Button" lockText="1"/>
</file>

<file path=xl/ctrlProps/ctrlProp1474.xml><?xml version="1.0" encoding="utf-8"?>
<formControlPr xmlns="http://schemas.microsoft.com/office/spreadsheetml/2009/9/main" objectType="Button" lockText="1"/>
</file>

<file path=xl/ctrlProps/ctrlProp1475.xml><?xml version="1.0" encoding="utf-8"?>
<formControlPr xmlns="http://schemas.microsoft.com/office/spreadsheetml/2009/9/main" objectType="Button" lockText="1"/>
</file>

<file path=xl/ctrlProps/ctrlProp1476.xml><?xml version="1.0" encoding="utf-8"?>
<formControlPr xmlns="http://schemas.microsoft.com/office/spreadsheetml/2009/9/main" objectType="Button" lockText="1"/>
</file>

<file path=xl/ctrlProps/ctrlProp1477.xml><?xml version="1.0" encoding="utf-8"?>
<formControlPr xmlns="http://schemas.microsoft.com/office/spreadsheetml/2009/9/main" objectType="Button" lockText="1"/>
</file>

<file path=xl/ctrlProps/ctrlProp1478.xml><?xml version="1.0" encoding="utf-8"?>
<formControlPr xmlns="http://schemas.microsoft.com/office/spreadsheetml/2009/9/main" objectType="Button" lockText="1"/>
</file>

<file path=xl/ctrlProps/ctrlProp1479.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80.xml><?xml version="1.0" encoding="utf-8"?>
<formControlPr xmlns="http://schemas.microsoft.com/office/spreadsheetml/2009/9/main" objectType="Button" lockText="1"/>
</file>

<file path=xl/ctrlProps/ctrlProp1481.xml><?xml version="1.0" encoding="utf-8"?>
<formControlPr xmlns="http://schemas.microsoft.com/office/spreadsheetml/2009/9/main" objectType="Button" lockText="1"/>
</file>

<file path=xl/ctrlProps/ctrlProp1482.xml><?xml version="1.0" encoding="utf-8"?>
<formControlPr xmlns="http://schemas.microsoft.com/office/spreadsheetml/2009/9/main" objectType="Button" lockText="1"/>
</file>

<file path=xl/ctrlProps/ctrlProp1483.xml><?xml version="1.0" encoding="utf-8"?>
<formControlPr xmlns="http://schemas.microsoft.com/office/spreadsheetml/2009/9/main" objectType="Button" lockText="1"/>
</file>

<file path=xl/ctrlProps/ctrlProp1484.xml><?xml version="1.0" encoding="utf-8"?>
<formControlPr xmlns="http://schemas.microsoft.com/office/spreadsheetml/2009/9/main" objectType="Button" lockText="1"/>
</file>

<file path=xl/ctrlProps/ctrlProp1485.xml><?xml version="1.0" encoding="utf-8"?>
<formControlPr xmlns="http://schemas.microsoft.com/office/spreadsheetml/2009/9/main" objectType="Button" lockText="1"/>
</file>

<file path=xl/ctrlProps/ctrlProp1486.xml><?xml version="1.0" encoding="utf-8"?>
<formControlPr xmlns="http://schemas.microsoft.com/office/spreadsheetml/2009/9/main" objectType="Button" lockText="1"/>
</file>

<file path=xl/ctrlProps/ctrlProp1487.xml><?xml version="1.0" encoding="utf-8"?>
<formControlPr xmlns="http://schemas.microsoft.com/office/spreadsheetml/2009/9/main" objectType="Button" lockText="1"/>
</file>

<file path=xl/ctrlProps/ctrlProp1488.xml><?xml version="1.0" encoding="utf-8"?>
<formControlPr xmlns="http://schemas.microsoft.com/office/spreadsheetml/2009/9/main" objectType="Button" lockText="1"/>
</file>

<file path=xl/ctrlProps/ctrlProp1489.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490.xml><?xml version="1.0" encoding="utf-8"?>
<formControlPr xmlns="http://schemas.microsoft.com/office/spreadsheetml/2009/9/main" objectType="Button" lockText="1"/>
</file>

<file path=xl/ctrlProps/ctrlProp1491.xml><?xml version="1.0" encoding="utf-8"?>
<formControlPr xmlns="http://schemas.microsoft.com/office/spreadsheetml/2009/9/main" objectType="Button" lockText="1"/>
</file>

<file path=xl/ctrlProps/ctrlProp1492.xml><?xml version="1.0" encoding="utf-8"?>
<formControlPr xmlns="http://schemas.microsoft.com/office/spreadsheetml/2009/9/main" objectType="Button" lockText="1"/>
</file>

<file path=xl/ctrlProps/ctrlProp1493.xml><?xml version="1.0" encoding="utf-8"?>
<formControlPr xmlns="http://schemas.microsoft.com/office/spreadsheetml/2009/9/main" objectType="Button" lockText="1"/>
</file>

<file path=xl/ctrlProps/ctrlProp1494.xml><?xml version="1.0" encoding="utf-8"?>
<formControlPr xmlns="http://schemas.microsoft.com/office/spreadsheetml/2009/9/main" objectType="Button" lockText="1"/>
</file>

<file path=xl/ctrlProps/ctrlProp1495.xml><?xml version="1.0" encoding="utf-8"?>
<formControlPr xmlns="http://schemas.microsoft.com/office/spreadsheetml/2009/9/main" objectType="Button" lockText="1"/>
</file>

<file path=xl/ctrlProps/ctrlProp1496.xml><?xml version="1.0" encoding="utf-8"?>
<formControlPr xmlns="http://schemas.microsoft.com/office/spreadsheetml/2009/9/main" objectType="Button" lockText="1"/>
</file>

<file path=xl/ctrlProps/ctrlProp1497.xml><?xml version="1.0" encoding="utf-8"?>
<formControlPr xmlns="http://schemas.microsoft.com/office/spreadsheetml/2009/9/main" objectType="Button" lockText="1"/>
</file>

<file path=xl/ctrlProps/ctrlProp1498.xml><?xml version="1.0" encoding="utf-8"?>
<formControlPr xmlns="http://schemas.microsoft.com/office/spreadsheetml/2009/9/main" objectType="Button" lockText="1"/>
</file>

<file path=xl/ctrlProps/ctrlProp149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00.xml><?xml version="1.0" encoding="utf-8"?>
<formControlPr xmlns="http://schemas.microsoft.com/office/spreadsheetml/2009/9/main" objectType="Button" lockText="1"/>
</file>

<file path=xl/ctrlProps/ctrlProp1501.xml><?xml version="1.0" encoding="utf-8"?>
<formControlPr xmlns="http://schemas.microsoft.com/office/spreadsheetml/2009/9/main" objectType="Button" lockText="1"/>
</file>

<file path=xl/ctrlProps/ctrlProp1502.xml><?xml version="1.0" encoding="utf-8"?>
<formControlPr xmlns="http://schemas.microsoft.com/office/spreadsheetml/2009/9/main" objectType="Button" lockText="1"/>
</file>

<file path=xl/ctrlProps/ctrlProp1503.xml><?xml version="1.0" encoding="utf-8"?>
<formControlPr xmlns="http://schemas.microsoft.com/office/spreadsheetml/2009/9/main" objectType="Button" lockText="1"/>
</file>

<file path=xl/ctrlProps/ctrlProp1504.xml><?xml version="1.0" encoding="utf-8"?>
<formControlPr xmlns="http://schemas.microsoft.com/office/spreadsheetml/2009/9/main" objectType="Button" lockText="1"/>
</file>

<file path=xl/ctrlProps/ctrlProp1505.xml><?xml version="1.0" encoding="utf-8"?>
<formControlPr xmlns="http://schemas.microsoft.com/office/spreadsheetml/2009/9/main" objectType="Button" lockText="1"/>
</file>

<file path=xl/ctrlProps/ctrlProp1506.xml><?xml version="1.0" encoding="utf-8"?>
<formControlPr xmlns="http://schemas.microsoft.com/office/spreadsheetml/2009/9/main" objectType="Button" lockText="1"/>
</file>

<file path=xl/ctrlProps/ctrlProp1507.xml><?xml version="1.0" encoding="utf-8"?>
<formControlPr xmlns="http://schemas.microsoft.com/office/spreadsheetml/2009/9/main" objectType="Button" lockText="1"/>
</file>

<file path=xl/ctrlProps/ctrlProp1508.xml><?xml version="1.0" encoding="utf-8"?>
<formControlPr xmlns="http://schemas.microsoft.com/office/spreadsheetml/2009/9/main" objectType="Button" lockText="1"/>
</file>

<file path=xl/ctrlProps/ctrlProp1509.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10.xml><?xml version="1.0" encoding="utf-8"?>
<formControlPr xmlns="http://schemas.microsoft.com/office/spreadsheetml/2009/9/main" objectType="Button" lockText="1"/>
</file>

<file path=xl/ctrlProps/ctrlProp1511.xml><?xml version="1.0" encoding="utf-8"?>
<formControlPr xmlns="http://schemas.microsoft.com/office/spreadsheetml/2009/9/main" objectType="Button" lockText="1"/>
</file>

<file path=xl/ctrlProps/ctrlProp1512.xml><?xml version="1.0" encoding="utf-8"?>
<formControlPr xmlns="http://schemas.microsoft.com/office/spreadsheetml/2009/9/main" objectType="Button" lockText="1"/>
</file>

<file path=xl/ctrlProps/ctrlProp1513.xml><?xml version="1.0" encoding="utf-8"?>
<formControlPr xmlns="http://schemas.microsoft.com/office/spreadsheetml/2009/9/main" objectType="Button" lockText="1"/>
</file>

<file path=xl/ctrlProps/ctrlProp1514.xml><?xml version="1.0" encoding="utf-8"?>
<formControlPr xmlns="http://schemas.microsoft.com/office/spreadsheetml/2009/9/main" objectType="Button" lockText="1"/>
</file>

<file path=xl/ctrlProps/ctrlProp1515.xml><?xml version="1.0" encoding="utf-8"?>
<formControlPr xmlns="http://schemas.microsoft.com/office/spreadsheetml/2009/9/main" objectType="Button" lockText="1"/>
</file>

<file path=xl/ctrlProps/ctrlProp1516.xml><?xml version="1.0" encoding="utf-8"?>
<formControlPr xmlns="http://schemas.microsoft.com/office/spreadsheetml/2009/9/main" objectType="Button" lockText="1"/>
</file>

<file path=xl/ctrlProps/ctrlProp1517.xml><?xml version="1.0" encoding="utf-8"?>
<formControlPr xmlns="http://schemas.microsoft.com/office/spreadsheetml/2009/9/main" objectType="Button" lockText="1"/>
</file>

<file path=xl/ctrlProps/ctrlProp1518.xml><?xml version="1.0" encoding="utf-8"?>
<formControlPr xmlns="http://schemas.microsoft.com/office/spreadsheetml/2009/9/main" objectType="Button" lockText="1"/>
</file>

<file path=xl/ctrlProps/ctrlProp1519.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20.xml><?xml version="1.0" encoding="utf-8"?>
<formControlPr xmlns="http://schemas.microsoft.com/office/spreadsheetml/2009/9/main" objectType="Button" lockText="1"/>
</file>

<file path=xl/ctrlProps/ctrlProp1521.xml><?xml version="1.0" encoding="utf-8"?>
<formControlPr xmlns="http://schemas.microsoft.com/office/spreadsheetml/2009/9/main" objectType="Button" lockText="1"/>
</file>

<file path=xl/ctrlProps/ctrlProp1522.xml><?xml version="1.0" encoding="utf-8"?>
<formControlPr xmlns="http://schemas.microsoft.com/office/spreadsheetml/2009/9/main" objectType="Button" lockText="1"/>
</file>

<file path=xl/ctrlProps/ctrlProp1523.xml><?xml version="1.0" encoding="utf-8"?>
<formControlPr xmlns="http://schemas.microsoft.com/office/spreadsheetml/2009/9/main" objectType="Button" lockText="1"/>
</file>

<file path=xl/ctrlProps/ctrlProp1524.xml><?xml version="1.0" encoding="utf-8"?>
<formControlPr xmlns="http://schemas.microsoft.com/office/spreadsheetml/2009/9/main" objectType="Button" lockText="1"/>
</file>

<file path=xl/ctrlProps/ctrlProp1525.xml><?xml version="1.0" encoding="utf-8"?>
<formControlPr xmlns="http://schemas.microsoft.com/office/spreadsheetml/2009/9/main" objectType="Button" lockText="1"/>
</file>

<file path=xl/ctrlProps/ctrlProp1526.xml><?xml version="1.0" encoding="utf-8"?>
<formControlPr xmlns="http://schemas.microsoft.com/office/spreadsheetml/2009/9/main" objectType="Button" lockText="1"/>
</file>

<file path=xl/ctrlProps/ctrlProp1527.xml><?xml version="1.0" encoding="utf-8"?>
<formControlPr xmlns="http://schemas.microsoft.com/office/spreadsheetml/2009/9/main" objectType="Button" lockText="1"/>
</file>

<file path=xl/ctrlProps/ctrlProp1528.xml><?xml version="1.0" encoding="utf-8"?>
<formControlPr xmlns="http://schemas.microsoft.com/office/spreadsheetml/2009/9/main" objectType="Button" lockText="1"/>
</file>

<file path=xl/ctrlProps/ctrlProp1529.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30.xml><?xml version="1.0" encoding="utf-8"?>
<formControlPr xmlns="http://schemas.microsoft.com/office/spreadsheetml/2009/9/main" objectType="Button" lockText="1"/>
</file>

<file path=xl/ctrlProps/ctrlProp1531.xml><?xml version="1.0" encoding="utf-8"?>
<formControlPr xmlns="http://schemas.microsoft.com/office/spreadsheetml/2009/9/main" objectType="Button" lockText="1"/>
</file>

<file path=xl/ctrlProps/ctrlProp1532.xml><?xml version="1.0" encoding="utf-8"?>
<formControlPr xmlns="http://schemas.microsoft.com/office/spreadsheetml/2009/9/main" objectType="Button" lockText="1"/>
</file>

<file path=xl/ctrlProps/ctrlProp1533.xml><?xml version="1.0" encoding="utf-8"?>
<formControlPr xmlns="http://schemas.microsoft.com/office/spreadsheetml/2009/9/main" objectType="Button" lockText="1"/>
</file>

<file path=xl/ctrlProps/ctrlProp1534.xml><?xml version="1.0" encoding="utf-8"?>
<formControlPr xmlns="http://schemas.microsoft.com/office/spreadsheetml/2009/9/main" objectType="Button" lockText="1"/>
</file>

<file path=xl/ctrlProps/ctrlProp1535.xml><?xml version="1.0" encoding="utf-8"?>
<formControlPr xmlns="http://schemas.microsoft.com/office/spreadsheetml/2009/9/main" objectType="Button" lockText="1"/>
</file>

<file path=xl/ctrlProps/ctrlProp1536.xml><?xml version="1.0" encoding="utf-8"?>
<formControlPr xmlns="http://schemas.microsoft.com/office/spreadsheetml/2009/9/main" objectType="Button" lockText="1"/>
</file>

<file path=xl/ctrlProps/ctrlProp1537.xml><?xml version="1.0" encoding="utf-8"?>
<formControlPr xmlns="http://schemas.microsoft.com/office/spreadsheetml/2009/9/main" objectType="Button" lockText="1"/>
</file>

<file path=xl/ctrlProps/ctrlProp1538.xml><?xml version="1.0" encoding="utf-8"?>
<formControlPr xmlns="http://schemas.microsoft.com/office/spreadsheetml/2009/9/main" objectType="Button" lockText="1"/>
</file>

<file path=xl/ctrlProps/ctrlProp1539.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40.xml><?xml version="1.0" encoding="utf-8"?>
<formControlPr xmlns="http://schemas.microsoft.com/office/spreadsheetml/2009/9/main" objectType="Button" lockText="1"/>
</file>

<file path=xl/ctrlProps/ctrlProp1541.xml><?xml version="1.0" encoding="utf-8"?>
<formControlPr xmlns="http://schemas.microsoft.com/office/spreadsheetml/2009/9/main" objectType="Button" lockText="1"/>
</file>

<file path=xl/ctrlProps/ctrlProp1542.xml><?xml version="1.0" encoding="utf-8"?>
<formControlPr xmlns="http://schemas.microsoft.com/office/spreadsheetml/2009/9/main" objectType="Button" lockText="1"/>
</file>

<file path=xl/ctrlProps/ctrlProp1543.xml><?xml version="1.0" encoding="utf-8"?>
<formControlPr xmlns="http://schemas.microsoft.com/office/spreadsheetml/2009/9/main" objectType="Button" lockText="1"/>
</file>

<file path=xl/ctrlProps/ctrlProp1544.xml><?xml version="1.0" encoding="utf-8"?>
<formControlPr xmlns="http://schemas.microsoft.com/office/spreadsheetml/2009/9/main" objectType="Button" lockText="1"/>
</file>

<file path=xl/ctrlProps/ctrlProp1545.xml><?xml version="1.0" encoding="utf-8"?>
<formControlPr xmlns="http://schemas.microsoft.com/office/spreadsheetml/2009/9/main" objectType="Button" lockText="1"/>
</file>

<file path=xl/ctrlProps/ctrlProp1546.xml><?xml version="1.0" encoding="utf-8"?>
<formControlPr xmlns="http://schemas.microsoft.com/office/spreadsheetml/2009/9/main" objectType="Button" lockText="1"/>
</file>

<file path=xl/ctrlProps/ctrlProp1547.xml><?xml version="1.0" encoding="utf-8"?>
<formControlPr xmlns="http://schemas.microsoft.com/office/spreadsheetml/2009/9/main" objectType="Button" lockText="1"/>
</file>

<file path=xl/ctrlProps/ctrlProp1548.xml><?xml version="1.0" encoding="utf-8"?>
<formControlPr xmlns="http://schemas.microsoft.com/office/spreadsheetml/2009/9/main" objectType="Button" lockText="1"/>
</file>

<file path=xl/ctrlProps/ctrlProp1549.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50.xml><?xml version="1.0" encoding="utf-8"?>
<formControlPr xmlns="http://schemas.microsoft.com/office/spreadsheetml/2009/9/main" objectType="Button" lockText="1"/>
</file>

<file path=xl/ctrlProps/ctrlProp1551.xml><?xml version="1.0" encoding="utf-8"?>
<formControlPr xmlns="http://schemas.microsoft.com/office/spreadsheetml/2009/9/main" objectType="Button" lockText="1"/>
</file>

<file path=xl/ctrlProps/ctrlProp1552.xml><?xml version="1.0" encoding="utf-8"?>
<formControlPr xmlns="http://schemas.microsoft.com/office/spreadsheetml/2009/9/main" objectType="Button" lockText="1"/>
</file>

<file path=xl/ctrlProps/ctrlProp1553.xml><?xml version="1.0" encoding="utf-8"?>
<formControlPr xmlns="http://schemas.microsoft.com/office/spreadsheetml/2009/9/main" objectType="Button" lockText="1"/>
</file>

<file path=xl/ctrlProps/ctrlProp1554.xml><?xml version="1.0" encoding="utf-8"?>
<formControlPr xmlns="http://schemas.microsoft.com/office/spreadsheetml/2009/9/main" objectType="Button" lockText="1"/>
</file>

<file path=xl/ctrlProps/ctrlProp1555.xml><?xml version="1.0" encoding="utf-8"?>
<formControlPr xmlns="http://schemas.microsoft.com/office/spreadsheetml/2009/9/main" objectType="Button" lockText="1"/>
</file>

<file path=xl/ctrlProps/ctrlProp1556.xml><?xml version="1.0" encoding="utf-8"?>
<formControlPr xmlns="http://schemas.microsoft.com/office/spreadsheetml/2009/9/main" objectType="Button" lockText="1"/>
</file>

<file path=xl/ctrlProps/ctrlProp1557.xml><?xml version="1.0" encoding="utf-8"?>
<formControlPr xmlns="http://schemas.microsoft.com/office/spreadsheetml/2009/9/main" objectType="Button" lockText="1"/>
</file>

<file path=xl/ctrlProps/ctrlProp1558.xml><?xml version="1.0" encoding="utf-8"?>
<formControlPr xmlns="http://schemas.microsoft.com/office/spreadsheetml/2009/9/main" objectType="Button" lockText="1"/>
</file>

<file path=xl/ctrlProps/ctrlProp1559.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60.xml><?xml version="1.0" encoding="utf-8"?>
<formControlPr xmlns="http://schemas.microsoft.com/office/spreadsheetml/2009/9/main" objectType="Button" lockText="1"/>
</file>

<file path=xl/ctrlProps/ctrlProp1561.xml><?xml version="1.0" encoding="utf-8"?>
<formControlPr xmlns="http://schemas.microsoft.com/office/spreadsheetml/2009/9/main" objectType="Button" lockText="1"/>
</file>

<file path=xl/ctrlProps/ctrlProp1562.xml><?xml version="1.0" encoding="utf-8"?>
<formControlPr xmlns="http://schemas.microsoft.com/office/spreadsheetml/2009/9/main" objectType="Button" lockText="1"/>
</file>

<file path=xl/ctrlProps/ctrlProp1563.xml><?xml version="1.0" encoding="utf-8"?>
<formControlPr xmlns="http://schemas.microsoft.com/office/spreadsheetml/2009/9/main" objectType="Button" lockText="1"/>
</file>

<file path=xl/ctrlProps/ctrlProp1564.xml><?xml version="1.0" encoding="utf-8"?>
<formControlPr xmlns="http://schemas.microsoft.com/office/spreadsheetml/2009/9/main" objectType="Button" lockText="1"/>
</file>

<file path=xl/ctrlProps/ctrlProp1565.xml><?xml version="1.0" encoding="utf-8"?>
<formControlPr xmlns="http://schemas.microsoft.com/office/spreadsheetml/2009/9/main" objectType="Button" lockText="1"/>
</file>

<file path=xl/ctrlProps/ctrlProp1566.xml><?xml version="1.0" encoding="utf-8"?>
<formControlPr xmlns="http://schemas.microsoft.com/office/spreadsheetml/2009/9/main" objectType="Button" lockText="1"/>
</file>

<file path=xl/ctrlProps/ctrlProp1567.xml><?xml version="1.0" encoding="utf-8"?>
<formControlPr xmlns="http://schemas.microsoft.com/office/spreadsheetml/2009/9/main" objectType="Button" lockText="1"/>
</file>

<file path=xl/ctrlProps/ctrlProp1568.xml><?xml version="1.0" encoding="utf-8"?>
<formControlPr xmlns="http://schemas.microsoft.com/office/spreadsheetml/2009/9/main" objectType="Button" lockText="1"/>
</file>

<file path=xl/ctrlProps/ctrlProp1569.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70.xml><?xml version="1.0" encoding="utf-8"?>
<formControlPr xmlns="http://schemas.microsoft.com/office/spreadsheetml/2009/9/main" objectType="Button" lockText="1"/>
</file>

<file path=xl/ctrlProps/ctrlProp1571.xml><?xml version="1.0" encoding="utf-8"?>
<formControlPr xmlns="http://schemas.microsoft.com/office/spreadsheetml/2009/9/main" objectType="Button" lockText="1"/>
</file>

<file path=xl/ctrlProps/ctrlProp1572.xml><?xml version="1.0" encoding="utf-8"?>
<formControlPr xmlns="http://schemas.microsoft.com/office/spreadsheetml/2009/9/main" objectType="Button" lockText="1"/>
</file>

<file path=xl/ctrlProps/ctrlProp1573.xml><?xml version="1.0" encoding="utf-8"?>
<formControlPr xmlns="http://schemas.microsoft.com/office/spreadsheetml/2009/9/main" objectType="Button" lockText="1"/>
</file>

<file path=xl/ctrlProps/ctrlProp1574.xml><?xml version="1.0" encoding="utf-8"?>
<formControlPr xmlns="http://schemas.microsoft.com/office/spreadsheetml/2009/9/main" objectType="Button" lockText="1"/>
</file>

<file path=xl/ctrlProps/ctrlProp1575.xml><?xml version="1.0" encoding="utf-8"?>
<formControlPr xmlns="http://schemas.microsoft.com/office/spreadsheetml/2009/9/main" objectType="Button" lockText="1"/>
</file>

<file path=xl/ctrlProps/ctrlProp1576.xml><?xml version="1.0" encoding="utf-8"?>
<formControlPr xmlns="http://schemas.microsoft.com/office/spreadsheetml/2009/9/main" objectType="Button" lockText="1"/>
</file>

<file path=xl/ctrlProps/ctrlProp1577.xml><?xml version="1.0" encoding="utf-8"?>
<formControlPr xmlns="http://schemas.microsoft.com/office/spreadsheetml/2009/9/main" objectType="Button" lockText="1"/>
</file>

<file path=xl/ctrlProps/ctrlProp1578.xml><?xml version="1.0" encoding="utf-8"?>
<formControlPr xmlns="http://schemas.microsoft.com/office/spreadsheetml/2009/9/main" objectType="Button" lockText="1"/>
</file>

<file path=xl/ctrlProps/ctrlProp1579.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80.xml><?xml version="1.0" encoding="utf-8"?>
<formControlPr xmlns="http://schemas.microsoft.com/office/spreadsheetml/2009/9/main" objectType="Button" lockText="1"/>
</file>

<file path=xl/ctrlProps/ctrlProp1581.xml><?xml version="1.0" encoding="utf-8"?>
<formControlPr xmlns="http://schemas.microsoft.com/office/spreadsheetml/2009/9/main" objectType="Button" lockText="1"/>
</file>

<file path=xl/ctrlProps/ctrlProp1582.xml><?xml version="1.0" encoding="utf-8"?>
<formControlPr xmlns="http://schemas.microsoft.com/office/spreadsheetml/2009/9/main" objectType="Button" lockText="1"/>
</file>

<file path=xl/ctrlProps/ctrlProp1583.xml><?xml version="1.0" encoding="utf-8"?>
<formControlPr xmlns="http://schemas.microsoft.com/office/spreadsheetml/2009/9/main" objectType="Button" lockText="1"/>
</file>

<file path=xl/ctrlProps/ctrlProp1584.xml><?xml version="1.0" encoding="utf-8"?>
<formControlPr xmlns="http://schemas.microsoft.com/office/spreadsheetml/2009/9/main" objectType="Button" lockText="1"/>
</file>

<file path=xl/ctrlProps/ctrlProp1585.xml><?xml version="1.0" encoding="utf-8"?>
<formControlPr xmlns="http://schemas.microsoft.com/office/spreadsheetml/2009/9/main" objectType="Button" lockText="1"/>
</file>

<file path=xl/ctrlProps/ctrlProp1586.xml><?xml version="1.0" encoding="utf-8"?>
<formControlPr xmlns="http://schemas.microsoft.com/office/spreadsheetml/2009/9/main" objectType="Button" lockText="1"/>
</file>

<file path=xl/ctrlProps/ctrlProp1587.xml><?xml version="1.0" encoding="utf-8"?>
<formControlPr xmlns="http://schemas.microsoft.com/office/spreadsheetml/2009/9/main" objectType="Button" lockText="1"/>
</file>

<file path=xl/ctrlProps/ctrlProp1588.xml><?xml version="1.0" encoding="utf-8"?>
<formControlPr xmlns="http://schemas.microsoft.com/office/spreadsheetml/2009/9/main" objectType="Button" lockText="1"/>
</file>

<file path=xl/ctrlProps/ctrlProp1589.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590.xml><?xml version="1.0" encoding="utf-8"?>
<formControlPr xmlns="http://schemas.microsoft.com/office/spreadsheetml/2009/9/main" objectType="Button" lockText="1"/>
</file>

<file path=xl/ctrlProps/ctrlProp1591.xml><?xml version="1.0" encoding="utf-8"?>
<formControlPr xmlns="http://schemas.microsoft.com/office/spreadsheetml/2009/9/main" objectType="Button" lockText="1"/>
</file>

<file path=xl/ctrlProps/ctrlProp1592.xml><?xml version="1.0" encoding="utf-8"?>
<formControlPr xmlns="http://schemas.microsoft.com/office/spreadsheetml/2009/9/main" objectType="Button" lockText="1"/>
</file>

<file path=xl/ctrlProps/ctrlProp1593.xml><?xml version="1.0" encoding="utf-8"?>
<formControlPr xmlns="http://schemas.microsoft.com/office/spreadsheetml/2009/9/main" objectType="Button" lockText="1"/>
</file>

<file path=xl/ctrlProps/ctrlProp1594.xml><?xml version="1.0" encoding="utf-8"?>
<formControlPr xmlns="http://schemas.microsoft.com/office/spreadsheetml/2009/9/main" objectType="Button" lockText="1"/>
</file>

<file path=xl/ctrlProps/ctrlProp1595.xml><?xml version="1.0" encoding="utf-8"?>
<formControlPr xmlns="http://schemas.microsoft.com/office/spreadsheetml/2009/9/main" objectType="Button" lockText="1"/>
</file>

<file path=xl/ctrlProps/ctrlProp1596.xml><?xml version="1.0" encoding="utf-8"?>
<formControlPr xmlns="http://schemas.microsoft.com/office/spreadsheetml/2009/9/main" objectType="Button" lockText="1"/>
</file>

<file path=xl/ctrlProps/ctrlProp1597.xml><?xml version="1.0" encoding="utf-8"?>
<formControlPr xmlns="http://schemas.microsoft.com/office/spreadsheetml/2009/9/main" objectType="Button" lockText="1"/>
</file>

<file path=xl/ctrlProps/ctrlProp1598.xml><?xml version="1.0" encoding="utf-8"?>
<formControlPr xmlns="http://schemas.microsoft.com/office/spreadsheetml/2009/9/main" objectType="Button" lockText="1"/>
</file>

<file path=xl/ctrlProps/ctrlProp159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00.xml><?xml version="1.0" encoding="utf-8"?>
<formControlPr xmlns="http://schemas.microsoft.com/office/spreadsheetml/2009/9/main" objectType="Button" lockText="1"/>
</file>

<file path=xl/ctrlProps/ctrlProp1601.xml><?xml version="1.0" encoding="utf-8"?>
<formControlPr xmlns="http://schemas.microsoft.com/office/spreadsheetml/2009/9/main" objectType="Button" lockText="1"/>
</file>

<file path=xl/ctrlProps/ctrlProp1602.xml><?xml version="1.0" encoding="utf-8"?>
<formControlPr xmlns="http://schemas.microsoft.com/office/spreadsheetml/2009/9/main" objectType="Button" lockText="1"/>
</file>

<file path=xl/ctrlProps/ctrlProp1603.xml><?xml version="1.0" encoding="utf-8"?>
<formControlPr xmlns="http://schemas.microsoft.com/office/spreadsheetml/2009/9/main" objectType="Button" lockText="1"/>
</file>

<file path=xl/ctrlProps/ctrlProp1604.xml><?xml version="1.0" encoding="utf-8"?>
<formControlPr xmlns="http://schemas.microsoft.com/office/spreadsheetml/2009/9/main" objectType="Button" lockText="1"/>
</file>

<file path=xl/ctrlProps/ctrlProp1605.xml><?xml version="1.0" encoding="utf-8"?>
<formControlPr xmlns="http://schemas.microsoft.com/office/spreadsheetml/2009/9/main" objectType="Button" lockText="1"/>
</file>

<file path=xl/ctrlProps/ctrlProp1606.xml><?xml version="1.0" encoding="utf-8"?>
<formControlPr xmlns="http://schemas.microsoft.com/office/spreadsheetml/2009/9/main" objectType="Button" lockText="1"/>
</file>

<file path=xl/ctrlProps/ctrlProp1607.xml><?xml version="1.0" encoding="utf-8"?>
<formControlPr xmlns="http://schemas.microsoft.com/office/spreadsheetml/2009/9/main" objectType="Button" lockText="1"/>
</file>

<file path=xl/ctrlProps/ctrlProp1608.xml><?xml version="1.0" encoding="utf-8"?>
<formControlPr xmlns="http://schemas.microsoft.com/office/spreadsheetml/2009/9/main" objectType="Button" lockText="1"/>
</file>

<file path=xl/ctrlProps/ctrlProp1609.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10.xml><?xml version="1.0" encoding="utf-8"?>
<formControlPr xmlns="http://schemas.microsoft.com/office/spreadsheetml/2009/9/main" objectType="Button" lockText="1"/>
</file>

<file path=xl/ctrlProps/ctrlProp1611.xml><?xml version="1.0" encoding="utf-8"?>
<formControlPr xmlns="http://schemas.microsoft.com/office/spreadsheetml/2009/9/main" objectType="Button" lockText="1"/>
</file>

<file path=xl/ctrlProps/ctrlProp1612.xml><?xml version="1.0" encoding="utf-8"?>
<formControlPr xmlns="http://schemas.microsoft.com/office/spreadsheetml/2009/9/main" objectType="Button" lockText="1"/>
</file>

<file path=xl/ctrlProps/ctrlProp1613.xml><?xml version="1.0" encoding="utf-8"?>
<formControlPr xmlns="http://schemas.microsoft.com/office/spreadsheetml/2009/9/main" objectType="Button" lockText="1"/>
</file>

<file path=xl/ctrlProps/ctrlProp1614.xml><?xml version="1.0" encoding="utf-8"?>
<formControlPr xmlns="http://schemas.microsoft.com/office/spreadsheetml/2009/9/main" objectType="Button" lockText="1"/>
</file>

<file path=xl/ctrlProps/ctrlProp1615.xml><?xml version="1.0" encoding="utf-8"?>
<formControlPr xmlns="http://schemas.microsoft.com/office/spreadsheetml/2009/9/main" objectType="Button" lockText="1"/>
</file>

<file path=xl/ctrlProps/ctrlProp1616.xml><?xml version="1.0" encoding="utf-8"?>
<formControlPr xmlns="http://schemas.microsoft.com/office/spreadsheetml/2009/9/main" objectType="Button" lockText="1"/>
</file>

<file path=xl/ctrlProps/ctrlProp1617.xml><?xml version="1.0" encoding="utf-8"?>
<formControlPr xmlns="http://schemas.microsoft.com/office/spreadsheetml/2009/9/main" objectType="Button" lockText="1"/>
</file>

<file path=xl/ctrlProps/ctrlProp1618.xml><?xml version="1.0" encoding="utf-8"?>
<formControlPr xmlns="http://schemas.microsoft.com/office/spreadsheetml/2009/9/main" objectType="Button" lockText="1"/>
</file>

<file path=xl/ctrlProps/ctrlProp1619.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20.xml><?xml version="1.0" encoding="utf-8"?>
<formControlPr xmlns="http://schemas.microsoft.com/office/spreadsheetml/2009/9/main" objectType="Button" lockText="1"/>
</file>

<file path=xl/ctrlProps/ctrlProp1621.xml><?xml version="1.0" encoding="utf-8"?>
<formControlPr xmlns="http://schemas.microsoft.com/office/spreadsheetml/2009/9/main" objectType="Button" lockText="1"/>
</file>

<file path=xl/ctrlProps/ctrlProp1622.xml><?xml version="1.0" encoding="utf-8"?>
<formControlPr xmlns="http://schemas.microsoft.com/office/spreadsheetml/2009/9/main" objectType="Button" lockText="1"/>
</file>

<file path=xl/ctrlProps/ctrlProp1623.xml><?xml version="1.0" encoding="utf-8"?>
<formControlPr xmlns="http://schemas.microsoft.com/office/spreadsheetml/2009/9/main" objectType="Button" lockText="1"/>
</file>

<file path=xl/ctrlProps/ctrlProp1624.xml><?xml version="1.0" encoding="utf-8"?>
<formControlPr xmlns="http://schemas.microsoft.com/office/spreadsheetml/2009/9/main" objectType="Button" lockText="1"/>
</file>

<file path=xl/ctrlProps/ctrlProp1625.xml><?xml version="1.0" encoding="utf-8"?>
<formControlPr xmlns="http://schemas.microsoft.com/office/spreadsheetml/2009/9/main" objectType="Button" lockText="1"/>
</file>

<file path=xl/ctrlProps/ctrlProp1626.xml><?xml version="1.0" encoding="utf-8"?>
<formControlPr xmlns="http://schemas.microsoft.com/office/spreadsheetml/2009/9/main" objectType="Button" lockText="1"/>
</file>

<file path=xl/ctrlProps/ctrlProp1627.xml><?xml version="1.0" encoding="utf-8"?>
<formControlPr xmlns="http://schemas.microsoft.com/office/spreadsheetml/2009/9/main" objectType="Button" lockText="1"/>
</file>

<file path=xl/ctrlProps/ctrlProp1628.xml><?xml version="1.0" encoding="utf-8"?>
<formControlPr xmlns="http://schemas.microsoft.com/office/spreadsheetml/2009/9/main" objectType="Button" lockText="1"/>
</file>

<file path=xl/ctrlProps/ctrlProp1629.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30.xml><?xml version="1.0" encoding="utf-8"?>
<formControlPr xmlns="http://schemas.microsoft.com/office/spreadsheetml/2009/9/main" objectType="Button" lockText="1"/>
</file>

<file path=xl/ctrlProps/ctrlProp1631.xml><?xml version="1.0" encoding="utf-8"?>
<formControlPr xmlns="http://schemas.microsoft.com/office/spreadsheetml/2009/9/main" objectType="Button" lockText="1"/>
</file>

<file path=xl/ctrlProps/ctrlProp1632.xml><?xml version="1.0" encoding="utf-8"?>
<formControlPr xmlns="http://schemas.microsoft.com/office/spreadsheetml/2009/9/main" objectType="Button" lockText="1"/>
</file>

<file path=xl/ctrlProps/ctrlProp1633.xml><?xml version="1.0" encoding="utf-8"?>
<formControlPr xmlns="http://schemas.microsoft.com/office/spreadsheetml/2009/9/main" objectType="Button" lockText="1"/>
</file>

<file path=xl/ctrlProps/ctrlProp1634.xml><?xml version="1.0" encoding="utf-8"?>
<formControlPr xmlns="http://schemas.microsoft.com/office/spreadsheetml/2009/9/main" objectType="Button" lockText="1"/>
</file>

<file path=xl/ctrlProps/ctrlProp1635.xml><?xml version="1.0" encoding="utf-8"?>
<formControlPr xmlns="http://schemas.microsoft.com/office/spreadsheetml/2009/9/main" objectType="Button" lockText="1"/>
</file>

<file path=xl/ctrlProps/ctrlProp1636.xml><?xml version="1.0" encoding="utf-8"?>
<formControlPr xmlns="http://schemas.microsoft.com/office/spreadsheetml/2009/9/main" objectType="Button" lockText="1"/>
</file>

<file path=xl/ctrlProps/ctrlProp1637.xml><?xml version="1.0" encoding="utf-8"?>
<formControlPr xmlns="http://schemas.microsoft.com/office/spreadsheetml/2009/9/main" objectType="Button" lockText="1"/>
</file>

<file path=xl/ctrlProps/ctrlProp1638.xml><?xml version="1.0" encoding="utf-8"?>
<formControlPr xmlns="http://schemas.microsoft.com/office/spreadsheetml/2009/9/main" objectType="Button" lockText="1"/>
</file>

<file path=xl/ctrlProps/ctrlProp1639.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40.xml><?xml version="1.0" encoding="utf-8"?>
<formControlPr xmlns="http://schemas.microsoft.com/office/spreadsheetml/2009/9/main" objectType="Button" lockText="1"/>
</file>

<file path=xl/ctrlProps/ctrlProp1641.xml><?xml version="1.0" encoding="utf-8"?>
<formControlPr xmlns="http://schemas.microsoft.com/office/spreadsheetml/2009/9/main" objectType="Button" lockText="1"/>
</file>

<file path=xl/ctrlProps/ctrlProp1642.xml><?xml version="1.0" encoding="utf-8"?>
<formControlPr xmlns="http://schemas.microsoft.com/office/spreadsheetml/2009/9/main" objectType="Button" lockText="1"/>
</file>

<file path=xl/ctrlProps/ctrlProp1643.xml><?xml version="1.0" encoding="utf-8"?>
<formControlPr xmlns="http://schemas.microsoft.com/office/spreadsheetml/2009/9/main" objectType="Button" lockText="1"/>
</file>

<file path=xl/ctrlProps/ctrlProp1644.xml><?xml version="1.0" encoding="utf-8"?>
<formControlPr xmlns="http://schemas.microsoft.com/office/spreadsheetml/2009/9/main" objectType="Button" lockText="1"/>
</file>

<file path=xl/ctrlProps/ctrlProp1645.xml><?xml version="1.0" encoding="utf-8"?>
<formControlPr xmlns="http://schemas.microsoft.com/office/spreadsheetml/2009/9/main" objectType="Button" lockText="1"/>
</file>

<file path=xl/ctrlProps/ctrlProp1646.xml><?xml version="1.0" encoding="utf-8"?>
<formControlPr xmlns="http://schemas.microsoft.com/office/spreadsheetml/2009/9/main" objectType="Button" lockText="1"/>
</file>

<file path=xl/ctrlProps/ctrlProp1647.xml><?xml version="1.0" encoding="utf-8"?>
<formControlPr xmlns="http://schemas.microsoft.com/office/spreadsheetml/2009/9/main" objectType="Button" lockText="1"/>
</file>

<file path=xl/ctrlProps/ctrlProp1648.xml><?xml version="1.0" encoding="utf-8"?>
<formControlPr xmlns="http://schemas.microsoft.com/office/spreadsheetml/2009/9/main" objectType="Button" lockText="1"/>
</file>

<file path=xl/ctrlProps/ctrlProp1649.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50.xml><?xml version="1.0" encoding="utf-8"?>
<formControlPr xmlns="http://schemas.microsoft.com/office/spreadsheetml/2009/9/main" objectType="Button" lockText="1"/>
</file>

<file path=xl/ctrlProps/ctrlProp1651.xml><?xml version="1.0" encoding="utf-8"?>
<formControlPr xmlns="http://schemas.microsoft.com/office/spreadsheetml/2009/9/main" objectType="Button" lockText="1"/>
</file>

<file path=xl/ctrlProps/ctrlProp1652.xml><?xml version="1.0" encoding="utf-8"?>
<formControlPr xmlns="http://schemas.microsoft.com/office/spreadsheetml/2009/9/main" objectType="Button" lockText="1"/>
</file>

<file path=xl/ctrlProps/ctrlProp1653.xml><?xml version="1.0" encoding="utf-8"?>
<formControlPr xmlns="http://schemas.microsoft.com/office/spreadsheetml/2009/9/main" objectType="Button" lockText="1"/>
</file>

<file path=xl/ctrlProps/ctrlProp1654.xml><?xml version="1.0" encoding="utf-8"?>
<formControlPr xmlns="http://schemas.microsoft.com/office/spreadsheetml/2009/9/main" objectType="Button" lockText="1"/>
</file>

<file path=xl/ctrlProps/ctrlProp1655.xml><?xml version="1.0" encoding="utf-8"?>
<formControlPr xmlns="http://schemas.microsoft.com/office/spreadsheetml/2009/9/main" objectType="Button" lockText="1"/>
</file>

<file path=xl/ctrlProps/ctrlProp1656.xml><?xml version="1.0" encoding="utf-8"?>
<formControlPr xmlns="http://schemas.microsoft.com/office/spreadsheetml/2009/9/main" objectType="Button" lockText="1"/>
</file>

<file path=xl/ctrlProps/ctrlProp1657.xml><?xml version="1.0" encoding="utf-8"?>
<formControlPr xmlns="http://schemas.microsoft.com/office/spreadsheetml/2009/9/main" objectType="Button" lockText="1"/>
</file>

<file path=xl/ctrlProps/ctrlProp1658.xml><?xml version="1.0" encoding="utf-8"?>
<formControlPr xmlns="http://schemas.microsoft.com/office/spreadsheetml/2009/9/main" objectType="Button" lockText="1"/>
</file>

<file path=xl/ctrlProps/ctrlProp1659.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60.xml><?xml version="1.0" encoding="utf-8"?>
<formControlPr xmlns="http://schemas.microsoft.com/office/spreadsheetml/2009/9/main" objectType="Button" lockText="1"/>
</file>

<file path=xl/ctrlProps/ctrlProp1661.xml><?xml version="1.0" encoding="utf-8"?>
<formControlPr xmlns="http://schemas.microsoft.com/office/spreadsheetml/2009/9/main" objectType="Button" lockText="1"/>
</file>

<file path=xl/ctrlProps/ctrlProp1662.xml><?xml version="1.0" encoding="utf-8"?>
<formControlPr xmlns="http://schemas.microsoft.com/office/spreadsheetml/2009/9/main" objectType="Button" lockText="1"/>
</file>

<file path=xl/ctrlProps/ctrlProp1663.xml><?xml version="1.0" encoding="utf-8"?>
<formControlPr xmlns="http://schemas.microsoft.com/office/spreadsheetml/2009/9/main" objectType="Button" lockText="1"/>
</file>

<file path=xl/ctrlProps/ctrlProp1664.xml><?xml version="1.0" encoding="utf-8"?>
<formControlPr xmlns="http://schemas.microsoft.com/office/spreadsheetml/2009/9/main" objectType="Button" lockText="1"/>
</file>

<file path=xl/ctrlProps/ctrlProp1665.xml><?xml version="1.0" encoding="utf-8"?>
<formControlPr xmlns="http://schemas.microsoft.com/office/spreadsheetml/2009/9/main" objectType="Button" lockText="1"/>
</file>

<file path=xl/ctrlProps/ctrlProp1666.xml><?xml version="1.0" encoding="utf-8"?>
<formControlPr xmlns="http://schemas.microsoft.com/office/spreadsheetml/2009/9/main" objectType="Button" lockText="1"/>
</file>

<file path=xl/ctrlProps/ctrlProp1667.xml><?xml version="1.0" encoding="utf-8"?>
<formControlPr xmlns="http://schemas.microsoft.com/office/spreadsheetml/2009/9/main" objectType="Button" lockText="1"/>
</file>

<file path=xl/ctrlProps/ctrlProp1668.xml><?xml version="1.0" encoding="utf-8"?>
<formControlPr xmlns="http://schemas.microsoft.com/office/spreadsheetml/2009/9/main" objectType="Button" lockText="1"/>
</file>

<file path=xl/ctrlProps/ctrlProp1669.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70.xml><?xml version="1.0" encoding="utf-8"?>
<formControlPr xmlns="http://schemas.microsoft.com/office/spreadsheetml/2009/9/main" objectType="Button" lockText="1"/>
</file>

<file path=xl/ctrlProps/ctrlProp1671.xml><?xml version="1.0" encoding="utf-8"?>
<formControlPr xmlns="http://schemas.microsoft.com/office/spreadsheetml/2009/9/main" objectType="Button" lockText="1"/>
</file>

<file path=xl/ctrlProps/ctrlProp1672.xml><?xml version="1.0" encoding="utf-8"?>
<formControlPr xmlns="http://schemas.microsoft.com/office/spreadsheetml/2009/9/main" objectType="Button" lockText="1"/>
</file>

<file path=xl/ctrlProps/ctrlProp1673.xml><?xml version="1.0" encoding="utf-8"?>
<formControlPr xmlns="http://schemas.microsoft.com/office/spreadsheetml/2009/9/main" objectType="Button" lockText="1"/>
</file>

<file path=xl/ctrlProps/ctrlProp1674.xml><?xml version="1.0" encoding="utf-8"?>
<formControlPr xmlns="http://schemas.microsoft.com/office/spreadsheetml/2009/9/main" objectType="Button" lockText="1"/>
</file>

<file path=xl/ctrlProps/ctrlProp1675.xml><?xml version="1.0" encoding="utf-8"?>
<formControlPr xmlns="http://schemas.microsoft.com/office/spreadsheetml/2009/9/main" objectType="Button" lockText="1"/>
</file>

<file path=xl/ctrlProps/ctrlProp1676.xml><?xml version="1.0" encoding="utf-8"?>
<formControlPr xmlns="http://schemas.microsoft.com/office/spreadsheetml/2009/9/main" objectType="Button" lockText="1"/>
</file>

<file path=xl/ctrlProps/ctrlProp1677.xml><?xml version="1.0" encoding="utf-8"?>
<formControlPr xmlns="http://schemas.microsoft.com/office/spreadsheetml/2009/9/main" objectType="Button" lockText="1"/>
</file>

<file path=xl/ctrlProps/ctrlProp1678.xml><?xml version="1.0" encoding="utf-8"?>
<formControlPr xmlns="http://schemas.microsoft.com/office/spreadsheetml/2009/9/main" objectType="Button" lockText="1"/>
</file>

<file path=xl/ctrlProps/ctrlProp1679.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80.xml><?xml version="1.0" encoding="utf-8"?>
<formControlPr xmlns="http://schemas.microsoft.com/office/spreadsheetml/2009/9/main" objectType="Button" lockText="1"/>
</file>

<file path=xl/ctrlProps/ctrlProp1681.xml><?xml version="1.0" encoding="utf-8"?>
<formControlPr xmlns="http://schemas.microsoft.com/office/spreadsheetml/2009/9/main" objectType="Button" lockText="1"/>
</file>

<file path=xl/ctrlProps/ctrlProp1682.xml><?xml version="1.0" encoding="utf-8"?>
<formControlPr xmlns="http://schemas.microsoft.com/office/spreadsheetml/2009/9/main" objectType="Button" lockText="1"/>
</file>

<file path=xl/ctrlProps/ctrlProp1683.xml><?xml version="1.0" encoding="utf-8"?>
<formControlPr xmlns="http://schemas.microsoft.com/office/spreadsheetml/2009/9/main" objectType="Button" lockText="1"/>
</file>

<file path=xl/ctrlProps/ctrlProp1684.xml><?xml version="1.0" encoding="utf-8"?>
<formControlPr xmlns="http://schemas.microsoft.com/office/spreadsheetml/2009/9/main" objectType="Button" lockText="1"/>
</file>

<file path=xl/ctrlProps/ctrlProp1685.xml><?xml version="1.0" encoding="utf-8"?>
<formControlPr xmlns="http://schemas.microsoft.com/office/spreadsheetml/2009/9/main" objectType="Button" lockText="1"/>
</file>

<file path=xl/ctrlProps/ctrlProp1686.xml><?xml version="1.0" encoding="utf-8"?>
<formControlPr xmlns="http://schemas.microsoft.com/office/spreadsheetml/2009/9/main" objectType="Button" lockText="1"/>
</file>

<file path=xl/ctrlProps/ctrlProp1687.xml><?xml version="1.0" encoding="utf-8"?>
<formControlPr xmlns="http://schemas.microsoft.com/office/spreadsheetml/2009/9/main" objectType="Button" lockText="1"/>
</file>

<file path=xl/ctrlProps/ctrlProp1688.xml><?xml version="1.0" encoding="utf-8"?>
<formControlPr xmlns="http://schemas.microsoft.com/office/spreadsheetml/2009/9/main" objectType="Button" lockText="1"/>
</file>

<file path=xl/ctrlProps/ctrlProp1689.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690.xml><?xml version="1.0" encoding="utf-8"?>
<formControlPr xmlns="http://schemas.microsoft.com/office/spreadsheetml/2009/9/main" objectType="Button" lockText="1"/>
</file>

<file path=xl/ctrlProps/ctrlProp1691.xml><?xml version="1.0" encoding="utf-8"?>
<formControlPr xmlns="http://schemas.microsoft.com/office/spreadsheetml/2009/9/main" objectType="Button" lockText="1"/>
</file>

<file path=xl/ctrlProps/ctrlProp1692.xml><?xml version="1.0" encoding="utf-8"?>
<formControlPr xmlns="http://schemas.microsoft.com/office/spreadsheetml/2009/9/main" objectType="Button" lockText="1"/>
</file>

<file path=xl/ctrlProps/ctrlProp1693.xml><?xml version="1.0" encoding="utf-8"?>
<formControlPr xmlns="http://schemas.microsoft.com/office/spreadsheetml/2009/9/main" objectType="Button" lockText="1"/>
</file>

<file path=xl/ctrlProps/ctrlProp1694.xml><?xml version="1.0" encoding="utf-8"?>
<formControlPr xmlns="http://schemas.microsoft.com/office/spreadsheetml/2009/9/main" objectType="Button" lockText="1"/>
</file>

<file path=xl/ctrlProps/ctrlProp1695.xml><?xml version="1.0" encoding="utf-8"?>
<formControlPr xmlns="http://schemas.microsoft.com/office/spreadsheetml/2009/9/main" objectType="Button" lockText="1"/>
</file>

<file path=xl/ctrlProps/ctrlProp1696.xml><?xml version="1.0" encoding="utf-8"?>
<formControlPr xmlns="http://schemas.microsoft.com/office/spreadsheetml/2009/9/main" objectType="Button" lockText="1"/>
</file>

<file path=xl/ctrlProps/ctrlProp1697.xml><?xml version="1.0" encoding="utf-8"?>
<formControlPr xmlns="http://schemas.microsoft.com/office/spreadsheetml/2009/9/main" objectType="Button" lockText="1"/>
</file>

<file path=xl/ctrlProps/ctrlProp1698.xml><?xml version="1.0" encoding="utf-8"?>
<formControlPr xmlns="http://schemas.microsoft.com/office/spreadsheetml/2009/9/main" objectType="Button" lockText="1"/>
</file>

<file path=xl/ctrlProps/ctrlProp169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00.xml><?xml version="1.0" encoding="utf-8"?>
<formControlPr xmlns="http://schemas.microsoft.com/office/spreadsheetml/2009/9/main" objectType="Button" lockText="1"/>
</file>

<file path=xl/ctrlProps/ctrlProp1701.xml><?xml version="1.0" encoding="utf-8"?>
<formControlPr xmlns="http://schemas.microsoft.com/office/spreadsheetml/2009/9/main" objectType="Button" lockText="1"/>
</file>

<file path=xl/ctrlProps/ctrlProp1702.xml><?xml version="1.0" encoding="utf-8"?>
<formControlPr xmlns="http://schemas.microsoft.com/office/spreadsheetml/2009/9/main" objectType="Button" lockText="1"/>
</file>

<file path=xl/ctrlProps/ctrlProp1703.xml><?xml version="1.0" encoding="utf-8"?>
<formControlPr xmlns="http://schemas.microsoft.com/office/spreadsheetml/2009/9/main" objectType="Button" lockText="1"/>
</file>

<file path=xl/ctrlProps/ctrlProp1704.xml><?xml version="1.0" encoding="utf-8"?>
<formControlPr xmlns="http://schemas.microsoft.com/office/spreadsheetml/2009/9/main" objectType="Button" lockText="1"/>
</file>

<file path=xl/ctrlProps/ctrlProp1705.xml><?xml version="1.0" encoding="utf-8"?>
<formControlPr xmlns="http://schemas.microsoft.com/office/spreadsheetml/2009/9/main" objectType="Button" lockText="1"/>
</file>

<file path=xl/ctrlProps/ctrlProp1706.xml><?xml version="1.0" encoding="utf-8"?>
<formControlPr xmlns="http://schemas.microsoft.com/office/spreadsheetml/2009/9/main" objectType="Button" lockText="1"/>
</file>

<file path=xl/ctrlProps/ctrlProp1707.xml><?xml version="1.0" encoding="utf-8"?>
<formControlPr xmlns="http://schemas.microsoft.com/office/spreadsheetml/2009/9/main" objectType="Button" lockText="1"/>
</file>

<file path=xl/ctrlProps/ctrlProp1708.xml><?xml version="1.0" encoding="utf-8"?>
<formControlPr xmlns="http://schemas.microsoft.com/office/spreadsheetml/2009/9/main" objectType="Button" lockText="1"/>
</file>

<file path=xl/ctrlProps/ctrlProp1709.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10.xml><?xml version="1.0" encoding="utf-8"?>
<formControlPr xmlns="http://schemas.microsoft.com/office/spreadsheetml/2009/9/main" objectType="Button" lockText="1"/>
</file>

<file path=xl/ctrlProps/ctrlProp1711.xml><?xml version="1.0" encoding="utf-8"?>
<formControlPr xmlns="http://schemas.microsoft.com/office/spreadsheetml/2009/9/main" objectType="Button" lockText="1"/>
</file>

<file path=xl/ctrlProps/ctrlProp1712.xml><?xml version="1.0" encoding="utf-8"?>
<formControlPr xmlns="http://schemas.microsoft.com/office/spreadsheetml/2009/9/main" objectType="Button" lockText="1"/>
</file>

<file path=xl/ctrlProps/ctrlProp1713.xml><?xml version="1.0" encoding="utf-8"?>
<formControlPr xmlns="http://schemas.microsoft.com/office/spreadsheetml/2009/9/main" objectType="Button" lockText="1"/>
</file>

<file path=xl/ctrlProps/ctrlProp1714.xml><?xml version="1.0" encoding="utf-8"?>
<formControlPr xmlns="http://schemas.microsoft.com/office/spreadsheetml/2009/9/main" objectType="Button" lockText="1"/>
</file>

<file path=xl/ctrlProps/ctrlProp1715.xml><?xml version="1.0" encoding="utf-8"?>
<formControlPr xmlns="http://schemas.microsoft.com/office/spreadsheetml/2009/9/main" objectType="Button" lockText="1"/>
</file>

<file path=xl/ctrlProps/ctrlProp1716.xml><?xml version="1.0" encoding="utf-8"?>
<formControlPr xmlns="http://schemas.microsoft.com/office/spreadsheetml/2009/9/main" objectType="Button" lockText="1"/>
</file>

<file path=xl/ctrlProps/ctrlProp1717.xml><?xml version="1.0" encoding="utf-8"?>
<formControlPr xmlns="http://schemas.microsoft.com/office/spreadsheetml/2009/9/main" objectType="Button" lockText="1"/>
</file>

<file path=xl/ctrlProps/ctrlProp1718.xml><?xml version="1.0" encoding="utf-8"?>
<formControlPr xmlns="http://schemas.microsoft.com/office/spreadsheetml/2009/9/main" objectType="Button" lockText="1"/>
</file>

<file path=xl/ctrlProps/ctrlProp1719.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20.xml><?xml version="1.0" encoding="utf-8"?>
<formControlPr xmlns="http://schemas.microsoft.com/office/spreadsheetml/2009/9/main" objectType="Button" lockText="1"/>
</file>

<file path=xl/ctrlProps/ctrlProp1721.xml><?xml version="1.0" encoding="utf-8"?>
<formControlPr xmlns="http://schemas.microsoft.com/office/spreadsheetml/2009/9/main" objectType="Button" lockText="1"/>
</file>

<file path=xl/ctrlProps/ctrlProp1722.xml><?xml version="1.0" encoding="utf-8"?>
<formControlPr xmlns="http://schemas.microsoft.com/office/spreadsheetml/2009/9/main" objectType="Button" lockText="1"/>
</file>

<file path=xl/ctrlProps/ctrlProp1723.xml><?xml version="1.0" encoding="utf-8"?>
<formControlPr xmlns="http://schemas.microsoft.com/office/spreadsheetml/2009/9/main" objectType="Button" lockText="1"/>
</file>

<file path=xl/ctrlProps/ctrlProp1724.xml><?xml version="1.0" encoding="utf-8"?>
<formControlPr xmlns="http://schemas.microsoft.com/office/spreadsheetml/2009/9/main" objectType="Button" lockText="1"/>
</file>

<file path=xl/ctrlProps/ctrlProp1725.xml><?xml version="1.0" encoding="utf-8"?>
<formControlPr xmlns="http://schemas.microsoft.com/office/spreadsheetml/2009/9/main" objectType="Button" lockText="1"/>
</file>

<file path=xl/ctrlProps/ctrlProp1726.xml><?xml version="1.0" encoding="utf-8"?>
<formControlPr xmlns="http://schemas.microsoft.com/office/spreadsheetml/2009/9/main" objectType="Button" lockText="1"/>
</file>

<file path=xl/ctrlProps/ctrlProp1727.xml><?xml version="1.0" encoding="utf-8"?>
<formControlPr xmlns="http://schemas.microsoft.com/office/spreadsheetml/2009/9/main" objectType="Button" lockText="1"/>
</file>

<file path=xl/ctrlProps/ctrlProp1728.xml><?xml version="1.0" encoding="utf-8"?>
<formControlPr xmlns="http://schemas.microsoft.com/office/spreadsheetml/2009/9/main" objectType="Button" lockText="1"/>
</file>

<file path=xl/ctrlProps/ctrlProp1729.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30.xml><?xml version="1.0" encoding="utf-8"?>
<formControlPr xmlns="http://schemas.microsoft.com/office/spreadsheetml/2009/9/main" objectType="Button" lockText="1"/>
</file>

<file path=xl/ctrlProps/ctrlProp1731.xml><?xml version="1.0" encoding="utf-8"?>
<formControlPr xmlns="http://schemas.microsoft.com/office/spreadsheetml/2009/9/main" objectType="Button" lockText="1"/>
</file>

<file path=xl/ctrlProps/ctrlProp1732.xml><?xml version="1.0" encoding="utf-8"?>
<formControlPr xmlns="http://schemas.microsoft.com/office/spreadsheetml/2009/9/main" objectType="Button" lockText="1"/>
</file>

<file path=xl/ctrlProps/ctrlProp1733.xml><?xml version="1.0" encoding="utf-8"?>
<formControlPr xmlns="http://schemas.microsoft.com/office/spreadsheetml/2009/9/main" objectType="Button" lockText="1"/>
</file>

<file path=xl/ctrlProps/ctrlProp1734.xml><?xml version="1.0" encoding="utf-8"?>
<formControlPr xmlns="http://schemas.microsoft.com/office/spreadsheetml/2009/9/main" objectType="Button" lockText="1"/>
</file>

<file path=xl/ctrlProps/ctrlProp1735.xml><?xml version="1.0" encoding="utf-8"?>
<formControlPr xmlns="http://schemas.microsoft.com/office/spreadsheetml/2009/9/main" objectType="Button" lockText="1"/>
</file>

<file path=xl/ctrlProps/ctrlProp1736.xml><?xml version="1.0" encoding="utf-8"?>
<formControlPr xmlns="http://schemas.microsoft.com/office/spreadsheetml/2009/9/main" objectType="Button" lockText="1"/>
</file>

<file path=xl/ctrlProps/ctrlProp1737.xml><?xml version="1.0" encoding="utf-8"?>
<formControlPr xmlns="http://schemas.microsoft.com/office/spreadsheetml/2009/9/main" objectType="Button" lockText="1"/>
</file>

<file path=xl/ctrlProps/ctrlProp1738.xml><?xml version="1.0" encoding="utf-8"?>
<formControlPr xmlns="http://schemas.microsoft.com/office/spreadsheetml/2009/9/main" objectType="Button" lockText="1"/>
</file>

<file path=xl/ctrlProps/ctrlProp1739.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40.xml><?xml version="1.0" encoding="utf-8"?>
<formControlPr xmlns="http://schemas.microsoft.com/office/spreadsheetml/2009/9/main" objectType="Button" lockText="1"/>
</file>

<file path=xl/ctrlProps/ctrlProp1741.xml><?xml version="1.0" encoding="utf-8"?>
<formControlPr xmlns="http://schemas.microsoft.com/office/spreadsheetml/2009/9/main" objectType="Button" lockText="1"/>
</file>

<file path=xl/ctrlProps/ctrlProp1742.xml><?xml version="1.0" encoding="utf-8"?>
<formControlPr xmlns="http://schemas.microsoft.com/office/spreadsheetml/2009/9/main" objectType="Button" lockText="1"/>
</file>

<file path=xl/ctrlProps/ctrlProp1743.xml><?xml version="1.0" encoding="utf-8"?>
<formControlPr xmlns="http://schemas.microsoft.com/office/spreadsheetml/2009/9/main" objectType="Button" lockText="1"/>
</file>

<file path=xl/ctrlProps/ctrlProp1744.xml><?xml version="1.0" encoding="utf-8"?>
<formControlPr xmlns="http://schemas.microsoft.com/office/spreadsheetml/2009/9/main" objectType="Button" lockText="1"/>
</file>

<file path=xl/ctrlProps/ctrlProp1745.xml><?xml version="1.0" encoding="utf-8"?>
<formControlPr xmlns="http://schemas.microsoft.com/office/spreadsheetml/2009/9/main" objectType="Button" lockText="1"/>
</file>

<file path=xl/ctrlProps/ctrlProp1746.xml><?xml version="1.0" encoding="utf-8"?>
<formControlPr xmlns="http://schemas.microsoft.com/office/spreadsheetml/2009/9/main" objectType="Button" lockText="1"/>
</file>

<file path=xl/ctrlProps/ctrlProp1747.xml><?xml version="1.0" encoding="utf-8"?>
<formControlPr xmlns="http://schemas.microsoft.com/office/spreadsheetml/2009/9/main" objectType="Button" lockText="1"/>
</file>

<file path=xl/ctrlProps/ctrlProp1748.xml><?xml version="1.0" encoding="utf-8"?>
<formControlPr xmlns="http://schemas.microsoft.com/office/spreadsheetml/2009/9/main" objectType="Button" lockText="1"/>
</file>

<file path=xl/ctrlProps/ctrlProp1749.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50.xml><?xml version="1.0" encoding="utf-8"?>
<formControlPr xmlns="http://schemas.microsoft.com/office/spreadsheetml/2009/9/main" objectType="Button" lockText="1"/>
</file>

<file path=xl/ctrlProps/ctrlProp1751.xml><?xml version="1.0" encoding="utf-8"?>
<formControlPr xmlns="http://schemas.microsoft.com/office/spreadsheetml/2009/9/main" objectType="Button" lockText="1"/>
</file>

<file path=xl/ctrlProps/ctrlProp1752.xml><?xml version="1.0" encoding="utf-8"?>
<formControlPr xmlns="http://schemas.microsoft.com/office/spreadsheetml/2009/9/main" objectType="Button" lockText="1"/>
</file>

<file path=xl/ctrlProps/ctrlProp1753.xml><?xml version="1.0" encoding="utf-8"?>
<formControlPr xmlns="http://schemas.microsoft.com/office/spreadsheetml/2009/9/main" objectType="Button" lockText="1"/>
</file>

<file path=xl/ctrlProps/ctrlProp1754.xml><?xml version="1.0" encoding="utf-8"?>
<formControlPr xmlns="http://schemas.microsoft.com/office/spreadsheetml/2009/9/main" objectType="Button" lockText="1"/>
</file>

<file path=xl/ctrlProps/ctrlProp1755.xml><?xml version="1.0" encoding="utf-8"?>
<formControlPr xmlns="http://schemas.microsoft.com/office/spreadsheetml/2009/9/main" objectType="Button" lockText="1"/>
</file>

<file path=xl/ctrlProps/ctrlProp1756.xml><?xml version="1.0" encoding="utf-8"?>
<formControlPr xmlns="http://schemas.microsoft.com/office/spreadsheetml/2009/9/main" objectType="Button" lockText="1"/>
</file>

<file path=xl/ctrlProps/ctrlProp1757.xml><?xml version="1.0" encoding="utf-8"?>
<formControlPr xmlns="http://schemas.microsoft.com/office/spreadsheetml/2009/9/main" objectType="Button" lockText="1"/>
</file>

<file path=xl/ctrlProps/ctrlProp1758.xml><?xml version="1.0" encoding="utf-8"?>
<formControlPr xmlns="http://schemas.microsoft.com/office/spreadsheetml/2009/9/main" objectType="Button" lockText="1"/>
</file>

<file path=xl/ctrlProps/ctrlProp1759.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60.xml><?xml version="1.0" encoding="utf-8"?>
<formControlPr xmlns="http://schemas.microsoft.com/office/spreadsheetml/2009/9/main" objectType="Button" lockText="1"/>
</file>

<file path=xl/ctrlProps/ctrlProp1761.xml><?xml version="1.0" encoding="utf-8"?>
<formControlPr xmlns="http://schemas.microsoft.com/office/spreadsheetml/2009/9/main" objectType="Button" lockText="1"/>
</file>

<file path=xl/ctrlProps/ctrlProp1762.xml><?xml version="1.0" encoding="utf-8"?>
<formControlPr xmlns="http://schemas.microsoft.com/office/spreadsheetml/2009/9/main" objectType="Button" lockText="1"/>
</file>

<file path=xl/ctrlProps/ctrlProp1763.xml><?xml version="1.0" encoding="utf-8"?>
<formControlPr xmlns="http://schemas.microsoft.com/office/spreadsheetml/2009/9/main" objectType="Button" lockText="1"/>
</file>

<file path=xl/ctrlProps/ctrlProp1764.xml><?xml version="1.0" encoding="utf-8"?>
<formControlPr xmlns="http://schemas.microsoft.com/office/spreadsheetml/2009/9/main" objectType="Button" lockText="1"/>
</file>

<file path=xl/ctrlProps/ctrlProp1765.xml><?xml version="1.0" encoding="utf-8"?>
<formControlPr xmlns="http://schemas.microsoft.com/office/spreadsheetml/2009/9/main" objectType="Button" lockText="1"/>
</file>

<file path=xl/ctrlProps/ctrlProp1766.xml><?xml version="1.0" encoding="utf-8"?>
<formControlPr xmlns="http://schemas.microsoft.com/office/spreadsheetml/2009/9/main" objectType="Button" lockText="1"/>
</file>

<file path=xl/ctrlProps/ctrlProp1767.xml><?xml version="1.0" encoding="utf-8"?>
<formControlPr xmlns="http://schemas.microsoft.com/office/spreadsheetml/2009/9/main" objectType="Button" lockText="1"/>
</file>

<file path=xl/ctrlProps/ctrlProp1768.xml><?xml version="1.0" encoding="utf-8"?>
<formControlPr xmlns="http://schemas.microsoft.com/office/spreadsheetml/2009/9/main" objectType="Button" lockText="1"/>
</file>

<file path=xl/ctrlProps/ctrlProp1769.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70.xml><?xml version="1.0" encoding="utf-8"?>
<formControlPr xmlns="http://schemas.microsoft.com/office/spreadsheetml/2009/9/main" objectType="Button" lockText="1"/>
</file>

<file path=xl/ctrlProps/ctrlProp1771.xml><?xml version="1.0" encoding="utf-8"?>
<formControlPr xmlns="http://schemas.microsoft.com/office/spreadsheetml/2009/9/main" objectType="Button" lockText="1"/>
</file>

<file path=xl/ctrlProps/ctrlProp1772.xml><?xml version="1.0" encoding="utf-8"?>
<formControlPr xmlns="http://schemas.microsoft.com/office/spreadsheetml/2009/9/main" objectType="Button" lockText="1"/>
</file>

<file path=xl/ctrlProps/ctrlProp1773.xml><?xml version="1.0" encoding="utf-8"?>
<formControlPr xmlns="http://schemas.microsoft.com/office/spreadsheetml/2009/9/main" objectType="Button" lockText="1"/>
</file>

<file path=xl/ctrlProps/ctrlProp1774.xml><?xml version="1.0" encoding="utf-8"?>
<formControlPr xmlns="http://schemas.microsoft.com/office/spreadsheetml/2009/9/main" objectType="Button" lockText="1"/>
</file>

<file path=xl/ctrlProps/ctrlProp1775.xml><?xml version="1.0" encoding="utf-8"?>
<formControlPr xmlns="http://schemas.microsoft.com/office/spreadsheetml/2009/9/main" objectType="Button" lockText="1"/>
</file>

<file path=xl/ctrlProps/ctrlProp1776.xml><?xml version="1.0" encoding="utf-8"?>
<formControlPr xmlns="http://schemas.microsoft.com/office/spreadsheetml/2009/9/main" objectType="Button" lockText="1"/>
</file>

<file path=xl/ctrlProps/ctrlProp1777.xml><?xml version="1.0" encoding="utf-8"?>
<formControlPr xmlns="http://schemas.microsoft.com/office/spreadsheetml/2009/9/main" objectType="Button" lockText="1"/>
</file>

<file path=xl/ctrlProps/ctrlProp1778.xml><?xml version="1.0" encoding="utf-8"?>
<formControlPr xmlns="http://schemas.microsoft.com/office/spreadsheetml/2009/9/main" objectType="Button" lockText="1"/>
</file>

<file path=xl/ctrlProps/ctrlProp1779.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80.xml><?xml version="1.0" encoding="utf-8"?>
<formControlPr xmlns="http://schemas.microsoft.com/office/spreadsheetml/2009/9/main" objectType="Button" lockText="1"/>
</file>

<file path=xl/ctrlProps/ctrlProp1781.xml><?xml version="1.0" encoding="utf-8"?>
<formControlPr xmlns="http://schemas.microsoft.com/office/spreadsheetml/2009/9/main" objectType="Button" lockText="1"/>
</file>

<file path=xl/ctrlProps/ctrlProp1782.xml><?xml version="1.0" encoding="utf-8"?>
<formControlPr xmlns="http://schemas.microsoft.com/office/spreadsheetml/2009/9/main" objectType="Button" lockText="1"/>
</file>

<file path=xl/ctrlProps/ctrlProp1783.xml><?xml version="1.0" encoding="utf-8"?>
<formControlPr xmlns="http://schemas.microsoft.com/office/spreadsheetml/2009/9/main" objectType="Button" lockText="1"/>
</file>

<file path=xl/ctrlProps/ctrlProp1784.xml><?xml version="1.0" encoding="utf-8"?>
<formControlPr xmlns="http://schemas.microsoft.com/office/spreadsheetml/2009/9/main" objectType="Button" lockText="1"/>
</file>

<file path=xl/ctrlProps/ctrlProp1785.xml><?xml version="1.0" encoding="utf-8"?>
<formControlPr xmlns="http://schemas.microsoft.com/office/spreadsheetml/2009/9/main" objectType="Button" lockText="1"/>
</file>

<file path=xl/ctrlProps/ctrlProp1786.xml><?xml version="1.0" encoding="utf-8"?>
<formControlPr xmlns="http://schemas.microsoft.com/office/spreadsheetml/2009/9/main" objectType="Button" lockText="1"/>
</file>

<file path=xl/ctrlProps/ctrlProp1787.xml><?xml version="1.0" encoding="utf-8"?>
<formControlPr xmlns="http://schemas.microsoft.com/office/spreadsheetml/2009/9/main" objectType="Button" lockText="1"/>
</file>

<file path=xl/ctrlProps/ctrlProp1788.xml><?xml version="1.0" encoding="utf-8"?>
<formControlPr xmlns="http://schemas.microsoft.com/office/spreadsheetml/2009/9/main" objectType="Button" lockText="1"/>
</file>

<file path=xl/ctrlProps/ctrlProp1789.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790.xml><?xml version="1.0" encoding="utf-8"?>
<formControlPr xmlns="http://schemas.microsoft.com/office/spreadsheetml/2009/9/main" objectType="Button" lockText="1"/>
</file>

<file path=xl/ctrlProps/ctrlProp1791.xml><?xml version="1.0" encoding="utf-8"?>
<formControlPr xmlns="http://schemas.microsoft.com/office/spreadsheetml/2009/9/main" objectType="Button" lockText="1"/>
</file>

<file path=xl/ctrlProps/ctrlProp1792.xml><?xml version="1.0" encoding="utf-8"?>
<formControlPr xmlns="http://schemas.microsoft.com/office/spreadsheetml/2009/9/main" objectType="Button" lockText="1"/>
</file>

<file path=xl/ctrlProps/ctrlProp1793.xml><?xml version="1.0" encoding="utf-8"?>
<formControlPr xmlns="http://schemas.microsoft.com/office/spreadsheetml/2009/9/main" objectType="Button" lockText="1"/>
</file>

<file path=xl/ctrlProps/ctrlProp1794.xml><?xml version="1.0" encoding="utf-8"?>
<formControlPr xmlns="http://schemas.microsoft.com/office/spreadsheetml/2009/9/main" objectType="Button" lockText="1"/>
</file>

<file path=xl/ctrlProps/ctrlProp1795.xml><?xml version="1.0" encoding="utf-8"?>
<formControlPr xmlns="http://schemas.microsoft.com/office/spreadsheetml/2009/9/main" objectType="Button" lockText="1"/>
</file>

<file path=xl/ctrlProps/ctrlProp1796.xml><?xml version="1.0" encoding="utf-8"?>
<formControlPr xmlns="http://schemas.microsoft.com/office/spreadsheetml/2009/9/main" objectType="Button" lockText="1"/>
</file>

<file path=xl/ctrlProps/ctrlProp1797.xml><?xml version="1.0" encoding="utf-8"?>
<formControlPr xmlns="http://schemas.microsoft.com/office/spreadsheetml/2009/9/main" objectType="Button" lockText="1"/>
</file>

<file path=xl/ctrlProps/ctrlProp1798.xml><?xml version="1.0" encoding="utf-8"?>
<formControlPr xmlns="http://schemas.microsoft.com/office/spreadsheetml/2009/9/main" objectType="Button" lockText="1"/>
</file>

<file path=xl/ctrlProps/ctrlProp179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00.xml><?xml version="1.0" encoding="utf-8"?>
<formControlPr xmlns="http://schemas.microsoft.com/office/spreadsheetml/2009/9/main" objectType="Button" lockText="1"/>
</file>

<file path=xl/ctrlProps/ctrlProp1801.xml><?xml version="1.0" encoding="utf-8"?>
<formControlPr xmlns="http://schemas.microsoft.com/office/spreadsheetml/2009/9/main" objectType="Button" lockText="1"/>
</file>

<file path=xl/ctrlProps/ctrlProp1802.xml><?xml version="1.0" encoding="utf-8"?>
<formControlPr xmlns="http://schemas.microsoft.com/office/spreadsheetml/2009/9/main" objectType="Button" lockText="1"/>
</file>

<file path=xl/ctrlProps/ctrlProp1803.xml><?xml version="1.0" encoding="utf-8"?>
<formControlPr xmlns="http://schemas.microsoft.com/office/spreadsheetml/2009/9/main" objectType="Button" lockText="1"/>
</file>

<file path=xl/ctrlProps/ctrlProp1804.xml><?xml version="1.0" encoding="utf-8"?>
<formControlPr xmlns="http://schemas.microsoft.com/office/spreadsheetml/2009/9/main" objectType="Button" lockText="1"/>
</file>

<file path=xl/ctrlProps/ctrlProp1805.xml><?xml version="1.0" encoding="utf-8"?>
<formControlPr xmlns="http://schemas.microsoft.com/office/spreadsheetml/2009/9/main" objectType="Button" lockText="1"/>
</file>

<file path=xl/ctrlProps/ctrlProp1806.xml><?xml version="1.0" encoding="utf-8"?>
<formControlPr xmlns="http://schemas.microsoft.com/office/spreadsheetml/2009/9/main" objectType="Button" lockText="1"/>
</file>

<file path=xl/ctrlProps/ctrlProp1807.xml><?xml version="1.0" encoding="utf-8"?>
<formControlPr xmlns="http://schemas.microsoft.com/office/spreadsheetml/2009/9/main" objectType="Button" lockText="1"/>
</file>

<file path=xl/ctrlProps/ctrlProp1808.xml><?xml version="1.0" encoding="utf-8"?>
<formControlPr xmlns="http://schemas.microsoft.com/office/spreadsheetml/2009/9/main" objectType="Button" lockText="1"/>
</file>

<file path=xl/ctrlProps/ctrlProp1809.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10.xml><?xml version="1.0" encoding="utf-8"?>
<formControlPr xmlns="http://schemas.microsoft.com/office/spreadsheetml/2009/9/main" objectType="Button" lockText="1"/>
</file>

<file path=xl/ctrlProps/ctrlProp1811.xml><?xml version="1.0" encoding="utf-8"?>
<formControlPr xmlns="http://schemas.microsoft.com/office/spreadsheetml/2009/9/main" objectType="Button" lockText="1"/>
</file>

<file path=xl/ctrlProps/ctrlProp1812.xml><?xml version="1.0" encoding="utf-8"?>
<formControlPr xmlns="http://schemas.microsoft.com/office/spreadsheetml/2009/9/main" objectType="Button" lockText="1"/>
</file>

<file path=xl/ctrlProps/ctrlProp1813.xml><?xml version="1.0" encoding="utf-8"?>
<formControlPr xmlns="http://schemas.microsoft.com/office/spreadsheetml/2009/9/main" objectType="Button" lockText="1"/>
</file>

<file path=xl/ctrlProps/ctrlProp1814.xml><?xml version="1.0" encoding="utf-8"?>
<formControlPr xmlns="http://schemas.microsoft.com/office/spreadsheetml/2009/9/main" objectType="Button" lockText="1"/>
</file>

<file path=xl/ctrlProps/ctrlProp1815.xml><?xml version="1.0" encoding="utf-8"?>
<formControlPr xmlns="http://schemas.microsoft.com/office/spreadsheetml/2009/9/main" objectType="Button" lockText="1"/>
</file>

<file path=xl/ctrlProps/ctrlProp1816.xml><?xml version="1.0" encoding="utf-8"?>
<formControlPr xmlns="http://schemas.microsoft.com/office/spreadsheetml/2009/9/main" objectType="Button" lockText="1"/>
</file>

<file path=xl/ctrlProps/ctrlProp1817.xml><?xml version="1.0" encoding="utf-8"?>
<formControlPr xmlns="http://schemas.microsoft.com/office/spreadsheetml/2009/9/main" objectType="Button" lockText="1"/>
</file>

<file path=xl/ctrlProps/ctrlProp1818.xml><?xml version="1.0" encoding="utf-8"?>
<formControlPr xmlns="http://schemas.microsoft.com/office/spreadsheetml/2009/9/main" objectType="Button" lockText="1"/>
</file>

<file path=xl/ctrlProps/ctrlProp1819.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20.xml><?xml version="1.0" encoding="utf-8"?>
<formControlPr xmlns="http://schemas.microsoft.com/office/spreadsheetml/2009/9/main" objectType="Button" lockText="1"/>
</file>

<file path=xl/ctrlProps/ctrlProp1821.xml><?xml version="1.0" encoding="utf-8"?>
<formControlPr xmlns="http://schemas.microsoft.com/office/spreadsheetml/2009/9/main" objectType="Button" lockText="1"/>
</file>

<file path=xl/ctrlProps/ctrlProp1822.xml><?xml version="1.0" encoding="utf-8"?>
<formControlPr xmlns="http://schemas.microsoft.com/office/spreadsheetml/2009/9/main" objectType="Button" lockText="1"/>
</file>

<file path=xl/ctrlProps/ctrlProp1823.xml><?xml version="1.0" encoding="utf-8"?>
<formControlPr xmlns="http://schemas.microsoft.com/office/spreadsheetml/2009/9/main" objectType="Button" lockText="1"/>
</file>

<file path=xl/ctrlProps/ctrlProp1824.xml><?xml version="1.0" encoding="utf-8"?>
<formControlPr xmlns="http://schemas.microsoft.com/office/spreadsheetml/2009/9/main" objectType="Button" lockText="1"/>
</file>

<file path=xl/ctrlProps/ctrlProp1825.xml><?xml version="1.0" encoding="utf-8"?>
<formControlPr xmlns="http://schemas.microsoft.com/office/spreadsheetml/2009/9/main" objectType="Button" lockText="1"/>
</file>

<file path=xl/ctrlProps/ctrlProp1826.xml><?xml version="1.0" encoding="utf-8"?>
<formControlPr xmlns="http://schemas.microsoft.com/office/spreadsheetml/2009/9/main" objectType="Button" lockText="1"/>
</file>

<file path=xl/ctrlProps/ctrlProp1827.xml><?xml version="1.0" encoding="utf-8"?>
<formControlPr xmlns="http://schemas.microsoft.com/office/spreadsheetml/2009/9/main" objectType="Button" lockText="1"/>
</file>

<file path=xl/ctrlProps/ctrlProp1828.xml><?xml version="1.0" encoding="utf-8"?>
<formControlPr xmlns="http://schemas.microsoft.com/office/spreadsheetml/2009/9/main" objectType="Button" lockText="1"/>
</file>

<file path=xl/ctrlProps/ctrlProp1829.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30.xml><?xml version="1.0" encoding="utf-8"?>
<formControlPr xmlns="http://schemas.microsoft.com/office/spreadsheetml/2009/9/main" objectType="Button" lockText="1"/>
</file>

<file path=xl/ctrlProps/ctrlProp1831.xml><?xml version="1.0" encoding="utf-8"?>
<formControlPr xmlns="http://schemas.microsoft.com/office/spreadsheetml/2009/9/main" objectType="Button" lockText="1"/>
</file>

<file path=xl/ctrlProps/ctrlProp1832.xml><?xml version="1.0" encoding="utf-8"?>
<formControlPr xmlns="http://schemas.microsoft.com/office/spreadsheetml/2009/9/main" objectType="Button" lockText="1"/>
</file>

<file path=xl/ctrlProps/ctrlProp1833.xml><?xml version="1.0" encoding="utf-8"?>
<formControlPr xmlns="http://schemas.microsoft.com/office/spreadsheetml/2009/9/main" objectType="Button" lockText="1"/>
</file>

<file path=xl/ctrlProps/ctrlProp1834.xml><?xml version="1.0" encoding="utf-8"?>
<formControlPr xmlns="http://schemas.microsoft.com/office/spreadsheetml/2009/9/main" objectType="Button" lockText="1"/>
</file>

<file path=xl/ctrlProps/ctrlProp1835.xml><?xml version="1.0" encoding="utf-8"?>
<formControlPr xmlns="http://schemas.microsoft.com/office/spreadsheetml/2009/9/main" objectType="Button" lockText="1"/>
</file>

<file path=xl/ctrlProps/ctrlProp1836.xml><?xml version="1.0" encoding="utf-8"?>
<formControlPr xmlns="http://schemas.microsoft.com/office/spreadsheetml/2009/9/main" objectType="Button" lockText="1"/>
</file>

<file path=xl/ctrlProps/ctrlProp1837.xml><?xml version="1.0" encoding="utf-8"?>
<formControlPr xmlns="http://schemas.microsoft.com/office/spreadsheetml/2009/9/main" objectType="Button" lockText="1"/>
</file>

<file path=xl/ctrlProps/ctrlProp1838.xml><?xml version="1.0" encoding="utf-8"?>
<formControlPr xmlns="http://schemas.microsoft.com/office/spreadsheetml/2009/9/main" objectType="Button" lockText="1"/>
</file>

<file path=xl/ctrlProps/ctrlProp1839.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40.xml><?xml version="1.0" encoding="utf-8"?>
<formControlPr xmlns="http://schemas.microsoft.com/office/spreadsheetml/2009/9/main" objectType="Button" lockText="1"/>
</file>

<file path=xl/ctrlProps/ctrlProp1841.xml><?xml version="1.0" encoding="utf-8"?>
<formControlPr xmlns="http://schemas.microsoft.com/office/spreadsheetml/2009/9/main" objectType="Button" lockText="1"/>
</file>

<file path=xl/ctrlProps/ctrlProp1842.xml><?xml version="1.0" encoding="utf-8"?>
<formControlPr xmlns="http://schemas.microsoft.com/office/spreadsheetml/2009/9/main" objectType="Button" lockText="1"/>
</file>

<file path=xl/ctrlProps/ctrlProp1843.xml><?xml version="1.0" encoding="utf-8"?>
<formControlPr xmlns="http://schemas.microsoft.com/office/spreadsheetml/2009/9/main" objectType="Button" lockText="1"/>
</file>

<file path=xl/ctrlProps/ctrlProp1844.xml><?xml version="1.0" encoding="utf-8"?>
<formControlPr xmlns="http://schemas.microsoft.com/office/spreadsheetml/2009/9/main" objectType="Button" lockText="1"/>
</file>

<file path=xl/ctrlProps/ctrlProp1845.xml><?xml version="1.0" encoding="utf-8"?>
<formControlPr xmlns="http://schemas.microsoft.com/office/spreadsheetml/2009/9/main" objectType="Button" lockText="1"/>
</file>

<file path=xl/ctrlProps/ctrlProp1846.xml><?xml version="1.0" encoding="utf-8"?>
<formControlPr xmlns="http://schemas.microsoft.com/office/spreadsheetml/2009/9/main" objectType="Button" lockText="1"/>
</file>

<file path=xl/ctrlProps/ctrlProp1847.xml><?xml version="1.0" encoding="utf-8"?>
<formControlPr xmlns="http://schemas.microsoft.com/office/spreadsheetml/2009/9/main" objectType="Button" lockText="1"/>
</file>

<file path=xl/ctrlProps/ctrlProp1848.xml><?xml version="1.0" encoding="utf-8"?>
<formControlPr xmlns="http://schemas.microsoft.com/office/spreadsheetml/2009/9/main" objectType="Button" lockText="1"/>
</file>

<file path=xl/ctrlProps/ctrlProp1849.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50.xml><?xml version="1.0" encoding="utf-8"?>
<formControlPr xmlns="http://schemas.microsoft.com/office/spreadsheetml/2009/9/main" objectType="Button" lockText="1"/>
</file>

<file path=xl/ctrlProps/ctrlProp1851.xml><?xml version="1.0" encoding="utf-8"?>
<formControlPr xmlns="http://schemas.microsoft.com/office/spreadsheetml/2009/9/main" objectType="Button" lockText="1"/>
</file>

<file path=xl/ctrlProps/ctrlProp1852.xml><?xml version="1.0" encoding="utf-8"?>
<formControlPr xmlns="http://schemas.microsoft.com/office/spreadsheetml/2009/9/main" objectType="Button" lockText="1"/>
</file>

<file path=xl/ctrlProps/ctrlProp1853.xml><?xml version="1.0" encoding="utf-8"?>
<formControlPr xmlns="http://schemas.microsoft.com/office/spreadsheetml/2009/9/main" objectType="Button" lockText="1"/>
</file>

<file path=xl/ctrlProps/ctrlProp1854.xml><?xml version="1.0" encoding="utf-8"?>
<formControlPr xmlns="http://schemas.microsoft.com/office/spreadsheetml/2009/9/main" objectType="Button" lockText="1"/>
</file>

<file path=xl/ctrlProps/ctrlProp1855.xml><?xml version="1.0" encoding="utf-8"?>
<formControlPr xmlns="http://schemas.microsoft.com/office/spreadsheetml/2009/9/main" objectType="Button" lockText="1"/>
</file>

<file path=xl/ctrlProps/ctrlProp1856.xml><?xml version="1.0" encoding="utf-8"?>
<formControlPr xmlns="http://schemas.microsoft.com/office/spreadsheetml/2009/9/main" objectType="Button" lockText="1"/>
</file>

<file path=xl/ctrlProps/ctrlProp1857.xml><?xml version="1.0" encoding="utf-8"?>
<formControlPr xmlns="http://schemas.microsoft.com/office/spreadsheetml/2009/9/main" objectType="Button" lockText="1"/>
</file>

<file path=xl/ctrlProps/ctrlProp1858.xml><?xml version="1.0" encoding="utf-8"?>
<formControlPr xmlns="http://schemas.microsoft.com/office/spreadsheetml/2009/9/main" objectType="Button" lockText="1"/>
</file>

<file path=xl/ctrlProps/ctrlProp1859.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60.xml><?xml version="1.0" encoding="utf-8"?>
<formControlPr xmlns="http://schemas.microsoft.com/office/spreadsheetml/2009/9/main" objectType="Button" lockText="1"/>
</file>

<file path=xl/ctrlProps/ctrlProp1861.xml><?xml version="1.0" encoding="utf-8"?>
<formControlPr xmlns="http://schemas.microsoft.com/office/spreadsheetml/2009/9/main" objectType="Button" lockText="1"/>
</file>

<file path=xl/ctrlProps/ctrlProp1862.xml><?xml version="1.0" encoding="utf-8"?>
<formControlPr xmlns="http://schemas.microsoft.com/office/spreadsheetml/2009/9/main" objectType="Button" lockText="1"/>
</file>

<file path=xl/ctrlProps/ctrlProp1863.xml><?xml version="1.0" encoding="utf-8"?>
<formControlPr xmlns="http://schemas.microsoft.com/office/spreadsheetml/2009/9/main" objectType="Button" lockText="1"/>
</file>

<file path=xl/ctrlProps/ctrlProp1864.xml><?xml version="1.0" encoding="utf-8"?>
<formControlPr xmlns="http://schemas.microsoft.com/office/spreadsheetml/2009/9/main" objectType="Button" lockText="1"/>
</file>

<file path=xl/ctrlProps/ctrlProp1865.xml><?xml version="1.0" encoding="utf-8"?>
<formControlPr xmlns="http://schemas.microsoft.com/office/spreadsheetml/2009/9/main" objectType="Button" lockText="1"/>
</file>

<file path=xl/ctrlProps/ctrlProp1866.xml><?xml version="1.0" encoding="utf-8"?>
<formControlPr xmlns="http://schemas.microsoft.com/office/spreadsheetml/2009/9/main" objectType="Button" lockText="1"/>
</file>

<file path=xl/ctrlProps/ctrlProp1867.xml><?xml version="1.0" encoding="utf-8"?>
<formControlPr xmlns="http://schemas.microsoft.com/office/spreadsheetml/2009/9/main" objectType="Button" lockText="1"/>
</file>

<file path=xl/ctrlProps/ctrlProp1868.xml><?xml version="1.0" encoding="utf-8"?>
<formControlPr xmlns="http://schemas.microsoft.com/office/spreadsheetml/2009/9/main" objectType="Button" lockText="1"/>
</file>

<file path=xl/ctrlProps/ctrlProp1869.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70.xml><?xml version="1.0" encoding="utf-8"?>
<formControlPr xmlns="http://schemas.microsoft.com/office/spreadsheetml/2009/9/main" objectType="Button" lockText="1"/>
</file>

<file path=xl/ctrlProps/ctrlProp1871.xml><?xml version="1.0" encoding="utf-8"?>
<formControlPr xmlns="http://schemas.microsoft.com/office/spreadsheetml/2009/9/main" objectType="Button" lockText="1"/>
</file>

<file path=xl/ctrlProps/ctrlProp1872.xml><?xml version="1.0" encoding="utf-8"?>
<formControlPr xmlns="http://schemas.microsoft.com/office/spreadsheetml/2009/9/main" objectType="Button" lockText="1"/>
</file>

<file path=xl/ctrlProps/ctrlProp1873.xml><?xml version="1.0" encoding="utf-8"?>
<formControlPr xmlns="http://schemas.microsoft.com/office/spreadsheetml/2009/9/main" objectType="Button" lockText="1"/>
</file>

<file path=xl/ctrlProps/ctrlProp1874.xml><?xml version="1.0" encoding="utf-8"?>
<formControlPr xmlns="http://schemas.microsoft.com/office/spreadsheetml/2009/9/main" objectType="Button" lockText="1"/>
</file>

<file path=xl/ctrlProps/ctrlProp1875.xml><?xml version="1.0" encoding="utf-8"?>
<formControlPr xmlns="http://schemas.microsoft.com/office/spreadsheetml/2009/9/main" objectType="Button" lockText="1"/>
</file>

<file path=xl/ctrlProps/ctrlProp1876.xml><?xml version="1.0" encoding="utf-8"?>
<formControlPr xmlns="http://schemas.microsoft.com/office/spreadsheetml/2009/9/main" objectType="Button" lockText="1"/>
</file>

<file path=xl/ctrlProps/ctrlProp1877.xml><?xml version="1.0" encoding="utf-8"?>
<formControlPr xmlns="http://schemas.microsoft.com/office/spreadsheetml/2009/9/main" objectType="Button" lockText="1"/>
</file>

<file path=xl/ctrlProps/ctrlProp1878.xml><?xml version="1.0" encoding="utf-8"?>
<formControlPr xmlns="http://schemas.microsoft.com/office/spreadsheetml/2009/9/main" objectType="Button" lockText="1"/>
</file>

<file path=xl/ctrlProps/ctrlProp1879.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80.xml><?xml version="1.0" encoding="utf-8"?>
<formControlPr xmlns="http://schemas.microsoft.com/office/spreadsheetml/2009/9/main" objectType="Button" lockText="1"/>
</file>

<file path=xl/ctrlProps/ctrlProp1881.xml><?xml version="1.0" encoding="utf-8"?>
<formControlPr xmlns="http://schemas.microsoft.com/office/spreadsheetml/2009/9/main" objectType="Button" lockText="1"/>
</file>

<file path=xl/ctrlProps/ctrlProp1882.xml><?xml version="1.0" encoding="utf-8"?>
<formControlPr xmlns="http://schemas.microsoft.com/office/spreadsheetml/2009/9/main" objectType="Button" lockText="1"/>
</file>

<file path=xl/ctrlProps/ctrlProp1883.xml><?xml version="1.0" encoding="utf-8"?>
<formControlPr xmlns="http://schemas.microsoft.com/office/spreadsheetml/2009/9/main" objectType="Button" lockText="1"/>
</file>

<file path=xl/ctrlProps/ctrlProp1884.xml><?xml version="1.0" encoding="utf-8"?>
<formControlPr xmlns="http://schemas.microsoft.com/office/spreadsheetml/2009/9/main" objectType="Button" lockText="1"/>
</file>

<file path=xl/ctrlProps/ctrlProp1885.xml><?xml version="1.0" encoding="utf-8"?>
<formControlPr xmlns="http://schemas.microsoft.com/office/spreadsheetml/2009/9/main" objectType="Button" lockText="1"/>
</file>

<file path=xl/ctrlProps/ctrlProp1886.xml><?xml version="1.0" encoding="utf-8"?>
<formControlPr xmlns="http://schemas.microsoft.com/office/spreadsheetml/2009/9/main" objectType="Button" lockText="1"/>
</file>

<file path=xl/ctrlProps/ctrlProp1887.xml><?xml version="1.0" encoding="utf-8"?>
<formControlPr xmlns="http://schemas.microsoft.com/office/spreadsheetml/2009/9/main" objectType="Button" lockText="1"/>
</file>

<file path=xl/ctrlProps/ctrlProp1888.xml><?xml version="1.0" encoding="utf-8"?>
<formControlPr xmlns="http://schemas.microsoft.com/office/spreadsheetml/2009/9/main" objectType="Button" lockText="1"/>
</file>

<file path=xl/ctrlProps/ctrlProp1889.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890.xml><?xml version="1.0" encoding="utf-8"?>
<formControlPr xmlns="http://schemas.microsoft.com/office/spreadsheetml/2009/9/main" objectType="Button" lockText="1"/>
</file>

<file path=xl/ctrlProps/ctrlProp1891.xml><?xml version="1.0" encoding="utf-8"?>
<formControlPr xmlns="http://schemas.microsoft.com/office/spreadsheetml/2009/9/main" objectType="Button" lockText="1"/>
</file>

<file path=xl/ctrlProps/ctrlProp1892.xml><?xml version="1.0" encoding="utf-8"?>
<formControlPr xmlns="http://schemas.microsoft.com/office/spreadsheetml/2009/9/main" objectType="Button" lockText="1"/>
</file>

<file path=xl/ctrlProps/ctrlProp1893.xml><?xml version="1.0" encoding="utf-8"?>
<formControlPr xmlns="http://schemas.microsoft.com/office/spreadsheetml/2009/9/main" objectType="Button" lockText="1"/>
</file>

<file path=xl/ctrlProps/ctrlProp1894.xml><?xml version="1.0" encoding="utf-8"?>
<formControlPr xmlns="http://schemas.microsoft.com/office/spreadsheetml/2009/9/main" objectType="Button" lockText="1"/>
</file>

<file path=xl/ctrlProps/ctrlProp1895.xml><?xml version="1.0" encoding="utf-8"?>
<formControlPr xmlns="http://schemas.microsoft.com/office/spreadsheetml/2009/9/main" objectType="Button" lockText="1"/>
</file>

<file path=xl/ctrlProps/ctrlProp1896.xml><?xml version="1.0" encoding="utf-8"?>
<formControlPr xmlns="http://schemas.microsoft.com/office/spreadsheetml/2009/9/main" objectType="Button" lockText="1"/>
</file>

<file path=xl/ctrlProps/ctrlProp1897.xml><?xml version="1.0" encoding="utf-8"?>
<formControlPr xmlns="http://schemas.microsoft.com/office/spreadsheetml/2009/9/main" objectType="Button" lockText="1"/>
</file>

<file path=xl/ctrlProps/ctrlProp1898.xml><?xml version="1.0" encoding="utf-8"?>
<formControlPr xmlns="http://schemas.microsoft.com/office/spreadsheetml/2009/9/main" objectType="Button" lockText="1"/>
</file>

<file path=xl/ctrlProps/ctrlProp189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00.xml><?xml version="1.0" encoding="utf-8"?>
<formControlPr xmlns="http://schemas.microsoft.com/office/spreadsheetml/2009/9/main" objectType="Button" lockText="1"/>
</file>

<file path=xl/ctrlProps/ctrlProp1901.xml><?xml version="1.0" encoding="utf-8"?>
<formControlPr xmlns="http://schemas.microsoft.com/office/spreadsheetml/2009/9/main" objectType="Button" lockText="1"/>
</file>

<file path=xl/ctrlProps/ctrlProp1902.xml><?xml version="1.0" encoding="utf-8"?>
<formControlPr xmlns="http://schemas.microsoft.com/office/spreadsheetml/2009/9/main" objectType="Button" lockText="1"/>
</file>

<file path=xl/ctrlProps/ctrlProp1903.xml><?xml version="1.0" encoding="utf-8"?>
<formControlPr xmlns="http://schemas.microsoft.com/office/spreadsheetml/2009/9/main" objectType="Button" lockText="1"/>
</file>

<file path=xl/ctrlProps/ctrlProp1904.xml><?xml version="1.0" encoding="utf-8"?>
<formControlPr xmlns="http://schemas.microsoft.com/office/spreadsheetml/2009/9/main" objectType="Button" lockText="1"/>
</file>

<file path=xl/ctrlProps/ctrlProp1905.xml><?xml version="1.0" encoding="utf-8"?>
<formControlPr xmlns="http://schemas.microsoft.com/office/spreadsheetml/2009/9/main" objectType="Button" lockText="1"/>
</file>

<file path=xl/ctrlProps/ctrlProp1906.xml><?xml version="1.0" encoding="utf-8"?>
<formControlPr xmlns="http://schemas.microsoft.com/office/spreadsheetml/2009/9/main" objectType="Button" lockText="1"/>
</file>

<file path=xl/ctrlProps/ctrlProp1907.xml><?xml version="1.0" encoding="utf-8"?>
<formControlPr xmlns="http://schemas.microsoft.com/office/spreadsheetml/2009/9/main" objectType="Button" lockText="1"/>
</file>

<file path=xl/ctrlProps/ctrlProp1908.xml><?xml version="1.0" encoding="utf-8"?>
<formControlPr xmlns="http://schemas.microsoft.com/office/spreadsheetml/2009/9/main" objectType="Button" lockText="1"/>
</file>

<file path=xl/ctrlProps/ctrlProp1909.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10.xml><?xml version="1.0" encoding="utf-8"?>
<formControlPr xmlns="http://schemas.microsoft.com/office/spreadsheetml/2009/9/main" objectType="Button" lockText="1"/>
</file>

<file path=xl/ctrlProps/ctrlProp1911.xml><?xml version="1.0" encoding="utf-8"?>
<formControlPr xmlns="http://schemas.microsoft.com/office/spreadsheetml/2009/9/main" objectType="Button" lockText="1"/>
</file>

<file path=xl/ctrlProps/ctrlProp1912.xml><?xml version="1.0" encoding="utf-8"?>
<formControlPr xmlns="http://schemas.microsoft.com/office/spreadsheetml/2009/9/main" objectType="Button" lockText="1"/>
</file>

<file path=xl/ctrlProps/ctrlProp1913.xml><?xml version="1.0" encoding="utf-8"?>
<formControlPr xmlns="http://schemas.microsoft.com/office/spreadsheetml/2009/9/main" objectType="Button" lockText="1"/>
</file>

<file path=xl/ctrlProps/ctrlProp1914.xml><?xml version="1.0" encoding="utf-8"?>
<formControlPr xmlns="http://schemas.microsoft.com/office/spreadsheetml/2009/9/main" objectType="Button" lockText="1"/>
</file>

<file path=xl/ctrlProps/ctrlProp1915.xml><?xml version="1.0" encoding="utf-8"?>
<formControlPr xmlns="http://schemas.microsoft.com/office/spreadsheetml/2009/9/main" objectType="Button" lockText="1"/>
</file>

<file path=xl/ctrlProps/ctrlProp1916.xml><?xml version="1.0" encoding="utf-8"?>
<formControlPr xmlns="http://schemas.microsoft.com/office/spreadsheetml/2009/9/main" objectType="Button" lockText="1"/>
</file>

<file path=xl/ctrlProps/ctrlProp1917.xml><?xml version="1.0" encoding="utf-8"?>
<formControlPr xmlns="http://schemas.microsoft.com/office/spreadsheetml/2009/9/main" objectType="Button" lockText="1"/>
</file>

<file path=xl/ctrlProps/ctrlProp1918.xml><?xml version="1.0" encoding="utf-8"?>
<formControlPr xmlns="http://schemas.microsoft.com/office/spreadsheetml/2009/9/main" objectType="Button" lockText="1"/>
</file>

<file path=xl/ctrlProps/ctrlProp1919.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20.xml><?xml version="1.0" encoding="utf-8"?>
<formControlPr xmlns="http://schemas.microsoft.com/office/spreadsheetml/2009/9/main" objectType="Button" lockText="1"/>
</file>

<file path=xl/ctrlProps/ctrlProp1921.xml><?xml version="1.0" encoding="utf-8"?>
<formControlPr xmlns="http://schemas.microsoft.com/office/spreadsheetml/2009/9/main" objectType="Button" lockText="1"/>
</file>

<file path=xl/ctrlProps/ctrlProp1922.xml><?xml version="1.0" encoding="utf-8"?>
<formControlPr xmlns="http://schemas.microsoft.com/office/spreadsheetml/2009/9/main" objectType="Button" lockText="1"/>
</file>

<file path=xl/ctrlProps/ctrlProp1923.xml><?xml version="1.0" encoding="utf-8"?>
<formControlPr xmlns="http://schemas.microsoft.com/office/spreadsheetml/2009/9/main" objectType="Button" lockText="1"/>
</file>

<file path=xl/ctrlProps/ctrlProp1924.xml><?xml version="1.0" encoding="utf-8"?>
<formControlPr xmlns="http://schemas.microsoft.com/office/spreadsheetml/2009/9/main" objectType="Button" lockText="1"/>
</file>

<file path=xl/ctrlProps/ctrlProp1925.xml><?xml version="1.0" encoding="utf-8"?>
<formControlPr xmlns="http://schemas.microsoft.com/office/spreadsheetml/2009/9/main" objectType="Button" lockText="1"/>
</file>

<file path=xl/ctrlProps/ctrlProp1926.xml><?xml version="1.0" encoding="utf-8"?>
<formControlPr xmlns="http://schemas.microsoft.com/office/spreadsheetml/2009/9/main" objectType="Button" lockText="1"/>
</file>

<file path=xl/ctrlProps/ctrlProp1927.xml><?xml version="1.0" encoding="utf-8"?>
<formControlPr xmlns="http://schemas.microsoft.com/office/spreadsheetml/2009/9/main" objectType="Button" lockText="1"/>
</file>

<file path=xl/ctrlProps/ctrlProp1928.xml><?xml version="1.0" encoding="utf-8"?>
<formControlPr xmlns="http://schemas.microsoft.com/office/spreadsheetml/2009/9/main" objectType="Button" lockText="1"/>
</file>

<file path=xl/ctrlProps/ctrlProp1929.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30.xml><?xml version="1.0" encoding="utf-8"?>
<formControlPr xmlns="http://schemas.microsoft.com/office/spreadsheetml/2009/9/main" objectType="Button" lockText="1"/>
</file>

<file path=xl/ctrlProps/ctrlProp1931.xml><?xml version="1.0" encoding="utf-8"?>
<formControlPr xmlns="http://schemas.microsoft.com/office/spreadsheetml/2009/9/main" objectType="Button" lockText="1"/>
</file>

<file path=xl/ctrlProps/ctrlProp1932.xml><?xml version="1.0" encoding="utf-8"?>
<formControlPr xmlns="http://schemas.microsoft.com/office/spreadsheetml/2009/9/main" objectType="Button" lockText="1"/>
</file>

<file path=xl/ctrlProps/ctrlProp1933.xml><?xml version="1.0" encoding="utf-8"?>
<formControlPr xmlns="http://schemas.microsoft.com/office/spreadsheetml/2009/9/main" objectType="Button" lockText="1"/>
</file>

<file path=xl/ctrlProps/ctrlProp1934.xml><?xml version="1.0" encoding="utf-8"?>
<formControlPr xmlns="http://schemas.microsoft.com/office/spreadsheetml/2009/9/main" objectType="Button" lockText="1"/>
</file>

<file path=xl/ctrlProps/ctrlProp1935.xml><?xml version="1.0" encoding="utf-8"?>
<formControlPr xmlns="http://schemas.microsoft.com/office/spreadsheetml/2009/9/main" objectType="Button" lockText="1"/>
</file>

<file path=xl/ctrlProps/ctrlProp1936.xml><?xml version="1.0" encoding="utf-8"?>
<formControlPr xmlns="http://schemas.microsoft.com/office/spreadsheetml/2009/9/main" objectType="Button" lockText="1"/>
</file>

<file path=xl/ctrlProps/ctrlProp1937.xml><?xml version="1.0" encoding="utf-8"?>
<formControlPr xmlns="http://schemas.microsoft.com/office/spreadsheetml/2009/9/main" objectType="Button" lockText="1"/>
</file>

<file path=xl/ctrlProps/ctrlProp1938.xml><?xml version="1.0" encoding="utf-8"?>
<formControlPr xmlns="http://schemas.microsoft.com/office/spreadsheetml/2009/9/main" objectType="Button" lockText="1"/>
</file>

<file path=xl/ctrlProps/ctrlProp1939.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40.xml><?xml version="1.0" encoding="utf-8"?>
<formControlPr xmlns="http://schemas.microsoft.com/office/spreadsheetml/2009/9/main" objectType="Button" lockText="1"/>
</file>

<file path=xl/ctrlProps/ctrlProp1941.xml><?xml version="1.0" encoding="utf-8"?>
<formControlPr xmlns="http://schemas.microsoft.com/office/spreadsheetml/2009/9/main" objectType="Button" lockText="1"/>
</file>

<file path=xl/ctrlProps/ctrlProp1942.xml><?xml version="1.0" encoding="utf-8"?>
<formControlPr xmlns="http://schemas.microsoft.com/office/spreadsheetml/2009/9/main" objectType="Button" lockText="1"/>
</file>

<file path=xl/ctrlProps/ctrlProp1943.xml><?xml version="1.0" encoding="utf-8"?>
<formControlPr xmlns="http://schemas.microsoft.com/office/spreadsheetml/2009/9/main" objectType="Button" lockText="1"/>
</file>

<file path=xl/ctrlProps/ctrlProp1944.xml><?xml version="1.0" encoding="utf-8"?>
<formControlPr xmlns="http://schemas.microsoft.com/office/spreadsheetml/2009/9/main" objectType="Button" lockText="1"/>
</file>

<file path=xl/ctrlProps/ctrlProp1945.xml><?xml version="1.0" encoding="utf-8"?>
<formControlPr xmlns="http://schemas.microsoft.com/office/spreadsheetml/2009/9/main" objectType="Button" lockText="1"/>
</file>

<file path=xl/ctrlProps/ctrlProp1946.xml><?xml version="1.0" encoding="utf-8"?>
<formControlPr xmlns="http://schemas.microsoft.com/office/spreadsheetml/2009/9/main" objectType="Button" lockText="1"/>
</file>

<file path=xl/ctrlProps/ctrlProp1947.xml><?xml version="1.0" encoding="utf-8"?>
<formControlPr xmlns="http://schemas.microsoft.com/office/spreadsheetml/2009/9/main" objectType="Button" lockText="1"/>
</file>

<file path=xl/ctrlProps/ctrlProp1948.xml><?xml version="1.0" encoding="utf-8"?>
<formControlPr xmlns="http://schemas.microsoft.com/office/spreadsheetml/2009/9/main" objectType="Button" lockText="1"/>
</file>

<file path=xl/ctrlProps/ctrlProp1949.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50.xml><?xml version="1.0" encoding="utf-8"?>
<formControlPr xmlns="http://schemas.microsoft.com/office/spreadsheetml/2009/9/main" objectType="Button" lockText="1"/>
</file>

<file path=xl/ctrlProps/ctrlProp1951.xml><?xml version="1.0" encoding="utf-8"?>
<formControlPr xmlns="http://schemas.microsoft.com/office/spreadsheetml/2009/9/main" objectType="Button" lockText="1"/>
</file>

<file path=xl/ctrlProps/ctrlProp1952.xml><?xml version="1.0" encoding="utf-8"?>
<formControlPr xmlns="http://schemas.microsoft.com/office/spreadsheetml/2009/9/main" objectType="Button" lockText="1"/>
</file>

<file path=xl/ctrlProps/ctrlProp1953.xml><?xml version="1.0" encoding="utf-8"?>
<formControlPr xmlns="http://schemas.microsoft.com/office/spreadsheetml/2009/9/main" objectType="Button" lockText="1"/>
</file>

<file path=xl/ctrlProps/ctrlProp1954.xml><?xml version="1.0" encoding="utf-8"?>
<formControlPr xmlns="http://schemas.microsoft.com/office/spreadsheetml/2009/9/main" objectType="Button" lockText="1"/>
</file>

<file path=xl/ctrlProps/ctrlProp1955.xml><?xml version="1.0" encoding="utf-8"?>
<formControlPr xmlns="http://schemas.microsoft.com/office/spreadsheetml/2009/9/main" objectType="Button" lockText="1"/>
</file>

<file path=xl/ctrlProps/ctrlProp1956.xml><?xml version="1.0" encoding="utf-8"?>
<formControlPr xmlns="http://schemas.microsoft.com/office/spreadsheetml/2009/9/main" objectType="Button" lockText="1"/>
</file>

<file path=xl/ctrlProps/ctrlProp1957.xml><?xml version="1.0" encoding="utf-8"?>
<formControlPr xmlns="http://schemas.microsoft.com/office/spreadsheetml/2009/9/main" objectType="Button" lockText="1"/>
</file>

<file path=xl/ctrlProps/ctrlProp1958.xml><?xml version="1.0" encoding="utf-8"?>
<formControlPr xmlns="http://schemas.microsoft.com/office/spreadsheetml/2009/9/main" objectType="Button" lockText="1"/>
</file>

<file path=xl/ctrlProps/ctrlProp1959.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60.xml><?xml version="1.0" encoding="utf-8"?>
<formControlPr xmlns="http://schemas.microsoft.com/office/spreadsheetml/2009/9/main" objectType="Button" lockText="1"/>
</file>

<file path=xl/ctrlProps/ctrlProp1961.xml><?xml version="1.0" encoding="utf-8"?>
<formControlPr xmlns="http://schemas.microsoft.com/office/spreadsheetml/2009/9/main" objectType="Button" lockText="1"/>
</file>

<file path=xl/ctrlProps/ctrlProp1962.xml><?xml version="1.0" encoding="utf-8"?>
<formControlPr xmlns="http://schemas.microsoft.com/office/spreadsheetml/2009/9/main" objectType="Button" lockText="1"/>
</file>

<file path=xl/ctrlProps/ctrlProp1963.xml><?xml version="1.0" encoding="utf-8"?>
<formControlPr xmlns="http://schemas.microsoft.com/office/spreadsheetml/2009/9/main" objectType="Button" lockText="1"/>
</file>

<file path=xl/ctrlProps/ctrlProp1964.xml><?xml version="1.0" encoding="utf-8"?>
<formControlPr xmlns="http://schemas.microsoft.com/office/spreadsheetml/2009/9/main" objectType="Button" lockText="1"/>
</file>

<file path=xl/ctrlProps/ctrlProp1965.xml><?xml version="1.0" encoding="utf-8"?>
<formControlPr xmlns="http://schemas.microsoft.com/office/spreadsheetml/2009/9/main" objectType="Button" lockText="1"/>
</file>

<file path=xl/ctrlProps/ctrlProp1966.xml><?xml version="1.0" encoding="utf-8"?>
<formControlPr xmlns="http://schemas.microsoft.com/office/spreadsheetml/2009/9/main" objectType="Button" lockText="1"/>
</file>

<file path=xl/ctrlProps/ctrlProp1967.xml><?xml version="1.0" encoding="utf-8"?>
<formControlPr xmlns="http://schemas.microsoft.com/office/spreadsheetml/2009/9/main" objectType="Button" lockText="1"/>
</file>

<file path=xl/ctrlProps/ctrlProp1968.xml><?xml version="1.0" encoding="utf-8"?>
<formControlPr xmlns="http://schemas.microsoft.com/office/spreadsheetml/2009/9/main" objectType="Button" lockText="1"/>
</file>

<file path=xl/ctrlProps/ctrlProp1969.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70.xml><?xml version="1.0" encoding="utf-8"?>
<formControlPr xmlns="http://schemas.microsoft.com/office/spreadsheetml/2009/9/main" objectType="Button" lockText="1"/>
</file>

<file path=xl/ctrlProps/ctrlProp1971.xml><?xml version="1.0" encoding="utf-8"?>
<formControlPr xmlns="http://schemas.microsoft.com/office/spreadsheetml/2009/9/main" objectType="Button" lockText="1"/>
</file>

<file path=xl/ctrlProps/ctrlProp1972.xml><?xml version="1.0" encoding="utf-8"?>
<formControlPr xmlns="http://schemas.microsoft.com/office/spreadsheetml/2009/9/main" objectType="Button" lockText="1"/>
</file>

<file path=xl/ctrlProps/ctrlProp1973.xml><?xml version="1.0" encoding="utf-8"?>
<formControlPr xmlns="http://schemas.microsoft.com/office/spreadsheetml/2009/9/main" objectType="Button" lockText="1"/>
</file>

<file path=xl/ctrlProps/ctrlProp1974.xml><?xml version="1.0" encoding="utf-8"?>
<formControlPr xmlns="http://schemas.microsoft.com/office/spreadsheetml/2009/9/main" objectType="Button" lockText="1"/>
</file>

<file path=xl/ctrlProps/ctrlProp1975.xml><?xml version="1.0" encoding="utf-8"?>
<formControlPr xmlns="http://schemas.microsoft.com/office/spreadsheetml/2009/9/main" objectType="Button" lockText="1"/>
</file>

<file path=xl/ctrlProps/ctrlProp1976.xml><?xml version="1.0" encoding="utf-8"?>
<formControlPr xmlns="http://schemas.microsoft.com/office/spreadsheetml/2009/9/main" objectType="Button" lockText="1"/>
</file>

<file path=xl/ctrlProps/ctrlProp1977.xml><?xml version="1.0" encoding="utf-8"?>
<formControlPr xmlns="http://schemas.microsoft.com/office/spreadsheetml/2009/9/main" objectType="Button" lockText="1"/>
</file>

<file path=xl/ctrlProps/ctrlProp1978.xml><?xml version="1.0" encoding="utf-8"?>
<formControlPr xmlns="http://schemas.microsoft.com/office/spreadsheetml/2009/9/main" objectType="Button" lockText="1"/>
</file>

<file path=xl/ctrlProps/ctrlProp1979.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80.xml><?xml version="1.0" encoding="utf-8"?>
<formControlPr xmlns="http://schemas.microsoft.com/office/spreadsheetml/2009/9/main" objectType="Button" lockText="1"/>
</file>

<file path=xl/ctrlProps/ctrlProp1981.xml><?xml version="1.0" encoding="utf-8"?>
<formControlPr xmlns="http://schemas.microsoft.com/office/spreadsheetml/2009/9/main" objectType="Button" lockText="1"/>
</file>

<file path=xl/ctrlProps/ctrlProp1982.xml><?xml version="1.0" encoding="utf-8"?>
<formControlPr xmlns="http://schemas.microsoft.com/office/spreadsheetml/2009/9/main" objectType="Button" lockText="1"/>
</file>

<file path=xl/ctrlProps/ctrlProp1983.xml><?xml version="1.0" encoding="utf-8"?>
<formControlPr xmlns="http://schemas.microsoft.com/office/spreadsheetml/2009/9/main" objectType="Button" lockText="1"/>
</file>

<file path=xl/ctrlProps/ctrlProp1984.xml><?xml version="1.0" encoding="utf-8"?>
<formControlPr xmlns="http://schemas.microsoft.com/office/spreadsheetml/2009/9/main" objectType="Button" lockText="1"/>
</file>

<file path=xl/ctrlProps/ctrlProp1985.xml><?xml version="1.0" encoding="utf-8"?>
<formControlPr xmlns="http://schemas.microsoft.com/office/spreadsheetml/2009/9/main" objectType="Button" lockText="1"/>
</file>

<file path=xl/ctrlProps/ctrlProp1986.xml><?xml version="1.0" encoding="utf-8"?>
<formControlPr xmlns="http://schemas.microsoft.com/office/spreadsheetml/2009/9/main" objectType="Button" lockText="1"/>
</file>

<file path=xl/ctrlProps/ctrlProp1987.xml><?xml version="1.0" encoding="utf-8"?>
<formControlPr xmlns="http://schemas.microsoft.com/office/spreadsheetml/2009/9/main" objectType="Button" lockText="1"/>
</file>

<file path=xl/ctrlProps/ctrlProp1988.xml><?xml version="1.0" encoding="utf-8"?>
<formControlPr xmlns="http://schemas.microsoft.com/office/spreadsheetml/2009/9/main" objectType="Button" lockText="1"/>
</file>

<file path=xl/ctrlProps/ctrlProp1989.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1990.xml><?xml version="1.0" encoding="utf-8"?>
<formControlPr xmlns="http://schemas.microsoft.com/office/spreadsheetml/2009/9/main" objectType="Button" lockText="1"/>
</file>

<file path=xl/ctrlProps/ctrlProp1991.xml><?xml version="1.0" encoding="utf-8"?>
<formControlPr xmlns="http://schemas.microsoft.com/office/spreadsheetml/2009/9/main" objectType="Button" lockText="1"/>
</file>

<file path=xl/ctrlProps/ctrlProp1992.xml><?xml version="1.0" encoding="utf-8"?>
<formControlPr xmlns="http://schemas.microsoft.com/office/spreadsheetml/2009/9/main" objectType="Button" lockText="1"/>
</file>

<file path=xl/ctrlProps/ctrlProp1993.xml><?xml version="1.0" encoding="utf-8"?>
<formControlPr xmlns="http://schemas.microsoft.com/office/spreadsheetml/2009/9/main" objectType="Button" lockText="1"/>
</file>

<file path=xl/ctrlProps/ctrlProp1994.xml><?xml version="1.0" encoding="utf-8"?>
<formControlPr xmlns="http://schemas.microsoft.com/office/spreadsheetml/2009/9/main" objectType="Button" lockText="1"/>
</file>

<file path=xl/ctrlProps/ctrlProp1995.xml><?xml version="1.0" encoding="utf-8"?>
<formControlPr xmlns="http://schemas.microsoft.com/office/spreadsheetml/2009/9/main" objectType="Button" lockText="1"/>
</file>

<file path=xl/ctrlProps/ctrlProp1996.xml><?xml version="1.0" encoding="utf-8"?>
<formControlPr xmlns="http://schemas.microsoft.com/office/spreadsheetml/2009/9/main" objectType="Button" lockText="1"/>
</file>

<file path=xl/ctrlProps/ctrlProp1997.xml><?xml version="1.0" encoding="utf-8"?>
<formControlPr xmlns="http://schemas.microsoft.com/office/spreadsheetml/2009/9/main" objectType="Button" lockText="1"/>
</file>

<file path=xl/ctrlProps/ctrlProp1998.xml><?xml version="1.0" encoding="utf-8"?>
<formControlPr xmlns="http://schemas.microsoft.com/office/spreadsheetml/2009/9/main" objectType="Button" lockText="1"/>
</file>

<file path=xl/ctrlProps/ctrlProp19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00.xml><?xml version="1.0" encoding="utf-8"?>
<formControlPr xmlns="http://schemas.microsoft.com/office/spreadsheetml/2009/9/main" objectType="Button" lockText="1"/>
</file>

<file path=xl/ctrlProps/ctrlProp2001.xml><?xml version="1.0" encoding="utf-8"?>
<formControlPr xmlns="http://schemas.microsoft.com/office/spreadsheetml/2009/9/main" objectType="Button" lockText="1"/>
</file>

<file path=xl/ctrlProps/ctrlProp2002.xml><?xml version="1.0" encoding="utf-8"?>
<formControlPr xmlns="http://schemas.microsoft.com/office/spreadsheetml/2009/9/main" objectType="Button" lockText="1"/>
</file>

<file path=xl/ctrlProps/ctrlProp2003.xml><?xml version="1.0" encoding="utf-8"?>
<formControlPr xmlns="http://schemas.microsoft.com/office/spreadsheetml/2009/9/main" objectType="Button" lockText="1"/>
</file>

<file path=xl/ctrlProps/ctrlProp2004.xml><?xml version="1.0" encoding="utf-8"?>
<formControlPr xmlns="http://schemas.microsoft.com/office/spreadsheetml/2009/9/main" objectType="Button" lockText="1"/>
</file>

<file path=xl/ctrlProps/ctrlProp2005.xml><?xml version="1.0" encoding="utf-8"?>
<formControlPr xmlns="http://schemas.microsoft.com/office/spreadsheetml/2009/9/main" objectType="Button" lockText="1"/>
</file>

<file path=xl/ctrlProps/ctrlProp2006.xml><?xml version="1.0" encoding="utf-8"?>
<formControlPr xmlns="http://schemas.microsoft.com/office/spreadsheetml/2009/9/main" objectType="Button" lockText="1"/>
</file>

<file path=xl/ctrlProps/ctrlProp2007.xml><?xml version="1.0" encoding="utf-8"?>
<formControlPr xmlns="http://schemas.microsoft.com/office/spreadsheetml/2009/9/main" objectType="Button" lockText="1"/>
</file>

<file path=xl/ctrlProps/ctrlProp2008.xml><?xml version="1.0" encoding="utf-8"?>
<formControlPr xmlns="http://schemas.microsoft.com/office/spreadsheetml/2009/9/main" objectType="Button" lockText="1"/>
</file>

<file path=xl/ctrlProps/ctrlProp2009.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10.xml><?xml version="1.0" encoding="utf-8"?>
<formControlPr xmlns="http://schemas.microsoft.com/office/spreadsheetml/2009/9/main" objectType="Button" lockText="1"/>
</file>

<file path=xl/ctrlProps/ctrlProp2011.xml><?xml version="1.0" encoding="utf-8"?>
<formControlPr xmlns="http://schemas.microsoft.com/office/spreadsheetml/2009/9/main" objectType="Button" lockText="1"/>
</file>

<file path=xl/ctrlProps/ctrlProp2012.xml><?xml version="1.0" encoding="utf-8"?>
<formControlPr xmlns="http://schemas.microsoft.com/office/spreadsheetml/2009/9/main" objectType="Button" lockText="1"/>
</file>

<file path=xl/ctrlProps/ctrlProp2013.xml><?xml version="1.0" encoding="utf-8"?>
<formControlPr xmlns="http://schemas.microsoft.com/office/spreadsheetml/2009/9/main" objectType="Button" lockText="1"/>
</file>

<file path=xl/ctrlProps/ctrlProp2014.xml><?xml version="1.0" encoding="utf-8"?>
<formControlPr xmlns="http://schemas.microsoft.com/office/spreadsheetml/2009/9/main" objectType="Button" lockText="1"/>
</file>

<file path=xl/ctrlProps/ctrlProp2015.xml><?xml version="1.0" encoding="utf-8"?>
<formControlPr xmlns="http://schemas.microsoft.com/office/spreadsheetml/2009/9/main" objectType="Button" lockText="1"/>
</file>

<file path=xl/ctrlProps/ctrlProp2016.xml><?xml version="1.0" encoding="utf-8"?>
<formControlPr xmlns="http://schemas.microsoft.com/office/spreadsheetml/2009/9/main" objectType="Button" lockText="1"/>
</file>

<file path=xl/ctrlProps/ctrlProp2017.xml><?xml version="1.0" encoding="utf-8"?>
<formControlPr xmlns="http://schemas.microsoft.com/office/spreadsheetml/2009/9/main" objectType="Button" lockText="1"/>
</file>

<file path=xl/ctrlProps/ctrlProp2018.xml><?xml version="1.0" encoding="utf-8"?>
<formControlPr xmlns="http://schemas.microsoft.com/office/spreadsheetml/2009/9/main" objectType="Button" lockText="1"/>
</file>

<file path=xl/ctrlProps/ctrlProp2019.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20.xml><?xml version="1.0" encoding="utf-8"?>
<formControlPr xmlns="http://schemas.microsoft.com/office/spreadsheetml/2009/9/main" objectType="Button" lockText="1"/>
</file>

<file path=xl/ctrlProps/ctrlProp2021.xml><?xml version="1.0" encoding="utf-8"?>
<formControlPr xmlns="http://schemas.microsoft.com/office/spreadsheetml/2009/9/main" objectType="Button" lockText="1"/>
</file>

<file path=xl/ctrlProps/ctrlProp2022.xml><?xml version="1.0" encoding="utf-8"?>
<formControlPr xmlns="http://schemas.microsoft.com/office/spreadsheetml/2009/9/main" objectType="Button" lockText="1"/>
</file>

<file path=xl/ctrlProps/ctrlProp2023.xml><?xml version="1.0" encoding="utf-8"?>
<formControlPr xmlns="http://schemas.microsoft.com/office/spreadsheetml/2009/9/main" objectType="Button" lockText="1"/>
</file>

<file path=xl/ctrlProps/ctrlProp2024.xml><?xml version="1.0" encoding="utf-8"?>
<formControlPr xmlns="http://schemas.microsoft.com/office/spreadsheetml/2009/9/main" objectType="Button" lockText="1"/>
</file>

<file path=xl/ctrlProps/ctrlProp2025.xml><?xml version="1.0" encoding="utf-8"?>
<formControlPr xmlns="http://schemas.microsoft.com/office/spreadsheetml/2009/9/main" objectType="Button" lockText="1"/>
</file>

<file path=xl/ctrlProps/ctrlProp2026.xml><?xml version="1.0" encoding="utf-8"?>
<formControlPr xmlns="http://schemas.microsoft.com/office/spreadsheetml/2009/9/main" objectType="Button" lockText="1"/>
</file>

<file path=xl/ctrlProps/ctrlProp2027.xml><?xml version="1.0" encoding="utf-8"?>
<formControlPr xmlns="http://schemas.microsoft.com/office/spreadsheetml/2009/9/main" objectType="Button" lockText="1"/>
</file>

<file path=xl/ctrlProps/ctrlProp2028.xml><?xml version="1.0" encoding="utf-8"?>
<formControlPr xmlns="http://schemas.microsoft.com/office/spreadsheetml/2009/9/main" objectType="Button" lockText="1"/>
</file>

<file path=xl/ctrlProps/ctrlProp2029.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30.xml><?xml version="1.0" encoding="utf-8"?>
<formControlPr xmlns="http://schemas.microsoft.com/office/spreadsheetml/2009/9/main" objectType="Button" lockText="1"/>
</file>

<file path=xl/ctrlProps/ctrlProp2031.xml><?xml version="1.0" encoding="utf-8"?>
<formControlPr xmlns="http://schemas.microsoft.com/office/spreadsheetml/2009/9/main" objectType="Button" lockText="1"/>
</file>

<file path=xl/ctrlProps/ctrlProp2032.xml><?xml version="1.0" encoding="utf-8"?>
<formControlPr xmlns="http://schemas.microsoft.com/office/spreadsheetml/2009/9/main" objectType="Button" lockText="1"/>
</file>

<file path=xl/ctrlProps/ctrlProp2033.xml><?xml version="1.0" encoding="utf-8"?>
<formControlPr xmlns="http://schemas.microsoft.com/office/spreadsheetml/2009/9/main" objectType="Button" lockText="1"/>
</file>

<file path=xl/ctrlProps/ctrlProp2034.xml><?xml version="1.0" encoding="utf-8"?>
<formControlPr xmlns="http://schemas.microsoft.com/office/spreadsheetml/2009/9/main" objectType="Button" lockText="1"/>
</file>

<file path=xl/ctrlProps/ctrlProp2035.xml><?xml version="1.0" encoding="utf-8"?>
<formControlPr xmlns="http://schemas.microsoft.com/office/spreadsheetml/2009/9/main" objectType="Button" lockText="1"/>
</file>

<file path=xl/ctrlProps/ctrlProp2036.xml><?xml version="1.0" encoding="utf-8"?>
<formControlPr xmlns="http://schemas.microsoft.com/office/spreadsheetml/2009/9/main" objectType="Button" lockText="1"/>
</file>

<file path=xl/ctrlProps/ctrlProp2037.xml><?xml version="1.0" encoding="utf-8"?>
<formControlPr xmlns="http://schemas.microsoft.com/office/spreadsheetml/2009/9/main" objectType="Button" lockText="1"/>
</file>

<file path=xl/ctrlProps/ctrlProp2038.xml><?xml version="1.0" encoding="utf-8"?>
<formControlPr xmlns="http://schemas.microsoft.com/office/spreadsheetml/2009/9/main" objectType="Button" lockText="1"/>
</file>

<file path=xl/ctrlProps/ctrlProp2039.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40.xml><?xml version="1.0" encoding="utf-8"?>
<formControlPr xmlns="http://schemas.microsoft.com/office/spreadsheetml/2009/9/main" objectType="Button" lockText="1"/>
</file>

<file path=xl/ctrlProps/ctrlProp2041.xml><?xml version="1.0" encoding="utf-8"?>
<formControlPr xmlns="http://schemas.microsoft.com/office/spreadsheetml/2009/9/main" objectType="Button" lockText="1"/>
</file>

<file path=xl/ctrlProps/ctrlProp2042.xml><?xml version="1.0" encoding="utf-8"?>
<formControlPr xmlns="http://schemas.microsoft.com/office/spreadsheetml/2009/9/main" objectType="Button" lockText="1"/>
</file>

<file path=xl/ctrlProps/ctrlProp2043.xml><?xml version="1.0" encoding="utf-8"?>
<formControlPr xmlns="http://schemas.microsoft.com/office/spreadsheetml/2009/9/main" objectType="Button" lockText="1"/>
</file>

<file path=xl/ctrlProps/ctrlProp2044.xml><?xml version="1.0" encoding="utf-8"?>
<formControlPr xmlns="http://schemas.microsoft.com/office/spreadsheetml/2009/9/main" objectType="Button" lockText="1"/>
</file>

<file path=xl/ctrlProps/ctrlProp2045.xml><?xml version="1.0" encoding="utf-8"?>
<formControlPr xmlns="http://schemas.microsoft.com/office/spreadsheetml/2009/9/main" objectType="Button" lockText="1"/>
</file>

<file path=xl/ctrlProps/ctrlProp2046.xml><?xml version="1.0" encoding="utf-8"?>
<formControlPr xmlns="http://schemas.microsoft.com/office/spreadsheetml/2009/9/main" objectType="Button" lockText="1"/>
</file>

<file path=xl/ctrlProps/ctrlProp2047.xml><?xml version="1.0" encoding="utf-8"?>
<formControlPr xmlns="http://schemas.microsoft.com/office/spreadsheetml/2009/9/main" objectType="Button" lockText="1"/>
</file>

<file path=xl/ctrlProps/ctrlProp2048.xml><?xml version="1.0" encoding="utf-8"?>
<formControlPr xmlns="http://schemas.microsoft.com/office/spreadsheetml/2009/9/main" objectType="Button" lockText="1"/>
</file>

<file path=xl/ctrlProps/ctrlProp2049.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50.xml><?xml version="1.0" encoding="utf-8"?>
<formControlPr xmlns="http://schemas.microsoft.com/office/spreadsheetml/2009/9/main" objectType="Button" lockText="1"/>
</file>

<file path=xl/ctrlProps/ctrlProp2051.xml><?xml version="1.0" encoding="utf-8"?>
<formControlPr xmlns="http://schemas.microsoft.com/office/spreadsheetml/2009/9/main" objectType="Button" lockText="1"/>
</file>

<file path=xl/ctrlProps/ctrlProp2052.xml><?xml version="1.0" encoding="utf-8"?>
<formControlPr xmlns="http://schemas.microsoft.com/office/spreadsheetml/2009/9/main" objectType="Button" lockText="1"/>
</file>

<file path=xl/ctrlProps/ctrlProp2053.xml><?xml version="1.0" encoding="utf-8"?>
<formControlPr xmlns="http://schemas.microsoft.com/office/spreadsheetml/2009/9/main" objectType="Button" lockText="1"/>
</file>

<file path=xl/ctrlProps/ctrlProp2054.xml><?xml version="1.0" encoding="utf-8"?>
<formControlPr xmlns="http://schemas.microsoft.com/office/spreadsheetml/2009/9/main" objectType="Button" lockText="1"/>
</file>

<file path=xl/ctrlProps/ctrlProp2055.xml><?xml version="1.0" encoding="utf-8"?>
<formControlPr xmlns="http://schemas.microsoft.com/office/spreadsheetml/2009/9/main" objectType="Button" lockText="1"/>
</file>

<file path=xl/ctrlProps/ctrlProp2056.xml><?xml version="1.0" encoding="utf-8"?>
<formControlPr xmlns="http://schemas.microsoft.com/office/spreadsheetml/2009/9/main" objectType="Button" lockText="1"/>
</file>

<file path=xl/ctrlProps/ctrlProp2057.xml><?xml version="1.0" encoding="utf-8"?>
<formControlPr xmlns="http://schemas.microsoft.com/office/spreadsheetml/2009/9/main" objectType="Button" lockText="1"/>
</file>

<file path=xl/ctrlProps/ctrlProp2058.xml><?xml version="1.0" encoding="utf-8"?>
<formControlPr xmlns="http://schemas.microsoft.com/office/spreadsheetml/2009/9/main" objectType="Button" lockText="1"/>
</file>

<file path=xl/ctrlProps/ctrlProp2059.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60.xml><?xml version="1.0" encoding="utf-8"?>
<formControlPr xmlns="http://schemas.microsoft.com/office/spreadsheetml/2009/9/main" objectType="Button" lockText="1"/>
</file>

<file path=xl/ctrlProps/ctrlProp2061.xml><?xml version="1.0" encoding="utf-8"?>
<formControlPr xmlns="http://schemas.microsoft.com/office/spreadsheetml/2009/9/main" objectType="Button" lockText="1"/>
</file>

<file path=xl/ctrlProps/ctrlProp2062.xml><?xml version="1.0" encoding="utf-8"?>
<formControlPr xmlns="http://schemas.microsoft.com/office/spreadsheetml/2009/9/main" objectType="Button" lockText="1"/>
</file>

<file path=xl/ctrlProps/ctrlProp2063.xml><?xml version="1.0" encoding="utf-8"?>
<formControlPr xmlns="http://schemas.microsoft.com/office/spreadsheetml/2009/9/main" objectType="Button" lockText="1"/>
</file>

<file path=xl/ctrlProps/ctrlProp2064.xml><?xml version="1.0" encoding="utf-8"?>
<formControlPr xmlns="http://schemas.microsoft.com/office/spreadsheetml/2009/9/main" objectType="Button" lockText="1"/>
</file>

<file path=xl/ctrlProps/ctrlProp2065.xml><?xml version="1.0" encoding="utf-8"?>
<formControlPr xmlns="http://schemas.microsoft.com/office/spreadsheetml/2009/9/main" objectType="Button" lockText="1"/>
</file>

<file path=xl/ctrlProps/ctrlProp2066.xml><?xml version="1.0" encoding="utf-8"?>
<formControlPr xmlns="http://schemas.microsoft.com/office/spreadsheetml/2009/9/main" objectType="Button" lockText="1"/>
</file>

<file path=xl/ctrlProps/ctrlProp2067.xml><?xml version="1.0" encoding="utf-8"?>
<formControlPr xmlns="http://schemas.microsoft.com/office/spreadsheetml/2009/9/main" objectType="Button" lockText="1"/>
</file>

<file path=xl/ctrlProps/ctrlProp2068.xml><?xml version="1.0" encoding="utf-8"?>
<formControlPr xmlns="http://schemas.microsoft.com/office/spreadsheetml/2009/9/main" objectType="Button" lockText="1"/>
</file>

<file path=xl/ctrlProps/ctrlProp2069.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70.xml><?xml version="1.0" encoding="utf-8"?>
<formControlPr xmlns="http://schemas.microsoft.com/office/spreadsheetml/2009/9/main" objectType="Button" lockText="1"/>
</file>

<file path=xl/ctrlProps/ctrlProp2071.xml><?xml version="1.0" encoding="utf-8"?>
<formControlPr xmlns="http://schemas.microsoft.com/office/spreadsheetml/2009/9/main" objectType="Button" lockText="1"/>
</file>

<file path=xl/ctrlProps/ctrlProp2072.xml><?xml version="1.0" encoding="utf-8"?>
<formControlPr xmlns="http://schemas.microsoft.com/office/spreadsheetml/2009/9/main" objectType="Button" lockText="1"/>
</file>

<file path=xl/ctrlProps/ctrlProp2073.xml><?xml version="1.0" encoding="utf-8"?>
<formControlPr xmlns="http://schemas.microsoft.com/office/spreadsheetml/2009/9/main" objectType="Button" lockText="1"/>
</file>

<file path=xl/ctrlProps/ctrlProp2074.xml><?xml version="1.0" encoding="utf-8"?>
<formControlPr xmlns="http://schemas.microsoft.com/office/spreadsheetml/2009/9/main" objectType="Button" lockText="1"/>
</file>

<file path=xl/ctrlProps/ctrlProp2075.xml><?xml version="1.0" encoding="utf-8"?>
<formControlPr xmlns="http://schemas.microsoft.com/office/spreadsheetml/2009/9/main" objectType="Button" lockText="1"/>
</file>

<file path=xl/ctrlProps/ctrlProp2076.xml><?xml version="1.0" encoding="utf-8"?>
<formControlPr xmlns="http://schemas.microsoft.com/office/spreadsheetml/2009/9/main" objectType="Button" lockText="1"/>
</file>

<file path=xl/ctrlProps/ctrlProp2077.xml><?xml version="1.0" encoding="utf-8"?>
<formControlPr xmlns="http://schemas.microsoft.com/office/spreadsheetml/2009/9/main" objectType="Button" lockText="1"/>
</file>

<file path=xl/ctrlProps/ctrlProp2078.xml><?xml version="1.0" encoding="utf-8"?>
<formControlPr xmlns="http://schemas.microsoft.com/office/spreadsheetml/2009/9/main" objectType="Button" lockText="1"/>
</file>

<file path=xl/ctrlProps/ctrlProp2079.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80.xml><?xml version="1.0" encoding="utf-8"?>
<formControlPr xmlns="http://schemas.microsoft.com/office/spreadsheetml/2009/9/main" objectType="Button" lockText="1"/>
</file>

<file path=xl/ctrlProps/ctrlProp2081.xml><?xml version="1.0" encoding="utf-8"?>
<formControlPr xmlns="http://schemas.microsoft.com/office/spreadsheetml/2009/9/main" objectType="Button" lockText="1"/>
</file>

<file path=xl/ctrlProps/ctrlProp2082.xml><?xml version="1.0" encoding="utf-8"?>
<formControlPr xmlns="http://schemas.microsoft.com/office/spreadsheetml/2009/9/main" objectType="Button" lockText="1"/>
</file>

<file path=xl/ctrlProps/ctrlProp2083.xml><?xml version="1.0" encoding="utf-8"?>
<formControlPr xmlns="http://schemas.microsoft.com/office/spreadsheetml/2009/9/main" objectType="Button" lockText="1"/>
</file>

<file path=xl/ctrlProps/ctrlProp2084.xml><?xml version="1.0" encoding="utf-8"?>
<formControlPr xmlns="http://schemas.microsoft.com/office/spreadsheetml/2009/9/main" objectType="Button" lockText="1"/>
</file>

<file path=xl/ctrlProps/ctrlProp2085.xml><?xml version="1.0" encoding="utf-8"?>
<formControlPr xmlns="http://schemas.microsoft.com/office/spreadsheetml/2009/9/main" objectType="Button" lockText="1"/>
</file>

<file path=xl/ctrlProps/ctrlProp2086.xml><?xml version="1.0" encoding="utf-8"?>
<formControlPr xmlns="http://schemas.microsoft.com/office/spreadsheetml/2009/9/main" objectType="Button" lockText="1"/>
</file>

<file path=xl/ctrlProps/ctrlProp2087.xml><?xml version="1.0" encoding="utf-8"?>
<formControlPr xmlns="http://schemas.microsoft.com/office/spreadsheetml/2009/9/main" objectType="Button" lockText="1"/>
</file>

<file path=xl/ctrlProps/ctrlProp2088.xml><?xml version="1.0" encoding="utf-8"?>
<formControlPr xmlns="http://schemas.microsoft.com/office/spreadsheetml/2009/9/main" objectType="Button" lockText="1"/>
</file>

<file path=xl/ctrlProps/ctrlProp2089.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090.xml><?xml version="1.0" encoding="utf-8"?>
<formControlPr xmlns="http://schemas.microsoft.com/office/spreadsheetml/2009/9/main" objectType="Button" lockText="1"/>
</file>

<file path=xl/ctrlProps/ctrlProp2091.xml><?xml version="1.0" encoding="utf-8"?>
<formControlPr xmlns="http://schemas.microsoft.com/office/spreadsheetml/2009/9/main" objectType="Button" lockText="1"/>
</file>

<file path=xl/ctrlProps/ctrlProp2092.xml><?xml version="1.0" encoding="utf-8"?>
<formControlPr xmlns="http://schemas.microsoft.com/office/spreadsheetml/2009/9/main" objectType="Button" lockText="1"/>
</file>

<file path=xl/ctrlProps/ctrlProp2093.xml><?xml version="1.0" encoding="utf-8"?>
<formControlPr xmlns="http://schemas.microsoft.com/office/spreadsheetml/2009/9/main" objectType="Button" lockText="1"/>
</file>

<file path=xl/ctrlProps/ctrlProp2094.xml><?xml version="1.0" encoding="utf-8"?>
<formControlPr xmlns="http://schemas.microsoft.com/office/spreadsheetml/2009/9/main" objectType="Button" lockText="1"/>
</file>

<file path=xl/ctrlProps/ctrlProp2095.xml><?xml version="1.0" encoding="utf-8"?>
<formControlPr xmlns="http://schemas.microsoft.com/office/spreadsheetml/2009/9/main" objectType="Button" lockText="1"/>
</file>

<file path=xl/ctrlProps/ctrlProp2096.xml><?xml version="1.0" encoding="utf-8"?>
<formControlPr xmlns="http://schemas.microsoft.com/office/spreadsheetml/2009/9/main" objectType="Button" lockText="1"/>
</file>

<file path=xl/ctrlProps/ctrlProp2097.xml><?xml version="1.0" encoding="utf-8"?>
<formControlPr xmlns="http://schemas.microsoft.com/office/spreadsheetml/2009/9/main" objectType="Button" lockText="1"/>
</file>

<file path=xl/ctrlProps/ctrlProp2098.xml><?xml version="1.0" encoding="utf-8"?>
<formControlPr xmlns="http://schemas.microsoft.com/office/spreadsheetml/2009/9/main" objectType="Button" lockText="1"/>
</file>

<file path=xl/ctrlProps/ctrlProp209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00.xml><?xml version="1.0" encoding="utf-8"?>
<formControlPr xmlns="http://schemas.microsoft.com/office/spreadsheetml/2009/9/main" objectType="Button" lockText="1"/>
</file>

<file path=xl/ctrlProps/ctrlProp2101.xml><?xml version="1.0" encoding="utf-8"?>
<formControlPr xmlns="http://schemas.microsoft.com/office/spreadsheetml/2009/9/main" objectType="Button" lockText="1"/>
</file>

<file path=xl/ctrlProps/ctrlProp2102.xml><?xml version="1.0" encoding="utf-8"?>
<formControlPr xmlns="http://schemas.microsoft.com/office/spreadsheetml/2009/9/main" objectType="Button" lockText="1"/>
</file>

<file path=xl/ctrlProps/ctrlProp2103.xml><?xml version="1.0" encoding="utf-8"?>
<formControlPr xmlns="http://schemas.microsoft.com/office/spreadsheetml/2009/9/main" objectType="Button" lockText="1"/>
</file>

<file path=xl/ctrlProps/ctrlProp2104.xml><?xml version="1.0" encoding="utf-8"?>
<formControlPr xmlns="http://schemas.microsoft.com/office/spreadsheetml/2009/9/main" objectType="Button" lockText="1"/>
</file>

<file path=xl/ctrlProps/ctrlProp2105.xml><?xml version="1.0" encoding="utf-8"?>
<formControlPr xmlns="http://schemas.microsoft.com/office/spreadsheetml/2009/9/main" objectType="Button" lockText="1"/>
</file>

<file path=xl/ctrlProps/ctrlProp2106.xml><?xml version="1.0" encoding="utf-8"?>
<formControlPr xmlns="http://schemas.microsoft.com/office/spreadsheetml/2009/9/main" objectType="Button" lockText="1"/>
</file>

<file path=xl/ctrlProps/ctrlProp2107.xml><?xml version="1.0" encoding="utf-8"?>
<formControlPr xmlns="http://schemas.microsoft.com/office/spreadsheetml/2009/9/main" objectType="Button" lockText="1"/>
</file>

<file path=xl/ctrlProps/ctrlProp2108.xml><?xml version="1.0" encoding="utf-8"?>
<formControlPr xmlns="http://schemas.microsoft.com/office/spreadsheetml/2009/9/main" objectType="Button" lockText="1"/>
</file>

<file path=xl/ctrlProps/ctrlProp2109.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10.xml><?xml version="1.0" encoding="utf-8"?>
<formControlPr xmlns="http://schemas.microsoft.com/office/spreadsheetml/2009/9/main" objectType="Button" lockText="1"/>
</file>

<file path=xl/ctrlProps/ctrlProp2111.xml><?xml version="1.0" encoding="utf-8"?>
<formControlPr xmlns="http://schemas.microsoft.com/office/spreadsheetml/2009/9/main" objectType="Button" lockText="1"/>
</file>

<file path=xl/ctrlProps/ctrlProp2112.xml><?xml version="1.0" encoding="utf-8"?>
<formControlPr xmlns="http://schemas.microsoft.com/office/spreadsheetml/2009/9/main" objectType="Button" lockText="1"/>
</file>

<file path=xl/ctrlProps/ctrlProp2113.xml><?xml version="1.0" encoding="utf-8"?>
<formControlPr xmlns="http://schemas.microsoft.com/office/spreadsheetml/2009/9/main" objectType="Button" lockText="1"/>
</file>

<file path=xl/ctrlProps/ctrlProp2114.xml><?xml version="1.0" encoding="utf-8"?>
<formControlPr xmlns="http://schemas.microsoft.com/office/spreadsheetml/2009/9/main" objectType="Button" lockText="1"/>
</file>

<file path=xl/ctrlProps/ctrlProp2115.xml><?xml version="1.0" encoding="utf-8"?>
<formControlPr xmlns="http://schemas.microsoft.com/office/spreadsheetml/2009/9/main" objectType="Button" lockText="1"/>
</file>

<file path=xl/ctrlProps/ctrlProp2116.xml><?xml version="1.0" encoding="utf-8"?>
<formControlPr xmlns="http://schemas.microsoft.com/office/spreadsheetml/2009/9/main" objectType="Button" lockText="1"/>
</file>

<file path=xl/ctrlProps/ctrlProp2117.xml><?xml version="1.0" encoding="utf-8"?>
<formControlPr xmlns="http://schemas.microsoft.com/office/spreadsheetml/2009/9/main" objectType="Button" lockText="1"/>
</file>

<file path=xl/ctrlProps/ctrlProp2118.xml><?xml version="1.0" encoding="utf-8"?>
<formControlPr xmlns="http://schemas.microsoft.com/office/spreadsheetml/2009/9/main" objectType="Button" lockText="1"/>
</file>

<file path=xl/ctrlProps/ctrlProp2119.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20.xml><?xml version="1.0" encoding="utf-8"?>
<formControlPr xmlns="http://schemas.microsoft.com/office/spreadsheetml/2009/9/main" objectType="Button" lockText="1"/>
</file>

<file path=xl/ctrlProps/ctrlProp2121.xml><?xml version="1.0" encoding="utf-8"?>
<formControlPr xmlns="http://schemas.microsoft.com/office/spreadsheetml/2009/9/main" objectType="Button" lockText="1"/>
</file>

<file path=xl/ctrlProps/ctrlProp2122.xml><?xml version="1.0" encoding="utf-8"?>
<formControlPr xmlns="http://schemas.microsoft.com/office/spreadsheetml/2009/9/main" objectType="Button" lockText="1"/>
</file>

<file path=xl/ctrlProps/ctrlProp2123.xml><?xml version="1.0" encoding="utf-8"?>
<formControlPr xmlns="http://schemas.microsoft.com/office/spreadsheetml/2009/9/main" objectType="Button" lockText="1"/>
</file>

<file path=xl/ctrlProps/ctrlProp2124.xml><?xml version="1.0" encoding="utf-8"?>
<formControlPr xmlns="http://schemas.microsoft.com/office/spreadsheetml/2009/9/main" objectType="Button" lockText="1"/>
</file>

<file path=xl/ctrlProps/ctrlProp2125.xml><?xml version="1.0" encoding="utf-8"?>
<formControlPr xmlns="http://schemas.microsoft.com/office/spreadsheetml/2009/9/main" objectType="Button" lockText="1"/>
</file>

<file path=xl/ctrlProps/ctrlProp2126.xml><?xml version="1.0" encoding="utf-8"?>
<formControlPr xmlns="http://schemas.microsoft.com/office/spreadsheetml/2009/9/main" objectType="Button" lockText="1"/>
</file>

<file path=xl/ctrlProps/ctrlProp2127.xml><?xml version="1.0" encoding="utf-8"?>
<formControlPr xmlns="http://schemas.microsoft.com/office/spreadsheetml/2009/9/main" objectType="Button" lockText="1"/>
</file>

<file path=xl/ctrlProps/ctrlProp2128.xml><?xml version="1.0" encoding="utf-8"?>
<formControlPr xmlns="http://schemas.microsoft.com/office/spreadsheetml/2009/9/main" objectType="Button" lockText="1"/>
</file>

<file path=xl/ctrlProps/ctrlProp2129.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30.xml><?xml version="1.0" encoding="utf-8"?>
<formControlPr xmlns="http://schemas.microsoft.com/office/spreadsheetml/2009/9/main" objectType="Button" lockText="1"/>
</file>

<file path=xl/ctrlProps/ctrlProp2131.xml><?xml version="1.0" encoding="utf-8"?>
<formControlPr xmlns="http://schemas.microsoft.com/office/spreadsheetml/2009/9/main" objectType="Button" lockText="1"/>
</file>

<file path=xl/ctrlProps/ctrlProp2132.xml><?xml version="1.0" encoding="utf-8"?>
<formControlPr xmlns="http://schemas.microsoft.com/office/spreadsheetml/2009/9/main" objectType="Button" lockText="1"/>
</file>

<file path=xl/ctrlProps/ctrlProp2133.xml><?xml version="1.0" encoding="utf-8"?>
<formControlPr xmlns="http://schemas.microsoft.com/office/spreadsheetml/2009/9/main" objectType="Button" lockText="1"/>
</file>

<file path=xl/ctrlProps/ctrlProp2134.xml><?xml version="1.0" encoding="utf-8"?>
<formControlPr xmlns="http://schemas.microsoft.com/office/spreadsheetml/2009/9/main" objectType="Button" lockText="1"/>
</file>

<file path=xl/ctrlProps/ctrlProp2135.xml><?xml version="1.0" encoding="utf-8"?>
<formControlPr xmlns="http://schemas.microsoft.com/office/spreadsheetml/2009/9/main" objectType="Button" lockText="1"/>
</file>

<file path=xl/ctrlProps/ctrlProp2136.xml><?xml version="1.0" encoding="utf-8"?>
<formControlPr xmlns="http://schemas.microsoft.com/office/spreadsheetml/2009/9/main" objectType="Button" lockText="1"/>
</file>

<file path=xl/ctrlProps/ctrlProp2137.xml><?xml version="1.0" encoding="utf-8"?>
<formControlPr xmlns="http://schemas.microsoft.com/office/spreadsheetml/2009/9/main" objectType="Button" lockText="1"/>
</file>

<file path=xl/ctrlProps/ctrlProp2138.xml><?xml version="1.0" encoding="utf-8"?>
<formControlPr xmlns="http://schemas.microsoft.com/office/spreadsheetml/2009/9/main" objectType="Button" lockText="1"/>
</file>

<file path=xl/ctrlProps/ctrlProp2139.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40.xml><?xml version="1.0" encoding="utf-8"?>
<formControlPr xmlns="http://schemas.microsoft.com/office/spreadsheetml/2009/9/main" objectType="Button" lockText="1"/>
</file>

<file path=xl/ctrlProps/ctrlProp2141.xml><?xml version="1.0" encoding="utf-8"?>
<formControlPr xmlns="http://schemas.microsoft.com/office/spreadsheetml/2009/9/main" objectType="Button" lockText="1"/>
</file>

<file path=xl/ctrlProps/ctrlProp2142.xml><?xml version="1.0" encoding="utf-8"?>
<formControlPr xmlns="http://schemas.microsoft.com/office/spreadsheetml/2009/9/main" objectType="Button" lockText="1"/>
</file>

<file path=xl/ctrlProps/ctrlProp2143.xml><?xml version="1.0" encoding="utf-8"?>
<formControlPr xmlns="http://schemas.microsoft.com/office/spreadsheetml/2009/9/main" objectType="Button" lockText="1"/>
</file>

<file path=xl/ctrlProps/ctrlProp2144.xml><?xml version="1.0" encoding="utf-8"?>
<formControlPr xmlns="http://schemas.microsoft.com/office/spreadsheetml/2009/9/main" objectType="Button" lockText="1"/>
</file>

<file path=xl/ctrlProps/ctrlProp2145.xml><?xml version="1.0" encoding="utf-8"?>
<formControlPr xmlns="http://schemas.microsoft.com/office/spreadsheetml/2009/9/main" objectType="Button" lockText="1"/>
</file>

<file path=xl/ctrlProps/ctrlProp2146.xml><?xml version="1.0" encoding="utf-8"?>
<formControlPr xmlns="http://schemas.microsoft.com/office/spreadsheetml/2009/9/main" objectType="Button" lockText="1"/>
</file>

<file path=xl/ctrlProps/ctrlProp2147.xml><?xml version="1.0" encoding="utf-8"?>
<formControlPr xmlns="http://schemas.microsoft.com/office/spreadsheetml/2009/9/main" objectType="Button" lockText="1"/>
</file>

<file path=xl/ctrlProps/ctrlProp2148.xml><?xml version="1.0" encoding="utf-8"?>
<formControlPr xmlns="http://schemas.microsoft.com/office/spreadsheetml/2009/9/main" objectType="Button" lockText="1"/>
</file>

<file path=xl/ctrlProps/ctrlProp2149.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50.xml><?xml version="1.0" encoding="utf-8"?>
<formControlPr xmlns="http://schemas.microsoft.com/office/spreadsheetml/2009/9/main" objectType="Button" lockText="1"/>
</file>

<file path=xl/ctrlProps/ctrlProp2151.xml><?xml version="1.0" encoding="utf-8"?>
<formControlPr xmlns="http://schemas.microsoft.com/office/spreadsheetml/2009/9/main" objectType="Button" lockText="1"/>
</file>

<file path=xl/ctrlProps/ctrlProp2152.xml><?xml version="1.0" encoding="utf-8"?>
<formControlPr xmlns="http://schemas.microsoft.com/office/spreadsheetml/2009/9/main" objectType="Button" lockText="1"/>
</file>

<file path=xl/ctrlProps/ctrlProp2153.xml><?xml version="1.0" encoding="utf-8"?>
<formControlPr xmlns="http://schemas.microsoft.com/office/spreadsheetml/2009/9/main" objectType="Button" lockText="1"/>
</file>

<file path=xl/ctrlProps/ctrlProp2154.xml><?xml version="1.0" encoding="utf-8"?>
<formControlPr xmlns="http://schemas.microsoft.com/office/spreadsheetml/2009/9/main" objectType="Button" lockText="1"/>
</file>

<file path=xl/ctrlProps/ctrlProp2155.xml><?xml version="1.0" encoding="utf-8"?>
<formControlPr xmlns="http://schemas.microsoft.com/office/spreadsheetml/2009/9/main" objectType="Button" lockText="1"/>
</file>

<file path=xl/ctrlProps/ctrlProp2156.xml><?xml version="1.0" encoding="utf-8"?>
<formControlPr xmlns="http://schemas.microsoft.com/office/spreadsheetml/2009/9/main" objectType="Button" lockText="1"/>
</file>

<file path=xl/ctrlProps/ctrlProp2157.xml><?xml version="1.0" encoding="utf-8"?>
<formControlPr xmlns="http://schemas.microsoft.com/office/spreadsheetml/2009/9/main" objectType="Button" lockText="1"/>
</file>

<file path=xl/ctrlProps/ctrlProp2158.xml><?xml version="1.0" encoding="utf-8"?>
<formControlPr xmlns="http://schemas.microsoft.com/office/spreadsheetml/2009/9/main" objectType="Button" lockText="1"/>
</file>

<file path=xl/ctrlProps/ctrlProp2159.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60.xml><?xml version="1.0" encoding="utf-8"?>
<formControlPr xmlns="http://schemas.microsoft.com/office/spreadsheetml/2009/9/main" objectType="Button" lockText="1"/>
</file>

<file path=xl/ctrlProps/ctrlProp2161.xml><?xml version="1.0" encoding="utf-8"?>
<formControlPr xmlns="http://schemas.microsoft.com/office/spreadsheetml/2009/9/main" objectType="Button" lockText="1"/>
</file>

<file path=xl/ctrlProps/ctrlProp2162.xml><?xml version="1.0" encoding="utf-8"?>
<formControlPr xmlns="http://schemas.microsoft.com/office/spreadsheetml/2009/9/main" objectType="Button" lockText="1"/>
</file>

<file path=xl/ctrlProps/ctrlProp2163.xml><?xml version="1.0" encoding="utf-8"?>
<formControlPr xmlns="http://schemas.microsoft.com/office/spreadsheetml/2009/9/main" objectType="Button" lockText="1"/>
</file>

<file path=xl/ctrlProps/ctrlProp2164.xml><?xml version="1.0" encoding="utf-8"?>
<formControlPr xmlns="http://schemas.microsoft.com/office/spreadsheetml/2009/9/main" objectType="Button" lockText="1"/>
</file>

<file path=xl/ctrlProps/ctrlProp2165.xml><?xml version="1.0" encoding="utf-8"?>
<formControlPr xmlns="http://schemas.microsoft.com/office/spreadsheetml/2009/9/main" objectType="Button" lockText="1"/>
</file>

<file path=xl/ctrlProps/ctrlProp2166.xml><?xml version="1.0" encoding="utf-8"?>
<formControlPr xmlns="http://schemas.microsoft.com/office/spreadsheetml/2009/9/main" objectType="Button" lockText="1"/>
</file>

<file path=xl/ctrlProps/ctrlProp2167.xml><?xml version="1.0" encoding="utf-8"?>
<formControlPr xmlns="http://schemas.microsoft.com/office/spreadsheetml/2009/9/main" objectType="Button" lockText="1"/>
</file>

<file path=xl/ctrlProps/ctrlProp2168.xml><?xml version="1.0" encoding="utf-8"?>
<formControlPr xmlns="http://schemas.microsoft.com/office/spreadsheetml/2009/9/main" objectType="Button" lockText="1"/>
</file>

<file path=xl/ctrlProps/ctrlProp2169.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70.xml><?xml version="1.0" encoding="utf-8"?>
<formControlPr xmlns="http://schemas.microsoft.com/office/spreadsheetml/2009/9/main" objectType="Button" lockText="1"/>
</file>

<file path=xl/ctrlProps/ctrlProp2171.xml><?xml version="1.0" encoding="utf-8"?>
<formControlPr xmlns="http://schemas.microsoft.com/office/spreadsheetml/2009/9/main" objectType="Button" lockText="1"/>
</file>

<file path=xl/ctrlProps/ctrlProp2172.xml><?xml version="1.0" encoding="utf-8"?>
<formControlPr xmlns="http://schemas.microsoft.com/office/spreadsheetml/2009/9/main" objectType="Button" lockText="1"/>
</file>

<file path=xl/ctrlProps/ctrlProp2173.xml><?xml version="1.0" encoding="utf-8"?>
<formControlPr xmlns="http://schemas.microsoft.com/office/spreadsheetml/2009/9/main" objectType="Button" lockText="1"/>
</file>

<file path=xl/ctrlProps/ctrlProp2174.xml><?xml version="1.0" encoding="utf-8"?>
<formControlPr xmlns="http://schemas.microsoft.com/office/spreadsheetml/2009/9/main" objectType="Button" lockText="1"/>
</file>

<file path=xl/ctrlProps/ctrlProp2175.xml><?xml version="1.0" encoding="utf-8"?>
<formControlPr xmlns="http://schemas.microsoft.com/office/spreadsheetml/2009/9/main" objectType="Button" lockText="1"/>
</file>

<file path=xl/ctrlProps/ctrlProp2176.xml><?xml version="1.0" encoding="utf-8"?>
<formControlPr xmlns="http://schemas.microsoft.com/office/spreadsheetml/2009/9/main" objectType="Button" lockText="1"/>
</file>

<file path=xl/ctrlProps/ctrlProp2177.xml><?xml version="1.0" encoding="utf-8"?>
<formControlPr xmlns="http://schemas.microsoft.com/office/spreadsheetml/2009/9/main" objectType="Button" lockText="1"/>
</file>

<file path=xl/ctrlProps/ctrlProp2178.xml><?xml version="1.0" encoding="utf-8"?>
<formControlPr xmlns="http://schemas.microsoft.com/office/spreadsheetml/2009/9/main" objectType="Button" lockText="1"/>
</file>

<file path=xl/ctrlProps/ctrlProp2179.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80.xml><?xml version="1.0" encoding="utf-8"?>
<formControlPr xmlns="http://schemas.microsoft.com/office/spreadsheetml/2009/9/main" objectType="Button" lockText="1"/>
</file>

<file path=xl/ctrlProps/ctrlProp2181.xml><?xml version="1.0" encoding="utf-8"?>
<formControlPr xmlns="http://schemas.microsoft.com/office/spreadsheetml/2009/9/main" objectType="Button" lockText="1"/>
</file>

<file path=xl/ctrlProps/ctrlProp2182.xml><?xml version="1.0" encoding="utf-8"?>
<formControlPr xmlns="http://schemas.microsoft.com/office/spreadsheetml/2009/9/main" objectType="Button" lockText="1"/>
</file>

<file path=xl/ctrlProps/ctrlProp2183.xml><?xml version="1.0" encoding="utf-8"?>
<formControlPr xmlns="http://schemas.microsoft.com/office/spreadsheetml/2009/9/main" objectType="Button" lockText="1"/>
</file>

<file path=xl/ctrlProps/ctrlProp2184.xml><?xml version="1.0" encoding="utf-8"?>
<formControlPr xmlns="http://schemas.microsoft.com/office/spreadsheetml/2009/9/main" objectType="Button" lockText="1"/>
</file>

<file path=xl/ctrlProps/ctrlProp2185.xml><?xml version="1.0" encoding="utf-8"?>
<formControlPr xmlns="http://schemas.microsoft.com/office/spreadsheetml/2009/9/main" objectType="Button" lockText="1"/>
</file>

<file path=xl/ctrlProps/ctrlProp2186.xml><?xml version="1.0" encoding="utf-8"?>
<formControlPr xmlns="http://schemas.microsoft.com/office/spreadsheetml/2009/9/main" objectType="Button" lockText="1"/>
</file>

<file path=xl/ctrlProps/ctrlProp2187.xml><?xml version="1.0" encoding="utf-8"?>
<formControlPr xmlns="http://schemas.microsoft.com/office/spreadsheetml/2009/9/main" objectType="Button" lockText="1"/>
</file>

<file path=xl/ctrlProps/ctrlProp2188.xml><?xml version="1.0" encoding="utf-8"?>
<formControlPr xmlns="http://schemas.microsoft.com/office/spreadsheetml/2009/9/main" objectType="Button" lockText="1"/>
</file>

<file path=xl/ctrlProps/ctrlProp2189.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190.xml><?xml version="1.0" encoding="utf-8"?>
<formControlPr xmlns="http://schemas.microsoft.com/office/spreadsheetml/2009/9/main" objectType="Button" lockText="1"/>
</file>

<file path=xl/ctrlProps/ctrlProp2191.xml><?xml version="1.0" encoding="utf-8"?>
<formControlPr xmlns="http://schemas.microsoft.com/office/spreadsheetml/2009/9/main" objectType="Button" lockText="1"/>
</file>

<file path=xl/ctrlProps/ctrlProp2192.xml><?xml version="1.0" encoding="utf-8"?>
<formControlPr xmlns="http://schemas.microsoft.com/office/spreadsheetml/2009/9/main" objectType="Button" lockText="1"/>
</file>

<file path=xl/ctrlProps/ctrlProp2193.xml><?xml version="1.0" encoding="utf-8"?>
<formControlPr xmlns="http://schemas.microsoft.com/office/spreadsheetml/2009/9/main" objectType="Button" lockText="1"/>
</file>

<file path=xl/ctrlProps/ctrlProp2194.xml><?xml version="1.0" encoding="utf-8"?>
<formControlPr xmlns="http://schemas.microsoft.com/office/spreadsheetml/2009/9/main" objectType="Button" lockText="1"/>
</file>

<file path=xl/ctrlProps/ctrlProp2195.xml><?xml version="1.0" encoding="utf-8"?>
<formControlPr xmlns="http://schemas.microsoft.com/office/spreadsheetml/2009/9/main" objectType="Button" lockText="1"/>
</file>

<file path=xl/ctrlProps/ctrlProp2196.xml><?xml version="1.0" encoding="utf-8"?>
<formControlPr xmlns="http://schemas.microsoft.com/office/spreadsheetml/2009/9/main" objectType="Button" lockText="1"/>
</file>

<file path=xl/ctrlProps/ctrlProp2197.xml><?xml version="1.0" encoding="utf-8"?>
<formControlPr xmlns="http://schemas.microsoft.com/office/spreadsheetml/2009/9/main" objectType="Button" lockText="1"/>
</file>

<file path=xl/ctrlProps/ctrlProp2198.xml><?xml version="1.0" encoding="utf-8"?>
<formControlPr xmlns="http://schemas.microsoft.com/office/spreadsheetml/2009/9/main" objectType="Button" lockText="1"/>
</file>

<file path=xl/ctrlProps/ctrlProp219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00.xml><?xml version="1.0" encoding="utf-8"?>
<formControlPr xmlns="http://schemas.microsoft.com/office/spreadsheetml/2009/9/main" objectType="Button" lockText="1"/>
</file>

<file path=xl/ctrlProps/ctrlProp2201.xml><?xml version="1.0" encoding="utf-8"?>
<formControlPr xmlns="http://schemas.microsoft.com/office/spreadsheetml/2009/9/main" objectType="Button" lockText="1"/>
</file>

<file path=xl/ctrlProps/ctrlProp2202.xml><?xml version="1.0" encoding="utf-8"?>
<formControlPr xmlns="http://schemas.microsoft.com/office/spreadsheetml/2009/9/main" objectType="Button" lockText="1"/>
</file>

<file path=xl/ctrlProps/ctrlProp2203.xml><?xml version="1.0" encoding="utf-8"?>
<formControlPr xmlns="http://schemas.microsoft.com/office/spreadsheetml/2009/9/main" objectType="Button" lockText="1"/>
</file>

<file path=xl/ctrlProps/ctrlProp2204.xml><?xml version="1.0" encoding="utf-8"?>
<formControlPr xmlns="http://schemas.microsoft.com/office/spreadsheetml/2009/9/main" objectType="Button" lockText="1"/>
</file>

<file path=xl/ctrlProps/ctrlProp2205.xml><?xml version="1.0" encoding="utf-8"?>
<formControlPr xmlns="http://schemas.microsoft.com/office/spreadsheetml/2009/9/main" objectType="Button" lockText="1"/>
</file>

<file path=xl/ctrlProps/ctrlProp2206.xml><?xml version="1.0" encoding="utf-8"?>
<formControlPr xmlns="http://schemas.microsoft.com/office/spreadsheetml/2009/9/main" objectType="Button" lockText="1"/>
</file>

<file path=xl/ctrlProps/ctrlProp2207.xml><?xml version="1.0" encoding="utf-8"?>
<formControlPr xmlns="http://schemas.microsoft.com/office/spreadsheetml/2009/9/main" objectType="Button" lockText="1"/>
</file>

<file path=xl/ctrlProps/ctrlProp2208.xml><?xml version="1.0" encoding="utf-8"?>
<formControlPr xmlns="http://schemas.microsoft.com/office/spreadsheetml/2009/9/main" objectType="Button" lockText="1"/>
</file>

<file path=xl/ctrlProps/ctrlProp2209.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10.xml><?xml version="1.0" encoding="utf-8"?>
<formControlPr xmlns="http://schemas.microsoft.com/office/spreadsheetml/2009/9/main" objectType="Button" lockText="1"/>
</file>

<file path=xl/ctrlProps/ctrlProp2211.xml><?xml version="1.0" encoding="utf-8"?>
<formControlPr xmlns="http://schemas.microsoft.com/office/spreadsheetml/2009/9/main" objectType="Button" lockText="1"/>
</file>

<file path=xl/ctrlProps/ctrlProp2212.xml><?xml version="1.0" encoding="utf-8"?>
<formControlPr xmlns="http://schemas.microsoft.com/office/spreadsheetml/2009/9/main" objectType="Button" lockText="1"/>
</file>

<file path=xl/ctrlProps/ctrlProp2213.xml><?xml version="1.0" encoding="utf-8"?>
<formControlPr xmlns="http://schemas.microsoft.com/office/spreadsheetml/2009/9/main" objectType="Button" lockText="1"/>
</file>

<file path=xl/ctrlProps/ctrlProp2214.xml><?xml version="1.0" encoding="utf-8"?>
<formControlPr xmlns="http://schemas.microsoft.com/office/spreadsheetml/2009/9/main" objectType="Button" lockText="1"/>
</file>

<file path=xl/ctrlProps/ctrlProp2215.xml><?xml version="1.0" encoding="utf-8"?>
<formControlPr xmlns="http://schemas.microsoft.com/office/spreadsheetml/2009/9/main" objectType="Button" lockText="1"/>
</file>

<file path=xl/ctrlProps/ctrlProp2216.xml><?xml version="1.0" encoding="utf-8"?>
<formControlPr xmlns="http://schemas.microsoft.com/office/spreadsheetml/2009/9/main" objectType="Button" lockText="1"/>
</file>

<file path=xl/ctrlProps/ctrlProp2217.xml><?xml version="1.0" encoding="utf-8"?>
<formControlPr xmlns="http://schemas.microsoft.com/office/spreadsheetml/2009/9/main" objectType="Button" lockText="1"/>
</file>

<file path=xl/ctrlProps/ctrlProp2218.xml><?xml version="1.0" encoding="utf-8"?>
<formControlPr xmlns="http://schemas.microsoft.com/office/spreadsheetml/2009/9/main" objectType="Button" lockText="1"/>
</file>

<file path=xl/ctrlProps/ctrlProp2219.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20.xml><?xml version="1.0" encoding="utf-8"?>
<formControlPr xmlns="http://schemas.microsoft.com/office/spreadsheetml/2009/9/main" objectType="Button" lockText="1"/>
</file>

<file path=xl/ctrlProps/ctrlProp2221.xml><?xml version="1.0" encoding="utf-8"?>
<formControlPr xmlns="http://schemas.microsoft.com/office/spreadsheetml/2009/9/main" objectType="Button" lockText="1"/>
</file>

<file path=xl/ctrlProps/ctrlProp2222.xml><?xml version="1.0" encoding="utf-8"?>
<formControlPr xmlns="http://schemas.microsoft.com/office/spreadsheetml/2009/9/main" objectType="Button" lockText="1"/>
</file>

<file path=xl/ctrlProps/ctrlProp2223.xml><?xml version="1.0" encoding="utf-8"?>
<formControlPr xmlns="http://schemas.microsoft.com/office/spreadsheetml/2009/9/main" objectType="Button" lockText="1"/>
</file>

<file path=xl/ctrlProps/ctrlProp2224.xml><?xml version="1.0" encoding="utf-8"?>
<formControlPr xmlns="http://schemas.microsoft.com/office/spreadsheetml/2009/9/main" objectType="Button" lockText="1"/>
</file>

<file path=xl/ctrlProps/ctrlProp2225.xml><?xml version="1.0" encoding="utf-8"?>
<formControlPr xmlns="http://schemas.microsoft.com/office/spreadsheetml/2009/9/main" objectType="Button" lockText="1"/>
</file>

<file path=xl/ctrlProps/ctrlProp2226.xml><?xml version="1.0" encoding="utf-8"?>
<formControlPr xmlns="http://schemas.microsoft.com/office/spreadsheetml/2009/9/main" objectType="Button" lockText="1"/>
</file>

<file path=xl/ctrlProps/ctrlProp2227.xml><?xml version="1.0" encoding="utf-8"?>
<formControlPr xmlns="http://schemas.microsoft.com/office/spreadsheetml/2009/9/main" objectType="Button" lockText="1"/>
</file>

<file path=xl/ctrlProps/ctrlProp2228.xml><?xml version="1.0" encoding="utf-8"?>
<formControlPr xmlns="http://schemas.microsoft.com/office/spreadsheetml/2009/9/main" objectType="Button" lockText="1"/>
</file>

<file path=xl/ctrlProps/ctrlProp2229.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30.xml><?xml version="1.0" encoding="utf-8"?>
<formControlPr xmlns="http://schemas.microsoft.com/office/spreadsheetml/2009/9/main" objectType="Button" lockText="1"/>
</file>

<file path=xl/ctrlProps/ctrlProp2231.xml><?xml version="1.0" encoding="utf-8"?>
<formControlPr xmlns="http://schemas.microsoft.com/office/spreadsheetml/2009/9/main" objectType="Button" lockText="1"/>
</file>

<file path=xl/ctrlProps/ctrlProp2232.xml><?xml version="1.0" encoding="utf-8"?>
<formControlPr xmlns="http://schemas.microsoft.com/office/spreadsheetml/2009/9/main" objectType="Button" lockText="1"/>
</file>

<file path=xl/ctrlProps/ctrlProp2233.xml><?xml version="1.0" encoding="utf-8"?>
<formControlPr xmlns="http://schemas.microsoft.com/office/spreadsheetml/2009/9/main" objectType="Button" lockText="1"/>
</file>

<file path=xl/ctrlProps/ctrlProp2234.xml><?xml version="1.0" encoding="utf-8"?>
<formControlPr xmlns="http://schemas.microsoft.com/office/spreadsheetml/2009/9/main" objectType="Button" lockText="1"/>
</file>

<file path=xl/ctrlProps/ctrlProp2235.xml><?xml version="1.0" encoding="utf-8"?>
<formControlPr xmlns="http://schemas.microsoft.com/office/spreadsheetml/2009/9/main" objectType="Button" lockText="1"/>
</file>

<file path=xl/ctrlProps/ctrlProp2236.xml><?xml version="1.0" encoding="utf-8"?>
<formControlPr xmlns="http://schemas.microsoft.com/office/spreadsheetml/2009/9/main" objectType="Button" lockText="1"/>
</file>

<file path=xl/ctrlProps/ctrlProp2237.xml><?xml version="1.0" encoding="utf-8"?>
<formControlPr xmlns="http://schemas.microsoft.com/office/spreadsheetml/2009/9/main" objectType="Button" lockText="1"/>
</file>

<file path=xl/ctrlProps/ctrlProp2238.xml><?xml version="1.0" encoding="utf-8"?>
<formControlPr xmlns="http://schemas.microsoft.com/office/spreadsheetml/2009/9/main" objectType="Button" lockText="1"/>
</file>

<file path=xl/ctrlProps/ctrlProp2239.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40.xml><?xml version="1.0" encoding="utf-8"?>
<formControlPr xmlns="http://schemas.microsoft.com/office/spreadsheetml/2009/9/main" objectType="Button" lockText="1"/>
</file>

<file path=xl/ctrlProps/ctrlProp2241.xml><?xml version="1.0" encoding="utf-8"?>
<formControlPr xmlns="http://schemas.microsoft.com/office/spreadsheetml/2009/9/main" objectType="Button" lockText="1"/>
</file>

<file path=xl/ctrlProps/ctrlProp2242.xml><?xml version="1.0" encoding="utf-8"?>
<formControlPr xmlns="http://schemas.microsoft.com/office/spreadsheetml/2009/9/main" objectType="Button" lockText="1"/>
</file>

<file path=xl/ctrlProps/ctrlProp2243.xml><?xml version="1.0" encoding="utf-8"?>
<formControlPr xmlns="http://schemas.microsoft.com/office/spreadsheetml/2009/9/main" objectType="Button" lockText="1"/>
</file>

<file path=xl/ctrlProps/ctrlProp2244.xml><?xml version="1.0" encoding="utf-8"?>
<formControlPr xmlns="http://schemas.microsoft.com/office/spreadsheetml/2009/9/main" objectType="Button" lockText="1"/>
</file>

<file path=xl/ctrlProps/ctrlProp2245.xml><?xml version="1.0" encoding="utf-8"?>
<formControlPr xmlns="http://schemas.microsoft.com/office/spreadsheetml/2009/9/main" objectType="Button" lockText="1"/>
</file>

<file path=xl/ctrlProps/ctrlProp2246.xml><?xml version="1.0" encoding="utf-8"?>
<formControlPr xmlns="http://schemas.microsoft.com/office/spreadsheetml/2009/9/main" objectType="Button" lockText="1"/>
</file>

<file path=xl/ctrlProps/ctrlProp2247.xml><?xml version="1.0" encoding="utf-8"?>
<formControlPr xmlns="http://schemas.microsoft.com/office/spreadsheetml/2009/9/main" objectType="Button" lockText="1"/>
</file>

<file path=xl/ctrlProps/ctrlProp2248.xml><?xml version="1.0" encoding="utf-8"?>
<formControlPr xmlns="http://schemas.microsoft.com/office/spreadsheetml/2009/9/main" objectType="Button" lockText="1"/>
</file>

<file path=xl/ctrlProps/ctrlProp2249.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50.xml><?xml version="1.0" encoding="utf-8"?>
<formControlPr xmlns="http://schemas.microsoft.com/office/spreadsheetml/2009/9/main" objectType="Button" lockText="1"/>
</file>

<file path=xl/ctrlProps/ctrlProp2251.xml><?xml version="1.0" encoding="utf-8"?>
<formControlPr xmlns="http://schemas.microsoft.com/office/spreadsheetml/2009/9/main" objectType="Button" lockText="1"/>
</file>

<file path=xl/ctrlProps/ctrlProp2252.xml><?xml version="1.0" encoding="utf-8"?>
<formControlPr xmlns="http://schemas.microsoft.com/office/spreadsheetml/2009/9/main" objectType="Button" lockText="1"/>
</file>

<file path=xl/ctrlProps/ctrlProp2253.xml><?xml version="1.0" encoding="utf-8"?>
<formControlPr xmlns="http://schemas.microsoft.com/office/spreadsheetml/2009/9/main" objectType="Button" lockText="1"/>
</file>

<file path=xl/ctrlProps/ctrlProp2254.xml><?xml version="1.0" encoding="utf-8"?>
<formControlPr xmlns="http://schemas.microsoft.com/office/spreadsheetml/2009/9/main" objectType="Button" lockText="1"/>
</file>

<file path=xl/ctrlProps/ctrlProp2255.xml><?xml version="1.0" encoding="utf-8"?>
<formControlPr xmlns="http://schemas.microsoft.com/office/spreadsheetml/2009/9/main" objectType="Button" lockText="1"/>
</file>

<file path=xl/ctrlProps/ctrlProp2256.xml><?xml version="1.0" encoding="utf-8"?>
<formControlPr xmlns="http://schemas.microsoft.com/office/spreadsheetml/2009/9/main" objectType="Button" lockText="1"/>
</file>

<file path=xl/ctrlProps/ctrlProp2257.xml><?xml version="1.0" encoding="utf-8"?>
<formControlPr xmlns="http://schemas.microsoft.com/office/spreadsheetml/2009/9/main" objectType="Button" lockText="1"/>
</file>

<file path=xl/ctrlProps/ctrlProp2258.xml><?xml version="1.0" encoding="utf-8"?>
<formControlPr xmlns="http://schemas.microsoft.com/office/spreadsheetml/2009/9/main" objectType="Button" lockText="1"/>
</file>

<file path=xl/ctrlProps/ctrlProp2259.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60.xml><?xml version="1.0" encoding="utf-8"?>
<formControlPr xmlns="http://schemas.microsoft.com/office/spreadsheetml/2009/9/main" objectType="Button" lockText="1"/>
</file>

<file path=xl/ctrlProps/ctrlProp2261.xml><?xml version="1.0" encoding="utf-8"?>
<formControlPr xmlns="http://schemas.microsoft.com/office/spreadsheetml/2009/9/main" objectType="Button" lockText="1"/>
</file>

<file path=xl/ctrlProps/ctrlProp2262.xml><?xml version="1.0" encoding="utf-8"?>
<formControlPr xmlns="http://schemas.microsoft.com/office/spreadsheetml/2009/9/main" objectType="Button" lockText="1"/>
</file>

<file path=xl/ctrlProps/ctrlProp2263.xml><?xml version="1.0" encoding="utf-8"?>
<formControlPr xmlns="http://schemas.microsoft.com/office/spreadsheetml/2009/9/main" objectType="Button" lockText="1"/>
</file>

<file path=xl/ctrlProps/ctrlProp2264.xml><?xml version="1.0" encoding="utf-8"?>
<formControlPr xmlns="http://schemas.microsoft.com/office/spreadsheetml/2009/9/main" objectType="Button" lockText="1"/>
</file>

<file path=xl/ctrlProps/ctrlProp2265.xml><?xml version="1.0" encoding="utf-8"?>
<formControlPr xmlns="http://schemas.microsoft.com/office/spreadsheetml/2009/9/main" objectType="Button" lockText="1"/>
</file>

<file path=xl/ctrlProps/ctrlProp2266.xml><?xml version="1.0" encoding="utf-8"?>
<formControlPr xmlns="http://schemas.microsoft.com/office/spreadsheetml/2009/9/main" objectType="Button" lockText="1"/>
</file>

<file path=xl/ctrlProps/ctrlProp2267.xml><?xml version="1.0" encoding="utf-8"?>
<formControlPr xmlns="http://schemas.microsoft.com/office/spreadsheetml/2009/9/main" objectType="Button" lockText="1"/>
</file>

<file path=xl/ctrlProps/ctrlProp2268.xml><?xml version="1.0" encoding="utf-8"?>
<formControlPr xmlns="http://schemas.microsoft.com/office/spreadsheetml/2009/9/main" objectType="Button" lockText="1"/>
</file>

<file path=xl/ctrlProps/ctrlProp2269.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70.xml><?xml version="1.0" encoding="utf-8"?>
<formControlPr xmlns="http://schemas.microsoft.com/office/spreadsheetml/2009/9/main" objectType="Button" lockText="1"/>
</file>

<file path=xl/ctrlProps/ctrlProp2271.xml><?xml version="1.0" encoding="utf-8"?>
<formControlPr xmlns="http://schemas.microsoft.com/office/spreadsheetml/2009/9/main" objectType="Button" lockText="1"/>
</file>

<file path=xl/ctrlProps/ctrlProp2272.xml><?xml version="1.0" encoding="utf-8"?>
<formControlPr xmlns="http://schemas.microsoft.com/office/spreadsheetml/2009/9/main" objectType="Button" lockText="1"/>
</file>

<file path=xl/ctrlProps/ctrlProp2273.xml><?xml version="1.0" encoding="utf-8"?>
<formControlPr xmlns="http://schemas.microsoft.com/office/spreadsheetml/2009/9/main" objectType="Button" lockText="1"/>
</file>

<file path=xl/ctrlProps/ctrlProp2274.xml><?xml version="1.0" encoding="utf-8"?>
<formControlPr xmlns="http://schemas.microsoft.com/office/spreadsheetml/2009/9/main" objectType="Button" lockText="1"/>
</file>

<file path=xl/ctrlProps/ctrlProp2275.xml><?xml version="1.0" encoding="utf-8"?>
<formControlPr xmlns="http://schemas.microsoft.com/office/spreadsheetml/2009/9/main" objectType="Button" lockText="1"/>
</file>

<file path=xl/ctrlProps/ctrlProp2276.xml><?xml version="1.0" encoding="utf-8"?>
<formControlPr xmlns="http://schemas.microsoft.com/office/spreadsheetml/2009/9/main" objectType="Button" lockText="1"/>
</file>

<file path=xl/ctrlProps/ctrlProp2277.xml><?xml version="1.0" encoding="utf-8"?>
<formControlPr xmlns="http://schemas.microsoft.com/office/spreadsheetml/2009/9/main" objectType="Button" lockText="1"/>
</file>

<file path=xl/ctrlProps/ctrlProp2278.xml><?xml version="1.0" encoding="utf-8"?>
<formControlPr xmlns="http://schemas.microsoft.com/office/spreadsheetml/2009/9/main" objectType="Button" lockText="1"/>
</file>

<file path=xl/ctrlProps/ctrlProp2279.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80.xml><?xml version="1.0" encoding="utf-8"?>
<formControlPr xmlns="http://schemas.microsoft.com/office/spreadsheetml/2009/9/main" objectType="Button" lockText="1"/>
</file>

<file path=xl/ctrlProps/ctrlProp2281.xml><?xml version="1.0" encoding="utf-8"?>
<formControlPr xmlns="http://schemas.microsoft.com/office/spreadsheetml/2009/9/main" objectType="Button" lockText="1"/>
</file>

<file path=xl/ctrlProps/ctrlProp2282.xml><?xml version="1.0" encoding="utf-8"?>
<formControlPr xmlns="http://schemas.microsoft.com/office/spreadsheetml/2009/9/main" objectType="Button" lockText="1"/>
</file>

<file path=xl/ctrlProps/ctrlProp2283.xml><?xml version="1.0" encoding="utf-8"?>
<formControlPr xmlns="http://schemas.microsoft.com/office/spreadsheetml/2009/9/main" objectType="Button" lockText="1"/>
</file>

<file path=xl/ctrlProps/ctrlProp2284.xml><?xml version="1.0" encoding="utf-8"?>
<formControlPr xmlns="http://schemas.microsoft.com/office/spreadsheetml/2009/9/main" objectType="Button" lockText="1"/>
</file>

<file path=xl/ctrlProps/ctrlProp2285.xml><?xml version="1.0" encoding="utf-8"?>
<formControlPr xmlns="http://schemas.microsoft.com/office/spreadsheetml/2009/9/main" objectType="Button" lockText="1"/>
</file>

<file path=xl/ctrlProps/ctrlProp2286.xml><?xml version="1.0" encoding="utf-8"?>
<formControlPr xmlns="http://schemas.microsoft.com/office/spreadsheetml/2009/9/main" objectType="Button" lockText="1"/>
</file>

<file path=xl/ctrlProps/ctrlProp2287.xml><?xml version="1.0" encoding="utf-8"?>
<formControlPr xmlns="http://schemas.microsoft.com/office/spreadsheetml/2009/9/main" objectType="Button" lockText="1"/>
</file>

<file path=xl/ctrlProps/ctrlProp2288.xml><?xml version="1.0" encoding="utf-8"?>
<formControlPr xmlns="http://schemas.microsoft.com/office/spreadsheetml/2009/9/main" objectType="Button" lockText="1"/>
</file>

<file path=xl/ctrlProps/ctrlProp2289.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290.xml><?xml version="1.0" encoding="utf-8"?>
<formControlPr xmlns="http://schemas.microsoft.com/office/spreadsheetml/2009/9/main" objectType="Button" lockText="1"/>
</file>

<file path=xl/ctrlProps/ctrlProp2291.xml><?xml version="1.0" encoding="utf-8"?>
<formControlPr xmlns="http://schemas.microsoft.com/office/spreadsheetml/2009/9/main" objectType="Button" lockText="1"/>
</file>

<file path=xl/ctrlProps/ctrlProp2292.xml><?xml version="1.0" encoding="utf-8"?>
<formControlPr xmlns="http://schemas.microsoft.com/office/spreadsheetml/2009/9/main" objectType="Button" lockText="1"/>
</file>

<file path=xl/ctrlProps/ctrlProp2293.xml><?xml version="1.0" encoding="utf-8"?>
<formControlPr xmlns="http://schemas.microsoft.com/office/spreadsheetml/2009/9/main" objectType="Button" lockText="1"/>
</file>

<file path=xl/ctrlProps/ctrlProp2294.xml><?xml version="1.0" encoding="utf-8"?>
<formControlPr xmlns="http://schemas.microsoft.com/office/spreadsheetml/2009/9/main" objectType="Button" lockText="1"/>
</file>

<file path=xl/ctrlProps/ctrlProp2295.xml><?xml version="1.0" encoding="utf-8"?>
<formControlPr xmlns="http://schemas.microsoft.com/office/spreadsheetml/2009/9/main" objectType="Button" lockText="1"/>
</file>

<file path=xl/ctrlProps/ctrlProp2296.xml><?xml version="1.0" encoding="utf-8"?>
<formControlPr xmlns="http://schemas.microsoft.com/office/spreadsheetml/2009/9/main" objectType="Button" lockText="1"/>
</file>

<file path=xl/ctrlProps/ctrlProp2297.xml><?xml version="1.0" encoding="utf-8"?>
<formControlPr xmlns="http://schemas.microsoft.com/office/spreadsheetml/2009/9/main" objectType="Button" lockText="1"/>
</file>

<file path=xl/ctrlProps/ctrlProp2298.xml><?xml version="1.0" encoding="utf-8"?>
<formControlPr xmlns="http://schemas.microsoft.com/office/spreadsheetml/2009/9/main" objectType="Button" lockText="1"/>
</file>

<file path=xl/ctrlProps/ctrlProp229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00.xml><?xml version="1.0" encoding="utf-8"?>
<formControlPr xmlns="http://schemas.microsoft.com/office/spreadsheetml/2009/9/main" objectType="Button" lockText="1"/>
</file>

<file path=xl/ctrlProps/ctrlProp2301.xml><?xml version="1.0" encoding="utf-8"?>
<formControlPr xmlns="http://schemas.microsoft.com/office/spreadsheetml/2009/9/main" objectType="Button" lockText="1"/>
</file>

<file path=xl/ctrlProps/ctrlProp2302.xml><?xml version="1.0" encoding="utf-8"?>
<formControlPr xmlns="http://schemas.microsoft.com/office/spreadsheetml/2009/9/main" objectType="Button" lockText="1"/>
</file>

<file path=xl/ctrlProps/ctrlProp2303.xml><?xml version="1.0" encoding="utf-8"?>
<formControlPr xmlns="http://schemas.microsoft.com/office/spreadsheetml/2009/9/main" objectType="Button" lockText="1"/>
</file>

<file path=xl/ctrlProps/ctrlProp2304.xml><?xml version="1.0" encoding="utf-8"?>
<formControlPr xmlns="http://schemas.microsoft.com/office/spreadsheetml/2009/9/main" objectType="Button" lockText="1"/>
</file>

<file path=xl/ctrlProps/ctrlProp2305.xml><?xml version="1.0" encoding="utf-8"?>
<formControlPr xmlns="http://schemas.microsoft.com/office/spreadsheetml/2009/9/main" objectType="Button" lockText="1"/>
</file>

<file path=xl/ctrlProps/ctrlProp2306.xml><?xml version="1.0" encoding="utf-8"?>
<formControlPr xmlns="http://schemas.microsoft.com/office/spreadsheetml/2009/9/main" objectType="Button" lockText="1"/>
</file>

<file path=xl/ctrlProps/ctrlProp2307.xml><?xml version="1.0" encoding="utf-8"?>
<formControlPr xmlns="http://schemas.microsoft.com/office/spreadsheetml/2009/9/main" objectType="Button" lockText="1"/>
</file>

<file path=xl/ctrlProps/ctrlProp2308.xml><?xml version="1.0" encoding="utf-8"?>
<formControlPr xmlns="http://schemas.microsoft.com/office/spreadsheetml/2009/9/main" objectType="Button" lockText="1"/>
</file>

<file path=xl/ctrlProps/ctrlProp2309.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10.xml><?xml version="1.0" encoding="utf-8"?>
<formControlPr xmlns="http://schemas.microsoft.com/office/spreadsheetml/2009/9/main" objectType="Button" lockText="1"/>
</file>

<file path=xl/ctrlProps/ctrlProp2311.xml><?xml version="1.0" encoding="utf-8"?>
<formControlPr xmlns="http://schemas.microsoft.com/office/spreadsheetml/2009/9/main" objectType="Button" lockText="1"/>
</file>

<file path=xl/ctrlProps/ctrlProp2312.xml><?xml version="1.0" encoding="utf-8"?>
<formControlPr xmlns="http://schemas.microsoft.com/office/spreadsheetml/2009/9/main" objectType="Button" lockText="1"/>
</file>

<file path=xl/ctrlProps/ctrlProp2313.xml><?xml version="1.0" encoding="utf-8"?>
<formControlPr xmlns="http://schemas.microsoft.com/office/spreadsheetml/2009/9/main" objectType="Button" lockText="1"/>
</file>

<file path=xl/ctrlProps/ctrlProp2314.xml><?xml version="1.0" encoding="utf-8"?>
<formControlPr xmlns="http://schemas.microsoft.com/office/spreadsheetml/2009/9/main" objectType="Button" lockText="1"/>
</file>

<file path=xl/ctrlProps/ctrlProp2315.xml><?xml version="1.0" encoding="utf-8"?>
<formControlPr xmlns="http://schemas.microsoft.com/office/spreadsheetml/2009/9/main" objectType="Button" lockText="1"/>
</file>

<file path=xl/ctrlProps/ctrlProp2316.xml><?xml version="1.0" encoding="utf-8"?>
<formControlPr xmlns="http://schemas.microsoft.com/office/spreadsheetml/2009/9/main" objectType="Button" lockText="1"/>
</file>

<file path=xl/ctrlProps/ctrlProp2317.xml><?xml version="1.0" encoding="utf-8"?>
<formControlPr xmlns="http://schemas.microsoft.com/office/spreadsheetml/2009/9/main" objectType="Button" lockText="1"/>
</file>

<file path=xl/ctrlProps/ctrlProp2318.xml><?xml version="1.0" encoding="utf-8"?>
<formControlPr xmlns="http://schemas.microsoft.com/office/spreadsheetml/2009/9/main" objectType="Button" lockText="1"/>
</file>

<file path=xl/ctrlProps/ctrlProp2319.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20.xml><?xml version="1.0" encoding="utf-8"?>
<formControlPr xmlns="http://schemas.microsoft.com/office/spreadsheetml/2009/9/main" objectType="Button" lockText="1"/>
</file>

<file path=xl/ctrlProps/ctrlProp2321.xml><?xml version="1.0" encoding="utf-8"?>
<formControlPr xmlns="http://schemas.microsoft.com/office/spreadsheetml/2009/9/main" objectType="Button" lockText="1"/>
</file>

<file path=xl/ctrlProps/ctrlProp2322.xml><?xml version="1.0" encoding="utf-8"?>
<formControlPr xmlns="http://schemas.microsoft.com/office/spreadsheetml/2009/9/main" objectType="Button" lockText="1"/>
</file>

<file path=xl/ctrlProps/ctrlProp2323.xml><?xml version="1.0" encoding="utf-8"?>
<formControlPr xmlns="http://schemas.microsoft.com/office/spreadsheetml/2009/9/main" objectType="Button" lockText="1"/>
</file>

<file path=xl/ctrlProps/ctrlProp2324.xml><?xml version="1.0" encoding="utf-8"?>
<formControlPr xmlns="http://schemas.microsoft.com/office/spreadsheetml/2009/9/main" objectType="Button" lockText="1"/>
</file>

<file path=xl/ctrlProps/ctrlProp2325.xml><?xml version="1.0" encoding="utf-8"?>
<formControlPr xmlns="http://schemas.microsoft.com/office/spreadsheetml/2009/9/main" objectType="Button" lockText="1"/>
</file>

<file path=xl/ctrlProps/ctrlProp2326.xml><?xml version="1.0" encoding="utf-8"?>
<formControlPr xmlns="http://schemas.microsoft.com/office/spreadsheetml/2009/9/main" objectType="Button" lockText="1"/>
</file>

<file path=xl/ctrlProps/ctrlProp2327.xml><?xml version="1.0" encoding="utf-8"?>
<formControlPr xmlns="http://schemas.microsoft.com/office/spreadsheetml/2009/9/main" objectType="Button" lockText="1"/>
</file>

<file path=xl/ctrlProps/ctrlProp2328.xml><?xml version="1.0" encoding="utf-8"?>
<formControlPr xmlns="http://schemas.microsoft.com/office/spreadsheetml/2009/9/main" objectType="Button" lockText="1"/>
</file>

<file path=xl/ctrlProps/ctrlProp2329.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30.xml><?xml version="1.0" encoding="utf-8"?>
<formControlPr xmlns="http://schemas.microsoft.com/office/spreadsheetml/2009/9/main" objectType="Button" lockText="1"/>
</file>

<file path=xl/ctrlProps/ctrlProp2331.xml><?xml version="1.0" encoding="utf-8"?>
<formControlPr xmlns="http://schemas.microsoft.com/office/spreadsheetml/2009/9/main" objectType="Button" lockText="1"/>
</file>

<file path=xl/ctrlProps/ctrlProp2332.xml><?xml version="1.0" encoding="utf-8"?>
<formControlPr xmlns="http://schemas.microsoft.com/office/spreadsheetml/2009/9/main" objectType="Button" lockText="1"/>
</file>

<file path=xl/ctrlProps/ctrlProp2333.xml><?xml version="1.0" encoding="utf-8"?>
<formControlPr xmlns="http://schemas.microsoft.com/office/spreadsheetml/2009/9/main" objectType="Button" lockText="1"/>
</file>

<file path=xl/ctrlProps/ctrlProp2334.xml><?xml version="1.0" encoding="utf-8"?>
<formControlPr xmlns="http://schemas.microsoft.com/office/spreadsheetml/2009/9/main" objectType="Button" lockText="1"/>
</file>

<file path=xl/ctrlProps/ctrlProp2335.xml><?xml version="1.0" encoding="utf-8"?>
<formControlPr xmlns="http://schemas.microsoft.com/office/spreadsheetml/2009/9/main" objectType="Button" lockText="1"/>
</file>

<file path=xl/ctrlProps/ctrlProp2336.xml><?xml version="1.0" encoding="utf-8"?>
<formControlPr xmlns="http://schemas.microsoft.com/office/spreadsheetml/2009/9/main" objectType="Button" lockText="1"/>
</file>

<file path=xl/ctrlProps/ctrlProp2337.xml><?xml version="1.0" encoding="utf-8"?>
<formControlPr xmlns="http://schemas.microsoft.com/office/spreadsheetml/2009/9/main" objectType="Button" lockText="1"/>
</file>

<file path=xl/ctrlProps/ctrlProp2338.xml><?xml version="1.0" encoding="utf-8"?>
<formControlPr xmlns="http://schemas.microsoft.com/office/spreadsheetml/2009/9/main" objectType="Button" lockText="1"/>
</file>

<file path=xl/ctrlProps/ctrlProp2339.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40.xml><?xml version="1.0" encoding="utf-8"?>
<formControlPr xmlns="http://schemas.microsoft.com/office/spreadsheetml/2009/9/main" objectType="Button" lockText="1"/>
</file>

<file path=xl/ctrlProps/ctrlProp2341.xml><?xml version="1.0" encoding="utf-8"?>
<formControlPr xmlns="http://schemas.microsoft.com/office/spreadsheetml/2009/9/main" objectType="Button" lockText="1"/>
</file>

<file path=xl/ctrlProps/ctrlProp2342.xml><?xml version="1.0" encoding="utf-8"?>
<formControlPr xmlns="http://schemas.microsoft.com/office/spreadsheetml/2009/9/main" objectType="Button" lockText="1"/>
</file>

<file path=xl/ctrlProps/ctrlProp2343.xml><?xml version="1.0" encoding="utf-8"?>
<formControlPr xmlns="http://schemas.microsoft.com/office/spreadsheetml/2009/9/main" objectType="Button" lockText="1"/>
</file>

<file path=xl/ctrlProps/ctrlProp2344.xml><?xml version="1.0" encoding="utf-8"?>
<formControlPr xmlns="http://schemas.microsoft.com/office/spreadsheetml/2009/9/main" objectType="Button" lockText="1"/>
</file>

<file path=xl/ctrlProps/ctrlProp2345.xml><?xml version="1.0" encoding="utf-8"?>
<formControlPr xmlns="http://schemas.microsoft.com/office/spreadsheetml/2009/9/main" objectType="Button" lockText="1"/>
</file>

<file path=xl/ctrlProps/ctrlProp2346.xml><?xml version="1.0" encoding="utf-8"?>
<formControlPr xmlns="http://schemas.microsoft.com/office/spreadsheetml/2009/9/main" objectType="Button" lockText="1"/>
</file>

<file path=xl/ctrlProps/ctrlProp2347.xml><?xml version="1.0" encoding="utf-8"?>
<formControlPr xmlns="http://schemas.microsoft.com/office/spreadsheetml/2009/9/main" objectType="Button" lockText="1"/>
</file>

<file path=xl/ctrlProps/ctrlProp2348.xml><?xml version="1.0" encoding="utf-8"?>
<formControlPr xmlns="http://schemas.microsoft.com/office/spreadsheetml/2009/9/main" objectType="Button" lockText="1"/>
</file>

<file path=xl/ctrlProps/ctrlProp2349.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50.xml><?xml version="1.0" encoding="utf-8"?>
<formControlPr xmlns="http://schemas.microsoft.com/office/spreadsheetml/2009/9/main" objectType="Button" lockText="1"/>
</file>

<file path=xl/ctrlProps/ctrlProp2351.xml><?xml version="1.0" encoding="utf-8"?>
<formControlPr xmlns="http://schemas.microsoft.com/office/spreadsheetml/2009/9/main" objectType="Button" lockText="1"/>
</file>

<file path=xl/ctrlProps/ctrlProp2352.xml><?xml version="1.0" encoding="utf-8"?>
<formControlPr xmlns="http://schemas.microsoft.com/office/spreadsheetml/2009/9/main" objectType="Button" lockText="1"/>
</file>

<file path=xl/ctrlProps/ctrlProp2353.xml><?xml version="1.0" encoding="utf-8"?>
<formControlPr xmlns="http://schemas.microsoft.com/office/spreadsheetml/2009/9/main" objectType="Button" lockText="1"/>
</file>

<file path=xl/ctrlProps/ctrlProp2354.xml><?xml version="1.0" encoding="utf-8"?>
<formControlPr xmlns="http://schemas.microsoft.com/office/spreadsheetml/2009/9/main" objectType="Button" lockText="1"/>
</file>

<file path=xl/ctrlProps/ctrlProp2355.xml><?xml version="1.0" encoding="utf-8"?>
<formControlPr xmlns="http://schemas.microsoft.com/office/spreadsheetml/2009/9/main" objectType="Button" lockText="1"/>
</file>

<file path=xl/ctrlProps/ctrlProp2356.xml><?xml version="1.0" encoding="utf-8"?>
<formControlPr xmlns="http://schemas.microsoft.com/office/spreadsheetml/2009/9/main" objectType="Button" lockText="1"/>
</file>

<file path=xl/ctrlProps/ctrlProp2357.xml><?xml version="1.0" encoding="utf-8"?>
<formControlPr xmlns="http://schemas.microsoft.com/office/spreadsheetml/2009/9/main" objectType="Button" lockText="1"/>
</file>

<file path=xl/ctrlProps/ctrlProp2358.xml><?xml version="1.0" encoding="utf-8"?>
<formControlPr xmlns="http://schemas.microsoft.com/office/spreadsheetml/2009/9/main" objectType="Button" lockText="1"/>
</file>

<file path=xl/ctrlProps/ctrlProp2359.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60.xml><?xml version="1.0" encoding="utf-8"?>
<formControlPr xmlns="http://schemas.microsoft.com/office/spreadsheetml/2009/9/main" objectType="Button" lockText="1"/>
</file>

<file path=xl/ctrlProps/ctrlProp2361.xml><?xml version="1.0" encoding="utf-8"?>
<formControlPr xmlns="http://schemas.microsoft.com/office/spreadsheetml/2009/9/main" objectType="Button" lockText="1"/>
</file>

<file path=xl/ctrlProps/ctrlProp2362.xml><?xml version="1.0" encoding="utf-8"?>
<formControlPr xmlns="http://schemas.microsoft.com/office/spreadsheetml/2009/9/main" objectType="Button" lockText="1"/>
</file>

<file path=xl/ctrlProps/ctrlProp2363.xml><?xml version="1.0" encoding="utf-8"?>
<formControlPr xmlns="http://schemas.microsoft.com/office/spreadsheetml/2009/9/main" objectType="Button" lockText="1"/>
</file>

<file path=xl/ctrlProps/ctrlProp2364.xml><?xml version="1.0" encoding="utf-8"?>
<formControlPr xmlns="http://schemas.microsoft.com/office/spreadsheetml/2009/9/main" objectType="Button" lockText="1"/>
</file>

<file path=xl/ctrlProps/ctrlProp2365.xml><?xml version="1.0" encoding="utf-8"?>
<formControlPr xmlns="http://schemas.microsoft.com/office/spreadsheetml/2009/9/main" objectType="Button" lockText="1"/>
</file>

<file path=xl/ctrlProps/ctrlProp2366.xml><?xml version="1.0" encoding="utf-8"?>
<formControlPr xmlns="http://schemas.microsoft.com/office/spreadsheetml/2009/9/main" objectType="Button" lockText="1"/>
</file>

<file path=xl/ctrlProps/ctrlProp2367.xml><?xml version="1.0" encoding="utf-8"?>
<formControlPr xmlns="http://schemas.microsoft.com/office/spreadsheetml/2009/9/main" objectType="Button" lockText="1"/>
</file>

<file path=xl/ctrlProps/ctrlProp2368.xml><?xml version="1.0" encoding="utf-8"?>
<formControlPr xmlns="http://schemas.microsoft.com/office/spreadsheetml/2009/9/main" objectType="Button" lockText="1"/>
</file>

<file path=xl/ctrlProps/ctrlProp2369.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70.xml><?xml version="1.0" encoding="utf-8"?>
<formControlPr xmlns="http://schemas.microsoft.com/office/spreadsheetml/2009/9/main" objectType="Button" lockText="1"/>
</file>

<file path=xl/ctrlProps/ctrlProp2371.xml><?xml version="1.0" encoding="utf-8"?>
<formControlPr xmlns="http://schemas.microsoft.com/office/spreadsheetml/2009/9/main" objectType="Button" lockText="1"/>
</file>

<file path=xl/ctrlProps/ctrlProp2372.xml><?xml version="1.0" encoding="utf-8"?>
<formControlPr xmlns="http://schemas.microsoft.com/office/spreadsheetml/2009/9/main" objectType="Button" lockText="1"/>
</file>

<file path=xl/ctrlProps/ctrlProp2373.xml><?xml version="1.0" encoding="utf-8"?>
<formControlPr xmlns="http://schemas.microsoft.com/office/spreadsheetml/2009/9/main" objectType="Button" lockText="1"/>
</file>

<file path=xl/ctrlProps/ctrlProp2374.xml><?xml version="1.0" encoding="utf-8"?>
<formControlPr xmlns="http://schemas.microsoft.com/office/spreadsheetml/2009/9/main" objectType="Button" lockText="1"/>
</file>

<file path=xl/ctrlProps/ctrlProp2375.xml><?xml version="1.0" encoding="utf-8"?>
<formControlPr xmlns="http://schemas.microsoft.com/office/spreadsheetml/2009/9/main" objectType="Button" lockText="1"/>
</file>

<file path=xl/ctrlProps/ctrlProp2376.xml><?xml version="1.0" encoding="utf-8"?>
<formControlPr xmlns="http://schemas.microsoft.com/office/spreadsheetml/2009/9/main" objectType="Button" lockText="1"/>
</file>

<file path=xl/ctrlProps/ctrlProp2377.xml><?xml version="1.0" encoding="utf-8"?>
<formControlPr xmlns="http://schemas.microsoft.com/office/spreadsheetml/2009/9/main" objectType="Button" lockText="1"/>
</file>

<file path=xl/ctrlProps/ctrlProp2378.xml><?xml version="1.0" encoding="utf-8"?>
<formControlPr xmlns="http://schemas.microsoft.com/office/spreadsheetml/2009/9/main" objectType="Button" lockText="1"/>
</file>

<file path=xl/ctrlProps/ctrlProp2379.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80.xml><?xml version="1.0" encoding="utf-8"?>
<formControlPr xmlns="http://schemas.microsoft.com/office/spreadsheetml/2009/9/main" objectType="Button" lockText="1"/>
</file>

<file path=xl/ctrlProps/ctrlProp2381.xml><?xml version="1.0" encoding="utf-8"?>
<formControlPr xmlns="http://schemas.microsoft.com/office/spreadsheetml/2009/9/main" objectType="Button" lockText="1"/>
</file>

<file path=xl/ctrlProps/ctrlProp2382.xml><?xml version="1.0" encoding="utf-8"?>
<formControlPr xmlns="http://schemas.microsoft.com/office/spreadsheetml/2009/9/main" objectType="Button" lockText="1"/>
</file>

<file path=xl/ctrlProps/ctrlProp2383.xml><?xml version="1.0" encoding="utf-8"?>
<formControlPr xmlns="http://schemas.microsoft.com/office/spreadsheetml/2009/9/main" objectType="Button" lockText="1"/>
</file>

<file path=xl/ctrlProps/ctrlProp2384.xml><?xml version="1.0" encoding="utf-8"?>
<formControlPr xmlns="http://schemas.microsoft.com/office/spreadsheetml/2009/9/main" objectType="Button" lockText="1"/>
</file>

<file path=xl/ctrlProps/ctrlProp2385.xml><?xml version="1.0" encoding="utf-8"?>
<formControlPr xmlns="http://schemas.microsoft.com/office/spreadsheetml/2009/9/main" objectType="Button" lockText="1"/>
</file>

<file path=xl/ctrlProps/ctrlProp2386.xml><?xml version="1.0" encoding="utf-8"?>
<formControlPr xmlns="http://schemas.microsoft.com/office/spreadsheetml/2009/9/main" objectType="Button" lockText="1"/>
</file>

<file path=xl/ctrlProps/ctrlProp2387.xml><?xml version="1.0" encoding="utf-8"?>
<formControlPr xmlns="http://schemas.microsoft.com/office/spreadsheetml/2009/9/main" objectType="Button" lockText="1"/>
</file>

<file path=xl/ctrlProps/ctrlProp2388.xml><?xml version="1.0" encoding="utf-8"?>
<formControlPr xmlns="http://schemas.microsoft.com/office/spreadsheetml/2009/9/main" objectType="Button" lockText="1"/>
</file>

<file path=xl/ctrlProps/ctrlProp2389.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390.xml><?xml version="1.0" encoding="utf-8"?>
<formControlPr xmlns="http://schemas.microsoft.com/office/spreadsheetml/2009/9/main" objectType="Button" lockText="1"/>
</file>

<file path=xl/ctrlProps/ctrlProp2391.xml><?xml version="1.0" encoding="utf-8"?>
<formControlPr xmlns="http://schemas.microsoft.com/office/spreadsheetml/2009/9/main" objectType="Button" lockText="1"/>
</file>

<file path=xl/ctrlProps/ctrlProp2392.xml><?xml version="1.0" encoding="utf-8"?>
<formControlPr xmlns="http://schemas.microsoft.com/office/spreadsheetml/2009/9/main" objectType="Button" lockText="1"/>
</file>

<file path=xl/ctrlProps/ctrlProp2393.xml><?xml version="1.0" encoding="utf-8"?>
<formControlPr xmlns="http://schemas.microsoft.com/office/spreadsheetml/2009/9/main" objectType="Button" lockText="1"/>
</file>

<file path=xl/ctrlProps/ctrlProp2394.xml><?xml version="1.0" encoding="utf-8"?>
<formControlPr xmlns="http://schemas.microsoft.com/office/spreadsheetml/2009/9/main" objectType="Button" lockText="1"/>
</file>

<file path=xl/ctrlProps/ctrlProp2395.xml><?xml version="1.0" encoding="utf-8"?>
<formControlPr xmlns="http://schemas.microsoft.com/office/spreadsheetml/2009/9/main" objectType="Button" lockText="1"/>
</file>

<file path=xl/ctrlProps/ctrlProp2396.xml><?xml version="1.0" encoding="utf-8"?>
<formControlPr xmlns="http://schemas.microsoft.com/office/spreadsheetml/2009/9/main" objectType="Button" lockText="1"/>
</file>

<file path=xl/ctrlProps/ctrlProp2397.xml><?xml version="1.0" encoding="utf-8"?>
<formControlPr xmlns="http://schemas.microsoft.com/office/spreadsheetml/2009/9/main" objectType="Button" lockText="1"/>
</file>

<file path=xl/ctrlProps/ctrlProp2398.xml><?xml version="1.0" encoding="utf-8"?>
<formControlPr xmlns="http://schemas.microsoft.com/office/spreadsheetml/2009/9/main" objectType="Button" lockText="1"/>
</file>

<file path=xl/ctrlProps/ctrlProp239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00.xml><?xml version="1.0" encoding="utf-8"?>
<formControlPr xmlns="http://schemas.microsoft.com/office/spreadsheetml/2009/9/main" objectType="Button" lockText="1"/>
</file>

<file path=xl/ctrlProps/ctrlProp2401.xml><?xml version="1.0" encoding="utf-8"?>
<formControlPr xmlns="http://schemas.microsoft.com/office/spreadsheetml/2009/9/main" objectType="Button" lockText="1"/>
</file>

<file path=xl/ctrlProps/ctrlProp2402.xml><?xml version="1.0" encoding="utf-8"?>
<formControlPr xmlns="http://schemas.microsoft.com/office/spreadsheetml/2009/9/main" objectType="Button" lockText="1"/>
</file>

<file path=xl/ctrlProps/ctrlProp2403.xml><?xml version="1.0" encoding="utf-8"?>
<formControlPr xmlns="http://schemas.microsoft.com/office/spreadsheetml/2009/9/main" objectType="Button" lockText="1"/>
</file>

<file path=xl/ctrlProps/ctrlProp2404.xml><?xml version="1.0" encoding="utf-8"?>
<formControlPr xmlns="http://schemas.microsoft.com/office/spreadsheetml/2009/9/main" objectType="Button" lockText="1"/>
</file>

<file path=xl/ctrlProps/ctrlProp2405.xml><?xml version="1.0" encoding="utf-8"?>
<formControlPr xmlns="http://schemas.microsoft.com/office/spreadsheetml/2009/9/main" objectType="Button" lockText="1"/>
</file>

<file path=xl/ctrlProps/ctrlProp2406.xml><?xml version="1.0" encoding="utf-8"?>
<formControlPr xmlns="http://schemas.microsoft.com/office/spreadsheetml/2009/9/main" objectType="Button" lockText="1"/>
</file>

<file path=xl/ctrlProps/ctrlProp2407.xml><?xml version="1.0" encoding="utf-8"?>
<formControlPr xmlns="http://schemas.microsoft.com/office/spreadsheetml/2009/9/main" objectType="Button" lockText="1"/>
</file>

<file path=xl/ctrlProps/ctrlProp2408.xml><?xml version="1.0" encoding="utf-8"?>
<formControlPr xmlns="http://schemas.microsoft.com/office/spreadsheetml/2009/9/main" objectType="Button" lockText="1"/>
</file>

<file path=xl/ctrlProps/ctrlProp2409.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10.xml><?xml version="1.0" encoding="utf-8"?>
<formControlPr xmlns="http://schemas.microsoft.com/office/spreadsheetml/2009/9/main" objectType="Button" lockText="1"/>
</file>

<file path=xl/ctrlProps/ctrlProp2411.xml><?xml version="1.0" encoding="utf-8"?>
<formControlPr xmlns="http://schemas.microsoft.com/office/spreadsheetml/2009/9/main" objectType="Button" lockText="1"/>
</file>

<file path=xl/ctrlProps/ctrlProp2412.xml><?xml version="1.0" encoding="utf-8"?>
<formControlPr xmlns="http://schemas.microsoft.com/office/spreadsheetml/2009/9/main" objectType="Button" lockText="1"/>
</file>

<file path=xl/ctrlProps/ctrlProp2413.xml><?xml version="1.0" encoding="utf-8"?>
<formControlPr xmlns="http://schemas.microsoft.com/office/spreadsheetml/2009/9/main" objectType="Button" lockText="1"/>
</file>

<file path=xl/ctrlProps/ctrlProp2414.xml><?xml version="1.0" encoding="utf-8"?>
<formControlPr xmlns="http://schemas.microsoft.com/office/spreadsheetml/2009/9/main" objectType="Button" lockText="1"/>
</file>

<file path=xl/ctrlProps/ctrlProp2415.xml><?xml version="1.0" encoding="utf-8"?>
<formControlPr xmlns="http://schemas.microsoft.com/office/spreadsheetml/2009/9/main" objectType="Button" lockText="1"/>
</file>

<file path=xl/ctrlProps/ctrlProp2416.xml><?xml version="1.0" encoding="utf-8"?>
<formControlPr xmlns="http://schemas.microsoft.com/office/spreadsheetml/2009/9/main" objectType="Button" lockText="1"/>
</file>

<file path=xl/ctrlProps/ctrlProp2417.xml><?xml version="1.0" encoding="utf-8"?>
<formControlPr xmlns="http://schemas.microsoft.com/office/spreadsheetml/2009/9/main" objectType="Button" lockText="1"/>
</file>

<file path=xl/ctrlProps/ctrlProp2418.xml><?xml version="1.0" encoding="utf-8"?>
<formControlPr xmlns="http://schemas.microsoft.com/office/spreadsheetml/2009/9/main" objectType="Button" lockText="1"/>
</file>

<file path=xl/ctrlProps/ctrlProp2419.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20.xml><?xml version="1.0" encoding="utf-8"?>
<formControlPr xmlns="http://schemas.microsoft.com/office/spreadsheetml/2009/9/main" objectType="Button" lockText="1"/>
</file>

<file path=xl/ctrlProps/ctrlProp2421.xml><?xml version="1.0" encoding="utf-8"?>
<formControlPr xmlns="http://schemas.microsoft.com/office/spreadsheetml/2009/9/main" objectType="Button" lockText="1"/>
</file>

<file path=xl/ctrlProps/ctrlProp2422.xml><?xml version="1.0" encoding="utf-8"?>
<formControlPr xmlns="http://schemas.microsoft.com/office/spreadsheetml/2009/9/main" objectType="Button" lockText="1"/>
</file>

<file path=xl/ctrlProps/ctrlProp2423.xml><?xml version="1.0" encoding="utf-8"?>
<formControlPr xmlns="http://schemas.microsoft.com/office/spreadsheetml/2009/9/main" objectType="Button" lockText="1"/>
</file>

<file path=xl/ctrlProps/ctrlProp2424.xml><?xml version="1.0" encoding="utf-8"?>
<formControlPr xmlns="http://schemas.microsoft.com/office/spreadsheetml/2009/9/main" objectType="Button" lockText="1"/>
</file>

<file path=xl/ctrlProps/ctrlProp2425.xml><?xml version="1.0" encoding="utf-8"?>
<formControlPr xmlns="http://schemas.microsoft.com/office/spreadsheetml/2009/9/main" objectType="Button" lockText="1"/>
</file>

<file path=xl/ctrlProps/ctrlProp2426.xml><?xml version="1.0" encoding="utf-8"?>
<formControlPr xmlns="http://schemas.microsoft.com/office/spreadsheetml/2009/9/main" objectType="Button" lockText="1"/>
</file>

<file path=xl/ctrlProps/ctrlProp2427.xml><?xml version="1.0" encoding="utf-8"?>
<formControlPr xmlns="http://schemas.microsoft.com/office/spreadsheetml/2009/9/main" objectType="Button" lockText="1"/>
</file>

<file path=xl/ctrlProps/ctrlProp2428.xml><?xml version="1.0" encoding="utf-8"?>
<formControlPr xmlns="http://schemas.microsoft.com/office/spreadsheetml/2009/9/main" objectType="Button" lockText="1"/>
</file>

<file path=xl/ctrlProps/ctrlProp2429.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30.xml><?xml version="1.0" encoding="utf-8"?>
<formControlPr xmlns="http://schemas.microsoft.com/office/spreadsheetml/2009/9/main" objectType="Button" lockText="1"/>
</file>

<file path=xl/ctrlProps/ctrlProp2431.xml><?xml version="1.0" encoding="utf-8"?>
<formControlPr xmlns="http://schemas.microsoft.com/office/spreadsheetml/2009/9/main" objectType="Button" lockText="1"/>
</file>

<file path=xl/ctrlProps/ctrlProp2432.xml><?xml version="1.0" encoding="utf-8"?>
<formControlPr xmlns="http://schemas.microsoft.com/office/spreadsheetml/2009/9/main" objectType="Button" lockText="1"/>
</file>

<file path=xl/ctrlProps/ctrlProp2433.xml><?xml version="1.0" encoding="utf-8"?>
<formControlPr xmlns="http://schemas.microsoft.com/office/spreadsheetml/2009/9/main" objectType="Button" lockText="1"/>
</file>

<file path=xl/ctrlProps/ctrlProp2434.xml><?xml version="1.0" encoding="utf-8"?>
<formControlPr xmlns="http://schemas.microsoft.com/office/spreadsheetml/2009/9/main" objectType="Button" lockText="1"/>
</file>

<file path=xl/ctrlProps/ctrlProp2435.xml><?xml version="1.0" encoding="utf-8"?>
<formControlPr xmlns="http://schemas.microsoft.com/office/spreadsheetml/2009/9/main" objectType="Button" lockText="1"/>
</file>

<file path=xl/ctrlProps/ctrlProp2436.xml><?xml version="1.0" encoding="utf-8"?>
<formControlPr xmlns="http://schemas.microsoft.com/office/spreadsheetml/2009/9/main" objectType="Button" lockText="1"/>
</file>

<file path=xl/ctrlProps/ctrlProp2437.xml><?xml version="1.0" encoding="utf-8"?>
<formControlPr xmlns="http://schemas.microsoft.com/office/spreadsheetml/2009/9/main" objectType="Button" lockText="1"/>
</file>

<file path=xl/ctrlProps/ctrlProp2438.xml><?xml version="1.0" encoding="utf-8"?>
<formControlPr xmlns="http://schemas.microsoft.com/office/spreadsheetml/2009/9/main" objectType="Button" lockText="1"/>
</file>

<file path=xl/ctrlProps/ctrlProp2439.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40.xml><?xml version="1.0" encoding="utf-8"?>
<formControlPr xmlns="http://schemas.microsoft.com/office/spreadsheetml/2009/9/main" objectType="Button" lockText="1"/>
</file>

<file path=xl/ctrlProps/ctrlProp2441.xml><?xml version="1.0" encoding="utf-8"?>
<formControlPr xmlns="http://schemas.microsoft.com/office/spreadsheetml/2009/9/main" objectType="Button" lockText="1"/>
</file>

<file path=xl/ctrlProps/ctrlProp2442.xml><?xml version="1.0" encoding="utf-8"?>
<formControlPr xmlns="http://schemas.microsoft.com/office/spreadsheetml/2009/9/main" objectType="Button" lockText="1"/>
</file>

<file path=xl/ctrlProps/ctrlProp2443.xml><?xml version="1.0" encoding="utf-8"?>
<formControlPr xmlns="http://schemas.microsoft.com/office/spreadsheetml/2009/9/main" objectType="Button" lockText="1"/>
</file>

<file path=xl/ctrlProps/ctrlProp2444.xml><?xml version="1.0" encoding="utf-8"?>
<formControlPr xmlns="http://schemas.microsoft.com/office/spreadsheetml/2009/9/main" objectType="Button" lockText="1"/>
</file>

<file path=xl/ctrlProps/ctrlProp2445.xml><?xml version="1.0" encoding="utf-8"?>
<formControlPr xmlns="http://schemas.microsoft.com/office/spreadsheetml/2009/9/main" objectType="Button" lockText="1"/>
</file>

<file path=xl/ctrlProps/ctrlProp2446.xml><?xml version="1.0" encoding="utf-8"?>
<formControlPr xmlns="http://schemas.microsoft.com/office/spreadsheetml/2009/9/main" objectType="Button" lockText="1"/>
</file>

<file path=xl/ctrlProps/ctrlProp2447.xml><?xml version="1.0" encoding="utf-8"?>
<formControlPr xmlns="http://schemas.microsoft.com/office/spreadsheetml/2009/9/main" objectType="Button" lockText="1"/>
</file>

<file path=xl/ctrlProps/ctrlProp2448.xml><?xml version="1.0" encoding="utf-8"?>
<formControlPr xmlns="http://schemas.microsoft.com/office/spreadsheetml/2009/9/main" objectType="Button" lockText="1"/>
</file>

<file path=xl/ctrlProps/ctrlProp2449.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50.xml><?xml version="1.0" encoding="utf-8"?>
<formControlPr xmlns="http://schemas.microsoft.com/office/spreadsheetml/2009/9/main" objectType="Button" lockText="1"/>
</file>

<file path=xl/ctrlProps/ctrlProp2451.xml><?xml version="1.0" encoding="utf-8"?>
<formControlPr xmlns="http://schemas.microsoft.com/office/spreadsheetml/2009/9/main" objectType="Button" lockText="1"/>
</file>

<file path=xl/ctrlProps/ctrlProp2452.xml><?xml version="1.0" encoding="utf-8"?>
<formControlPr xmlns="http://schemas.microsoft.com/office/spreadsheetml/2009/9/main" objectType="Button" lockText="1"/>
</file>

<file path=xl/ctrlProps/ctrlProp2453.xml><?xml version="1.0" encoding="utf-8"?>
<formControlPr xmlns="http://schemas.microsoft.com/office/spreadsheetml/2009/9/main" objectType="Button" lockText="1"/>
</file>

<file path=xl/ctrlProps/ctrlProp2454.xml><?xml version="1.0" encoding="utf-8"?>
<formControlPr xmlns="http://schemas.microsoft.com/office/spreadsheetml/2009/9/main" objectType="Button" lockText="1"/>
</file>

<file path=xl/ctrlProps/ctrlProp2455.xml><?xml version="1.0" encoding="utf-8"?>
<formControlPr xmlns="http://schemas.microsoft.com/office/spreadsheetml/2009/9/main" objectType="Button" lockText="1"/>
</file>

<file path=xl/ctrlProps/ctrlProp2456.xml><?xml version="1.0" encoding="utf-8"?>
<formControlPr xmlns="http://schemas.microsoft.com/office/spreadsheetml/2009/9/main" objectType="Button" lockText="1"/>
</file>

<file path=xl/ctrlProps/ctrlProp2457.xml><?xml version="1.0" encoding="utf-8"?>
<formControlPr xmlns="http://schemas.microsoft.com/office/spreadsheetml/2009/9/main" objectType="Button" lockText="1"/>
</file>

<file path=xl/ctrlProps/ctrlProp2458.xml><?xml version="1.0" encoding="utf-8"?>
<formControlPr xmlns="http://schemas.microsoft.com/office/spreadsheetml/2009/9/main" objectType="Button" lockText="1"/>
</file>

<file path=xl/ctrlProps/ctrlProp2459.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60.xml><?xml version="1.0" encoding="utf-8"?>
<formControlPr xmlns="http://schemas.microsoft.com/office/spreadsheetml/2009/9/main" objectType="Button" lockText="1"/>
</file>

<file path=xl/ctrlProps/ctrlProp2461.xml><?xml version="1.0" encoding="utf-8"?>
<formControlPr xmlns="http://schemas.microsoft.com/office/spreadsheetml/2009/9/main" objectType="Button" lockText="1"/>
</file>

<file path=xl/ctrlProps/ctrlProp2462.xml><?xml version="1.0" encoding="utf-8"?>
<formControlPr xmlns="http://schemas.microsoft.com/office/spreadsheetml/2009/9/main" objectType="Button" lockText="1"/>
</file>

<file path=xl/ctrlProps/ctrlProp2463.xml><?xml version="1.0" encoding="utf-8"?>
<formControlPr xmlns="http://schemas.microsoft.com/office/spreadsheetml/2009/9/main" objectType="Button" lockText="1"/>
</file>

<file path=xl/ctrlProps/ctrlProp2464.xml><?xml version="1.0" encoding="utf-8"?>
<formControlPr xmlns="http://schemas.microsoft.com/office/spreadsheetml/2009/9/main" objectType="Button" lockText="1"/>
</file>

<file path=xl/ctrlProps/ctrlProp2465.xml><?xml version="1.0" encoding="utf-8"?>
<formControlPr xmlns="http://schemas.microsoft.com/office/spreadsheetml/2009/9/main" objectType="Button" lockText="1"/>
</file>

<file path=xl/ctrlProps/ctrlProp2466.xml><?xml version="1.0" encoding="utf-8"?>
<formControlPr xmlns="http://schemas.microsoft.com/office/spreadsheetml/2009/9/main" objectType="Button" lockText="1"/>
</file>

<file path=xl/ctrlProps/ctrlProp2467.xml><?xml version="1.0" encoding="utf-8"?>
<formControlPr xmlns="http://schemas.microsoft.com/office/spreadsheetml/2009/9/main" objectType="Button" lockText="1"/>
</file>

<file path=xl/ctrlProps/ctrlProp2468.xml><?xml version="1.0" encoding="utf-8"?>
<formControlPr xmlns="http://schemas.microsoft.com/office/spreadsheetml/2009/9/main" objectType="Button" lockText="1"/>
</file>

<file path=xl/ctrlProps/ctrlProp2469.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70.xml><?xml version="1.0" encoding="utf-8"?>
<formControlPr xmlns="http://schemas.microsoft.com/office/spreadsheetml/2009/9/main" objectType="Button" lockText="1"/>
</file>

<file path=xl/ctrlProps/ctrlProp2471.xml><?xml version="1.0" encoding="utf-8"?>
<formControlPr xmlns="http://schemas.microsoft.com/office/spreadsheetml/2009/9/main" objectType="Button" lockText="1"/>
</file>

<file path=xl/ctrlProps/ctrlProp2472.xml><?xml version="1.0" encoding="utf-8"?>
<formControlPr xmlns="http://schemas.microsoft.com/office/spreadsheetml/2009/9/main" objectType="Button" lockText="1"/>
</file>

<file path=xl/ctrlProps/ctrlProp2473.xml><?xml version="1.0" encoding="utf-8"?>
<formControlPr xmlns="http://schemas.microsoft.com/office/spreadsheetml/2009/9/main" objectType="Button" lockText="1"/>
</file>

<file path=xl/ctrlProps/ctrlProp2474.xml><?xml version="1.0" encoding="utf-8"?>
<formControlPr xmlns="http://schemas.microsoft.com/office/spreadsheetml/2009/9/main" objectType="Button" lockText="1"/>
</file>

<file path=xl/ctrlProps/ctrlProp2475.xml><?xml version="1.0" encoding="utf-8"?>
<formControlPr xmlns="http://schemas.microsoft.com/office/spreadsheetml/2009/9/main" objectType="Button" lockText="1"/>
</file>

<file path=xl/ctrlProps/ctrlProp2476.xml><?xml version="1.0" encoding="utf-8"?>
<formControlPr xmlns="http://schemas.microsoft.com/office/spreadsheetml/2009/9/main" objectType="Button" lockText="1"/>
</file>

<file path=xl/ctrlProps/ctrlProp2477.xml><?xml version="1.0" encoding="utf-8"?>
<formControlPr xmlns="http://schemas.microsoft.com/office/spreadsheetml/2009/9/main" objectType="Button" lockText="1"/>
</file>

<file path=xl/ctrlProps/ctrlProp2478.xml><?xml version="1.0" encoding="utf-8"?>
<formControlPr xmlns="http://schemas.microsoft.com/office/spreadsheetml/2009/9/main" objectType="Button" lockText="1"/>
</file>

<file path=xl/ctrlProps/ctrlProp2479.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80.xml><?xml version="1.0" encoding="utf-8"?>
<formControlPr xmlns="http://schemas.microsoft.com/office/spreadsheetml/2009/9/main" objectType="Button" lockText="1"/>
</file>

<file path=xl/ctrlProps/ctrlProp2481.xml><?xml version="1.0" encoding="utf-8"?>
<formControlPr xmlns="http://schemas.microsoft.com/office/spreadsheetml/2009/9/main" objectType="Button" lockText="1"/>
</file>

<file path=xl/ctrlProps/ctrlProp2482.xml><?xml version="1.0" encoding="utf-8"?>
<formControlPr xmlns="http://schemas.microsoft.com/office/spreadsheetml/2009/9/main" objectType="Button" lockText="1"/>
</file>

<file path=xl/ctrlProps/ctrlProp2483.xml><?xml version="1.0" encoding="utf-8"?>
<formControlPr xmlns="http://schemas.microsoft.com/office/spreadsheetml/2009/9/main" objectType="Button" lockText="1"/>
</file>

<file path=xl/ctrlProps/ctrlProp2484.xml><?xml version="1.0" encoding="utf-8"?>
<formControlPr xmlns="http://schemas.microsoft.com/office/spreadsheetml/2009/9/main" objectType="Button" lockText="1"/>
</file>

<file path=xl/ctrlProps/ctrlProp2485.xml><?xml version="1.0" encoding="utf-8"?>
<formControlPr xmlns="http://schemas.microsoft.com/office/spreadsheetml/2009/9/main" objectType="Button" lockText="1"/>
</file>

<file path=xl/ctrlProps/ctrlProp2486.xml><?xml version="1.0" encoding="utf-8"?>
<formControlPr xmlns="http://schemas.microsoft.com/office/spreadsheetml/2009/9/main" objectType="Button" lockText="1"/>
</file>

<file path=xl/ctrlProps/ctrlProp2487.xml><?xml version="1.0" encoding="utf-8"?>
<formControlPr xmlns="http://schemas.microsoft.com/office/spreadsheetml/2009/9/main" objectType="Button" lockText="1"/>
</file>

<file path=xl/ctrlProps/ctrlProp2488.xml><?xml version="1.0" encoding="utf-8"?>
<formControlPr xmlns="http://schemas.microsoft.com/office/spreadsheetml/2009/9/main" objectType="Button" lockText="1"/>
</file>

<file path=xl/ctrlProps/ctrlProp2489.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490.xml><?xml version="1.0" encoding="utf-8"?>
<formControlPr xmlns="http://schemas.microsoft.com/office/spreadsheetml/2009/9/main" objectType="Button" lockText="1"/>
</file>

<file path=xl/ctrlProps/ctrlProp2491.xml><?xml version="1.0" encoding="utf-8"?>
<formControlPr xmlns="http://schemas.microsoft.com/office/spreadsheetml/2009/9/main" objectType="Button" lockText="1"/>
</file>

<file path=xl/ctrlProps/ctrlProp2492.xml><?xml version="1.0" encoding="utf-8"?>
<formControlPr xmlns="http://schemas.microsoft.com/office/spreadsheetml/2009/9/main" objectType="Button" lockText="1"/>
</file>

<file path=xl/ctrlProps/ctrlProp2493.xml><?xml version="1.0" encoding="utf-8"?>
<formControlPr xmlns="http://schemas.microsoft.com/office/spreadsheetml/2009/9/main" objectType="Button" lockText="1"/>
</file>

<file path=xl/ctrlProps/ctrlProp2494.xml><?xml version="1.0" encoding="utf-8"?>
<formControlPr xmlns="http://schemas.microsoft.com/office/spreadsheetml/2009/9/main" objectType="Button" lockText="1"/>
</file>

<file path=xl/ctrlProps/ctrlProp2495.xml><?xml version="1.0" encoding="utf-8"?>
<formControlPr xmlns="http://schemas.microsoft.com/office/spreadsheetml/2009/9/main" objectType="Button" lockText="1"/>
</file>

<file path=xl/ctrlProps/ctrlProp2496.xml><?xml version="1.0" encoding="utf-8"?>
<formControlPr xmlns="http://schemas.microsoft.com/office/spreadsheetml/2009/9/main" objectType="Button" lockText="1"/>
</file>

<file path=xl/ctrlProps/ctrlProp2497.xml><?xml version="1.0" encoding="utf-8"?>
<formControlPr xmlns="http://schemas.microsoft.com/office/spreadsheetml/2009/9/main" objectType="Button" lockText="1"/>
</file>

<file path=xl/ctrlProps/ctrlProp2498.xml><?xml version="1.0" encoding="utf-8"?>
<formControlPr xmlns="http://schemas.microsoft.com/office/spreadsheetml/2009/9/main" objectType="Button" lockText="1"/>
</file>

<file path=xl/ctrlProps/ctrlProp249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00.xml><?xml version="1.0" encoding="utf-8"?>
<formControlPr xmlns="http://schemas.microsoft.com/office/spreadsheetml/2009/9/main" objectType="Button" lockText="1"/>
</file>

<file path=xl/ctrlProps/ctrlProp2501.xml><?xml version="1.0" encoding="utf-8"?>
<formControlPr xmlns="http://schemas.microsoft.com/office/spreadsheetml/2009/9/main" objectType="Button" lockText="1"/>
</file>

<file path=xl/ctrlProps/ctrlProp2502.xml><?xml version="1.0" encoding="utf-8"?>
<formControlPr xmlns="http://schemas.microsoft.com/office/spreadsheetml/2009/9/main" objectType="Button" lockText="1"/>
</file>

<file path=xl/ctrlProps/ctrlProp2503.xml><?xml version="1.0" encoding="utf-8"?>
<formControlPr xmlns="http://schemas.microsoft.com/office/spreadsheetml/2009/9/main" objectType="Button" lockText="1"/>
</file>

<file path=xl/ctrlProps/ctrlProp2504.xml><?xml version="1.0" encoding="utf-8"?>
<formControlPr xmlns="http://schemas.microsoft.com/office/spreadsheetml/2009/9/main" objectType="Button" lockText="1"/>
</file>

<file path=xl/ctrlProps/ctrlProp2505.xml><?xml version="1.0" encoding="utf-8"?>
<formControlPr xmlns="http://schemas.microsoft.com/office/spreadsheetml/2009/9/main" objectType="Button" lockText="1"/>
</file>

<file path=xl/ctrlProps/ctrlProp2506.xml><?xml version="1.0" encoding="utf-8"?>
<formControlPr xmlns="http://schemas.microsoft.com/office/spreadsheetml/2009/9/main" objectType="Button" lockText="1"/>
</file>

<file path=xl/ctrlProps/ctrlProp2507.xml><?xml version="1.0" encoding="utf-8"?>
<formControlPr xmlns="http://schemas.microsoft.com/office/spreadsheetml/2009/9/main" objectType="Button" lockText="1"/>
</file>

<file path=xl/ctrlProps/ctrlProp2508.xml><?xml version="1.0" encoding="utf-8"?>
<formControlPr xmlns="http://schemas.microsoft.com/office/spreadsheetml/2009/9/main" objectType="Button" lockText="1"/>
</file>

<file path=xl/ctrlProps/ctrlProp2509.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10.xml><?xml version="1.0" encoding="utf-8"?>
<formControlPr xmlns="http://schemas.microsoft.com/office/spreadsheetml/2009/9/main" objectType="Button" lockText="1"/>
</file>

<file path=xl/ctrlProps/ctrlProp2511.xml><?xml version="1.0" encoding="utf-8"?>
<formControlPr xmlns="http://schemas.microsoft.com/office/spreadsheetml/2009/9/main" objectType="Button" lockText="1"/>
</file>

<file path=xl/ctrlProps/ctrlProp2512.xml><?xml version="1.0" encoding="utf-8"?>
<formControlPr xmlns="http://schemas.microsoft.com/office/spreadsheetml/2009/9/main" objectType="Button" lockText="1"/>
</file>

<file path=xl/ctrlProps/ctrlProp2513.xml><?xml version="1.0" encoding="utf-8"?>
<formControlPr xmlns="http://schemas.microsoft.com/office/spreadsheetml/2009/9/main" objectType="Button" lockText="1"/>
</file>

<file path=xl/ctrlProps/ctrlProp2514.xml><?xml version="1.0" encoding="utf-8"?>
<formControlPr xmlns="http://schemas.microsoft.com/office/spreadsheetml/2009/9/main" objectType="Button" lockText="1"/>
</file>

<file path=xl/ctrlProps/ctrlProp2515.xml><?xml version="1.0" encoding="utf-8"?>
<formControlPr xmlns="http://schemas.microsoft.com/office/spreadsheetml/2009/9/main" objectType="Button" lockText="1"/>
</file>

<file path=xl/ctrlProps/ctrlProp2516.xml><?xml version="1.0" encoding="utf-8"?>
<formControlPr xmlns="http://schemas.microsoft.com/office/spreadsheetml/2009/9/main" objectType="Button" lockText="1"/>
</file>

<file path=xl/ctrlProps/ctrlProp2517.xml><?xml version="1.0" encoding="utf-8"?>
<formControlPr xmlns="http://schemas.microsoft.com/office/spreadsheetml/2009/9/main" objectType="Button" lockText="1"/>
</file>

<file path=xl/ctrlProps/ctrlProp2518.xml><?xml version="1.0" encoding="utf-8"?>
<formControlPr xmlns="http://schemas.microsoft.com/office/spreadsheetml/2009/9/main" objectType="Button" lockText="1"/>
</file>

<file path=xl/ctrlProps/ctrlProp2519.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20.xml><?xml version="1.0" encoding="utf-8"?>
<formControlPr xmlns="http://schemas.microsoft.com/office/spreadsheetml/2009/9/main" objectType="Button" lockText="1"/>
</file>

<file path=xl/ctrlProps/ctrlProp2521.xml><?xml version="1.0" encoding="utf-8"?>
<formControlPr xmlns="http://schemas.microsoft.com/office/spreadsheetml/2009/9/main" objectType="Button" lockText="1"/>
</file>

<file path=xl/ctrlProps/ctrlProp2522.xml><?xml version="1.0" encoding="utf-8"?>
<formControlPr xmlns="http://schemas.microsoft.com/office/spreadsheetml/2009/9/main" objectType="Button" lockText="1"/>
</file>

<file path=xl/ctrlProps/ctrlProp2523.xml><?xml version="1.0" encoding="utf-8"?>
<formControlPr xmlns="http://schemas.microsoft.com/office/spreadsheetml/2009/9/main" objectType="Button" lockText="1"/>
</file>

<file path=xl/ctrlProps/ctrlProp2524.xml><?xml version="1.0" encoding="utf-8"?>
<formControlPr xmlns="http://schemas.microsoft.com/office/spreadsheetml/2009/9/main" objectType="Button" lockText="1"/>
</file>

<file path=xl/ctrlProps/ctrlProp2525.xml><?xml version="1.0" encoding="utf-8"?>
<formControlPr xmlns="http://schemas.microsoft.com/office/spreadsheetml/2009/9/main" objectType="Button" lockText="1"/>
</file>

<file path=xl/ctrlProps/ctrlProp2526.xml><?xml version="1.0" encoding="utf-8"?>
<formControlPr xmlns="http://schemas.microsoft.com/office/spreadsheetml/2009/9/main" objectType="Button" lockText="1"/>
</file>

<file path=xl/ctrlProps/ctrlProp2527.xml><?xml version="1.0" encoding="utf-8"?>
<formControlPr xmlns="http://schemas.microsoft.com/office/spreadsheetml/2009/9/main" objectType="Button" lockText="1"/>
</file>

<file path=xl/ctrlProps/ctrlProp2528.xml><?xml version="1.0" encoding="utf-8"?>
<formControlPr xmlns="http://schemas.microsoft.com/office/spreadsheetml/2009/9/main" objectType="Button" lockText="1"/>
</file>

<file path=xl/ctrlProps/ctrlProp2529.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30.xml><?xml version="1.0" encoding="utf-8"?>
<formControlPr xmlns="http://schemas.microsoft.com/office/spreadsheetml/2009/9/main" objectType="Button" lockText="1"/>
</file>

<file path=xl/ctrlProps/ctrlProp2531.xml><?xml version="1.0" encoding="utf-8"?>
<formControlPr xmlns="http://schemas.microsoft.com/office/spreadsheetml/2009/9/main" objectType="Button" lockText="1"/>
</file>

<file path=xl/ctrlProps/ctrlProp2532.xml><?xml version="1.0" encoding="utf-8"?>
<formControlPr xmlns="http://schemas.microsoft.com/office/spreadsheetml/2009/9/main" objectType="Button" lockText="1"/>
</file>

<file path=xl/ctrlProps/ctrlProp2533.xml><?xml version="1.0" encoding="utf-8"?>
<formControlPr xmlns="http://schemas.microsoft.com/office/spreadsheetml/2009/9/main" objectType="Button" lockText="1"/>
</file>

<file path=xl/ctrlProps/ctrlProp2534.xml><?xml version="1.0" encoding="utf-8"?>
<formControlPr xmlns="http://schemas.microsoft.com/office/spreadsheetml/2009/9/main" objectType="Button" lockText="1"/>
</file>

<file path=xl/ctrlProps/ctrlProp2535.xml><?xml version="1.0" encoding="utf-8"?>
<formControlPr xmlns="http://schemas.microsoft.com/office/spreadsheetml/2009/9/main" objectType="Button" lockText="1"/>
</file>

<file path=xl/ctrlProps/ctrlProp2536.xml><?xml version="1.0" encoding="utf-8"?>
<formControlPr xmlns="http://schemas.microsoft.com/office/spreadsheetml/2009/9/main" objectType="Button" lockText="1"/>
</file>

<file path=xl/ctrlProps/ctrlProp2537.xml><?xml version="1.0" encoding="utf-8"?>
<formControlPr xmlns="http://schemas.microsoft.com/office/spreadsheetml/2009/9/main" objectType="Button" lockText="1"/>
</file>

<file path=xl/ctrlProps/ctrlProp2538.xml><?xml version="1.0" encoding="utf-8"?>
<formControlPr xmlns="http://schemas.microsoft.com/office/spreadsheetml/2009/9/main" objectType="Button" lockText="1"/>
</file>

<file path=xl/ctrlProps/ctrlProp2539.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40.xml><?xml version="1.0" encoding="utf-8"?>
<formControlPr xmlns="http://schemas.microsoft.com/office/spreadsheetml/2009/9/main" objectType="Button" lockText="1"/>
</file>

<file path=xl/ctrlProps/ctrlProp2541.xml><?xml version="1.0" encoding="utf-8"?>
<formControlPr xmlns="http://schemas.microsoft.com/office/spreadsheetml/2009/9/main" objectType="Button" lockText="1"/>
</file>

<file path=xl/ctrlProps/ctrlProp2542.xml><?xml version="1.0" encoding="utf-8"?>
<formControlPr xmlns="http://schemas.microsoft.com/office/spreadsheetml/2009/9/main" objectType="Button" lockText="1"/>
</file>

<file path=xl/ctrlProps/ctrlProp2543.xml><?xml version="1.0" encoding="utf-8"?>
<formControlPr xmlns="http://schemas.microsoft.com/office/spreadsheetml/2009/9/main" objectType="Button" lockText="1"/>
</file>

<file path=xl/ctrlProps/ctrlProp2544.xml><?xml version="1.0" encoding="utf-8"?>
<formControlPr xmlns="http://schemas.microsoft.com/office/spreadsheetml/2009/9/main" objectType="Button" lockText="1"/>
</file>

<file path=xl/ctrlProps/ctrlProp2545.xml><?xml version="1.0" encoding="utf-8"?>
<formControlPr xmlns="http://schemas.microsoft.com/office/spreadsheetml/2009/9/main" objectType="Button" lockText="1"/>
</file>

<file path=xl/ctrlProps/ctrlProp2546.xml><?xml version="1.0" encoding="utf-8"?>
<formControlPr xmlns="http://schemas.microsoft.com/office/spreadsheetml/2009/9/main" objectType="Button" lockText="1"/>
</file>

<file path=xl/ctrlProps/ctrlProp2547.xml><?xml version="1.0" encoding="utf-8"?>
<formControlPr xmlns="http://schemas.microsoft.com/office/spreadsheetml/2009/9/main" objectType="Button" lockText="1"/>
</file>

<file path=xl/ctrlProps/ctrlProp2548.xml><?xml version="1.0" encoding="utf-8"?>
<formControlPr xmlns="http://schemas.microsoft.com/office/spreadsheetml/2009/9/main" objectType="Button" lockText="1"/>
</file>

<file path=xl/ctrlProps/ctrlProp2549.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50.xml><?xml version="1.0" encoding="utf-8"?>
<formControlPr xmlns="http://schemas.microsoft.com/office/spreadsheetml/2009/9/main" objectType="Button" lockText="1"/>
</file>

<file path=xl/ctrlProps/ctrlProp2551.xml><?xml version="1.0" encoding="utf-8"?>
<formControlPr xmlns="http://schemas.microsoft.com/office/spreadsheetml/2009/9/main" objectType="Button" lockText="1"/>
</file>

<file path=xl/ctrlProps/ctrlProp2552.xml><?xml version="1.0" encoding="utf-8"?>
<formControlPr xmlns="http://schemas.microsoft.com/office/spreadsheetml/2009/9/main" objectType="Button" lockText="1"/>
</file>

<file path=xl/ctrlProps/ctrlProp2553.xml><?xml version="1.0" encoding="utf-8"?>
<formControlPr xmlns="http://schemas.microsoft.com/office/spreadsheetml/2009/9/main" objectType="Button" lockText="1"/>
</file>

<file path=xl/ctrlProps/ctrlProp2554.xml><?xml version="1.0" encoding="utf-8"?>
<formControlPr xmlns="http://schemas.microsoft.com/office/spreadsheetml/2009/9/main" objectType="Button" lockText="1"/>
</file>

<file path=xl/ctrlProps/ctrlProp2555.xml><?xml version="1.0" encoding="utf-8"?>
<formControlPr xmlns="http://schemas.microsoft.com/office/spreadsheetml/2009/9/main" objectType="Button" lockText="1"/>
</file>

<file path=xl/ctrlProps/ctrlProp2556.xml><?xml version="1.0" encoding="utf-8"?>
<formControlPr xmlns="http://schemas.microsoft.com/office/spreadsheetml/2009/9/main" objectType="Button" lockText="1"/>
</file>

<file path=xl/ctrlProps/ctrlProp2557.xml><?xml version="1.0" encoding="utf-8"?>
<formControlPr xmlns="http://schemas.microsoft.com/office/spreadsheetml/2009/9/main" objectType="Button" lockText="1"/>
</file>

<file path=xl/ctrlProps/ctrlProp2558.xml><?xml version="1.0" encoding="utf-8"?>
<formControlPr xmlns="http://schemas.microsoft.com/office/spreadsheetml/2009/9/main" objectType="Button" lockText="1"/>
</file>

<file path=xl/ctrlProps/ctrlProp2559.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60.xml><?xml version="1.0" encoding="utf-8"?>
<formControlPr xmlns="http://schemas.microsoft.com/office/spreadsheetml/2009/9/main" objectType="Button" lockText="1"/>
</file>

<file path=xl/ctrlProps/ctrlProp2561.xml><?xml version="1.0" encoding="utf-8"?>
<formControlPr xmlns="http://schemas.microsoft.com/office/spreadsheetml/2009/9/main" objectType="Button" lockText="1"/>
</file>

<file path=xl/ctrlProps/ctrlProp2562.xml><?xml version="1.0" encoding="utf-8"?>
<formControlPr xmlns="http://schemas.microsoft.com/office/spreadsheetml/2009/9/main" objectType="Button" lockText="1"/>
</file>

<file path=xl/ctrlProps/ctrlProp2563.xml><?xml version="1.0" encoding="utf-8"?>
<formControlPr xmlns="http://schemas.microsoft.com/office/spreadsheetml/2009/9/main" objectType="Button" lockText="1"/>
</file>

<file path=xl/ctrlProps/ctrlProp2564.xml><?xml version="1.0" encoding="utf-8"?>
<formControlPr xmlns="http://schemas.microsoft.com/office/spreadsheetml/2009/9/main" objectType="Button" lockText="1"/>
</file>

<file path=xl/ctrlProps/ctrlProp2565.xml><?xml version="1.0" encoding="utf-8"?>
<formControlPr xmlns="http://schemas.microsoft.com/office/spreadsheetml/2009/9/main" objectType="Button" lockText="1"/>
</file>

<file path=xl/ctrlProps/ctrlProp2566.xml><?xml version="1.0" encoding="utf-8"?>
<formControlPr xmlns="http://schemas.microsoft.com/office/spreadsheetml/2009/9/main" objectType="Button" lockText="1"/>
</file>

<file path=xl/ctrlProps/ctrlProp2567.xml><?xml version="1.0" encoding="utf-8"?>
<formControlPr xmlns="http://schemas.microsoft.com/office/spreadsheetml/2009/9/main" objectType="Button" lockText="1"/>
</file>

<file path=xl/ctrlProps/ctrlProp2568.xml><?xml version="1.0" encoding="utf-8"?>
<formControlPr xmlns="http://schemas.microsoft.com/office/spreadsheetml/2009/9/main" objectType="Button" lockText="1"/>
</file>

<file path=xl/ctrlProps/ctrlProp2569.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70.xml><?xml version="1.0" encoding="utf-8"?>
<formControlPr xmlns="http://schemas.microsoft.com/office/spreadsheetml/2009/9/main" objectType="Button" lockText="1"/>
</file>

<file path=xl/ctrlProps/ctrlProp2571.xml><?xml version="1.0" encoding="utf-8"?>
<formControlPr xmlns="http://schemas.microsoft.com/office/spreadsheetml/2009/9/main" objectType="Button" lockText="1"/>
</file>

<file path=xl/ctrlProps/ctrlProp2572.xml><?xml version="1.0" encoding="utf-8"?>
<formControlPr xmlns="http://schemas.microsoft.com/office/spreadsheetml/2009/9/main" objectType="Button" lockText="1"/>
</file>

<file path=xl/ctrlProps/ctrlProp2573.xml><?xml version="1.0" encoding="utf-8"?>
<formControlPr xmlns="http://schemas.microsoft.com/office/spreadsheetml/2009/9/main" objectType="Button" lockText="1"/>
</file>

<file path=xl/ctrlProps/ctrlProp2574.xml><?xml version="1.0" encoding="utf-8"?>
<formControlPr xmlns="http://schemas.microsoft.com/office/spreadsheetml/2009/9/main" objectType="Button" lockText="1"/>
</file>

<file path=xl/ctrlProps/ctrlProp2575.xml><?xml version="1.0" encoding="utf-8"?>
<formControlPr xmlns="http://schemas.microsoft.com/office/spreadsheetml/2009/9/main" objectType="Button" lockText="1"/>
</file>

<file path=xl/ctrlProps/ctrlProp2576.xml><?xml version="1.0" encoding="utf-8"?>
<formControlPr xmlns="http://schemas.microsoft.com/office/spreadsheetml/2009/9/main" objectType="Button" lockText="1"/>
</file>

<file path=xl/ctrlProps/ctrlProp2577.xml><?xml version="1.0" encoding="utf-8"?>
<formControlPr xmlns="http://schemas.microsoft.com/office/spreadsheetml/2009/9/main" objectType="Button" lockText="1"/>
</file>

<file path=xl/ctrlProps/ctrlProp2578.xml><?xml version="1.0" encoding="utf-8"?>
<formControlPr xmlns="http://schemas.microsoft.com/office/spreadsheetml/2009/9/main" objectType="Button" lockText="1"/>
</file>

<file path=xl/ctrlProps/ctrlProp2579.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80.xml><?xml version="1.0" encoding="utf-8"?>
<formControlPr xmlns="http://schemas.microsoft.com/office/spreadsheetml/2009/9/main" objectType="Button" lockText="1"/>
</file>

<file path=xl/ctrlProps/ctrlProp2581.xml><?xml version="1.0" encoding="utf-8"?>
<formControlPr xmlns="http://schemas.microsoft.com/office/spreadsheetml/2009/9/main" objectType="Button" lockText="1"/>
</file>

<file path=xl/ctrlProps/ctrlProp2582.xml><?xml version="1.0" encoding="utf-8"?>
<formControlPr xmlns="http://schemas.microsoft.com/office/spreadsheetml/2009/9/main" objectType="Button" lockText="1"/>
</file>

<file path=xl/ctrlProps/ctrlProp2583.xml><?xml version="1.0" encoding="utf-8"?>
<formControlPr xmlns="http://schemas.microsoft.com/office/spreadsheetml/2009/9/main" objectType="Button" lockText="1"/>
</file>

<file path=xl/ctrlProps/ctrlProp2584.xml><?xml version="1.0" encoding="utf-8"?>
<formControlPr xmlns="http://schemas.microsoft.com/office/spreadsheetml/2009/9/main" objectType="Button" lockText="1"/>
</file>

<file path=xl/ctrlProps/ctrlProp2585.xml><?xml version="1.0" encoding="utf-8"?>
<formControlPr xmlns="http://schemas.microsoft.com/office/spreadsheetml/2009/9/main" objectType="Button" lockText="1"/>
</file>

<file path=xl/ctrlProps/ctrlProp2586.xml><?xml version="1.0" encoding="utf-8"?>
<formControlPr xmlns="http://schemas.microsoft.com/office/spreadsheetml/2009/9/main" objectType="Button" lockText="1"/>
</file>

<file path=xl/ctrlProps/ctrlProp2587.xml><?xml version="1.0" encoding="utf-8"?>
<formControlPr xmlns="http://schemas.microsoft.com/office/spreadsheetml/2009/9/main" objectType="Button" lockText="1"/>
</file>

<file path=xl/ctrlProps/ctrlProp2588.xml><?xml version="1.0" encoding="utf-8"?>
<formControlPr xmlns="http://schemas.microsoft.com/office/spreadsheetml/2009/9/main" objectType="Button" lockText="1"/>
</file>

<file path=xl/ctrlProps/ctrlProp2589.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590.xml><?xml version="1.0" encoding="utf-8"?>
<formControlPr xmlns="http://schemas.microsoft.com/office/spreadsheetml/2009/9/main" objectType="Button" lockText="1"/>
</file>

<file path=xl/ctrlProps/ctrlProp2591.xml><?xml version="1.0" encoding="utf-8"?>
<formControlPr xmlns="http://schemas.microsoft.com/office/spreadsheetml/2009/9/main" objectType="Button" lockText="1"/>
</file>

<file path=xl/ctrlProps/ctrlProp2592.xml><?xml version="1.0" encoding="utf-8"?>
<formControlPr xmlns="http://schemas.microsoft.com/office/spreadsheetml/2009/9/main" objectType="Button" lockText="1"/>
</file>

<file path=xl/ctrlProps/ctrlProp2593.xml><?xml version="1.0" encoding="utf-8"?>
<formControlPr xmlns="http://schemas.microsoft.com/office/spreadsheetml/2009/9/main" objectType="Button" lockText="1"/>
</file>

<file path=xl/ctrlProps/ctrlProp2594.xml><?xml version="1.0" encoding="utf-8"?>
<formControlPr xmlns="http://schemas.microsoft.com/office/spreadsheetml/2009/9/main" objectType="Button" lockText="1"/>
</file>

<file path=xl/ctrlProps/ctrlProp2595.xml><?xml version="1.0" encoding="utf-8"?>
<formControlPr xmlns="http://schemas.microsoft.com/office/spreadsheetml/2009/9/main" objectType="Button" lockText="1"/>
</file>

<file path=xl/ctrlProps/ctrlProp2596.xml><?xml version="1.0" encoding="utf-8"?>
<formControlPr xmlns="http://schemas.microsoft.com/office/spreadsheetml/2009/9/main" objectType="Button" lockText="1"/>
</file>

<file path=xl/ctrlProps/ctrlProp2597.xml><?xml version="1.0" encoding="utf-8"?>
<formControlPr xmlns="http://schemas.microsoft.com/office/spreadsheetml/2009/9/main" objectType="Button" lockText="1"/>
</file>

<file path=xl/ctrlProps/ctrlProp2598.xml><?xml version="1.0" encoding="utf-8"?>
<formControlPr xmlns="http://schemas.microsoft.com/office/spreadsheetml/2009/9/main" objectType="Button" lockText="1"/>
</file>

<file path=xl/ctrlProps/ctrlProp259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00.xml><?xml version="1.0" encoding="utf-8"?>
<formControlPr xmlns="http://schemas.microsoft.com/office/spreadsheetml/2009/9/main" objectType="Button" lockText="1"/>
</file>

<file path=xl/ctrlProps/ctrlProp2601.xml><?xml version="1.0" encoding="utf-8"?>
<formControlPr xmlns="http://schemas.microsoft.com/office/spreadsheetml/2009/9/main" objectType="Button" lockText="1"/>
</file>

<file path=xl/ctrlProps/ctrlProp2602.xml><?xml version="1.0" encoding="utf-8"?>
<formControlPr xmlns="http://schemas.microsoft.com/office/spreadsheetml/2009/9/main" objectType="Button" lockText="1"/>
</file>

<file path=xl/ctrlProps/ctrlProp2603.xml><?xml version="1.0" encoding="utf-8"?>
<formControlPr xmlns="http://schemas.microsoft.com/office/spreadsheetml/2009/9/main" objectType="Button" lockText="1"/>
</file>

<file path=xl/ctrlProps/ctrlProp2604.xml><?xml version="1.0" encoding="utf-8"?>
<formControlPr xmlns="http://schemas.microsoft.com/office/spreadsheetml/2009/9/main" objectType="Button" lockText="1"/>
</file>

<file path=xl/ctrlProps/ctrlProp2605.xml><?xml version="1.0" encoding="utf-8"?>
<formControlPr xmlns="http://schemas.microsoft.com/office/spreadsheetml/2009/9/main" objectType="Button" lockText="1"/>
</file>

<file path=xl/ctrlProps/ctrlProp2606.xml><?xml version="1.0" encoding="utf-8"?>
<formControlPr xmlns="http://schemas.microsoft.com/office/spreadsheetml/2009/9/main" objectType="Button" lockText="1"/>
</file>

<file path=xl/ctrlProps/ctrlProp2607.xml><?xml version="1.0" encoding="utf-8"?>
<formControlPr xmlns="http://schemas.microsoft.com/office/spreadsheetml/2009/9/main" objectType="Button" lockText="1"/>
</file>

<file path=xl/ctrlProps/ctrlProp2608.xml><?xml version="1.0" encoding="utf-8"?>
<formControlPr xmlns="http://schemas.microsoft.com/office/spreadsheetml/2009/9/main" objectType="Button" lockText="1"/>
</file>

<file path=xl/ctrlProps/ctrlProp2609.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10.xml><?xml version="1.0" encoding="utf-8"?>
<formControlPr xmlns="http://schemas.microsoft.com/office/spreadsheetml/2009/9/main" objectType="Button" lockText="1"/>
</file>

<file path=xl/ctrlProps/ctrlProp2611.xml><?xml version="1.0" encoding="utf-8"?>
<formControlPr xmlns="http://schemas.microsoft.com/office/spreadsheetml/2009/9/main" objectType="Button" lockText="1"/>
</file>

<file path=xl/ctrlProps/ctrlProp2612.xml><?xml version="1.0" encoding="utf-8"?>
<formControlPr xmlns="http://schemas.microsoft.com/office/spreadsheetml/2009/9/main" objectType="Button" lockText="1"/>
</file>

<file path=xl/ctrlProps/ctrlProp2613.xml><?xml version="1.0" encoding="utf-8"?>
<formControlPr xmlns="http://schemas.microsoft.com/office/spreadsheetml/2009/9/main" objectType="Button" lockText="1"/>
</file>

<file path=xl/ctrlProps/ctrlProp2614.xml><?xml version="1.0" encoding="utf-8"?>
<formControlPr xmlns="http://schemas.microsoft.com/office/spreadsheetml/2009/9/main" objectType="Button" lockText="1"/>
</file>

<file path=xl/ctrlProps/ctrlProp2615.xml><?xml version="1.0" encoding="utf-8"?>
<formControlPr xmlns="http://schemas.microsoft.com/office/spreadsheetml/2009/9/main" objectType="Button" lockText="1"/>
</file>

<file path=xl/ctrlProps/ctrlProp2616.xml><?xml version="1.0" encoding="utf-8"?>
<formControlPr xmlns="http://schemas.microsoft.com/office/spreadsheetml/2009/9/main" objectType="Button" lockText="1"/>
</file>

<file path=xl/ctrlProps/ctrlProp2617.xml><?xml version="1.0" encoding="utf-8"?>
<formControlPr xmlns="http://schemas.microsoft.com/office/spreadsheetml/2009/9/main" objectType="Button" lockText="1"/>
</file>

<file path=xl/ctrlProps/ctrlProp2618.xml><?xml version="1.0" encoding="utf-8"?>
<formControlPr xmlns="http://schemas.microsoft.com/office/spreadsheetml/2009/9/main" objectType="Button" lockText="1"/>
</file>

<file path=xl/ctrlProps/ctrlProp2619.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20.xml><?xml version="1.0" encoding="utf-8"?>
<formControlPr xmlns="http://schemas.microsoft.com/office/spreadsheetml/2009/9/main" objectType="Button" lockText="1"/>
</file>

<file path=xl/ctrlProps/ctrlProp2621.xml><?xml version="1.0" encoding="utf-8"?>
<formControlPr xmlns="http://schemas.microsoft.com/office/spreadsheetml/2009/9/main" objectType="Button" lockText="1"/>
</file>

<file path=xl/ctrlProps/ctrlProp2622.xml><?xml version="1.0" encoding="utf-8"?>
<formControlPr xmlns="http://schemas.microsoft.com/office/spreadsheetml/2009/9/main" objectType="Button" lockText="1"/>
</file>

<file path=xl/ctrlProps/ctrlProp2623.xml><?xml version="1.0" encoding="utf-8"?>
<formControlPr xmlns="http://schemas.microsoft.com/office/spreadsheetml/2009/9/main" objectType="Button" lockText="1"/>
</file>

<file path=xl/ctrlProps/ctrlProp2624.xml><?xml version="1.0" encoding="utf-8"?>
<formControlPr xmlns="http://schemas.microsoft.com/office/spreadsheetml/2009/9/main" objectType="Button" lockText="1"/>
</file>

<file path=xl/ctrlProps/ctrlProp2625.xml><?xml version="1.0" encoding="utf-8"?>
<formControlPr xmlns="http://schemas.microsoft.com/office/spreadsheetml/2009/9/main" objectType="Button" lockText="1"/>
</file>

<file path=xl/ctrlProps/ctrlProp2626.xml><?xml version="1.0" encoding="utf-8"?>
<formControlPr xmlns="http://schemas.microsoft.com/office/spreadsheetml/2009/9/main" objectType="Button" lockText="1"/>
</file>

<file path=xl/ctrlProps/ctrlProp2627.xml><?xml version="1.0" encoding="utf-8"?>
<formControlPr xmlns="http://schemas.microsoft.com/office/spreadsheetml/2009/9/main" objectType="Button" lockText="1"/>
</file>

<file path=xl/ctrlProps/ctrlProp2628.xml><?xml version="1.0" encoding="utf-8"?>
<formControlPr xmlns="http://schemas.microsoft.com/office/spreadsheetml/2009/9/main" objectType="Button" lockText="1"/>
</file>

<file path=xl/ctrlProps/ctrlProp2629.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30.xml><?xml version="1.0" encoding="utf-8"?>
<formControlPr xmlns="http://schemas.microsoft.com/office/spreadsheetml/2009/9/main" objectType="Button" lockText="1"/>
</file>

<file path=xl/ctrlProps/ctrlProp2631.xml><?xml version="1.0" encoding="utf-8"?>
<formControlPr xmlns="http://schemas.microsoft.com/office/spreadsheetml/2009/9/main" objectType="Button" lockText="1"/>
</file>

<file path=xl/ctrlProps/ctrlProp2632.xml><?xml version="1.0" encoding="utf-8"?>
<formControlPr xmlns="http://schemas.microsoft.com/office/spreadsheetml/2009/9/main" objectType="Button" lockText="1"/>
</file>

<file path=xl/ctrlProps/ctrlProp2633.xml><?xml version="1.0" encoding="utf-8"?>
<formControlPr xmlns="http://schemas.microsoft.com/office/spreadsheetml/2009/9/main" objectType="Button" lockText="1"/>
</file>

<file path=xl/ctrlProps/ctrlProp2634.xml><?xml version="1.0" encoding="utf-8"?>
<formControlPr xmlns="http://schemas.microsoft.com/office/spreadsheetml/2009/9/main" objectType="Button" lockText="1"/>
</file>

<file path=xl/ctrlProps/ctrlProp2635.xml><?xml version="1.0" encoding="utf-8"?>
<formControlPr xmlns="http://schemas.microsoft.com/office/spreadsheetml/2009/9/main" objectType="Button" lockText="1"/>
</file>

<file path=xl/ctrlProps/ctrlProp2636.xml><?xml version="1.0" encoding="utf-8"?>
<formControlPr xmlns="http://schemas.microsoft.com/office/spreadsheetml/2009/9/main" objectType="Button" lockText="1"/>
</file>

<file path=xl/ctrlProps/ctrlProp2637.xml><?xml version="1.0" encoding="utf-8"?>
<formControlPr xmlns="http://schemas.microsoft.com/office/spreadsheetml/2009/9/main" objectType="Button" lockText="1"/>
</file>

<file path=xl/ctrlProps/ctrlProp2638.xml><?xml version="1.0" encoding="utf-8"?>
<formControlPr xmlns="http://schemas.microsoft.com/office/spreadsheetml/2009/9/main" objectType="Button" lockText="1"/>
</file>

<file path=xl/ctrlProps/ctrlProp2639.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40.xml><?xml version="1.0" encoding="utf-8"?>
<formControlPr xmlns="http://schemas.microsoft.com/office/spreadsheetml/2009/9/main" objectType="Button" lockText="1"/>
</file>

<file path=xl/ctrlProps/ctrlProp2641.xml><?xml version="1.0" encoding="utf-8"?>
<formControlPr xmlns="http://schemas.microsoft.com/office/spreadsheetml/2009/9/main" objectType="Button" lockText="1"/>
</file>

<file path=xl/ctrlProps/ctrlProp2642.xml><?xml version="1.0" encoding="utf-8"?>
<formControlPr xmlns="http://schemas.microsoft.com/office/spreadsheetml/2009/9/main" objectType="Button" lockText="1"/>
</file>

<file path=xl/ctrlProps/ctrlProp2643.xml><?xml version="1.0" encoding="utf-8"?>
<formControlPr xmlns="http://schemas.microsoft.com/office/spreadsheetml/2009/9/main" objectType="Button" lockText="1"/>
</file>

<file path=xl/ctrlProps/ctrlProp2644.xml><?xml version="1.0" encoding="utf-8"?>
<formControlPr xmlns="http://schemas.microsoft.com/office/spreadsheetml/2009/9/main" objectType="Button" lockText="1"/>
</file>

<file path=xl/ctrlProps/ctrlProp2645.xml><?xml version="1.0" encoding="utf-8"?>
<formControlPr xmlns="http://schemas.microsoft.com/office/spreadsheetml/2009/9/main" objectType="Button" lockText="1"/>
</file>

<file path=xl/ctrlProps/ctrlProp2646.xml><?xml version="1.0" encoding="utf-8"?>
<formControlPr xmlns="http://schemas.microsoft.com/office/spreadsheetml/2009/9/main" objectType="Button" lockText="1"/>
</file>

<file path=xl/ctrlProps/ctrlProp2647.xml><?xml version="1.0" encoding="utf-8"?>
<formControlPr xmlns="http://schemas.microsoft.com/office/spreadsheetml/2009/9/main" objectType="Button" lockText="1"/>
</file>

<file path=xl/ctrlProps/ctrlProp2648.xml><?xml version="1.0" encoding="utf-8"?>
<formControlPr xmlns="http://schemas.microsoft.com/office/spreadsheetml/2009/9/main" objectType="Button" lockText="1"/>
</file>

<file path=xl/ctrlProps/ctrlProp2649.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50.xml><?xml version="1.0" encoding="utf-8"?>
<formControlPr xmlns="http://schemas.microsoft.com/office/spreadsheetml/2009/9/main" objectType="Button" lockText="1"/>
</file>

<file path=xl/ctrlProps/ctrlProp2651.xml><?xml version="1.0" encoding="utf-8"?>
<formControlPr xmlns="http://schemas.microsoft.com/office/spreadsheetml/2009/9/main" objectType="Button" lockText="1"/>
</file>

<file path=xl/ctrlProps/ctrlProp2652.xml><?xml version="1.0" encoding="utf-8"?>
<formControlPr xmlns="http://schemas.microsoft.com/office/spreadsheetml/2009/9/main" objectType="Button" lockText="1"/>
</file>

<file path=xl/ctrlProps/ctrlProp2653.xml><?xml version="1.0" encoding="utf-8"?>
<formControlPr xmlns="http://schemas.microsoft.com/office/spreadsheetml/2009/9/main" objectType="Button" lockText="1"/>
</file>

<file path=xl/ctrlProps/ctrlProp2654.xml><?xml version="1.0" encoding="utf-8"?>
<formControlPr xmlns="http://schemas.microsoft.com/office/spreadsheetml/2009/9/main" objectType="Button" lockText="1"/>
</file>

<file path=xl/ctrlProps/ctrlProp2655.xml><?xml version="1.0" encoding="utf-8"?>
<formControlPr xmlns="http://schemas.microsoft.com/office/spreadsheetml/2009/9/main" objectType="Button" lockText="1"/>
</file>

<file path=xl/ctrlProps/ctrlProp2656.xml><?xml version="1.0" encoding="utf-8"?>
<formControlPr xmlns="http://schemas.microsoft.com/office/spreadsheetml/2009/9/main" objectType="Button" lockText="1"/>
</file>

<file path=xl/ctrlProps/ctrlProp2657.xml><?xml version="1.0" encoding="utf-8"?>
<formControlPr xmlns="http://schemas.microsoft.com/office/spreadsheetml/2009/9/main" objectType="Button" lockText="1"/>
</file>

<file path=xl/ctrlProps/ctrlProp2658.xml><?xml version="1.0" encoding="utf-8"?>
<formControlPr xmlns="http://schemas.microsoft.com/office/spreadsheetml/2009/9/main" objectType="Button" lockText="1"/>
</file>

<file path=xl/ctrlProps/ctrlProp2659.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60.xml><?xml version="1.0" encoding="utf-8"?>
<formControlPr xmlns="http://schemas.microsoft.com/office/spreadsheetml/2009/9/main" objectType="Button" lockText="1"/>
</file>

<file path=xl/ctrlProps/ctrlProp2661.xml><?xml version="1.0" encoding="utf-8"?>
<formControlPr xmlns="http://schemas.microsoft.com/office/spreadsheetml/2009/9/main" objectType="Button" lockText="1"/>
</file>

<file path=xl/ctrlProps/ctrlProp2662.xml><?xml version="1.0" encoding="utf-8"?>
<formControlPr xmlns="http://schemas.microsoft.com/office/spreadsheetml/2009/9/main" objectType="Button" lockText="1"/>
</file>

<file path=xl/ctrlProps/ctrlProp2663.xml><?xml version="1.0" encoding="utf-8"?>
<formControlPr xmlns="http://schemas.microsoft.com/office/spreadsheetml/2009/9/main" objectType="Button" lockText="1"/>
</file>

<file path=xl/ctrlProps/ctrlProp2664.xml><?xml version="1.0" encoding="utf-8"?>
<formControlPr xmlns="http://schemas.microsoft.com/office/spreadsheetml/2009/9/main" objectType="Button" lockText="1"/>
</file>

<file path=xl/ctrlProps/ctrlProp2665.xml><?xml version="1.0" encoding="utf-8"?>
<formControlPr xmlns="http://schemas.microsoft.com/office/spreadsheetml/2009/9/main" objectType="Button" lockText="1"/>
</file>

<file path=xl/ctrlProps/ctrlProp2666.xml><?xml version="1.0" encoding="utf-8"?>
<formControlPr xmlns="http://schemas.microsoft.com/office/spreadsheetml/2009/9/main" objectType="Button" lockText="1"/>
</file>

<file path=xl/ctrlProps/ctrlProp2667.xml><?xml version="1.0" encoding="utf-8"?>
<formControlPr xmlns="http://schemas.microsoft.com/office/spreadsheetml/2009/9/main" objectType="Button" lockText="1"/>
</file>

<file path=xl/ctrlProps/ctrlProp2668.xml><?xml version="1.0" encoding="utf-8"?>
<formControlPr xmlns="http://schemas.microsoft.com/office/spreadsheetml/2009/9/main" objectType="Button" lockText="1"/>
</file>

<file path=xl/ctrlProps/ctrlProp2669.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70.xml><?xml version="1.0" encoding="utf-8"?>
<formControlPr xmlns="http://schemas.microsoft.com/office/spreadsheetml/2009/9/main" objectType="Button" lockText="1"/>
</file>

<file path=xl/ctrlProps/ctrlProp2671.xml><?xml version="1.0" encoding="utf-8"?>
<formControlPr xmlns="http://schemas.microsoft.com/office/spreadsheetml/2009/9/main" objectType="Button" lockText="1"/>
</file>

<file path=xl/ctrlProps/ctrlProp2672.xml><?xml version="1.0" encoding="utf-8"?>
<formControlPr xmlns="http://schemas.microsoft.com/office/spreadsheetml/2009/9/main" objectType="Button" lockText="1"/>
</file>

<file path=xl/ctrlProps/ctrlProp2673.xml><?xml version="1.0" encoding="utf-8"?>
<formControlPr xmlns="http://schemas.microsoft.com/office/spreadsheetml/2009/9/main" objectType="Button" lockText="1"/>
</file>

<file path=xl/ctrlProps/ctrlProp2674.xml><?xml version="1.0" encoding="utf-8"?>
<formControlPr xmlns="http://schemas.microsoft.com/office/spreadsheetml/2009/9/main" objectType="Button" lockText="1"/>
</file>

<file path=xl/ctrlProps/ctrlProp2675.xml><?xml version="1.0" encoding="utf-8"?>
<formControlPr xmlns="http://schemas.microsoft.com/office/spreadsheetml/2009/9/main" objectType="Button" lockText="1"/>
</file>

<file path=xl/ctrlProps/ctrlProp2676.xml><?xml version="1.0" encoding="utf-8"?>
<formControlPr xmlns="http://schemas.microsoft.com/office/spreadsheetml/2009/9/main" objectType="Button" lockText="1"/>
</file>

<file path=xl/ctrlProps/ctrlProp2677.xml><?xml version="1.0" encoding="utf-8"?>
<formControlPr xmlns="http://schemas.microsoft.com/office/spreadsheetml/2009/9/main" objectType="Button" lockText="1"/>
</file>

<file path=xl/ctrlProps/ctrlProp2678.xml><?xml version="1.0" encoding="utf-8"?>
<formControlPr xmlns="http://schemas.microsoft.com/office/spreadsheetml/2009/9/main" objectType="Button" lockText="1"/>
</file>

<file path=xl/ctrlProps/ctrlProp2679.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80.xml><?xml version="1.0" encoding="utf-8"?>
<formControlPr xmlns="http://schemas.microsoft.com/office/spreadsheetml/2009/9/main" objectType="Button" lockText="1"/>
</file>

<file path=xl/ctrlProps/ctrlProp2681.xml><?xml version="1.0" encoding="utf-8"?>
<formControlPr xmlns="http://schemas.microsoft.com/office/spreadsheetml/2009/9/main" objectType="Button" lockText="1"/>
</file>

<file path=xl/ctrlProps/ctrlProp2682.xml><?xml version="1.0" encoding="utf-8"?>
<formControlPr xmlns="http://schemas.microsoft.com/office/spreadsheetml/2009/9/main" objectType="Button" lockText="1"/>
</file>

<file path=xl/ctrlProps/ctrlProp2683.xml><?xml version="1.0" encoding="utf-8"?>
<formControlPr xmlns="http://schemas.microsoft.com/office/spreadsheetml/2009/9/main" objectType="Button" lockText="1"/>
</file>

<file path=xl/ctrlProps/ctrlProp2684.xml><?xml version="1.0" encoding="utf-8"?>
<formControlPr xmlns="http://schemas.microsoft.com/office/spreadsheetml/2009/9/main" objectType="Button" lockText="1"/>
</file>

<file path=xl/ctrlProps/ctrlProp2685.xml><?xml version="1.0" encoding="utf-8"?>
<formControlPr xmlns="http://schemas.microsoft.com/office/spreadsheetml/2009/9/main" objectType="Button" lockText="1"/>
</file>

<file path=xl/ctrlProps/ctrlProp2686.xml><?xml version="1.0" encoding="utf-8"?>
<formControlPr xmlns="http://schemas.microsoft.com/office/spreadsheetml/2009/9/main" objectType="Button" lockText="1"/>
</file>

<file path=xl/ctrlProps/ctrlProp2687.xml><?xml version="1.0" encoding="utf-8"?>
<formControlPr xmlns="http://schemas.microsoft.com/office/spreadsheetml/2009/9/main" objectType="Button" lockText="1"/>
</file>

<file path=xl/ctrlProps/ctrlProp2688.xml><?xml version="1.0" encoding="utf-8"?>
<formControlPr xmlns="http://schemas.microsoft.com/office/spreadsheetml/2009/9/main" objectType="Button" lockText="1"/>
</file>

<file path=xl/ctrlProps/ctrlProp2689.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690.xml><?xml version="1.0" encoding="utf-8"?>
<formControlPr xmlns="http://schemas.microsoft.com/office/spreadsheetml/2009/9/main" objectType="Button" lockText="1"/>
</file>

<file path=xl/ctrlProps/ctrlProp2691.xml><?xml version="1.0" encoding="utf-8"?>
<formControlPr xmlns="http://schemas.microsoft.com/office/spreadsheetml/2009/9/main" objectType="Button" lockText="1"/>
</file>

<file path=xl/ctrlProps/ctrlProp2692.xml><?xml version="1.0" encoding="utf-8"?>
<formControlPr xmlns="http://schemas.microsoft.com/office/spreadsheetml/2009/9/main" objectType="Button" lockText="1"/>
</file>

<file path=xl/ctrlProps/ctrlProp2693.xml><?xml version="1.0" encoding="utf-8"?>
<formControlPr xmlns="http://schemas.microsoft.com/office/spreadsheetml/2009/9/main" objectType="Button" lockText="1"/>
</file>

<file path=xl/ctrlProps/ctrlProp2694.xml><?xml version="1.0" encoding="utf-8"?>
<formControlPr xmlns="http://schemas.microsoft.com/office/spreadsheetml/2009/9/main" objectType="Button" lockText="1"/>
</file>

<file path=xl/ctrlProps/ctrlProp2695.xml><?xml version="1.0" encoding="utf-8"?>
<formControlPr xmlns="http://schemas.microsoft.com/office/spreadsheetml/2009/9/main" objectType="Button" lockText="1"/>
</file>

<file path=xl/ctrlProps/ctrlProp2696.xml><?xml version="1.0" encoding="utf-8"?>
<formControlPr xmlns="http://schemas.microsoft.com/office/spreadsheetml/2009/9/main" objectType="Button" lockText="1"/>
</file>

<file path=xl/ctrlProps/ctrlProp2697.xml><?xml version="1.0" encoding="utf-8"?>
<formControlPr xmlns="http://schemas.microsoft.com/office/spreadsheetml/2009/9/main" objectType="Button" lockText="1"/>
</file>

<file path=xl/ctrlProps/ctrlProp2698.xml><?xml version="1.0" encoding="utf-8"?>
<formControlPr xmlns="http://schemas.microsoft.com/office/spreadsheetml/2009/9/main" objectType="Button" lockText="1"/>
</file>

<file path=xl/ctrlProps/ctrlProp269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00.xml><?xml version="1.0" encoding="utf-8"?>
<formControlPr xmlns="http://schemas.microsoft.com/office/spreadsheetml/2009/9/main" objectType="Button" lockText="1"/>
</file>

<file path=xl/ctrlProps/ctrlProp2701.xml><?xml version="1.0" encoding="utf-8"?>
<formControlPr xmlns="http://schemas.microsoft.com/office/spreadsheetml/2009/9/main" objectType="Button" lockText="1"/>
</file>

<file path=xl/ctrlProps/ctrlProp2702.xml><?xml version="1.0" encoding="utf-8"?>
<formControlPr xmlns="http://schemas.microsoft.com/office/spreadsheetml/2009/9/main" objectType="Button" lockText="1"/>
</file>

<file path=xl/ctrlProps/ctrlProp2703.xml><?xml version="1.0" encoding="utf-8"?>
<formControlPr xmlns="http://schemas.microsoft.com/office/spreadsheetml/2009/9/main" objectType="Button" lockText="1"/>
</file>

<file path=xl/ctrlProps/ctrlProp2704.xml><?xml version="1.0" encoding="utf-8"?>
<formControlPr xmlns="http://schemas.microsoft.com/office/spreadsheetml/2009/9/main" objectType="Button" lockText="1"/>
</file>

<file path=xl/ctrlProps/ctrlProp2705.xml><?xml version="1.0" encoding="utf-8"?>
<formControlPr xmlns="http://schemas.microsoft.com/office/spreadsheetml/2009/9/main" objectType="Button" lockText="1"/>
</file>

<file path=xl/ctrlProps/ctrlProp2706.xml><?xml version="1.0" encoding="utf-8"?>
<formControlPr xmlns="http://schemas.microsoft.com/office/spreadsheetml/2009/9/main" objectType="Button" lockText="1"/>
</file>

<file path=xl/ctrlProps/ctrlProp2707.xml><?xml version="1.0" encoding="utf-8"?>
<formControlPr xmlns="http://schemas.microsoft.com/office/spreadsheetml/2009/9/main" objectType="Button" lockText="1"/>
</file>

<file path=xl/ctrlProps/ctrlProp2708.xml><?xml version="1.0" encoding="utf-8"?>
<formControlPr xmlns="http://schemas.microsoft.com/office/spreadsheetml/2009/9/main" objectType="Button" lockText="1"/>
</file>

<file path=xl/ctrlProps/ctrlProp2709.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10.xml><?xml version="1.0" encoding="utf-8"?>
<formControlPr xmlns="http://schemas.microsoft.com/office/spreadsheetml/2009/9/main" objectType="Button" lockText="1"/>
</file>

<file path=xl/ctrlProps/ctrlProp2711.xml><?xml version="1.0" encoding="utf-8"?>
<formControlPr xmlns="http://schemas.microsoft.com/office/spreadsheetml/2009/9/main" objectType="Button" lockText="1"/>
</file>

<file path=xl/ctrlProps/ctrlProp2712.xml><?xml version="1.0" encoding="utf-8"?>
<formControlPr xmlns="http://schemas.microsoft.com/office/spreadsheetml/2009/9/main" objectType="Button" lockText="1"/>
</file>

<file path=xl/ctrlProps/ctrlProp2713.xml><?xml version="1.0" encoding="utf-8"?>
<formControlPr xmlns="http://schemas.microsoft.com/office/spreadsheetml/2009/9/main" objectType="Button" lockText="1"/>
</file>

<file path=xl/ctrlProps/ctrlProp2714.xml><?xml version="1.0" encoding="utf-8"?>
<formControlPr xmlns="http://schemas.microsoft.com/office/spreadsheetml/2009/9/main" objectType="Button" lockText="1"/>
</file>

<file path=xl/ctrlProps/ctrlProp2715.xml><?xml version="1.0" encoding="utf-8"?>
<formControlPr xmlns="http://schemas.microsoft.com/office/spreadsheetml/2009/9/main" objectType="Button" lockText="1"/>
</file>

<file path=xl/ctrlProps/ctrlProp2716.xml><?xml version="1.0" encoding="utf-8"?>
<formControlPr xmlns="http://schemas.microsoft.com/office/spreadsheetml/2009/9/main" objectType="Button" lockText="1"/>
</file>

<file path=xl/ctrlProps/ctrlProp2717.xml><?xml version="1.0" encoding="utf-8"?>
<formControlPr xmlns="http://schemas.microsoft.com/office/spreadsheetml/2009/9/main" objectType="Button" lockText="1"/>
</file>

<file path=xl/ctrlProps/ctrlProp2718.xml><?xml version="1.0" encoding="utf-8"?>
<formControlPr xmlns="http://schemas.microsoft.com/office/spreadsheetml/2009/9/main" objectType="Button" lockText="1"/>
</file>

<file path=xl/ctrlProps/ctrlProp2719.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20.xml><?xml version="1.0" encoding="utf-8"?>
<formControlPr xmlns="http://schemas.microsoft.com/office/spreadsheetml/2009/9/main" objectType="Button" lockText="1"/>
</file>

<file path=xl/ctrlProps/ctrlProp2721.xml><?xml version="1.0" encoding="utf-8"?>
<formControlPr xmlns="http://schemas.microsoft.com/office/spreadsheetml/2009/9/main" objectType="Button" lockText="1"/>
</file>

<file path=xl/ctrlProps/ctrlProp2722.xml><?xml version="1.0" encoding="utf-8"?>
<formControlPr xmlns="http://schemas.microsoft.com/office/spreadsheetml/2009/9/main" objectType="Button" lockText="1"/>
</file>

<file path=xl/ctrlProps/ctrlProp2723.xml><?xml version="1.0" encoding="utf-8"?>
<formControlPr xmlns="http://schemas.microsoft.com/office/spreadsheetml/2009/9/main" objectType="Button" lockText="1"/>
</file>

<file path=xl/ctrlProps/ctrlProp2724.xml><?xml version="1.0" encoding="utf-8"?>
<formControlPr xmlns="http://schemas.microsoft.com/office/spreadsheetml/2009/9/main" objectType="Button" lockText="1"/>
</file>

<file path=xl/ctrlProps/ctrlProp2725.xml><?xml version="1.0" encoding="utf-8"?>
<formControlPr xmlns="http://schemas.microsoft.com/office/spreadsheetml/2009/9/main" objectType="Button" lockText="1"/>
</file>

<file path=xl/ctrlProps/ctrlProp2726.xml><?xml version="1.0" encoding="utf-8"?>
<formControlPr xmlns="http://schemas.microsoft.com/office/spreadsheetml/2009/9/main" objectType="Button" lockText="1"/>
</file>

<file path=xl/ctrlProps/ctrlProp2727.xml><?xml version="1.0" encoding="utf-8"?>
<formControlPr xmlns="http://schemas.microsoft.com/office/spreadsheetml/2009/9/main" objectType="Button" lockText="1"/>
</file>

<file path=xl/ctrlProps/ctrlProp2728.xml><?xml version="1.0" encoding="utf-8"?>
<formControlPr xmlns="http://schemas.microsoft.com/office/spreadsheetml/2009/9/main" objectType="Button" lockText="1"/>
</file>

<file path=xl/ctrlProps/ctrlProp2729.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30.xml><?xml version="1.0" encoding="utf-8"?>
<formControlPr xmlns="http://schemas.microsoft.com/office/spreadsheetml/2009/9/main" objectType="Button" lockText="1"/>
</file>

<file path=xl/ctrlProps/ctrlProp2731.xml><?xml version="1.0" encoding="utf-8"?>
<formControlPr xmlns="http://schemas.microsoft.com/office/spreadsheetml/2009/9/main" objectType="Button" lockText="1"/>
</file>

<file path=xl/ctrlProps/ctrlProp2732.xml><?xml version="1.0" encoding="utf-8"?>
<formControlPr xmlns="http://schemas.microsoft.com/office/spreadsheetml/2009/9/main" objectType="Button" lockText="1"/>
</file>

<file path=xl/ctrlProps/ctrlProp2733.xml><?xml version="1.0" encoding="utf-8"?>
<formControlPr xmlns="http://schemas.microsoft.com/office/spreadsheetml/2009/9/main" objectType="Button" lockText="1"/>
</file>

<file path=xl/ctrlProps/ctrlProp2734.xml><?xml version="1.0" encoding="utf-8"?>
<formControlPr xmlns="http://schemas.microsoft.com/office/spreadsheetml/2009/9/main" objectType="Button" lockText="1"/>
</file>

<file path=xl/ctrlProps/ctrlProp2735.xml><?xml version="1.0" encoding="utf-8"?>
<formControlPr xmlns="http://schemas.microsoft.com/office/spreadsheetml/2009/9/main" objectType="Button" lockText="1"/>
</file>

<file path=xl/ctrlProps/ctrlProp2736.xml><?xml version="1.0" encoding="utf-8"?>
<formControlPr xmlns="http://schemas.microsoft.com/office/spreadsheetml/2009/9/main" objectType="Button" lockText="1"/>
</file>

<file path=xl/ctrlProps/ctrlProp2737.xml><?xml version="1.0" encoding="utf-8"?>
<formControlPr xmlns="http://schemas.microsoft.com/office/spreadsheetml/2009/9/main" objectType="Button" lockText="1"/>
</file>

<file path=xl/ctrlProps/ctrlProp2738.xml><?xml version="1.0" encoding="utf-8"?>
<formControlPr xmlns="http://schemas.microsoft.com/office/spreadsheetml/2009/9/main" objectType="Button" lockText="1"/>
</file>

<file path=xl/ctrlProps/ctrlProp2739.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40.xml><?xml version="1.0" encoding="utf-8"?>
<formControlPr xmlns="http://schemas.microsoft.com/office/spreadsheetml/2009/9/main" objectType="Button" lockText="1"/>
</file>

<file path=xl/ctrlProps/ctrlProp2741.xml><?xml version="1.0" encoding="utf-8"?>
<formControlPr xmlns="http://schemas.microsoft.com/office/spreadsheetml/2009/9/main" objectType="Button" lockText="1"/>
</file>

<file path=xl/ctrlProps/ctrlProp2742.xml><?xml version="1.0" encoding="utf-8"?>
<formControlPr xmlns="http://schemas.microsoft.com/office/spreadsheetml/2009/9/main" objectType="Button" lockText="1"/>
</file>

<file path=xl/ctrlProps/ctrlProp2743.xml><?xml version="1.0" encoding="utf-8"?>
<formControlPr xmlns="http://schemas.microsoft.com/office/spreadsheetml/2009/9/main" objectType="Button" lockText="1"/>
</file>

<file path=xl/ctrlProps/ctrlProp2744.xml><?xml version="1.0" encoding="utf-8"?>
<formControlPr xmlns="http://schemas.microsoft.com/office/spreadsheetml/2009/9/main" objectType="Button" lockText="1"/>
</file>

<file path=xl/ctrlProps/ctrlProp2745.xml><?xml version="1.0" encoding="utf-8"?>
<formControlPr xmlns="http://schemas.microsoft.com/office/spreadsheetml/2009/9/main" objectType="Button" lockText="1"/>
</file>

<file path=xl/ctrlProps/ctrlProp2746.xml><?xml version="1.0" encoding="utf-8"?>
<formControlPr xmlns="http://schemas.microsoft.com/office/spreadsheetml/2009/9/main" objectType="Button" lockText="1"/>
</file>

<file path=xl/ctrlProps/ctrlProp2747.xml><?xml version="1.0" encoding="utf-8"?>
<formControlPr xmlns="http://schemas.microsoft.com/office/spreadsheetml/2009/9/main" objectType="Button" lockText="1"/>
</file>

<file path=xl/ctrlProps/ctrlProp2748.xml><?xml version="1.0" encoding="utf-8"?>
<formControlPr xmlns="http://schemas.microsoft.com/office/spreadsheetml/2009/9/main" objectType="Button" lockText="1"/>
</file>

<file path=xl/ctrlProps/ctrlProp2749.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50.xml><?xml version="1.0" encoding="utf-8"?>
<formControlPr xmlns="http://schemas.microsoft.com/office/spreadsheetml/2009/9/main" objectType="Button" lockText="1"/>
</file>

<file path=xl/ctrlProps/ctrlProp2751.xml><?xml version="1.0" encoding="utf-8"?>
<formControlPr xmlns="http://schemas.microsoft.com/office/spreadsheetml/2009/9/main" objectType="Button" lockText="1"/>
</file>

<file path=xl/ctrlProps/ctrlProp2752.xml><?xml version="1.0" encoding="utf-8"?>
<formControlPr xmlns="http://schemas.microsoft.com/office/spreadsheetml/2009/9/main" objectType="Button" lockText="1"/>
</file>

<file path=xl/ctrlProps/ctrlProp2753.xml><?xml version="1.0" encoding="utf-8"?>
<formControlPr xmlns="http://schemas.microsoft.com/office/spreadsheetml/2009/9/main" objectType="Button" lockText="1"/>
</file>

<file path=xl/ctrlProps/ctrlProp2754.xml><?xml version="1.0" encoding="utf-8"?>
<formControlPr xmlns="http://schemas.microsoft.com/office/spreadsheetml/2009/9/main" objectType="Button" lockText="1"/>
</file>

<file path=xl/ctrlProps/ctrlProp2755.xml><?xml version="1.0" encoding="utf-8"?>
<formControlPr xmlns="http://schemas.microsoft.com/office/spreadsheetml/2009/9/main" objectType="Button" lockText="1"/>
</file>

<file path=xl/ctrlProps/ctrlProp2756.xml><?xml version="1.0" encoding="utf-8"?>
<formControlPr xmlns="http://schemas.microsoft.com/office/spreadsheetml/2009/9/main" objectType="Button" lockText="1"/>
</file>

<file path=xl/ctrlProps/ctrlProp2757.xml><?xml version="1.0" encoding="utf-8"?>
<formControlPr xmlns="http://schemas.microsoft.com/office/spreadsheetml/2009/9/main" objectType="Button" lockText="1"/>
</file>

<file path=xl/ctrlProps/ctrlProp2758.xml><?xml version="1.0" encoding="utf-8"?>
<formControlPr xmlns="http://schemas.microsoft.com/office/spreadsheetml/2009/9/main" objectType="Button" lockText="1"/>
</file>

<file path=xl/ctrlProps/ctrlProp2759.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60.xml><?xml version="1.0" encoding="utf-8"?>
<formControlPr xmlns="http://schemas.microsoft.com/office/spreadsheetml/2009/9/main" objectType="Button" lockText="1"/>
</file>

<file path=xl/ctrlProps/ctrlProp2761.xml><?xml version="1.0" encoding="utf-8"?>
<formControlPr xmlns="http://schemas.microsoft.com/office/spreadsheetml/2009/9/main" objectType="Button" lockText="1"/>
</file>

<file path=xl/ctrlProps/ctrlProp2762.xml><?xml version="1.0" encoding="utf-8"?>
<formControlPr xmlns="http://schemas.microsoft.com/office/spreadsheetml/2009/9/main" objectType="Button" lockText="1"/>
</file>

<file path=xl/ctrlProps/ctrlProp2763.xml><?xml version="1.0" encoding="utf-8"?>
<formControlPr xmlns="http://schemas.microsoft.com/office/spreadsheetml/2009/9/main" objectType="Button" lockText="1"/>
</file>

<file path=xl/ctrlProps/ctrlProp2764.xml><?xml version="1.0" encoding="utf-8"?>
<formControlPr xmlns="http://schemas.microsoft.com/office/spreadsheetml/2009/9/main" objectType="Button" lockText="1"/>
</file>

<file path=xl/ctrlProps/ctrlProp2765.xml><?xml version="1.0" encoding="utf-8"?>
<formControlPr xmlns="http://schemas.microsoft.com/office/spreadsheetml/2009/9/main" objectType="Button" lockText="1"/>
</file>

<file path=xl/ctrlProps/ctrlProp2766.xml><?xml version="1.0" encoding="utf-8"?>
<formControlPr xmlns="http://schemas.microsoft.com/office/spreadsheetml/2009/9/main" objectType="Button" lockText="1"/>
</file>

<file path=xl/ctrlProps/ctrlProp2767.xml><?xml version="1.0" encoding="utf-8"?>
<formControlPr xmlns="http://schemas.microsoft.com/office/spreadsheetml/2009/9/main" objectType="Button" lockText="1"/>
</file>

<file path=xl/ctrlProps/ctrlProp2768.xml><?xml version="1.0" encoding="utf-8"?>
<formControlPr xmlns="http://schemas.microsoft.com/office/spreadsheetml/2009/9/main" objectType="Button" lockText="1"/>
</file>

<file path=xl/ctrlProps/ctrlProp2769.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70.xml><?xml version="1.0" encoding="utf-8"?>
<formControlPr xmlns="http://schemas.microsoft.com/office/spreadsheetml/2009/9/main" objectType="Button" lockText="1"/>
</file>

<file path=xl/ctrlProps/ctrlProp2771.xml><?xml version="1.0" encoding="utf-8"?>
<formControlPr xmlns="http://schemas.microsoft.com/office/spreadsheetml/2009/9/main" objectType="Button" lockText="1"/>
</file>

<file path=xl/ctrlProps/ctrlProp2772.xml><?xml version="1.0" encoding="utf-8"?>
<formControlPr xmlns="http://schemas.microsoft.com/office/spreadsheetml/2009/9/main" objectType="Button" lockText="1"/>
</file>

<file path=xl/ctrlProps/ctrlProp2773.xml><?xml version="1.0" encoding="utf-8"?>
<formControlPr xmlns="http://schemas.microsoft.com/office/spreadsheetml/2009/9/main" objectType="Button" lockText="1"/>
</file>

<file path=xl/ctrlProps/ctrlProp2774.xml><?xml version="1.0" encoding="utf-8"?>
<formControlPr xmlns="http://schemas.microsoft.com/office/spreadsheetml/2009/9/main" objectType="Button" lockText="1"/>
</file>

<file path=xl/ctrlProps/ctrlProp2775.xml><?xml version="1.0" encoding="utf-8"?>
<formControlPr xmlns="http://schemas.microsoft.com/office/spreadsheetml/2009/9/main" objectType="Button" lockText="1"/>
</file>

<file path=xl/ctrlProps/ctrlProp2776.xml><?xml version="1.0" encoding="utf-8"?>
<formControlPr xmlns="http://schemas.microsoft.com/office/spreadsheetml/2009/9/main" objectType="Button" lockText="1"/>
</file>

<file path=xl/ctrlProps/ctrlProp2777.xml><?xml version="1.0" encoding="utf-8"?>
<formControlPr xmlns="http://schemas.microsoft.com/office/spreadsheetml/2009/9/main" objectType="Button" lockText="1"/>
</file>

<file path=xl/ctrlProps/ctrlProp2778.xml><?xml version="1.0" encoding="utf-8"?>
<formControlPr xmlns="http://schemas.microsoft.com/office/spreadsheetml/2009/9/main" objectType="Button" lockText="1"/>
</file>

<file path=xl/ctrlProps/ctrlProp2779.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80.xml><?xml version="1.0" encoding="utf-8"?>
<formControlPr xmlns="http://schemas.microsoft.com/office/spreadsheetml/2009/9/main" objectType="Button" lockText="1"/>
</file>

<file path=xl/ctrlProps/ctrlProp2781.xml><?xml version="1.0" encoding="utf-8"?>
<formControlPr xmlns="http://schemas.microsoft.com/office/spreadsheetml/2009/9/main" objectType="Button" lockText="1"/>
</file>

<file path=xl/ctrlProps/ctrlProp2782.xml><?xml version="1.0" encoding="utf-8"?>
<formControlPr xmlns="http://schemas.microsoft.com/office/spreadsheetml/2009/9/main" objectType="Button" lockText="1"/>
</file>

<file path=xl/ctrlProps/ctrlProp2783.xml><?xml version="1.0" encoding="utf-8"?>
<formControlPr xmlns="http://schemas.microsoft.com/office/spreadsheetml/2009/9/main" objectType="Button" lockText="1"/>
</file>

<file path=xl/ctrlProps/ctrlProp2784.xml><?xml version="1.0" encoding="utf-8"?>
<formControlPr xmlns="http://schemas.microsoft.com/office/spreadsheetml/2009/9/main" objectType="Button" lockText="1"/>
</file>

<file path=xl/ctrlProps/ctrlProp2785.xml><?xml version="1.0" encoding="utf-8"?>
<formControlPr xmlns="http://schemas.microsoft.com/office/spreadsheetml/2009/9/main" objectType="Button" lockText="1"/>
</file>

<file path=xl/ctrlProps/ctrlProp2786.xml><?xml version="1.0" encoding="utf-8"?>
<formControlPr xmlns="http://schemas.microsoft.com/office/spreadsheetml/2009/9/main" objectType="Button" lockText="1"/>
</file>

<file path=xl/ctrlProps/ctrlProp2787.xml><?xml version="1.0" encoding="utf-8"?>
<formControlPr xmlns="http://schemas.microsoft.com/office/spreadsheetml/2009/9/main" objectType="Button" lockText="1"/>
</file>

<file path=xl/ctrlProps/ctrlProp2788.xml><?xml version="1.0" encoding="utf-8"?>
<formControlPr xmlns="http://schemas.microsoft.com/office/spreadsheetml/2009/9/main" objectType="Button" lockText="1"/>
</file>

<file path=xl/ctrlProps/ctrlProp2789.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790.xml><?xml version="1.0" encoding="utf-8"?>
<formControlPr xmlns="http://schemas.microsoft.com/office/spreadsheetml/2009/9/main" objectType="Button" lockText="1"/>
</file>

<file path=xl/ctrlProps/ctrlProp2791.xml><?xml version="1.0" encoding="utf-8"?>
<formControlPr xmlns="http://schemas.microsoft.com/office/spreadsheetml/2009/9/main" objectType="Button" lockText="1"/>
</file>

<file path=xl/ctrlProps/ctrlProp2792.xml><?xml version="1.0" encoding="utf-8"?>
<formControlPr xmlns="http://schemas.microsoft.com/office/spreadsheetml/2009/9/main" objectType="Button" lockText="1"/>
</file>

<file path=xl/ctrlProps/ctrlProp2793.xml><?xml version="1.0" encoding="utf-8"?>
<formControlPr xmlns="http://schemas.microsoft.com/office/spreadsheetml/2009/9/main" objectType="Button" lockText="1"/>
</file>

<file path=xl/ctrlProps/ctrlProp2794.xml><?xml version="1.0" encoding="utf-8"?>
<formControlPr xmlns="http://schemas.microsoft.com/office/spreadsheetml/2009/9/main" objectType="Button" lockText="1"/>
</file>

<file path=xl/ctrlProps/ctrlProp2795.xml><?xml version="1.0" encoding="utf-8"?>
<formControlPr xmlns="http://schemas.microsoft.com/office/spreadsheetml/2009/9/main" objectType="Button" lockText="1"/>
</file>

<file path=xl/ctrlProps/ctrlProp2796.xml><?xml version="1.0" encoding="utf-8"?>
<formControlPr xmlns="http://schemas.microsoft.com/office/spreadsheetml/2009/9/main" objectType="Button" lockText="1"/>
</file>

<file path=xl/ctrlProps/ctrlProp2797.xml><?xml version="1.0" encoding="utf-8"?>
<formControlPr xmlns="http://schemas.microsoft.com/office/spreadsheetml/2009/9/main" objectType="Button" lockText="1"/>
</file>

<file path=xl/ctrlProps/ctrlProp2798.xml><?xml version="1.0" encoding="utf-8"?>
<formControlPr xmlns="http://schemas.microsoft.com/office/spreadsheetml/2009/9/main" objectType="Button" lockText="1"/>
</file>

<file path=xl/ctrlProps/ctrlProp279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00.xml><?xml version="1.0" encoding="utf-8"?>
<formControlPr xmlns="http://schemas.microsoft.com/office/spreadsheetml/2009/9/main" objectType="Button" lockText="1"/>
</file>

<file path=xl/ctrlProps/ctrlProp2801.xml><?xml version="1.0" encoding="utf-8"?>
<formControlPr xmlns="http://schemas.microsoft.com/office/spreadsheetml/2009/9/main" objectType="Button" lockText="1"/>
</file>

<file path=xl/ctrlProps/ctrlProp2802.xml><?xml version="1.0" encoding="utf-8"?>
<formControlPr xmlns="http://schemas.microsoft.com/office/spreadsheetml/2009/9/main" objectType="Button" lockText="1"/>
</file>

<file path=xl/ctrlProps/ctrlProp2803.xml><?xml version="1.0" encoding="utf-8"?>
<formControlPr xmlns="http://schemas.microsoft.com/office/spreadsheetml/2009/9/main" objectType="Button" lockText="1"/>
</file>

<file path=xl/ctrlProps/ctrlProp2804.xml><?xml version="1.0" encoding="utf-8"?>
<formControlPr xmlns="http://schemas.microsoft.com/office/spreadsheetml/2009/9/main" objectType="Button" lockText="1"/>
</file>

<file path=xl/ctrlProps/ctrlProp2805.xml><?xml version="1.0" encoding="utf-8"?>
<formControlPr xmlns="http://schemas.microsoft.com/office/spreadsheetml/2009/9/main" objectType="Button" lockText="1"/>
</file>

<file path=xl/ctrlProps/ctrlProp2806.xml><?xml version="1.0" encoding="utf-8"?>
<formControlPr xmlns="http://schemas.microsoft.com/office/spreadsheetml/2009/9/main" objectType="Button" lockText="1"/>
</file>

<file path=xl/ctrlProps/ctrlProp2807.xml><?xml version="1.0" encoding="utf-8"?>
<formControlPr xmlns="http://schemas.microsoft.com/office/spreadsheetml/2009/9/main" objectType="Button" lockText="1"/>
</file>

<file path=xl/ctrlProps/ctrlProp2808.xml><?xml version="1.0" encoding="utf-8"?>
<formControlPr xmlns="http://schemas.microsoft.com/office/spreadsheetml/2009/9/main" objectType="Button" lockText="1"/>
</file>

<file path=xl/ctrlProps/ctrlProp2809.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10.xml><?xml version="1.0" encoding="utf-8"?>
<formControlPr xmlns="http://schemas.microsoft.com/office/spreadsheetml/2009/9/main" objectType="Button" lockText="1"/>
</file>

<file path=xl/ctrlProps/ctrlProp2811.xml><?xml version="1.0" encoding="utf-8"?>
<formControlPr xmlns="http://schemas.microsoft.com/office/spreadsheetml/2009/9/main" objectType="Button" lockText="1"/>
</file>

<file path=xl/ctrlProps/ctrlProp2812.xml><?xml version="1.0" encoding="utf-8"?>
<formControlPr xmlns="http://schemas.microsoft.com/office/spreadsheetml/2009/9/main" objectType="Button" lockText="1"/>
</file>

<file path=xl/ctrlProps/ctrlProp2813.xml><?xml version="1.0" encoding="utf-8"?>
<formControlPr xmlns="http://schemas.microsoft.com/office/spreadsheetml/2009/9/main" objectType="Button" lockText="1"/>
</file>

<file path=xl/ctrlProps/ctrlProp2814.xml><?xml version="1.0" encoding="utf-8"?>
<formControlPr xmlns="http://schemas.microsoft.com/office/spreadsheetml/2009/9/main" objectType="Button" lockText="1"/>
</file>

<file path=xl/ctrlProps/ctrlProp2815.xml><?xml version="1.0" encoding="utf-8"?>
<formControlPr xmlns="http://schemas.microsoft.com/office/spreadsheetml/2009/9/main" objectType="Button" lockText="1"/>
</file>

<file path=xl/ctrlProps/ctrlProp2816.xml><?xml version="1.0" encoding="utf-8"?>
<formControlPr xmlns="http://schemas.microsoft.com/office/spreadsheetml/2009/9/main" objectType="Button" lockText="1"/>
</file>

<file path=xl/ctrlProps/ctrlProp2817.xml><?xml version="1.0" encoding="utf-8"?>
<formControlPr xmlns="http://schemas.microsoft.com/office/spreadsheetml/2009/9/main" objectType="Button" lockText="1"/>
</file>

<file path=xl/ctrlProps/ctrlProp2818.xml><?xml version="1.0" encoding="utf-8"?>
<formControlPr xmlns="http://schemas.microsoft.com/office/spreadsheetml/2009/9/main" objectType="Button" lockText="1"/>
</file>

<file path=xl/ctrlProps/ctrlProp2819.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20.xml><?xml version="1.0" encoding="utf-8"?>
<formControlPr xmlns="http://schemas.microsoft.com/office/spreadsheetml/2009/9/main" objectType="Button" lockText="1"/>
</file>

<file path=xl/ctrlProps/ctrlProp2821.xml><?xml version="1.0" encoding="utf-8"?>
<formControlPr xmlns="http://schemas.microsoft.com/office/spreadsheetml/2009/9/main" objectType="Button" lockText="1"/>
</file>

<file path=xl/ctrlProps/ctrlProp2822.xml><?xml version="1.0" encoding="utf-8"?>
<formControlPr xmlns="http://schemas.microsoft.com/office/spreadsheetml/2009/9/main" objectType="Button" lockText="1"/>
</file>

<file path=xl/ctrlProps/ctrlProp2823.xml><?xml version="1.0" encoding="utf-8"?>
<formControlPr xmlns="http://schemas.microsoft.com/office/spreadsheetml/2009/9/main" objectType="Button" lockText="1"/>
</file>

<file path=xl/ctrlProps/ctrlProp2824.xml><?xml version="1.0" encoding="utf-8"?>
<formControlPr xmlns="http://schemas.microsoft.com/office/spreadsheetml/2009/9/main" objectType="Button" lockText="1"/>
</file>

<file path=xl/ctrlProps/ctrlProp2825.xml><?xml version="1.0" encoding="utf-8"?>
<formControlPr xmlns="http://schemas.microsoft.com/office/spreadsheetml/2009/9/main" objectType="Button" lockText="1"/>
</file>

<file path=xl/ctrlProps/ctrlProp2826.xml><?xml version="1.0" encoding="utf-8"?>
<formControlPr xmlns="http://schemas.microsoft.com/office/spreadsheetml/2009/9/main" objectType="Button" lockText="1"/>
</file>

<file path=xl/ctrlProps/ctrlProp2827.xml><?xml version="1.0" encoding="utf-8"?>
<formControlPr xmlns="http://schemas.microsoft.com/office/spreadsheetml/2009/9/main" objectType="Button" lockText="1"/>
</file>

<file path=xl/ctrlProps/ctrlProp2828.xml><?xml version="1.0" encoding="utf-8"?>
<formControlPr xmlns="http://schemas.microsoft.com/office/spreadsheetml/2009/9/main" objectType="Button" lockText="1"/>
</file>

<file path=xl/ctrlProps/ctrlProp2829.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30.xml><?xml version="1.0" encoding="utf-8"?>
<formControlPr xmlns="http://schemas.microsoft.com/office/spreadsheetml/2009/9/main" objectType="Button" lockText="1"/>
</file>

<file path=xl/ctrlProps/ctrlProp2831.xml><?xml version="1.0" encoding="utf-8"?>
<formControlPr xmlns="http://schemas.microsoft.com/office/spreadsheetml/2009/9/main" objectType="Button" lockText="1"/>
</file>

<file path=xl/ctrlProps/ctrlProp2832.xml><?xml version="1.0" encoding="utf-8"?>
<formControlPr xmlns="http://schemas.microsoft.com/office/spreadsheetml/2009/9/main" objectType="Button" lockText="1"/>
</file>

<file path=xl/ctrlProps/ctrlProp2833.xml><?xml version="1.0" encoding="utf-8"?>
<formControlPr xmlns="http://schemas.microsoft.com/office/spreadsheetml/2009/9/main" objectType="Button" lockText="1"/>
</file>

<file path=xl/ctrlProps/ctrlProp2834.xml><?xml version="1.0" encoding="utf-8"?>
<formControlPr xmlns="http://schemas.microsoft.com/office/spreadsheetml/2009/9/main" objectType="Button" lockText="1"/>
</file>

<file path=xl/ctrlProps/ctrlProp2835.xml><?xml version="1.0" encoding="utf-8"?>
<formControlPr xmlns="http://schemas.microsoft.com/office/spreadsheetml/2009/9/main" objectType="Button" lockText="1"/>
</file>

<file path=xl/ctrlProps/ctrlProp2836.xml><?xml version="1.0" encoding="utf-8"?>
<formControlPr xmlns="http://schemas.microsoft.com/office/spreadsheetml/2009/9/main" objectType="Button" lockText="1"/>
</file>

<file path=xl/ctrlProps/ctrlProp2837.xml><?xml version="1.0" encoding="utf-8"?>
<formControlPr xmlns="http://schemas.microsoft.com/office/spreadsheetml/2009/9/main" objectType="Button" lockText="1"/>
</file>

<file path=xl/ctrlProps/ctrlProp2838.xml><?xml version="1.0" encoding="utf-8"?>
<formControlPr xmlns="http://schemas.microsoft.com/office/spreadsheetml/2009/9/main" objectType="Button" lockText="1"/>
</file>

<file path=xl/ctrlProps/ctrlProp2839.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40.xml><?xml version="1.0" encoding="utf-8"?>
<formControlPr xmlns="http://schemas.microsoft.com/office/spreadsheetml/2009/9/main" objectType="Button" lockText="1"/>
</file>

<file path=xl/ctrlProps/ctrlProp2841.xml><?xml version="1.0" encoding="utf-8"?>
<formControlPr xmlns="http://schemas.microsoft.com/office/spreadsheetml/2009/9/main" objectType="Button" lockText="1"/>
</file>

<file path=xl/ctrlProps/ctrlProp2842.xml><?xml version="1.0" encoding="utf-8"?>
<formControlPr xmlns="http://schemas.microsoft.com/office/spreadsheetml/2009/9/main" objectType="Button" lockText="1"/>
</file>

<file path=xl/ctrlProps/ctrlProp2843.xml><?xml version="1.0" encoding="utf-8"?>
<formControlPr xmlns="http://schemas.microsoft.com/office/spreadsheetml/2009/9/main" objectType="Button" lockText="1"/>
</file>

<file path=xl/ctrlProps/ctrlProp2844.xml><?xml version="1.0" encoding="utf-8"?>
<formControlPr xmlns="http://schemas.microsoft.com/office/spreadsheetml/2009/9/main" objectType="Button" lockText="1"/>
</file>

<file path=xl/ctrlProps/ctrlProp2845.xml><?xml version="1.0" encoding="utf-8"?>
<formControlPr xmlns="http://schemas.microsoft.com/office/spreadsheetml/2009/9/main" objectType="Button" lockText="1"/>
</file>

<file path=xl/ctrlProps/ctrlProp2846.xml><?xml version="1.0" encoding="utf-8"?>
<formControlPr xmlns="http://schemas.microsoft.com/office/spreadsheetml/2009/9/main" objectType="Button" lockText="1"/>
</file>

<file path=xl/ctrlProps/ctrlProp2847.xml><?xml version="1.0" encoding="utf-8"?>
<formControlPr xmlns="http://schemas.microsoft.com/office/spreadsheetml/2009/9/main" objectType="Button" lockText="1"/>
</file>

<file path=xl/ctrlProps/ctrlProp2848.xml><?xml version="1.0" encoding="utf-8"?>
<formControlPr xmlns="http://schemas.microsoft.com/office/spreadsheetml/2009/9/main" objectType="Button" lockText="1"/>
</file>

<file path=xl/ctrlProps/ctrlProp2849.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50.xml><?xml version="1.0" encoding="utf-8"?>
<formControlPr xmlns="http://schemas.microsoft.com/office/spreadsheetml/2009/9/main" objectType="Button" lockText="1"/>
</file>

<file path=xl/ctrlProps/ctrlProp2851.xml><?xml version="1.0" encoding="utf-8"?>
<formControlPr xmlns="http://schemas.microsoft.com/office/spreadsheetml/2009/9/main" objectType="Button" lockText="1"/>
</file>

<file path=xl/ctrlProps/ctrlProp2852.xml><?xml version="1.0" encoding="utf-8"?>
<formControlPr xmlns="http://schemas.microsoft.com/office/spreadsheetml/2009/9/main" objectType="Button" lockText="1"/>
</file>

<file path=xl/ctrlProps/ctrlProp2853.xml><?xml version="1.0" encoding="utf-8"?>
<formControlPr xmlns="http://schemas.microsoft.com/office/spreadsheetml/2009/9/main" objectType="Button" lockText="1"/>
</file>

<file path=xl/ctrlProps/ctrlProp2854.xml><?xml version="1.0" encoding="utf-8"?>
<formControlPr xmlns="http://schemas.microsoft.com/office/spreadsheetml/2009/9/main" objectType="Button" lockText="1"/>
</file>

<file path=xl/ctrlProps/ctrlProp2855.xml><?xml version="1.0" encoding="utf-8"?>
<formControlPr xmlns="http://schemas.microsoft.com/office/spreadsheetml/2009/9/main" objectType="Button" lockText="1"/>
</file>

<file path=xl/ctrlProps/ctrlProp2856.xml><?xml version="1.0" encoding="utf-8"?>
<formControlPr xmlns="http://schemas.microsoft.com/office/spreadsheetml/2009/9/main" objectType="Button" lockText="1"/>
</file>

<file path=xl/ctrlProps/ctrlProp2857.xml><?xml version="1.0" encoding="utf-8"?>
<formControlPr xmlns="http://schemas.microsoft.com/office/spreadsheetml/2009/9/main" objectType="Button" lockText="1"/>
</file>

<file path=xl/ctrlProps/ctrlProp2858.xml><?xml version="1.0" encoding="utf-8"?>
<formControlPr xmlns="http://schemas.microsoft.com/office/spreadsheetml/2009/9/main" objectType="Button" lockText="1"/>
</file>

<file path=xl/ctrlProps/ctrlProp2859.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60.xml><?xml version="1.0" encoding="utf-8"?>
<formControlPr xmlns="http://schemas.microsoft.com/office/spreadsheetml/2009/9/main" objectType="Button" lockText="1"/>
</file>

<file path=xl/ctrlProps/ctrlProp2861.xml><?xml version="1.0" encoding="utf-8"?>
<formControlPr xmlns="http://schemas.microsoft.com/office/spreadsheetml/2009/9/main" objectType="Button" lockText="1"/>
</file>

<file path=xl/ctrlProps/ctrlProp2862.xml><?xml version="1.0" encoding="utf-8"?>
<formControlPr xmlns="http://schemas.microsoft.com/office/spreadsheetml/2009/9/main" objectType="Button" lockText="1"/>
</file>

<file path=xl/ctrlProps/ctrlProp2863.xml><?xml version="1.0" encoding="utf-8"?>
<formControlPr xmlns="http://schemas.microsoft.com/office/spreadsheetml/2009/9/main" objectType="Button" lockText="1"/>
</file>

<file path=xl/ctrlProps/ctrlProp2864.xml><?xml version="1.0" encoding="utf-8"?>
<formControlPr xmlns="http://schemas.microsoft.com/office/spreadsheetml/2009/9/main" objectType="Button" lockText="1"/>
</file>

<file path=xl/ctrlProps/ctrlProp2865.xml><?xml version="1.0" encoding="utf-8"?>
<formControlPr xmlns="http://schemas.microsoft.com/office/spreadsheetml/2009/9/main" objectType="Button" lockText="1"/>
</file>

<file path=xl/ctrlProps/ctrlProp2866.xml><?xml version="1.0" encoding="utf-8"?>
<formControlPr xmlns="http://schemas.microsoft.com/office/spreadsheetml/2009/9/main" objectType="Button" lockText="1"/>
</file>

<file path=xl/ctrlProps/ctrlProp2867.xml><?xml version="1.0" encoding="utf-8"?>
<formControlPr xmlns="http://schemas.microsoft.com/office/spreadsheetml/2009/9/main" objectType="Button" lockText="1"/>
</file>

<file path=xl/ctrlProps/ctrlProp2868.xml><?xml version="1.0" encoding="utf-8"?>
<formControlPr xmlns="http://schemas.microsoft.com/office/spreadsheetml/2009/9/main" objectType="Button" lockText="1"/>
</file>

<file path=xl/ctrlProps/ctrlProp2869.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70.xml><?xml version="1.0" encoding="utf-8"?>
<formControlPr xmlns="http://schemas.microsoft.com/office/spreadsheetml/2009/9/main" objectType="Button" lockText="1"/>
</file>

<file path=xl/ctrlProps/ctrlProp2871.xml><?xml version="1.0" encoding="utf-8"?>
<formControlPr xmlns="http://schemas.microsoft.com/office/spreadsheetml/2009/9/main" objectType="Button" lockText="1"/>
</file>

<file path=xl/ctrlProps/ctrlProp2872.xml><?xml version="1.0" encoding="utf-8"?>
<formControlPr xmlns="http://schemas.microsoft.com/office/spreadsheetml/2009/9/main" objectType="Button" lockText="1"/>
</file>

<file path=xl/ctrlProps/ctrlProp2873.xml><?xml version="1.0" encoding="utf-8"?>
<formControlPr xmlns="http://schemas.microsoft.com/office/spreadsheetml/2009/9/main" objectType="Button" lockText="1"/>
</file>

<file path=xl/ctrlProps/ctrlProp2874.xml><?xml version="1.0" encoding="utf-8"?>
<formControlPr xmlns="http://schemas.microsoft.com/office/spreadsheetml/2009/9/main" objectType="Button" lockText="1"/>
</file>

<file path=xl/ctrlProps/ctrlProp2875.xml><?xml version="1.0" encoding="utf-8"?>
<formControlPr xmlns="http://schemas.microsoft.com/office/spreadsheetml/2009/9/main" objectType="Button" lockText="1"/>
</file>

<file path=xl/ctrlProps/ctrlProp2876.xml><?xml version="1.0" encoding="utf-8"?>
<formControlPr xmlns="http://schemas.microsoft.com/office/spreadsheetml/2009/9/main" objectType="Button" lockText="1"/>
</file>

<file path=xl/ctrlProps/ctrlProp2877.xml><?xml version="1.0" encoding="utf-8"?>
<formControlPr xmlns="http://schemas.microsoft.com/office/spreadsheetml/2009/9/main" objectType="Button" lockText="1"/>
</file>

<file path=xl/ctrlProps/ctrlProp2878.xml><?xml version="1.0" encoding="utf-8"?>
<formControlPr xmlns="http://schemas.microsoft.com/office/spreadsheetml/2009/9/main" objectType="Button" lockText="1"/>
</file>

<file path=xl/ctrlProps/ctrlProp2879.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80.xml><?xml version="1.0" encoding="utf-8"?>
<formControlPr xmlns="http://schemas.microsoft.com/office/spreadsheetml/2009/9/main" objectType="Button" lockText="1"/>
</file>

<file path=xl/ctrlProps/ctrlProp2881.xml><?xml version="1.0" encoding="utf-8"?>
<formControlPr xmlns="http://schemas.microsoft.com/office/spreadsheetml/2009/9/main" objectType="Button" lockText="1"/>
</file>

<file path=xl/ctrlProps/ctrlProp2882.xml><?xml version="1.0" encoding="utf-8"?>
<formControlPr xmlns="http://schemas.microsoft.com/office/spreadsheetml/2009/9/main" objectType="Button" lockText="1"/>
</file>

<file path=xl/ctrlProps/ctrlProp2883.xml><?xml version="1.0" encoding="utf-8"?>
<formControlPr xmlns="http://schemas.microsoft.com/office/spreadsheetml/2009/9/main" objectType="Button" lockText="1"/>
</file>

<file path=xl/ctrlProps/ctrlProp2884.xml><?xml version="1.0" encoding="utf-8"?>
<formControlPr xmlns="http://schemas.microsoft.com/office/spreadsheetml/2009/9/main" objectType="Button" lockText="1"/>
</file>

<file path=xl/ctrlProps/ctrlProp2885.xml><?xml version="1.0" encoding="utf-8"?>
<formControlPr xmlns="http://schemas.microsoft.com/office/spreadsheetml/2009/9/main" objectType="Button" lockText="1"/>
</file>

<file path=xl/ctrlProps/ctrlProp2886.xml><?xml version="1.0" encoding="utf-8"?>
<formControlPr xmlns="http://schemas.microsoft.com/office/spreadsheetml/2009/9/main" objectType="Button" lockText="1"/>
</file>

<file path=xl/ctrlProps/ctrlProp2887.xml><?xml version="1.0" encoding="utf-8"?>
<formControlPr xmlns="http://schemas.microsoft.com/office/spreadsheetml/2009/9/main" objectType="Button" lockText="1"/>
</file>

<file path=xl/ctrlProps/ctrlProp2888.xml><?xml version="1.0" encoding="utf-8"?>
<formControlPr xmlns="http://schemas.microsoft.com/office/spreadsheetml/2009/9/main" objectType="Button" lockText="1"/>
</file>

<file path=xl/ctrlProps/ctrlProp2889.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890.xml><?xml version="1.0" encoding="utf-8"?>
<formControlPr xmlns="http://schemas.microsoft.com/office/spreadsheetml/2009/9/main" objectType="Button" lockText="1"/>
</file>

<file path=xl/ctrlProps/ctrlProp2891.xml><?xml version="1.0" encoding="utf-8"?>
<formControlPr xmlns="http://schemas.microsoft.com/office/spreadsheetml/2009/9/main" objectType="Button" lockText="1"/>
</file>

<file path=xl/ctrlProps/ctrlProp2892.xml><?xml version="1.0" encoding="utf-8"?>
<formControlPr xmlns="http://schemas.microsoft.com/office/spreadsheetml/2009/9/main" objectType="Button" lockText="1"/>
</file>

<file path=xl/ctrlProps/ctrlProp2893.xml><?xml version="1.0" encoding="utf-8"?>
<formControlPr xmlns="http://schemas.microsoft.com/office/spreadsheetml/2009/9/main" objectType="Button" lockText="1"/>
</file>

<file path=xl/ctrlProps/ctrlProp2894.xml><?xml version="1.0" encoding="utf-8"?>
<formControlPr xmlns="http://schemas.microsoft.com/office/spreadsheetml/2009/9/main" objectType="Button" lockText="1"/>
</file>

<file path=xl/ctrlProps/ctrlProp2895.xml><?xml version="1.0" encoding="utf-8"?>
<formControlPr xmlns="http://schemas.microsoft.com/office/spreadsheetml/2009/9/main" objectType="Button" lockText="1"/>
</file>

<file path=xl/ctrlProps/ctrlProp2896.xml><?xml version="1.0" encoding="utf-8"?>
<formControlPr xmlns="http://schemas.microsoft.com/office/spreadsheetml/2009/9/main" objectType="Button" lockText="1"/>
</file>

<file path=xl/ctrlProps/ctrlProp2897.xml><?xml version="1.0" encoding="utf-8"?>
<formControlPr xmlns="http://schemas.microsoft.com/office/spreadsheetml/2009/9/main" objectType="Button" lockText="1"/>
</file>

<file path=xl/ctrlProps/ctrlProp2898.xml><?xml version="1.0" encoding="utf-8"?>
<formControlPr xmlns="http://schemas.microsoft.com/office/spreadsheetml/2009/9/main" objectType="Button" lockText="1"/>
</file>

<file path=xl/ctrlProps/ctrlProp289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00.xml><?xml version="1.0" encoding="utf-8"?>
<formControlPr xmlns="http://schemas.microsoft.com/office/spreadsheetml/2009/9/main" objectType="Button" lockText="1"/>
</file>

<file path=xl/ctrlProps/ctrlProp2901.xml><?xml version="1.0" encoding="utf-8"?>
<formControlPr xmlns="http://schemas.microsoft.com/office/spreadsheetml/2009/9/main" objectType="Button" lockText="1"/>
</file>

<file path=xl/ctrlProps/ctrlProp2902.xml><?xml version="1.0" encoding="utf-8"?>
<formControlPr xmlns="http://schemas.microsoft.com/office/spreadsheetml/2009/9/main" objectType="Button" lockText="1"/>
</file>

<file path=xl/ctrlProps/ctrlProp2903.xml><?xml version="1.0" encoding="utf-8"?>
<formControlPr xmlns="http://schemas.microsoft.com/office/spreadsheetml/2009/9/main" objectType="Button" lockText="1"/>
</file>

<file path=xl/ctrlProps/ctrlProp2904.xml><?xml version="1.0" encoding="utf-8"?>
<formControlPr xmlns="http://schemas.microsoft.com/office/spreadsheetml/2009/9/main" objectType="Button" lockText="1"/>
</file>

<file path=xl/ctrlProps/ctrlProp2905.xml><?xml version="1.0" encoding="utf-8"?>
<formControlPr xmlns="http://schemas.microsoft.com/office/spreadsheetml/2009/9/main" objectType="Button" lockText="1"/>
</file>

<file path=xl/ctrlProps/ctrlProp2906.xml><?xml version="1.0" encoding="utf-8"?>
<formControlPr xmlns="http://schemas.microsoft.com/office/spreadsheetml/2009/9/main" objectType="Button" lockText="1"/>
</file>

<file path=xl/ctrlProps/ctrlProp2907.xml><?xml version="1.0" encoding="utf-8"?>
<formControlPr xmlns="http://schemas.microsoft.com/office/spreadsheetml/2009/9/main" objectType="Button" lockText="1"/>
</file>

<file path=xl/ctrlProps/ctrlProp2908.xml><?xml version="1.0" encoding="utf-8"?>
<formControlPr xmlns="http://schemas.microsoft.com/office/spreadsheetml/2009/9/main" objectType="Button" lockText="1"/>
</file>

<file path=xl/ctrlProps/ctrlProp2909.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10.xml><?xml version="1.0" encoding="utf-8"?>
<formControlPr xmlns="http://schemas.microsoft.com/office/spreadsheetml/2009/9/main" objectType="Button" lockText="1"/>
</file>

<file path=xl/ctrlProps/ctrlProp2911.xml><?xml version="1.0" encoding="utf-8"?>
<formControlPr xmlns="http://schemas.microsoft.com/office/spreadsheetml/2009/9/main" objectType="Button" lockText="1"/>
</file>

<file path=xl/ctrlProps/ctrlProp2912.xml><?xml version="1.0" encoding="utf-8"?>
<formControlPr xmlns="http://schemas.microsoft.com/office/spreadsheetml/2009/9/main" objectType="Button" lockText="1"/>
</file>

<file path=xl/ctrlProps/ctrlProp2913.xml><?xml version="1.0" encoding="utf-8"?>
<formControlPr xmlns="http://schemas.microsoft.com/office/spreadsheetml/2009/9/main" objectType="Button" lockText="1"/>
</file>

<file path=xl/ctrlProps/ctrlProp2914.xml><?xml version="1.0" encoding="utf-8"?>
<formControlPr xmlns="http://schemas.microsoft.com/office/spreadsheetml/2009/9/main" objectType="Button" lockText="1"/>
</file>

<file path=xl/ctrlProps/ctrlProp2915.xml><?xml version="1.0" encoding="utf-8"?>
<formControlPr xmlns="http://schemas.microsoft.com/office/spreadsheetml/2009/9/main" objectType="Button" lockText="1"/>
</file>

<file path=xl/ctrlProps/ctrlProp2916.xml><?xml version="1.0" encoding="utf-8"?>
<formControlPr xmlns="http://schemas.microsoft.com/office/spreadsheetml/2009/9/main" objectType="Button" lockText="1"/>
</file>

<file path=xl/ctrlProps/ctrlProp2917.xml><?xml version="1.0" encoding="utf-8"?>
<formControlPr xmlns="http://schemas.microsoft.com/office/spreadsheetml/2009/9/main" objectType="Button" lockText="1"/>
</file>

<file path=xl/ctrlProps/ctrlProp2918.xml><?xml version="1.0" encoding="utf-8"?>
<formControlPr xmlns="http://schemas.microsoft.com/office/spreadsheetml/2009/9/main" objectType="Button" lockText="1"/>
</file>

<file path=xl/ctrlProps/ctrlProp2919.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20.xml><?xml version="1.0" encoding="utf-8"?>
<formControlPr xmlns="http://schemas.microsoft.com/office/spreadsheetml/2009/9/main" objectType="Button" lockText="1"/>
</file>

<file path=xl/ctrlProps/ctrlProp2921.xml><?xml version="1.0" encoding="utf-8"?>
<formControlPr xmlns="http://schemas.microsoft.com/office/spreadsheetml/2009/9/main" objectType="Button" lockText="1"/>
</file>

<file path=xl/ctrlProps/ctrlProp2922.xml><?xml version="1.0" encoding="utf-8"?>
<formControlPr xmlns="http://schemas.microsoft.com/office/spreadsheetml/2009/9/main" objectType="Button" lockText="1"/>
</file>

<file path=xl/ctrlProps/ctrlProp2923.xml><?xml version="1.0" encoding="utf-8"?>
<formControlPr xmlns="http://schemas.microsoft.com/office/spreadsheetml/2009/9/main" objectType="Button" lockText="1"/>
</file>

<file path=xl/ctrlProps/ctrlProp2924.xml><?xml version="1.0" encoding="utf-8"?>
<formControlPr xmlns="http://schemas.microsoft.com/office/spreadsheetml/2009/9/main" objectType="Button" lockText="1"/>
</file>

<file path=xl/ctrlProps/ctrlProp2925.xml><?xml version="1.0" encoding="utf-8"?>
<formControlPr xmlns="http://schemas.microsoft.com/office/spreadsheetml/2009/9/main" objectType="Button" lockText="1"/>
</file>

<file path=xl/ctrlProps/ctrlProp2926.xml><?xml version="1.0" encoding="utf-8"?>
<formControlPr xmlns="http://schemas.microsoft.com/office/spreadsheetml/2009/9/main" objectType="Button" lockText="1"/>
</file>

<file path=xl/ctrlProps/ctrlProp2927.xml><?xml version="1.0" encoding="utf-8"?>
<formControlPr xmlns="http://schemas.microsoft.com/office/spreadsheetml/2009/9/main" objectType="Button" lockText="1"/>
</file>

<file path=xl/ctrlProps/ctrlProp2928.xml><?xml version="1.0" encoding="utf-8"?>
<formControlPr xmlns="http://schemas.microsoft.com/office/spreadsheetml/2009/9/main" objectType="Button" lockText="1"/>
</file>

<file path=xl/ctrlProps/ctrlProp2929.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30.xml><?xml version="1.0" encoding="utf-8"?>
<formControlPr xmlns="http://schemas.microsoft.com/office/spreadsheetml/2009/9/main" objectType="Button" lockText="1"/>
</file>

<file path=xl/ctrlProps/ctrlProp2931.xml><?xml version="1.0" encoding="utf-8"?>
<formControlPr xmlns="http://schemas.microsoft.com/office/spreadsheetml/2009/9/main" objectType="Button" lockText="1"/>
</file>

<file path=xl/ctrlProps/ctrlProp2932.xml><?xml version="1.0" encoding="utf-8"?>
<formControlPr xmlns="http://schemas.microsoft.com/office/spreadsheetml/2009/9/main" objectType="Button" lockText="1"/>
</file>

<file path=xl/ctrlProps/ctrlProp2933.xml><?xml version="1.0" encoding="utf-8"?>
<formControlPr xmlns="http://schemas.microsoft.com/office/spreadsheetml/2009/9/main" objectType="Button" lockText="1"/>
</file>

<file path=xl/ctrlProps/ctrlProp2934.xml><?xml version="1.0" encoding="utf-8"?>
<formControlPr xmlns="http://schemas.microsoft.com/office/spreadsheetml/2009/9/main" objectType="Button" lockText="1"/>
</file>

<file path=xl/ctrlProps/ctrlProp2935.xml><?xml version="1.0" encoding="utf-8"?>
<formControlPr xmlns="http://schemas.microsoft.com/office/spreadsheetml/2009/9/main" objectType="Button" lockText="1"/>
</file>

<file path=xl/ctrlProps/ctrlProp2936.xml><?xml version="1.0" encoding="utf-8"?>
<formControlPr xmlns="http://schemas.microsoft.com/office/spreadsheetml/2009/9/main" objectType="Button" lockText="1"/>
</file>

<file path=xl/ctrlProps/ctrlProp2937.xml><?xml version="1.0" encoding="utf-8"?>
<formControlPr xmlns="http://schemas.microsoft.com/office/spreadsheetml/2009/9/main" objectType="Button" lockText="1"/>
</file>

<file path=xl/ctrlProps/ctrlProp2938.xml><?xml version="1.0" encoding="utf-8"?>
<formControlPr xmlns="http://schemas.microsoft.com/office/spreadsheetml/2009/9/main" objectType="Button" lockText="1"/>
</file>

<file path=xl/ctrlProps/ctrlProp2939.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40.xml><?xml version="1.0" encoding="utf-8"?>
<formControlPr xmlns="http://schemas.microsoft.com/office/spreadsheetml/2009/9/main" objectType="Button" lockText="1"/>
</file>

<file path=xl/ctrlProps/ctrlProp2941.xml><?xml version="1.0" encoding="utf-8"?>
<formControlPr xmlns="http://schemas.microsoft.com/office/spreadsheetml/2009/9/main" objectType="Button" lockText="1"/>
</file>

<file path=xl/ctrlProps/ctrlProp2942.xml><?xml version="1.0" encoding="utf-8"?>
<formControlPr xmlns="http://schemas.microsoft.com/office/spreadsheetml/2009/9/main" objectType="Button" lockText="1"/>
</file>

<file path=xl/ctrlProps/ctrlProp2943.xml><?xml version="1.0" encoding="utf-8"?>
<formControlPr xmlns="http://schemas.microsoft.com/office/spreadsheetml/2009/9/main" objectType="Button" lockText="1"/>
</file>

<file path=xl/ctrlProps/ctrlProp2944.xml><?xml version="1.0" encoding="utf-8"?>
<formControlPr xmlns="http://schemas.microsoft.com/office/spreadsheetml/2009/9/main" objectType="Button" lockText="1"/>
</file>

<file path=xl/ctrlProps/ctrlProp2945.xml><?xml version="1.0" encoding="utf-8"?>
<formControlPr xmlns="http://schemas.microsoft.com/office/spreadsheetml/2009/9/main" objectType="Button" lockText="1"/>
</file>

<file path=xl/ctrlProps/ctrlProp2946.xml><?xml version="1.0" encoding="utf-8"?>
<formControlPr xmlns="http://schemas.microsoft.com/office/spreadsheetml/2009/9/main" objectType="Button" lockText="1"/>
</file>

<file path=xl/ctrlProps/ctrlProp2947.xml><?xml version="1.0" encoding="utf-8"?>
<formControlPr xmlns="http://schemas.microsoft.com/office/spreadsheetml/2009/9/main" objectType="Button" lockText="1"/>
</file>

<file path=xl/ctrlProps/ctrlProp2948.xml><?xml version="1.0" encoding="utf-8"?>
<formControlPr xmlns="http://schemas.microsoft.com/office/spreadsheetml/2009/9/main" objectType="Button" lockText="1"/>
</file>

<file path=xl/ctrlProps/ctrlProp2949.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50.xml><?xml version="1.0" encoding="utf-8"?>
<formControlPr xmlns="http://schemas.microsoft.com/office/spreadsheetml/2009/9/main" objectType="Button" lockText="1"/>
</file>

<file path=xl/ctrlProps/ctrlProp2951.xml><?xml version="1.0" encoding="utf-8"?>
<formControlPr xmlns="http://schemas.microsoft.com/office/spreadsheetml/2009/9/main" objectType="Button" lockText="1"/>
</file>

<file path=xl/ctrlProps/ctrlProp2952.xml><?xml version="1.0" encoding="utf-8"?>
<formControlPr xmlns="http://schemas.microsoft.com/office/spreadsheetml/2009/9/main" objectType="Button" lockText="1"/>
</file>

<file path=xl/ctrlProps/ctrlProp2953.xml><?xml version="1.0" encoding="utf-8"?>
<formControlPr xmlns="http://schemas.microsoft.com/office/spreadsheetml/2009/9/main" objectType="Button" lockText="1"/>
</file>

<file path=xl/ctrlProps/ctrlProp2954.xml><?xml version="1.0" encoding="utf-8"?>
<formControlPr xmlns="http://schemas.microsoft.com/office/spreadsheetml/2009/9/main" objectType="Button" lockText="1"/>
</file>

<file path=xl/ctrlProps/ctrlProp2955.xml><?xml version="1.0" encoding="utf-8"?>
<formControlPr xmlns="http://schemas.microsoft.com/office/spreadsheetml/2009/9/main" objectType="Button" lockText="1"/>
</file>

<file path=xl/ctrlProps/ctrlProp2956.xml><?xml version="1.0" encoding="utf-8"?>
<formControlPr xmlns="http://schemas.microsoft.com/office/spreadsheetml/2009/9/main" objectType="Button" lockText="1"/>
</file>

<file path=xl/ctrlProps/ctrlProp2957.xml><?xml version="1.0" encoding="utf-8"?>
<formControlPr xmlns="http://schemas.microsoft.com/office/spreadsheetml/2009/9/main" objectType="Button" lockText="1"/>
</file>

<file path=xl/ctrlProps/ctrlProp2958.xml><?xml version="1.0" encoding="utf-8"?>
<formControlPr xmlns="http://schemas.microsoft.com/office/spreadsheetml/2009/9/main" objectType="Button" lockText="1"/>
</file>

<file path=xl/ctrlProps/ctrlProp2959.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60.xml><?xml version="1.0" encoding="utf-8"?>
<formControlPr xmlns="http://schemas.microsoft.com/office/spreadsheetml/2009/9/main" objectType="Button" lockText="1"/>
</file>

<file path=xl/ctrlProps/ctrlProp2961.xml><?xml version="1.0" encoding="utf-8"?>
<formControlPr xmlns="http://schemas.microsoft.com/office/spreadsheetml/2009/9/main" objectType="Button" lockText="1"/>
</file>

<file path=xl/ctrlProps/ctrlProp2962.xml><?xml version="1.0" encoding="utf-8"?>
<formControlPr xmlns="http://schemas.microsoft.com/office/spreadsheetml/2009/9/main" objectType="Button" lockText="1"/>
</file>

<file path=xl/ctrlProps/ctrlProp2963.xml><?xml version="1.0" encoding="utf-8"?>
<formControlPr xmlns="http://schemas.microsoft.com/office/spreadsheetml/2009/9/main" objectType="Button" lockText="1"/>
</file>

<file path=xl/ctrlProps/ctrlProp2964.xml><?xml version="1.0" encoding="utf-8"?>
<formControlPr xmlns="http://schemas.microsoft.com/office/spreadsheetml/2009/9/main" objectType="Button" lockText="1"/>
</file>

<file path=xl/ctrlProps/ctrlProp2965.xml><?xml version="1.0" encoding="utf-8"?>
<formControlPr xmlns="http://schemas.microsoft.com/office/spreadsheetml/2009/9/main" objectType="Button" lockText="1"/>
</file>

<file path=xl/ctrlProps/ctrlProp2966.xml><?xml version="1.0" encoding="utf-8"?>
<formControlPr xmlns="http://schemas.microsoft.com/office/spreadsheetml/2009/9/main" objectType="Button" lockText="1"/>
</file>

<file path=xl/ctrlProps/ctrlProp2967.xml><?xml version="1.0" encoding="utf-8"?>
<formControlPr xmlns="http://schemas.microsoft.com/office/spreadsheetml/2009/9/main" objectType="Button" lockText="1"/>
</file>

<file path=xl/ctrlProps/ctrlProp2968.xml><?xml version="1.0" encoding="utf-8"?>
<formControlPr xmlns="http://schemas.microsoft.com/office/spreadsheetml/2009/9/main" objectType="Button" lockText="1"/>
</file>

<file path=xl/ctrlProps/ctrlProp2969.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70.xml><?xml version="1.0" encoding="utf-8"?>
<formControlPr xmlns="http://schemas.microsoft.com/office/spreadsheetml/2009/9/main" objectType="Button" lockText="1"/>
</file>

<file path=xl/ctrlProps/ctrlProp2971.xml><?xml version="1.0" encoding="utf-8"?>
<formControlPr xmlns="http://schemas.microsoft.com/office/spreadsheetml/2009/9/main" objectType="Button" lockText="1"/>
</file>

<file path=xl/ctrlProps/ctrlProp2972.xml><?xml version="1.0" encoding="utf-8"?>
<formControlPr xmlns="http://schemas.microsoft.com/office/spreadsheetml/2009/9/main" objectType="Button" lockText="1"/>
</file>

<file path=xl/ctrlProps/ctrlProp2973.xml><?xml version="1.0" encoding="utf-8"?>
<formControlPr xmlns="http://schemas.microsoft.com/office/spreadsheetml/2009/9/main" objectType="Button" lockText="1"/>
</file>

<file path=xl/ctrlProps/ctrlProp2974.xml><?xml version="1.0" encoding="utf-8"?>
<formControlPr xmlns="http://schemas.microsoft.com/office/spreadsheetml/2009/9/main" objectType="Button" lockText="1"/>
</file>

<file path=xl/ctrlProps/ctrlProp2975.xml><?xml version="1.0" encoding="utf-8"?>
<formControlPr xmlns="http://schemas.microsoft.com/office/spreadsheetml/2009/9/main" objectType="Button" lockText="1"/>
</file>

<file path=xl/ctrlProps/ctrlProp2976.xml><?xml version="1.0" encoding="utf-8"?>
<formControlPr xmlns="http://schemas.microsoft.com/office/spreadsheetml/2009/9/main" objectType="Button" lockText="1"/>
</file>

<file path=xl/ctrlProps/ctrlProp2977.xml><?xml version="1.0" encoding="utf-8"?>
<formControlPr xmlns="http://schemas.microsoft.com/office/spreadsheetml/2009/9/main" objectType="Button" lockText="1"/>
</file>

<file path=xl/ctrlProps/ctrlProp2978.xml><?xml version="1.0" encoding="utf-8"?>
<formControlPr xmlns="http://schemas.microsoft.com/office/spreadsheetml/2009/9/main" objectType="Button" lockText="1"/>
</file>

<file path=xl/ctrlProps/ctrlProp2979.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80.xml><?xml version="1.0" encoding="utf-8"?>
<formControlPr xmlns="http://schemas.microsoft.com/office/spreadsheetml/2009/9/main" objectType="Button" lockText="1"/>
</file>

<file path=xl/ctrlProps/ctrlProp2981.xml><?xml version="1.0" encoding="utf-8"?>
<formControlPr xmlns="http://schemas.microsoft.com/office/spreadsheetml/2009/9/main" objectType="Button" lockText="1"/>
</file>

<file path=xl/ctrlProps/ctrlProp2982.xml><?xml version="1.0" encoding="utf-8"?>
<formControlPr xmlns="http://schemas.microsoft.com/office/spreadsheetml/2009/9/main" objectType="Button" lockText="1"/>
</file>

<file path=xl/ctrlProps/ctrlProp2983.xml><?xml version="1.0" encoding="utf-8"?>
<formControlPr xmlns="http://schemas.microsoft.com/office/spreadsheetml/2009/9/main" objectType="Button" lockText="1"/>
</file>

<file path=xl/ctrlProps/ctrlProp2984.xml><?xml version="1.0" encoding="utf-8"?>
<formControlPr xmlns="http://schemas.microsoft.com/office/spreadsheetml/2009/9/main" objectType="Button" lockText="1"/>
</file>

<file path=xl/ctrlProps/ctrlProp2985.xml><?xml version="1.0" encoding="utf-8"?>
<formControlPr xmlns="http://schemas.microsoft.com/office/spreadsheetml/2009/9/main" objectType="Button" lockText="1"/>
</file>

<file path=xl/ctrlProps/ctrlProp2986.xml><?xml version="1.0" encoding="utf-8"?>
<formControlPr xmlns="http://schemas.microsoft.com/office/spreadsheetml/2009/9/main" objectType="Button" lockText="1"/>
</file>

<file path=xl/ctrlProps/ctrlProp2987.xml><?xml version="1.0" encoding="utf-8"?>
<formControlPr xmlns="http://schemas.microsoft.com/office/spreadsheetml/2009/9/main" objectType="Button" lockText="1"/>
</file>

<file path=xl/ctrlProps/ctrlProp2988.xml><?xml version="1.0" encoding="utf-8"?>
<formControlPr xmlns="http://schemas.microsoft.com/office/spreadsheetml/2009/9/main" objectType="Button" lockText="1"/>
</file>

<file path=xl/ctrlProps/ctrlProp2989.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2990.xml><?xml version="1.0" encoding="utf-8"?>
<formControlPr xmlns="http://schemas.microsoft.com/office/spreadsheetml/2009/9/main" objectType="Button" lockText="1"/>
</file>

<file path=xl/ctrlProps/ctrlProp2991.xml><?xml version="1.0" encoding="utf-8"?>
<formControlPr xmlns="http://schemas.microsoft.com/office/spreadsheetml/2009/9/main" objectType="Button" lockText="1"/>
</file>

<file path=xl/ctrlProps/ctrlProp2992.xml><?xml version="1.0" encoding="utf-8"?>
<formControlPr xmlns="http://schemas.microsoft.com/office/spreadsheetml/2009/9/main" objectType="Button" lockText="1"/>
</file>

<file path=xl/ctrlProps/ctrlProp2993.xml><?xml version="1.0" encoding="utf-8"?>
<formControlPr xmlns="http://schemas.microsoft.com/office/spreadsheetml/2009/9/main" objectType="Button" lockText="1"/>
</file>

<file path=xl/ctrlProps/ctrlProp2994.xml><?xml version="1.0" encoding="utf-8"?>
<formControlPr xmlns="http://schemas.microsoft.com/office/spreadsheetml/2009/9/main" objectType="Button" lockText="1"/>
</file>

<file path=xl/ctrlProps/ctrlProp2995.xml><?xml version="1.0" encoding="utf-8"?>
<formControlPr xmlns="http://schemas.microsoft.com/office/spreadsheetml/2009/9/main" objectType="Button" lockText="1"/>
</file>

<file path=xl/ctrlProps/ctrlProp2996.xml><?xml version="1.0" encoding="utf-8"?>
<formControlPr xmlns="http://schemas.microsoft.com/office/spreadsheetml/2009/9/main" objectType="Button" lockText="1"/>
</file>

<file path=xl/ctrlProps/ctrlProp2997.xml><?xml version="1.0" encoding="utf-8"?>
<formControlPr xmlns="http://schemas.microsoft.com/office/spreadsheetml/2009/9/main" objectType="Button" lockText="1"/>
</file>

<file path=xl/ctrlProps/ctrlProp2998.xml><?xml version="1.0" encoding="utf-8"?>
<formControlPr xmlns="http://schemas.microsoft.com/office/spreadsheetml/2009/9/main" objectType="Button" lockText="1"/>
</file>

<file path=xl/ctrlProps/ctrlProp29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00.xml><?xml version="1.0" encoding="utf-8"?>
<formControlPr xmlns="http://schemas.microsoft.com/office/spreadsheetml/2009/9/main" objectType="Button" lockText="1"/>
</file>

<file path=xl/ctrlProps/ctrlProp3001.xml><?xml version="1.0" encoding="utf-8"?>
<formControlPr xmlns="http://schemas.microsoft.com/office/spreadsheetml/2009/9/main" objectType="Button" lockText="1"/>
</file>

<file path=xl/ctrlProps/ctrlProp3002.xml><?xml version="1.0" encoding="utf-8"?>
<formControlPr xmlns="http://schemas.microsoft.com/office/spreadsheetml/2009/9/main" objectType="Button" lockText="1"/>
</file>

<file path=xl/ctrlProps/ctrlProp3003.xml><?xml version="1.0" encoding="utf-8"?>
<formControlPr xmlns="http://schemas.microsoft.com/office/spreadsheetml/2009/9/main" objectType="Button" lockText="1"/>
</file>

<file path=xl/ctrlProps/ctrlProp3004.xml><?xml version="1.0" encoding="utf-8"?>
<formControlPr xmlns="http://schemas.microsoft.com/office/spreadsheetml/2009/9/main" objectType="Button" lockText="1"/>
</file>

<file path=xl/ctrlProps/ctrlProp3005.xml><?xml version="1.0" encoding="utf-8"?>
<formControlPr xmlns="http://schemas.microsoft.com/office/spreadsheetml/2009/9/main" objectType="Button" lockText="1"/>
</file>

<file path=xl/ctrlProps/ctrlProp3006.xml><?xml version="1.0" encoding="utf-8"?>
<formControlPr xmlns="http://schemas.microsoft.com/office/spreadsheetml/2009/9/main" objectType="Button" lockText="1"/>
</file>

<file path=xl/ctrlProps/ctrlProp3007.xml><?xml version="1.0" encoding="utf-8"?>
<formControlPr xmlns="http://schemas.microsoft.com/office/spreadsheetml/2009/9/main" objectType="Button" lockText="1"/>
</file>

<file path=xl/ctrlProps/ctrlProp3008.xml><?xml version="1.0" encoding="utf-8"?>
<formControlPr xmlns="http://schemas.microsoft.com/office/spreadsheetml/2009/9/main" objectType="Button" lockText="1"/>
</file>

<file path=xl/ctrlProps/ctrlProp3009.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10.xml><?xml version="1.0" encoding="utf-8"?>
<formControlPr xmlns="http://schemas.microsoft.com/office/spreadsheetml/2009/9/main" objectType="Button" lockText="1"/>
</file>

<file path=xl/ctrlProps/ctrlProp3011.xml><?xml version="1.0" encoding="utf-8"?>
<formControlPr xmlns="http://schemas.microsoft.com/office/spreadsheetml/2009/9/main" objectType="Button" lockText="1"/>
</file>

<file path=xl/ctrlProps/ctrlProp3012.xml><?xml version="1.0" encoding="utf-8"?>
<formControlPr xmlns="http://schemas.microsoft.com/office/spreadsheetml/2009/9/main" objectType="Button" lockText="1"/>
</file>

<file path=xl/ctrlProps/ctrlProp3013.xml><?xml version="1.0" encoding="utf-8"?>
<formControlPr xmlns="http://schemas.microsoft.com/office/spreadsheetml/2009/9/main" objectType="Button" lockText="1"/>
</file>

<file path=xl/ctrlProps/ctrlProp3014.xml><?xml version="1.0" encoding="utf-8"?>
<formControlPr xmlns="http://schemas.microsoft.com/office/spreadsheetml/2009/9/main" objectType="Button" lockText="1"/>
</file>

<file path=xl/ctrlProps/ctrlProp3015.xml><?xml version="1.0" encoding="utf-8"?>
<formControlPr xmlns="http://schemas.microsoft.com/office/spreadsheetml/2009/9/main" objectType="Button" lockText="1"/>
</file>

<file path=xl/ctrlProps/ctrlProp3016.xml><?xml version="1.0" encoding="utf-8"?>
<formControlPr xmlns="http://schemas.microsoft.com/office/spreadsheetml/2009/9/main" objectType="Button" lockText="1"/>
</file>

<file path=xl/ctrlProps/ctrlProp3017.xml><?xml version="1.0" encoding="utf-8"?>
<formControlPr xmlns="http://schemas.microsoft.com/office/spreadsheetml/2009/9/main" objectType="Button" lockText="1"/>
</file>

<file path=xl/ctrlProps/ctrlProp3018.xml><?xml version="1.0" encoding="utf-8"?>
<formControlPr xmlns="http://schemas.microsoft.com/office/spreadsheetml/2009/9/main" objectType="Button" lockText="1"/>
</file>

<file path=xl/ctrlProps/ctrlProp3019.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20.xml><?xml version="1.0" encoding="utf-8"?>
<formControlPr xmlns="http://schemas.microsoft.com/office/spreadsheetml/2009/9/main" objectType="Button" lockText="1"/>
</file>

<file path=xl/ctrlProps/ctrlProp3021.xml><?xml version="1.0" encoding="utf-8"?>
<formControlPr xmlns="http://schemas.microsoft.com/office/spreadsheetml/2009/9/main" objectType="Button" lockText="1"/>
</file>

<file path=xl/ctrlProps/ctrlProp3022.xml><?xml version="1.0" encoding="utf-8"?>
<formControlPr xmlns="http://schemas.microsoft.com/office/spreadsheetml/2009/9/main" objectType="Button" lockText="1"/>
</file>

<file path=xl/ctrlProps/ctrlProp3023.xml><?xml version="1.0" encoding="utf-8"?>
<formControlPr xmlns="http://schemas.microsoft.com/office/spreadsheetml/2009/9/main" objectType="Button" lockText="1"/>
</file>

<file path=xl/ctrlProps/ctrlProp3024.xml><?xml version="1.0" encoding="utf-8"?>
<formControlPr xmlns="http://schemas.microsoft.com/office/spreadsheetml/2009/9/main" objectType="Button" lockText="1"/>
</file>

<file path=xl/ctrlProps/ctrlProp3025.xml><?xml version="1.0" encoding="utf-8"?>
<formControlPr xmlns="http://schemas.microsoft.com/office/spreadsheetml/2009/9/main" objectType="Button" lockText="1"/>
</file>

<file path=xl/ctrlProps/ctrlProp3026.xml><?xml version="1.0" encoding="utf-8"?>
<formControlPr xmlns="http://schemas.microsoft.com/office/spreadsheetml/2009/9/main" objectType="Button" lockText="1"/>
</file>

<file path=xl/ctrlProps/ctrlProp3027.xml><?xml version="1.0" encoding="utf-8"?>
<formControlPr xmlns="http://schemas.microsoft.com/office/spreadsheetml/2009/9/main" objectType="Button" lockText="1"/>
</file>

<file path=xl/ctrlProps/ctrlProp3028.xml><?xml version="1.0" encoding="utf-8"?>
<formControlPr xmlns="http://schemas.microsoft.com/office/spreadsheetml/2009/9/main" objectType="Button" lockText="1"/>
</file>

<file path=xl/ctrlProps/ctrlProp3029.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30.xml><?xml version="1.0" encoding="utf-8"?>
<formControlPr xmlns="http://schemas.microsoft.com/office/spreadsheetml/2009/9/main" objectType="Button" lockText="1"/>
</file>

<file path=xl/ctrlProps/ctrlProp3031.xml><?xml version="1.0" encoding="utf-8"?>
<formControlPr xmlns="http://schemas.microsoft.com/office/spreadsheetml/2009/9/main" objectType="Button" lockText="1"/>
</file>

<file path=xl/ctrlProps/ctrlProp3032.xml><?xml version="1.0" encoding="utf-8"?>
<formControlPr xmlns="http://schemas.microsoft.com/office/spreadsheetml/2009/9/main" objectType="Button" lockText="1"/>
</file>

<file path=xl/ctrlProps/ctrlProp3033.xml><?xml version="1.0" encoding="utf-8"?>
<formControlPr xmlns="http://schemas.microsoft.com/office/spreadsheetml/2009/9/main" objectType="Button" lockText="1"/>
</file>

<file path=xl/ctrlProps/ctrlProp3034.xml><?xml version="1.0" encoding="utf-8"?>
<formControlPr xmlns="http://schemas.microsoft.com/office/spreadsheetml/2009/9/main" objectType="Button" lockText="1"/>
</file>

<file path=xl/ctrlProps/ctrlProp3035.xml><?xml version="1.0" encoding="utf-8"?>
<formControlPr xmlns="http://schemas.microsoft.com/office/spreadsheetml/2009/9/main" objectType="Button" lockText="1"/>
</file>

<file path=xl/ctrlProps/ctrlProp3036.xml><?xml version="1.0" encoding="utf-8"?>
<formControlPr xmlns="http://schemas.microsoft.com/office/spreadsheetml/2009/9/main" objectType="Button" lockText="1"/>
</file>

<file path=xl/ctrlProps/ctrlProp3037.xml><?xml version="1.0" encoding="utf-8"?>
<formControlPr xmlns="http://schemas.microsoft.com/office/spreadsheetml/2009/9/main" objectType="Button" lockText="1"/>
</file>

<file path=xl/ctrlProps/ctrlProp3038.xml><?xml version="1.0" encoding="utf-8"?>
<formControlPr xmlns="http://schemas.microsoft.com/office/spreadsheetml/2009/9/main" objectType="Button" lockText="1"/>
</file>

<file path=xl/ctrlProps/ctrlProp3039.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40.xml><?xml version="1.0" encoding="utf-8"?>
<formControlPr xmlns="http://schemas.microsoft.com/office/spreadsheetml/2009/9/main" objectType="Button" lockText="1"/>
</file>

<file path=xl/ctrlProps/ctrlProp3041.xml><?xml version="1.0" encoding="utf-8"?>
<formControlPr xmlns="http://schemas.microsoft.com/office/spreadsheetml/2009/9/main" objectType="Button" lockText="1"/>
</file>

<file path=xl/ctrlProps/ctrlProp3042.xml><?xml version="1.0" encoding="utf-8"?>
<formControlPr xmlns="http://schemas.microsoft.com/office/spreadsheetml/2009/9/main" objectType="Button" lockText="1"/>
</file>

<file path=xl/ctrlProps/ctrlProp3043.xml><?xml version="1.0" encoding="utf-8"?>
<formControlPr xmlns="http://schemas.microsoft.com/office/spreadsheetml/2009/9/main" objectType="Button" lockText="1"/>
</file>

<file path=xl/ctrlProps/ctrlProp3044.xml><?xml version="1.0" encoding="utf-8"?>
<formControlPr xmlns="http://schemas.microsoft.com/office/spreadsheetml/2009/9/main" objectType="Button" lockText="1"/>
</file>

<file path=xl/ctrlProps/ctrlProp3045.xml><?xml version="1.0" encoding="utf-8"?>
<formControlPr xmlns="http://schemas.microsoft.com/office/spreadsheetml/2009/9/main" objectType="Button" lockText="1"/>
</file>

<file path=xl/ctrlProps/ctrlProp3046.xml><?xml version="1.0" encoding="utf-8"?>
<formControlPr xmlns="http://schemas.microsoft.com/office/spreadsheetml/2009/9/main" objectType="Button" lockText="1"/>
</file>

<file path=xl/ctrlProps/ctrlProp3047.xml><?xml version="1.0" encoding="utf-8"?>
<formControlPr xmlns="http://schemas.microsoft.com/office/spreadsheetml/2009/9/main" objectType="Button" lockText="1"/>
</file>

<file path=xl/ctrlProps/ctrlProp3048.xml><?xml version="1.0" encoding="utf-8"?>
<formControlPr xmlns="http://schemas.microsoft.com/office/spreadsheetml/2009/9/main" objectType="Button" lockText="1"/>
</file>

<file path=xl/ctrlProps/ctrlProp3049.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50.xml><?xml version="1.0" encoding="utf-8"?>
<formControlPr xmlns="http://schemas.microsoft.com/office/spreadsheetml/2009/9/main" objectType="Button" lockText="1"/>
</file>

<file path=xl/ctrlProps/ctrlProp3051.xml><?xml version="1.0" encoding="utf-8"?>
<formControlPr xmlns="http://schemas.microsoft.com/office/spreadsheetml/2009/9/main" objectType="Button" lockText="1"/>
</file>

<file path=xl/ctrlProps/ctrlProp3052.xml><?xml version="1.0" encoding="utf-8"?>
<formControlPr xmlns="http://schemas.microsoft.com/office/spreadsheetml/2009/9/main" objectType="Button" lockText="1"/>
</file>

<file path=xl/ctrlProps/ctrlProp3053.xml><?xml version="1.0" encoding="utf-8"?>
<formControlPr xmlns="http://schemas.microsoft.com/office/spreadsheetml/2009/9/main" objectType="Button" lockText="1"/>
</file>

<file path=xl/ctrlProps/ctrlProp3054.xml><?xml version="1.0" encoding="utf-8"?>
<formControlPr xmlns="http://schemas.microsoft.com/office/spreadsheetml/2009/9/main" objectType="Button" lockText="1"/>
</file>

<file path=xl/ctrlProps/ctrlProp3055.xml><?xml version="1.0" encoding="utf-8"?>
<formControlPr xmlns="http://schemas.microsoft.com/office/spreadsheetml/2009/9/main" objectType="Button" lockText="1"/>
</file>

<file path=xl/ctrlProps/ctrlProp3056.xml><?xml version="1.0" encoding="utf-8"?>
<formControlPr xmlns="http://schemas.microsoft.com/office/spreadsheetml/2009/9/main" objectType="Button" lockText="1"/>
</file>

<file path=xl/ctrlProps/ctrlProp3057.xml><?xml version="1.0" encoding="utf-8"?>
<formControlPr xmlns="http://schemas.microsoft.com/office/spreadsheetml/2009/9/main" objectType="Button" lockText="1"/>
</file>

<file path=xl/ctrlProps/ctrlProp3058.xml><?xml version="1.0" encoding="utf-8"?>
<formControlPr xmlns="http://schemas.microsoft.com/office/spreadsheetml/2009/9/main" objectType="Button" lockText="1"/>
</file>

<file path=xl/ctrlProps/ctrlProp3059.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60.xml><?xml version="1.0" encoding="utf-8"?>
<formControlPr xmlns="http://schemas.microsoft.com/office/spreadsheetml/2009/9/main" objectType="Button" lockText="1"/>
</file>

<file path=xl/ctrlProps/ctrlProp3061.xml><?xml version="1.0" encoding="utf-8"?>
<formControlPr xmlns="http://schemas.microsoft.com/office/spreadsheetml/2009/9/main" objectType="Button" lockText="1"/>
</file>

<file path=xl/ctrlProps/ctrlProp3062.xml><?xml version="1.0" encoding="utf-8"?>
<formControlPr xmlns="http://schemas.microsoft.com/office/spreadsheetml/2009/9/main" objectType="Button" lockText="1"/>
</file>

<file path=xl/ctrlProps/ctrlProp3063.xml><?xml version="1.0" encoding="utf-8"?>
<formControlPr xmlns="http://schemas.microsoft.com/office/spreadsheetml/2009/9/main" objectType="Button" lockText="1"/>
</file>

<file path=xl/ctrlProps/ctrlProp3064.xml><?xml version="1.0" encoding="utf-8"?>
<formControlPr xmlns="http://schemas.microsoft.com/office/spreadsheetml/2009/9/main" objectType="Button" lockText="1"/>
</file>

<file path=xl/ctrlProps/ctrlProp3065.xml><?xml version="1.0" encoding="utf-8"?>
<formControlPr xmlns="http://schemas.microsoft.com/office/spreadsheetml/2009/9/main" objectType="Button" lockText="1"/>
</file>

<file path=xl/ctrlProps/ctrlProp3066.xml><?xml version="1.0" encoding="utf-8"?>
<formControlPr xmlns="http://schemas.microsoft.com/office/spreadsheetml/2009/9/main" objectType="Button" lockText="1"/>
</file>

<file path=xl/ctrlProps/ctrlProp3067.xml><?xml version="1.0" encoding="utf-8"?>
<formControlPr xmlns="http://schemas.microsoft.com/office/spreadsheetml/2009/9/main" objectType="Button" lockText="1"/>
</file>

<file path=xl/ctrlProps/ctrlProp3068.xml><?xml version="1.0" encoding="utf-8"?>
<formControlPr xmlns="http://schemas.microsoft.com/office/spreadsheetml/2009/9/main" objectType="Button" lockText="1"/>
</file>

<file path=xl/ctrlProps/ctrlProp3069.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70.xml><?xml version="1.0" encoding="utf-8"?>
<formControlPr xmlns="http://schemas.microsoft.com/office/spreadsheetml/2009/9/main" objectType="Button" lockText="1"/>
</file>

<file path=xl/ctrlProps/ctrlProp3071.xml><?xml version="1.0" encoding="utf-8"?>
<formControlPr xmlns="http://schemas.microsoft.com/office/spreadsheetml/2009/9/main" objectType="Button" lockText="1"/>
</file>

<file path=xl/ctrlProps/ctrlProp3072.xml><?xml version="1.0" encoding="utf-8"?>
<formControlPr xmlns="http://schemas.microsoft.com/office/spreadsheetml/2009/9/main" objectType="Button" lockText="1"/>
</file>

<file path=xl/ctrlProps/ctrlProp3073.xml><?xml version="1.0" encoding="utf-8"?>
<formControlPr xmlns="http://schemas.microsoft.com/office/spreadsheetml/2009/9/main" objectType="Button" lockText="1"/>
</file>

<file path=xl/ctrlProps/ctrlProp3074.xml><?xml version="1.0" encoding="utf-8"?>
<formControlPr xmlns="http://schemas.microsoft.com/office/spreadsheetml/2009/9/main" objectType="Button" lockText="1"/>
</file>

<file path=xl/ctrlProps/ctrlProp3075.xml><?xml version="1.0" encoding="utf-8"?>
<formControlPr xmlns="http://schemas.microsoft.com/office/spreadsheetml/2009/9/main" objectType="Button" lockText="1"/>
</file>

<file path=xl/ctrlProps/ctrlProp3076.xml><?xml version="1.0" encoding="utf-8"?>
<formControlPr xmlns="http://schemas.microsoft.com/office/spreadsheetml/2009/9/main" objectType="Button" lockText="1"/>
</file>

<file path=xl/ctrlProps/ctrlProp3077.xml><?xml version="1.0" encoding="utf-8"?>
<formControlPr xmlns="http://schemas.microsoft.com/office/spreadsheetml/2009/9/main" objectType="Button" lockText="1"/>
</file>

<file path=xl/ctrlProps/ctrlProp3078.xml><?xml version="1.0" encoding="utf-8"?>
<formControlPr xmlns="http://schemas.microsoft.com/office/spreadsheetml/2009/9/main" objectType="Button" lockText="1"/>
</file>

<file path=xl/ctrlProps/ctrlProp3079.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80.xml><?xml version="1.0" encoding="utf-8"?>
<formControlPr xmlns="http://schemas.microsoft.com/office/spreadsheetml/2009/9/main" objectType="Button" lockText="1"/>
</file>

<file path=xl/ctrlProps/ctrlProp3081.xml><?xml version="1.0" encoding="utf-8"?>
<formControlPr xmlns="http://schemas.microsoft.com/office/spreadsheetml/2009/9/main" objectType="Button" lockText="1"/>
</file>

<file path=xl/ctrlProps/ctrlProp3082.xml><?xml version="1.0" encoding="utf-8"?>
<formControlPr xmlns="http://schemas.microsoft.com/office/spreadsheetml/2009/9/main" objectType="Button" lockText="1"/>
</file>

<file path=xl/ctrlProps/ctrlProp3083.xml><?xml version="1.0" encoding="utf-8"?>
<formControlPr xmlns="http://schemas.microsoft.com/office/spreadsheetml/2009/9/main" objectType="Button" lockText="1"/>
</file>

<file path=xl/ctrlProps/ctrlProp3084.xml><?xml version="1.0" encoding="utf-8"?>
<formControlPr xmlns="http://schemas.microsoft.com/office/spreadsheetml/2009/9/main" objectType="Button" lockText="1"/>
</file>

<file path=xl/ctrlProps/ctrlProp3085.xml><?xml version="1.0" encoding="utf-8"?>
<formControlPr xmlns="http://schemas.microsoft.com/office/spreadsheetml/2009/9/main" objectType="Button" lockText="1"/>
</file>

<file path=xl/ctrlProps/ctrlProp3086.xml><?xml version="1.0" encoding="utf-8"?>
<formControlPr xmlns="http://schemas.microsoft.com/office/spreadsheetml/2009/9/main" objectType="Button" lockText="1"/>
</file>

<file path=xl/ctrlProps/ctrlProp3087.xml><?xml version="1.0" encoding="utf-8"?>
<formControlPr xmlns="http://schemas.microsoft.com/office/spreadsheetml/2009/9/main" objectType="Button" lockText="1"/>
</file>

<file path=xl/ctrlProps/ctrlProp3088.xml><?xml version="1.0" encoding="utf-8"?>
<formControlPr xmlns="http://schemas.microsoft.com/office/spreadsheetml/2009/9/main" objectType="Button" lockText="1"/>
</file>

<file path=xl/ctrlProps/ctrlProp3089.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090.xml><?xml version="1.0" encoding="utf-8"?>
<formControlPr xmlns="http://schemas.microsoft.com/office/spreadsheetml/2009/9/main" objectType="Button" lockText="1"/>
</file>

<file path=xl/ctrlProps/ctrlProp3091.xml><?xml version="1.0" encoding="utf-8"?>
<formControlPr xmlns="http://schemas.microsoft.com/office/spreadsheetml/2009/9/main" objectType="Button" lockText="1"/>
</file>

<file path=xl/ctrlProps/ctrlProp3092.xml><?xml version="1.0" encoding="utf-8"?>
<formControlPr xmlns="http://schemas.microsoft.com/office/spreadsheetml/2009/9/main" objectType="Button" lockText="1"/>
</file>

<file path=xl/ctrlProps/ctrlProp3093.xml><?xml version="1.0" encoding="utf-8"?>
<formControlPr xmlns="http://schemas.microsoft.com/office/spreadsheetml/2009/9/main" objectType="Button" lockText="1"/>
</file>

<file path=xl/ctrlProps/ctrlProp3094.xml><?xml version="1.0" encoding="utf-8"?>
<formControlPr xmlns="http://schemas.microsoft.com/office/spreadsheetml/2009/9/main" objectType="Button" lockText="1"/>
</file>

<file path=xl/ctrlProps/ctrlProp3095.xml><?xml version="1.0" encoding="utf-8"?>
<formControlPr xmlns="http://schemas.microsoft.com/office/spreadsheetml/2009/9/main" objectType="Button" lockText="1"/>
</file>

<file path=xl/ctrlProps/ctrlProp3096.xml><?xml version="1.0" encoding="utf-8"?>
<formControlPr xmlns="http://schemas.microsoft.com/office/spreadsheetml/2009/9/main" objectType="Button" lockText="1"/>
</file>

<file path=xl/ctrlProps/ctrlProp3097.xml><?xml version="1.0" encoding="utf-8"?>
<formControlPr xmlns="http://schemas.microsoft.com/office/spreadsheetml/2009/9/main" objectType="Button" lockText="1"/>
</file>

<file path=xl/ctrlProps/ctrlProp3098.xml><?xml version="1.0" encoding="utf-8"?>
<formControlPr xmlns="http://schemas.microsoft.com/office/spreadsheetml/2009/9/main" objectType="Button" lockText="1"/>
</file>

<file path=xl/ctrlProps/ctrlProp309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00.xml><?xml version="1.0" encoding="utf-8"?>
<formControlPr xmlns="http://schemas.microsoft.com/office/spreadsheetml/2009/9/main" objectType="Button" lockText="1"/>
</file>

<file path=xl/ctrlProps/ctrlProp3101.xml><?xml version="1.0" encoding="utf-8"?>
<formControlPr xmlns="http://schemas.microsoft.com/office/spreadsheetml/2009/9/main" objectType="Button" lockText="1"/>
</file>

<file path=xl/ctrlProps/ctrlProp3102.xml><?xml version="1.0" encoding="utf-8"?>
<formControlPr xmlns="http://schemas.microsoft.com/office/spreadsheetml/2009/9/main" objectType="Button" lockText="1"/>
</file>

<file path=xl/ctrlProps/ctrlProp3103.xml><?xml version="1.0" encoding="utf-8"?>
<formControlPr xmlns="http://schemas.microsoft.com/office/spreadsheetml/2009/9/main" objectType="Button" lockText="1"/>
</file>

<file path=xl/ctrlProps/ctrlProp3104.xml><?xml version="1.0" encoding="utf-8"?>
<formControlPr xmlns="http://schemas.microsoft.com/office/spreadsheetml/2009/9/main" objectType="Button" lockText="1"/>
</file>

<file path=xl/ctrlProps/ctrlProp3105.xml><?xml version="1.0" encoding="utf-8"?>
<formControlPr xmlns="http://schemas.microsoft.com/office/spreadsheetml/2009/9/main" objectType="Button" lockText="1"/>
</file>

<file path=xl/ctrlProps/ctrlProp3106.xml><?xml version="1.0" encoding="utf-8"?>
<formControlPr xmlns="http://schemas.microsoft.com/office/spreadsheetml/2009/9/main" objectType="Button" lockText="1"/>
</file>

<file path=xl/ctrlProps/ctrlProp3107.xml><?xml version="1.0" encoding="utf-8"?>
<formControlPr xmlns="http://schemas.microsoft.com/office/spreadsheetml/2009/9/main" objectType="Button" lockText="1"/>
</file>

<file path=xl/ctrlProps/ctrlProp3108.xml><?xml version="1.0" encoding="utf-8"?>
<formControlPr xmlns="http://schemas.microsoft.com/office/spreadsheetml/2009/9/main" objectType="Button" lockText="1"/>
</file>

<file path=xl/ctrlProps/ctrlProp3109.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10.xml><?xml version="1.0" encoding="utf-8"?>
<formControlPr xmlns="http://schemas.microsoft.com/office/spreadsheetml/2009/9/main" objectType="Button" lockText="1"/>
</file>

<file path=xl/ctrlProps/ctrlProp3111.xml><?xml version="1.0" encoding="utf-8"?>
<formControlPr xmlns="http://schemas.microsoft.com/office/spreadsheetml/2009/9/main" objectType="Button" lockText="1"/>
</file>

<file path=xl/ctrlProps/ctrlProp3112.xml><?xml version="1.0" encoding="utf-8"?>
<formControlPr xmlns="http://schemas.microsoft.com/office/spreadsheetml/2009/9/main" objectType="Button" lockText="1"/>
</file>

<file path=xl/ctrlProps/ctrlProp3113.xml><?xml version="1.0" encoding="utf-8"?>
<formControlPr xmlns="http://schemas.microsoft.com/office/spreadsheetml/2009/9/main" objectType="Button" lockText="1"/>
</file>

<file path=xl/ctrlProps/ctrlProp3114.xml><?xml version="1.0" encoding="utf-8"?>
<formControlPr xmlns="http://schemas.microsoft.com/office/spreadsheetml/2009/9/main" objectType="Button" lockText="1"/>
</file>

<file path=xl/ctrlProps/ctrlProp3115.xml><?xml version="1.0" encoding="utf-8"?>
<formControlPr xmlns="http://schemas.microsoft.com/office/spreadsheetml/2009/9/main" objectType="Button" lockText="1"/>
</file>

<file path=xl/ctrlProps/ctrlProp3116.xml><?xml version="1.0" encoding="utf-8"?>
<formControlPr xmlns="http://schemas.microsoft.com/office/spreadsheetml/2009/9/main" objectType="Button" lockText="1"/>
</file>

<file path=xl/ctrlProps/ctrlProp3117.xml><?xml version="1.0" encoding="utf-8"?>
<formControlPr xmlns="http://schemas.microsoft.com/office/spreadsheetml/2009/9/main" objectType="Button" lockText="1"/>
</file>

<file path=xl/ctrlProps/ctrlProp3118.xml><?xml version="1.0" encoding="utf-8"?>
<formControlPr xmlns="http://schemas.microsoft.com/office/spreadsheetml/2009/9/main" objectType="Button" lockText="1"/>
</file>

<file path=xl/ctrlProps/ctrlProp3119.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20.xml><?xml version="1.0" encoding="utf-8"?>
<formControlPr xmlns="http://schemas.microsoft.com/office/spreadsheetml/2009/9/main" objectType="Button" lockText="1"/>
</file>

<file path=xl/ctrlProps/ctrlProp3121.xml><?xml version="1.0" encoding="utf-8"?>
<formControlPr xmlns="http://schemas.microsoft.com/office/spreadsheetml/2009/9/main" objectType="Button" lockText="1"/>
</file>

<file path=xl/ctrlProps/ctrlProp3122.xml><?xml version="1.0" encoding="utf-8"?>
<formControlPr xmlns="http://schemas.microsoft.com/office/spreadsheetml/2009/9/main" objectType="Button" lockText="1"/>
</file>

<file path=xl/ctrlProps/ctrlProp3123.xml><?xml version="1.0" encoding="utf-8"?>
<formControlPr xmlns="http://schemas.microsoft.com/office/spreadsheetml/2009/9/main" objectType="Button" lockText="1"/>
</file>

<file path=xl/ctrlProps/ctrlProp3124.xml><?xml version="1.0" encoding="utf-8"?>
<formControlPr xmlns="http://schemas.microsoft.com/office/spreadsheetml/2009/9/main" objectType="Button" lockText="1"/>
</file>

<file path=xl/ctrlProps/ctrlProp3125.xml><?xml version="1.0" encoding="utf-8"?>
<formControlPr xmlns="http://schemas.microsoft.com/office/spreadsheetml/2009/9/main" objectType="Button" lockText="1"/>
</file>

<file path=xl/ctrlProps/ctrlProp3126.xml><?xml version="1.0" encoding="utf-8"?>
<formControlPr xmlns="http://schemas.microsoft.com/office/spreadsheetml/2009/9/main" objectType="Button" lockText="1"/>
</file>

<file path=xl/ctrlProps/ctrlProp3127.xml><?xml version="1.0" encoding="utf-8"?>
<formControlPr xmlns="http://schemas.microsoft.com/office/spreadsheetml/2009/9/main" objectType="Button" lockText="1"/>
</file>

<file path=xl/ctrlProps/ctrlProp3128.xml><?xml version="1.0" encoding="utf-8"?>
<formControlPr xmlns="http://schemas.microsoft.com/office/spreadsheetml/2009/9/main" objectType="Button" lockText="1"/>
</file>

<file path=xl/ctrlProps/ctrlProp3129.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30.xml><?xml version="1.0" encoding="utf-8"?>
<formControlPr xmlns="http://schemas.microsoft.com/office/spreadsheetml/2009/9/main" objectType="Button" lockText="1"/>
</file>

<file path=xl/ctrlProps/ctrlProp3131.xml><?xml version="1.0" encoding="utf-8"?>
<formControlPr xmlns="http://schemas.microsoft.com/office/spreadsheetml/2009/9/main" objectType="Button" lockText="1"/>
</file>

<file path=xl/ctrlProps/ctrlProp3132.xml><?xml version="1.0" encoding="utf-8"?>
<formControlPr xmlns="http://schemas.microsoft.com/office/spreadsheetml/2009/9/main" objectType="Button" lockText="1"/>
</file>

<file path=xl/ctrlProps/ctrlProp3133.xml><?xml version="1.0" encoding="utf-8"?>
<formControlPr xmlns="http://schemas.microsoft.com/office/spreadsheetml/2009/9/main" objectType="Button" lockText="1"/>
</file>

<file path=xl/ctrlProps/ctrlProp3134.xml><?xml version="1.0" encoding="utf-8"?>
<formControlPr xmlns="http://schemas.microsoft.com/office/spreadsheetml/2009/9/main" objectType="Button" lockText="1"/>
</file>

<file path=xl/ctrlProps/ctrlProp3135.xml><?xml version="1.0" encoding="utf-8"?>
<formControlPr xmlns="http://schemas.microsoft.com/office/spreadsheetml/2009/9/main" objectType="Button" lockText="1"/>
</file>

<file path=xl/ctrlProps/ctrlProp3136.xml><?xml version="1.0" encoding="utf-8"?>
<formControlPr xmlns="http://schemas.microsoft.com/office/spreadsheetml/2009/9/main" objectType="Button" lockText="1"/>
</file>

<file path=xl/ctrlProps/ctrlProp3137.xml><?xml version="1.0" encoding="utf-8"?>
<formControlPr xmlns="http://schemas.microsoft.com/office/spreadsheetml/2009/9/main" objectType="Button" lockText="1"/>
</file>

<file path=xl/ctrlProps/ctrlProp3138.xml><?xml version="1.0" encoding="utf-8"?>
<formControlPr xmlns="http://schemas.microsoft.com/office/spreadsheetml/2009/9/main" objectType="Button" lockText="1"/>
</file>

<file path=xl/ctrlProps/ctrlProp3139.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40.xml><?xml version="1.0" encoding="utf-8"?>
<formControlPr xmlns="http://schemas.microsoft.com/office/spreadsheetml/2009/9/main" objectType="Button" lockText="1"/>
</file>

<file path=xl/ctrlProps/ctrlProp3141.xml><?xml version="1.0" encoding="utf-8"?>
<formControlPr xmlns="http://schemas.microsoft.com/office/spreadsheetml/2009/9/main" objectType="Button" lockText="1"/>
</file>

<file path=xl/ctrlProps/ctrlProp3142.xml><?xml version="1.0" encoding="utf-8"?>
<formControlPr xmlns="http://schemas.microsoft.com/office/spreadsheetml/2009/9/main" objectType="Button" lockText="1"/>
</file>

<file path=xl/ctrlProps/ctrlProp3143.xml><?xml version="1.0" encoding="utf-8"?>
<formControlPr xmlns="http://schemas.microsoft.com/office/spreadsheetml/2009/9/main" objectType="Button" lockText="1"/>
</file>

<file path=xl/ctrlProps/ctrlProp3144.xml><?xml version="1.0" encoding="utf-8"?>
<formControlPr xmlns="http://schemas.microsoft.com/office/spreadsheetml/2009/9/main" objectType="Button" lockText="1"/>
</file>

<file path=xl/ctrlProps/ctrlProp3145.xml><?xml version="1.0" encoding="utf-8"?>
<formControlPr xmlns="http://schemas.microsoft.com/office/spreadsheetml/2009/9/main" objectType="Button" lockText="1"/>
</file>

<file path=xl/ctrlProps/ctrlProp3146.xml><?xml version="1.0" encoding="utf-8"?>
<formControlPr xmlns="http://schemas.microsoft.com/office/spreadsheetml/2009/9/main" objectType="Button" lockText="1"/>
</file>

<file path=xl/ctrlProps/ctrlProp3147.xml><?xml version="1.0" encoding="utf-8"?>
<formControlPr xmlns="http://schemas.microsoft.com/office/spreadsheetml/2009/9/main" objectType="Button" lockText="1"/>
</file>

<file path=xl/ctrlProps/ctrlProp3148.xml><?xml version="1.0" encoding="utf-8"?>
<formControlPr xmlns="http://schemas.microsoft.com/office/spreadsheetml/2009/9/main" objectType="Button" lockText="1"/>
</file>

<file path=xl/ctrlProps/ctrlProp3149.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50.xml><?xml version="1.0" encoding="utf-8"?>
<formControlPr xmlns="http://schemas.microsoft.com/office/spreadsheetml/2009/9/main" objectType="Button" lockText="1"/>
</file>

<file path=xl/ctrlProps/ctrlProp3151.xml><?xml version="1.0" encoding="utf-8"?>
<formControlPr xmlns="http://schemas.microsoft.com/office/spreadsheetml/2009/9/main" objectType="Button" lockText="1"/>
</file>

<file path=xl/ctrlProps/ctrlProp3152.xml><?xml version="1.0" encoding="utf-8"?>
<formControlPr xmlns="http://schemas.microsoft.com/office/spreadsheetml/2009/9/main" objectType="Button" lockText="1"/>
</file>

<file path=xl/ctrlProps/ctrlProp3153.xml><?xml version="1.0" encoding="utf-8"?>
<formControlPr xmlns="http://schemas.microsoft.com/office/spreadsheetml/2009/9/main" objectType="Button" lockText="1"/>
</file>

<file path=xl/ctrlProps/ctrlProp3154.xml><?xml version="1.0" encoding="utf-8"?>
<formControlPr xmlns="http://schemas.microsoft.com/office/spreadsheetml/2009/9/main" objectType="Button" lockText="1"/>
</file>

<file path=xl/ctrlProps/ctrlProp3155.xml><?xml version="1.0" encoding="utf-8"?>
<formControlPr xmlns="http://schemas.microsoft.com/office/spreadsheetml/2009/9/main" objectType="Button" lockText="1"/>
</file>

<file path=xl/ctrlProps/ctrlProp3156.xml><?xml version="1.0" encoding="utf-8"?>
<formControlPr xmlns="http://schemas.microsoft.com/office/spreadsheetml/2009/9/main" objectType="Button" lockText="1"/>
</file>

<file path=xl/ctrlProps/ctrlProp3157.xml><?xml version="1.0" encoding="utf-8"?>
<formControlPr xmlns="http://schemas.microsoft.com/office/spreadsheetml/2009/9/main" objectType="Button" lockText="1"/>
</file>

<file path=xl/ctrlProps/ctrlProp3158.xml><?xml version="1.0" encoding="utf-8"?>
<formControlPr xmlns="http://schemas.microsoft.com/office/spreadsheetml/2009/9/main" objectType="Button" lockText="1"/>
</file>

<file path=xl/ctrlProps/ctrlProp3159.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60.xml><?xml version="1.0" encoding="utf-8"?>
<formControlPr xmlns="http://schemas.microsoft.com/office/spreadsheetml/2009/9/main" objectType="Button" lockText="1"/>
</file>

<file path=xl/ctrlProps/ctrlProp3161.xml><?xml version="1.0" encoding="utf-8"?>
<formControlPr xmlns="http://schemas.microsoft.com/office/spreadsheetml/2009/9/main" objectType="Button" lockText="1"/>
</file>

<file path=xl/ctrlProps/ctrlProp3162.xml><?xml version="1.0" encoding="utf-8"?>
<formControlPr xmlns="http://schemas.microsoft.com/office/spreadsheetml/2009/9/main" objectType="Button" lockText="1"/>
</file>

<file path=xl/ctrlProps/ctrlProp3163.xml><?xml version="1.0" encoding="utf-8"?>
<formControlPr xmlns="http://schemas.microsoft.com/office/spreadsheetml/2009/9/main" objectType="Button" lockText="1"/>
</file>

<file path=xl/ctrlProps/ctrlProp3164.xml><?xml version="1.0" encoding="utf-8"?>
<formControlPr xmlns="http://schemas.microsoft.com/office/spreadsheetml/2009/9/main" objectType="Button" lockText="1"/>
</file>

<file path=xl/ctrlProps/ctrlProp3165.xml><?xml version="1.0" encoding="utf-8"?>
<formControlPr xmlns="http://schemas.microsoft.com/office/spreadsheetml/2009/9/main" objectType="Button" lockText="1"/>
</file>

<file path=xl/ctrlProps/ctrlProp3166.xml><?xml version="1.0" encoding="utf-8"?>
<formControlPr xmlns="http://schemas.microsoft.com/office/spreadsheetml/2009/9/main" objectType="Button" lockText="1"/>
</file>

<file path=xl/ctrlProps/ctrlProp3167.xml><?xml version="1.0" encoding="utf-8"?>
<formControlPr xmlns="http://schemas.microsoft.com/office/spreadsheetml/2009/9/main" objectType="Button" lockText="1"/>
</file>

<file path=xl/ctrlProps/ctrlProp3168.xml><?xml version="1.0" encoding="utf-8"?>
<formControlPr xmlns="http://schemas.microsoft.com/office/spreadsheetml/2009/9/main" objectType="Button" lockText="1"/>
</file>

<file path=xl/ctrlProps/ctrlProp3169.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70.xml><?xml version="1.0" encoding="utf-8"?>
<formControlPr xmlns="http://schemas.microsoft.com/office/spreadsheetml/2009/9/main" objectType="Button" lockText="1"/>
</file>

<file path=xl/ctrlProps/ctrlProp3171.xml><?xml version="1.0" encoding="utf-8"?>
<formControlPr xmlns="http://schemas.microsoft.com/office/spreadsheetml/2009/9/main" objectType="Button" lockText="1"/>
</file>

<file path=xl/ctrlProps/ctrlProp3172.xml><?xml version="1.0" encoding="utf-8"?>
<formControlPr xmlns="http://schemas.microsoft.com/office/spreadsheetml/2009/9/main" objectType="Button" lockText="1"/>
</file>

<file path=xl/ctrlProps/ctrlProp3173.xml><?xml version="1.0" encoding="utf-8"?>
<formControlPr xmlns="http://schemas.microsoft.com/office/spreadsheetml/2009/9/main" objectType="Button" lockText="1"/>
</file>

<file path=xl/ctrlProps/ctrlProp3174.xml><?xml version="1.0" encoding="utf-8"?>
<formControlPr xmlns="http://schemas.microsoft.com/office/spreadsheetml/2009/9/main" objectType="Button" lockText="1"/>
</file>

<file path=xl/ctrlProps/ctrlProp3175.xml><?xml version="1.0" encoding="utf-8"?>
<formControlPr xmlns="http://schemas.microsoft.com/office/spreadsheetml/2009/9/main" objectType="Button" lockText="1"/>
</file>

<file path=xl/ctrlProps/ctrlProp3176.xml><?xml version="1.0" encoding="utf-8"?>
<formControlPr xmlns="http://schemas.microsoft.com/office/spreadsheetml/2009/9/main" objectType="Button" lockText="1"/>
</file>

<file path=xl/ctrlProps/ctrlProp3177.xml><?xml version="1.0" encoding="utf-8"?>
<formControlPr xmlns="http://schemas.microsoft.com/office/spreadsheetml/2009/9/main" objectType="Button" lockText="1"/>
</file>

<file path=xl/ctrlProps/ctrlProp3178.xml><?xml version="1.0" encoding="utf-8"?>
<formControlPr xmlns="http://schemas.microsoft.com/office/spreadsheetml/2009/9/main" objectType="Button" lockText="1"/>
</file>

<file path=xl/ctrlProps/ctrlProp3179.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80.xml><?xml version="1.0" encoding="utf-8"?>
<formControlPr xmlns="http://schemas.microsoft.com/office/spreadsheetml/2009/9/main" objectType="Button" lockText="1"/>
</file>

<file path=xl/ctrlProps/ctrlProp3181.xml><?xml version="1.0" encoding="utf-8"?>
<formControlPr xmlns="http://schemas.microsoft.com/office/spreadsheetml/2009/9/main" objectType="Button" lockText="1"/>
</file>

<file path=xl/ctrlProps/ctrlProp3182.xml><?xml version="1.0" encoding="utf-8"?>
<formControlPr xmlns="http://schemas.microsoft.com/office/spreadsheetml/2009/9/main" objectType="Button" lockText="1"/>
</file>

<file path=xl/ctrlProps/ctrlProp3183.xml><?xml version="1.0" encoding="utf-8"?>
<formControlPr xmlns="http://schemas.microsoft.com/office/spreadsheetml/2009/9/main" objectType="Button" lockText="1"/>
</file>

<file path=xl/ctrlProps/ctrlProp3184.xml><?xml version="1.0" encoding="utf-8"?>
<formControlPr xmlns="http://schemas.microsoft.com/office/spreadsheetml/2009/9/main" objectType="Button" lockText="1"/>
</file>

<file path=xl/ctrlProps/ctrlProp3185.xml><?xml version="1.0" encoding="utf-8"?>
<formControlPr xmlns="http://schemas.microsoft.com/office/spreadsheetml/2009/9/main" objectType="Button" lockText="1"/>
</file>

<file path=xl/ctrlProps/ctrlProp3186.xml><?xml version="1.0" encoding="utf-8"?>
<formControlPr xmlns="http://schemas.microsoft.com/office/spreadsheetml/2009/9/main" objectType="Button" lockText="1"/>
</file>

<file path=xl/ctrlProps/ctrlProp3187.xml><?xml version="1.0" encoding="utf-8"?>
<formControlPr xmlns="http://schemas.microsoft.com/office/spreadsheetml/2009/9/main" objectType="Button" lockText="1"/>
</file>

<file path=xl/ctrlProps/ctrlProp3188.xml><?xml version="1.0" encoding="utf-8"?>
<formControlPr xmlns="http://schemas.microsoft.com/office/spreadsheetml/2009/9/main" objectType="Button" lockText="1"/>
</file>

<file path=xl/ctrlProps/ctrlProp3189.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190.xml><?xml version="1.0" encoding="utf-8"?>
<formControlPr xmlns="http://schemas.microsoft.com/office/spreadsheetml/2009/9/main" objectType="Button" lockText="1"/>
</file>

<file path=xl/ctrlProps/ctrlProp3191.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lockText="1"/>
</file>

<file path=xl/ctrlProps/ctrlProp819.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lockText="1"/>
</file>

<file path=xl/ctrlProps/ctrlProp821.xml><?xml version="1.0" encoding="utf-8"?>
<formControlPr xmlns="http://schemas.microsoft.com/office/spreadsheetml/2009/9/main" objectType="Button" lockText="1"/>
</file>

<file path=xl/ctrlProps/ctrlProp822.xml><?xml version="1.0" encoding="utf-8"?>
<formControlPr xmlns="http://schemas.microsoft.com/office/spreadsheetml/2009/9/main" objectType="Button" lockText="1"/>
</file>

<file path=xl/ctrlProps/ctrlProp823.xml><?xml version="1.0" encoding="utf-8"?>
<formControlPr xmlns="http://schemas.microsoft.com/office/spreadsheetml/2009/9/main" objectType="Button" lockText="1"/>
</file>

<file path=xl/ctrlProps/ctrlProp824.xml><?xml version="1.0" encoding="utf-8"?>
<formControlPr xmlns="http://schemas.microsoft.com/office/spreadsheetml/2009/9/main" objectType="Button" lockText="1"/>
</file>

<file path=xl/ctrlProps/ctrlProp825.xml><?xml version="1.0" encoding="utf-8"?>
<formControlPr xmlns="http://schemas.microsoft.com/office/spreadsheetml/2009/9/main" objectType="Button" lockText="1"/>
</file>

<file path=xl/ctrlProps/ctrlProp826.xml><?xml version="1.0" encoding="utf-8"?>
<formControlPr xmlns="http://schemas.microsoft.com/office/spreadsheetml/2009/9/main" objectType="Button" lockText="1"/>
</file>

<file path=xl/ctrlProps/ctrlProp827.xml><?xml version="1.0" encoding="utf-8"?>
<formControlPr xmlns="http://schemas.microsoft.com/office/spreadsheetml/2009/9/main" objectType="Button" lockText="1"/>
</file>

<file path=xl/ctrlProps/ctrlProp828.xml><?xml version="1.0" encoding="utf-8"?>
<formControlPr xmlns="http://schemas.microsoft.com/office/spreadsheetml/2009/9/main" objectType="Button" lockText="1"/>
</file>

<file path=xl/ctrlProps/ctrlProp829.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30.xml><?xml version="1.0" encoding="utf-8"?>
<formControlPr xmlns="http://schemas.microsoft.com/office/spreadsheetml/2009/9/main" objectType="Button" lockText="1"/>
</file>

<file path=xl/ctrlProps/ctrlProp831.xml><?xml version="1.0" encoding="utf-8"?>
<formControlPr xmlns="http://schemas.microsoft.com/office/spreadsheetml/2009/9/main" objectType="Button" lockText="1"/>
</file>

<file path=xl/ctrlProps/ctrlProp832.xml><?xml version="1.0" encoding="utf-8"?>
<formControlPr xmlns="http://schemas.microsoft.com/office/spreadsheetml/2009/9/main" objectType="Button" lockText="1"/>
</file>

<file path=xl/ctrlProps/ctrlProp833.xml><?xml version="1.0" encoding="utf-8"?>
<formControlPr xmlns="http://schemas.microsoft.com/office/spreadsheetml/2009/9/main" objectType="Button" lockText="1"/>
</file>

<file path=xl/ctrlProps/ctrlProp834.xml><?xml version="1.0" encoding="utf-8"?>
<formControlPr xmlns="http://schemas.microsoft.com/office/spreadsheetml/2009/9/main" objectType="Button" lockText="1"/>
</file>

<file path=xl/ctrlProps/ctrlProp835.xml><?xml version="1.0" encoding="utf-8"?>
<formControlPr xmlns="http://schemas.microsoft.com/office/spreadsheetml/2009/9/main" objectType="Button" lockText="1"/>
</file>

<file path=xl/ctrlProps/ctrlProp836.xml><?xml version="1.0" encoding="utf-8"?>
<formControlPr xmlns="http://schemas.microsoft.com/office/spreadsheetml/2009/9/main" objectType="Button" lockText="1"/>
</file>

<file path=xl/ctrlProps/ctrlProp837.xml><?xml version="1.0" encoding="utf-8"?>
<formControlPr xmlns="http://schemas.microsoft.com/office/spreadsheetml/2009/9/main" objectType="Button" lockText="1"/>
</file>

<file path=xl/ctrlProps/ctrlProp838.xml><?xml version="1.0" encoding="utf-8"?>
<formControlPr xmlns="http://schemas.microsoft.com/office/spreadsheetml/2009/9/main" objectType="Button" lockText="1"/>
</file>

<file path=xl/ctrlProps/ctrlProp839.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40.xml><?xml version="1.0" encoding="utf-8"?>
<formControlPr xmlns="http://schemas.microsoft.com/office/spreadsheetml/2009/9/main" objectType="Button" lockText="1"/>
</file>

<file path=xl/ctrlProps/ctrlProp841.xml><?xml version="1.0" encoding="utf-8"?>
<formControlPr xmlns="http://schemas.microsoft.com/office/spreadsheetml/2009/9/main" objectType="Button" lockText="1"/>
</file>

<file path=xl/ctrlProps/ctrlProp842.xml><?xml version="1.0" encoding="utf-8"?>
<formControlPr xmlns="http://schemas.microsoft.com/office/spreadsheetml/2009/9/main" objectType="Button" lockText="1"/>
</file>

<file path=xl/ctrlProps/ctrlProp843.xml><?xml version="1.0" encoding="utf-8"?>
<formControlPr xmlns="http://schemas.microsoft.com/office/spreadsheetml/2009/9/main" objectType="Button" lockText="1"/>
</file>

<file path=xl/ctrlProps/ctrlProp844.xml><?xml version="1.0" encoding="utf-8"?>
<formControlPr xmlns="http://schemas.microsoft.com/office/spreadsheetml/2009/9/main" objectType="Button" lockText="1"/>
</file>

<file path=xl/ctrlProps/ctrlProp845.xml><?xml version="1.0" encoding="utf-8"?>
<formControlPr xmlns="http://schemas.microsoft.com/office/spreadsheetml/2009/9/main" objectType="Button" lockText="1"/>
</file>

<file path=xl/ctrlProps/ctrlProp846.xml><?xml version="1.0" encoding="utf-8"?>
<formControlPr xmlns="http://schemas.microsoft.com/office/spreadsheetml/2009/9/main" objectType="Button" lockText="1"/>
</file>

<file path=xl/ctrlProps/ctrlProp847.xml><?xml version="1.0" encoding="utf-8"?>
<formControlPr xmlns="http://schemas.microsoft.com/office/spreadsheetml/2009/9/main" objectType="Button" lockText="1"/>
</file>

<file path=xl/ctrlProps/ctrlProp848.xml><?xml version="1.0" encoding="utf-8"?>
<formControlPr xmlns="http://schemas.microsoft.com/office/spreadsheetml/2009/9/main" objectType="Button" lockText="1"/>
</file>

<file path=xl/ctrlProps/ctrlProp849.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50.xml><?xml version="1.0" encoding="utf-8"?>
<formControlPr xmlns="http://schemas.microsoft.com/office/spreadsheetml/2009/9/main" objectType="Button" lockText="1"/>
</file>

<file path=xl/ctrlProps/ctrlProp851.xml><?xml version="1.0" encoding="utf-8"?>
<formControlPr xmlns="http://schemas.microsoft.com/office/spreadsheetml/2009/9/main" objectType="Button" lockText="1"/>
</file>

<file path=xl/ctrlProps/ctrlProp852.xml><?xml version="1.0" encoding="utf-8"?>
<formControlPr xmlns="http://schemas.microsoft.com/office/spreadsheetml/2009/9/main" objectType="Button" lockText="1"/>
</file>

<file path=xl/ctrlProps/ctrlProp853.xml><?xml version="1.0" encoding="utf-8"?>
<formControlPr xmlns="http://schemas.microsoft.com/office/spreadsheetml/2009/9/main" objectType="Button" lockText="1"/>
</file>

<file path=xl/ctrlProps/ctrlProp854.xml><?xml version="1.0" encoding="utf-8"?>
<formControlPr xmlns="http://schemas.microsoft.com/office/spreadsheetml/2009/9/main" objectType="Button" lockText="1"/>
</file>

<file path=xl/ctrlProps/ctrlProp855.xml><?xml version="1.0" encoding="utf-8"?>
<formControlPr xmlns="http://schemas.microsoft.com/office/spreadsheetml/2009/9/main" objectType="Button" lockText="1"/>
</file>

<file path=xl/ctrlProps/ctrlProp856.xml><?xml version="1.0" encoding="utf-8"?>
<formControlPr xmlns="http://schemas.microsoft.com/office/spreadsheetml/2009/9/main" objectType="Button" lockText="1"/>
</file>

<file path=xl/ctrlProps/ctrlProp857.xml><?xml version="1.0" encoding="utf-8"?>
<formControlPr xmlns="http://schemas.microsoft.com/office/spreadsheetml/2009/9/main" objectType="Button" lockText="1"/>
</file>

<file path=xl/ctrlProps/ctrlProp858.xml><?xml version="1.0" encoding="utf-8"?>
<formControlPr xmlns="http://schemas.microsoft.com/office/spreadsheetml/2009/9/main" objectType="Button" lockText="1"/>
</file>

<file path=xl/ctrlProps/ctrlProp859.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60.xml><?xml version="1.0" encoding="utf-8"?>
<formControlPr xmlns="http://schemas.microsoft.com/office/spreadsheetml/2009/9/main" objectType="Button" lockText="1"/>
</file>

<file path=xl/ctrlProps/ctrlProp861.xml><?xml version="1.0" encoding="utf-8"?>
<formControlPr xmlns="http://schemas.microsoft.com/office/spreadsheetml/2009/9/main" objectType="Button" lockText="1"/>
</file>

<file path=xl/ctrlProps/ctrlProp862.xml><?xml version="1.0" encoding="utf-8"?>
<formControlPr xmlns="http://schemas.microsoft.com/office/spreadsheetml/2009/9/main" objectType="Button" lockText="1"/>
</file>

<file path=xl/ctrlProps/ctrlProp863.xml><?xml version="1.0" encoding="utf-8"?>
<formControlPr xmlns="http://schemas.microsoft.com/office/spreadsheetml/2009/9/main" objectType="Button" lockText="1"/>
</file>

<file path=xl/ctrlProps/ctrlProp864.xml><?xml version="1.0" encoding="utf-8"?>
<formControlPr xmlns="http://schemas.microsoft.com/office/spreadsheetml/2009/9/main" objectType="Button" lockText="1"/>
</file>

<file path=xl/ctrlProps/ctrlProp865.xml><?xml version="1.0" encoding="utf-8"?>
<formControlPr xmlns="http://schemas.microsoft.com/office/spreadsheetml/2009/9/main" objectType="Button" lockText="1"/>
</file>

<file path=xl/ctrlProps/ctrlProp866.xml><?xml version="1.0" encoding="utf-8"?>
<formControlPr xmlns="http://schemas.microsoft.com/office/spreadsheetml/2009/9/main" objectType="Button" lockText="1"/>
</file>

<file path=xl/ctrlProps/ctrlProp867.xml><?xml version="1.0" encoding="utf-8"?>
<formControlPr xmlns="http://schemas.microsoft.com/office/spreadsheetml/2009/9/main" objectType="Button" lockText="1"/>
</file>

<file path=xl/ctrlProps/ctrlProp868.xml><?xml version="1.0" encoding="utf-8"?>
<formControlPr xmlns="http://schemas.microsoft.com/office/spreadsheetml/2009/9/main" objectType="Button" lockText="1"/>
</file>

<file path=xl/ctrlProps/ctrlProp869.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70.xml><?xml version="1.0" encoding="utf-8"?>
<formControlPr xmlns="http://schemas.microsoft.com/office/spreadsheetml/2009/9/main" objectType="Button" lockText="1"/>
</file>

<file path=xl/ctrlProps/ctrlProp871.xml><?xml version="1.0" encoding="utf-8"?>
<formControlPr xmlns="http://schemas.microsoft.com/office/spreadsheetml/2009/9/main" objectType="Button" lockText="1"/>
</file>

<file path=xl/ctrlProps/ctrlProp872.xml><?xml version="1.0" encoding="utf-8"?>
<formControlPr xmlns="http://schemas.microsoft.com/office/spreadsheetml/2009/9/main" objectType="Button" lockText="1"/>
</file>

<file path=xl/ctrlProps/ctrlProp873.xml><?xml version="1.0" encoding="utf-8"?>
<formControlPr xmlns="http://schemas.microsoft.com/office/spreadsheetml/2009/9/main" objectType="Button" lockText="1"/>
</file>

<file path=xl/ctrlProps/ctrlProp874.xml><?xml version="1.0" encoding="utf-8"?>
<formControlPr xmlns="http://schemas.microsoft.com/office/spreadsheetml/2009/9/main" objectType="Button" lockText="1"/>
</file>

<file path=xl/ctrlProps/ctrlProp875.xml><?xml version="1.0" encoding="utf-8"?>
<formControlPr xmlns="http://schemas.microsoft.com/office/spreadsheetml/2009/9/main" objectType="Button" lockText="1"/>
</file>

<file path=xl/ctrlProps/ctrlProp876.xml><?xml version="1.0" encoding="utf-8"?>
<formControlPr xmlns="http://schemas.microsoft.com/office/spreadsheetml/2009/9/main" objectType="Button" lockText="1"/>
</file>

<file path=xl/ctrlProps/ctrlProp877.xml><?xml version="1.0" encoding="utf-8"?>
<formControlPr xmlns="http://schemas.microsoft.com/office/spreadsheetml/2009/9/main" objectType="Button" lockText="1"/>
</file>

<file path=xl/ctrlProps/ctrlProp878.xml><?xml version="1.0" encoding="utf-8"?>
<formControlPr xmlns="http://schemas.microsoft.com/office/spreadsheetml/2009/9/main" objectType="Button" lockText="1"/>
</file>

<file path=xl/ctrlProps/ctrlProp879.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80.xml><?xml version="1.0" encoding="utf-8"?>
<formControlPr xmlns="http://schemas.microsoft.com/office/spreadsheetml/2009/9/main" objectType="Button" lockText="1"/>
</file>

<file path=xl/ctrlProps/ctrlProp881.xml><?xml version="1.0" encoding="utf-8"?>
<formControlPr xmlns="http://schemas.microsoft.com/office/spreadsheetml/2009/9/main" objectType="Button" lockText="1"/>
</file>

<file path=xl/ctrlProps/ctrlProp882.xml><?xml version="1.0" encoding="utf-8"?>
<formControlPr xmlns="http://schemas.microsoft.com/office/spreadsheetml/2009/9/main" objectType="Button" lockText="1"/>
</file>

<file path=xl/ctrlProps/ctrlProp883.xml><?xml version="1.0" encoding="utf-8"?>
<formControlPr xmlns="http://schemas.microsoft.com/office/spreadsheetml/2009/9/main" objectType="Button" lockText="1"/>
</file>

<file path=xl/ctrlProps/ctrlProp884.xml><?xml version="1.0" encoding="utf-8"?>
<formControlPr xmlns="http://schemas.microsoft.com/office/spreadsheetml/2009/9/main" objectType="Button" lockText="1"/>
</file>

<file path=xl/ctrlProps/ctrlProp885.xml><?xml version="1.0" encoding="utf-8"?>
<formControlPr xmlns="http://schemas.microsoft.com/office/spreadsheetml/2009/9/main" objectType="Button" lockText="1"/>
</file>

<file path=xl/ctrlProps/ctrlProp886.xml><?xml version="1.0" encoding="utf-8"?>
<formControlPr xmlns="http://schemas.microsoft.com/office/spreadsheetml/2009/9/main" objectType="Button" lockText="1"/>
</file>

<file path=xl/ctrlProps/ctrlProp887.xml><?xml version="1.0" encoding="utf-8"?>
<formControlPr xmlns="http://schemas.microsoft.com/office/spreadsheetml/2009/9/main" objectType="Button" lockText="1"/>
</file>

<file path=xl/ctrlProps/ctrlProp888.xml><?xml version="1.0" encoding="utf-8"?>
<formControlPr xmlns="http://schemas.microsoft.com/office/spreadsheetml/2009/9/main" objectType="Button" lockText="1"/>
</file>

<file path=xl/ctrlProps/ctrlProp889.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890.xml><?xml version="1.0" encoding="utf-8"?>
<formControlPr xmlns="http://schemas.microsoft.com/office/spreadsheetml/2009/9/main" objectType="Button" lockText="1"/>
</file>

<file path=xl/ctrlProps/ctrlProp891.xml><?xml version="1.0" encoding="utf-8"?>
<formControlPr xmlns="http://schemas.microsoft.com/office/spreadsheetml/2009/9/main" objectType="Button" lockText="1"/>
</file>

<file path=xl/ctrlProps/ctrlProp892.xml><?xml version="1.0" encoding="utf-8"?>
<formControlPr xmlns="http://schemas.microsoft.com/office/spreadsheetml/2009/9/main" objectType="Button" lockText="1"/>
</file>

<file path=xl/ctrlProps/ctrlProp893.xml><?xml version="1.0" encoding="utf-8"?>
<formControlPr xmlns="http://schemas.microsoft.com/office/spreadsheetml/2009/9/main" objectType="Button" lockText="1"/>
</file>

<file path=xl/ctrlProps/ctrlProp894.xml><?xml version="1.0" encoding="utf-8"?>
<formControlPr xmlns="http://schemas.microsoft.com/office/spreadsheetml/2009/9/main" objectType="Button" lockText="1"/>
</file>

<file path=xl/ctrlProps/ctrlProp895.xml><?xml version="1.0" encoding="utf-8"?>
<formControlPr xmlns="http://schemas.microsoft.com/office/spreadsheetml/2009/9/main" objectType="Button" lockText="1"/>
</file>

<file path=xl/ctrlProps/ctrlProp896.xml><?xml version="1.0" encoding="utf-8"?>
<formControlPr xmlns="http://schemas.microsoft.com/office/spreadsheetml/2009/9/main" objectType="Button" lockText="1"/>
</file>

<file path=xl/ctrlProps/ctrlProp897.xml><?xml version="1.0" encoding="utf-8"?>
<formControlPr xmlns="http://schemas.microsoft.com/office/spreadsheetml/2009/9/main" objectType="Button" lockText="1"/>
</file>

<file path=xl/ctrlProps/ctrlProp898.xml><?xml version="1.0" encoding="utf-8"?>
<formControlPr xmlns="http://schemas.microsoft.com/office/spreadsheetml/2009/9/main" objectType="Button" lockText="1"/>
</file>

<file path=xl/ctrlProps/ctrlProp89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00.xml><?xml version="1.0" encoding="utf-8"?>
<formControlPr xmlns="http://schemas.microsoft.com/office/spreadsheetml/2009/9/main" objectType="Button" lockText="1"/>
</file>

<file path=xl/ctrlProps/ctrlProp901.xml><?xml version="1.0" encoding="utf-8"?>
<formControlPr xmlns="http://schemas.microsoft.com/office/spreadsheetml/2009/9/main" objectType="Button" lockText="1"/>
</file>

<file path=xl/ctrlProps/ctrlProp902.xml><?xml version="1.0" encoding="utf-8"?>
<formControlPr xmlns="http://schemas.microsoft.com/office/spreadsheetml/2009/9/main" objectType="Button" lockText="1"/>
</file>

<file path=xl/ctrlProps/ctrlProp903.xml><?xml version="1.0" encoding="utf-8"?>
<formControlPr xmlns="http://schemas.microsoft.com/office/spreadsheetml/2009/9/main" objectType="Button" lockText="1"/>
</file>

<file path=xl/ctrlProps/ctrlProp904.xml><?xml version="1.0" encoding="utf-8"?>
<formControlPr xmlns="http://schemas.microsoft.com/office/spreadsheetml/2009/9/main" objectType="Button" lockText="1"/>
</file>

<file path=xl/ctrlProps/ctrlProp905.xml><?xml version="1.0" encoding="utf-8"?>
<formControlPr xmlns="http://schemas.microsoft.com/office/spreadsheetml/2009/9/main" objectType="Button" lockText="1"/>
</file>

<file path=xl/ctrlProps/ctrlProp906.xml><?xml version="1.0" encoding="utf-8"?>
<formControlPr xmlns="http://schemas.microsoft.com/office/spreadsheetml/2009/9/main" objectType="Button" lockText="1"/>
</file>

<file path=xl/ctrlProps/ctrlProp907.xml><?xml version="1.0" encoding="utf-8"?>
<formControlPr xmlns="http://schemas.microsoft.com/office/spreadsheetml/2009/9/main" objectType="Button" lockText="1"/>
</file>

<file path=xl/ctrlProps/ctrlProp908.xml><?xml version="1.0" encoding="utf-8"?>
<formControlPr xmlns="http://schemas.microsoft.com/office/spreadsheetml/2009/9/main" objectType="Button" lockText="1"/>
</file>

<file path=xl/ctrlProps/ctrlProp909.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10.xml><?xml version="1.0" encoding="utf-8"?>
<formControlPr xmlns="http://schemas.microsoft.com/office/spreadsheetml/2009/9/main" objectType="Button" lockText="1"/>
</file>

<file path=xl/ctrlProps/ctrlProp911.xml><?xml version="1.0" encoding="utf-8"?>
<formControlPr xmlns="http://schemas.microsoft.com/office/spreadsheetml/2009/9/main" objectType="Button" lockText="1"/>
</file>

<file path=xl/ctrlProps/ctrlProp912.xml><?xml version="1.0" encoding="utf-8"?>
<formControlPr xmlns="http://schemas.microsoft.com/office/spreadsheetml/2009/9/main" objectType="Button" lockText="1"/>
</file>

<file path=xl/ctrlProps/ctrlProp913.xml><?xml version="1.0" encoding="utf-8"?>
<formControlPr xmlns="http://schemas.microsoft.com/office/spreadsheetml/2009/9/main" objectType="Button" lockText="1"/>
</file>

<file path=xl/ctrlProps/ctrlProp914.xml><?xml version="1.0" encoding="utf-8"?>
<formControlPr xmlns="http://schemas.microsoft.com/office/spreadsheetml/2009/9/main" objectType="Button" lockText="1"/>
</file>

<file path=xl/ctrlProps/ctrlProp915.xml><?xml version="1.0" encoding="utf-8"?>
<formControlPr xmlns="http://schemas.microsoft.com/office/spreadsheetml/2009/9/main" objectType="Button" lockText="1"/>
</file>

<file path=xl/ctrlProps/ctrlProp916.xml><?xml version="1.0" encoding="utf-8"?>
<formControlPr xmlns="http://schemas.microsoft.com/office/spreadsheetml/2009/9/main" objectType="Button" lockText="1"/>
</file>

<file path=xl/ctrlProps/ctrlProp917.xml><?xml version="1.0" encoding="utf-8"?>
<formControlPr xmlns="http://schemas.microsoft.com/office/spreadsheetml/2009/9/main" objectType="Button" lockText="1"/>
</file>

<file path=xl/ctrlProps/ctrlProp918.xml><?xml version="1.0" encoding="utf-8"?>
<formControlPr xmlns="http://schemas.microsoft.com/office/spreadsheetml/2009/9/main" objectType="Button" lockText="1"/>
</file>

<file path=xl/ctrlProps/ctrlProp919.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20.xml><?xml version="1.0" encoding="utf-8"?>
<formControlPr xmlns="http://schemas.microsoft.com/office/spreadsheetml/2009/9/main" objectType="Button" lockText="1"/>
</file>

<file path=xl/ctrlProps/ctrlProp921.xml><?xml version="1.0" encoding="utf-8"?>
<formControlPr xmlns="http://schemas.microsoft.com/office/spreadsheetml/2009/9/main" objectType="Button" lockText="1"/>
</file>

<file path=xl/ctrlProps/ctrlProp922.xml><?xml version="1.0" encoding="utf-8"?>
<formControlPr xmlns="http://schemas.microsoft.com/office/spreadsheetml/2009/9/main" objectType="Button" lockText="1"/>
</file>

<file path=xl/ctrlProps/ctrlProp923.xml><?xml version="1.0" encoding="utf-8"?>
<formControlPr xmlns="http://schemas.microsoft.com/office/spreadsheetml/2009/9/main" objectType="Button" lockText="1"/>
</file>

<file path=xl/ctrlProps/ctrlProp924.xml><?xml version="1.0" encoding="utf-8"?>
<formControlPr xmlns="http://schemas.microsoft.com/office/spreadsheetml/2009/9/main" objectType="Button" lockText="1"/>
</file>

<file path=xl/ctrlProps/ctrlProp925.xml><?xml version="1.0" encoding="utf-8"?>
<formControlPr xmlns="http://schemas.microsoft.com/office/spreadsheetml/2009/9/main" objectType="Button" lockText="1"/>
</file>

<file path=xl/ctrlProps/ctrlProp926.xml><?xml version="1.0" encoding="utf-8"?>
<formControlPr xmlns="http://schemas.microsoft.com/office/spreadsheetml/2009/9/main" objectType="Button" lockText="1"/>
</file>

<file path=xl/ctrlProps/ctrlProp927.xml><?xml version="1.0" encoding="utf-8"?>
<formControlPr xmlns="http://schemas.microsoft.com/office/spreadsheetml/2009/9/main" objectType="Button" lockText="1"/>
</file>

<file path=xl/ctrlProps/ctrlProp928.xml><?xml version="1.0" encoding="utf-8"?>
<formControlPr xmlns="http://schemas.microsoft.com/office/spreadsheetml/2009/9/main" objectType="Button" lockText="1"/>
</file>

<file path=xl/ctrlProps/ctrlProp929.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30.xml><?xml version="1.0" encoding="utf-8"?>
<formControlPr xmlns="http://schemas.microsoft.com/office/spreadsheetml/2009/9/main" objectType="Button" lockText="1"/>
</file>

<file path=xl/ctrlProps/ctrlProp931.xml><?xml version="1.0" encoding="utf-8"?>
<formControlPr xmlns="http://schemas.microsoft.com/office/spreadsheetml/2009/9/main" objectType="Button" lockText="1"/>
</file>

<file path=xl/ctrlProps/ctrlProp932.xml><?xml version="1.0" encoding="utf-8"?>
<formControlPr xmlns="http://schemas.microsoft.com/office/spreadsheetml/2009/9/main" objectType="Button" lockText="1"/>
</file>

<file path=xl/ctrlProps/ctrlProp933.xml><?xml version="1.0" encoding="utf-8"?>
<formControlPr xmlns="http://schemas.microsoft.com/office/spreadsheetml/2009/9/main" objectType="Button" lockText="1"/>
</file>

<file path=xl/ctrlProps/ctrlProp934.xml><?xml version="1.0" encoding="utf-8"?>
<formControlPr xmlns="http://schemas.microsoft.com/office/spreadsheetml/2009/9/main" objectType="Button" lockText="1"/>
</file>

<file path=xl/ctrlProps/ctrlProp935.xml><?xml version="1.0" encoding="utf-8"?>
<formControlPr xmlns="http://schemas.microsoft.com/office/spreadsheetml/2009/9/main" objectType="Button" lockText="1"/>
</file>

<file path=xl/ctrlProps/ctrlProp936.xml><?xml version="1.0" encoding="utf-8"?>
<formControlPr xmlns="http://schemas.microsoft.com/office/spreadsheetml/2009/9/main" objectType="Button" lockText="1"/>
</file>

<file path=xl/ctrlProps/ctrlProp937.xml><?xml version="1.0" encoding="utf-8"?>
<formControlPr xmlns="http://schemas.microsoft.com/office/spreadsheetml/2009/9/main" objectType="Button" lockText="1"/>
</file>

<file path=xl/ctrlProps/ctrlProp938.xml><?xml version="1.0" encoding="utf-8"?>
<formControlPr xmlns="http://schemas.microsoft.com/office/spreadsheetml/2009/9/main" objectType="Button" lockText="1"/>
</file>

<file path=xl/ctrlProps/ctrlProp939.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40.xml><?xml version="1.0" encoding="utf-8"?>
<formControlPr xmlns="http://schemas.microsoft.com/office/spreadsheetml/2009/9/main" objectType="Button" lockText="1"/>
</file>

<file path=xl/ctrlProps/ctrlProp941.xml><?xml version="1.0" encoding="utf-8"?>
<formControlPr xmlns="http://schemas.microsoft.com/office/spreadsheetml/2009/9/main" objectType="Button" lockText="1"/>
</file>

<file path=xl/ctrlProps/ctrlProp942.xml><?xml version="1.0" encoding="utf-8"?>
<formControlPr xmlns="http://schemas.microsoft.com/office/spreadsheetml/2009/9/main" objectType="Button" lockText="1"/>
</file>

<file path=xl/ctrlProps/ctrlProp943.xml><?xml version="1.0" encoding="utf-8"?>
<formControlPr xmlns="http://schemas.microsoft.com/office/spreadsheetml/2009/9/main" objectType="Button" lockText="1"/>
</file>

<file path=xl/ctrlProps/ctrlProp944.xml><?xml version="1.0" encoding="utf-8"?>
<formControlPr xmlns="http://schemas.microsoft.com/office/spreadsheetml/2009/9/main" objectType="Button" lockText="1"/>
</file>

<file path=xl/ctrlProps/ctrlProp945.xml><?xml version="1.0" encoding="utf-8"?>
<formControlPr xmlns="http://schemas.microsoft.com/office/spreadsheetml/2009/9/main" objectType="Button" lockText="1"/>
</file>

<file path=xl/ctrlProps/ctrlProp946.xml><?xml version="1.0" encoding="utf-8"?>
<formControlPr xmlns="http://schemas.microsoft.com/office/spreadsheetml/2009/9/main" objectType="Button" lockText="1"/>
</file>

<file path=xl/ctrlProps/ctrlProp947.xml><?xml version="1.0" encoding="utf-8"?>
<formControlPr xmlns="http://schemas.microsoft.com/office/spreadsheetml/2009/9/main" objectType="Button" lockText="1"/>
</file>

<file path=xl/ctrlProps/ctrlProp948.xml><?xml version="1.0" encoding="utf-8"?>
<formControlPr xmlns="http://schemas.microsoft.com/office/spreadsheetml/2009/9/main" objectType="Button" lockText="1"/>
</file>

<file path=xl/ctrlProps/ctrlProp949.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50.xml><?xml version="1.0" encoding="utf-8"?>
<formControlPr xmlns="http://schemas.microsoft.com/office/spreadsheetml/2009/9/main" objectType="Button" lockText="1"/>
</file>

<file path=xl/ctrlProps/ctrlProp951.xml><?xml version="1.0" encoding="utf-8"?>
<formControlPr xmlns="http://schemas.microsoft.com/office/spreadsheetml/2009/9/main" objectType="Button" lockText="1"/>
</file>

<file path=xl/ctrlProps/ctrlProp952.xml><?xml version="1.0" encoding="utf-8"?>
<formControlPr xmlns="http://schemas.microsoft.com/office/spreadsheetml/2009/9/main" objectType="Button" lockText="1"/>
</file>

<file path=xl/ctrlProps/ctrlProp953.xml><?xml version="1.0" encoding="utf-8"?>
<formControlPr xmlns="http://schemas.microsoft.com/office/spreadsheetml/2009/9/main" objectType="Button" lockText="1"/>
</file>

<file path=xl/ctrlProps/ctrlProp954.xml><?xml version="1.0" encoding="utf-8"?>
<formControlPr xmlns="http://schemas.microsoft.com/office/spreadsheetml/2009/9/main" objectType="Button" lockText="1"/>
</file>

<file path=xl/ctrlProps/ctrlProp955.xml><?xml version="1.0" encoding="utf-8"?>
<formControlPr xmlns="http://schemas.microsoft.com/office/spreadsheetml/2009/9/main" objectType="Button" lockText="1"/>
</file>

<file path=xl/ctrlProps/ctrlProp956.xml><?xml version="1.0" encoding="utf-8"?>
<formControlPr xmlns="http://schemas.microsoft.com/office/spreadsheetml/2009/9/main" objectType="Button" lockText="1"/>
</file>

<file path=xl/ctrlProps/ctrlProp957.xml><?xml version="1.0" encoding="utf-8"?>
<formControlPr xmlns="http://schemas.microsoft.com/office/spreadsheetml/2009/9/main" objectType="Button" lockText="1"/>
</file>

<file path=xl/ctrlProps/ctrlProp958.xml><?xml version="1.0" encoding="utf-8"?>
<formControlPr xmlns="http://schemas.microsoft.com/office/spreadsheetml/2009/9/main" objectType="Button" lockText="1"/>
</file>

<file path=xl/ctrlProps/ctrlProp959.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60.xml><?xml version="1.0" encoding="utf-8"?>
<formControlPr xmlns="http://schemas.microsoft.com/office/spreadsheetml/2009/9/main" objectType="Button" lockText="1"/>
</file>

<file path=xl/ctrlProps/ctrlProp961.xml><?xml version="1.0" encoding="utf-8"?>
<formControlPr xmlns="http://schemas.microsoft.com/office/spreadsheetml/2009/9/main" objectType="Button" lockText="1"/>
</file>

<file path=xl/ctrlProps/ctrlProp962.xml><?xml version="1.0" encoding="utf-8"?>
<formControlPr xmlns="http://schemas.microsoft.com/office/spreadsheetml/2009/9/main" objectType="Button" lockText="1"/>
</file>

<file path=xl/ctrlProps/ctrlProp963.xml><?xml version="1.0" encoding="utf-8"?>
<formControlPr xmlns="http://schemas.microsoft.com/office/spreadsheetml/2009/9/main" objectType="Button" lockText="1"/>
</file>

<file path=xl/ctrlProps/ctrlProp964.xml><?xml version="1.0" encoding="utf-8"?>
<formControlPr xmlns="http://schemas.microsoft.com/office/spreadsheetml/2009/9/main" objectType="Button" lockText="1"/>
</file>

<file path=xl/ctrlProps/ctrlProp965.xml><?xml version="1.0" encoding="utf-8"?>
<formControlPr xmlns="http://schemas.microsoft.com/office/spreadsheetml/2009/9/main" objectType="Button" lockText="1"/>
</file>

<file path=xl/ctrlProps/ctrlProp966.xml><?xml version="1.0" encoding="utf-8"?>
<formControlPr xmlns="http://schemas.microsoft.com/office/spreadsheetml/2009/9/main" objectType="Button" lockText="1"/>
</file>

<file path=xl/ctrlProps/ctrlProp967.xml><?xml version="1.0" encoding="utf-8"?>
<formControlPr xmlns="http://schemas.microsoft.com/office/spreadsheetml/2009/9/main" objectType="Button" lockText="1"/>
</file>

<file path=xl/ctrlProps/ctrlProp968.xml><?xml version="1.0" encoding="utf-8"?>
<formControlPr xmlns="http://schemas.microsoft.com/office/spreadsheetml/2009/9/main" objectType="Button" lockText="1"/>
</file>

<file path=xl/ctrlProps/ctrlProp969.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70.xml><?xml version="1.0" encoding="utf-8"?>
<formControlPr xmlns="http://schemas.microsoft.com/office/spreadsheetml/2009/9/main" objectType="Button" lockText="1"/>
</file>

<file path=xl/ctrlProps/ctrlProp971.xml><?xml version="1.0" encoding="utf-8"?>
<formControlPr xmlns="http://schemas.microsoft.com/office/spreadsheetml/2009/9/main" objectType="Button" lockText="1"/>
</file>

<file path=xl/ctrlProps/ctrlProp972.xml><?xml version="1.0" encoding="utf-8"?>
<formControlPr xmlns="http://schemas.microsoft.com/office/spreadsheetml/2009/9/main" objectType="Button" lockText="1"/>
</file>

<file path=xl/ctrlProps/ctrlProp973.xml><?xml version="1.0" encoding="utf-8"?>
<formControlPr xmlns="http://schemas.microsoft.com/office/spreadsheetml/2009/9/main" objectType="Button" lockText="1"/>
</file>

<file path=xl/ctrlProps/ctrlProp974.xml><?xml version="1.0" encoding="utf-8"?>
<formControlPr xmlns="http://schemas.microsoft.com/office/spreadsheetml/2009/9/main" objectType="Button" lockText="1"/>
</file>

<file path=xl/ctrlProps/ctrlProp975.xml><?xml version="1.0" encoding="utf-8"?>
<formControlPr xmlns="http://schemas.microsoft.com/office/spreadsheetml/2009/9/main" objectType="Button" lockText="1"/>
</file>

<file path=xl/ctrlProps/ctrlProp976.xml><?xml version="1.0" encoding="utf-8"?>
<formControlPr xmlns="http://schemas.microsoft.com/office/spreadsheetml/2009/9/main" objectType="Button" lockText="1"/>
</file>

<file path=xl/ctrlProps/ctrlProp977.xml><?xml version="1.0" encoding="utf-8"?>
<formControlPr xmlns="http://schemas.microsoft.com/office/spreadsheetml/2009/9/main" objectType="Button" lockText="1"/>
</file>

<file path=xl/ctrlProps/ctrlProp978.xml><?xml version="1.0" encoding="utf-8"?>
<formControlPr xmlns="http://schemas.microsoft.com/office/spreadsheetml/2009/9/main" objectType="Button" lockText="1"/>
</file>

<file path=xl/ctrlProps/ctrlProp979.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80.xml><?xml version="1.0" encoding="utf-8"?>
<formControlPr xmlns="http://schemas.microsoft.com/office/spreadsheetml/2009/9/main" objectType="Button" lockText="1"/>
</file>

<file path=xl/ctrlProps/ctrlProp981.xml><?xml version="1.0" encoding="utf-8"?>
<formControlPr xmlns="http://schemas.microsoft.com/office/spreadsheetml/2009/9/main" objectType="Button" lockText="1"/>
</file>

<file path=xl/ctrlProps/ctrlProp982.xml><?xml version="1.0" encoding="utf-8"?>
<formControlPr xmlns="http://schemas.microsoft.com/office/spreadsheetml/2009/9/main" objectType="Button" lockText="1"/>
</file>

<file path=xl/ctrlProps/ctrlProp983.xml><?xml version="1.0" encoding="utf-8"?>
<formControlPr xmlns="http://schemas.microsoft.com/office/spreadsheetml/2009/9/main" objectType="Button" lockText="1"/>
</file>

<file path=xl/ctrlProps/ctrlProp984.xml><?xml version="1.0" encoding="utf-8"?>
<formControlPr xmlns="http://schemas.microsoft.com/office/spreadsheetml/2009/9/main" objectType="Button" lockText="1"/>
</file>

<file path=xl/ctrlProps/ctrlProp985.xml><?xml version="1.0" encoding="utf-8"?>
<formControlPr xmlns="http://schemas.microsoft.com/office/spreadsheetml/2009/9/main" objectType="Button" lockText="1"/>
</file>

<file path=xl/ctrlProps/ctrlProp986.xml><?xml version="1.0" encoding="utf-8"?>
<formControlPr xmlns="http://schemas.microsoft.com/office/spreadsheetml/2009/9/main" objectType="Button" lockText="1"/>
</file>

<file path=xl/ctrlProps/ctrlProp987.xml><?xml version="1.0" encoding="utf-8"?>
<formControlPr xmlns="http://schemas.microsoft.com/office/spreadsheetml/2009/9/main" objectType="Button" lockText="1"/>
</file>

<file path=xl/ctrlProps/ctrlProp988.xml><?xml version="1.0" encoding="utf-8"?>
<formControlPr xmlns="http://schemas.microsoft.com/office/spreadsheetml/2009/9/main" objectType="Button" lockText="1"/>
</file>

<file path=xl/ctrlProps/ctrlProp989.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ctrlProps/ctrlProp990.xml><?xml version="1.0" encoding="utf-8"?>
<formControlPr xmlns="http://schemas.microsoft.com/office/spreadsheetml/2009/9/main" objectType="Button" lockText="1"/>
</file>

<file path=xl/ctrlProps/ctrlProp991.xml><?xml version="1.0" encoding="utf-8"?>
<formControlPr xmlns="http://schemas.microsoft.com/office/spreadsheetml/2009/9/main" objectType="Button" lockText="1"/>
</file>

<file path=xl/ctrlProps/ctrlProp992.xml><?xml version="1.0" encoding="utf-8"?>
<formControlPr xmlns="http://schemas.microsoft.com/office/spreadsheetml/2009/9/main" objectType="Button" lockText="1"/>
</file>

<file path=xl/ctrlProps/ctrlProp993.xml><?xml version="1.0" encoding="utf-8"?>
<formControlPr xmlns="http://schemas.microsoft.com/office/spreadsheetml/2009/9/main" objectType="Button" lockText="1"/>
</file>

<file path=xl/ctrlProps/ctrlProp994.xml><?xml version="1.0" encoding="utf-8"?>
<formControlPr xmlns="http://schemas.microsoft.com/office/spreadsheetml/2009/9/main" objectType="Button" lockText="1"/>
</file>

<file path=xl/ctrlProps/ctrlProp995.xml><?xml version="1.0" encoding="utf-8"?>
<formControlPr xmlns="http://schemas.microsoft.com/office/spreadsheetml/2009/9/main" objectType="Button" lockText="1"/>
</file>

<file path=xl/ctrlProps/ctrlProp996.xml><?xml version="1.0" encoding="utf-8"?>
<formControlPr xmlns="http://schemas.microsoft.com/office/spreadsheetml/2009/9/main" objectType="Button" lockText="1"/>
</file>

<file path=xl/ctrlProps/ctrlProp997.xml><?xml version="1.0" encoding="utf-8"?>
<formControlPr xmlns="http://schemas.microsoft.com/office/spreadsheetml/2009/9/main" objectType="Button" lockText="1"/>
</file>

<file path=xl/ctrlProps/ctrlProp998.xml><?xml version="1.0" encoding="utf-8"?>
<formControlPr xmlns="http://schemas.microsoft.com/office/spreadsheetml/2009/9/main" objectType="Button" lockText="1"/>
</file>

<file path=xl/ctrlProps/ctrlProp9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114300</xdr:rowOff>
    </xdr:from>
    <xdr:to>
      <xdr:col>1</xdr:col>
      <xdr:colOff>4448175</xdr:colOff>
      <xdr:row>4</xdr:row>
      <xdr:rowOff>133350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200025" y="114300"/>
          <a:ext cx="4514850" cy="7810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0</xdr:col>
      <xdr:colOff>1600200</xdr:colOff>
      <xdr:row>4</xdr:row>
      <xdr:rowOff>85725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61925" y="28575"/>
          <a:ext cx="1438275" cy="1123950"/>
        </a:xfrm>
        <a:prstGeom prst="rect">
          <a:avLst/>
        </a:prstGeom>
        <a:noFill/>
        <a:ln>
          <a:noFill/>
        </a:ln>
      </xdr:spPr>
    </xdr:pic>
    <xdr:clientData/>
  </xdr:twoCellAnchor>
  <xdr:twoCellAnchor editAs="oneCell">
    <xdr:from>
      <xdr:col>5</xdr:col>
      <xdr:colOff>123825</xdr:colOff>
      <xdr:row>0</xdr:row>
      <xdr:rowOff>66675</xdr:rowOff>
    </xdr:from>
    <xdr:to>
      <xdr:col>5</xdr:col>
      <xdr:colOff>1619250</xdr:colOff>
      <xdr:row>4</xdr:row>
      <xdr:rowOff>114300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rcRect t="15399" b="14198"/>
        <a:stretch>
          <a:fillRect/>
        </a:stretch>
      </xdr:blipFill>
      <xdr:spPr>
        <a:xfrm>
          <a:off x="9334500" y="66675"/>
          <a:ext cx="1495425" cy="11144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21</xdr:row>
          <xdr:rowOff>171450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165100</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23</xdr:row>
          <xdr:rowOff>165100</xdr:rowOff>
        </xdr:to>
        <xdr:sp macro="" textlink="">
          <xdr:nvSpPr>
            <xdr:cNvPr id="14659" name="Button 3395" hidden="1">
              <a:extLst>
                <a:ext uri="{63B3BB69-23CF-44E3-9099-C40C66FF867C}">
                  <a14:compatExt spid="_x0000_s14659"/>
                </a:ext>
                <a:ext uri="{FF2B5EF4-FFF2-40B4-BE49-F238E27FC236}">
                  <a16:creationId xmlns:a16="http://schemas.microsoft.com/office/drawing/2014/main" id="{00000000-0008-0000-0100-000043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7</xdr:col>
          <xdr:colOff>0</xdr:colOff>
          <xdr:row>24</xdr:row>
          <xdr:rowOff>165100</xdr:rowOff>
        </xdr:to>
        <xdr:sp macro="" textlink="">
          <xdr:nvSpPr>
            <xdr:cNvPr id="14658" name="Button 3394" hidden="1">
              <a:extLst>
                <a:ext uri="{63B3BB69-23CF-44E3-9099-C40C66FF867C}">
                  <a14:compatExt spid="_x0000_s14658"/>
                </a:ext>
                <a:ext uri="{FF2B5EF4-FFF2-40B4-BE49-F238E27FC236}">
                  <a16:creationId xmlns:a16="http://schemas.microsoft.com/office/drawing/2014/main" id="{00000000-0008-0000-0100-000042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25</xdr:row>
          <xdr:rowOff>165100</xdr:rowOff>
        </xdr:to>
        <xdr:sp macro="" textlink="">
          <xdr:nvSpPr>
            <xdr:cNvPr id="14657" name="Button 3393" hidden="1">
              <a:extLst>
                <a:ext uri="{63B3BB69-23CF-44E3-9099-C40C66FF867C}">
                  <a14:compatExt spid="_x0000_s14657"/>
                </a:ext>
                <a:ext uri="{FF2B5EF4-FFF2-40B4-BE49-F238E27FC236}">
                  <a16:creationId xmlns:a16="http://schemas.microsoft.com/office/drawing/2014/main" id="{00000000-0008-0000-0100-000041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7</xdr:col>
          <xdr:colOff>0</xdr:colOff>
          <xdr:row>26</xdr:row>
          <xdr:rowOff>165100</xdr:rowOff>
        </xdr:to>
        <xdr:sp macro="" textlink="">
          <xdr:nvSpPr>
            <xdr:cNvPr id="14656" name="Button 3392" hidden="1">
              <a:extLst>
                <a:ext uri="{63B3BB69-23CF-44E3-9099-C40C66FF867C}">
                  <a14:compatExt spid="_x0000_s14656"/>
                </a:ext>
                <a:ext uri="{FF2B5EF4-FFF2-40B4-BE49-F238E27FC236}">
                  <a16:creationId xmlns:a16="http://schemas.microsoft.com/office/drawing/2014/main" id="{00000000-0008-0000-0100-000040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7</xdr:col>
          <xdr:colOff>0</xdr:colOff>
          <xdr:row>27</xdr:row>
          <xdr:rowOff>165100</xdr:rowOff>
        </xdr:to>
        <xdr:sp macro="" textlink="">
          <xdr:nvSpPr>
            <xdr:cNvPr id="14655" name="Button 3391" hidden="1">
              <a:extLst>
                <a:ext uri="{63B3BB69-23CF-44E3-9099-C40C66FF867C}">
                  <a14:compatExt spid="_x0000_s14655"/>
                </a:ext>
                <a:ext uri="{FF2B5EF4-FFF2-40B4-BE49-F238E27FC236}">
                  <a16:creationId xmlns:a16="http://schemas.microsoft.com/office/drawing/2014/main" id="{00000000-0008-0000-0100-00003F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0</xdr:rowOff>
        </xdr:from>
        <xdr:to>
          <xdr:col>7</xdr:col>
          <xdr:colOff>0</xdr:colOff>
          <xdr:row>28</xdr:row>
          <xdr:rowOff>165100</xdr:rowOff>
        </xdr:to>
        <xdr:sp macro="" textlink="">
          <xdr:nvSpPr>
            <xdr:cNvPr id="14654" name="Button 3390" hidden="1">
              <a:extLst>
                <a:ext uri="{63B3BB69-23CF-44E3-9099-C40C66FF867C}">
                  <a14:compatExt spid="_x0000_s14654"/>
                </a:ext>
                <a:ext uri="{FF2B5EF4-FFF2-40B4-BE49-F238E27FC236}">
                  <a16:creationId xmlns:a16="http://schemas.microsoft.com/office/drawing/2014/main" id="{00000000-0008-0000-0100-00003E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0</xdr:rowOff>
        </xdr:from>
        <xdr:to>
          <xdr:col>7</xdr:col>
          <xdr:colOff>0</xdr:colOff>
          <xdr:row>29</xdr:row>
          <xdr:rowOff>165100</xdr:rowOff>
        </xdr:to>
        <xdr:sp macro="" textlink="">
          <xdr:nvSpPr>
            <xdr:cNvPr id="14653" name="Button 3389" hidden="1">
              <a:extLst>
                <a:ext uri="{63B3BB69-23CF-44E3-9099-C40C66FF867C}">
                  <a14:compatExt spid="_x0000_s14653"/>
                </a:ext>
                <a:ext uri="{FF2B5EF4-FFF2-40B4-BE49-F238E27FC236}">
                  <a16:creationId xmlns:a16="http://schemas.microsoft.com/office/drawing/2014/main" id="{00000000-0008-0000-0100-00003D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xdr:row>
          <xdr:rowOff>0</xdr:rowOff>
        </xdr:from>
        <xdr:to>
          <xdr:col>7</xdr:col>
          <xdr:colOff>0</xdr:colOff>
          <xdr:row>30</xdr:row>
          <xdr:rowOff>165100</xdr:rowOff>
        </xdr:to>
        <xdr:sp macro="" textlink="">
          <xdr:nvSpPr>
            <xdr:cNvPr id="14652" name="Button 3388" hidden="1">
              <a:extLst>
                <a:ext uri="{63B3BB69-23CF-44E3-9099-C40C66FF867C}">
                  <a14:compatExt spid="_x0000_s14652"/>
                </a:ext>
                <a:ext uri="{FF2B5EF4-FFF2-40B4-BE49-F238E27FC236}">
                  <a16:creationId xmlns:a16="http://schemas.microsoft.com/office/drawing/2014/main" id="{00000000-0008-0000-0100-00003C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xdr:row>
          <xdr:rowOff>0</xdr:rowOff>
        </xdr:from>
        <xdr:to>
          <xdr:col>7</xdr:col>
          <xdr:colOff>0</xdr:colOff>
          <xdr:row>31</xdr:row>
          <xdr:rowOff>165100</xdr:rowOff>
        </xdr:to>
        <xdr:sp macro="" textlink="">
          <xdr:nvSpPr>
            <xdr:cNvPr id="14651" name="Button 3387" hidden="1">
              <a:extLst>
                <a:ext uri="{63B3BB69-23CF-44E3-9099-C40C66FF867C}">
                  <a14:compatExt spid="_x0000_s14651"/>
                </a:ext>
                <a:ext uri="{FF2B5EF4-FFF2-40B4-BE49-F238E27FC236}">
                  <a16:creationId xmlns:a16="http://schemas.microsoft.com/office/drawing/2014/main" id="{00000000-0008-0000-0100-00003B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7</xdr:col>
          <xdr:colOff>0</xdr:colOff>
          <xdr:row>32</xdr:row>
          <xdr:rowOff>165100</xdr:rowOff>
        </xdr:to>
        <xdr:sp macro="" textlink="">
          <xdr:nvSpPr>
            <xdr:cNvPr id="14650" name="Button 3386" hidden="1">
              <a:extLst>
                <a:ext uri="{63B3BB69-23CF-44E3-9099-C40C66FF867C}">
                  <a14:compatExt spid="_x0000_s14650"/>
                </a:ext>
                <a:ext uri="{FF2B5EF4-FFF2-40B4-BE49-F238E27FC236}">
                  <a16:creationId xmlns:a16="http://schemas.microsoft.com/office/drawing/2014/main" id="{00000000-0008-0000-0100-00003A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7</xdr:col>
          <xdr:colOff>0</xdr:colOff>
          <xdr:row>33</xdr:row>
          <xdr:rowOff>165100</xdr:rowOff>
        </xdr:to>
        <xdr:sp macro="" textlink="">
          <xdr:nvSpPr>
            <xdr:cNvPr id="14649" name="Button 3385" hidden="1">
              <a:extLst>
                <a:ext uri="{63B3BB69-23CF-44E3-9099-C40C66FF867C}">
                  <a14:compatExt spid="_x0000_s14649"/>
                </a:ext>
                <a:ext uri="{FF2B5EF4-FFF2-40B4-BE49-F238E27FC236}">
                  <a16:creationId xmlns:a16="http://schemas.microsoft.com/office/drawing/2014/main" id="{00000000-0008-0000-0100-000039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7</xdr:col>
          <xdr:colOff>0</xdr:colOff>
          <xdr:row>34</xdr:row>
          <xdr:rowOff>165100</xdr:rowOff>
        </xdr:to>
        <xdr:sp macro="" textlink="">
          <xdr:nvSpPr>
            <xdr:cNvPr id="14648" name="Button 3384" hidden="1">
              <a:extLst>
                <a:ext uri="{63B3BB69-23CF-44E3-9099-C40C66FF867C}">
                  <a14:compatExt spid="_x0000_s14648"/>
                </a:ext>
                <a:ext uri="{FF2B5EF4-FFF2-40B4-BE49-F238E27FC236}">
                  <a16:creationId xmlns:a16="http://schemas.microsoft.com/office/drawing/2014/main" id="{00000000-0008-0000-0100-000038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7</xdr:col>
          <xdr:colOff>0</xdr:colOff>
          <xdr:row>35</xdr:row>
          <xdr:rowOff>165100</xdr:rowOff>
        </xdr:to>
        <xdr:sp macro="" textlink="">
          <xdr:nvSpPr>
            <xdr:cNvPr id="14647" name="Button 3383" hidden="1">
              <a:extLst>
                <a:ext uri="{63B3BB69-23CF-44E3-9099-C40C66FF867C}">
                  <a14:compatExt spid="_x0000_s14647"/>
                </a:ext>
                <a:ext uri="{FF2B5EF4-FFF2-40B4-BE49-F238E27FC236}">
                  <a16:creationId xmlns:a16="http://schemas.microsoft.com/office/drawing/2014/main" id="{00000000-0008-0000-0100-000037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36</xdr:row>
          <xdr:rowOff>165100</xdr:rowOff>
        </xdr:to>
        <xdr:sp macro="" textlink="">
          <xdr:nvSpPr>
            <xdr:cNvPr id="14646" name="Button 3382" hidden="1">
              <a:extLst>
                <a:ext uri="{63B3BB69-23CF-44E3-9099-C40C66FF867C}">
                  <a14:compatExt spid="_x0000_s14646"/>
                </a:ext>
                <a:ext uri="{FF2B5EF4-FFF2-40B4-BE49-F238E27FC236}">
                  <a16:creationId xmlns:a16="http://schemas.microsoft.com/office/drawing/2014/main" id="{00000000-0008-0000-0100-000036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7</xdr:col>
          <xdr:colOff>0</xdr:colOff>
          <xdr:row>37</xdr:row>
          <xdr:rowOff>165100</xdr:rowOff>
        </xdr:to>
        <xdr:sp macro="" textlink="">
          <xdr:nvSpPr>
            <xdr:cNvPr id="14645" name="Button 3381" hidden="1">
              <a:extLst>
                <a:ext uri="{63B3BB69-23CF-44E3-9099-C40C66FF867C}">
                  <a14:compatExt spid="_x0000_s14645"/>
                </a:ext>
                <a:ext uri="{FF2B5EF4-FFF2-40B4-BE49-F238E27FC236}">
                  <a16:creationId xmlns:a16="http://schemas.microsoft.com/office/drawing/2014/main" id="{00000000-0008-0000-0100-000035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7</xdr:col>
          <xdr:colOff>0</xdr:colOff>
          <xdr:row>38</xdr:row>
          <xdr:rowOff>165100</xdr:rowOff>
        </xdr:to>
        <xdr:sp macro="" textlink="">
          <xdr:nvSpPr>
            <xdr:cNvPr id="14644" name="Button 3380" hidden="1">
              <a:extLst>
                <a:ext uri="{63B3BB69-23CF-44E3-9099-C40C66FF867C}">
                  <a14:compatExt spid="_x0000_s14644"/>
                </a:ext>
                <a:ext uri="{FF2B5EF4-FFF2-40B4-BE49-F238E27FC236}">
                  <a16:creationId xmlns:a16="http://schemas.microsoft.com/office/drawing/2014/main" id="{00000000-0008-0000-0100-000034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7</xdr:col>
          <xdr:colOff>0</xdr:colOff>
          <xdr:row>39</xdr:row>
          <xdr:rowOff>165100</xdr:rowOff>
        </xdr:to>
        <xdr:sp macro="" textlink="">
          <xdr:nvSpPr>
            <xdr:cNvPr id="14643" name="Button 3379" hidden="1">
              <a:extLst>
                <a:ext uri="{63B3BB69-23CF-44E3-9099-C40C66FF867C}">
                  <a14:compatExt spid="_x0000_s14643"/>
                </a:ext>
                <a:ext uri="{FF2B5EF4-FFF2-40B4-BE49-F238E27FC236}">
                  <a16:creationId xmlns:a16="http://schemas.microsoft.com/office/drawing/2014/main" id="{00000000-0008-0000-0100-000033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7</xdr:col>
          <xdr:colOff>0</xdr:colOff>
          <xdr:row>40</xdr:row>
          <xdr:rowOff>165100</xdr:rowOff>
        </xdr:to>
        <xdr:sp macro="" textlink="">
          <xdr:nvSpPr>
            <xdr:cNvPr id="14642" name="Button 3378" hidden="1">
              <a:extLst>
                <a:ext uri="{63B3BB69-23CF-44E3-9099-C40C66FF867C}">
                  <a14:compatExt spid="_x0000_s14642"/>
                </a:ext>
                <a:ext uri="{FF2B5EF4-FFF2-40B4-BE49-F238E27FC236}">
                  <a16:creationId xmlns:a16="http://schemas.microsoft.com/office/drawing/2014/main" id="{00000000-0008-0000-0100-000032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xdr:row>
          <xdr:rowOff>0</xdr:rowOff>
        </xdr:from>
        <xdr:to>
          <xdr:col>7</xdr:col>
          <xdr:colOff>0</xdr:colOff>
          <xdr:row>41</xdr:row>
          <xdr:rowOff>165100</xdr:rowOff>
        </xdr:to>
        <xdr:sp macro="" textlink="">
          <xdr:nvSpPr>
            <xdr:cNvPr id="14641" name="Button 3377" hidden="1">
              <a:extLst>
                <a:ext uri="{63B3BB69-23CF-44E3-9099-C40C66FF867C}">
                  <a14:compatExt spid="_x0000_s14641"/>
                </a:ext>
                <a:ext uri="{FF2B5EF4-FFF2-40B4-BE49-F238E27FC236}">
                  <a16:creationId xmlns:a16="http://schemas.microsoft.com/office/drawing/2014/main" id="{00000000-0008-0000-0100-000031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xdr:row>
          <xdr:rowOff>0</xdr:rowOff>
        </xdr:from>
        <xdr:to>
          <xdr:col>7</xdr:col>
          <xdr:colOff>0</xdr:colOff>
          <xdr:row>42</xdr:row>
          <xdr:rowOff>165100</xdr:rowOff>
        </xdr:to>
        <xdr:sp macro="" textlink="">
          <xdr:nvSpPr>
            <xdr:cNvPr id="14640" name="Button 3376" hidden="1">
              <a:extLst>
                <a:ext uri="{63B3BB69-23CF-44E3-9099-C40C66FF867C}">
                  <a14:compatExt spid="_x0000_s14640"/>
                </a:ext>
                <a:ext uri="{FF2B5EF4-FFF2-40B4-BE49-F238E27FC236}">
                  <a16:creationId xmlns:a16="http://schemas.microsoft.com/office/drawing/2014/main" id="{00000000-0008-0000-0100-000030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7</xdr:col>
          <xdr:colOff>0</xdr:colOff>
          <xdr:row>43</xdr:row>
          <xdr:rowOff>165100</xdr:rowOff>
        </xdr:to>
        <xdr:sp macro="" textlink="">
          <xdr:nvSpPr>
            <xdr:cNvPr id="14639" name="Button 3375" hidden="1">
              <a:extLst>
                <a:ext uri="{63B3BB69-23CF-44E3-9099-C40C66FF867C}">
                  <a14:compatExt spid="_x0000_s14639"/>
                </a:ext>
                <a:ext uri="{FF2B5EF4-FFF2-40B4-BE49-F238E27FC236}">
                  <a16:creationId xmlns:a16="http://schemas.microsoft.com/office/drawing/2014/main" id="{00000000-0008-0000-0100-00002F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7</xdr:col>
          <xdr:colOff>0</xdr:colOff>
          <xdr:row>44</xdr:row>
          <xdr:rowOff>165100</xdr:rowOff>
        </xdr:to>
        <xdr:sp macro="" textlink="">
          <xdr:nvSpPr>
            <xdr:cNvPr id="14638" name="Button 3374" hidden="1">
              <a:extLst>
                <a:ext uri="{63B3BB69-23CF-44E3-9099-C40C66FF867C}">
                  <a14:compatExt spid="_x0000_s14638"/>
                </a:ext>
                <a:ext uri="{FF2B5EF4-FFF2-40B4-BE49-F238E27FC236}">
                  <a16:creationId xmlns:a16="http://schemas.microsoft.com/office/drawing/2014/main" id="{00000000-0008-0000-0100-00002E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7</xdr:col>
          <xdr:colOff>0</xdr:colOff>
          <xdr:row>45</xdr:row>
          <xdr:rowOff>165100</xdr:rowOff>
        </xdr:to>
        <xdr:sp macro="" textlink="">
          <xdr:nvSpPr>
            <xdr:cNvPr id="14637" name="Button 3373" hidden="1">
              <a:extLst>
                <a:ext uri="{63B3BB69-23CF-44E3-9099-C40C66FF867C}">
                  <a14:compatExt spid="_x0000_s14637"/>
                </a:ext>
                <a:ext uri="{FF2B5EF4-FFF2-40B4-BE49-F238E27FC236}">
                  <a16:creationId xmlns:a16="http://schemas.microsoft.com/office/drawing/2014/main" id="{00000000-0008-0000-0100-00002D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7</xdr:col>
          <xdr:colOff>0</xdr:colOff>
          <xdr:row>46</xdr:row>
          <xdr:rowOff>165100</xdr:rowOff>
        </xdr:to>
        <xdr:sp macro="" textlink="">
          <xdr:nvSpPr>
            <xdr:cNvPr id="14636" name="Button 3372" hidden="1">
              <a:extLst>
                <a:ext uri="{63B3BB69-23CF-44E3-9099-C40C66FF867C}">
                  <a14:compatExt spid="_x0000_s14636"/>
                </a:ext>
                <a:ext uri="{FF2B5EF4-FFF2-40B4-BE49-F238E27FC236}">
                  <a16:creationId xmlns:a16="http://schemas.microsoft.com/office/drawing/2014/main" id="{00000000-0008-0000-0100-00002C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47</xdr:row>
          <xdr:rowOff>165100</xdr:rowOff>
        </xdr:to>
        <xdr:sp macro="" textlink="">
          <xdr:nvSpPr>
            <xdr:cNvPr id="14635" name="Button 3371" hidden="1">
              <a:extLst>
                <a:ext uri="{63B3BB69-23CF-44E3-9099-C40C66FF867C}">
                  <a14:compatExt spid="_x0000_s14635"/>
                </a:ext>
                <a:ext uri="{FF2B5EF4-FFF2-40B4-BE49-F238E27FC236}">
                  <a16:creationId xmlns:a16="http://schemas.microsoft.com/office/drawing/2014/main" id="{00000000-0008-0000-0100-00002B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7</xdr:col>
          <xdr:colOff>0</xdr:colOff>
          <xdr:row>48</xdr:row>
          <xdr:rowOff>165100</xdr:rowOff>
        </xdr:to>
        <xdr:sp macro="" textlink="">
          <xdr:nvSpPr>
            <xdr:cNvPr id="14634" name="Button 3370" hidden="1">
              <a:extLst>
                <a:ext uri="{63B3BB69-23CF-44E3-9099-C40C66FF867C}">
                  <a14:compatExt spid="_x0000_s14634"/>
                </a:ext>
                <a:ext uri="{FF2B5EF4-FFF2-40B4-BE49-F238E27FC236}">
                  <a16:creationId xmlns:a16="http://schemas.microsoft.com/office/drawing/2014/main" id="{00000000-0008-0000-0100-00002A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7</xdr:col>
          <xdr:colOff>0</xdr:colOff>
          <xdr:row>49</xdr:row>
          <xdr:rowOff>165100</xdr:rowOff>
        </xdr:to>
        <xdr:sp macro="" textlink="">
          <xdr:nvSpPr>
            <xdr:cNvPr id="14633" name="Button 3369" hidden="1">
              <a:extLst>
                <a:ext uri="{63B3BB69-23CF-44E3-9099-C40C66FF867C}">
                  <a14:compatExt spid="_x0000_s14633"/>
                </a:ext>
                <a:ext uri="{FF2B5EF4-FFF2-40B4-BE49-F238E27FC236}">
                  <a16:creationId xmlns:a16="http://schemas.microsoft.com/office/drawing/2014/main" id="{00000000-0008-0000-0100-000029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7</xdr:col>
          <xdr:colOff>0</xdr:colOff>
          <xdr:row>50</xdr:row>
          <xdr:rowOff>165100</xdr:rowOff>
        </xdr:to>
        <xdr:sp macro="" textlink="">
          <xdr:nvSpPr>
            <xdr:cNvPr id="14632" name="Button 3368" hidden="1">
              <a:extLst>
                <a:ext uri="{63B3BB69-23CF-44E3-9099-C40C66FF867C}">
                  <a14:compatExt spid="_x0000_s14632"/>
                </a:ext>
                <a:ext uri="{FF2B5EF4-FFF2-40B4-BE49-F238E27FC236}">
                  <a16:creationId xmlns:a16="http://schemas.microsoft.com/office/drawing/2014/main" id="{00000000-0008-0000-0100-000028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7</xdr:col>
          <xdr:colOff>0</xdr:colOff>
          <xdr:row>51</xdr:row>
          <xdr:rowOff>165100</xdr:rowOff>
        </xdr:to>
        <xdr:sp macro="" textlink="">
          <xdr:nvSpPr>
            <xdr:cNvPr id="14631" name="Button 3367" hidden="1">
              <a:extLst>
                <a:ext uri="{63B3BB69-23CF-44E3-9099-C40C66FF867C}">
                  <a14:compatExt spid="_x0000_s14631"/>
                </a:ext>
                <a:ext uri="{FF2B5EF4-FFF2-40B4-BE49-F238E27FC236}">
                  <a16:creationId xmlns:a16="http://schemas.microsoft.com/office/drawing/2014/main" id="{00000000-0008-0000-0100-000027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7</xdr:col>
          <xdr:colOff>0</xdr:colOff>
          <xdr:row>52</xdr:row>
          <xdr:rowOff>165100</xdr:rowOff>
        </xdr:to>
        <xdr:sp macro="" textlink="">
          <xdr:nvSpPr>
            <xdr:cNvPr id="14630" name="Button 3366" hidden="1">
              <a:extLst>
                <a:ext uri="{63B3BB69-23CF-44E3-9099-C40C66FF867C}">
                  <a14:compatExt spid="_x0000_s14630"/>
                </a:ext>
                <a:ext uri="{FF2B5EF4-FFF2-40B4-BE49-F238E27FC236}">
                  <a16:creationId xmlns:a16="http://schemas.microsoft.com/office/drawing/2014/main" id="{00000000-0008-0000-0100-000026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7</xdr:col>
          <xdr:colOff>0</xdr:colOff>
          <xdr:row>53</xdr:row>
          <xdr:rowOff>165100</xdr:rowOff>
        </xdr:to>
        <xdr:sp macro="" textlink="">
          <xdr:nvSpPr>
            <xdr:cNvPr id="14629" name="Button 3365" hidden="1">
              <a:extLst>
                <a:ext uri="{63B3BB69-23CF-44E3-9099-C40C66FF867C}">
                  <a14:compatExt spid="_x0000_s14629"/>
                </a:ext>
                <a:ext uri="{FF2B5EF4-FFF2-40B4-BE49-F238E27FC236}">
                  <a16:creationId xmlns:a16="http://schemas.microsoft.com/office/drawing/2014/main" id="{00000000-0008-0000-0100-000025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7</xdr:col>
          <xdr:colOff>0</xdr:colOff>
          <xdr:row>54</xdr:row>
          <xdr:rowOff>165100</xdr:rowOff>
        </xdr:to>
        <xdr:sp macro="" textlink="">
          <xdr:nvSpPr>
            <xdr:cNvPr id="14628" name="Button 3364" hidden="1">
              <a:extLst>
                <a:ext uri="{63B3BB69-23CF-44E3-9099-C40C66FF867C}">
                  <a14:compatExt spid="_x0000_s14628"/>
                </a:ext>
                <a:ext uri="{FF2B5EF4-FFF2-40B4-BE49-F238E27FC236}">
                  <a16:creationId xmlns:a16="http://schemas.microsoft.com/office/drawing/2014/main" id="{00000000-0008-0000-0100-000024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7</xdr:col>
          <xdr:colOff>0</xdr:colOff>
          <xdr:row>55</xdr:row>
          <xdr:rowOff>165100</xdr:rowOff>
        </xdr:to>
        <xdr:sp macro="" textlink="">
          <xdr:nvSpPr>
            <xdr:cNvPr id="14627" name="Button 3363" hidden="1">
              <a:extLst>
                <a:ext uri="{63B3BB69-23CF-44E3-9099-C40C66FF867C}">
                  <a14:compatExt spid="_x0000_s14627"/>
                </a:ext>
                <a:ext uri="{FF2B5EF4-FFF2-40B4-BE49-F238E27FC236}">
                  <a16:creationId xmlns:a16="http://schemas.microsoft.com/office/drawing/2014/main" id="{00000000-0008-0000-0100-000023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7</xdr:col>
          <xdr:colOff>0</xdr:colOff>
          <xdr:row>56</xdr:row>
          <xdr:rowOff>165100</xdr:rowOff>
        </xdr:to>
        <xdr:sp macro="" textlink="">
          <xdr:nvSpPr>
            <xdr:cNvPr id="14626" name="Button 3362" hidden="1">
              <a:extLst>
                <a:ext uri="{63B3BB69-23CF-44E3-9099-C40C66FF867C}">
                  <a14:compatExt spid="_x0000_s14626"/>
                </a:ext>
                <a:ext uri="{FF2B5EF4-FFF2-40B4-BE49-F238E27FC236}">
                  <a16:creationId xmlns:a16="http://schemas.microsoft.com/office/drawing/2014/main" id="{00000000-0008-0000-0100-000022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7</xdr:col>
          <xdr:colOff>0</xdr:colOff>
          <xdr:row>57</xdr:row>
          <xdr:rowOff>165100</xdr:rowOff>
        </xdr:to>
        <xdr:sp macro="" textlink="">
          <xdr:nvSpPr>
            <xdr:cNvPr id="14625" name="Button 3361" hidden="1">
              <a:extLst>
                <a:ext uri="{63B3BB69-23CF-44E3-9099-C40C66FF867C}">
                  <a14:compatExt spid="_x0000_s14625"/>
                </a:ext>
                <a:ext uri="{FF2B5EF4-FFF2-40B4-BE49-F238E27FC236}">
                  <a16:creationId xmlns:a16="http://schemas.microsoft.com/office/drawing/2014/main" id="{00000000-0008-0000-0100-000021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58</xdr:row>
          <xdr:rowOff>165100</xdr:rowOff>
        </xdr:to>
        <xdr:sp macro="" textlink="">
          <xdr:nvSpPr>
            <xdr:cNvPr id="14624" name="Button 3360" hidden="1">
              <a:extLst>
                <a:ext uri="{63B3BB69-23CF-44E3-9099-C40C66FF867C}">
                  <a14:compatExt spid="_x0000_s14624"/>
                </a:ext>
                <a:ext uri="{FF2B5EF4-FFF2-40B4-BE49-F238E27FC236}">
                  <a16:creationId xmlns:a16="http://schemas.microsoft.com/office/drawing/2014/main" id="{00000000-0008-0000-0100-000020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7</xdr:col>
          <xdr:colOff>0</xdr:colOff>
          <xdr:row>59</xdr:row>
          <xdr:rowOff>165100</xdr:rowOff>
        </xdr:to>
        <xdr:sp macro="" textlink="">
          <xdr:nvSpPr>
            <xdr:cNvPr id="14623" name="Button 3359" hidden="1">
              <a:extLst>
                <a:ext uri="{63B3BB69-23CF-44E3-9099-C40C66FF867C}">
                  <a14:compatExt spid="_x0000_s14623"/>
                </a:ext>
                <a:ext uri="{FF2B5EF4-FFF2-40B4-BE49-F238E27FC236}">
                  <a16:creationId xmlns:a16="http://schemas.microsoft.com/office/drawing/2014/main" id="{00000000-0008-0000-0100-00001F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7</xdr:col>
          <xdr:colOff>0</xdr:colOff>
          <xdr:row>60</xdr:row>
          <xdr:rowOff>165100</xdr:rowOff>
        </xdr:to>
        <xdr:sp macro="" textlink="">
          <xdr:nvSpPr>
            <xdr:cNvPr id="14622" name="Button 3358" hidden="1">
              <a:extLst>
                <a:ext uri="{63B3BB69-23CF-44E3-9099-C40C66FF867C}">
                  <a14:compatExt spid="_x0000_s14622"/>
                </a:ext>
                <a:ext uri="{FF2B5EF4-FFF2-40B4-BE49-F238E27FC236}">
                  <a16:creationId xmlns:a16="http://schemas.microsoft.com/office/drawing/2014/main" id="{00000000-0008-0000-0100-00001E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7</xdr:col>
          <xdr:colOff>0</xdr:colOff>
          <xdr:row>61</xdr:row>
          <xdr:rowOff>165100</xdr:rowOff>
        </xdr:to>
        <xdr:sp macro="" textlink="">
          <xdr:nvSpPr>
            <xdr:cNvPr id="14621" name="Button 3357" hidden="1">
              <a:extLst>
                <a:ext uri="{63B3BB69-23CF-44E3-9099-C40C66FF867C}">
                  <a14:compatExt spid="_x0000_s14621"/>
                </a:ext>
                <a:ext uri="{FF2B5EF4-FFF2-40B4-BE49-F238E27FC236}">
                  <a16:creationId xmlns:a16="http://schemas.microsoft.com/office/drawing/2014/main" id="{00000000-0008-0000-0100-00001D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7</xdr:col>
          <xdr:colOff>0</xdr:colOff>
          <xdr:row>62</xdr:row>
          <xdr:rowOff>165100</xdr:rowOff>
        </xdr:to>
        <xdr:sp macro="" textlink="">
          <xdr:nvSpPr>
            <xdr:cNvPr id="14620" name="Button 3356" hidden="1">
              <a:extLst>
                <a:ext uri="{63B3BB69-23CF-44E3-9099-C40C66FF867C}">
                  <a14:compatExt spid="_x0000_s14620"/>
                </a:ext>
                <a:ext uri="{FF2B5EF4-FFF2-40B4-BE49-F238E27FC236}">
                  <a16:creationId xmlns:a16="http://schemas.microsoft.com/office/drawing/2014/main" id="{00000000-0008-0000-0100-00001C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7</xdr:col>
          <xdr:colOff>0</xdr:colOff>
          <xdr:row>63</xdr:row>
          <xdr:rowOff>165100</xdr:rowOff>
        </xdr:to>
        <xdr:sp macro="" textlink="">
          <xdr:nvSpPr>
            <xdr:cNvPr id="14619" name="Button 3355" hidden="1">
              <a:extLst>
                <a:ext uri="{63B3BB69-23CF-44E3-9099-C40C66FF867C}">
                  <a14:compatExt spid="_x0000_s14619"/>
                </a:ext>
                <a:ext uri="{FF2B5EF4-FFF2-40B4-BE49-F238E27FC236}">
                  <a16:creationId xmlns:a16="http://schemas.microsoft.com/office/drawing/2014/main" id="{00000000-0008-0000-0100-00001B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xdr:row>
          <xdr:rowOff>0</xdr:rowOff>
        </xdr:from>
        <xdr:to>
          <xdr:col>7</xdr:col>
          <xdr:colOff>0</xdr:colOff>
          <xdr:row>64</xdr:row>
          <xdr:rowOff>165100</xdr:rowOff>
        </xdr:to>
        <xdr:sp macro="" textlink="">
          <xdr:nvSpPr>
            <xdr:cNvPr id="14618" name="Button 3354" hidden="1">
              <a:extLst>
                <a:ext uri="{63B3BB69-23CF-44E3-9099-C40C66FF867C}">
                  <a14:compatExt spid="_x0000_s14618"/>
                </a:ext>
                <a:ext uri="{FF2B5EF4-FFF2-40B4-BE49-F238E27FC236}">
                  <a16:creationId xmlns:a16="http://schemas.microsoft.com/office/drawing/2014/main" id="{00000000-0008-0000-0100-00001A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7</xdr:col>
          <xdr:colOff>0</xdr:colOff>
          <xdr:row>65</xdr:row>
          <xdr:rowOff>165100</xdr:rowOff>
        </xdr:to>
        <xdr:sp macro="" textlink="">
          <xdr:nvSpPr>
            <xdr:cNvPr id="14617" name="Button 3353" hidden="1">
              <a:extLst>
                <a:ext uri="{63B3BB69-23CF-44E3-9099-C40C66FF867C}">
                  <a14:compatExt spid="_x0000_s14617"/>
                </a:ext>
                <a:ext uri="{FF2B5EF4-FFF2-40B4-BE49-F238E27FC236}">
                  <a16:creationId xmlns:a16="http://schemas.microsoft.com/office/drawing/2014/main" id="{00000000-0008-0000-0100-000019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7</xdr:col>
          <xdr:colOff>0</xdr:colOff>
          <xdr:row>66</xdr:row>
          <xdr:rowOff>165100</xdr:rowOff>
        </xdr:to>
        <xdr:sp macro="" textlink="">
          <xdr:nvSpPr>
            <xdr:cNvPr id="14616" name="Button 3352" hidden="1">
              <a:extLst>
                <a:ext uri="{63B3BB69-23CF-44E3-9099-C40C66FF867C}">
                  <a14:compatExt spid="_x0000_s14616"/>
                </a:ext>
                <a:ext uri="{FF2B5EF4-FFF2-40B4-BE49-F238E27FC236}">
                  <a16:creationId xmlns:a16="http://schemas.microsoft.com/office/drawing/2014/main" id="{00000000-0008-0000-0100-000018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7</xdr:col>
          <xdr:colOff>0</xdr:colOff>
          <xdr:row>67</xdr:row>
          <xdr:rowOff>165100</xdr:rowOff>
        </xdr:to>
        <xdr:sp macro="" textlink="">
          <xdr:nvSpPr>
            <xdr:cNvPr id="14615" name="Button 3351" hidden="1">
              <a:extLst>
                <a:ext uri="{63B3BB69-23CF-44E3-9099-C40C66FF867C}">
                  <a14:compatExt spid="_x0000_s14615"/>
                </a:ext>
                <a:ext uri="{FF2B5EF4-FFF2-40B4-BE49-F238E27FC236}">
                  <a16:creationId xmlns:a16="http://schemas.microsoft.com/office/drawing/2014/main" id="{00000000-0008-0000-0100-000017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xdr:row>
          <xdr:rowOff>0</xdr:rowOff>
        </xdr:from>
        <xdr:to>
          <xdr:col>7</xdr:col>
          <xdr:colOff>0</xdr:colOff>
          <xdr:row>68</xdr:row>
          <xdr:rowOff>165100</xdr:rowOff>
        </xdr:to>
        <xdr:sp macro="" textlink="">
          <xdr:nvSpPr>
            <xdr:cNvPr id="14614" name="Button 3350" hidden="1">
              <a:extLst>
                <a:ext uri="{63B3BB69-23CF-44E3-9099-C40C66FF867C}">
                  <a14:compatExt spid="_x0000_s14614"/>
                </a:ext>
                <a:ext uri="{FF2B5EF4-FFF2-40B4-BE49-F238E27FC236}">
                  <a16:creationId xmlns:a16="http://schemas.microsoft.com/office/drawing/2014/main" id="{00000000-0008-0000-0100-000016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7</xdr:col>
          <xdr:colOff>0</xdr:colOff>
          <xdr:row>69</xdr:row>
          <xdr:rowOff>165100</xdr:rowOff>
        </xdr:to>
        <xdr:sp macro="" textlink="">
          <xdr:nvSpPr>
            <xdr:cNvPr id="14613" name="Button 3349" hidden="1">
              <a:extLst>
                <a:ext uri="{63B3BB69-23CF-44E3-9099-C40C66FF867C}">
                  <a14:compatExt spid="_x0000_s14613"/>
                </a:ext>
                <a:ext uri="{FF2B5EF4-FFF2-40B4-BE49-F238E27FC236}">
                  <a16:creationId xmlns:a16="http://schemas.microsoft.com/office/drawing/2014/main" id="{00000000-0008-0000-0100-000015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7</xdr:col>
          <xdr:colOff>0</xdr:colOff>
          <xdr:row>70</xdr:row>
          <xdr:rowOff>165100</xdr:rowOff>
        </xdr:to>
        <xdr:sp macro="" textlink="">
          <xdr:nvSpPr>
            <xdr:cNvPr id="14612" name="Button 3348" hidden="1">
              <a:extLst>
                <a:ext uri="{63B3BB69-23CF-44E3-9099-C40C66FF867C}">
                  <a14:compatExt spid="_x0000_s14612"/>
                </a:ext>
                <a:ext uri="{FF2B5EF4-FFF2-40B4-BE49-F238E27FC236}">
                  <a16:creationId xmlns:a16="http://schemas.microsoft.com/office/drawing/2014/main" id="{00000000-0008-0000-0100-000014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xdr:row>
          <xdr:rowOff>0</xdr:rowOff>
        </xdr:from>
        <xdr:to>
          <xdr:col>7</xdr:col>
          <xdr:colOff>0</xdr:colOff>
          <xdr:row>71</xdr:row>
          <xdr:rowOff>165100</xdr:rowOff>
        </xdr:to>
        <xdr:sp macro="" textlink="">
          <xdr:nvSpPr>
            <xdr:cNvPr id="14611" name="Button 3347" hidden="1">
              <a:extLst>
                <a:ext uri="{63B3BB69-23CF-44E3-9099-C40C66FF867C}">
                  <a14:compatExt spid="_x0000_s14611"/>
                </a:ext>
                <a:ext uri="{FF2B5EF4-FFF2-40B4-BE49-F238E27FC236}">
                  <a16:creationId xmlns:a16="http://schemas.microsoft.com/office/drawing/2014/main" id="{00000000-0008-0000-0100-000013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xdr:row>
          <xdr:rowOff>0</xdr:rowOff>
        </xdr:from>
        <xdr:to>
          <xdr:col>7</xdr:col>
          <xdr:colOff>0</xdr:colOff>
          <xdr:row>72</xdr:row>
          <xdr:rowOff>165100</xdr:rowOff>
        </xdr:to>
        <xdr:sp macro="" textlink="">
          <xdr:nvSpPr>
            <xdr:cNvPr id="14610" name="Button 3346" hidden="1">
              <a:extLst>
                <a:ext uri="{63B3BB69-23CF-44E3-9099-C40C66FF867C}">
                  <a14:compatExt spid="_x0000_s14610"/>
                </a:ext>
                <a:ext uri="{FF2B5EF4-FFF2-40B4-BE49-F238E27FC236}">
                  <a16:creationId xmlns:a16="http://schemas.microsoft.com/office/drawing/2014/main" id="{00000000-0008-0000-0100-000012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xdr:row>
          <xdr:rowOff>0</xdr:rowOff>
        </xdr:from>
        <xdr:to>
          <xdr:col>7</xdr:col>
          <xdr:colOff>0</xdr:colOff>
          <xdr:row>73</xdr:row>
          <xdr:rowOff>165100</xdr:rowOff>
        </xdr:to>
        <xdr:sp macro="" textlink="">
          <xdr:nvSpPr>
            <xdr:cNvPr id="14609" name="Button 3345" hidden="1">
              <a:extLst>
                <a:ext uri="{63B3BB69-23CF-44E3-9099-C40C66FF867C}">
                  <a14:compatExt spid="_x0000_s14609"/>
                </a:ext>
                <a:ext uri="{FF2B5EF4-FFF2-40B4-BE49-F238E27FC236}">
                  <a16:creationId xmlns:a16="http://schemas.microsoft.com/office/drawing/2014/main" id="{00000000-0008-0000-0100-000011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7</xdr:col>
          <xdr:colOff>0</xdr:colOff>
          <xdr:row>74</xdr:row>
          <xdr:rowOff>165100</xdr:rowOff>
        </xdr:to>
        <xdr:sp macro="" textlink="">
          <xdr:nvSpPr>
            <xdr:cNvPr id="14608" name="Button 3344" hidden="1">
              <a:extLst>
                <a:ext uri="{63B3BB69-23CF-44E3-9099-C40C66FF867C}">
                  <a14:compatExt spid="_x0000_s14608"/>
                </a:ext>
                <a:ext uri="{FF2B5EF4-FFF2-40B4-BE49-F238E27FC236}">
                  <a16:creationId xmlns:a16="http://schemas.microsoft.com/office/drawing/2014/main" id="{00000000-0008-0000-0100-000010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xdr:row>
          <xdr:rowOff>0</xdr:rowOff>
        </xdr:from>
        <xdr:to>
          <xdr:col>7</xdr:col>
          <xdr:colOff>0</xdr:colOff>
          <xdr:row>75</xdr:row>
          <xdr:rowOff>165100</xdr:rowOff>
        </xdr:to>
        <xdr:sp macro="" textlink="">
          <xdr:nvSpPr>
            <xdr:cNvPr id="14607" name="Button 3343" hidden="1">
              <a:extLst>
                <a:ext uri="{63B3BB69-23CF-44E3-9099-C40C66FF867C}">
                  <a14:compatExt spid="_x0000_s14607"/>
                </a:ext>
                <a:ext uri="{FF2B5EF4-FFF2-40B4-BE49-F238E27FC236}">
                  <a16:creationId xmlns:a16="http://schemas.microsoft.com/office/drawing/2014/main" id="{00000000-0008-0000-0100-00000F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7</xdr:col>
          <xdr:colOff>0</xdr:colOff>
          <xdr:row>76</xdr:row>
          <xdr:rowOff>165100</xdr:rowOff>
        </xdr:to>
        <xdr:sp macro="" textlink="">
          <xdr:nvSpPr>
            <xdr:cNvPr id="14606" name="Button 3342" hidden="1">
              <a:extLst>
                <a:ext uri="{63B3BB69-23CF-44E3-9099-C40C66FF867C}">
                  <a14:compatExt spid="_x0000_s14606"/>
                </a:ext>
                <a:ext uri="{FF2B5EF4-FFF2-40B4-BE49-F238E27FC236}">
                  <a16:creationId xmlns:a16="http://schemas.microsoft.com/office/drawing/2014/main" id="{00000000-0008-0000-0100-00000E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7</xdr:col>
          <xdr:colOff>0</xdr:colOff>
          <xdr:row>77</xdr:row>
          <xdr:rowOff>165100</xdr:rowOff>
        </xdr:to>
        <xdr:sp macro="" textlink="">
          <xdr:nvSpPr>
            <xdr:cNvPr id="14605" name="Button 3341" hidden="1">
              <a:extLst>
                <a:ext uri="{63B3BB69-23CF-44E3-9099-C40C66FF867C}">
                  <a14:compatExt spid="_x0000_s14605"/>
                </a:ext>
                <a:ext uri="{FF2B5EF4-FFF2-40B4-BE49-F238E27FC236}">
                  <a16:creationId xmlns:a16="http://schemas.microsoft.com/office/drawing/2014/main" id="{00000000-0008-0000-0100-00000D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xdr:row>
          <xdr:rowOff>0</xdr:rowOff>
        </xdr:from>
        <xdr:to>
          <xdr:col>7</xdr:col>
          <xdr:colOff>0</xdr:colOff>
          <xdr:row>78</xdr:row>
          <xdr:rowOff>165100</xdr:rowOff>
        </xdr:to>
        <xdr:sp macro="" textlink="">
          <xdr:nvSpPr>
            <xdr:cNvPr id="14604" name="Button 3340" hidden="1">
              <a:extLst>
                <a:ext uri="{63B3BB69-23CF-44E3-9099-C40C66FF867C}">
                  <a14:compatExt spid="_x0000_s14604"/>
                </a:ext>
                <a:ext uri="{FF2B5EF4-FFF2-40B4-BE49-F238E27FC236}">
                  <a16:creationId xmlns:a16="http://schemas.microsoft.com/office/drawing/2014/main" id="{00000000-0008-0000-0100-00000C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xdr:row>
          <xdr:rowOff>0</xdr:rowOff>
        </xdr:from>
        <xdr:to>
          <xdr:col>7</xdr:col>
          <xdr:colOff>0</xdr:colOff>
          <xdr:row>79</xdr:row>
          <xdr:rowOff>165100</xdr:rowOff>
        </xdr:to>
        <xdr:sp macro="" textlink="">
          <xdr:nvSpPr>
            <xdr:cNvPr id="14603" name="Button 3339" hidden="1">
              <a:extLst>
                <a:ext uri="{63B3BB69-23CF-44E3-9099-C40C66FF867C}">
                  <a14:compatExt spid="_x0000_s14603"/>
                </a:ext>
                <a:ext uri="{FF2B5EF4-FFF2-40B4-BE49-F238E27FC236}">
                  <a16:creationId xmlns:a16="http://schemas.microsoft.com/office/drawing/2014/main" id="{00000000-0008-0000-0100-00000B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7</xdr:col>
          <xdr:colOff>0</xdr:colOff>
          <xdr:row>80</xdr:row>
          <xdr:rowOff>165100</xdr:rowOff>
        </xdr:to>
        <xdr:sp macro="" textlink="">
          <xdr:nvSpPr>
            <xdr:cNvPr id="14602" name="Button 3338" hidden="1">
              <a:extLst>
                <a:ext uri="{63B3BB69-23CF-44E3-9099-C40C66FF867C}">
                  <a14:compatExt spid="_x0000_s14602"/>
                </a:ext>
                <a:ext uri="{FF2B5EF4-FFF2-40B4-BE49-F238E27FC236}">
                  <a16:creationId xmlns:a16="http://schemas.microsoft.com/office/drawing/2014/main" id="{00000000-0008-0000-0100-00000A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7</xdr:col>
          <xdr:colOff>0</xdr:colOff>
          <xdr:row>81</xdr:row>
          <xdr:rowOff>165100</xdr:rowOff>
        </xdr:to>
        <xdr:sp macro="" textlink="">
          <xdr:nvSpPr>
            <xdr:cNvPr id="14601" name="Button 3337" hidden="1">
              <a:extLst>
                <a:ext uri="{63B3BB69-23CF-44E3-9099-C40C66FF867C}">
                  <a14:compatExt spid="_x0000_s14601"/>
                </a:ext>
                <a:ext uri="{FF2B5EF4-FFF2-40B4-BE49-F238E27FC236}">
                  <a16:creationId xmlns:a16="http://schemas.microsoft.com/office/drawing/2014/main" id="{00000000-0008-0000-0100-000009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7</xdr:col>
          <xdr:colOff>0</xdr:colOff>
          <xdr:row>82</xdr:row>
          <xdr:rowOff>165100</xdr:rowOff>
        </xdr:to>
        <xdr:sp macro="" textlink="">
          <xdr:nvSpPr>
            <xdr:cNvPr id="14600" name="Button 3336" hidden="1">
              <a:extLst>
                <a:ext uri="{63B3BB69-23CF-44E3-9099-C40C66FF867C}">
                  <a14:compatExt spid="_x0000_s14600"/>
                </a:ext>
                <a:ext uri="{FF2B5EF4-FFF2-40B4-BE49-F238E27FC236}">
                  <a16:creationId xmlns:a16="http://schemas.microsoft.com/office/drawing/2014/main" id="{00000000-0008-0000-0100-000008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7</xdr:col>
          <xdr:colOff>0</xdr:colOff>
          <xdr:row>83</xdr:row>
          <xdr:rowOff>165100</xdr:rowOff>
        </xdr:to>
        <xdr:sp macro="" textlink="">
          <xdr:nvSpPr>
            <xdr:cNvPr id="14599" name="Button 3335" hidden="1">
              <a:extLst>
                <a:ext uri="{63B3BB69-23CF-44E3-9099-C40C66FF867C}">
                  <a14:compatExt spid="_x0000_s14599"/>
                </a:ext>
                <a:ext uri="{FF2B5EF4-FFF2-40B4-BE49-F238E27FC236}">
                  <a16:creationId xmlns:a16="http://schemas.microsoft.com/office/drawing/2014/main" id="{00000000-0008-0000-0100-000007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7</xdr:col>
          <xdr:colOff>0</xdr:colOff>
          <xdr:row>84</xdr:row>
          <xdr:rowOff>165100</xdr:rowOff>
        </xdr:to>
        <xdr:sp macro="" textlink="">
          <xdr:nvSpPr>
            <xdr:cNvPr id="14598" name="Button 3334" hidden="1">
              <a:extLst>
                <a:ext uri="{63B3BB69-23CF-44E3-9099-C40C66FF867C}">
                  <a14:compatExt spid="_x0000_s14598"/>
                </a:ext>
                <a:ext uri="{FF2B5EF4-FFF2-40B4-BE49-F238E27FC236}">
                  <a16:creationId xmlns:a16="http://schemas.microsoft.com/office/drawing/2014/main" id="{00000000-0008-0000-0100-000006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7</xdr:col>
          <xdr:colOff>0</xdr:colOff>
          <xdr:row>85</xdr:row>
          <xdr:rowOff>165100</xdr:rowOff>
        </xdr:to>
        <xdr:sp macro="" textlink="">
          <xdr:nvSpPr>
            <xdr:cNvPr id="14597" name="Button 3333" hidden="1">
              <a:extLst>
                <a:ext uri="{63B3BB69-23CF-44E3-9099-C40C66FF867C}">
                  <a14:compatExt spid="_x0000_s14597"/>
                </a:ext>
                <a:ext uri="{FF2B5EF4-FFF2-40B4-BE49-F238E27FC236}">
                  <a16:creationId xmlns:a16="http://schemas.microsoft.com/office/drawing/2014/main" id="{00000000-0008-0000-0100-000005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7</xdr:col>
          <xdr:colOff>0</xdr:colOff>
          <xdr:row>86</xdr:row>
          <xdr:rowOff>165100</xdr:rowOff>
        </xdr:to>
        <xdr:sp macro="" textlink="">
          <xdr:nvSpPr>
            <xdr:cNvPr id="14596" name="Button 3332" hidden="1">
              <a:extLst>
                <a:ext uri="{63B3BB69-23CF-44E3-9099-C40C66FF867C}">
                  <a14:compatExt spid="_x0000_s14596"/>
                </a:ext>
                <a:ext uri="{FF2B5EF4-FFF2-40B4-BE49-F238E27FC236}">
                  <a16:creationId xmlns:a16="http://schemas.microsoft.com/office/drawing/2014/main" id="{00000000-0008-0000-0100-000004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7</xdr:col>
          <xdr:colOff>0</xdr:colOff>
          <xdr:row>87</xdr:row>
          <xdr:rowOff>165100</xdr:rowOff>
        </xdr:to>
        <xdr:sp macro="" textlink="">
          <xdr:nvSpPr>
            <xdr:cNvPr id="14595" name="Button 3331" hidden="1">
              <a:extLst>
                <a:ext uri="{63B3BB69-23CF-44E3-9099-C40C66FF867C}">
                  <a14:compatExt spid="_x0000_s14595"/>
                </a:ext>
                <a:ext uri="{FF2B5EF4-FFF2-40B4-BE49-F238E27FC236}">
                  <a16:creationId xmlns:a16="http://schemas.microsoft.com/office/drawing/2014/main" id="{00000000-0008-0000-0100-000003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7</xdr:col>
          <xdr:colOff>0</xdr:colOff>
          <xdr:row>88</xdr:row>
          <xdr:rowOff>165100</xdr:rowOff>
        </xdr:to>
        <xdr:sp macro="" textlink="">
          <xdr:nvSpPr>
            <xdr:cNvPr id="14594" name="Button 3330" hidden="1">
              <a:extLst>
                <a:ext uri="{63B3BB69-23CF-44E3-9099-C40C66FF867C}">
                  <a14:compatExt spid="_x0000_s14594"/>
                </a:ext>
                <a:ext uri="{FF2B5EF4-FFF2-40B4-BE49-F238E27FC236}">
                  <a16:creationId xmlns:a16="http://schemas.microsoft.com/office/drawing/2014/main" id="{00000000-0008-0000-0100-000002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7</xdr:col>
          <xdr:colOff>0</xdr:colOff>
          <xdr:row>89</xdr:row>
          <xdr:rowOff>165100</xdr:rowOff>
        </xdr:to>
        <xdr:sp macro="" textlink="">
          <xdr:nvSpPr>
            <xdr:cNvPr id="14593" name="Button 3329" hidden="1">
              <a:extLst>
                <a:ext uri="{63B3BB69-23CF-44E3-9099-C40C66FF867C}">
                  <a14:compatExt spid="_x0000_s14593"/>
                </a:ext>
                <a:ext uri="{FF2B5EF4-FFF2-40B4-BE49-F238E27FC236}">
                  <a16:creationId xmlns:a16="http://schemas.microsoft.com/office/drawing/2014/main" id="{00000000-0008-0000-0100-000001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7</xdr:col>
          <xdr:colOff>0</xdr:colOff>
          <xdr:row>90</xdr:row>
          <xdr:rowOff>165100</xdr:rowOff>
        </xdr:to>
        <xdr:sp macro="" textlink="">
          <xdr:nvSpPr>
            <xdr:cNvPr id="14592" name="Button 3328" hidden="1">
              <a:extLst>
                <a:ext uri="{63B3BB69-23CF-44E3-9099-C40C66FF867C}">
                  <a14:compatExt spid="_x0000_s14592"/>
                </a:ext>
                <a:ext uri="{FF2B5EF4-FFF2-40B4-BE49-F238E27FC236}">
                  <a16:creationId xmlns:a16="http://schemas.microsoft.com/office/drawing/2014/main" id="{00000000-0008-0000-0100-0000003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7</xdr:col>
          <xdr:colOff>0</xdr:colOff>
          <xdr:row>91</xdr:row>
          <xdr:rowOff>165100</xdr:rowOff>
        </xdr:to>
        <xdr:sp macro="" textlink="">
          <xdr:nvSpPr>
            <xdr:cNvPr id="14591" name="Button 3327" hidden="1">
              <a:extLst>
                <a:ext uri="{63B3BB69-23CF-44E3-9099-C40C66FF867C}">
                  <a14:compatExt spid="_x0000_s14591"/>
                </a:ext>
                <a:ext uri="{FF2B5EF4-FFF2-40B4-BE49-F238E27FC236}">
                  <a16:creationId xmlns:a16="http://schemas.microsoft.com/office/drawing/2014/main" id="{00000000-0008-0000-0100-0000FF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7</xdr:col>
          <xdr:colOff>0</xdr:colOff>
          <xdr:row>92</xdr:row>
          <xdr:rowOff>165100</xdr:rowOff>
        </xdr:to>
        <xdr:sp macro="" textlink="">
          <xdr:nvSpPr>
            <xdr:cNvPr id="14590" name="Button 3326" hidden="1">
              <a:extLst>
                <a:ext uri="{63B3BB69-23CF-44E3-9099-C40C66FF867C}">
                  <a14:compatExt spid="_x0000_s14590"/>
                </a:ext>
                <a:ext uri="{FF2B5EF4-FFF2-40B4-BE49-F238E27FC236}">
                  <a16:creationId xmlns:a16="http://schemas.microsoft.com/office/drawing/2014/main" id="{00000000-0008-0000-0100-0000FE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7</xdr:col>
          <xdr:colOff>0</xdr:colOff>
          <xdr:row>93</xdr:row>
          <xdr:rowOff>165100</xdr:rowOff>
        </xdr:to>
        <xdr:sp macro="" textlink="">
          <xdr:nvSpPr>
            <xdr:cNvPr id="14589" name="Button 3325" hidden="1">
              <a:extLst>
                <a:ext uri="{63B3BB69-23CF-44E3-9099-C40C66FF867C}">
                  <a14:compatExt spid="_x0000_s14589"/>
                </a:ext>
                <a:ext uri="{FF2B5EF4-FFF2-40B4-BE49-F238E27FC236}">
                  <a16:creationId xmlns:a16="http://schemas.microsoft.com/office/drawing/2014/main" id="{00000000-0008-0000-0100-0000FD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7</xdr:col>
          <xdr:colOff>0</xdr:colOff>
          <xdr:row>94</xdr:row>
          <xdr:rowOff>165100</xdr:rowOff>
        </xdr:to>
        <xdr:sp macro="" textlink="">
          <xdr:nvSpPr>
            <xdr:cNvPr id="14588" name="Button 3324" hidden="1">
              <a:extLst>
                <a:ext uri="{63B3BB69-23CF-44E3-9099-C40C66FF867C}">
                  <a14:compatExt spid="_x0000_s14588"/>
                </a:ext>
                <a:ext uri="{FF2B5EF4-FFF2-40B4-BE49-F238E27FC236}">
                  <a16:creationId xmlns:a16="http://schemas.microsoft.com/office/drawing/2014/main" id="{00000000-0008-0000-0100-0000FC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7</xdr:col>
          <xdr:colOff>0</xdr:colOff>
          <xdr:row>95</xdr:row>
          <xdr:rowOff>165100</xdr:rowOff>
        </xdr:to>
        <xdr:sp macro="" textlink="">
          <xdr:nvSpPr>
            <xdr:cNvPr id="14587" name="Button 3323" hidden="1">
              <a:extLst>
                <a:ext uri="{63B3BB69-23CF-44E3-9099-C40C66FF867C}">
                  <a14:compatExt spid="_x0000_s14587"/>
                </a:ext>
                <a:ext uri="{FF2B5EF4-FFF2-40B4-BE49-F238E27FC236}">
                  <a16:creationId xmlns:a16="http://schemas.microsoft.com/office/drawing/2014/main" id="{00000000-0008-0000-0100-0000FB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7</xdr:col>
          <xdr:colOff>0</xdr:colOff>
          <xdr:row>96</xdr:row>
          <xdr:rowOff>165100</xdr:rowOff>
        </xdr:to>
        <xdr:sp macro="" textlink="">
          <xdr:nvSpPr>
            <xdr:cNvPr id="14586" name="Button 3322" hidden="1">
              <a:extLst>
                <a:ext uri="{63B3BB69-23CF-44E3-9099-C40C66FF867C}">
                  <a14:compatExt spid="_x0000_s14586"/>
                </a:ext>
                <a:ext uri="{FF2B5EF4-FFF2-40B4-BE49-F238E27FC236}">
                  <a16:creationId xmlns:a16="http://schemas.microsoft.com/office/drawing/2014/main" id="{00000000-0008-0000-0100-0000FA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7</xdr:col>
          <xdr:colOff>0</xdr:colOff>
          <xdr:row>97</xdr:row>
          <xdr:rowOff>165100</xdr:rowOff>
        </xdr:to>
        <xdr:sp macro="" textlink="">
          <xdr:nvSpPr>
            <xdr:cNvPr id="14585" name="Button 3321" hidden="1">
              <a:extLst>
                <a:ext uri="{63B3BB69-23CF-44E3-9099-C40C66FF867C}">
                  <a14:compatExt spid="_x0000_s14585"/>
                </a:ext>
                <a:ext uri="{FF2B5EF4-FFF2-40B4-BE49-F238E27FC236}">
                  <a16:creationId xmlns:a16="http://schemas.microsoft.com/office/drawing/2014/main" id="{00000000-0008-0000-0100-0000F9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7</xdr:col>
          <xdr:colOff>0</xdr:colOff>
          <xdr:row>98</xdr:row>
          <xdr:rowOff>165100</xdr:rowOff>
        </xdr:to>
        <xdr:sp macro="" textlink="">
          <xdr:nvSpPr>
            <xdr:cNvPr id="14584" name="Button 3320" hidden="1">
              <a:extLst>
                <a:ext uri="{63B3BB69-23CF-44E3-9099-C40C66FF867C}">
                  <a14:compatExt spid="_x0000_s14584"/>
                </a:ext>
                <a:ext uri="{FF2B5EF4-FFF2-40B4-BE49-F238E27FC236}">
                  <a16:creationId xmlns:a16="http://schemas.microsoft.com/office/drawing/2014/main" id="{00000000-0008-0000-0100-0000F8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7</xdr:col>
          <xdr:colOff>0</xdr:colOff>
          <xdr:row>99</xdr:row>
          <xdr:rowOff>165100</xdr:rowOff>
        </xdr:to>
        <xdr:sp macro="" textlink="">
          <xdr:nvSpPr>
            <xdr:cNvPr id="14583" name="Button 3319" hidden="1">
              <a:extLst>
                <a:ext uri="{63B3BB69-23CF-44E3-9099-C40C66FF867C}">
                  <a14:compatExt spid="_x0000_s14583"/>
                </a:ext>
                <a:ext uri="{FF2B5EF4-FFF2-40B4-BE49-F238E27FC236}">
                  <a16:creationId xmlns:a16="http://schemas.microsoft.com/office/drawing/2014/main" id="{00000000-0008-0000-0100-0000F7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7</xdr:col>
          <xdr:colOff>0</xdr:colOff>
          <xdr:row>100</xdr:row>
          <xdr:rowOff>165100</xdr:rowOff>
        </xdr:to>
        <xdr:sp macro="" textlink="">
          <xdr:nvSpPr>
            <xdr:cNvPr id="14582" name="Button 3318" hidden="1">
              <a:extLst>
                <a:ext uri="{63B3BB69-23CF-44E3-9099-C40C66FF867C}">
                  <a14:compatExt spid="_x0000_s14582"/>
                </a:ext>
                <a:ext uri="{FF2B5EF4-FFF2-40B4-BE49-F238E27FC236}">
                  <a16:creationId xmlns:a16="http://schemas.microsoft.com/office/drawing/2014/main" id="{00000000-0008-0000-0100-0000F6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7</xdr:col>
          <xdr:colOff>0</xdr:colOff>
          <xdr:row>101</xdr:row>
          <xdr:rowOff>165100</xdr:rowOff>
        </xdr:to>
        <xdr:sp macro="" textlink="">
          <xdr:nvSpPr>
            <xdr:cNvPr id="14581" name="Button 3317" hidden="1">
              <a:extLst>
                <a:ext uri="{63B3BB69-23CF-44E3-9099-C40C66FF867C}">
                  <a14:compatExt spid="_x0000_s14581"/>
                </a:ext>
                <a:ext uri="{FF2B5EF4-FFF2-40B4-BE49-F238E27FC236}">
                  <a16:creationId xmlns:a16="http://schemas.microsoft.com/office/drawing/2014/main" id="{00000000-0008-0000-0100-0000F5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7</xdr:col>
          <xdr:colOff>0</xdr:colOff>
          <xdr:row>102</xdr:row>
          <xdr:rowOff>165100</xdr:rowOff>
        </xdr:to>
        <xdr:sp macro="" textlink="">
          <xdr:nvSpPr>
            <xdr:cNvPr id="14580" name="Button 3316" hidden="1">
              <a:extLst>
                <a:ext uri="{63B3BB69-23CF-44E3-9099-C40C66FF867C}">
                  <a14:compatExt spid="_x0000_s14580"/>
                </a:ext>
                <a:ext uri="{FF2B5EF4-FFF2-40B4-BE49-F238E27FC236}">
                  <a16:creationId xmlns:a16="http://schemas.microsoft.com/office/drawing/2014/main" id="{00000000-0008-0000-0100-0000F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7</xdr:col>
          <xdr:colOff>0</xdr:colOff>
          <xdr:row>103</xdr:row>
          <xdr:rowOff>165100</xdr:rowOff>
        </xdr:to>
        <xdr:sp macro="" textlink="">
          <xdr:nvSpPr>
            <xdr:cNvPr id="14579" name="Button 3315" hidden="1">
              <a:extLst>
                <a:ext uri="{63B3BB69-23CF-44E3-9099-C40C66FF867C}">
                  <a14:compatExt spid="_x0000_s14579"/>
                </a:ext>
                <a:ext uri="{FF2B5EF4-FFF2-40B4-BE49-F238E27FC236}">
                  <a16:creationId xmlns:a16="http://schemas.microsoft.com/office/drawing/2014/main" id="{00000000-0008-0000-0100-0000F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7</xdr:col>
          <xdr:colOff>0</xdr:colOff>
          <xdr:row>104</xdr:row>
          <xdr:rowOff>165100</xdr:rowOff>
        </xdr:to>
        <xdr:sp macro="" textlink="">
          <xdr:nvSpPr>
            <xdr:cNvPr id="14578" name="Button 3314" hidden="1">
              <a:extLst>
                <a:ext uri="{63B3BB69-23CF-44E3-9099-C40C66FF867C}">
                  <a14:compatExt spid="_x0000_s14578"/>
                </a:ext>
                <a:ext uri="{FF2B5EF4-FFF2-40B4-BE49-F238E27FC236}">
                  <a16:creationId xmlns:a16="http://schemas.microsoft.com/office/drawing/2014/main" id="{00000000-0008-0000-0100-0000F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7</xdr:col>
          <xdr:colOff>0</xdr:colOff>
          <xdr:row>105</xdr:row>
          <xdr:rowOff>165100</xdr:rowOff>
        </xdr:to>
        <xdr:sp macro="" textlink="">
          <xdr:nvSpPr>
            <xdr:cNvPr id="14577" name="Button 3313" hidden="1">
              <a:extLst>
                <a:ext uri="{63B3BB69-23CF-44E3-9099-C40C66FF867C}">
                  <a14:compatExt spid="_x0000_s14577"/>
                </a:ext>
                <a:ext uri="{FF2B5EF4-FFF2-40B4-BE49-F238E27FC236}">
                  <a16:creationId xmlns:a16="http://schemas.microsoft.com/office/drawing/2014/main" id="{00000000-0008-0000-0100-0000F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7</xdr:col>
          <xdr:colOff>0</xdr:colOff>
          <xdr:row>106</xdr:row>
          <xdr:rowOff>165100</xdr:rowOff>
        </xdr:to>
        <xdr:sp macro="" textlink="">
          <xdr:nvSpPr>
            <xdr:cNvPr id="14576" name="Button 3312" hidden="1">
              <a:extLst>
                <a:ext uri="{63B3BB69-23CF-44E3-9099-C40C66FF867C}">
                  <a14:compatExt spid="_x0000_s14576"/>
                </a:ext>
                <a:ext uri="{FF2B5EF4-FFF2-40B4-BE49-F238E27FC236}">
                  <a16:creationId xmlns:a16="http://schemas.microsoft.com/office/drawing/2014/main" id="{00000000-0008-0000-0100-0000F0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7</xdr:col>
          <xdr:colOff>0</xdr:colOff>
          <xdr:row>107</xdr:row>
          <xdr:rowOff>165100</xdr:rowOff>
        </xdr:to>
        <xdr:sp macro="" textlink="">
          <xdr:nvSpPr>
            <xdr:cNvPr id="14575" name="Button 3311" hidden="1">
              <a:extLst>
                <a:ext uri="{63B3BB69-23CF-44E3-9099-C40C66FF867C}">
                  <a14:compatExt spid="_x0000_s14575"/>
                </a:ext>
                <a:ext uri="{FF2B5EF4-FFF2-40B4-BE49-F238E27FC236}">
                  <a16:creationId xmlns:a16="http://schemas.microsoft.com/office/drawing/2014/main" id="{00000000-0008-0000-0100-0000EF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7</xdr:col>
          <xdr:colOff>0</xdr:colOff>
          <xdr:row>108</xdr:row>
          <xdr:rowOff>165100</xdr:rowOff>
        </xdr:to>
        <xdr:sp macro="" textlink="">
          <xdr:nvSpPr>
            <xdr:cNvPr id="14574" name="Button 3310" hidden="1">
              <a:extLst>
                <a:ext uri="{63B3BB69-23CF-44E3-9099-C40C66FF867C}">
                  <a14:compatExt spid="_x0000_s14574"/>
                </a:ext>
                <a:ext uri="{FF2B5EF4-FFF2-40B4-BE49-F238E27FC236}">
                  <a16:creationId xmlns:a16="http://schemas.microsoft.com/office/drawing/2014/main" id="{00000000-0008-0000-0100-0000EE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7</xdr:col>
          <xdr:colOff>0</xdr:colOff>
          <xdr:row>109</xdr:row>
          <xdr:rowOff>165100</xdr:rowOff>
        </xdr:to>
        <xdr:sp macro="" textlink="">
          <xdr:nvSpPr>
            <xdr:cNvPr id="14573" name="Button 3309" hidden="1">
              <a:extLst>
                <a:ext uri="{63B3BB69-23CF-44E3-9099-C40C66FF867C}">
                  <a14:compatExt spid="_x0000_s14573"/>
                </a:ext>
                <a:ext uri="{FF2B5EF4-FFF2-40B4-BE49-F238E27FC236}">
                  <a16:creationId xmlns:a16="http://schemas.microsoft.com/office/drawing/2014/main" id="{00000000-0008-0000-0100-0000ED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7</xdr:col>
          <xdr:colOff>0</xdr:colOff>
          <xdr:row>110</xdr:row>
          <xdr:rowOff>165100</xdr:rowOff>
        </xdr:to>
        <xdr:sp macro="" textlink="">
          <xdr:nvSpPr>
            <xdr:cNvPr id="14572" name="Button 3308" hidden="1">
              <a:extLst>
                <a:ext uri="{63B3BB69-23CF-44E3-9099-C40C66FF867C}">
                  <a14:compatExt spid="_x0000_s14572"/>
                </a:ext>
                <a:ext uri="{FF2B5EF4-FFF2-40B4-BE49-F238E27FC236}">
                  <a16:creationId xmlns:a16="http://schemas.microsoft.com/office/drawing/2014/main" id="{00000000-0008-0000-0100-0000EC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7</xdr:col>
          <xdr:colOff>0</xdr:colOff>
          <xdr:row>111</xdr:row>
          <xdr:rowOff>165100</xdr:rowOff>
        </xdr:to>
        <xdr:sp macro="" textlink="">
          <xdr:nvSpPr>
            <xdr:cNvPr id="14571" name="Button 3307" hidden="1">
              <a:extLst>
                <a:ext uri="{63B3BB69-23CF-44E3-9099-C40C66FF867C}">
                  <a14:compatExt spid="_x0000_s14571"/>
                </a:ext>
                <a:ext uri="{FF2B5EF4-FFF2-40B4-BE49-F238E27FC236}">
                  <a16:creationId xmlns:a16="http://schemas.microsoft.com/office/drawing/2014/main" id="{00000000-0008-0000-0100-0000EB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7</xdr:col>
          <xdr:colOff>0</xdr:colOff>
          <xdr:row>112</xdr:row>
          <xdr:rowOff>165100</xdr:rowOff>
        </xdr:to>
        <xdr:sp macro="" textlink="">
          <xdr:nvSpPr>
            <xdr:cNvPr id="14570" name="Button 3306" hidden="1">
              <a:extLst>
                <a:ext uri="{63B3BB69-23CF-44E3-9099-C40C66FF867C}">
                  <a14:compatExt spid="_x0000_s14570"/>
                </a:ext>
                <a:ext uri="{FF2B5EF4-FFF2-40B4-BE49-F238E27FC236}">
                  <a16:creationId xmlns:a16="http://schemas.microsoft.com/office/drawing/2014/main" id="{00000000-0008-0000-0100-0000EA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7</xdr:col>
          <xdr:colOff>0</xdr:colOff>
          <xdr:row>113</xdr:row>
          <xdr:rowOff>165100</xdr:rowOff>
        </xdr:to>
        <xdr:sp macro="" textlink="">
          <xdr:nvSpPr>
            <xdr:cNvPr id="14569" name="Button 3305" hidden="1">
              <a:extLst>
                <a:ext uri="{63B3BB69-23CF-44E3-9099-C40C66FF867C}">
                  <a14:compatExt spid="_x0000_s14569"/>
                </a:ext>
                <a:ext uri="{FF2B5EF4-FFF2-40B4-BE49-F238E27FC236}">
                  <a16:creationId xmlns:a16="http://schemas.microsoft.com/office/drawing/2014/main" id="{00000000-0008-0000-0100-0000E9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7</xdr:col>
          <xdr:colOff>0</xdr:colOff>
          <xdr:row>114</xdr:row>
          <xdr:rowOff>165100</xdr:rowOff>
        </xdr:to>
        <xdr:sp macro="" textlink="">
          <xdr:nvSpPr>
            <xdr:cNvPr id="14568" name="Button 3304" hidden="1">
              <a:extLst>
                <a:ext uri="{63B3BB69-23CF-44E3-9099-C40C66FF867C}">
                  <a14:compatExt spid="_x0000_s14568"/>
                </a:ext>
                <a:ext uri="{FF2B5EF4-FFF2-40B4-BE49-F238E27FC236}">
                  <a16:creationId xmlns:a16="http://schemas.microsoft.com/office/drawing/2014/main" id="{00000000-0008-0000-0100-0000E8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7</xdr:col>
          <xdr:colOff>0</xdr:colOff>
          <xdr:row>115</xdr:row>
          <xdr:rowOff>165100</xdr:rowOff>
        </xdr:to>
        <xdr:sp macro="" textlink="">
          <xdr:nvSpPr>
            <xdr:cNvPr id="14567" name="Button 3303" hidden="1">
              <a:extLst>
                <a:ext uri="{63B3BB69-23CF-44E3-9099-C40C66FF867C}">
                  <a14:compatExt spid="_x0000_s14567"/>
                </a:ext>
                <a:ext uri="{FF2B5EF4-FFF2-40B4-BE49-F238E27FC236}">
                  <a16:creationId xmlns:a16="http://schemas.microsoft.com/office/drawing/2014/main" id="{00000000-0008-0000-0100-0000E7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7</xdr:col>
          <xdr:colOff>0</xdr:colOff>
          <xdr:row>116</xdr:row>
          <xdr:rowOff>165100</xdr:rowOff>
        </xdr:to>
        <xdr:sp macro="" textlink="">
          <xdr:nvSpPr>
            <xdr:cNvPr id="14566" name="Button 3302" hidden="1">
              <a:extLst>
                <a:ext uri="{63B3BB69-23CF-44E3-9099-C40C66FF867C}">
                  <a14:compatExt spid="_x0000_s14566"/>
                </a:ext>
                <a:ext uri="{FF2B5EF4-FFF2-40B4-BE49-F238E27FC236}">
                  <a16:creationId xmlns:a16="http://schemas.microsoft.com/office/drawing/2014/main" id="{00000000-0008-0000-0100-0000E6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7</xdr:col>
          <xdr:colOff>0</xdr:colOff>
          <xdr:row>117</xdr:row>
          <xdr:rowOff>165100</xdr:rowOff>
        </xdr:to>
        <xdr:sp macro="" textlink="">
          <xdr:nvSpPr>
            <xdr:cNvPr id="14565" name="Button 3301" hidden="1">
              <a:extLst>
                <a:ext uri="{63B3BB69-23CF-44E3-9099-C40C66FF867C}">
                  <a14:compatExt spid="_x0000_s14565"/>
                </a:ext>
                <a:ext uri="{FF2B5EF4-FFF2-40B4-BE49-F238E27FC236}">
                  <a16:creationId xmlns:a16="http://schemas.microsoft.com/office/drawing/2014/main" id="{00000000-0008-0000-0100-0000E5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7</xdr:col>
          <xdr:colOff>0</xdr:colOff>
          <xdr:row>118</xdr:row>
          <xdr:rowOff>165100</xdr:rowOff>
        </xdr:to>
        <xdr:sp macro="" textlink="">
          <xdr:nvSpPr>
            <xdr:cNvPr id="14564" name="Button 3300" hidden="1">
              <a:extLst>
                <a:ext uri="{63B3BB69-23CF-44E3-9099-C40C66FF867C}">
                  <a14:compatExt spid="_x0000_s14564"/>
                </a:ext>
                <a:ext uri="{FF2B5EF4-FFF2-40B4-BE49-F238E27FC236}">
                  <a16:creationId xmlns:a16="http://schemas.microsoft.com/office/drawing/2014/main" id="{00000000-0008-0000-0100-0000E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7</xdr:col>
          <xdr:colOff>0</xdr:colOff>
          <xdr:row>119</xdr:row>
          <xdr:rowOff>165100</xdr:rowOff>
        </xdr:to>
        <xdr:sp macro="" textlink="">
          <xdr:nvSpPr>
            <xdr:cNvPr id="14563" name="Button 3299" hidden="1">
              <a:extLst>
                <a:ext uri="{63B3BB69-23CF-44E3-9099-C40C66FF867C}">
                  <a14:compatExt spid="_x0000_s14563"/>
                </a:ext>
                <a:ext uri="{FF2B5EF4-FFF2-40B4-BE49-F238E27FC236}">
                  <a16:creationId xmlns:a16="http://schemas.microsoft.com/office/drawing/2014/main" id="{00000000-0008-0000-0100-0000E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7</xdr:col>
          <xdr:colOff>0</xdr:colOff>
          <xdr:row>120</xdr:row>
          <xdr:rowOff>165100</xdr:rowOff>
        </xdr:to>
        <xdr:sp macro="" textlink="">
          <xdr:nvSpPr>
            <xdr:cNvPr id="14562" name="Button 3298" hidden="1">
              <a:extLst>
                <a:ext uri="{63B3BB69-23CF-44E3-9099-C40C66FF867C}">
                  <a14:compatExt spid="_x0000_s14562"/>
                </a:ext>
                <a:ext uri="{FF2B5EF4-FFF2-40B4-BE49-F238E27FC236}">
                  <a16:creationId xmlns:a16="http://schemas.microsoft.com/office/drawing/2014/main" id="{00000000-0008-0000-0100-0000E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7</xdr:col>
          <xdr:colOff>0</xdr:colOff>
          <xdr:row>121</xdr:row>
          <xdr:rowOff>165100</xdr:rowOff>
        </xdr:to>
        <xdr:sp macro="" textlink="">
          <xdr:nvSpPr>
            <xdr:cNvPr id="14561" name="Button 3297" hidden="1">
              <a:extLst>
                <a:ext uri="{63B3BB69-23CF-44E3-9099-C40C66FF867C}">
                  <a14:compatExt spid="_x0000_s14561"/>
                </a:ext>
                <a:ext uri="{FF2B5EF4-FFF2-40B4-BE49-F238E27FC236}">
                  <a16:creationId xmlns:a16="http://schemas.microsoft.com/office/drawing/2014/main" id="{00000000-0008-0000-0100-0000E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7</xdr:col>
          <xdr:colOff>0</xdr:colOff>
          <xdr:row>122</xdr:row>
          <xdr:rowOff>165100</xdr:rowOff>
        </xdr:to>
        <xdr:sp macro="" textlink="">
          <xdr:nvSpPr>
            <xdr:cNvPr id="14560" name="Button 3296" hidden="1">
              <a:extLst>
                <a:ext uri="{63B3BB69-23CF-44E3-9099-C40C66FF867C}">
                  <a14:compatExt spid="_x0000_s14560"/>
                </a:ext>
                <a:ext uri="{FF2B5EF4-FFF2-40B4-BE49-F238E27FC236}">
                  <a16:creationId xmlns:a16="http://schemas.microsoft.com/office/drawing/2014/main" id="{00000000-0008-0000-0100-0000E0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7</xdr:col>
          <xdr:colOff>0</xdr:colOff>
          <xdr:row>123</xdr:row>
          <xdr:rowOff>165100</xdr:rowOff>
        </xdr:to>
        <xdr:sp macro="" textlink="">
          <xdr:nvSpPr>
            <xdr:cNvPr id="14559" name="Button 3295" hidden="1">
              <a:extLst>
                <a:ext uri="{63B3BB69-23CF-44E3-9099-C40C66FF867C}">
                  <a14:compatExt spid="_x0000_s14559"/>
                </a:ext>
                <a:ext uri="{FF2B5EF4-FFF2-40B4-BE49-F238E27FC236}">
                  <a16:creationId xmlns:a16="http://schemas.microsoft.com/office/drawing/2014/main" id="{00000000-0008-0000-0100-0000DF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7</xdr:col>
          <xdr:colOff>0</xdr:colOff>
          <xdr:row>124</xdr:row>
          <xdr:rowOff>165100</xdr:rowOff>
        </xdr:to>
        <xdr:sp macro="" textlink="">
          <xdr:nvSpPr>
            <xdr:cNvPr id="14558" name="Button 3294" hidden="1">
              <a:extLst>
                <a:ext uri="{63B3BB69-23CF-44E3-9099-C40C66FF867C}">
                  <a14:compatExt spid="_x0000_s14558"/>
                </a:ext>
                <a:ext uri="{FF2B5EF4-FFF2-40B4-BE49-F238E27FC236}">
                  <a16:creationId xmlns:a16="http://schemas.microsoft.com/office/drawing/2014/main" id="{00000000-0008-0000-0100-0000DE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7</xdr:col>
          <xdr:colOff>0</xdr:colOff>
          <xdr:row>125</xdr:row>
          <xdr:rowOff>165100</xdr:rowOff>
        </xdr:to>
        <xdr:sp macro="" textlink="">
          <xdr:nvSpPr>
            <xdr:cNvPr id="14557" name="Button 3293" hidden="1">
              <a:extLst>
                <a:ext uri="{63B3BB69-23CF-44E3-9099-C40C66FF867C}">
                  <a14:compatExt spid="_x0000_s14557"/>
                </a:ext>
                <a:ext uri="{FF2B5EF4-FFF2-40B4-BE49-F238E27FC236}">
                  <a16:creationId xmlns:a16="http://schemas.microsoft.com/office/drawing/2014/main" id="{00000000-0008-0000-0100-0000DD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7</xdr:col>
          <xdr:colOff>0</xdr:colOff>
          <xdr:row>126</xdr:row>
          <xdr:rowOff>165100</xdr:rowOff>
        </xdr:to>
        <xdr:sp macro="" textlink="">
          <xdr:nvSpPr>
            <xdr:cNvPr id="14556" name="Button 3292" hidden="1">
              <a:extLst>
                <a:ext uri="{63B3BB69-23CF-44E3-9099-C40C66FF867C}">
                  <a14:compatExt spid="_x0000_s14556"/>
                </a:ext>
                <a:ext uri="{FF2B5EF4-FFF2-40B4-BE49-F238E27FC236}">
                  <a16:creationId xmlns:a16="http://schemas.microsoft.com/office/drawing/2014/main" id="{00000000-0008-0000-0100-0000DC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7</xdr:col>
          <xdr:colOff>0</xdr:colOff>
          <xdr:row>127</xdr:row>
          <xdr:rowOff>165100</xdr:rowOff>
        </xdr:to>
        <xdr:sp macro="" textlink="">
          <xdr:nvSpPr>
            <xdr:cNvPr id="14555" name="Button 3291" hidden="1">
              <a:extLst>
                <a:ext uri="{63B3BB69-23CF-44E3-9099-C40C66FF867C}">
                  <a14:compatExt spid="_x0000_s14555"/>
                </a:ext>
                <a:ext uri="{FF2B5EF4-FFF2-40B4-BE49-F238E27FC236}">
                  <a16:creationId xmlns:a16="http://schemas.microsoft.com/office/drawing/2014/main" id="{00000000-0008-0000-0100-0000DB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7</xdr:col>
          <xdr:colOff>0</xdr:colOff>
          <xdr:row>128</xdr:row>
          <xdr:rowOff>165100</xdr:rowOff>
        </xdr:to>
        <xdr:sp macro="" textlink="">
          <xdr:nvSpPr>
            <xdr:cNvPr id="14554" name="Button 3290" hidden="1">
              <a:extLst>
                <a:ext uri="{63B3BB69-23CF-44E3-9099-C40C66FF867C}">
                  <a14:compatExt spid="_x0000_s14554"/>
                </a:ext>
                <a:ext uri="{FF2B5EF4-FFF2-40B4-BE49-F238E27FC236}">
                  <a16:creationId xmlns:a16="http://schemas.microsoft.com/office/drawing/2014/main" id="{00000000-0008-0000-0100-0000DA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7</xdr:col>
          <xdr:colOff>0</xdr:colOff>
          <xdr:row>129</xdr:row>
          <xdr:rowOff>165100</xdr:rowOff>
        </xdr:to>
        <xdr:sp macro="" textlink="">
          <xdr:nvSpPr>
            <xdr:cNvPr id="14553" name="Button 3289" hidden="1">
              <a:extLst>
                <a:ext uri="{63B3BB69-23CF-44E3-9099-C40C66FF867C}">
                  <a14:compatExt spid="_x0000_s14553"/>
                </a:ext>
                <a:ext uri="{FF2B5EF4-FFF2-40B4-BE49-F238E27FC236}">
                  <a16:creationId xmlns:a16="http://schemas.microsoft.com/office/drawing/2014/main" id="{00000000-0008-0000-0100-0000D9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7</xdr:col>
          <xdr:colOff>0</xdr:colOff>
          <xdr:row>130</xdr:row>
          <xdr:rowOff>165100</xdr:rowOff>
        </xdr:to>
        <xdr:sp macro="" textlink="">
          <xdr:nvSpPr>
            <xdr:cNvPr id="14552" name="Button 3288" hidden="1">
              <a:extLst>
                <a:ext uri="{63B3BB69-23CF-44E3-9099-C40C66FF867C}">
                  <a14:compatExt spid="_x0000_s14552"/>
                </a:ext>
                <a:ext uri="{FF2B5EF4-FFF2-40B4-BE49-F238E27FC236}">
                  <a16:creationId xmlns:a16="http://schemas.microsoft.com/office/drawing/2014/main" id="{00000000-0008-0000-0100-0000D8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7</xdr:col>
          <xdr:colOff>0</xdr:colOff>
          <xdr:row>131</xdr:row>
          <xdr:rowOff>165100</xdr:rowOff>
        </xdr:to>
        <xdr:sp macro="" textlink="">
          <xdr:nvSpPr>
            <xdr:cNvPr id="14551" name="Button 3287" hidden="1">
              <a:extLst>
                <a:ext uri="{63B3BB69-23CF-44E3-9099-C40C66FF867C}">
                  <a14:compatExt spid="_x0000_s14551"/>
                </a:ext>
                <a:ext uri="{FF2B5EF4-FFF2-40B4-BE49-F238E27FC236}">
                  <a16:creationId xmlns:a16="http://schemas.microsoft.com/office/drawing/2014/main" id="{00000000-0008-0000-0100-0000D7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7</xdr:col>
          <xdr:colOff>0</xdr:colOff>
          <xdr:row>132</xdr:row>
          <xdr:rowOff>165100</xdr:rowOff>
        </xdr:to>
        <xdr:sp macro="" textlink="">
          <xdr:nvSpPr>
            <xdr:cNvPr id="14550" name="Button 3286" hidden="1">
              <a:extLst>
                <a:ext uri="{63B3BB69-23CF-44E3-9099-C40C66FF867C}">
                  <a14:compatExt spid="_x0000_s14550"/>
                </a:ext>
                <a:ext uri="{FF2B5EF4-FFF2-40B4-BE49-F238E27FC236}">
                  <a16:creationId xmlns:a16="http://schemas.microsoft.com/office/drawing/2014/main" id="{00000000-0008-0000-0100-0000D6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7</xdr:col>
          <xdr:colOff>0</xdr:colOff>
          <xdr:row>133</xdr:row>
          <xdr:rowOff>165100</xdr:rowOff>
        </xdr:to>
        <xdr:sp macro="" textlink="">
          <xdr:nvSpPr>
            <xdr:cNvPr id="14549" name="Button 3285" hidden="1">
              <a:extLst>
                <a:ext uri="{63B3BB69-23CF-44E3-9099-C40C66FF867C}">
                  <a14:compatExt spid="_x0000_s14549"/>
                </a:ext>
                <a:ext uri="{FF2B5EF4-FFF2-40B4-BE49-F238E27FC236}">
                  <a16:creationId xmlns:a16="http://schemas.microsoft.com/office/drawing/2014/main" id="{00000000-0008-0000-0100-0000D5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xdr:row>
          <xdr:rowOff>0</xdr:rowOff>
        </xdr:from>
        <xdr:to>
          <xdr:col>7</xdr:col>
          <xdr:colOff>0</xdr:colOff>
          <xdr:row>134</xdr:row>
          <xdr:rowOff>165100</xdr:rowOff>
        </xdr:to>
        <xdr:sp macro="" textlink="">
          <xdr:nvSpPr>
            <xdr:cNvPr id="14548" name="Button 3284" hidden="1">
              <a:extLst>
                <a:ext uri="{63B3BB69-23CF-44E3-9099-C40C66FF867C}">
                  <a14:compatExt spid="_x0000_s14548"/>
                </a:ext>
                <a:ext uri="{FF2B5EF4-FFF2-40B4-BE49-F238E27FC236}">
                  <a16:creationId xmlns:a16="http://schemas.microsoft.com/office/drawing/2014/main" id="{00000000-0008-0000-0100-0000D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7</xdr:col>
          <xdr:colOff>0</xdr:colOff>
          <xdr:row>135</xdr:row>
          <xdr:rowOff>165100</xdr:rowOff>
        </xdr:to>
        <xdr:sp macro="" textlink="">
          <xdr:nvSpPr>
            <xdr:cNvPr id="14547" name="Button 3283" hidden="1">
              <a:extLst>
                <a:ext uri="{63B3BB69-23CF-44E3-9099-C40C66FF867C}">
                  <a14:compatExt spid="_x0000_s14547"/>
                </a:ext>
                <a:ext uri="{FF2B5EF4-FFF2-40B4-BE49-F238E27FC236}">
                  <a16:creationId xmlns:a16="http://schemas.microsoft.com/office/drawing/2014/main" id="{00000000-0008-0000-0100-0000D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7</xdr:col>
          <xdr:colOff>0</xdr:colOff>
          <xdr:row>136</xdr:row>
          <xdr:rowOff>165100</xdr:rowOff>
        </xdr:to>
        <xdr:sp macro="" textlink="">
          <xdr:nvSpPr>
            <xdr:cNvPr id="14546" name="Button 3282" hidden="1">
              <a:extLst>
                <a:ext uri="{63B3BB69-23CF-44E3-9099-C40C66FF867C}">
                  <a14:compatExt spid="_x0000_s14546"/>
                </a:ext>
                <a:ext uri="{FF2B5EF4-FFF2-40B4-BE49-F238E27FC236}">
                  <a16:creationId xmlns:a16="http://schemas.microsoft.com/office/drawing/2014/main" id="{00000000-0008-0000-0100-0000D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7</xdr:col>
          <xdr:colOff>0</xdr:colOff>
          <xdr:row>137</xdr:row>
          <xdr:rowOff>165100</xdr:rowOff>
        </xdr:to>
        <xdr:sp macro="" textlink="">
          <xdr:nvSpPr>
            <xdr:cNvPr id="14545" name="Button 3281" hidden="1">
              <a:extLst>
                <a:ext uri="{63B3BB69-23CF-44E3-9099-C40C66FF867C}">
                  <a14:compatExt spid="_x0000_s14545"/>
                </a:ext>
                <a:ext uri="{FF2B5EF4-FFF2-40B4-BE49-F238E27FC236}">
                  <a16:creationId xmlns:a16="http://schemas.microsoft.com/office/drawing/2014/main" id="{00000000-0008-0000-0100-0000D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7</xdr:col>
          <xdr:colOff>0</xdr:colOff>
          <xdr:row>138</xdr:row>
          <xdr:rowOff>165100</xdr:rowOff>
        </xdr:to>
        <xdr:sp macro="" textlink="">
          <xdr:nvSpPr>
            <xdr:cNvPr id="14544" name="Button 3280" hidden="1">
              <a:extLst>
                <a:ext uri="{63B3BB69-23CF-44E3-9099-C40C66FF867C}">
                  <a14:compatExt spid="_x0000_s14544"/>
                </a:ext>
                <a:ext uri="{FF2B5EF4-FFF2-40B4-BE49-F238E27FC236}">
                  <a16:creationId xmlns:a16="http://schemas.microsoft.com/office/drawing/2014/main" id="{00000000-0008-0000-0100-0000D0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7</xdr:col>
          <xdr:colOff>0</xdr:colOff>
          <xdr:row>139</xdr:row>
          <xdr:rowOff>165100</xdr:rowOff>
        </xdr:to>
        <xdr:sp macro="" textlink="">
          <xdr:nvSpPr>
            <xdr:cNvPr id="14543" name="Button 3279" hidden="1">
              <a:extLst>
                <a:ext uri="{63B3BB69-23CF-44E3-9099-C40C66FF867C}">
                  <a14:compatExt spid="_x0000_s14543"/>
                </a:ext>
                <a:ext uri="{FF2B5EF4-FFF2-40B4-BE49-F238E27FC236}">
                  <a16:creationId xmlns:a16="http://schemas.microsoft.com/office/drawing/2014/main" id="{00000000-0008-0000-0100-0000CF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7</xdr:col>
          <xdr:colOff>0</xdr:colOff>
          <xdr:row>140</xdr:row>
          <xdr:rowOff>165100</xdr:rowOff>
        </xdr:to>
        <xdr:sp macro="" textlink="">
          <xdr:nvSpPr>
            <xdr:cNvPr id="14542" name="Button 3278" hidden="1">
              <a:extLst>
                <a:ext uri="{63B3BB69-23CF-44E3-9099-C40C66FF867C}">
                  <a14:compatExt spid="_x0000_s14542"/>
                </a:ext>
                <a:ext uri="{FF2B5EF4-FFF2-40B4-BE49-F238E27FC236}">
                  <a16:creationId xmlns:a16="http://schemas.microsoft.com/office/drawing/2014/main" id="{00000000-0008-0000-0100-0000CE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7</xdr:col>
          <xdr:colOff>0</xdr:colOff>
          <xdr:row>141</xdr:row>
          <xdr:rowOff>165100</xdr:rowOff>
        </xdr:to>
        <xdr:sp macro="" textlink="">
          <xdr:nvSpPr>
            <xdr:cNvPr id="14541" name="Button 3277" hidden="1">
              <a:extLst>
                <a:ext uri="{63B3BB69-23CF-44E3-9099-C40C66FF867C}">
                  <a14:compatExt spid="_x0000_s14541"/>
                </a:ext>
                <a:ext uri="{FF2B5EF4-FFF2-40B4-BE49-F238E27FC236}">
                  <a16:creationId xmlns:a16="http://schemas.microsoft.com/office/drawing/2014/main" id="{00000000-0008-0000-0100-0000CD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7</xdr:col>
          <xdr:colOff>0</xdr:colOff>
          <xdr:row>142</xdr:row>
          <xdr:rowOff>165100</xdr:rowOff>
        </xdr:to>
        <xdr:sp macro="" textlink="">
          <xdr:nvSpPr>
            <xdr:cNvPr id="14540" name="Button 3276" hidden="1">
              <a:extLst>
                <a:ext uri="{63B3BB69-23CF-44E3-9099-C40C66FF867C}">
                  <a14:compatExt spid="_x0000_s14540"/>
                </a:ext>
                <a:ext uri="{FF2B5EF4-FFF2-40B4-BE49-F238E27FC236}">
                  <a16:creationId xmlns:a16="http://schemas.microsoft.com/office/drawing/2014/main" id="{00000000-0008-0000-0100-0000CC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7</xdr:col>
          <xdr:colOff>0</xdr:colOff>
          <xdr:row>143</xdr:row>
          <xdr:rowOff>165100</xdr:rowOff>
        </xdr:to>
        <xdr:sp macro="" textlink="">
          <xdr:nvSpPr>
            <xdr:cNvPr id="14539" name="Button 3275" hidden="1">
              <a:extLst>
                <a:ext uri="{63B3BB69-23CF-44E3-9099-C40C66FF867C}">
                  <a14:compatExt spid="_x0000_s14539"/>
                </a:ext>
                <a:ext uri="{FF2B5EF4-FFF2-40B4-BE49-F238E27FC236}">
                  <a16:creationId xmlns:a16="http://schemas.microsoft.com/office/drawing/2014/main" id="{00000000-0008-0000-0100-0000CB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7</xdr:col>
          <xdr:colOff>0</xdr:colOff>
          <xdr:row>144</xdr:row>
          <xdr:rowOff>165100</xdr:rowOff>
        </xdr:to>
        <xdr:sp macro="" textlink="">
          <xdr:nvSpPr>
            <xdr:cNvPr id="14538" name="Button 3274" hidden="1">
              <a:extLst>
                <a:ext uri="{63B3BB69-23CF-44E3-9099-C40C66FF867C}">
                  <a14:compatExt spid="_x0000_s14538"/>
                </a:ext>
                <a:ext uri="{FF2B5EF4-FFF2-40B4-BE49-F238E27FC236}">
                  <a16:creationId xmlns:a16="http://schemas.microsoft.com/office/drawing/2014/main" id="{00000000-0008-0000-0100-0000CA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7</xdr:col>
          <xdr:colOff>0</xdr:colOff>
          <xdr:row>145</xdr:row>
          <xdr:rowOff>165100</xdr:rowOff>
        </xdr:to>
        <xdr:sp macro="" textlink="">
          <xdr:nvSpPr>
            <xdr:cNvPr id="14537" name="Button 3273" hidden="1">
              <a:extLst>
                <a:ext uri="{63B3BB69-23CF-44E3-9099-C40C66FF867C}">
                  <a14:compatExt spid="_x0000_s14537"/>
                </a:ext>
                <a:ext uri="{FF2B5EF4-FFF2-40B4-BE49-F238E27FC236}">
                  <a16:creationId xmlns:a16="http://schemas.microsoft.com/office/drawing/2014/main" id="{00000000-0008-0000-0100-0000C9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7</xdr:col>
          <xdr:colOff>0</xdr:colOff>
          <xdr:row>146</xdr:row>
          <xdr:rowOff>165100</xdr:rowOff>
        </xdr:to>
        <xdr:sp macro="" textlink="">
          <xdr:nvSpPr>
            <xdr:cNvPr id="14536" name="Button 3272" hidden="1">
              <a:extLst>
                <a:ext uri="{63B3BB69-23CF-44E3-9099-C40C66FF867C}">
                  <a14:compatExt spid="_x0000_s14536"/>
                </a:ext>
                <a:ext uri="{FF2B5EF4-FFF2-40B4-BE49-F238E27FC236}">
                  <a16:creationId xmlns:a16="http://schemas.microsoft.com/office/drawing/2014/main" id="{00000000-0008-0000-0100-0000C8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7</xdr:col>
          <xdr:colOff>0</xdr:colOff>
          <xdr:row>147</xdr:row>
          <xdr:rowOff>165100</xdr:rowOff>
        </xdr:to>
        <xdr:sp macro="" textlink="">
          <xdr:nvSpPr>
            <xdr:cNvPr id="14535" name="Button 3271" hidden="1">
              <a:extLst>
                <a:ext uri="{63B3BB69-23CF-44E3-9099-C40C66FF867C}">
                  <a14:compatExt spid="_x0000_s14535"/>
                </a:ext>
                <a:ext uri="{FF2B5EF4-FFF2-40B4-BE49-F238E27FC236}">
                  <a16:creationId xmlns:a16="http://schemas.microsoft.com/office/drawing/2014/main" id="{00000000-0008-0000-0100-0000C7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7</xdr:col>
          <xdr:colOff>0</xdr:colOff>
          <xdr:row>148</xdr:row>
          <xdr:rowOff>165100</xdr:rowOff>
        </xdr:to>
        <xdr:sp macro="" textlink="">
          <xdr:nvSpPr>
            <xdr:cNvPr id="14534" name="Button 3270" hidden="1">
              <a:extLst>
                <a:ext uri="{63B3BB69-23CF-44E3-9099-C40C66FF867C}">
                  <a14:compatExt spid="_x0000_s14534"/>
                </a:ext>
                <a:ext uri="{FF2B5EF4-FFF2-40B4-BE49-F238E27FC236}">
                  <a16:creationId xmlns:a16="http://schemas.microsoft.com/office/drawing/2014/main" id="{00000000-0008-0000-0100-0000C6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7</xdr:col>
          <xdr:colOff>0</xdr:colOff>
          <xdr:row>149</xdr:row>
          <xdr:rowOff>165100</xdr:rowOff>
        </xdr:to>
        <xdr:sp macro="" textlink="">
          <xdr:nvSpPr>
            <xdr:cNvPr id="14533" name="Button 3269" hidden="1">
              <a:extLst>
                <a:ext uri="{63B3BB69-23CF-44E3-9099-C40C66FF867C}">
                  <a14:compatExt spid="_x0000_s14533"/>
                </a:ext>
                <a:ext uri="{FF2B5EF4-FFF2-40B4-BE49-F238E27FC236}">
                  <a16:creationId xmlns:a16="http://schemas.microsoft.com/office/drawing/2014/main" id="{00000000-0008-0000-0100-0000C5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7</xdr:col>
          <xdr:colOff>0</xdr:colOff>
          <xdr:row>150</xdr:row>
          <xdr:rowOff>165100</xdr:rowOff>
        </xdr:to>
        <xdr:sp macro="" textlink="">
          <xdr:nvSpPr>
            <xdr:cNvPr id="14532" name="Button 3268" hidden="1">
              <a:extLst>
                <a:ext uri="{63B3BB69-23CF-44E3-9099-C40C66FF867C}">
                  <a14:compatExt spid="_x0000_s14532"/>
                </a:ext>
                <a:ext uri="{FF2B5EF4-FFF2-40B4-BE49-F238E27FC236}">
                  <a16:creationId xmlns:a16="http://schemas.microsoft.com/office/drawing/2014/main" id="{00000000-0008-0000-0100-0000C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7</xdr:col>
          <xdr:colOff>0</xdr:colOff>
          <xdr:row>151</xdr:row>
          <xdr:rowOff>165100</xdr:rowOff>
        </xdr:to>
        <xdr:sp macro="" textlink="">
          <xdr:nvSpPr>
            <xdr:cNvPr id="14531" name="Button 3267" hidden="1">
              <a:extLst>
                <a:ext uri="{63B3BB69-23CF-44E3-9099-C40C66FF867C}">
                  <a14:compatExt spid="_x0000_s14531"/>
                </a:ext>
                <a:ext uri="{FF2B5EF4-FFF2-40B4-BE49-F238E27FC236}">
                  <a16:creationId xmlns:a16="http://schemas.microsoft.com/office/drawing/2014/main" id="{00000000-0008-0000-0100-0000C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7</xdr:col>
          <xdr:colOff>0</xdr:colOff>
          <xdr:row>152</xdr:row>
          <xdr:rowOff>165100</xdr:rowOff>
        </xdr:to>
        <xdr:sp macro="" textlink="">
          <xdr:nvSpPr>
            <xdr:cNvPr id="14530" name="Button 3266" hidden="1">
              <a:extLst>
                <a:ext uri="{63B3BB69-23CF-44E3-9099-C40C66FF867C}">
                  <a14:compatExt spid="_x0000_s14530"/>
                </a:ext>
                <a:ext uri="{FF2B5EF4-FFF2-40B4-BE49-F238E27FC236}">
                  <a16:creationId xmlns:a16="http://schemas.microsoft.com/office/drawing/2014/main" id="{00000000-0008-0000-0100-0000C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7</xdr:col>
          <xdr:colOff>0</xdr:colOff>
          <xdr:row>153</xdr:row>
          <xdr:rowOff>165100</xdr:rowOff>
        </xdr:to>
        <xdr:sp macro="" textlink="">
          <xdr:nvSpPr>
            <xdr:cNvPr id="14529" name="Button 3265" hidden="1">
              <a:extLst>
                <a:ext uri="{63B3BB69-23CF-44E3-9099-C40C66FF867C}">
                  <a14:compatExt spid="_x0000_s14529"/>
                </a:ext>
                <a:ext uri="{FF2B5EF4-FFF2-40B4-BE49-F238E27FC236}">
                  <a16:creationId xmlns:a16="http://schemas.microsoft.com/office/drawing/2014/main" id="{00000000-0008-0000-0100-0000C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7</xdr:col>
          <xdr:colOff>0</xdr:colOff>
          <xdr:row>154</xdr:row>
          <xdr:rowOff>165100</xdr:rowOff>
        </xdr:to>
        <xdr:sp macro="" textlink="">
          <xdr:nvSpPr>
            <xdr:cNvPr id="14528" name="Button 3264" hidden="1">
              <a:extLst>
                <a:ext uri="{63B3BB69-23CF-44E3-9099-C40C66FF867C}">
                  <a14:compatExt spid="_x0000_s14528"/>
                </a:ext>
                <a:ext uri="{FF2B5EF4-FFF2-40B4-BE49-F238E27FC236}">
                  <a16:creationId xmlns:a16="http://schemas.microsoft.com/office/drawing/2014/main" id="{00000000-0008-0000-0100-0000C0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7</xdr:col>
          <xdr:colOff>0</xdr:colOff>
          <xdr:row>155</xdr:row>
          <xdr:rowOff>165100</xdr:rowOff>
        </xdr:to>
        <xdr:sp macro="" textlink="">
          <xdr:nvSpPr>
            <xdr:cNvPr id="14527" name="Button 3263" hidden="1">
              <a:extLst>
                <a:ext uri="{63B3BB69-23CF-44E3-9099-C40C66FF867C}">
                  <a14:compatExt spid="_x0000_s14527"/>
                </a:ext>
                <a:ext uri="{FF2B5EF4-FFF2-40B4-BE49-F238E27FC236}">
                  <a16:creationId xmlns:a16="http://schemas.microsoft.com/office/drawing/2014/main" id="{00000000-0008-0000-0100-0000BF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7</xdr:col>
          <xdr:colOff>0</xdr:colOff>
          <xdr:row>156</xdr:row>
          <xdr:rowOff>165100</xdr:rowOff>
        </xdr:to>
        <xdr:sp macro="" textlink="">
          <xdr:nvSpPr>
            <xdr:cNvPr id="14526" name="Button 3262" hidden="1">
              <a:extLst>
                <a:ext uri="{63B3BB69-23CF-44E3-9099-C40C66FF867C}">
                  <a14:compatExt spid="_x0000_s14526"/>
                </a:ext>
                <a:ext uri="{FF2B5EF4-FFF2-40B4-BE49-F238E27FC236}">
                  <a16:creationId xmlns:a16="http://schemas.microsoft.com/office/drawing/2014/main" id="{00000000-0008-0000-0100-0000BE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7</xdr:col>
          <xdr:colOff>0</xdr:colOff>
          <xdr:row>157</xdr:row>
          <xdr:rowOff>165100</xdr:rowOff>
        </xdr:to>
        <xdr:sp macro="" textlink="">
          <xdr:nvSpPr>
            <xdr:cNvPr id="14525" name="Button 3261" hidden="1">
              <a:extLst>
                <a:ext uri="{63B3BB69-23CF-44E3-9099-C40C66FF867C}">
                  <a14:compatExt spid="_x0000_s14525"/>
                </a:ext>
                <a:ext uri="{FF2B5EF4-FFF2-40B4-BE49-F238E27FC236}">
                  <a16:creationId xmlns:a16="http://schemas.microsoft.com/office/drawing/2014/main" id="{00000000-0008-0000-0100-0000BD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7</xdr:col>
          <xdr:colOff>0</xdr:colOff>
          <xdr:row>158</xdr:row>
          <xdr:rowOff>165100</xdr:rowOff>
        </xdr:to>
        <xdr:sp macro="" textlink="">
          <xdr:nvSpPr>
            <xdr:cNvPr id="14524" name="Button 3260" hidden="1">
              <a:extLst>
                <a:ext uri="{63B3BB69-23CF-44E3-9099-C40C66FF867C}">
                  <a14:compatExt spid="_x0000_s14524"/>
                </a:ext>
                <a:ext uri="{FF2B5EF4-FFF2-40B4-BE49-F238E27FC236}">
                  <a16:creationId xmlns:a16="http://schemas.microsoft.com/office/drawing/2014/main" id="{00000000-0008-0000-0100-0000BC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7</xdr:col>
          <xdr:colOff>0</xdr:colOff>
          <xdr:row>159</xdr:row>
          <xdr:rowOff>165100</xdr:rowOff>
        </xdr:to>
        <xdr:sp macro="" textlink="">
          <xdr:nvSpPr>
            <xdr:cNvPr id="14523" name="Button 3259" hidden="1">
              <a:extLst>
                <a:ext uri="{63B3BB69-23CF-44E3-9099-C40C66FF867C}">
                  <a14:compatExt spid="_x0000_s14523"/>
                </a:ext>
                <a:ext uri="{FF2B5EF4-FFF2-40B4-BE49-F238E27FC236}">
                  <a16:creationId xmlns:a16="http://schemas.microsoft.com/office/drawing/2014/main" id="{00000000-0008-0000-0100-0000BB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7</xdr:col>
          <xdr:colOff>0</xdr:colOff>
          <xdr:row>160</xdr:row>
          <xdr:rowOff>165100</xdr:rowOff>
        </xdr:to>
        <xdr:sp macro="" textlink="">
          <xdr:nvSpPr>
            <xdr:cNvPr id="14522" name="Button 3258" hidden="1">
              <a:extLst>
                <a:ext uri="{63B3BB69-23CF-44E3-9099-C40C66FF867C}">
                  <a14:compatExt spid="_x0000_s14522"/>
                </a:ext>
                <a:ext uri="{FF2B5EF4-FFF2-40B4-BE49-F238E27FC236}">
                  <a16:creationId xmlns:a16="http://schemas.microsoft.com/office/drawing/2014/main" id="{00000000-0008-0000-0100-0000BA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7</xdr:col>
          <xdr:colOff>0</xdr:colOff>
          <xdr:row>161</xdr:row>
          <xdr:rowOff>165100</xdr:rowOff>
        </xdr:to>
        <xdr:sp macro="" textlink="">
          <xdr:nvSpPr>
            <xdr:cNvPr id="14521" name="Button 3257" hidden="1">
              <a:extLst>
                <a:ext uri="{63B3BB69-23CF-44E3-9099-C40C66FF867C}">
                  <a14:compatExt spid="_x0000_s14521"/>
                </a:ext>
                <a:ext uri="{FF2B5EF4-FFF2-40B4-BE49-F238E27FC236}">
                  <a16:creationId xmlns:a16="http://schemas.microsoft.com/office/drawing/2014/main" id="{00000000-0008-0000-0100-0000B9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7</xdr:col>
          <xdr:colOff>0</xdr:colOff>
          <xdr:row>162</xdr:row>
          <xdr:rowOff>165100</xdr:rowOff>
        </xdr:to>
        <xdr:sp macro="" textlink="">
          <xdr:nvSpPr>
            <xdr:cNvPr id="14520" name="Button 3256" hidden="1">
              <a:extLst>
                <a:ext uri="{63B3BB69-23CF-44E3-9099-C40C66FF867C}">
                  <a14:compatExt spid="_x0000_s14520"/>
                </a:ext>
                <a:ext uri="{FF2B5EF4-FFF2-40B4-BE49-F238E27FC236}">
                  <a16:creationId xmlns:a16="http://schemas.microsoft.com/office/drawing/2014/main" id="{00000000-0008-0000-0100-0000B8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7</xdr:col>
          <xdr:colOff>0</xdr:colOff>
          <xdr:row>163</xdr:row>
          <xdr:rowOff>165100</xdr:rowOff>
        </xdr:to>
        <xdr:sp macro="" textlink="">
          <xdr:nvSpPr>
            <xdr:cNvPr id="14519" name="Button 3255" hidden="1">
              <a:extLst>
                <a:ext uri="{63B3BB69-23CF-44E3-9099-C40C66FF867C}">
                  <a14:compatExt spid="_x0000_s14519"/>
                </a:ext>
                <a:ext uri="{FF2B5EF4-FFF2-40B4-BE49-F238E27FC236}">
                  <a16:creationId xmlns:a16="http://schemas.microsoft.com/office/drawing/2014/main" id="{00000000-0008-0000-0100-0000B7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7</xdr:col>
          <xdr:colOff>0</xdr:colOff>
          <xdr:row>164</xdr:row>
          <xdr:rowOff>165100</xdr:rowOff>
        </xdr:to>
        <xdr:sp macro="" textlink="">
          <xdr:nvSpPr>
            <xdr:cNvPr id="14518" name="Button 3254" hidden="1">
              <a:extLst>
                <a:ext uri="{63B3BB69-23CF-44E3-9099-C40C66FF867C}">
                  <a14:compatExt spid="_x0000_s14518"/>
                </a:ext>
                <a:ext uri="{FF2B5EF4-FFF2-40B4-BE49-F238E27FC236}">
                  <a16:creationId xmlns:a16="http://schemas.microsoft.com/office/drawing/2014/main" id="{00000000-0008-0000-0100-0000B6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7</xdr:col>
          <xdr:colOff>0</xdr:colOff>
          <xdr:row>165</xdr:row>
          <xdr:rowOff>165100</xdr:rowOff>
        </xdr:to>
        <xdr:sp macro="" textlink="">
          <xdr:nvSpPr>
            <xdr:cNvPr id="14517" name="Button 3253" hidden="1">
              <a:extLst>
                <a:ext uri="{63B3BB69-23CF-44E3-9099-C40C66FF867C}">
                  <a14:compatExt spid="_x0000_s14517"/>
                </a:ext>
                <a:ext uri="{FF2B5EF4-FFF2-40B4-BE49-F238E27FC236}">
                  <a16:creationId xmlns:a16="http://schemas.microsoft.com/office/drawing/2014/main" id="{00000000-0008-0000-0100-0000B5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7</xdr:col>
          <xdr:colOff>0</xdr:colOff>
          <xdr:row>166</xdr:row>
          <xdr:rowOff>165100</xdr:rowOff>
        </xdr:to>
        <xdr:sp macro="" textlink="">
          <xdr:nvSpPr>
            <xdr:cNvPr id="14516" name="Button 3252" hidden="1">
              <a:extLst>
                <a:ext uri="{63B3BB69-23CF-44E3-9099-C40C66FF867C}">
                  <a14:compatExt spid="_x0000_s14516"/>
                </a:ext>
                <a:ext uri="{FF2B5EF4-FFF2-40B4-BE49-F238E27FC236}">
                  <a16:creationId xmlns:a16="http://schemas.microsoft.com/office/drawing/2014/main" id="{00000000-0008-0000-0100-0000B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7</xdr:col>
          <xdr:colOff>0</xdr:colOff>
          <xdr:row>167</xdr:row>
          <xdr:rowOff>165100</xdr:rowOff>
        </xdr:to>
        <xdr:sp macro="" textlink="">
          <xdr:nvSpPr>
            <xdr:cNvPr id="14515" name="Button 3251" hidden="1">
              <a:extLst>
                <a:ext uri="{63B3BB69-23CF-44E3-9099-C40C66FF867C}">
                  <a14:compatExt spid="_x0000_s14515"/>
                </a:ext>
                <a:ext uri="{FF2B5EF4-FFF2-40B4-BE49-F238E27FC236}">
                  <a16:creationId xmlns:a16="http://schemas.microsoft.com/office/drawing/2014/main" id="{00000000-0008-0000-0100-0000B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7</xdr:col>
          <xdr:colOff>0</xdr:colOff>
          <xdr:row>168</xdr:row>
          <xdr:rowOff>165100</xdr:rowOff>
        </xdr:to>
        <xdr:sp macro="" textlink="">
          <xdr:nvSpPr>
            <xdr:cNvPr id="14514" name="Button 3250" hidden="1">
              <a:extLst>
                <a:ext uri="{63B3BB69-23CF-44E3-9099-C40C66FF867C}">
                  <a14:compatExt spid="_x0000_s14514"/>
                </a:ext>
                <a:ext uri="{FF2B5EF4-FFF2-40B4-BE49-F238E27FC236}">
                  <a16:creationId xmlns:a16="http://schemas.microsoft.com/office/drawing/2014/main" id="{00000000-0008-0000-0100-0000B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7</xdr:col>
          <xdr:colOff>0</xdr:colOff>
          <xdr:row>169</xdr:row>
          <xdr:rowOff>165100</xdr:rowOff>
        </xdr:to>
        <xdr:sp macro="" textlink="">
          <xdr:nvSpPr>
            <xdr:cNvPr id="14513" name="Button 3249" hidden="1">
              <a:extLst>
                <a:ext uri="{63B3BB69-23CF-44E3-9099-C40C66FF867C}">
                  <a14:compatExt spid="_x0000_s14513"/>
                </a:ext>
                <a:ext uri="{FF2B5EF4-FFF2-40B4-BE49-F238E27FC236}">
                  <a16:creationId xmlns:a16="http://schemas.microsoft.com/office/drawing/2014/main" id="{00000000-0008-0000-0100-0000B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7</xdr:col>
          <xdr:colOff>0</xdr:colOff>
          <xdr:row>170</xdr:row>
          <xdr:rowOff>165100</xdr:rowOff>
        </xdr:to>
        <xdr:sp macro="" textlink="">
          <xdr:nvSpPr>
            <xdr:cNvPr id="14512" name="Button 3248" hidden="1">
              <a:extLst>
                <a:ext uri="{63B3BB69-23CF-44E3-9099-C40C66FF867C}">
                  <a14:compatExt spid="_x0000_s14512"/>
                </a:ext>
                <a:ext uri="{FF2B5EF4-FFF2-40B4-BE49-F238E27FC236}">
                  <a16:creationId xmlns:a16="http://schemas.microsoft.com/office/drawing/2014/main" id="{00000000-0008-0000-0100-0000B0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7</xdr:col>
          <xdr:colOff>0</xdr:colOff>
          <xdr:row>171</xdr:row>
          <xdr:rowOff>165100</xdr:rowOff>
        </xdr:to>
        <xdr:sp macro="" textlink="">
          <xdr:nvSpPr>
            <xdr:cNvPr id="14511" name="Button 3247" hidden="1">
              <a:extLst>
                <a:ext uri="{63B3BB69-23CF-44E3-9099-C40C66FF867C}">
                  <a14:compatExt spid="_x0000_s14511"/>
                </a:ext>
                <a:ext uri="{FF2B5EF4-FFF2-40B4-BE49-F238E27FC236}">
                  <a16:creationId xmlns:a16="http://schemas.microsoft.com/office/drawing/2014/main" id="{00000000-0008-0000-0100-0000AF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7</xdr:col>
          <xdr:colOff>0</xdr:colOff>
          <xdr:row>172</xdr:row>
          <xdr:rowOff>165100</xdr:rowOff>
        </xdr:to>
        <xdr:sp macro="" textlink="">
          <xdr:nvSpPr>
            <xdr:cNvPr id="14510" name="Button 3246" hidden="1">
              <a:extLst>
                <a:ext uri="{63B3BB69-23CF-44E3-9099-C40C66FF867C}">
                  <a14:compatExt spid="_x0000_s14510"/>
                </a:ext>
                <a:ext uri="{FF2B5EF4-FFF2-40B4-BE49-F238E27FC236}">
                  <a16:creationId xmlns:a16="http://schemas.microsoft.com/office/drawing/2014/main" id="{00000000-0008-0000-0100-0000AE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7</xdr:col>
          <xdr:colOff>0</xdr:colOff>
          <xdr:row>173</xdr:row>
          <xdr:rowOff>165100</xdr:rowOff>
        </xdr:to>
        <xdr:sp macro="" textlink="">
          <xdr:nvSpPr>
            <xdr:cNvPr id="14509" name="Button 3245" hidden="1">
              <a:extLst>
                <a:ext uri="{63B3BB69-23CF-44E3-9099-C40C66FF867C}">
                  <a14:compatExt spid="_x0000_s14509"/>
                </a:ext>
                <a:ext uri="{FF2B5EF4-FFF2-40B4-BE49-F238E27FC236}">
                  <a16:creationId xmlns:a16="http://schemas.microsoft.com/office/drawing/2014/main" id="{00000000-0008-0000-0100-0000AD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7</xdr:col>
          <xdr:colOff>0</xdr:colOff>
          <xdr:row>174</xdr:row>
          <xdr:rowOff>165100</xdr:rowOff>
        </xdr:to>
        <xdr:sp macro="" textlink="">
          <xdr:nvSpPr>
            <xdr:cNvPr id="14508" name="Button 3244" hidden="1">
              <a:extLst>
                <a:ext uri="{63B3BB69-23CF-44E3-9099-C40C66FF867C}">
                  <a14:compatExt spid="_x0000_s14508"/>
                </a:ext>
                <a:ext uri="{FF2B5EF4-FFF2-40B4-BE49-F238E27FC236}">
                  <a16:creationId xmlns:a16="http://schemas.microsoft.com/office/drawing/2014/main" id="{00000000-0008-0000-0100-0000AC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7</xdr:col>
          <xdr:colOff>0</xdr:colOff>
          <xdr:row>175</xdr:row>
          <xdr:rowOff>165100</xdr:rowOff>
        </xdr:to>
        <xdr:sp macro="" textlink="">
          <xdr:nvSpPr>
            <xdr:cNvPr id="14507" name="Button 3243" hidden="1">
              <a:extLst>
                <a:ext uri="{63B3BB69-23CF-44E3-9099-C40C66FF867C}">
                  <a14:compatExt spid="_x0000_s14507"/>
                </a:ext>
                <a:ext uri="{FF2B5EF4-FFF2-40B4-BE49-F238E27FC236}">
                  <a16:creationId xmlns:a16="http://schemas.microsoft.com/office/drawing/2014/main" id="{00000000-0008-0000-0100-0000AB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7</xdr:col>
          <xdr:colOff>0</xdr:colOff>
          <xdr:row>176</xdr:row>
          <xdr:rowOff>165100</xdr:rowOff>
        </xdr:to>
        <xdr:sp macro="" textlink="">
          <xdr:nvSpPr>
            <xdr:cNvPr id="14506" name="Button 3242" hidden="1">
              <a:extLst>
                <a:ext uri="{63B3BB69-23CF-44E3-9099-C40C66FF867C}">
                  <a14:compatExt spid="_x0000_s14506"/>
                </a:ext>
                <a:ext uri="{FF2B5EF4-FFF2-40B4-BE49-F238E27FC236}">
                  <a16:creationId xmlns:a16="http://schemas.microsoft.com/office/drawing/2014/main" id="{00000000-0008-0000-0100-0000AA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7</xdr:col>
          <xdr:colOff>0</xdr:colOff>
          <xdr:row>177</xdr:row>
          <xdr:rowOff>165100</xdr:rowOff>
        </xdr:to>
        <xdr:sp macro="" textlink="">
          <xdr:nvSpPr>
            <xdr:cNvPr id="14505" name="Button 3241" hidden="1">
              <a:extLst>
                <a:ext uri="{63B3BB69-23CF-44E3-9099-C40C66FF867C}">
                  <a14:compatExt spid="_x0000_s14505"/>
                </a:ext>
                <a:ext uri="{FF2B5EF4-FFF2-40B4-BE49-F238E27FC236}">
                  <a16:creationId xmlns:a16="http://schemas.microsoft.com/office/drawing/2014/main" id="{00000000-0008-0000-0100-0000A9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7</xdr:col>
          <xdr:colOff>0</xdr:colOff>
          <xdr:row>178</xdr:row>
          <xdr:rowOff>165100</xdr:rowOff>
        </xdr:to>
        <xdr:sp macro="" textlink="">
          <xdr:nvSpPr>
            <xdr:cNvPr id="14504" name="Button 3240" hidden="1">
              <a:extLst>
                <a:ext uri="{63B3BB69-23CF-44E3-9099-C40C66FF867C}">
                  <a14:compatExt spid="_x0000_s14504"/>
                </a:ext>
                <a:ext uri="{FF2B5EF4-FFF2-40B4-BE49-F238E27FC236}">
                  <a16:creationId xmlns:a16="http://schemas.microsoft.com/office/drawing/2014/main" id="{00000000-0008-0000-0100-0000A8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7</xdr:col>
          <xdr:colOff>0</xdr:colOff>
          <xdr:row>179</xdr:row>
          <xdr:rowOff>165100</xdr:rowOff>
        </xdr:to>
        <xdr:sp macro="" textlink="">
          <xdr:nvSpPr>
            <xdr:cNvPr id="14503" name="Button 3239" hidden="1">
              <a:extLst>
                <a:ext uri="{63B3BB69-23CF-44E3-9099-C40C66FF867C}">
                  <a14:compatExt spid="_x0000_s14503"/>
                </a:ext>
                <a:ext uri="{FF2B5EF4-FFF2-40B4-BE49-F238E27FC236}">
                  <a16:creationId xmlns:a16="http://schemas.microsoft.com/office/drawing/2014/main" id="{00000000-0008-0000-0100-0000A7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7</xdr:col>
          <xdr:colOff>0</xdr:colOff>
          <xdr:row>180</xdr:row>
          <xdr:rowOff>165100</xdr:rowOff>
        </xdr:to>
        <xdr:sp macro="" textlink="">
          <xdr:nvSpPr>
            <xdr:cNvPr id="14502" name="Button 3238" hidden="1">
              <a:extLst>
                <a:ext uri="{63B3BB69-23CF-44E3-9099-C40C66FF867C}">
                  <a14:compatExt spid="_x0000_s14502"/>
                </a:ext>
                <a:ext uri="{FF2B5EF4-FFF2-40B4-BE49-F238E27FC236}">
                  <a16:creationId xmlns:a16="http://schemas.microsoft.com/office/drawing/2014/main" id="{00000000-0008-0000-0100-0000A6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7</xdr:col>
          <xdr:colOff>0</xdr:colOff>
          <xdr:row>181</xdr:row>
          <xdr:rowOff>165100</xdr:rowOff>
        </xdr:to>
        <xdr:sp macro="" textlink="">
          <xdr:nvSpPr>
            <xdr:cNvPr id="14501" name="Button 3237" hidden="1">
              <a:extLst>
                <a:ext uri="{63B3BB69-23CF-44E3-9099-C40C66FF867C}">
                  <a14:compatExt spid="_x0000_s14501"/>
                </a:ext>
                <a:ext uri="{FF2B5EF4-FFF2-40B4-BE49-F238E27FC236}">
                  <a16:creationId xmlns:a16="http://schemas.microsoft.com/office/drawing/2014/main" id="{00000000-0008-0000-0100-0000A5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7</xdr:col>
          <xdr:colOff>0</xdr:colOff>
          <xdr:row>182</xdr:row>
          <xdr:rowOff>165100</xdr:rowOff>
        </xdr:to>
        <xdr:sp macro="" textlink="">
          <xdr:nvSpPr>
            <xdr:cNvPr id="14500" name="Button 3236" hidden="1">
              <a:extLst>
                <a:ext uri="{63B3BB69-23CF-44E3-9099-C40C66FF867C}">
                  <a14:compatExt spid="_x0000_s14500"/>
                </a:ext>
                <a:ext uri="{FF2B5EF4-FFF2-40B4-BE49-F238E27FC236}">
                  <a16:creationId xmlns:a16="http://schemas.microsoft.com/office/drawing/2014/main" id="{00000000-0008-0000-0100-0000A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7</xdr:col>
          <xdr:colOff>0</xdr:colOff>
          <xdr:row>183</xdr:row>
          <xdr:rowOff>165100</xdr:rowOff>
        </xdr:to>
        <xdr:sp macro="" textlink="">
          <xdr:nvSpPr>
            <xdr:cNvPr id="14499" name="Button 3235" hidden="1">
              <a:extLst>
                <a:ext uri="{63B3BB69-23CF-44E3-9099-C40C66FF867C}">
                  <a14:compatExt spid="_x0000_s14499"/>
                </a:ext>
                <a:ext uri="{FF2B5EF4-FFF2-40B4-BE49-F238E27FC236}">
                  <a16:creationId xmlns:a16="http://schemas.microsoft.com/office/drawing/2014/main" id="{00000000-0008-0000-0100-0000A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7</xdr:col>
          <xdr:colOff>0</xdr:colOff>
          <xdr:row>184</xdr:row>
          <xdr:rowOff>165100</xdr:rowOff>
        </xdr:to>
        <xdr:sp macro="" textlink="">
          <xdr:nvSpPr>
            <xdr:cNvPr id="14498" name="Button 3234" hidden="1">
              <a:extLst>
                <a:ext uri="{63B3BB69-23CF-44E3-9099-C40C66FF867C}">
                  <a14:compatExt spid="_x0000_s14498"/>
                </a:ext>
                <a:ext uri="{FF2B5EF4-FFF2-40B4-BE49-F238E27FC236}">
                  <a16:creationId xmlns:a16="http://schemas.microsoft.com/office/drawing/2014/main" id="{00000000-0008-0000-0100-0000A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7</xdr:col>
          <xdr:colOff>0</xdr:colOff>
          <xdr:row>185</xdr:row>
          <xdr:rowOff>165100</xdr:rowOff>
        </xdr:to>
        <xdr:sp macro="" textlink="">
          <xdr:nvSpPr>
            <xdr:cNvPr id="14497" name="Button 3233" hidden="1">
              <a:extLst>
                <a:ext uri="{63B3BB69-23CF-44E3-9099-C40C66FF867C}">
                  <a14:compatExt spid="_x0000_s14497"/>
                </a:ext>
                <a:ext uri="{FF2B5EF4-FFF2-40B4-BE49-F238E27FC236}">
                  <a16:creationId xmlns:a16="http://schemas.microsoft.com/office/drawing/2014/main" id="{00000000-0008-0000-0100-0000A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7</xdr:col>
          <xdr:colOff>0</xdr:colOff>
          <xdr:row>186</xdr:row>
          <xdr:rowOff>165100</xdr:rowOff>
        </xdr:to>
        <xdr:sp macro="" textlink="">
          <xdr:nvSpPr>
            <xdr:cNvPr id="14496" name="Button 3232" hidden="1">
              <a:extLst>
                <a:ext uri="{63B3BB69-23CF-44E3-9099-C40C66FF867C}">
                  <a14:compatExt spid="_x0000_s14496"/>
                </a:ext>
                <a:ext uri="{FF2B5EF4-FFF2-40B4-BE49-F238E27FC236}">
                  <a16:creationId xmlns:a16="http://schemas.microsoft.com/office/drawing/2014/main" id="{00000000-0008-0000-0100-0000A0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7</xdr:col>
          <xdr:colOff>0</xdr:colOff>
          <xdr:row>187</xdr:row>
          <xdr:rowOff>165100</xdr:rowOff>
        </xdr:to>
        <xdr:sp macro="" textlink="">
          <xdr:nvSpPr>
            <xdr:cNvPr id="14495" name="Button 3231" hidden="1">
              <a:extLst>
                <a:ext uri="{63B3BB69-23CF-44E3-9099-C40C66FF867C}">
                  <a14:compatExt spid="_x0000_s14495"/>
                </a:ext>
                <a:ext uri="{FF2B5EF4-FFF2-40B4-BE49-F238E27FC236}">
                  <a16:creationId xmlns:a16="http://schemas.microsoft.com/office/drawing/2014/main" id="{00000000-0008-0000-0100-00009F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7</xdr:col>
          <xdr:colOff>0</xdr:colOff>
          <xdr:row>188</xdr:row>
          <xdr:rowOff>165100</xdr:rowOff>
        </xdr:to>
        <xdr:sp macro="" textlink="">
          <xdr:nvSpPr>
            <xdr:cNvPr id="14494" name="Button 3230" hidden="1">
              <a:extLst>
                <a:ext uri="{63B3BB69-23CF-44E3-9099-C40C66FF867C}">
                  <a14:compatExt spid="_x0000_s14494"/>
                </a:ext>
                <a:ext uri="{FF2B5EF4-FFF2-40B4-BE49-F238E27FC236}">
                  <a16:creationId xmlns:a16="http://schemas.microsoft.com/office/drawing/2014/main" id="{00000000-0008-0000-0100-00009E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7</xdr:col>
          <xdr:colOff>0</xdr:colOff>
          <xdr:row>192</xdr:row>
          <xdr:rowOff>0</xdr:rowOff>
        </xdr:to>
        <xdr:sp macro="" textlink="">
          <xdr:nvSpPr>
            <xdr:cNvPr id="14493" name="Button 3229" hidden="1">
              <a:extLst>
                <a:ext uri="{63B3BB69-23CF-44E3-9099-C40C66FF867C}">
                  <a14:compatExt spid="_x0000_s14493"/>
                </a:ext>
                <a:ext uri="{FF2B5EF4-FFF2-40B4-BE49-F238E27FC236}">
                  <a16:creationId xmlns:a16="http://schemas.microsoft.com/office/drawing/2014/main" id="{00000000-0008-0000-0100-00009D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7</xdr:col>
          <xdr:colOff>0</xdr:colOff>
          <xdr:row>198</xdr:row>
          <xdr:rowOff>171450</xdr:rowOff>
        </xdr:to>
        <xdr:sp macro="" textlink="">
          <xdr:nvSpPr>
            <xdr:cNvPr id="14492" name="Button 3228" hidden="1">
              <a:extLst>
                <a:ext uri="{63B3BB69-23CF-44E3-9099-C40C66FF867C}">
                  <a14:compatExt spid="_x0000_s14492"/>
                </a:ext>
                <a:ext uri="{FF2B5EF4-FFF2-40B4-BE49-F238E27FC236}">
                  <a16:creationId xmlns:a16="http://schemas.microsoft.com/office/drawing/2014/main" id="{00000000-0008-0000-0100-00009C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7</xdr:col>
          <xdr:colOff>0</xdr:colOff>
          <xdr:row>199</xdr:row>
          <xdr:rowOff>165100</xdr:rowOff>
        </xdr:to>
        <xdr:sp macro="" textlink="">
          <xdr:nvSpPr>
            <xdr:cNvPr id="14491" name="Button 3227" hidden="1">
              <a:extLst>
                <a:ext uri="{63B3BB69-23CF-44E3-9099-C40C66FF867C}">
                  <a14:compatExt spid="_x0000_s14491"/>
                </a:ext>
                <a:ext uri="{FF2B5EF4-FFF2-40B4-BE49-F238E27FC236}">
                  <a16:creationId xmlns:a16="http://schemas.microsoft.com/office/drawing/2014/main" id="{00000000-0008-0000-0100-00009B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7</xdr:col>
          <xdr:colOff>0</xdr:colOff>
          <xdr:row>203</xdr:row>
          <xdr:rowOff>0</xdr:rowOff>
        </xdr:to>
        <xdr:sp macro="" textlink="">
          <xdr:nvSpPr>
            <xdr:cNvPr id="14490" name="Button 3226" hidden="1">
              <a:extLst>
                <a:ext uri="{63B3BB69-23CF-44E3-9099-C40C66FF867C}">
                  <a14:compatExt spid="_x0000_s14490"/>
                </a:ext>
                <a:ext uri="{FF2B5EF4-FFF2-40B4-BE49-F238E27FC236}">
                  <a16:creationId xmlns:a16="http://schemas.microsoft.com/office/drawing/2014/main" id="{00000000-0008-0000-0100-00009A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7</xdr:col>
          <xdr:colOff>0</xdr:colOff>
          <xdr:row>209</xdr:row>
          <xdr:rowOff>171450</xdr:rowOff>
        </xdr:to>
        <xdr:sp macro="" textlink="">
          <xdr:nvSpPr>
            <xdr:cNvPr id="14489" name="Button 3225" hidden="1">
              <a:extLst>
                <a:ext uri="{63B3BB69-23CF-44E3-9099-C40C66FF867C}">
                  <a14:compatExt spid="_x0000_s14489"/>
                </a:ext>
                <a:ext uri="{FF2B5EF4-FFF2-40B4-BE49-F238E27FC236}">
                  <a16:creationId xmlns:a16="http://schemas.microsoft.com/office/drawing/2014/main" id="{00000000-0008-0000-0100-000099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7</xdr:col>
          <xdr:colOff>0</xdr:colOff>
          <xdr:row>210</xdr:row>
          <xdr:rowOff>165100</xdr:rowOff>
        </xdr:to>
        <xdr:sp macro="" textlink="">
          <xdr:nvSpPr>
            <xdr:cNvPr id="14488" name="Button 3224" hidden="1">
              <a:extLst>
                <a:ext uri="{63B3BB69-23CF-44E3-9099-C40C66FF867C}">
                  <a14:compatExt spid="_x0000_s14488"/>
                </a:ext>
                <a:ext uri="{FF2B5EF4-FFF2-40B4-BE49-F238E27FC236}">
                  <a16:creationId xmlns:a16="http://schemas.microsoft.com/office/drawing/2014/main" id="{00000000-0008-0000-0100-000098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7</xdr:col>
          <xdr:colOff>0</xdr:colOff>
          <xdr:row>211</xdr:row>
          <xdr:rowOff>165100</xdr:rowOff>
        </xdr:to>
        <xdr:sp macro="" textlink="">
          <xdr:nvSpPr>
            <xdr:cNvPr id="14487" name="Button 3223" hidden="1">
              <a:extLst>
                <a:ext uri="{63B3BB69-23CF-44E3-9099-C40C66FF867C}">
                  <a14:compatExt spid="_x0000_s14487"/>
                </a:ext>
                <a:ext uri="{FF2B5EF4-FFF2-40B4-BE49-F238E27FC236}">
                  <a16:creationId xmlns:a16="http://schemas.microsoft.com/office/drawing/2014/main" id="{00000000-0008-0000-0100-000097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7</xdr:col>
          <xdr:colOff>0</xdr:colOff>
          <xdr:row>212</xdr:row>
          <xdr:rowOff>165100</xdr:rowOff>
        </xdr:to>
        <xdr:sp macro="" textlink="">
          <xdr:nvSpPr>
            <xdr:cNvPr id="14486" name="Button 3222" hidden="1">
              <a:extLst>
                <a:ext uri="{63B3BB69-23CF-44E3-9099-C40C66FF867C}">
                  <a14:compatExt spid="_x0000_s14486"/>
                </a:ext>
                <a:ext uri="{FF2B5EF4-FFF2-40B4-BE49-F238E27FC236}">
                  <a16:creationId xmlns:a16="http://schemas.microsoft.com/office/drawing/2014/main" id="{00000000-0008-0000-0100-000096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7</xdr:col>
          <xdr:colOff>0</xdr:colOff>
          <xdr:row>216</xdr:row>
          <xdr:rowOff>0</xdr:rowOff>
        </xdr:to>
        <xdr:sp macro="" textlink="">
          <xdr:nvSpPr>
            <xdr:cNvPr id="14485" name="Button 3221" hidden="1">
              <a:extLst>
                <a:ext uri="{63B3BB69-23CF-44E3-9099-C40C66FF867C}">
                  <a14:compatExt spid="_x0000_s14485"/>
                </a:ext>
                <a:ext uri="{FF2B5EF4-FFF2-40B4-BE49-F238E27FC236}">
                  <a16:creationId xmlns:a16="http://schemas.microsoft.com/office/drawing/2014/main" id="{00000000-0008-0000-0100-000095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7</xdr:col>
          <xdr:colOff>0</xdr:colOff>
          <xdr:row>222</xdr:row>
          <xdr:rowOff>171450</xdr:rowOff>
        </xdr:to>
        <xdr:sp macro="" textlink="">
          <xdr:nvSpPr>
            <xdr:cNvPr id="14484" name="Button 3220" hidden="1">
              <a:extLst>
                <a:ext uri="{63B3BB69-23CF-44E3-9099-C40C66FF867C}">
                  <a14:compatExt spid="_x0000_s14484"/>
                </a:ext>
                <a:ext uri="{FF2B5EF4-FFF2-40B4-BE49-F238E27FC236}">
                  <a16:creationId xmlns:a16="http://schemas.microsoft.com/office/drawing/2014/main" id="{00000000-0008-0000-0100-00009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7</xdr:col>
          <xdr:colOff>0</xdr:colOff>
          <xdr:row>223</xdr:row>
          <xdr:rowOff>165100</xdr:rowOff>
        </xdr:to>
        <xdr:sp macro="" textlink="">
          <xdr:nvSpPr>
            <xdr:cNvPr id="14483" name="Button 3219" hidden="1">
              <a:extLst>
                <a:ext uri="{63B3BB69-23CF-44E3-9099-C40C66FF867C}">
                  <a14:compatExt spid="_x0000_s14483"/>
                </a:ext>
                <a:ext uri="{FF2B5EF4-FFF2-40B4-BE49-F238E27FC236}">
                  <a16:creationId xmlns:a16="http://schemas.microsoft.com/office/drawing/2014/main" id="{00000000-0008-0000-0100-00009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7</xdr:col>
          <xdr:colOff>0</xdr:colOff>
          <xdr:row>224</xdr:row>
          <xdr:rowOff>165100</xdr:rowOff>
        </xdr:to>
        <xdr:sp macro="" textlink="">
          <xdr:nvSpPr>
            <xdr:cNvPr id="14482" name="Button 3218" hidden="1">
              <a:extLst>
                <a:ext uri="{63B3BB69-23CF-44E3-9099-C40C66FF867C}">
                  <a14:compatExt spid="_x0000_s14482"/>
                </a:ext>
                <a:ext uri="{FF2B5EF4-FFF2-40B4-BE49-F238E27FC236}">
                  <a16:creationId xmlns:a16="http://schemas.microsoft.com/office/drawing/2014/main" id="{00000000-0008-0000-0100-00009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7</xdr:col>
          <xdr:colOff>0</xdr:colOff>
          <xdr:row>225</xdr:row>
          <xdr:rowOff>165100</xdr:rowOff>
        </xdr:to>
        <xdr:sp macro="" textlink="">
          <xdr:nvSpPr>
            <xdr:cNvPr id="14481" name="Button 3217" hidden="1">
              <a:extLst>
                <a:ext uri="{63B3BB69-23CF-44E3-9099-C40C66FF867C}">
                  <a14:compatExt spid="_x0000_s14481"/>
                </a:ext>
                <a:ext uri="{FF2B5EF4-FFF2-40B4-BE49-F238E27FC236}">
                  <a16:creationId xmlns:a16="http://schemas.microsoft.com/office/drawing/2014/main" id="{00000000-0008-0000-0100-00009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7</xdr:col>
          <xdr:colOff>0</xdr:colOff>
          <xdr:row>229</xdr:row>
          <xdr:rowOff>0</xdr:rowOff>
        </xdr:to>
        <xdr:sp macro="" textlink="">
          <xdr:nvSpPr>
            <xdr:cNvPr id="14480" name="Button 3216" hidden="1">
              <a:extLst>
                <a:ext uri="{63B3BB69-23CF-44E3-9099-C40C66FF867C}">
                  <a14:compatExt spid="_x0000_s14480"/>
                </a:ext>
                <a:ext uri="{FF2B5EF4-FFF2-40B4-BE49-F238E27FC236}">
                  <a16:creationId xmlns:a16="http://schemas.microsoft.com/office/drawing/2014/main" id="{00000000-0008-0000-0100-000090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7</xdr:col>
          <xdr:colOff>0</xdr:colOff>
          <xdr:row>235</xdr:row>
          <xdr:rowOff>171450</xdr:rowOff>
        </xdr:to>
        <xdr:sp macro="" textlink="">
          <xdr:nvSpPr>
            <xdr:cNvPr id="14479" name="Button 3215" hidden="1">
              <a:extLst>
                <a:ext uri="{63B3BB69-23CF-44E3-9099-C40C66FF867C}">
                  <a14:compatExt spid="_x0000_s14479"/>
                </a:ext>
                <a:ext uri="{FF2B5EF4-FFF2-40B4-BE49-F238E27FC236}">
                  <a16:creationId xmlns:a16="http://schemas.microsoft.com/office/drawing/2014/main" id="{00000000-0008-0000-0100-00008F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7</xdr:col>
          <xdr:colOff>0</xdr:colOff>
          <xdr:row>236</xdr:row>
          <xdr:rowOff>165100</xdr:rowOff>
        </xdr:to>
        <xdr:sp macro="" textlink="">
          <xdr:nvSpPr>
            <xdr:cNvPr id="14478" name="Button 3214" hidden="1">
              <a:extLst>
                <a:ext uri="{63B3BB69-23CF-44E3-9099-C40C66FF867C}">
                  <a14:compatExt spid="_x0000_s14478"/>
                </a:ext>
                <a:ext uri="{FF2B5EF4-FFF2-40B4-BE49-F238E27FC236}">
                  <a16:creationId xmlns:a16="http://schemas.microsoft.com/office/drawing/2014/main" id="{00000000-0008-0000-0100-00008E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7</xdr:col>
          <xdr:colOff>0</xdr:colOff>
          <xdr:row>237</xdr:row>
          <xdr:rowOff>165100</xdr:rowOff>
        </xdr:to>
        <xdr:sp macro="" textlink="">
          <xdr:nvSpPr>
            <xdr:cNvPr id="14477" name="Button 3213" hidden="1">
              <a:extLst>
                <a:ext uri="{63B3BB69-23CF-44E3-9099-C40C66FF867C}">
                  <a14:compatExt spid="_x0000_s14477"/>
                </a:ext>
                <a:ext uri="{FF2B5EF4-FFF2-40B4-BE49-F238E27FC236}">
                  <a16:creationId xmlns:a16="http://schemas.microsoft.com/office/drawing/2014/main" id="{00000000-0008-0000-0100-00008D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7</xdr:col>
          <xdr:colOff>0</xdr:colOff>
          <xdr:row>238</xdr:row>
          <xdr:rowOff>165100</xdr:rowOff>
        </xdr:to>
        <xdr:sp macro="" textlink="">
          <xdr:nvSpPr>
            <xdr:cNvPr id="14476" name="Button 3212" hidden="1">
              <a:extLst>
                <a:ext uri="{63B3BB69-23CF-44E3-9099-C40C66FF867C}">
                  <a14:compatExt spid="_x0000_s14476"/>
                </a:ext>
                <a:ext uri="{FF2B5EF4-FFF2-40B4-BE49-F238E27FC236}">
                  <a16:creationId xmlns:a16="http://schemas.microsoft.com/office/drawing/2014/main" id="{00000000-0008-0000-0100-00008C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7</xdr:col>
          <xdr:colOff>0</xdr:colOff>
          <xdr:row>242</xdr:row>
          <xdr:rowOff>0</xdr:rowOff>
        </xdr:to>
        <xdr:sp macro="" textlink="">
          <xdr:nvSpPr>
            <xdr:cNvPr id="14475" name="Button 3211" hidden="1">
              <a:extLst>
                <a:ext uri="{63B3BB69-23CF-44E3-9099-C40C66FF867C}">
                  <a14:compatExt spid="_x0000_s14475"/>
                </a:ext>
                <a:ext uri="{FF2B5EF4-FFF2-40B4-BE49-F238E27FC236}">
                  <a16:creationId xmlns:a16="http://schemas.microsoft.com/office/drawing/2014/main" id="{00000000-0008-0000-0100-00008B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7</xdr:col>
          <xdr:colOff>0</xdr:colOff>
          <xdr:row>248</xdr:row>
          <xdr:rowOff>171450</xdr:rowOff>
        </xdr:to>
        <xdr:sp macro="" textlink="">
          <xdr:nvSpPr>
            <xdr:cNvPr id="14474" name="Button 3210" hidden="1">
              <a:extLst>
                <a:ext uri="{63B3BB69-23CF-44E3-9099-C40C66FF867C}">
                  <a14:compatExt spid="_x0000_s14474"/>
                </a:ext>
                <a:ext uri="{FF2B5EF4-FFF2-40B4-BE49-F238E27FC236}">
                  <a16:creationId xmlns:a16="http://schemas.microsoft.com/office/drawing/2014/main" id="{00000000-0008-0000-0100-00008A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7</xdr:col>
          <xdr:colOff>0</xdr:colOff>
          <xdr:row>249</xdr:row>
          <xdr:rowOff>165100</xdr:rowOff>
        </xdr:to>
        <xdr:sp macro="" textlink="">
          <xdr:nvSpPr>
            <xdr:cNvPr id="14473" name="Button 3209" hidden="1">
              <a:extLst>
                <a:ext uri="{63B3BB69-23CF-44E3-9099-C40C66FF867C}">
                  <a14:compatExt spid="_x0000_s14473"/>
                </a:ext>
                <a:ext uri="{FF2B5EF4-FFF2-40B4-BE49-F238E27FC236}">
                  <a16:creationId xmlns:a16="http://schemas.microsoft.com/office/drawing/2014/main" id="{00000000-0008-0000-0100-000089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7</xdr:col>
          <xdr:colOff>0</xdr:colOff>
          <xdr:row>253</xdr:row>
          <xdr:rowOff>0</xdr:rowOff>
        </xdr:to>
        <xdr:sp macro="" textlink="">
          <xdr:nvSpPr>
            <xdr:cNvPr id="14472" name="Button 3208" hidden="1">
              <a:extLst>
                <a:ext uri="{63B3BB69-23CF-44E3-9099-C40C66FF867C}">
                  <a14:compatExt spid="_x0000_s14472"/>
                </a:ext>
                <a:ext uri="{FF2B5EF4-FFF2-40B4-BE49-F238E27FC236}">
                  <a16:creationId xmlns:a16="http://schemas.microsoft.com/office/drawing/2014/main" id="{00000000-0008-0000-0100-000088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7</xdr:col>
          <xdr:colOff>0</xdr:colOff>
          <xdr:row>259</xdr:row>
          <xdr:rowOff>171450</xdr:rowOff>
        </xdr:to>
        <xdr:sp macro="" textlink="">
          <xdr:nvSpPr>
            <xdr:cNvPr id="14471" name="Button 3207" hidden="1">
              <a:extLst>
                <a:ext uri="{63B3BB69-23CF-44E3-9099-C40C66FF867C}">
                  <a14:compatExt spid="_x0000_s14471"/>
                </a:ext>
                <a:ext uri="{FF2B5EF4-FFF2-40B4-BE49-F238E27FC236}">
                  <a16:creationId xmlns:a16="http://schemas.microsoft.com/office/drawing/2014/main" id="{00000000-0008-0000-0100-000087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7</xdr:col>
          <xdr:colOff>0</xdr:colOff>
          <xdr:row>260</xdr:row>
          <xdr:rowOff>165100</xdr:rowOff>
        </xdr:to>
        <xdr:sp macro="" textlink="">
          <xdr:nvSpPr>
            <xdr:cNvPr id="14470" name="Button 3206" hidden="1">
              <a:extLst>
                <a:ext uri="{63B3BB69-23CF-44E3-9099-C40C66FF867C}">
                  <a14:compatExt spid="_x0000_s14470"/>
                </a:ext>
                <a:ext uri="{FF2B5EF4-FFF2-40B4-BE49-F238E27FC236}">
                  <a16:creationId xmlns:a16="http://schemas.microsoft.com/office/drawing/2014/main" id="{00000000-0008-0000-0100-000086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7</xdr:col>
          <xdr:colOff>0</xdr:colOff>
          <xdr:row>261</xdr:row>
          <xdr:rowOff>165100</xdr:rowOff>
        </xdr:to>
        <xdr:sp macro="" textlink="">
          <xdr:nvSpPr>
            <xdr:cNvPr id="14469" name="Button 3205" hidden="1">
              <a:extLst>
                <a:ext uri="{63B3BB69-23CF-44E3-9099-C40C66FF867C}">
                  <a14:compatExt spid="_x0000_s14469"/>
                </a:ext>
                <a:ext uri="{FF2B5EF4-FFF2-40B4-BE49-F238E27FC236}">
                  <a16:creationId xmlns:a16="http://schemas.microsoft.com/office/drawing/2014/main" id="{00000000-0008-0000-0100-000085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7</xdr:col>
          <xdr:colOff>0</xdr:colOff>
          <xdr:row>265</xdr:row>
          <xdr:rowOff>0</xdr:rowOff>
        </xdr:to>
        <xdr:sp macro="" textlink="">
          <xdr:nvSpPr>
            <xdr:cNvPr id="14468" name="Button 3204" hidden="1">
              <a:extLst>
                <a:ext uri="{63B3BB69-23CF-44E3-9099-C40C66FF867C}">
                  <a14:compatExt spid="_x0000_s14468"/>
                </a:ext>
                <a:ext uri="{FF2B5EF4-FFF2-40B4-BE49-F238E27FC236}">
                  <a16:creationId xmlns:a16="http://schemas.microsoft.com/office/drawing/2014/main" id="{00000000-0008-0000-0100-00008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7</xdr:col>
          <xdr:colOff>0</xdr:colOff>
          <xdr:row>271</xdr:row>
          <xdr:rowOff>171450</xdr:rowOff>
        </xdr:to>
        <xdr:sp macro="" textlink="">
          <xdr:nvSpPr>
            <xdr:cNvPr id="14467" name="Button 3203" hidden="1">
              <a:extLst>
                <a:ext uri="{63B3BB69-23CF-44E3-9099-C40C66FF867C}">
                  <a14:compatExt spid="_x0000_s14467"/>
                </a:ext>
                <a:ext uri="{FF2B5EF4-FFF2-40B4-BE49-F238E27FC236}">
                  <a16:creationId xmlns:a16="http://schemas.microsoft.com/office/drawing/2014/main" id="{00000000-0008-0000-0100-00008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7</xdr:col>
          <xdr:colOff>0</xdr:colOff>
          <xdr:row>272</xdr:row>
          <xdr:rowOff>165100</xdr:rowOff>
        </xdr:to>
        <xdr:sp macro="" textlink="">
          <xdr:nvSpPr>
            <xdr:cNvPr id="14466" name="Button 3202" hidden="1">
              <a:extLst>
                <a:ext uri="{63B3BB69-23CF-44E3-9099-C40C66FF867C}">
                  <a14:compatExt spid="_x0000_s14466"/>
                </a:ext>
                <a:ext uri="{FF2B5EF4-FFF2-40B4-BE49-F238E27FC236}">
                  <a16:creationId xmlns:a16="http://schemas.microsoft.com/office/drawing/2014/main" id="{00000000-0008-0000-0100-00008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7</xdr:col>
          <xdr:colOff>0</xdr:colOff>
          <xdr:row>273</xdr:row>
          <xdr:rowOff>165100</xdr:rowOff>
        </xdr:to>
        <xdr:sp macro="" textlink="">
          <xdr:nvSpPr>
            <xdr:cNvPr id="14465" name="Button 3201" hidden="1">
              <a:extLst>
                <a:ext uri="{63B3BB69-23CF-44E3-9099-C40C66FF867C}">
                  <a14:compatExt spid="_x0000_s14465"/>
                </a:ext>
                <a:ext uri="{FF2B5EF4-FFF2-40B4-BE49-F238E27FC236}">
                  <a16:creationId xmlns:a16="http://schemas.microsoft.com/office/drawing/2014/main" id="{00000000-0008-0000-0100-00008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7</xdr:col>
          <xdr:colOff>0</xdr:colOff>
          <xdr:row>277</xdr:row>
          <xdr:rowOff>0</xdr:rowOff>
        </xdr:to>
        <xdr:sp macro="" textlink="">
          <xdr:nvSpPr>
            <xdr:cNvPr id="14464" name="Button 3200" hidden="1">
              <a:extLst>
                <a:ext uri="{63B3BB69-23CF-44E3-9099-C40C66FF867C}">
                  <a14:compatExt spid="_x0000_s14464"/>
                </a:ext>
                <a:ext uri="{FF2B5EF4-FFF2-40B4-BE49-F238E27FC236}">
                  <a16:creationId xmlns:a16="http://schemas.microsoft.com/office/drawing/2014/main" id="{00000000-0008-0000-0100-000080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7</xdr:col>
          <xdr:colOff>0</xdr:colOff>
          <xdr:row>283</xdr:row>
          <xdr:rowOff>171450</xdr:rowOff>
        </xdr:to>
        <xdr:sp macro="" textlink="">
          <xdr:nvSpPr>
            <xdr:cNvPr id="14463" name="Button 3199" hidden="1">
              <a:extLst>
                <a:ext uri="{63B3BB69-23CF-44E3-9099-C40C66FF867C}">
                  <a14:compatExt spid="_x0000_s14463"/>
                </a:ext>
                <a:ext uri="{FF2B5EF4-FFF2-40B4-BE49-F238E27FC236}">
                  <a16:creationId xmlns:a16="http://schemas.microsoft.com/office/drawing/2014/main" id="{00000000-0008-0000-0100-00007F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7</xdr:col>
          <xdr:colOff>0</xdr:colOff>
          <xdr:row>284</xdr:row>
          <xdr:rowOff>165100</xdr:rowOff>
        </xdr:to>
        <xdr:sp macro="" textlink="">
          <xdr:nvSpPr>
            <xdr:cNvPr id="14462" name="Button 3198" hidden="1">
              <a:extLst>
                <a:ext uri="{63B3BB69-23CF-44E3-9099-C40C66FF867C}">
                  <a14:compatExt spid="_x0000_s14462"/>
                </a:ext>
                <a:ext uri="{FF2B5EF4-FFF2-40B4-BE49-F238E27FC236}">
                  <a16:creationId xmlns:a16="http://schemas.microsoft.com/office/drawing/2014/main" id="{00000000-0008-0000-0100-00007E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7</xdr:col>
          <xdr:colOff>0</xdr:colOff>
          <xdr:row>285</xdr:row>
          <xdr:rowOff>165100</xdr:rowOff>
        </xdr:to>
        <xdr:sp macro="" textlink="">
          <xdr:nvSpPr>
            <xdr:cNvPr id="14461" name="Button 3197" hidden="1">
              <a:extLst>
                <a:ext uri="{63B3BB69-23CF-44E3-9099-C40C66FF867C}">
                  <a14:compatExt spid="_x0000_s14461"/>
                </a:ext>
                <a:ext uri="{FF2B5EF4-FFF2-40B4-BE49-F238E27FC236}">
                  <a16:creationId xmlns:a16="http://schemas.microsoft.com/office/drawing/2014/main" id="{00000000-0008-0000-0100-00007D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7</xdr:col>
          <xdr:colOff>0</xdr:colOff>
          <xdr:row>289</xdr:row>
          <xdr:rowOff>0</xdr:rowOff>
        </xdr:to>
        <xdr:sp macro="" textlink="">
          <xdr:nvSpPr>
            <xdr:cNvPr id="14460" name="Button 3196" hidden="1">
              <a:extLst>
                <a:ext uri="{63B3BB69-23CF-44E3-9099-C40C66FF867C}">
                  <a14:compatExt spid="_x0000_s14460"/>
                </a:ext>
                <a:ext uri="{FF2B5EF4-FFF2-40B4-BE49-F238E27FC236}">
                  <a16:creationId xmlns:a16="http://schemas.microsoft.com/office/drawing/2014/main" id="{00000000-0008-0000-0100-00007C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7</xdr:col>
          <xdr:colOff>0</xdr:colOff>
          <xdr:row>295</xdr:row>
          <xdr:rowOff>171450</xdr:rowOff>
        </xdr:to>
        <xdr:sp macro="" textlink="">
          <xdr:nvSpPr>
            <xdr:cNvPr id="14459" name="Button 3195" hidden="1">
              <a:extLst>
                <a:ext uri="{63B3BB69-23CF-44E3-9099-C40C66FF867C}">
                  <a14:compatExt spid="_x0000_s14459"/>
                </a:ext>
                <a:ext uri="{FF2B5EF4-FFF2-40B4-BE49-F238E27FC236}">
                  <a16:creationId xmlns:a16="http://schemas.microsoft.com/office/drawing/2014/main" id="{00000000-0008-0000-0100-00007B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7</xdr:col>
          <xdr:colOff>0</xdr:colOff>
          <xdr:row>296</xdr:row>
          <xdr:rowOff>165100</xdr:rowOff>
        </xdr:to>
        <xdr:sp macro="" textlink="">
          <xdr:nvSpPr>
            <xdr:cNvPr id="14458" name="Button 3194" hidden="1">
              <a:extLst>
                <a:ext uri="{63B3BB69-23CF-44E3-9099-C40C66FF867C}">
                  <a14:compatExt spid="_x0000_s14458"/>
                </a:ext>
                <a:ext uri="{FF2B5EF4-FFF2-40B4-BE49-F238E27FC236}">
                  <a16:creationId xmlns:a16="http://schemas.microsoft.com/office/drawing/2014/main" id="{00000000-0008-0000-0100-00007A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7</xdr:col>
          <xdr:colOff>0</xdr:colOff>
          <xdr:row>300</xdr:row>
          <xdr:rowOff>0</xdr:rowOff>
        </xdr:to>
        <xdr:sp macro="" textlink="">
          <xdr:nvSpPr>
            <xdr:cNvPr id="14457" name="Button 3193" hidden="1">
              <a:extLst>
                <a:ext uri="{63B3BB69-23CF-44E3-9099-C40C66FF867C}">
                  <a14:compatExt spid="_x0000_s14457"/>
                </a:ext>
                <a:ext uri="{FF2B5EF4-FFF2-40B4-BE49-F238E27FC236}">
                  <a16:creationId xmlns:a16="http://schemas.microsoft.com/office/drawing/2014/main" id="{00000000-0008-0000-0100-000079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7</xdr:col>
          <xdr:colOff>0</xdr:colOff>
          <xdr:row>306</xdr:row>
          <xdr:rowOff>171450</xdr:rowOff>
        </xdr:to>
        <xdr:sp macro="" textlink="">
          <xdr:nvSpPr>
            <xdr:cNvPr id="14456" name="Button 3192" hidden="1">
              <a:extLst>
                <a:ext uri="{63B3BB69-23CF-44E3-9099-C40C66FF867C}">
                  <a14:compatExt spid="_x0000_s14456"/>
                </a:ext>
                <a:ext uri="{FF2B5EF4-FFF2-40B4-BE49-F238E27FC236}">
                  <a16:creationId xmlns:a16="http://schemas.microsoft.com/office/drawing/2014/main" id="{00000000-0008-0000-0100-000078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7</xdr:col>
          <xdr:colOff>0</xdr:colOff>
          <xdr:row>307</xdr:row>
          <xdr:rowOff>165100</xdr:rowOff>
        </xdr:to>
        <xdr:sp macro="" textlink="">
          <xdr:nvSpPr>
            <xdr:cNvPr id="14455" name="Button 3191" hidden="1">
              <a:extLst>
                <a:ext uri="{63B3BB69-23CF-44E3-9099-C40C66FF867C}">
                  <a14:compatExt spid="_x0000_s14455"/>
                </a:ext>
                <a:ext uri="{FF2B5EF4-FFF2-40B4-BE49-F238E27FC236}">
                  <a16:creationId xmlns:a16="http://schemas.microsoft.com/office/drawing/2014/main" id="{00000000-0008-0000-0100-000077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7</xdr:col>
          <xdr:colOff>0</xdr:colOff>
          <xdr:row>311</xdr:row>
          <xdr:rowOff>0</xdr:rowOff>
        </xdr:to>
        <xdr:sp macro="" textlink="">
          <xdr:nvSpPr>
            <xdr:cNvPr id="14454" name="Button 3190" hidden="1">
              <a:extLst>
                <a:ext uri="{63B3BB69-23CF-44E3-9099-C40C66FF867C}">
                  <a14:compatExt spid="_x0000_s14454"/>
                </a:ext>
                <a:ext uri="{FF2B5EF4-FFF2-40B4-BE49-F238E27FC236}">
                  <a16:creationId xmlns:a16="http://schemas.microsoft.com/office/drawing/2014/main" id="{00000000-0008-0000-0100-000076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7</xdr:col>
          <xdr:colOff>0</xdr:colOff>
          <xdr:row>317</xdr:row>
          <xdr:rowOff>171450</xdr:rowOff>
        </xdr:to>
        <xdr:sp macro="" textlink="">
          <xdr:nvSpPr>
            <xdr:cNvPr id="14453" name="Button 3189" hidden="1">
              <a:extLst>
                <a:ext uri="{63B3BB69-23CF-44E3-9099-C40C66FF867C}">
                  <a14:compatExt spid="_x0000_s14453"/>
                </a:ext>
                <a:ext uri="{FF2B5EF4-FFF2-40B4-BE49-F238E27FC236}">
                  <a16:creationId xmlns:a16="http://schemas.microsoft.com/office/drawing/2014/main" id="{00000000-0008-0000-0100-000075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7</xdr:col>
          <xdr:colOff>0</xdr:colOff>
          <xdr:row>318</xdr:row>
          <xdr:rowOff>165100</xdr:rowOff>
        </xdr:to>
        <xdr:sp macro="" textlink="">
          <xdr:nvSpPr>
            <xdr:cNvPr id="14452" name="Button 3188" hidden="1">
              <a:extLst>
                <a:ext uri="{63B3BB69-23CF-44E3-9099-C40C66FF867C}">
                  <a14:compatExt spid="_x0000_s14452"/>
                </a:ext>
                <a:ext uri="{FF2B5EF4-FFF2-40B4-BE49-F238E27FC236}">
                  <a16:creationId xmlns:a16="http://schemas.microsoft.com/office/drawing/2014/main" id="{00000000-0008-0000-0100-00007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7</xdr:col>
          <xdr:colOff>0</xdr:colOff>
          <xdr:row>319</xdr:row>
          <xdr:rowOff>165100</xdr:rowOff>
        </xdr:to>
        <xdr:sp macro="" textlink="">
          <xdr:nvSpPr>
            <xdr:cNvPr id="14451" name="Button 3187" hidden="1">
              <a:extLst>
                <a:ext uri="{63B3BB69-23CF-44E3-9099-C40C66FF867C}">
                  <a14:compatExt spid="_x0000_s14451"/>
                </a:ext>
                <a:ext uri="{FF2B5EF4-FFF2-40B4-BE49-F238E27FC236}">
                  <a16:creationId xmlns:a16="http://schemas.microsoft.com/office/drawing/2014/main" id="{00000000-0008-0000-0100-00007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7</xdr:col>
          <xdr:colOff>0</xdr:colOff>
          <xdr:row>323</xdr:row>
          <xdr:rowOff>0</xdr:rowOff>
        </xdr:to>
        <xdr:sp macro="" textlink="">
          <xdr:nvSpPr>
            <xdr:cNvPr id="14450" name="Button 3186" hidden="1">
              <a:extLst>
                <a:ext uri="{63B3BB69-23CF-44E3-9099-C40C66FF867C}">
                  <a14:compatExt spid="_x0000_s14450"/>
                </a:ext>
                <a:ext uri="{FF2B5EF4-FFF2-40B4-BE49-F238E27FC236}">
                  <a16:creationId xmlns:a16="http://schemas.microsoft.com/office/drawing/2014/main" id="{00000000-0008-0000-0100-00007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7</xdr:col>
          <xdr:colOff>0</xdr:colOff>
          <xdr:row>329</xdr:row>
          <xdr:rowOff>171450</xdr:rowOff>
        </xdr:to>
        <xdr:sp macro="" textlink="">
          <xdr:nvSpPr>
            <xdr:cNvPr id="14449" name="Button 3185" hidden="1">
              <a:extLst>
                <a:ext uri="{63B3BB69-23CF-44E3-9099-C40C66FF867C}">
                  <a14:compatExt spid="_x0000_s14449"/>
                </a:ext>
                <a:ext uri="{FF2B5EF4-FFF2-40B4-BE49-F238E27FC236}">
                  <a16:creationId xmlns:a16="http://schemas.microsoft.com/office/drawing/2014/main" id="{00000000-0008-0000-0100-00007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7</xdr:col>
          <xdr:colOff>0</xdr:colOff>
          <xdr:row>330</xdr:row>
          <xdr:rowOff>165100</xdr:rowOff>
        </xdr:to>
        <xdr:sp macro="" textlink="">
          <xdr:nvSpPr>
            <xdr:cNvPr id="14448" name="Button 3184" hidden="1">
              <a:extLst>
                <a:ext uri="{63B3BB69-23CF-44E3-9099-C40C66FF867C}">
                  <a14:compatExt spid="_x0000_s14448"/>
                </a:ext>
                <a:ext uri="{FF2B5EF4-FFF2-40B4-BE49-F238E27FC236}">
                  <a16:creationId xmlns:a16="http://schemas.microsoft.com/office/drawing/2014/main" id="{00000000-0008-0000-0100-000070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7</xdr:col>
          <xdr:colOff>0</xdr:colOff>
          <xdr:row>334</xdr:row>
          <xdr:rowOff>0</xdr:rowOff>
        </xdr:to>
        <xdr:sp macro="" textlink="">
          <xdr:nvSpPr>
            <xdr:cNvPr id="14447" name="Button 3183" hidden="1">
              <a:extLst>
                <a:ext uri="{63B3BB69-23CF-44E3-9099-C40C66FF867C}">
                  <a14:compatExt spid="_x0000_s14447"/>
                </a:ext>
                <a:ext uri="{FF2B5EF4-FFF2-40B4-BE49-F238E27FC236}">
                  <a16:creationId xmlns:a16="http://schemas.microsoft.com/office/drawing/2014/main" id="{00000000-0008-0000-0100-00006F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7</xdr:col>
          <xdr:colOff>0</xdr:colOff>
          <xdr:row>340</xdr:row>
          <xdr:rowOff>171450</xdr:rowOff>
        </xdr:to>
        <xdr:sp macro="" textlink="">
          <xdr:nvSpPr>
            <xdr:cNvPr id="14446" name="Button 3182" hidden="1">
              <a:extLst>
                <a:ext uri="{63B3BB69-23CF-44E3-9099-C40C66FF867C}">
                  <a14:compatExt spid="_x0000_s14446"/>
                </a:ext>
                <a:ext uri="{FF2B5EF4-FFF2-40B4-BE49-F238E27FC236}">
                  <a16:creationId xmlns:a16="http://schemas.microsoft.com/office/drawing/2014/main" id="{00000000-0008-0000-0100-00006E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7</xdr:col>
          <xdr:colOff>0</xdr:colOff>
          <xdr:row>341</xdr:row>
          <xdr:rowOff>165100</xdr:rowOff>
        </xdr:to>
        <xdr:sp macro="" textlink="">
          <xdr:nvSpPr>
            <xdr:cNvPr id="14445" name="Button 3181" hidden="1">
              <a:extLst>
                <a:ext uri="{63B3BB69-23CF-44E3-9099-C40C66FF867C}">
                  <a14:compatExt spid="_x0000_s14445"/>
                </a:ext>
                <a:ext uri="{FF2B5EF4-FFF2-40B4-BE49-F238E27FC236}">
                  <a16:creationId xmlns:a16="http://schemas.microsoft.com/office/drawing/2014/main" id="{00000000-0008-0000-0100-00006D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7</xdr:col>
          <xdr:colOff>0</xdr:colOff>
          <xdr:row>342</xdr:row>
          <xdr:rowOff>165100</xdr:rowOff>
        </xdr:to>
        <xdr:sp macro="" textlink="">
          <xdr:nvSpPr>
            <xdr:cNvPr id="14444" name="Button 3180" hidden="1">
              <a:extLst>
                <a:ext uri="{63B3BB69-23CF-44E3-9099-C40C66FF867C}">
                  <a14:compatExt spid="_x0000_s14444"/>
                </a:ext>
                <a:ext uri="{FF2B5EF4-FFF2-40B4-BE49-F238E27FC236}">
                  <a16:creationId xmlns:a16="http://schemas.microsoft.com/office/drawing/2014/main" id="{00000000-0008-0000-0100-00006C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7</xdr:col>
          <xdr:colOff>0</xdr:colOff>
          <xdr:row>346</xdr:row>
          <xdr:rowOff>0</xdr:rowOff>
        </xdr:to>
        <xdr:sp macro="" textlink="">
          <xdr:nvSpPr>
            <xdr:cNvPr id="14443" name="Button 3179" hidden="1">
              <a:extLst>
                <a:ext uri="{63B3BB69-23CF-44E3-9099-C40C66FF867C}">
                  <a14:compatExt spid="_x0000_s14443"/>
                </a:ext>
                <a:ext uri="{FF2B5EF4-FFF2-40B4-BE49-F238E27FC236}">
                  <a16:creationId xmlns:a16="http://schemas.microsoft.com/office/drawing/2014/main" id="{00000000-0008-0000-0100-00006B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7</xdr:col>
          <xdr:colOff>0</xdr:colOff>
          <xdr:row>352</xdr:row>
          <xdr:rowOff>171450</xdr:rowOff>
        </xdr:to>
        <xdr:sp macro="" textlink="">
          <xdr:nvSpPr>
            <xdr:cNvPr id="14442" name="Button 3178" hidden="1">
              <a:extLst>
                <a:ext uri="{63B3BB69-23CF-44E3-9099-C40C66FF867C}">
                  <a14:compatExt spid="_x0000_s14442"/>
                </a:ext>
                <a:ext uri="{FF2B5EF4-FFF2-40B4-BE49-F238E27FC236}">
                  <a16:creationId xmlns:a16="http://schemas.microsoft.com/office/drawing/2014/main" id="{00000000-0008-0000-0100-00006A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7</xdr:col>
          <xdr:colOff>0</xdr:colOff>
          <xdr:row>353</xdr:row>
          <xdr:rowOff>165100</xdr:rowOff>
        </xdr:to>
        <xdr:sp macro="" textlink="">
          <xdr:nvSpPr>
            <xdr:cNvPr id="14441" name="Button 3177" hidden="1">
              <a:extLst>
                <a:ext uri="{63B3BB69-23CF-44E3-9099-C40C66FF867C}">
                  <a14:compatExt spid="_x0000_s14441"/>
                </a:ext>
                <a:ext uri="{FF2B5EF4-FFF2-40B4-BE49-F238E27FC236}">
                  <a16:creationId xmlns:a16="http://schemas.microsoft.com/office/drawing/2014/main" id="{00000000-0008-0000-0100-000069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7</xdr:col>
          <xdr:colOff>0</xdr:colOff>
          <xdr:row>357</xdr:row>
          <xdr:rowOff>0</xdr:rowOff>
        </xdr:to>
        <xdr:sp macro="" textlink="">
          <xdr:nvSpPr>
            <xdr:cNvPr id="14440" name="Button 3176" hidden="1">
              <a:extLst>
                <a:ext uri="{63B3BB69-23CF-44E3-9099-C40C66FF867C}">
                  <a14:compatExt spid="_x0000_s14440"/>
                </a:ext>
                <a:ext uri="{FF2B5EF4-FFF2-40B4-BE49-F238E27FC236}">
                  <a16:creationId xmlns:a16="http://schemas.microsoft.com/office/drawing/2014/main" id="{00000000-0008-0000-0100-000068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7</xdr:col>
          <xdr:colOff>0</xdr:colOff>
          <xdr:row>363</xdr:row>
          <xdr:rowOff>171450</xdr:rowOff>
        </xdr:to>
        <xdr:sp macro="" textlink="">
          <xdr:nvSpPr>
            <xdr:cNvPr id="14439" name="Button 3175" hidden="1">
              <a:extLst>
                <a:ext uri="{63B3BB69-23CF-44E3-9099-C40C66FF867C}">
                  <a14:compatExt spid="_x0000_s14439"/>
                </a:ext>
                <a:ext uri="{FF2B5EF4-FFF2-40B4-BE49-F238E27FC236}">
                  <a16:creationId xmlns:a16="http://schemas.microsoft.com/office/drawing/2014/main" id="{00000000-0008-0000-0100-000067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7</xdr:col>
          <xdr:colOff>0</xdr:colOff>
          <xdr:row>364</xdr:row>
          <xdr:rowOff>165100</xdr:rowOff>
        </xdr:to>
        <xdr:sp macro="" textlink="">
          <xdr:nvSpPr>
            <xdr:cNvPr id="14438" name="Button 3174" hidden="1">
              <a:extLst>
                <a:ext uri="{63B3BB69-23CF-44E3-9099-C40C66FF867C}">
                  <a14:compatExt spid="_x0000_s14438"/>
                </a:ext>
                <a:ext uri="{FF2B5EF4-FFF2-40B4-BE49-F238E27FC236}">
                  <a16:creationId xmlns:a16="http://schemas.microsoft.com/office/drawing/2014/main" id="{00000000-0008-0000-0100-000066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7</xdr:col>
          <xdr:colOff>0</xdr:colOff>
          <xdr:row>368</xdr:row>
          <xdr:rowOff>0</xdr:rowOff>
        </xdr:to>
        <xdr:sp macro="" textlink="">
          <xdr:nvSpPr>
            <xdr:cNvPr id="14437" name="Button 3173" hidden="1">
              <a:extLst>
                <a:ext uri="{63B3BB69-23CF-44E3-9099-C40C66FF867C}">
                  <a14:compatExt spid="_x0000_s14437"/>
                </a:ext>
                <a:ext uri="{FF2B5EF4-FFF2-40B4-BE49-F238E27FC236}">
                  <a16:creationId xmlns:a16="http://schemas.microsoft.com/office/drawing/2014/main" id="{00000000-0008-0000-0100-000065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7</xdr:col>
          <xdr:colOff>0</xdr:colOff>
          <xdr:row>374</xdr:row>
          <xdr:rowOff>171450</xdr:rowOff>
        </xdr:to>
        <xdr:sp macro="" textlink="">
          <xdr:nvSpPr>
            <xdr:cNvPr id="14436" name="Button 3172" hidden="1">
              <a:extLst>
                <a:ext uri="{63B3BB69-23CF-44E3-9099-C40C66FF867C}">
                  <a14:compatExt spid="_x0000_s14436"/>
                </a:ext>
                <a:ext uri="{FF2B5EF4-FFF2-40B4-BE49-F238E27FC236}">
                  <a16:creationId xmlns:a16="http://schemas.microsoft.com/office/drawing/2014/main" id="{00000000-0008-0000-0100-00006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7</xdr:col>
          <xdr:colOff>0</xdr:colOff>
          <xdr:row>375</xdr:row>
          <xdr:rowOff>165100</xdr:rowOff>
        </xdr:to>
        <xdr:sp macro="" textlink="">
          <xdr:nvSpPr>
            <xdr:cNvPr id="14435" name="Button 3171" hidden="1">
              <a:extLst>
                <a:ext uri="{63B3BB69-23CF-44E3-9099-C40C66FF867C}">
                  <a14:compatExt spid="_x0000_s14435"/>
                </a:ext>
                <a:ext uri="{FF2B5EF4-FFF2-40B4-BE49-F238E27FC236}">
                  <a16:creationId xmlns:a16="http://schemas.microsoft.com/office/drawing/2014/main" id="{00000000-0008-0000-0100-00006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7</xdr:col>
          <xdr:colOff>0</xdr:colOff>
          <xdr:row>379</xdr:row>
          <xdr:rowOff>0</xdr:rowOff>
        </xdr:to>
        <xdr:sp macro="" textlink="">
          <xdr:nvSpPr>
            <xdr:cNvPr id="14434" name="Button 3170" hidden="1">
              <a:extLst>
                <a:ext uri="{63B3BB69-23CF-44E3-9099-C40C66FF867C}">
                  <a14:compatExt spid="_x0000_s14434"/>
                </a:ext>
                <a:ext uri="{FF2B5EF4-FFF2-40B4-BE49-F238E27FC236}">
                  <a16:creationId xmlns:a16="http://schemas.microsoft.com/office/drawing/2014/main" id="{00000000-0008-0000-0100-00006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7</xdr:col>
          <xdr:colOff>0</xdr:colOff>
          <xdr:row>385</xdr:row>
          <xdr:rowOff>171450</xdr:rowOff>
        </xdr:to>
        <xdr:sp macro="" textlink="">
          <xdr:nvSpPr>
            <xdr:cNvPr id="14433" name="Button 3169" hidden="1">
              <a:extLst>
                <a:ext uri="{63B3BB69-23CF-44E3-9099-C40C66FF867C}">
                  <a14:compatExt spid="_x0000_s14433"/>
                </a:ext>
                <a:ext uri="{FF2B5EF4-FFF2-40B4-BE49-F238E27FC236}">
                  <a16:creationId xmlns:a16="http://schemas.microsoft.com/office/drawing/2014/main" id="{00000000-0008-0000-0100-00006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7</xdr:col>
          <xdr:colOff>0</xdr:colOff>
          <xdr:row>386</xdr:row>
          <xdr:rowOff>165100</xdr:rowOff>
        </xdr:to>
        <xdr:sp macro="" textlink="">
          <xdr:nvSpPr>
            <xdr:cNvPr id="14432" name="Button 3168" hidden="1">
              <a:extLst>
                <a:ext uri="{63B3BB69-23CF-44E3-9099-C40C66FF867C}">
                  <a14:compatExt spid="_x0000_s14432"/>
                </a:ext>
                <a:ext uri="{FF2B5EF4-FFF2-40B4-BE49-F238E27FC236}">
                  <a16:creationId xmlns:a16="http://schemas.microsoft.com/office/drawing/2014/main" id="{00000000-0008-0000-0100-000060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7</xdr:col>
          <xdr:colOff>0</xdr:colOff>
          <xdr:row>390</xdr:row>
          <xdr:rowOff>0</xdr:rowOff>
        </xdr:to>
        <xdr:sp macro="" textlink="">
          <xdr:nvSpPr>
            <xdr:cNvPr id="14431" name="Button 3167" hidden="1">
              <a:extLst>
                <a:ext uri="{63B3BB69-23CF-44E3-9099-C40C66FF867C}">
                  <a14:compatExt spid="_x0000_s14431"/>
                </a:ext>
                <a:ext uri="{FF2B5EF4-FFF2-40B4-BE49-F238E27FC236}">
                  <a16:creationId xmlns:a16="http://schemas.microsoft.com/office/drawing/2014/main" id="{00000000-0008-0000-0100-00005F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7</xdr:col>
          <xdr:colOff>0</xdr:colOff>
          <xdr:row>396</xdr:row>
          <xdr:rowOff>171450</xdr:rowOff>
        </xdr:to>
        <xdr:sp macro="" textlink="">
          <xdr:nvSpPr>
            <xdr:cNvPr id="14430" name="Button 3166" hidden="1">
              <a:extLst>
                <a:ext uri="{63B3BB69-23CF-44E3-9099-C40C66FF867C}">
                  <a14:compatExt spid="_x0000_s14430"/>
                </a:ext>
                <a:ext uri="{FF2B5EF4-FFF2-40B4-BE49-F238E27FC236}">
                  <a16:creationId xmlns:a16="http://schemas.microsoft.com/office/drawing/2014/main" id="{00000000-0008-0000-0100-00005E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7</xdr:col>
          <xdr:colOff>0</xdr:colOff>
          <xdr:row>397</xdr:row>
          <xdr:rowOff>165100</xdr:rowOff>
        </xdr:to>
        <xdr:sp macro="" textlink="">
          <xdr:nvSpPr>
            <xdr:cNvPr id="14429" name="Button 3165" hidden="1">
              <a:extLst>
                <a:ext uri="{63B3BB69-23CF-44E3-9099-C40C66FF867C}">
                  <a14:compatExt spid="_x0000_s14429"/>
                </a:ext>
                <a:ext uri="{FF2B5EF4-FFF2-40B4-BE49-F238E27FC236}">
                  <a16:creationId xmlns:a16="http://schemas.microsoft.com/office/drawing/2014/main" id="{00000000-0008-0000-0100-00005D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7</xdr:col>
          <xdr:colOff>0</xdr:colOff>
          <xdr:row>401</xdr:row>
          <xdr:rowOff>0</xdr:rowOff>
        </xdr:to>
        <xdr:sp macro="" textlink="">
          <xdr:nvSpPr>
            <xdr:cNvPr id="14428" name="Button 3164" hidden="1">
              <a:extLst>
                <a:ext uri="{63B3BB69-23CF-44E3-9099-C40C66FF867C}">
                  <a14:compatExt spid="_x0000_s14428"/>
                </a:ext>
                <a:ext uri="{FF2B5EF4-FFF2-40B4-BE49-F238E27FC236}">
                  <a16:creationId xmlns:a16="http://schemas.microsoft.com/office/drawing/2014/main" id="{00000000-0008-0000-0100-00005C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7</xdr:col>
          <xdr:colOff>0</xdr:colOff>
          <xdr:row>407</xdr:row>
          <xdr:rowOff>171450</xdr:rowOff>
        </xdr:to>
        <xdr:sp macro="" textlink="">
          <xdr:nvSpPr>
            <xdr:cNvPr id="14427" name="Button 3163" hidden="1">
              <a:extLst>
                <a:ext uri="{63B3BB69-23CF-44E3-9099-C40C66FF867C}">
                  <a14:compatExt spid="_x0000_s14427"/>
                </a:ext>
                <a:ext uri="{FF2B5EF4-FFF2-40B4-BE49-F238E27FC236}">
                  <a16:creationId xmlns:a16="http://schemas.microsoft.com/office/drawing/2014/main" id="{00000000-0008-0000-0100-00005B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7</xdr:col>
          <xdr:colOff>0</xdr:colOff>
          <xdr:row>408</xdr:row>
          <xdr:rowOff>165100</xdr:rowOff>
        </xdr:to>
        <xdr:sp macro="" textlink="">
          <xdr:nvSpPr>
            <xdr:cNvPr id="14426" name="Button 3162" hidden="1">
              <a:extLst>
                <a:ext uri="{63B3BB69-23CF-44E3-9099-C40C66FF867C}">
                  <a14:compatExt spid="_x0000_s14426"/>
                </a:ext>
                <a:ext uri="{FF2B5EF4-FFF2-40B4-BE49-F238E27FC236}">
                  <a16:creationId xmlns:a16="http://schemas.microsoft.com/office/drawing/2014/main" id="{00000000-0008-0000-0100-00005A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7</xdr:col>
          <xdr:colOff>0</xdr:colOff>
          <xdr:row>409</xdr:row>
          <xdr:rowOff>165100</xdr:rowOff>
        </xdr:to>
        <xdr:sp macro="" textlink="">
          <xdr:nvSpPr>
            <xdr:cNvPr id="14425" name="Button 3161" hidden="1">
              <a:extLst>
                <a:ext uri="{63B3BB69-23CF-44E3-9099-C40C66FF867C}">
                  <a14:compatExt spid="_x0000_s14425"/>
                </a:ext>
                <a:ext uri="{FF2B5EF4-FFF2-40B4-BE49-F238E27FC236}">
                  <a16:creationId xmlns:a16="http://schemas.microsoft.com/office/drawing/2014/main" id="{00000000-0008-0000-0100-000059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7</xdr:col>
          <xdr:colOff>0</xdr:colOff>
          <xdr:row>410</xdr:row>
          <xdr:rowOff>165100</xdr:rowOff>
        </xdr:to>
        <xdr:sp macro="" textlink="">
          <xdr:nvSpPr>
            <xdr:cNvPr id="14424" name="Button 3160" hidden="1">
              <a:extLst>
                <a:ext uri="{63B3BB69-23CF-44E3-9099-C40C66FF867C}">
                  <a14:compatExt spid="_x0000_s14424"/>
                </a:ext>
                <a:ext uri="{FF2B5EF4-FFF2-40B4-BE49-F238E27FC236}">
                  <a16:creationId xmlns:a16="http://schemas.microsoft.com/office/drawing/2014/main" id="{00000000-0008-0000-0100-000058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7</xdr:col>
          <xdr:colOff>0</xdr:colOff>
          <xdr:row>414</xdr:row>
          <xdr:rowOff>0</xdr:rowOff>
        </xdr:to>
        <xdr:sp macro="" textlink="">
          <xdr:nvSpPr>
            <xdr:cNvPr id="14423" name="Button 3159" hidden="1">
              <a:extLst>
                <a:ext uri="{63B3BB69-23CF-44E3-9099-C40C66FF867C}">
                  <a14:compatExt spid="_x0000_s14423"/>
                </a:ext>
                <a:ext uri="{FF2B5EF4-FFF2-40B4-BE49-F238E27FC236}">
                  <a16:creationId xmlns:a16="http://schemas.microsoft.com/office/drawing/2014/main" id="{00000000-0008-0000-0100-000057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7</xdr:col>
          <xdr:colOff>0</xdr:colOff>
          <xdr:row>420</xdr:row>
          <xdr:rowOff>171450</xdr:rowOff>
        </xdr:to>
        <xdr:sp macro="" textlink="">
          <xdr:nvSpPr>
            <xdr:cNvPr id="14422" name="Button 3158" hidden="1">
              <a:extLst>
                <a:ext uri="{63B3BB69-23CF-44E3-9099-C40C66FF867C}">
                  <a14:compatExt spid="_x0000_s14422"/>
                </a:ext>
                <a:ext uri="{FF2B5EF4-FFF2-40B4-BE49-F238E27FC236}">
                  <a16:creationId xmlns:a16="http://schemas.microsoft.com/office/drawing/2014/main" id="{00000000-0008-0000-0100-000056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7</xdr:col>
          <xdr:colOff>0</xdr:colOff>
          <xdr:row>421</xdr:row>
          <xdr:rowOff>165100</xdr:rowOff>
        </xdr:to>
        <xdr:sp macro="" textlink="">
          <xdr:nvSpPr>
            <xdr:cNvPr id="14421" name="Button 3157" hidden="1">
              <a:extLst>
                <a:ext uri="{63B3BB69-23CF-44E3-9099-C40C66FF867C}">
                  <a14:compatExt spid="_x0000_s14421"/>
                </a:ext>
                <a:ext uri="{FF2B5EF4-FFF2-40B4-BE49-F238E27FC236}">
                  <a16:creationId xmlns:a16="http://schemas.microsoft.com/office/drawing/2014/main" id="{00000000-0008-0000-0100-000055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7</xdr:col>
          <xdr:colOff>0</xdr:colOff>
          <xdr:row>422</xdr:row>
          <xdr:rowOff>165100</xdr:rowOff>
        </xdr:to>
        <xdr:sp macro="" textlink="">
          <xdr:nvSpPr>
            <xdr:cNvPr id="14420" name="Button 3156" hidden="1">
              <a:extLst>
                <a:ext uri="{63B3BB69-23CF-44E3-9099-C40C66FF867C}">
                  <a14:compatExt spid="_x0000_s14420"/>
                </a:ext>
                <a:ext uri="{FF2B5EF4-FFF2-40B4-BE49-F238E27FC236}">
                  <a16:creationId xmlns:a16="http://schemas.microsoft.com/office/drawing/2014/main" id="{00000000-0008-0000-0100-00005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7</xdr:col>
          <xdr:colOff>0</xdr:colOff>
          <xdr:row>423</xdr:row>
          <xdr:rowOff>165100</xdr:rowOff>
        </xdr:to>
        <xdr:sp macro="" textlink="">
          <xdr:nvSpPr>
            <xdr:cNvPr id="14419" name="Button 3155" hidden="1">
              <a:extLst>
                <a:ext uri="{63B3BB69-23CF-44E3-9099-C40C66FF867C}">
                  <a14:compatExt spid="_x0000_s14419"/>
                </a:ext>
                <a:ext uri="{FF2B5EF4-FFF2-40B4-BE49-F238E27FC236}">
                  <a16:creationId xmlns:a16="http://schemas.microsoft.com/office/drawing/2014/main" id="{00000000-0008-0000-0100-00005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7</xdr:col>
          <xdr:colOff>0</xdr:colOff>
          <xdr:row>424</xdr:row>
          <xdr:rowOff>165100</xdr:rowOff>
        </xdr:to>
        <xdr:sp macro="" textlink="">
          <xdr:nvSpPr>
            <xdr:cNvPr id="14418" name="Button 3154" hidden="1">
              <a:extLst>
                <a:ext uri="{63B3BB69-23CF-44E3-9099-C40C66FF867C}">
                  <a14:compatExt spid="_x0000_s14418"/>
                </a:ext>
                <a:ext uri="{FF2B5EF4-FFF2-40B4-BE49-F238E27FC236}">
                  <a16:creationId xmlns:a16="http://schemas.microsoft.com/office/drawing/2014/main" id="{00000000-0008-0000-0100-00005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7</xdr:col>
          <xdr:colOff>0</xdr:colOff>
          <xdr:row>425</xdr:row>
          <xdr:rowOff>165100</xdr:rowOff>
        </xdr:to>
        <xdr:sp macro="" textlink="">
          <xdr:nvSpPr>
            <xdr:cNvPr id="14417" name="Button 3153" hidden="1">
              <a:extLst>
                <a:ext uri="{63B3BB69-23CF-44E3-9099-C40C66FF867C}">
                  <a14:compatExt spid="_x0000_s14417"/>
                </a:ext>
                <a:ext uri="{FF2B5EF4-FFF2-40B4-BE49-F238E27FC236}">
                  <a16:creationId xmlns:a16="http://schemas.microsoft.com/office/drawing/2014/main" id="{00000000-0008-0000-0100-00005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7</xdr:col>
          <xdr:colOff>0</xdr:colOff>
          <xdr:row>426</xdr:row>
          <xdr:rowOff>165100</xdr:rowOff>
        </xdr:to>
        <xdr:sp macro="" textlink="">
          <xdr:nvSpPr>
            <xdr:cNvPr id="14416" name="Button 3152" hidden="1">
              <a:extLst>
                <a:ext uri="{63B3BB69-23CF-44E3-9099-C40C66FF867C}">
                  <a14:compatExt spid="_x0000_s14416"/>
                </a:ext>
                <a:ext uri="{FF2B5EF4-FFF2-40B4-BE49-F238E27FC236}">
                  <a16:creationId xmlns:a16="http://schemas.microsoft.com/office/drawing/2014/main" id="{00000000-0008-0000-0100-000050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7</xdr:col>
          <xdr:colOff>0</xdr:colOff>
          <xdr:row>430</xdr:row>
          <xdr:rowOff>0</xdr:rowOff>
        </xdr:to>
        <xdr:sp macro="" textlink="">
          <xdr:nvSpPr>
            <xdr:cNvPr id="14415" name="Button 3151" hidden="1">
              <a:extLst>
                <a:ext uri="{63B3BB69-23CF-44E3-9099-C40C66FF867C}">
                  <a14:compatExt spid="_x0000_s14415"/>
                </a:ext>
                <a:ext uri="{FF2B5EF4-FFF2-40B4-BE49-F238E27FC236}">
                  <a16:creationId xmlns:a16="http://schemas.microsoft.com/office/drawing/2014/main" id="{00000000-0008-0000-0100-00004F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7</xdr:col>
          <xdr:colOff>0</xdr:colOff>
          <xdr:row>436</xdr:row>
          <xdr:rowOff>171450</xdr:rowOff>
        </xdr:to>
        <xdr:sp macro="" textlink="">
          <xdr:nvSpPr>
            <xdr:cNvPr id="14414" name="Button 3150" hidden="1">
              <a:extLst>
                <a:ext uri="{63B3BB69-23CF-44E3-9099-C40C66FF867C}">
                  <a14:compatExt spid="_x0000_s14414"/>
                </a:ext>
                <a:ext uri="{FF2B5EF4-FFF2-40B4-BE49-F238E27FC236}">
                  <a16:creationId xmlns:a16="http://schemas.microsoft.com/office/drawing/2014/main" id="{00000000-0008-0000-0100-00004E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7</xdr:col>
          <xdr:colOff>0</xdr:colOff>
          <xdr:row>437</xdr:row>
          <xdr:rowOff>165100</xdr:rowOff>
        </xdr:to>
        <xdr:sp macro="" textlink="">
          <xdr:nvSpPr>
            <xdr:cNvPr id="14413" name="Button 3149" hidden="1">
              <a:extLst>
                <a:ext uri="{63B3BB69-23CF-44E3-9099-C40C66FF867C}">
                  <a14:compatExt spid="_x0000_s14413"/>
                </a:ext>
                <a:ext uri="{FF2B5EF4-FFF2-40B4-BE49-F238E27FC236}">
                  <a16:creationId xmlns:a16="http://schemas.microsoft.com/office/drawing/2014/main" id="{00000000-0008-0000-0100-00004D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7</xdr:col>
          <xdr:colOff>0</xdr:colOff>
          <xdr:row>441</xdr:row>
          <xdr:rowOff>0</xdr:rowOff>
        </xdr:to>
        <xdr:sp macro="" textlink="">
          <xdr:nvSpPr>
            <xdr:cNvPr id="14412" name="Button 3148" hidden="1">
              <a:extLst>
                <a:ext uri="{63B3BB69-23CF-44E3-9099-C40C66FF867C}">
                  <a14:compatExt spid="_x0000_s14412"/>
                </a:ext>
                <a:ext uri="{FF2B5EF4-FFF2-40B4-BE49-F238E27FC236}">
                  <a16:creationId xmlns:a16="http://schemas.microsoft.com/office/drawing/2014/main" id="{00000000-0008-0000-0100-00004C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7</xdr:col>
          <xdr:colOff>0</xdr:colOff>
          <xdr:row>447</xdr:row>
          <xdr:rowOff>171450</xdr:rowOff>
        </xdr:to>
        <xdr:sp macro="" textlink="">
          <xdr:nvSpPr>
            <xdr:cNvPr id="14411" name="Button 3147" hidden="1">
              <a:extLst>
                <a:ext uri="{63B3BB69-23CF-44E3-9099-C40C66FF867C}">
                  <a14:compatExt spid="_x0000_s14411"/>
                </a:ext>
                <a:ext uri="{FF2B5EF4-FFF2-40B4-BE49-F238E27FC236}">
                  <a16:creationId xmlns:a16="http://schemas.microsoft.com/office/drawing/2014/main" id="{00000000-0008-0000-0100-00004B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7</xdr:col>
          <xdr:colOff>0</xdr:colOff>
          <xdr:row>448</xdr:row>
          <xdr:rowOff>165100</xdr:rowOff>
        </xdr:to>
        <xdr:sp macro="" textlink="">
          <xdr:nvSpPr>
            <xdr:cNvPr id="14410" name="Button 3146" hidden="1">
              <a:extLst>
                <a:ext uri="{63B3BB69-23CF-44E3-9099-C40C66FF867C}">
                  <a14:compatExt spid="_x0000_s14410"/>
                </a:ext>
                <a:ext uri="{FF2B5EF4-FFF2-40B4-BE49-F238E27FC236}">
                  <a16:creationId xmlns:a16="http://schemas.microsoft.com/office/drawing/2014/main" id="{00000000-0008-0000-0100-00004A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7</xdr:col>
          <xdr:colOff>0</xdr:colOff>
          <xdr:row>449</xdr:row>
          <xdr:rowOff>165100</xdr:rowOff>
        </xdr:to>
        <xdr:sp macro="" textlink="">
          <xdr:nvSpPr>
            <xdr:cNvPr id="14409" name="Button 3145" hidden="1">
              <a:extLst>
                <a:ext uri="{63B3BB69-23CF-44E3-9099-C40C66FF867C}">
                  <a14:compatExt spid="_x0000_s14409"/>
                </a:ext>
                <a:ext uri="{FF2B5EF4-FFF2-40B4-BE49-F238E27FC236}">
                  <a16:creationId xmlns:a16="http://schemas.microsoft.com/office/drawing/2014/main" id="{00000000-0008-0000-0100-000049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7</xdr:col>
          <xdr:colOff>0</xdr:colOff>
          <xdr:row>453</xdr:row>
          <xdr:rowOff>0</xdr:rowOff>
        </xdr:to>
        <xdr:sp macro="" textlink="">
          <xdr:nvSpPr>
            <xdr:cNvPr id="14408" name="Button 3144" hidden="1">
              <a:extLst>
                <a:ext uri="{63B3BB69-23CF-44E3-9099-C40C66FF867C}">
                  <a14:compatExt spid="_x0000_s14408"/>
                </a:ext>
                <a:ext uri="{FF2B5EF4-FFF2-40B4-BE49-F238E27FC236}">
                  <a16:creationId xmlns:a16="http://schemas.microsoft.com/office/drawing/2014/main" id="{00000000-0008-0000-0100-000048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7</xdr:col>
          <xdr:colOff>0</xdr:colOff>
          <xdr:row>459</xdr:row>
          <xdr:rowOff>171450</xdr:rowOff>
        </xdr:to>
        <xdr:sp macro="" textlink="">
          <xdr:nvSpPr>
            <xdr:cNvPr id="14407" name="Button 3143" hidden="1">
              <a:extLst>
                <a:ext uri="{63B3BB69-23CF-44E3-9099-C40C66FF867C}">
                  <a14:compatExt spid="_x0000_s14407"/>
                </a:ext>
                <a:ext uri="{FF2B5EF4-FFF2-40B4-BE49-F238E27FC236}">
                  <a16:creationId xmlns:a16="http://schemas.microsoft.com/office/drawing/2014/main" id="{00000000-0008-0000-0100-000047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7</xdr:col>
          <xdr:colOff>0</xdr:colOff>
          <xdr:row>460</xdr:row>
          <xdr:rowOff>165100</xdr:rowOff>
        </xdr:to>
        <xdr:sp macro="" textlink="">
          <xdr:nvSpPr>
            <xdr:cNvPr id="14406" name="Button 3142" hidden="1">
              <a:extLst>
                <a:ext uri="{63B3BB69-23CF-44E3-9099-C40C66FF867C}">
                  <a14:compatExt spid="_x0000_s14406"/>
                </a:ext>
                <a:ext uri="{FF2B5EF4-FFF2-40B4-BE49-F238E27FC236}">
                  <a16:creationId xmlns:a16="http://schemas.microsoft.com/office/drawing/2014/main" id="{00000000-0008-0000-0100-000046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7</xdr:col>
          <xdr:colOff>0</xdr:colOff>
          <xdr:row>464</xdr:row>
          <xdr:rowOff>0</xdr:rowOff>
        </xdr:to>
        <xdr:sp macro="" textlink="">
          <xdr:nvSpPr>
            <xdr:cNvPr id="14405" name="Button 3141" hidden="1">
              <a:extLst>
                <a:ext uri="{63B3BB69-23CF-44E3-9099-C40C66FF867C}">
                  <a14:compatExt spid="_x0000_s14405"/>
                </a:ext>
                <a:ext uri="{FF2B5EF4-FFF2-40B4-BE49-F238E27FC236}">
                  <a16:creationId xmlns:a16="http://schemas.microsoft.com/office/drawing/2014/main" id="{00000000-0008-0000-0100-000045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7</xdr:col>
          <xdr:colOff>0</xdr:colOff>
          <xdr:row>470</xdr:row>
          <xdr:rowOff>171450</xdr:rowOff>
        </xdr:to>
        <xdr:sp macro="" textlink="">
          <xdr:nvSpPr>
            <xdr:cNvPr id="14404" name="Button 3140" hidden="1">
              <a:extLst>
                <a:ext uri="{63B3BB69-23CF-44E3-9099-C40C66FF867C}">
                  <a14:compatExt spid="_x0000_s14404"/>
                </a:ext>
                <a:ext uri="{FF2B5EF4-FFF2-40B4-BE49-F238E27FC236}">
                  <a16:creationId xmlns:a16="http://schemas.microsoft.com/office/drawing/2014/main" id="{00000000-0008-0000-0100-00004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7</xdr:col>
          <xdr:colOff>0</xdr:colOff>
          <xdr:row>471</xdr:row>
          <xdr:rowOff>165100</xdr:rowOff>
        </xdr:to>
        <xdr:sp macro="" textlink="">
          <xdr:nvSpPr>
            <xdr:cNvPr id="14403" name="Button 3139" hidden="1">
              <a:extLst>
                <a:ext uri="{63B3BB69-23CF-44E3-9099-C40C66FF867C}">
                  <a14:compatExt spid="_x0000_s14403"/>
                </a:ext>
                <a:ext uri="{FF2B5EF4-FFF2-40B4-BE49-F238E27FC236}">
                  <a16:creationId xmlns:a16="http://schemas.microsoft.com/office/drawing/2014/main" id="{00000000-0008-0000-0100-00004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7</xdr:col>
          <xdr:colOff>0</xdr:colOff>
          <xdr:row>472</xdr:row>
          <xdr:rowOff>165100</xdr:rowOff>
        </xdr:to>
        <xdr:sp macro="" textlink="">
          <xdr:nvSpPr>
            <xdr:cNvPr id="14402" name="Button 3138" hidden="1">
              <a:extLst>
                <a:ext uri="{63B3BB69-23CF-44E3-9099-C40C66FF867C}">
                  <a14:compatExt spid="_x0000_s14402"/>
                </a:ext>
                <a:ext uri="{FF2B5EF4-FFF2-40B4-BE49-F238E27FC236}">
                  <a16:creationId xmlns:a16="http://schemas.microsoft.com/office/drawing/2014/main" id="{00000000-0008-0000-0100-00004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7</xdr:col>
          <xdr:colOff>0</xdr:colOff>
          <xdr:row>473</xdr:row>
          <xdr:rowOff>165100</xdr:rowOff>
        </xdr:to>
        <xdr:sp macro="" textlink="">
          <xdr:nvSpPr>
            <xdr:cNvPr id="14401" name="Button 3137" hidden="1">
              <a:extLst>
                <a:ext uri="{63B3BB69-23CF-44E3-9099-C40C66FF867C}">
                  <a14:compatExt spid="_x0000_s14401"/>
                </a:ext>
                <a:ext uri="{FF2B5EF4-FFF2-40B4-BE49-F238E27FC236}">
                  <a16:creationId xmlns:a16="http://schemas.microsoft.com/office/drawing/2014/main" id="{00000000-0008-0000-0100-00004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7</xdr:col>
          <xdr:colOff>0</xdr:colOff>
          <xdr:row>474</xdr:row>
          <xdr:rowOff>165100</xdr:rowOff>
        </xdr:to>
        <xdr:sp macro="" textlink="">
          <xdr:nvSpPr>
            <xdr:cNvPr id="14400" name="Button 3136" hidden="1">
              <a:extLst>
                <a:ext uri="{63B3BB69-23CF-44E3-9099-C40C66FF867C}">
                  <a14:compatExt spid="_x0000_s14400"/>
                </a:ext>
                <a:ext uri="{FF2B5EF4-FFF2-40B4-BE49-F238E27FC236}">
                  <a16:creationId xmlns:a16="http://schemas.microsoft.com/office/drawing/2014/main" id="{00000000-0008-0000-0100-000040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7</xdr:col>
          <xdr:colOff>0</xdr:colOff>
          <xdr:row>475</xdr:row>
          <xdr:rowOff>165100</xdr:rowOff>
        </xdr:to>
        <xdr:sp macro="" textlink="">
          <xdr:nvSpPr>
            <xdr:cNvPr id="14399" name="Button 3135" hidden="1">
              <a:extLst>
                <a:ext uri="{63B3BB69-23CF-44E3-9099-C40C66FF867C}">
                  <a14:compatExt spid="_x0000_s14399"/>
                </a:ext>
                <a:ext uri="{FF2B5EF4-FFF2-40B4-BE49-F238E27FC236}">
                  <a16:creationId xmlns:a16="http://schemas.microsoft.com/office/drawing/2014/main" id="{00000000-0008-0000-0100-00003F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7</xdr:col>
          <xdr:colOff>0</xdr:colOff>
          <xdr:row>476</xdr:row>
          <xdr:rowOff>165100</xdr:rowOff>
        </xdr:to>
        <xdr:sp macro="" textlink="">
          <xdr:nvSpPr>
            <xdr:cNvPr id="14398" name="Button 3134" hidden="1">
              <a:extLst>
                <a:ext uri="{63B3BB69-23CF-44E3-9099-C40C66FF867C}">
                  <a14:compatExt spid="_x0000_s14398"/>
                </a:ext>
                <a:ext uri="{FF2B5EF4-FFF2-40B4-BE49-F238E27FC236}">
                  <a16:creationId xmlns:a16="http://schemas.microsoft.com/office/drawing/2014/main" id="{00000000-0008-0000-0100-00003E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7</xdr:col>
          <xdr:colOff>0</xdr:colOff>
          <xdr:row>477</xdr:row>
          <xdr:rowOff>165100</xdr:rowOff>
        </xdr:to>
        <xdr:sp macro="" textlink="">
          <xdr:nvSpPr>
            <xdr:cNvPr id="14397" name="Button 3133" hidden="1">
              <a:extLst>
                <a:ext uri="{63B3BB69-23CF-44E3-9099-C40C66FF867C}">
                  <a14:compatExt spid="_x0000_s14397"/>
                </a:ext>
                <a:ext uri="{FF2B5EF4-FFF2-40B4-BE49-F238E27FC236}">
                  <a16:creationId xmlns:a16="http://schemas.microsoft.com/office/drawing/2014/main" id="{00000000-0008-0000-0100-00003D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7</xdr:col>
          <xdr:colOff>0</xdr:colOff>
          <xdr:row>478</xdr:row>
          <xdr:rowOff>165100</xdr:rowOff>
        </xdr:to>
        <xdr:sp macro="" textlink="">
          <xdr:nvSpPr>
            <xdr:cNvPr id="14396" name="Button 3132" hidden="1">
              <a:extLst>
                <a:ext uri="{63B3BB69-23CF-44E3-9099-C40C66FF867C}">
                  <a14:compatExt spid="_x0000_s14396"/>
                </a:ext>
                <a:ext uri="{FF2B5EF4-FFF2-40B4-BE49-F238E27FC236}">
                  <a16:creationId xmlns:a16="http://schemas.microsoft.com/office/drawing/2014/main" id="{00000000-0008-0000-0100-00003C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7</xdr:col>
          <xdr:colOff>0</xdr:colOff>
          <xdr:row>479</xdr:row>
          <xdr:rowOff>165100</xdr:rowOff>
        </xdr:to>
        <xdr:sp macro="" textlink="">
          <xdr:nvSpPr>
            <xdr:cNvPr id="14395" name="Button 3131" hidden="1">
              <a:extLst>
                <a:ext uri="{63B3BB69-23CF-44E3-9099-C40C66FF867C}">
                  <a14:compatExt spid="_x0000_s14395"/>
                </a:ext>
                <a:ext uri="{FF2B5EF4-FFF2-40B4-BE49-F238E27FC236}">
                  <a16:creationId xmlns:a16="http://schemas.microsoft.com/office/drawing/2014/main" id="{00000000-0008-0000-0100-00003B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7</xdr:col>
          <xdr:colOff>0</xdr:colOff>
          <xdr:row>480</xdr:row>
          <xdr:rowOff>165100</xdr:rowOff>
        </xdr:to>
        <xdr:sp macro="" textlink="">
          <xdr:nvSpPr>
            <xdr:cNvPr id="14394" name="Button 3130" hidden="1">
              <a:extLst>
                <a:ext uri="{63B3BB69-23CF-44E3-9099-C40C66FF867C}">
                  <a14:compatExt spid="_x0000_s14394"/>
                </a:ext>
                <a:ext uri="{FF2B5EF4-FFF2-40B4-BE49-F238E27FC236}">
                  <a16:creationId xmlns:a16="http://schemas.microsoft.com/office/drawing/2014/main" id="{00000000-0008-0000-0100-00003A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7</xdr:col>
          <xdr:colOff>0</xdr:colOff>
          <xdr:row>484</xdr:row>
          <xdr:rowOff>0</xdr:rowOff>
        </xdr:to>
        <xdr:sp macro="" textlink="">
          <xdr:nvSpPr>
            <xdr:cNvPr id="14393" name="Button 3129" hidden="1">
              <a:extLst>
                <a:ext uri="{63B3BB69-23CF-44E3-9099-C40C66FF867C}">
                  <a14:compatExt spid="_x0000_s14393"/>
                </a:ext>
                <a:ext uri="{FF2B5EF4-FFF2-40B4-BE49-F238E27FC236}">
                  <a16:creationId xmlns:a16="http://schemas.microsoft.com/office/drawing/2014/main" id="{00000000-0008-0000-0100-000039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7</xdr:col>
          <xdr:colOff>0</xdr:colOff>
          <xdr:row>490</xdr:row>
          <xdr:rowOff>171450</xdr:rowOff>
        </xdr:to>
        <xdr:sp macro="" textlink="">
          <xdr:nvSpPr>
            <xdr:cNvPr id="14392" name="Button 3128" hidden="1">
              <a:extLst>
                <a:ext uri="{63B3BB69-23CF-44E3-9099-C40C66FF867C}">
                  <a14:compatExt spid="_x0000_s14392"/>
                </a:ext>
                <a:ext uri="{FF2B5EF4-FFF2-40B4-BE49-F238E27FC236}">
                  <a16:creationId xmlns:a16="http://schemas.microsoft.com/office/drawing/2014/main" id="{00000000-0008-0000-0100-000038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7</xdr:col>
          <xdr:colOff>0</xdr:colOff>
          <xdr:row>491</xdr:row>
          <xdr:rowOff>165100</xdr:rowOff>
        </xdr:to>
        <xdr:sp macro="" textlink="">
          <xdr:nvSpPr>
            <xdr:cNvPr id="14391" name="Button 3127" hidden="1">
              <a:extLst>
                <a:ext uri="{63B3BB69-23CF-44E3-9099-C40C66FF867C}">
                  <a14:compatExt spid="_x0000_s14391"/>
                </a:ext>
                <a:ext uri="{FF2B5EF4-FFF2-40B4-BE49-F238E27FC236}">
                  <a16:creationId xmlns:a16="http://schemas.microsoft.com/office/drawing/2014/main" id="{00000000-0008-0000-0100-000037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7</xdr:col>
          <xdr:colOff>0</xdr:colOff>
          <xdr:row>492</xdr:row>
          <xdr:rowOff>165100</xdr:rowOff>
        </xdr:to>
        <xdr:sp macro="" textlink="">
          <xdr:nvSpPr>
            <xdr:cNvPr id="14390" name="Button 3126" hidden="1">
              <a:extLst>
                <a:ext uri="{63B3BB69-23CF-44E3-9099-C40C66FF867C}">
                  <a14:compatExt spid="_x0000_s14390"/>
                </a:ext>
                <a:ext uri="{FF2B5EF4-FFF2-40B4-BE49-F238E27FC236}">
                  <a16:creationId xmlns:a16="http://schemas.microsoft.com/office/drawing/2014/main" id="{00000000-0008-0000-0100-000036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7</xdr:col>
          <xdr:colOff>0</xdr:colOff>
          <xdr:row>493</xdr:row>
          <xdr:rowOff>165100</xdr:rowOff>
        </xdr:to>
        <xdr:sp macro="" textlink="">
          <xdr:nvSpPr>
            <xdr:cNvPr id="14389" name="Button 3125" hidden="1">
              <a:extLst>
                <a:ext uri="{63B3BB69-23CF-44E3-9099-C40C66FF867C}">
                  <a14:compatExt spid="_x0000_s14389"/>
                </a:ext>
                <a:ext uri="{FF2B5EF4-FFF2-40B4-BE49-F238E27FC236}">
                  <a16:creationId xmlns:a16="http://schemas.microsoft.com/office/drawing/2014/main" id="{00000000-0008-0000-0100-000035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7</xdr:col>
          <xdr:colOff>0</xdr:colOff>
          <xdr:row>494</xdr:row>
          <xdr:rowOff>165100</xdr:rowOff>
        </xdr:to>
        <xdr:sp macro="" textlink="">
          <xdr:nvSpPr>
            <xdr:cNvPr id="14388" name="Button 3124" hidden="1">
              <a:extLst>
                <a:ext uri="{63B3BB69-23CF-44E3-9099-C40C66FF867C}">
                  <a14:compatExt spid="_x0000_s14388"/>
                </a:ext>
                <a:ext uri="{FF2B5EF4-FFF2-40B4-BE49-F238E27FC236}">
                  <a16:creationId xmlns:a16="http://schemas.microsoft.com/office/drawing/2014/main" id="{00000000-0008-0000-0100-00003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7</xdr:col>
          <xdr:colOff>0</xdr:colOff>
          <xdr:row>495</xdr:row>
          <xdr:rowOff>165100</xdr:rowOff>
        </xdr:to>
        <xdr:sp macro="" textlink="">
          <xdr:nvSpPr>
            <xdr:cNvPr id="14387" name="Button 3123" hidden="1">
              <a:extLst>
                <a:ext uri="{63B3BB69-23CF-44E3-9099-C40C66FF867C}">
                  <a14:compatExt spid="_x0000_s14387"/>
                </a:ext>
                <a:ext uri="{FF2B5EF4-FFF2-40B4-BE49-F238E27FC236}">
                  <a16:creationId xmlns:a16="http://schemas.microsoft.com/office/drawing/2014/main" id="{00000000-0008-0000-0100-00003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7</xdr:col>
          <xdr:colOff>0</xdr:colOff>
          <xdr:row>496</xdr:row>
          <xdr:rowOff>165100</xdr:rowOff>
        </xdr:to>
        <xdr:sp macro="" textlink="">
          <xdr:nvSpPr>
            <xdr:cNvPr id="14386" name="Button 3122" hidden="1">
              <a:extLst>
                <a:ext uri="{63B3BB69-23CF-44E3-9099-C40C66FF867C}">
                  <a14:compatExt spid="_x0000_s14386"/>
                </a:ext>
                <a:ext uri="{FF2B5EF4-FFF2-40B4-BE49-F238E27FC236}">
                  <a16:creationId xmlns:a16="http://schemas.microsoft.com/office/drawing/2014/main" id="{00000000-0008-0000-0100-00003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7</xdr:col>
          <xdr:colOff>0</xdr:colOff>
          <xdr:row>497</xdr:row>
          <xdr:rowOff>165100</xdr:rowOff>
        </xdr:to>
        <xdr:sp macro="" textlink="">
          <xdr:nvSpPr>
            <xdr:cNvPr id="14385" name="Button 3121" hidden="1">
              <a:extLst>
                <a:ext uri="{63B3BB69-23CF-44E3-9099-C40C66FF867C}">
                  <a14:compatExt spid="_x0000_s14385"/>
                </a:ext>
                <a:ext uri="{FF2B5EF4-FFF2-40B4-BE49-F238E27FC236}">
                  <a16:creationId xmlns:a16="http://schemas.microsoft.com/office/drawing/2014/main" id="{00000000-0008-0000-0100-00003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7</xdr:col>
          <xdr:colOff>0</xdr:colOff>
          <xdr:row>501</xdr:row>
          <xdr:rowOff>0</xdr:rowOff>
        </xdr:to>
        <xdr:sp macro="" textlink="">
          <xdr:nvSpPr>
            <xdr:cNvPr id="14384" name="Button 3120" hidden="1">
              <a:extLst>
                <a:ext uri="{63B3BB69-23CF-44E3-9099-C40C66FF867C}">
                  <a14:compatExt spid="_x0000_s14384"/>
                </a:ext>
                <a:ext uri="{FF2B5EF4-FFF2-40B4-BE49-F238E27FC236}">
                  <a16:creationId xmlns:a16="http://schemas.microsoft.com/office/drawing/2014/main" id="{00000000-0008-0000-0100-000030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7</xdr:col>
          <xdr:colOff>0</xdr:colOff>
          <xdr:row>507</xdr:row>
          <xdr:rowOff>171450</xdr:rowOff>
        </xdr:to>
        <xdr:sp macro="" textlink="">
          <xdr:nvSpPr>
            <xdr:cNvPr id="14383" name="Button 3119" hidden="1">
              <a:extLst>
                <a:ext uri="{63B3BB69-23CF-44E3-9099-C40C66FF867C}">
                  <a14:compatExt spid="_x0000_s14383"/>
                </a:ext>
                <a:ext uri="{FF2B5EF4-FFF2-40B4-BE49-F238E27FC236}">
                  <a16:creationId xmlns:a16="http://schemas.microsoft.com/office/drawing/2014/main" id="{00000000-0008-0000-0100-00002F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7</xdr:col>
          <xdr:colOff>0</xdr:colOff>
          <xdr:row>508</xdr:row>
          <xdr:rowOff>165100</xdr:rowOff>
        </xdr:to>
        <xdr:sp macro="" textlink="">
          <xdr:nvSpPr>
            <xdr:cNvPr id="14382" name="Button 3118" hidden="1">
              <a:extLst>
                <a:ext uri="{63B3BB69-23CF-44E3-9099-C40C66FF867C}">
                  <a14:compatExt spid="_x0000_s14382"/>
                </a:ext>
                <a:ext uri="{FF2B5EF4-FFF2-40B4-BE49-F238E27FC236}">
                  <a16:creationId xmlns:a16="http://schemas.microsoft.com/office/drawing/2014/main" id="{00000000-0008-0000-0100-00002E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7</xdr:col>
          <xdr:colOff>0</xdr:colOff>
          <xdr:row>509</xdr:row>
          <xdr:rowOff>165100</xdr:rowOff>
        </xdr:to>
        <xdr:sp macro="" textlink="">
          <xdr:nvSpPr>
            <xdr:cNvPr id="14381" name="Button 3117" hidden="1">
              <a:extLst>
                <a:ext uri="{63B3BB69-23CF-44E3-9099-C40C66FF867C}">
                  <a14:compatExt spid="_x0000_s14381"/>
                </a:ext>
                <a:ext uri="{FF2B5EF4-FFF2-40B4-BE49-F238E27FC236}">
                  <a16:creationId xmlns:a16="http://schemas.microsoft.com/office/drawing/2014/main" id="{00000000-0008-0000-0100-00002D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7</xdr:col>
          <xdr:colOff>0</xdr:colOff>
          <xdr:row>510</xdr:row>
          <xdr:rowOff>165100</xdr:rowOff>
        </xdr:to>
        <xdr:sp macro="" textlink="">
          <xdr:nvSpPr>
            <xdr:cNvPr id="14380" name="Button 3116" hidden="1">
              <a:extLst>
                <a:ext uri="{63B3BB69-23CF-44E3-9099-C40C66FF867C}">
                  <a14:compatExt spid="_x0000_s14380"/>
                </a:ext>
                <a:ext uri="{FF2B5EF4-FFF2-40B4-BE49-F238E27FC236}">
                  <a16:creationId xmlns:a16="http://schemas.microsoft.com/office/drawing/2014/main" id="{00000000-0008-0000-0100-00002C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7</xdr:col>
          <xdr:colOff>0</xdr:colOff>
          <xdr:row>511</xdr:row>
          <xdr:rowOff>165100</xdr:rowOff>
        </xdr:to>
        <xdr:sp macro="" textlink="">
          <xdr:nvSpPr>
            <xdr:cNvPr id="14379" name="Button 3115" hidden="1">
              <a:extLst>
                <a:ext uri="{63B3BB69-23CF-44E3-9099-C40C66FF867C}">
                  <a14:compatExt spid="_x0000_s14379"/>
                </a:ext>
                <a:ext uri="{FF2B5EF4-FFF2-40B4-BE49-F238E27FC236}">
                  <a16:creationId xmlns:a16="http://schemas.microsoft.com/office/drawing/2014/main" id="{00000000-0008-0000-0100-00002B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7</xdr:col>
          <xdr:colOff>0</xdr:colOff>
          <xdr:row>515</xdr:row>
          <xdr:rowOff>0</xdr:rowOff>
        </xdr:to>
        <xdr:sp macro="" textlink="">
          <xdr:nvSpPr>
            <xdr:cNvPr id="14378" name="Button 3114" hidden="1">
              <a:extLst>
                <a:ext uri="{63B3BB69-23CF-44E3-9099-C40C66FF867C}">
                  <a14:compatExt spid="_x0000_s14378"/>
                </a:ext>
                <a:ext uri="{FF2B5EF4-FFF2-40B4-BE49-F238E27FC236}">
                  <a16:creationId xmlns:a16="http://schemas.microsoft.com/office/drawing/2014/main" id="{00000000-0008-0000-0100-00002A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7</xdr:col>
          <xdr:colOff>0</xdr:colOff>
          <xdr:row>521</xdr:row>
          <xdr:rowOff>171450</xdr:rowOff>
        </xdr:to>
        <xdr:sp macro="" textlink="">
          <xdr:nvSpPr>
            <xdr:cNvPr id="14377" name="Button 3113" hidden="1">
              <a:extLst>
                <a:ext uri="{63B3BB69-23CF-44E3-9099-C40C66FF867C}">
                  <a14:compatExt spid="_x0000_s14377"/>
                </a:ext>
                <a:ext uri="{FF2B5EF4-FFF2-40B4-BE49-F238E27FC236}">
                  <a16:creationId xmlns:a16="http://schemas.microsoft.com/office/drawing/2014/main" id="{00000000-0008-0000-0100-000029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7</xdr:col>
          <xdr:colOff>0</xdr:colOff>
          <xdr:row>522</xdr:row>
          <xdr:rowOff>165100</xdr:rowOff>
        </xdr:to>
        <xdr:sp macro="" textlink="">
          <xdr:nvSpPr>
            <xdr:cNvPr id="14376" name="Button 3112" hidden="1">
              <a:extLst>
                <a:ext uri="{63B3BB69-23CF-44E3-9099-C40C66FF867C}">
                  <a14:compatExt spid="_x0000_s14376"/>
                </a:ext>
                <a:ext uri="{FF2B5EF4-FFF2-40B4-BE49-F238E27FC236}">
                  <a16:creationId xmlns:a16="http://schemas.microsoft.com/office/drawing/2014/main" id="{00000000-0008-0000-0100-000028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7</xdr:col>
          <xdr:colOff>0</xdr:colOff>
          <xdr:row>523</xdr:row>
          <xdr:rowOff>165100</xdr:rowOff>
        </xdr:to>
        <xdr:sp macro="" textlink="">
          <xdr:nvSpPr>
            <xdr:cNvPr id="14375" name="Button 3111" hidden="1">
              <a:extLst>
                <a:ext uri="{63B3BB69-23CF-44E3-9099-C40C66FF867C}">
                  <a14:compatExt spid="_x0000_s14375"/>
                </a:ext>
                <a:ext uri="{FF2B5EF4-FFF2-40B4-BE49-F238E27FC236}">
                  <a16:creationId xmlns:a16="http://schemas.microsoft.com/office/drawing/2014/main" id="{00000000-0008-0000-0100-000027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7</xdr:col>
          <xdr:colOff>0</xdr:colOff>
          <xdr:row>524</xdr:row>
          <xdr:rowOff>165100</xdr:rowOff>
        </xdr:to>
        <xdr:sp macro="" textlink="">
          <xdr:nvSpPr>
            <xdr:cNvPr id="14374" name="Button 3110" hidden="1">
              <a:extLst>
                <a:ext uri="{63B3BB69-23CF-44E3-9099-C40C66FF867C}">
                  <a14:compatExt spid="_x0000_s14374"/>
                </a:ext>
                <a:ext uri="{FF2B5EF4-FFF2-40B4-BE49-F238E27FC236}">
                  <a16:creationId xmlns:a16="http://schemas.microsoft.com/office/drawing/2014/main" id="{00000000-0008-0000-0100-000026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7</xdr:col>
          <xdr:colOff>0</xdr:colOff>
          <xdr:row>525</xdr:row>
          <xdr:rowOff>165100</xdr:rowOff>
        </xdr:to>
        <xdr:sp macro="" textlink="">
          <xdr:nvSpPr>
            <xdr:cNvPr id="14373" name="Button 3109" hidden="1">
              <a:extLst>
                <a:ext uri="{63B3BB69-23CF-44E3-9099-C40C66FF867C}">
                  <a14:compatExt spid="_x0000_s14373"/>
                </a:ext>
                <a:ext uri="{FF2B5EF4-FFF2-40B4-BE49-F238E27FC236}">
                  <a16:creationId xmlns:a16="http://schemas.microsoft.com/office/drawing/2014/main" id="{00000000-0008-0000-0100-000025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7</xdr:col>
          <xdr:colOff>0</xdr:colOff>
          <xdr:row>526</xdr:row>
          <xdr:rowOff>165100</xdr:rowOff>
        </xdr:to>
        <xdr:sp macro="" textlink="">
          <xdr:nvSpPr>
            <xdr:cNvPr id="14372" name="Button 3108" hidden="1">
              <a:extLst>
                <a:ext uri="{63B3BB69-23CF-44E3-9099-C40C66FF867C}">
                  <a14:compatExt spid="_x0000_s14372"/>
                </a:ext>
                <a:ext uri="{FF2B5EF4-FFF2-40B4-BE49-F238E27FC236}">
                  <a16:creationId xmlns:a16="http://schemas.microsoft.com/office/drawing/2014/main" id="{00000000-0008-0000-0100-00002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7</xdr:col>
          <xdr:colOff>0</xdr:colOff>
          <xdr:row>527</xdr:row>
          <xdr:rowOff>165100</xdr:rowOff>
        </xdr:to>
        <xdr:sp macro="" textlink="">
          <xdr:nvSpPr>
            <xdr:cNvPr id="14371" name="Button 3107" hidden="1">
              <a:extLst>
                <a:ext uri="{63B3BB69-23CF-44E3-9099-C40C66FF867C}">
                  <a14:compatExt spid="_x0000_s14371"/>
                </a:ext>
                <a:ext uri="{FF2B5EF4-FFF2-40B4-BE49-F238E27FC236}">
                  <a16:creationId xmlns:a16="http://schemas.microsoft.com/office/drawing/2014/main" id="{00000000-0008-0000-0100-00002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7</xdr:col>
          <xdr:colOff>0</xdr:colOff>
          <xdr:row>531</xdr:row>
          <xdr:rowOff>0</xdr:rowOff>
        </xdr:to>
        <xdr:sp macro="" textlink="">
          <xdr:nvSpPr>
            <xdr:cNvPr id="14370" name="Button 3106" hidden="1">
              <a:extLst>
                <a:ext uri="{63B3BB69-23CF-44E3-9099-C40C66FF867C}">
                  <a14:compatExt spid="_x0000_s14370"/>
                </a:ext>
                <a:ext uri="{FF2B5EF4-FFF2-40B4-BE49-F238E27FC236}">
                  <a16:creationId xmlns:a16="http://schemas.microsoft.com/office/drawing/2014/main" id="{00000000-0008-0000-0100-00002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7</xdr:col>
          <xdr:colOff>0</xdr:colOff>
          <xdr:row>537</xdr:row>
          <xdr:rowOff>171450</xdr:rowOff>
        </xdr:to>
        <xdr:sp macro="" textlink="">
          <xdr:nvSpPr>
            <xdr:cNvPr id="14369" name="Button 3105" hidden="1">
              <a:extLst>
                <a:ext uri="{63B3BB69-23CF-44E3-9099-C40C66FF867C}">
                  <a14:compatExt spid="_x0000_s14369"/>
                </a:ext>
                <a:ext uri="{FF2B5EF4-FFF2-40B4-BE49-F238E27FC236}">
                  <a16:creationId xmlns:a16="http://schemas.microsoft.com/office/drawing/2014/main" id="{00000000-0008-0000-0100-00002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7</xdr:col>
          <xdr:colOff>0</xdr:colOff>
          <xdr:row>538</xdr:row>
          <xdr:rowOff>165100</xdr:rowOff>
        </xdr:to>
        <xdr:sp macro="" textlink="">
          <xdr:nvSpPr>
            <xdr:cNvPr id="14368" name="Button 3104" hidden="1">
              <a:extLst>
                <a:ext uri="{63B3BB69-23CF-44E3-9099-C40C66FF867C}">
                  <a14:compatExt spid="_x0000_s14368"/>
                </a:ext>
                <a:ext uri="{FF2B5EF4-FFF2-40B4-BE49-F238E27FC236}">
                  <a16:creationId xmlns:a16="http://schemas.microsoft.com/office/drawing/2014/main" id="{00000000-0008-0000-0100-000020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7</xdr:col>
          <xdr:colOff>0</xdr:colOff>
          <xdr:row>542</xdr:row>
          <xdr:rowOff>0</xdr:rowOff>
        </xdr:to>
        <xdr:sp macro="" textlink="">
          <xdr:nvSpPr>
            <xdr:cNvPr id="14367" name="Button 3103" hidden="1">
              <a:extLst>
                <a:ext uri="{63B3BB69-23CF-44E3-9099-C40C66FF867C}">
                  <a14:compatExt spid="_x0000_s14367"/>
                </a:ext>
                <a:ext uri="{FF2B5EF4-FFF2-40B4-BE49-F238E27FC236}">
                  <a16:creationId xmlns:a16="http://schemas.microsoft.com/office/drawing/2014/main" id="{00000000-0008-0000-0100-00001F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7</xdr:col>
          <xdr:colOff>0</xdr:colOff>
          <xdr:row>548</xdr:row>
          <xdr:rowOff>171450</xdr:rowOff>
        </xdr:to>
        <xdr:sp macro="" textlink="">
          <xdr:nvSpPr>
            <xdr:cNvPr id="14366" name="Button 3102" hidden="1">
              <a:extLst>
                <a:ext uri="{63B3BB69-23CF-44E3-9099-C40C66FF867C}">
                  <a14:compatExt spid="_x0000_s14366"/>
                </a:ext>
                <a:ext uri="{FF2B5EF4-FFF2-40B4-BE49-F238E27FC236}">
                  <a16:creationId xmlns:a16="http://schemas.microsoft.com/office/drawing/2014/main" id="{00000000-0008-0000-0100-00001E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7</xdr:col>
          <xdr:colOff>0</xdr:colOff>
          <xdr:row>549</xdr:row>
          <xdr:rowOff>165100</xdr:rowOff>
        </xdr:to>
        <xdr:sp macro="" textlink="">
          <xdr:nvSpPr>
            <xdr:cNvPr id="14365" name="Button 3101" hidden="1">
              <a:extLst>
                <a:ext uri="{63B3BB69-23CF-44E3-9099-C40C66FF867C}">
                  <a14:compatExt spid="_x0000_s14365"/>
                </a:ext>
                <a:ext uri="{FF2B5EF4-FFF2-40B4-BE49-F238E27FC236}">
                  <a16:creationId xmlns:a16="http://schemas.microsoft.com/office/drawing/2014/main" id="{00000000-0008-0000-0100-00001D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7</xdr:col>
          <xdr:colOff>0</xdr:colOff>
          <xdr:row>553</xdr:row>
          <xdr:rowOff>0</xdr:rowOff>
        </xdr:to>
        <xdr:sp macro="" textlink="">
          <xdr:nvSpPr>
            <xdr:cNvPr id="14364" name="Button 3100" hidden="1">
              <a:extLst>
                <a:ext uri="{63B3BB69-23CF-44E3-9099-C40C66FF867C}">
                  <a14:compatExt spid="_x0000_s14364"/>
                </a:ext>
                <a:ext uri="{FF2B5EF4-FFF2-40B4-BE49-F238E27FC236}">
                  <a16:creationId xmlns:a16="http://schemas.microsoft.com/office/drawing/2014/main" id="{00000000-0008-0000-0100-00001C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7</xdr:col>
          <xdr:colOff>0</xdr:colOff>
          <xdr:row>559</xdr:row>
          <xdr:rowOff>171450</xdr:rowOff>
        </xdr:to>
        <xdr:sp macro="" textlink="">
          <xdr:nvSpPr>
            <xdr:cNvPr id="14363" name="Button 3099" hidden="1">
              <a:extLst>
                <a:ext uri="{63B3BB69-23CF-44E3-9099-C40C66FF867C}">
                  <a14:compatExt spid="_x0000_s14363"/>
                </a:ext>
                <a:ext uri="{FF2B5EF4-FFF2-40B4-BE49-F238E27FC236}">
                  <a16:creationId xmlns:a16="http://schemas.microsoft.com/office/drawing/2014/main" id="{00000000-0008-0000-0100-00001B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7</xdr:col>
          <xdr:colOff>0</xdr:colOff>
          <xdr:row>560</xdr:row>
          <xdr:rowOff>165100</xdr:rowOff>
        </xdr:to>
        <xdr:sp macro="" textlink="">
          <xdr:nvSpPr>
            <xdr:cNvPr id="14362" name="Button 3098" hidden="1">
              <a:extLst>
                <a:ext uri="{63B3BB69-23CF-44E3-9099-C40C66FF867C}">
                  <a14:compatExt spid="_x0000_s14362"/>
                </a:ext>
                <a:ext uri="{FF2B5EF4-FFF2-40B4-BE49-F238E27FC236}">
                  <a16:creationId xmlns:a16="http://schemas.microsoft.com/office/drawing/2014/main" id="{00000000-0008-0000-0100-00001A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7</xdr:col>
          <xdr:colOff>0</xdr:colOff>
          <xdr:row>561</xdr:row>
          <xdr:rowOff>165100</xdr:rowOff>
        </xdr:to>
        <xdr:sp macro="" textlink="">
          <xdr:nvSpPr>
            <xdr:cNvPr id="14361" name="Button 3097" hidden="1">
              <a:extLst>
                <a:ext uri="{63B3BB69-23CF-44E3-9099-C40C66FF867C}">
                  <a14:compatExt spid="_x0000_s14361"/>
                </a:ext>
                <a:ext uri="{FF2B5EF4-FFF2-40B4-BE49-F238E27FC236}">
                  <a16:creationId xmlns:a16="http://schemas.microsoft.com/office/drawing/2014/main" id="{00000000-0008-0000-0100-000019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7</xdr:col>
          <xdr:colOff>0</xdr:colOff>
          <xdr:row>562</xdr:row>
          <xdr:rowOff>165100</xdr:rowOff>
        </xdr:to>
        <xdr:sp macro="" textlink="">
          <xdr:nvSpPr>
            <xdr:cNvPr id="14360" name="Button 3096" hidden="1">
              <a:extLst>
                <a:ext uri="{63B3BB69-23CF-44E3-9099-C40C66FF867C}">
                  <a14:compatExt spid="_x0000_s14360"/>
                </a:ext>
                <a:ext uri="{FF2B5EF4-FFF2-40B4-BE49-F238E27FC236}">
                  <a16:creationId xmlns:a16="http://schemas.microsoft.com/office/drawing/2014/main" id="{00000000-0008-0000-0100-000018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7</xdr:col>
          <xdr:colOff>0</xdr:colOff>
          <xdr:row>563</xdr:row>
          <xdr:rowOff>165100</xdr:rowOff>
        </xdr:to>
        <xdr:sp macro="" textlink="">
          <xdr:nvSpPr>
            <xdr:cNvPr id="14359" name="Button 3095" hidden="1">
              <a:extLst>
                <a:ext uri="{63B3BB69-23CF-44E3-9099-C40C66FF867C}">
                  <a14:compatExt spid="_x0000_s14359"/>
                </a:ext>
                <a:ext uri="{FF2B5EF4-FFF2-40B4-BE49-F238E27FC236}">
                  <a16:creationId xmlns:a16="http://schemas.microsoft.com/office/drawing/2014/main" id="{00000000-0008-0000-0100-000017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7</xdr:col>
          <xdr:colOff>0</xdr:colOff>
          <xdr:row>564</xdr:row>
          <xdr:rowOff>165100</xdr:rowOff>
        </xdr:to>
        <xdr:sp macro="" textlink="">
          <xdr:nvSpPr>
            <xdr:cNvPr id="14358" name="Button 3094" hidden="1">
              <a:extLst>
                <a:ext uri="{63B3BB69-23CF-44E3-9099-C40C66FF867C}">
                  <a14:compatExt spid="_x0000_s14358"/>
                </a:ext>
                <a:ext uri="{FF2B5EF4-FFF2-40B4-BE49-F238E27FC236}">
                  <a16:creationId xmlns:a16="http://schemas.microsoft.com/office/drawing/2014/main" id="{00000000-0008-0000-0100-000016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7</xdr:col>
          <xdr:colOff>0</xdr:colOff>
          <xdr:row>565</xdr:row>
          <xdr:rowOff>165100</xdr:rowOff>
        </xdr:to>
        <xdr:sp macro="" textlink="">
          <xdr:nvSpPr>
            <xdr:cNvPr id="14357" name="Button 3093" hidden="1">
              <a:extLst>
                <a:ext uri="{63B3BB69-23CF-44E3-9099-C40C66FF867C}">
                  <a14:compatExt spid="_x0000_s14357"/>
                </a:ext>
                <a:ext uri="{FF2B5EF4-FFF2-40B4-BE49-F238E27FC236}">
                  <a16:creationId xmlns:a16="http://schemas.microsoft.com/office/drawing/2014/main" id="{00000000-0008-0000-0100-000015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7</xdr:col>
          <xdr:colOff>0</xdr:colOff>
          <xdr:row>569</xdr:row>
          <xdr:rowOff>0</xdr:rowOff>
        </xdr:to>
        <xdr:sp macro="" textlink="">
          <xdr:nvSpPr>
            <xdr:cNvPr id="14356" name="Button 3092" hidden="1">
              <a:extLst>
                <a:ext uri="{63B3BB69-23CF-44E3-9099-C40C66FF867C}">
                  <a14:compatExt spid="_x0000_s14356"/>
                </a:ext>
                <a:ext uri="{FF2B5EF4-FFF2-40B4-BE49-F238E27FC236}">
                  <a16:creationId xmlns:a16="http://schemas.microsoft.com/office/drawing/2014/main" id="{00000000-0008-0000-0100-00001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7</xdr:col>
          <xdr:colOff>0</xdr:colOff>
          <xdr:row>575</xdr:row>
          <xdr:rowOff>171450</xdr:rowOff>
        </xdr:to>
        <xdr:sp macro="" textlink="">
          <xdr:nvSpPr>
            <xdr:cNvPr id="14355" name="Button 3091" hidden="1">
              <a:extLst>
                <a:ext uri="{63B3BB69-23CF-44E3-9099-C40C66FF867C}">
                  <a14:compatExt spid="_x0000_s14355"/>
                </a:ext>
                <a:ext uri="{FF2B5EF4-FFF2-40B4-BE49-F238E27FC236}">
                  <a16:creationId xmlns:a16="http://schemas.microsoft.com/office/drawing/2014/main" id="{00000000-0008-0000-0100-00001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7</xdr:col>
          <xdr:colOff>0</xdr:colOff>
          <xdr:row>576</xdr:row>
          <xdr:rowOff>165100</xdr:rowOff>
        </xdr:to>
        <xdr:sp macro="" textlink="">
          <xdr:nvSpPr>
            <xdr:cNvPr id="14354" name="Button 3090" hidden="1">
              <a:extLst>
                <a:ext uri="{63B3BB69-23CF-44E3-9099-C40C66FF867C}">
                  <a14:compatExt spid="_x0000_s14354"/>
                </a:ext>
                <a:ext uri="{FF2B5EF4-FFF2-40B4-BE49-F238E27FC236}">
                  <a16:creationId xmlns:a16="http://schemas.microsoft.com/office/drawing/2014/main" id="{00000000-0008-0000-0100-00001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7</xdr:col>
          <xdr:colOff>0</xdr:colOff>
          <xdr:row>577</xdr:row>
          <xdr:rowOff>165100</xdr:rowOff>
        </xdr:to>
        <xdr:sp macro="" textlink="">
          <xdr:nvSpPr>
            <xdr:cNvPr id="14353" name="Button 3089" hidden="1">
              <a:extLst>
                <a:ext uri="{63B3BB69-23CF-44E3-9099-C40C66FF867C}">
                  <a14:compatExt spid="_x0000_s14353"/>
                </a:ext>
                <a:ext uri="{FF2B5EF4-FFF2-40B4-BE49-F238E27FC236}">
                  <a16:creationId xmlns:a16="http://schemas.microsoft.com/office/drawing/2014/main" id="{00000000-0008-0000-0100-00001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7</xdr:col>
          <xdr:colOff>0</xdr:colOff>
          <xdr:row>578</xdr:row>
          <xdr:rowOff>165100</xdr:rowOff>
        </xdr:to>
        <xdr:sp macro="" textlink="">
          <xdr:nvSpPr>
            <xdr:cNvPr id="14352" name="Button 3088" hidden="1">
              <a:extLst>
                <a:ext uri="{63B3BB69-23CF-44E3-9099-C40C66FF867C}">
                  <a14:compatExt spid="_x0000_s14352"/>
                </a:ext>
                <a:ext uri="{FF2B5EF4-FFF2-40B4-BE49-F238E27FC236}">
                  <a16:creationId xmlns:a16="http://schemas.microsoft.com/office/drawing/2014/main" id="{00000000-0008-0000-0100-000010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7</xdr:col>
          <xdr:colOff>0</xdr:colOff>
          <xdr:row>579</xdr:row>
          <xdr:rowOff>165100</xdr:rowOff>
        </xdr:to>
        <xdr:sp macro="" textlink="">
          <xdr:nvSpPr>
            <xdr:cNvPr id="14351" name="Button 3087" hidden="1">
              <a:extLst>
                <a:ext uri="{63B3BB69-23CF-44E3-9099-C40C66FF867C}">
                  <a14:compatExt spid="_x0000_s14351"/>
                </a:ext>
                <a:ext uri="{FF2B5EF4-FFF2-40B4-BE49-F238E27FC236}">
                  <a16:creationId xmlns:a16="http://schemas.microsoft.com/office/drawing/2014/main" id="{00000000-0008-0000-0100-00000F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7</xdr:col>
          <xdr:colOff>0</xdr:colOff>
          <xdr:row>580</xdr:row>
          <xdr:rowOff>165100</xdr:rowOff>
        </xdr:to>
        <xdr:sp macro="" textlink="">
          <xdr:nvSpPr>
            <xdr:cNvPr id="14350" name="Button 3086" hidden="1">
              <a:extLst>
                <a:ext uri="{63B3BB69-23CF-44E3-9099-C40C66FF867C}">
                  <a14:compatExt spid="_x0000_s14350"/>
                </a:ext>
                <a:ext uri="{FF2B5EF4-FFF2-40B4-BE49-F238E27FC236}">
                  <a16:creationId xmlns:a16="http://schemas.microsoft.com/office/drawing/2014/main" id="{00000000-0008-0000-0100-00000E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7</xdr:col>
          <xdr:colOff>0</xdr:colOff>
          <xdr:row>581</xdr:row>
          <xdr:rowOff>165100</xdr:rowOff>
        </xdr:to>
        <xdr:sp macro="" textlink="">
          <xdr:nvSpPr>
            <xdr:cNvPr id="14349" name="Button 3085" hidden="1">
              <a:extLst>
                <a:ext uri="{63B3BB69-23CF-44E3-9099-C40C66FF867C}">
                  <a14:compatExt spid="_x0000_s14349"/>
                </a:ext>
                <a:ext uri="{FF2B5EF4-FFF2-40B4-BE49-F238E27FC236}">
                  <a16:creationId xmlns:a16="http://schemas.microsoft.com/office/drawing/2014/main" id="{00000000-0008-0000-0100-00000D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7</xdr:col>
          <xdr:colOff>0</xdr:colOff>
          <xdr:row>582</xdr:row>
          <xdr:rowOff>165100</xdr:rowOff>
        </xdr:to>
        <xdr:sp macro="" textlink="">
          <xdr:nvSpPr>
            <xdr:cNvPr id="14348" name="Button 3084" hidden="1">
              <a:extLst>
                <a:ext uri="{63B3BB69-23CF-44E3-9099-C40C66FF867C}">
                  <a14:compatExt spid="_x0000_s14348"/>
                </a:ext>
                <a:ext uri="{FF2B5EF4-FFF2-40B4-BE49-F238E27FC236}">
                  <a16:creationId xmlns:a16="http://schemas.microsoft.com/office/drawing/2014/main" id="{00000000-0008-0000-0100-00000C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7</xdr:col>
          <xdr:colOff>0</xdr:colOff>
          <xdr:row>583</xdr:row>
          <xdr:rowOff>165100</xdr:rowOff>
        </xdr:to>
        <xdr:sp macro="" textlink="">
          <xdr:nvSpPr>
            <xdr:cNvPr id="14347" name="Button 3083" hidden="1">
              <a:extLst>
                <a:ext uri="{63B3BB69-23CF-44E3-9099-C40C66FF867C}">
                  <a14:compatExt spid="_x0000_s14347"/>
                </a:ext>
                <a:ext uri="{FF2B5EF4-FFF2-40B4-BE49-F238E27FC236}">
                  <a16:creationId xmlns:a16="http://schemas.microsoft.com/office/drawing/2014/main" id="{00000000-0008-0000-0100-00000B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7</xdr:col>
          <xdr:colOff>0</xdr:colOff>
          <xdr:row>584</xdr:row>
          <xdr:rowOff>165100</xdr:rowOff>
        </xdr:to>
        <xdr:sp macro="" textlink="">
          <xdr:nvSpPr>
            <xdr:cNvPr id="14346" name="Button 3082" hidden="1">
              <a:extLst>
                <a:ext uri="{63B3BB69-23CF-44E3-9099-C40C66FF867C}">
                  <a14:compatExt spid="_x0000_s14346"/>
                </a:ext>
                <a:ext uri="{FF2B5EF4-FFF2-40B4-BE49-F238E27FC236}">
                  <a16:creationId xmlns:a16="http://schemas.microsoft.com/office/drawing/2014/main" id="{00000000-0008-0000-0100-00000A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7</xdr:col>
          <xdr:colOff>0</xdr:colOff>
          <xdr:row>585</xdr:row>
          <xdr:rowOff>165100</xdr:rowOff>
        </xdr:to>
        <xdr:sp macro="" textlink="">
          <xdr:nvSpPr>
            <xdr:cNvPr id="14345" name="Button 3081" hidden="1">
              <a:extLst>
                <a:ext uri="{63B3BB69-23CF-44E3-9099-C40C66FF867C}">
                  <a14:compatExt spid="_x0000_s14345"/>
                </a:ext>
                <a:ext uri="{FF2B5EF4-FFF2-40B4-BE49-F238E27FC236}">
                  <a16:creationId xmlns:a16="http://schemas.microsoft.com/office/drawing/2014/main" id="{00000000-0008-0000-0100-000009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7</xdr:col>
          <xdr:colOff>0</xdr:colOff>
          <xdr:row>586</xdr:row>
          <xdr:rowOff>165100</xdr:rowOff>
        </xdr:to>
        <xdr:sp macro="" textlink="">
          <xdr:nvSpPr>
            <xdr:cNvPr id="14344" name="Button 3080" hidden="1">
              <a:extLst>
                <a:ext uri="{63B3BB69-23CF-44E3-9099-C40C66FF867C}">
                  <a14:compatExt spid="_x0000_s14344"/>
                </a:ext>
                <a:ext uri="{FF2B5EF4-FFF2-40B4-BE49-F238E27FC236}">
                  <a16:creationId xmlns:a16="http://schemas.microsoft.com/office/drawing/2014/main" id="{00000000-0008-0000-0100-000008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7</xdr:col>
          <xdr:colOff>0</xdr:colOff>
          <xdr:row>587</xdr:row>
          <xdr:rowOff>165100</xdr:rowOff>
        </xdr:to>
        <xdr:sp macro="" textlink="">
          <xdr:nvSpPr>
            <xdr:cNvPr id="14343" name="Button 3079" hidden="1">
              <a:extLst>
                <a:ext uri="{63B3BB69-23CF-44E3-9099-C40C66FF867C}">
                  <a14:compatExt spid="_x0000_s14343"/>
                </a:ext>
                <a:ext uri="{FF2B5EF4-FFF2-40B4-BE49-F238E27FC236}">
                  <a16:creationId xmlns:a16="http://schemas.microsoft.com/office/drawing/2014/main" id="{00000000-0008-0000-0100-000007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7</xdr:col>
          <xdr:colOff>0</xdr:colOff>
          <xdr:row>591</xdr:row>
          <xdr:rowOff>0</xdr:rowOff>
        </xdr:to>
        <xdr:sp macro="" textlink="">
          <xdr:nvSpPr>
            <xdr:cNvPr id="14342" name="Button 3078" hidden="1">
              <a:extLst>
                <a:ext uri="{63B3BB69-23CF-44E3-9099-C40C66FF867C}">
                  <a14:compatExt spid="_x0000_s14342"/>
                </a:ext>
                <a:ext uri="{FF2B5EF4-FFF2-40B4-BE49-F238E27FC236}">
                  <a16:creationId xmlns:a16="http://schemas.microsoft.com/office/drawing/2014/main" id="{00000000-0008-0000-0100-000006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7</xdr:col>
          <xdr:colOff>0</xdr:colOff>
          <xdr:row>597</xdr:row>
          <xdr:rowOff>171450</xdr:rowOff>
        </xdr:to>
        <xdr:sp macro="" textlink="">
          <xdr:nvSpPr>
            <xdr:cNvPr id="14341" name="Button 3077" hidden="1">
              <a:extLst>
                <a:ext uri="{63B3BB69-23CF-44E3-9099-C40C66FF867C}">
                  <a14:compatExt spid="_x0000_s14341"/>
                </a:ext>
                <a:ext uri="{FF2B5EF4-FFF2-40B4-BE49-F238E27FC236}">
                  <a16:creationId xmlns:a16="http://schemas.microsoft.com/office/drawing/2014/main" id="{00000000-0008-0000-0100-000005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7</xdr:col>
          <xdr:colOff>0</xdr:colOff>
          <xdr:row>598</xdr:row>
          <xdr:rowOff>165100</xdr:rowOff>
        </xdr:to>
        <xdr:sp macro="" textlink="">
          <xdr:nvSpPr>
            <xdr:cNvPr id="14340" name="Button 3076" hidden="1">
              <a:extLst>
                <a:ext uri="{63B3BB69-23CF-44E3-9099-C40C66FF867C}">
                  <a14:compatExt spid="_x0000_s14340"/>
                </a:ext>
                <a:ext uri="{FF2B5EF4-FFF2-40B4-BE49-F238E27FC236}">
                  <a16:creationId xmlns:a16="http://schemas.microsoft.com/office/drawing/2014/main" id="{00000000-0008-0000-0100-00000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7</xdr:col>
          <xdr:colOff>0</xdr:colOff>
          <xdr:row>599</xdr:row>
          <xdr:rowOff>165100</xdr:rowOff>
        </xdr:to>
        <xdr:sp macro="" textlink="">
          <xdr:nvSpPr>
            <xdr:cNvPr id="14339" name="Button 3075" hidden="1">
              <a:extLst>
                <a:ext uri="{63B3BB69-23CF-44E3-9099-C40C66FF867C}">
                  <a14:compatExt spid="_x0000_s14339"/>
                </a:ext>
                <a:ext uri="{FF2B5EF4-FFF2-40B4-BE49-F238E27FC236}">
                  <a16:creationId xmlns:a16="http://schemas.microsoft.com/office/drawing/2014/main" id="{00000000-0008-0000-0100-00000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7</xdr:col>
          <xdr:colOff>0</xdr:colOff>
          <xdr:row>600</xdr:row>
          <xdr:rowOff>165100</xdr:rowOff>
        </xdr:to>
        <xdr:sp macro="" textlink="">
          <xdr:nvSpPr>
            <xdr:cNvPr id="14338" name="Button 3074" hidden="1">
              <a:extLst>
                <a:ext uri="{63B3BB69-23CF-44E3-9099-C40C66FF867C}">
                  <a14:compatExt spid="_x0000_s14338"/>
                </a:ext>
                <a:ext uri="{FF2B5EF4-FFF2-40B4-BE49-F238E27FC236}">
                  <a16:creationId xmlns:a16="http://schemas.microsoft.com/office/drawing/2014/main" id="{00000000-0008-0000-0100-00000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7</xdr:col>
          <xdr:colOff>0</xdr:colOff>
          <xdr:row>601</xdr:row>
          <xdr:rowOff>165100</xdr:rowOff>
        </xdr:to>
        <xdr:sp macro="" textlink="">
          <xdr:nvSpPr>
            <xdr:cNvPr id="14337" name="Button 3073" hidden="1">
              <a:extLst>
                <a:ext uri="{63B3BB69-23CF-44E3-9099-C40C66FF867C}">
                  <a14:compatExt spid="_x0000_s14337"/>
                </a:ext>
                <a:ext uri="{FF2B5EF4-FFF2-40B4-BE49-F238E27FC236}">
                  <a16:creationId xmlns:a16="http://schemas.microsoft.com/office/drawing/2014/main" id="{00000000-0008-0000-0100-00000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7</xdr:col>
          <xdr:colOff>0</xdr:colOff>
          <xdr:row>602</xdr:row>
          <xdr:rowOff>165100</xdr:rowOff>
        </xdr:to>
        <xdr:sp macro="" textlink="">
          <xdr:nvSpPr>
            <xdr:cNvPr id="14336" name="Button 3072" hidden="1">
              <a:extLst>
                <a:ext uri="{63B3BB69-23CF-44E3-9099-C40C66FF867C}">
                  <a14:compatExt spid="_x0000_s14336"/>
                </a:ext>
                <a:ext uri="{FF2B5EF4-FFF2-40B4-BE49-F238E27FC236}">
                  <a16:creationId xmlns:a16="http://schemas.microsoft.com/office/drawing/2014/main" id="{00000000-0008-0000-0100-000000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7</xdr:col>
          <xdr:colOff>0</xdr:colOff>
          <xdr:row>603</xdr:row>
          <xdr:rowOff>165100</xdr:rowOff>
        </xdr:to>
        <xdr:sp macro="" textlink="">
          <xdr:nvSpPr>
            <xdr:cNvPr id="14335" name="Button 3071" hidden="1">
              <a:extLst>
                <a:ext uri="{63B3BB69-23CF-44E3-9099-C40C66FF867C}">
                  <a14:compatExt spid="_x0000_s14335"/>
                </a:ext>
                <a:ext uri="{FF2B5EF4-FFF2-40B4-BE49-F238E27FC236}">
                  <a16:creationId xmlns:a16="http://schemas.microsoft.com/office/drawing/2014/main" id="{00000000-0008-0000-0100-0000FF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7</xdr:col>
          <xdr:colOff>0</xdr:colOff>
          <xdr:row>604</xdr:row>
          <xdr:rowOff>165100</xdr:rowOff>
        </xdr:to>
        <xdr:sp macro="" textlink="">
          <xdr:nvSpPr>
            <xdr:cNvPr id="14334" name="Button 3070" hidden="1">
              <a:extLst>
                <a:ext uri="{63B3BB69-23CF-44E3-9099-C40C66FF867C}">
                  <a14:compatExt spid="_x0000_s14334"/>
                </a:ext>
                <a:ext uri="{FF2B5EF4-FFF2-40B4-BE49-F238E27FC236}">
                  <a16:creationId xmlns:a16="http://schemas.microsoft.com/office/drawing/2014/main" id="{00000000-0008-0000-0100-0000FE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7</xdr:col>
          <xdr:colOff>0</xdr:colOff>
          <xdr:row>605</xdr:row>
          <xdr:rowOff>165100</xdr:rowOff>
        </xdr:to>
        <xdr:sp macro="" textlink="">
          <xdr:nvSpPr>
            <xdr:cNvPr id="14333" name="Button 3069" hidden="1">
              <a:extLst>
                <a:ext uri="{63B3BB69-23CF-44E3-9099-C40C66FF867C}">
                  <a14:compatExt spid="_x0000_s14333"/>
                </a:ext>
                <a:ext uri="{FF2B5EF4-FFF2-40B4-BE49-F238E27FC236}">
                  <a16:creationId xmlns:a16="http://schemas.microsoft.com/office/drawing/2014/main" id="{00000000-0008-0000-0100-0000FD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7</xdr:col>
          <xdr:colOff>0</xdr:colOff>
          <xdr:row>606</xdr:row>
          <xdr:rowOff>165100</xdr:rowOff>
        </xdr:to>
        <xdr:sp macro="" textlink="">
          <xdr:nvSpPr>
            <xdr:cNvPr id="14332" name="Button 3068" hidden="1">
              <a:extLst>
                <a:ext uri="{63B3BB69-23CF-44E3-9099-C40C66FF867C}">
                  <a14:compatExt spid="_x0000_s14332"/>
                </a:ext>
                <a:ext uri="{FF2B5EF4-FFF2-40B4-BE49-F238E27FC236}">
                  <a16:creationId xmlns:a16="http://schemas.microsoft.com/office/drawing/2014/main" id="{00000000-0008-0000-0100-0000FC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7</xdr:col>
          <xdr:colOff>0</xdr:colOff>
          <xdr:row>607</xdr:row>
          <xdr:rowOff>165100</xdr:rowOff>
        </xdr:to>
        <xdr:sp macro="" textlink="">
          <xdr:nvSpPr>
            <xdr:cNvPr id="14331" name="Button 3067" hidden="1">
              <a:extLst>
                <a:ext uri="{63B3BB69-23CF-44E3-9099-C40C66FF867C}">
                  <a14:compatExt spid="_x0000_s14331"/>
                </a:ext>
                <a:ext uri="{FF2B5EF4-FFF2-40B4-BE49-F238E27FC236}">
                  <a16:creationId xmlns:a16="http://schemas.microsoft.com/office/drawing/2014/main" id="{00000000-0008-0000-0100-0000FB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7</xdr:col>
          <xdr:colOff>0</xdr:colOff>
          <xdr:row>608</xdr:row>
          <xdr:rowOff>165100</xdr:rowOff>
        </xdr:to>
        <xdr:sp macro="" textlink="">
          <xdr:nvSpPr>
            <xdr:cNvPr id="14330" name="Button 3066" hidden="1">
              <a:extLst>
                <a:ext uri="{63B3BB69-23CF-44E3-9099-C40C66FF867C}">
                  <a14:compatExt spid="_x0000_s14330"/>
                </a:ext>
                <a:ext uri="{FF2B5EF4-FFF2-40B4-BE49-F238E27FC236}">
                  <a16:creationId xmlns:a16="http://schemas.microsoft.com/office/drawing/2014/main" id="{00000000-0008-0000-0100-0000FA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7</xdr:col>
          <xdr:colOff>0</xdr:colOff>
          <xdr:row>609</xdr:row>
          <xdr:rowOff>165100</xdr:rowOff>
        </xdr:to>
        <xdr:sp macro="" textlink="">
          <xdr:nvSpPr>
            <xdr:cNvPr id="14329" name="Button 3065" hidden="1">
              <a:extLst>
                <a:ext uri="{63B3BB69-23CF-44E3-9099-C40C66FF867C}">
                  <a14:compatExt spid="_x0000_s14329"/>
                </a:ext>
                <a:ext uri="{FF2B5EF4-FFF2-40B4-BE49-F238E27FC236}">
                  <a16:creationId xmlns:a16="http://schemas.microsoft.com/office/drawing/2014/main" id="{00000000-0008-0000-0100-0000F9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7</xdr:col>
          <xdr:colOff>0</xdr:colOff>
          <xdr:row>610</xdr:row>
          <xdr:rowOff>165100</xdr:rowOff>
        </xdr:to>
        <xdr:sp macro="" textlink="">
          <xdr:nvSpPr>
            <xdr:cNvPr id="14328" name="Button 3064" hidden="1">
              <a:extLst>
                <a:ext uri="{63B3BB69-23CF-44E3-9099-C40C66FF867C}">
                  <a14:compatExt spid="_x0000_s14328"/>
                </a:ext>
                <a:ext uri="{FF2B5EF4-FFF2-40B4-BE49-F238E27FC236}">
                  <a16:creationId xmlns:a16="http://schemas.microsoft.com/office/drawing/2014/main" id="{00000000-0008-0000-0100-0000F8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7</xdr:col>
          <xdr:colOff>0</xdr:colOff>
          <xdr:row>611</xdr:row>
          <xdr:rowOff>165100</xdr:rowOff>
        </xdr:to>
        <xdr:sp macro="" textlink="">
          <xdr:nvSpPr>
            <xdr:cNvPr id="14327" name="Button 3063" hidden="1">
              <a:extLst>
                <a:ext uri="{63B3BB69-23CF-44E3-9099-C40C66FF867C}">
                  <a14:compatExt spid="_x0000_s14327"/>
                </a:ext>
                <a:ext uri="{FF2B5EF4-FFF2-40B4-BE49-F238E27FC236}">
                  <a16:creationId xmlns:a16="http://schemas.microsoft.com/office/drawing/2014/main" id="{00000000-0008-0000-0100-0000F7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7</xdr:col>
          <xdr:colOff>0</xdr:colOff>
          <xdr:row>615</xdr:row>
          <xdr:rowOff>0</xdr:rowOff>
        </xdr:to>
        <xdr:sp macro="" textlink="">
          <xdr:nvSpPr>
            <xdr:cNvPr id="14326" name="Button 3062" hidden="1">
              <a:extLst>
                <a:ext uri="{63B3BB69-23CF-44E3-9099-C40C66FF867C}">
                  <a14:compatExt spid="_x0000_s14326"/>
                </a:ext>
                <a:ext uri="{FF2B5EF4-FFF2-40B4-BE49-F238E27FC236}">
                  <a16:creationId xmlns:a16="http://schemas.microsoft.com/office/drawing/2014/main" id="{00000000-0008-0000-0100-0000F6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7</xdr:col>
          <xdr:colOff>0</xdr:colOff>
          <xdr:row>621</xdr:row>
          <xdr:rowOff>171450</xdr:rowOff>
        </xdr:to>
        <xdr:sp macro="" textlink="">
          <xdr:nvSpPr>
            <xdr:cNvPr id="14325" name="Button 3061" hidden="1">
              <a:extLst>
                <a:ext uri="{63B3BB69-23CF-44E3-9099-C40C66FF867C}">
                  <a14:compatExt spid="_x0000_s14325"/>
                </a:ext>
                <a:ext uri="{FF2B5EF4-FFF2-40B4-BE49-F238E27FC236}">
                  <a16:creationId xmlns:a16="http://schemas.microsoft.com/office/drawing/2014/main" id="{00000000-0008-0000-0100-0000F5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7</xdr:col>
          <xdr:colOff>0</xdr:colOff>
          <xdr:row>622</xdr:row>
          <xdr:rowOff>165100</xdr:rowOff>
        </xdr:to>
        <xdr:sp macro="" textlink="">
          <xdr:nvSpPr>
            <xdr:cNvPr id="14324" name="Button 3060" hidden="1">
              <a:extLst>
                <a:ext uri="{63B3BB69-23CF-44E3-9099-C40C66FF867C}">
                  <a14:compatExt spid="_x0000_s14324"/>
                </a:ext>
                <a:ext uri="{FF2B5EF4-FFF2-40B4-BE49-F238E27FC236}">
                  <a16:creationId xmlns:a16="http://schemas.microsoft.com/office/drawing/2014/main" id="{00000000-0008-0000-0100-0000F4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7</xdr:col>
          <xdr:colOff>0</xdr:colOff>
          <xdr:row>623</xdr:row>
          <xdr:rowOff>165100</xdr:rowOff>
        </xdr:to>
        <xdr:sp macro="" textlink="">
          <xdr:nvSpPr>
            <xdr:cNvPr id="14323" name="Button 3059" hidden="1">
              <a:extLst>
                <a:ext uri="{63B3BB69-23CF-44E3-9099-C40C66FF867C}">
                  <a14:compatExt spid="_x0000_s14323"/>
                </a:ext>
                <a:ext uri="{FF2B5EF4-FFF2-40B4-BE49-F238E27FC236}">
                  <a16:creationId xmlns:a16="http://schemas.microsoft.com/office/drawing/2014/main" id="{00000000-0008-0000-0100-0000F3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7</xdr:col>
          <xdr:colOff>0</xdr:colOff>
          <xdr:row>624</xdr:row>
          <xdr:rowOff>165100</xdr:rowOff>
        </xdr:to>
        <xdr:sp macro="" textlink="">
          <xdr:nvSpPr>
            <xdr:cNvPr id="14322" name="Button 3058" hidden="1">
              <a:extLst>
                <a:ext uri="{63B3BB69-23CF-44E3-9099-C40C66FF867C}">
                  <a14:compatExt spid="_x0000_s14322"/>
                </a:ext>
                <a:ext uri="{FF2B5EF4-FFF2-40B4-BE49-F238E27FC236}">
                  <a16:creationId xmlns:a16="http://schemas.microsoft.com/office/drawing/2014/main" id="{00000000-0008-0000-0100-0000F2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7</xdr:col>
          <xdr:colOff>0</xdr:colOff>
          <xdr:row>625</xdr:row>
          <xdr:rowOff>165100</xdr:rowOff>
        </xdr:to>
        <xdr:sp macro="" textlink="">
          <xdr:nvSpPr>
            <xdr:cNvPr id="14321" name="Button 3057" hidden="1">
              <a:extLst>
                <a:ext uri="{63B3BB69-23CF-44E3-9099-C40C66FF867C}">
                  <a14:compatExt spid="_x0000_s14321"/>
                </a:ext>
                <a:ext uri="{FF2B5EF4-FFF2-40B4-BE49-F238E27FC236}">
                  <a16:creationId xmlns:a16="http://schemas.microsoft.com/office/drawing/2014/main" id="{00000000-0008-0000-0100-0000F1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7</xdr:col>
          <xdr:colOff>0</xdr:colOff>
          <xdr:row>626</xdr:row>
          <xdr:rowOff>165100</xdr:rowOff>
        </xdr:to>
        <xdr:sp macro="" textlink="">
          <xdr:nvSpPr>
            <xdr:cNvPr id="14320" name="Button 3056" hidden="1">
              <a:extLst>
                <a:ext uri="{63B3BB69-23CF-44E3-9099-C40C66FF867C}">
                  <a14:compatExt spid="_x0000_s14320"/>
                </a:ext>
                <a:ext uri="{FF2B5EF4-FFF2-40B4-BE49-F238E27FC236}">
                  <a16:creationId xmlns:a16="http://schemas.microsoft.com/office/drawing/2014/main" id="{00000000-0008-0000-0100-0000F0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7</xdr:col>
          <xdr:colOff>0</xdr:colOff>
          <xdr:row>627</xdr:row>
          <xdr:rowOff>165100</xdr:rowOff>
        </xdr:to>
        <xdr:sp macro="" textlink="">
          <xdr:nvSpPr>
            <xdr:cNvPr id="14319" name="Button 3055" hidden="1">
              <a:extLst>
                <a:ext uri="{63B3BB69-23CF-44E3-9099-C40C66FF867C}">
                  <a14:compatExt spid="_x0000_s14319"/>
                </a:ext>
                <a:ext uri="{FF2B5EF4-FFF2-40B4-BE49-F238E27FC236}">
                  <a16:creationId xmlns:a16="http://schemas.microsoft.com/office/drawing/2014/main" id="{00000000-0008-0000-0100-0000EF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7</xdr:col>
          <xdr:colOff>0</xdr:colOff>
          <xdr:row>628</xdr:row>
          <xdr:rowOff>165100</xdr:rowOff>
        </xdr:to>
        <xdr:sp macro="" textlink="">
          <xdr:nvSpPr>
            <xdr:cNvPr id="14318" name="Button 3054" hidden="1">
              <a:extLst>
                <a:ext uri="{63B3BB69-23CF-44E3-9099-C40C66FF867C}">
                  <a14:compatExt spid="_x0000_s14318"/>
                </a:ext>
                <a:ext uri="{FF2B5EF4-FFF2-40B4-BE49-F238E27FC236}">
                  <a16:creationId xmlns:a16="http://schemas.microsoft.com/office/drawing/2014/main" id="{00000000-0008-0000-0100-0000EE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7</xdr:col>
          <xdr:colOff>0</xdr:colOff>
          <xdr:row>629</xdr:row>
          <xdr:rowOff>165100</xdr:rowOff>
        </xdr:to>
        <xdr:sp macro="" textlink="">
          <xdr:nvSpPr>
            <xdr:cNvPr id="14317" name="Button 3053" hidden="1">
              <a:extLst>
                <a:ext uri="{63B3BB69-23CF-44E3-9099-C40C66FF867C}">
                  <a14:compatExt spid="_x0000_s14317"/>
                </a:ext>
                <a:ext uri="{FF2B5EF4-FFF2-40B4-BE49-F238E27FC236}">
                  <a16:creationId xmlns:a16="http://schemas.microsoft.com/office/drawing/2014/main" id="{00000000-0008-0000-0100-0000ED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7</xdr:col>
          <xdr:colOff>0</xdr:colOff>
          <xdr:row>630</xdr:row>
          <xdr:rowOff>165100</xdr:rowOff>
        </xdr:to>
        <xdr:sp macro="" textlink="">
          <xdr:nvSpPr>
            <xdr:cNvPr id="14316" name="Button 3052" hidden="1">
              <a:extLst>
                <a:ext uri="{63B3BB69-23CF-44E3-9099-C40C66FF867C}">
                  <a14:compatExt spid="_x0000_s14316"/>
                </a:ext>
                <a:ext uri="{FF2B5EF4-FFF2-40B4-BE49-F238E27FC236}">
                  <a16:creationId xmlns:a16="http://schemas.microsoft.com/office/drawing/2014/main" id="{00000000-0008-0000-0100-0000EC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7</xdr:col>
          <xdr:colOff>0</xdr:colOff>
          <xdr:row>631</xdr:row>
          <xdr:rowOff>165100</xdr:rowOff>
        </xdr:to>
        <xdr:sp macro="" textlink="">
          <xdr:nvSpPr>
            <xdr:cNvPr id="14315" name="Button 3051" hidden="1">
              <a:extLst>
                <a:ext uri="{63B3BB69-23CF-44E3-9099-C40C66FF867C}">
                  <a14:compatExt spid="_x0000_s14315"/>
                </a:ext>
                <a:ext uri="{FF2B5EF4-FFF2-40B4-BE49-F238E27FC236}">
                  <a16:creationId xmlns:a16="http://schemas.microsoft.com/office/drawing/2014/main" id="{00000000-0008-0000-0100-0000EB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7</xdr:col>
          <xdr:colOff>0</xdr:colOff>
          <xdr:row>632</xdr:row>
          <xdr:rowOff>165100</xdr:rowOff>
        </xdr:to>
        <xdr:sp macro="" textlink="">
          <xdr:nvSpPr>
            <xdr:cNvPr id="14314" name="Button 3050" hidden="1">
              <a:extLst>
                <a:ext uri="{63B3BB69-23CF-44E3-9099-C40C66FF867C}">
                  <a14:compatExt spid="_x0000_s14314"/>
                </a:ext>
                <a:ext uri="{FF2B5EF4-FFF2-40B4-BE49-F238E27FC236}">
                  <a16:creationId xmlns:a16="http://schemas.microsoft.com/office/drawing/2014/main" id="{00000000-0008-0000-0100-0000EA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7</xdr:col>
          <xdr:colOff>0</xdr:colOff>
          <xdr:row>633</xdr:row>
          <xdr:rowOff>165100</xdr:rowOff>
        </xdr:to>
        <xdr:sp macro="" textlink="">
          <xdr:nvSpPr>
            <xdr:cNvPr id="14313" name="Button 3049" hidden="1">
              <a:extLst>
                <a:ext uri="{63B3BB69-23CF-44E3-9099-C40C66FF867C}">
                  <a14:compatExt spid="_x0000_s14313"/>
                </a:ext>
                <a:ext uri="{FF2B5EF4-FFF2-40B4-BE49-F238E27FC236}">
                  <a16:creationId xmlns:a16="http://schemas.microsoft.com/office/drawing/2014/main" id="{00000000-0008-0000-0100-0000E9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7</xdr:col>
          <xdr:colOff>0</xdr:colOff>
          <xdr:row>637</xdr:row>
          <xdr:rowOff>0</xdr:rowOff>
        </xdr:to>
        <xdr:sp macro="" textlink="">
          <xdr:nvSpPr>
            <xdr:cNvPr id="14312" name="Button 3048" hidden="1">
              <a:extLst>
                <a:ext uri="{63B3BB69-23CF-44E3-9099-C40C66FF867C}">
                  <a14:compatExt spid="_x0000_s14312"/>
                </a:ext>
                <a:ext uri="{FF2B5EF4-FFF2-40B4-BE49-F238E27FC236}">
                  <a16:creationId xmlns:a16="http://schemas.microsoft.com/office/drawing/2014/main" id="{00000000-0008-0000-0100-0000E8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7</xdr:col>
          <xdr:colOff>0</xdr:colOff>
          <xdr:row>643</xdr:row>
          <xdr:rowOff>171450</xdr:rowOff>
        </xdr:to>
        <xdr:sp macro="" textlink="">
          <xdr:nvSpPr>
            <xdr:cNvPr id="14311" name="Button 3047" hidden="1">
              <a:extLst>
                <a:ext uri="{63B3BB69-23CF-44E3-9099-C40C66FF867C}">
                  <a14:compatExt spid="_x0000_s14311"/>
                </a:ext>
                <a:ext uri="{FF2B5EF4-FFF2-40B4-BE49-F238E27FC236}">
                  <a16:creationId xmlns:a16="http://schemas.microsoft.com/office/drawing/2014/main" id="{00000000-0008-0000-0100-0000E7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7</xdr:col>
          <xdr:colOff>0</xdr:colOff>
          <xdr:row>644</xdr:row>
          <xdr:rowOff>165100</xdr:rowOff>
        </xdr:to>
        <xdr:sp macro="" textlink="">
          <xdr:nvSpPr>
            <xdr:cNvPr id="14310" name="Button 3046" hidden="1">
              <a:extLst>
                <a:ext uri="{63B3BB69-23CF-44E3-9099-C40C66FF867C}">
                  <a14:compatExt spid="_x0000_s14310"/>
                </a:ext>
                <a:ext uri="{FF2B5EF4-FFF2-40B4-BE49-F238E27FC236}">
                  <a16:creationId xmlns:a16="http://schemas.microsoft.com/office/drawing/2014/main" id="{00000000-0008-0000-0100-0000E6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7</xdr:col>
          <xdr:colOff>0</xdr:colOff>
          <xdr:row>645</xdr:row>
          <xdr:rowOff>165100</xdr:rowOff>
        </xdr:to>
        <xdr:sp macro="" textlink="">
          <xdr:nvSpPr>
            <xdr:cNvPr id="14309" name="Button 3045" hidden="1">
              <a:extLst>
                <a:ext uri="{63B3BB69-23CF-44E3-9099-C40C66FF867C}">
                  <a14:compatExt spid="_x0000_s14309"/>
                </a:ext>
                <a:ext uri="{FF2B5EF4-FFF2-40B4-BE49-F238E27FC236}">
                  <a16:creationId xmlns:a16="http://schemas.microsoft.com/office/drawing/2014/main" id="{00000000-0008-0000-0100-0000E5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7</xdr:col>
          <xdr:colOff>0</xdr:colOff>
          <xdr:row>646</xdr:row>
          <xdr:rowOff>165100</xdr:rowOff>
        </xdr:to>
        <xdr:sp macro="" textlink="">
          <xdr:nvSpPr>
            <xdr:cNvPr id="14308" name="Button 3044" hidden="1">
              <a:extLst>
                <a:ext uri="{63B3BB69-23CF-44E3-9099-C40C66FF867C}">
                  <a14:compatExt spid="_x0000_s14308"/>
                </a:ext>
                <a:ext uri="{FF2B5EF4-FFF2-40B4-BE49-F238E27FC236}">
                  <a16:creationId xmlns:a16="http://schemas.microsoft.com/office/drawing/2014/main" id="{00000000-0008-0000-0100-0000E4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7</xdr:col>
          <xdr:colOff>0</xdr:colOff>
          <xdr:row>647</xdr:row>
          <xdr:rowOff>165100</xdr:rowOff>
        </xdr:to>
        <xdr:sp macro="" textlink="">
          <xdr:nvSpPr>
            <xdr:cNvPr id="14307" name="Button 3043" hidden="1">
              <a:extLst>
                <a:ext uri="{63B3BB69-23CF-44E3-9099-C40C66FF867C}">
                  <a14:compatExt spid="_x0000_s14307"/>
                </a:ext>
                <a:ext uri="{FF2B5EF4-FFF2-40B4-BE49-F238E27FC236}">
                  <a16:creationId xmlns:a16="http://schemas.microsoft.com/office/drawing/2014/main" id="{00000000-0008-0000-0100-0000E3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7</xdr:col>
          <xdr:colOff>0</xdr:colOff>
          <xdr:row>648</xdr:row>
          <xdr:rowOff>165100</xdr:rowOff>
        </xdr:to>
        <xdr:sp macro="" textlink="">
          <xdr:nvSpPr>
            <xdr:cNvPr id="14306" name="Button 3042" hidden="1">
              <a:extLst>
                <a:ext uri="{63B3BB69-23CF-44E3-9099-C40C66FF867C}">
                  <a14:compatExt spid="_x0000_s14306"/>
                </a:ext>
                <a:ext uri="{FF2B5EF4-FFF2-40B4-BE49-F238E27FC236}">
                  <a16:creationId xmlns:a16="http://schemas.microsoft.com/office/drawing/2014/main" id="{00000000-0008-0000-0100-0000E2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7</xdr:col>
          <xdr:colOff>0</xdr:colOff>
          <xdr:row>649</xdr:row>
          <xdr:rowOff>165100</xdr:rowOff>
        </xdr:to>
        <xdr:sp macro="" textlink="">
          <xdr:nvSpPr>
            <xdr:cNvPr id="14305" name="Button 3041" hidden="1">
              <a:extLst>
                <a:ext uri="{63B3BB69-23CF-44E3-9099-C40C66FF867C}">
                  <a14:compatExt spid="_x0000_s14305"/>
                </a:ext>
                <a:ext uri="{FF2B5EF4-FFF2-40B4-BE49-F238E27FC236}">
                  <a16:creationId xmlns:a16="http://schemas.microsoft.com/office/drawing/2014/main" id="{00000000-0008-0000-0100-0000E1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7</xdr:col>
          <xdr:colOff>0</xdr:colOff>
          <xdr:row>650</xdr:row>
          <xdr:rowOff>165100</xdr:rowOff>
        </xdr:to>
        <xdr:sp macro="" textlink="">
          <xdr:nvSpPr>
            <xdr:cNvPr id="14304" name="Button 3040" hidden="1">
              <a:extLst>
                <a:ext uri="{63B3BB69-23CF-44E3-9099-C40C66FF867C}">
                  <a14:compatExt spid="_x0000_s14304"/>
                </a:ext>
                <a:ext uri="{FF2B5EF4-FFF2-40B4-BE49-F238E27FC236}">
                  <a16:creationId xmlns:a16="http://schemas.microsoft.com/office/drawing/2014/main" id="{00000000-0008-0000-0100-0000E0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7</xdr:col>
          <xdr:colOff>0</xdr:colOff>
          <xdr:row>651</xdr:row>
          <xdr:rowOff>165100</xdr:rowOff>
        </xdr:to>
        <xdr:sp macro="" textlink="">
          <xdr:nvSpPr>
            <xdr:cNvPr id="14303" name="Button 3039" hidden="1">
              <a:extLst>
                <a:ext uri="{63B3BB69-23CF-44E3-9099-C40C66FF867C}">
                  <a14:compatExt spid="_x0000_s14303"/>
                </a:ext>
                <a:ext uri="{FF2B5EF4-FFF2-40B4-BE49-F238E27FC236}">
                  <a16:creationId xmlns:a16="http://schemas.microsoft.com/office/drawing/2014/main" id="{00000000-0008-0000-0100-0000DF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7</xdr:col>
          <xdr:colOff>0</xdr:colOff>
          <xdr:row>655</xdr:row>
          <xdr:rowOff>0</xdr:rowOff>
        </xdr:to>
        <xdr:sp macro="" textlink="">
          <xdr:nvSpPr>
            <xdr:cNvPr id="14302" name="Button 3038" hidden="1">
              <a:extLst>
                <a:ext uri="{63B3BB69-23CF-44E3-9099-C40C66FF867C}">
                  <a14:compatExt spid="_x0000_s14302"/>
                </a:ext>
                <a:ext uri="{FF2B5EF4-FFF2-40B4-BE49-F238E27FC236}">
                  <a16:creationId xmlns:a16="http://schemas.microsoft.com/office/drawing/2014/main" id="{00000000-0008-0000-0100-0000DE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7</xdr:col>
          <xdr:colOff>0</xdr:colOff>
          <xdr:row>661</xdr:row>
          <xdr:rowOff>171450</xdr:rowOff>
        </xdr:to>
        <xdr:sp macro="" textlink="">
          <xdr:nvSpPr>
            <xdr:cNvPr id="14301" name="Button 3037" hidden="1">
              <a:extLst>
                <a:ext uri="{63B3BB69-23CF-44E3-9099-C40C66FF867C}">
                  <a14:compatExt spid="_x0000_s14301"/>
                </a:ext>
                <a:ext uri="{FF2B5EF4-FFF2-40B4-BE49-F238E27FC236}">
                  <a16:creationId xmlns:a16="http://schemas.microsoft.com/office/drawing/2014/main" id="{00000000-0008-0000-0100-0000DD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7</xdr:col>
          <xdr:colOff>0</xdr:colOff>
          <xdr:row>662</xdr:row>
          <xdr:rowOff>165100</xdr:rowOff>
        </xdr:to>
        <xdr:sp macro="" textlink="">
          <xdr:nvSpPr>
            <xdr:cNvPr id="14300" name="Button 3036" hidden="1">
              <a:extLst>
                <a:ext uri="{63B3BB69-23CF-44E3-9099-C40C66FF867C}">
                  <a14:compatExt spid="_x0000_s14300"/>
                </a:ext>
                <a:ext uri="{FF2B5EF4-FFF2-40B4-BE49-F238E27FC236}">
                  <a16:creationId xmlns:a16="http://schemas.microsoft.com/office/drawing/2014/main" id="{00000000-0008-0000-0100-0000DC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7</xdr:col>
          <xdr:colOff>0</xdr:colOff>
          <xdr:row>666</xdr:row>
          <xdr:rowOff>0</xdr:rowOff>
        </xdr:to>
        <xdr:sp macro="" textlink="">
          <xdr:nvSpPr>
            <xdr:cNvPr id="14299" name="Button 3035" hidden="1">
              <a:extLst>
                <a:ext uri="{63B3BB69-23CF-44E3-9099-C40C66FF867C}">
                  <a14:compatExt spid="_x0000_s14299"/>
                </a:ext>
                <a:ext uri="{FF2B5EF4-FFF2-40B4-BE49-F238E27FC236}">
                  <a16:creationId xmlns:a16="http://schemas.microsoft.com/office/drawing/2014/main" id="{00000000-0008-0000-0100-0000DB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7</xdr:col>
          <xdr:colOff>0</xdr:colOff>
          <xdr:row>672</xdr:row>
          <xdr:rowOff>171450</xdr:rowOff>
        </xdr:to>
        <xdr:sp macro="" textlink="">
          <xdr:nvSpPr>
            <xdr:cNvPr id="14298" name="Button 3034" hidden="1">
              <a:extLst>
                <a:ext uri="{63B3BB69-23CF-44E3-9099-C40C66FF867C}">
                  <a14:compatExt spid="_x0000_s14298"/>
                </a:ext>
                <a:ext uri="{FF2B5EF4-FFF2-40B4-BE49-F238E27FC236}">
                  <a16:creationId xmlns:a16="http://schemas.microsoft.com/office/drawing/2014/main" id="{00000000-0008-0000-0100-0000DA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7</xdr:col>
          <xdr:colOff>0</xdr:colOff>
          <xdr:row>673</xdr:row>
          <xdr:rowOff>165100</xdr:rowOff>
        </xdr:to>
        <xdr:sp macro="" textlink="">
          <xdr:nvSpPr>
            <xdr:cNvPr id="14297" name="Button 3033" hidden="1">
              <a:extLst>
                <a:ext uri="{63B3BB69-23CF-44E3-9099-C40C66FF867C}">
                  <a14:compatExt spid="_x0000_s14297"/>
                </a:ext>
                <a:ext uri="{FF2B5EF4-FFF2-40B4-BE49-F238E27FC236}">
                  <a16:creationId xmlns:a16="http://schemas.microsoft.com/office/drawing/2014/main" id="{00000000-0008-0000-0100-0000D9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7</xdr:col>
          <xdr:colOff>0</xdr:colOff>
          <xdr:row>677</xdr:row>
          <xdr:rowOff>0</xdr:rowOff>
        </xdr:to>
        <xdr:sp macro="" textlink="">
          <xdr:nvSpPr>
            <xdr:cNvPr id="14296" name="Button 3032" hidden="1">
              <a:extLst>
                <a:ext uri="{63B3BB69-23CF-44E3-9099-C40C66FF867C}">
                  <a14:compatExt spid="_x0000_s14296"/>
                </a:ext>
                <a:ext uri="{FF2B5EF4-FFF2-40B4-BE49-F238E27FC236}">
                  <a16:creationId xmlns:a16="http://schemas.microsoft.com/office/drawing/2014/main" id="{00000000-0008-0000-0100-0000D8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7</xdr:col>
          <xdr:colOff>0</xdr:colOff>
          <xdr:row>683</xdr:row>
          <xdr:rowOff>171450</xdr:rowOff>
        </xdr:to>
        <xdr:sp macro="" textlink="">
          <xdr:nvSpPr>
            <xdr:cNvPr id="14295" name="Button 3031" hidden="1">
              <a:extLst>
                <a:ext uri="{63B3BB69-23CF-44E3-9099-C40C66FF867C}">
                  <a14:compatExt spid="_x0000_s14295"/>
                </a:ext>
                <a:ext uri="{FF2B5EF4-FFF2-40B4-BE49-F238E27FC236}">
                  <a16:creationId xmlns:a16="http://schemas.microsoft.com/office/drawing/2014/main" id="{00000000-0008-0000-0100-0000D7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7</xdr:col>
          <xdr:colOff>0</xdr:colOff>
          <xdr:row>684</xdr:row>
          <xdr:rowOff>165100</xdr:rowOff>
        </xdr:to>
        <xdr:sp macro="" textlink="">
          <xdr:nvSpPr>
            <xdr:cNvPr id="14294" name="Button 3030" hidden="1">
              <a:extLst>
                <a:ext uri="{63B3BB69-23CF-44E3-9099-C40C66FF867C}">
                  <a14:compatExt spid="_x0000_s14294"/>
                </a:ext>
                <a:ext uri="{FF2B5EF4-FFF2-40B4-BE49-F238E27FC236}">
                  <a16:creationId xmlns:a16="http://schemas.microsoft.com/office/drawing/2014/main" id="{00000000-0008-0000-0100-0000D6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7</xdr:col>
          <xdr:colOff>0</xdr:colOff>
          <xdr:row>685</xdr:row>
          <xdr:rowOff>165100</xdr:rowOff>
        </xdr:to>
        <xdr:sp macro="" textlink="">
          <xdr:nvSpPr>
            <xdr:cNvPr id="14293" name="Button 3029" hidden="1">
              <a:extLst>
                <a:ext uri="{63B3BB69-23CF-44E3-9099-C40C66FF867C}">
                  <a14:compatExt spid="_x0000_s14293"/>
                </a:ext>
                <a:ext uri="{FF2B5EF4-FFF2-40B4-BE49-F238E27FC236}">
                  <a16:creationId xmlns:a16="http://schemas.microsoft.com/office/drawing/2014/main" id="{00000000-0008-0000-0100-0000D5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7</xdr:col>
          <xdr:colOff>0</xdr:colOff>
          <xdr:row>689</xdr:row>
          <xdr:rowOff>0</xdr:rowOff>
        </xdr:to>
        <xdr:sp macro="" textlink="">
          <xdr:nvSpPr>
            <xdr:cNvPr id="14292" name="Button 3028" hidden="1">
              <a:extLst>
                <a:ext uri="{63B3BB69-23CF-44E3-9099-C40C66FF867C}">
                  <a14:compatExt spid="_x0000_s14292"/>
                </a:ext>
                <a:ext uri="{FF2B5EF4-FFF2-40B4-BE49-F238E27FC236}">
                  <a16:creationId xmlns:a16="http://schemas.microsoft.com/office/drawing/2014/main" id="{00000000-0008-0000-0100-0000D4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7</xdr:col>
          <xdr:colOff>0</xdr:colOff>
          <xdr:row>695</xdr:row>
          <xdr:rowOff>171450</xdr:rowOff>
        </xdr:to>
        <xdr:sp macro="" textlink="">
          <xdr:nvSpPr>
            <xdr:cNvPr id="14291" name="Button 3027" hidden="1">
              <a:extLst>
                <a:ext uri="{63B3BB69-23CF-44E3-9099-C40C66FF867C}">
                  <a14:compatExt spid="_x0000_s14291"/>
                </a:ext>
                <a:ext uri="{FF2B5EF4-FFF2-40B4-BE49-F238E27FC236}">
                  <a16:creationId xmlns:a16="http://schemas.microsoft.com/office/drawing/2014/main" id="{00000000-0008-0000-0100-0000D3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7</xdr:col>
          <xdr:colOff>0</xdr:colOff>
          <xdr:row>696</xdr:row>
          <xdr:rowOff>165100</xdr:rowOff>
        </xdr:to>
        <xdr:sp macro="" textlink="">
          <xdr:nvSpPr>
            <xdr:cNvPr id="14290" name="Button 3026" hidden="1">
              <a:extLst>
                <a:ext uri="{63B3BB69-23CF-44E3-9099-C40C66FF867C}">
                  <a14:compatExt spid="_x0000_s14290"/>
                </a:ext>
                <a:ext uri="{FF2B5EF4-FFF2-40B4-BE49-F238E27FC236}">
                  <a16:creationId xmlns:a16="http://schemas.microsoft.com/office/drawing/2014/main" id="{00000000-0008-0000-0100-0000D2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7</xdr:col>
          <xdr:colOff>0</xdr:colOff>
          <xdr:row>697</xdr:row>
          <xdr:rowOff>165100</xdr:rowOff>
        </xdr:to>
        <xdr:sp macro="" textlink="">
          <xdr:nvSpPr>
            <xdr:cNvPr id="14289" name="Button 3025" hidden="1">
              <a:extLst>
                <a:ext uri="{63B3BB69-23CF-44E3-9099-C40C66FF867C}">
                  <a14:compatExt spid="_x0000_s14289"/>
                </a:ext>
                <a:ext uri="{FF2B5EF4-FFF2-40B4-BE49-F238E27FC236}">
                  <a16:creationId xmlns:a16="http://schemas.microsoft.com/office/drawing/2014/main" id="{00000000-0008-0000-0100-0000D1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7</xdr:col>
          <xdr:colOff>0</xdr:colOff>
          <xdr:row>701</xdr:row>
          <xdr:rowOff>0</xdr:rowOff>
        </xdr:to>
        <xdr:sp macro="" textlink="">
          <xdr:nvSpPr>
            <xdr:cNvPr id="14288" name="Button 3024" hidden="1">
              <a:extLst>
                <a:ext uri="{63B3BB69-23CF-44E3-9099-C40C66FF867C}">
                  <a14:compatExt spid="_x0000_s14288"/>
                </a:ext>
                <a:ext uri="{FF2B5EF4-FFF2-40B4-BE49-F238E27FC236}">
                  <a16:creationId xmlns:a16="http://schemas.microsoft.com/office/drawing/2014/main" id="{00000000-0008-0000-0100-0000D0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7</xdr:col>
          <xdr:colOff>0</xdr:colOff>
          <xdr:row>707</xdr:row>
          <xdr:rowOff>171450</xdr:rowOff>
        </xdr:to>
        <xdr:sp macro="" textlink="">
          <xdr:nvSpPr>
            <xdr:cNvPr id="14287" name="Button 3023" hidden="1">
              <a:extLst>
                <a:ext uri="{63B3BB69-23CF-44E3-9099-C40C66FF867C}">
                  <a14:compatExt spid="_x0000_s14287"/>
                </a:ext>
                <a:ext uri="{FF2B5EF4-FFF2-40B4-BE49-F238E27FC236}">
                  <a16:creationId xmlns:a16="http://schemas.microsoft.com/office/drawing/2014/main" id="{00000000-0008-0000-0100-0000CF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7</xdr:col>
          <xdr:colOff>0</xdr:colOff>
          <xdr:row>708</xdr:row>
          <xdr:rowOff>165100</xdr:rowOff>
        </xdr:to>
        <xdr:sp macro="" textlink="">
          <xdr:nvSpPr>
            <xdr:cNvPr id="14286" name="Button 3022" hidden="1">
              <a:extLst>
                <a:ext uri="{63B3BB69-23CF-44E3-9099-C40C66FF867C}">
                  <a14:compatExt spid="_x0000_s14286"/>
                </a:ext>
                <a:ext uri="{FF2B5EF4-FFF2-40B4-BE49-F238E27FC236}">
                  <a16:creationId xmlns:a16="http://schemas.microsoft.com/office/drawing/2014/main" id="{00000000-0008-0000-0100-0000CE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7</xdr:col>
          <xdr:colOff>0</xdr:colOff>
          <xdr:row>709</xdr:row>
          <xdr:rowOff>165100</xdr:rowOff>
        </xdr:to>
        <xdr:sp macro="" textlink="">
          <xdr:nvSpPr>
            <xdr:cNvPr id="14285" name="Button 3021" hidden="1">
              <a:extLst>
                <a:ext uri="{63B3BB69-23CF-44E3-9099-C40C66FF867C}">
                  <a14:compatExt spid="_x0000_s14285"/>
                </a:ext>
                <a:ext uri="{FF2B5EF4-FFF2-40B4-BE49-F238E27FC236}">
                  <a16:creationId xmlns:a16="http://schemas.microsoft.com/office/drawing/2014/main" id="{00000000-0008-0000-0100-0000CD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7</xdr:col>
          <xdr:colOff>0</xdr:colOff>
          <xdr:row>710</xdr:row>
          <xdr:rowOff>165100</xdr:rowOff>
        </xdr:to>
        <xdr:sp macro="" textlink="">
          <xdr:nvSpPr>
            <xdr:cNvPr id="14284" name="Button 3020" hidden="1">
              <a:extLst>
                <a:ext uri="{63B3BB69-23CF-44E3-9099-C40C66FF867C}">
                  <a14:compatExt spid="_x0000_s14284"/>
                </a:ext>
                <a:ext uri="{FF2B5EF4-FFF2-40B4-BE49-F238E27FC236}">
                  <a16:creationId xmlns:a16="http://schemas.microsoft.com/office/drawing/2014/main" id="{00000000-0008-0000-0100-0000CC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7</xdr:col>
          <xdr:colOff>0</xdr:colOff>
          <xdr:row>714</xdr:row>
          <xdr:rowOff>0</xdr:rowOff>
        </xdr:to>
        <xdr:sp macro="" textlink="">
          <xdr:nvSpPr>
            <xdr:cNvPr id="14283" name="Button 3019" hidden="1">
              <a:extLst>
                <a:ext uri="{63B3BB69-23CF-44E3-9099-C40C66FF867C}">
                  <a14:compatExt spid="_x0000_s14283"/>
                </a:ext>
                <a:ext uri="{FF2B5EF4-FFF2-40B4-BE49-F238E27FC236}">
                  <a16:creationId xmlns:a16="http://schemas.microsoft.com/office/drawing/2014/main" id="{00000000-0008-0000-0100-0000CB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7</xdr:col>
          <xdr:colOff>0</xdr:colOff>
          <xdr:row>720</xdr:row>
          <xdr:rowOff>171450</xdr:rowOff>
        </xdr:to>
        <xdr:sp macro="" textlink="">
          <xdr:nvSpPr>
            <xdr:cNvPr id="14282" name="Button 3018" hidden="1">
              <a:extLst>
                <a:ext uri="{63B3BB69-23CF-44E3-9099-C40C66FF867C}">
                  <a14:compatExt spid="_x0000_s14282"/>
                </a:ext>
                <a:ext uri="{FF2B5EF4-FFF2-40B4-BE49-F238E27FC236}">
                  <a16:creationId xmlns:a16="http://schemas.microsoft.com/office/drawing/2014/main" id="{00000000-0008-0000-0100-0000CA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7</xdr:col>
          <xdr:colOff>0</xdr:colOff>
          <xdr:row>721</xdr:row>
          <xdr:rowOff>165100</xdr:rowOff>
        </xdr:to>
        <xdr:sp macro="" textlink="">
          <xdr:nvSpPr>
            <xdr:cNvPr id="14281" name="Button 3017" hidden="1">
              <a:extLst>
                <a:ext uri="{63B3BB69-23CF-44E3-9099-C40C66FF867C}">
                  <a14:compatExt spid="_x0000_s14281"/>
                </a:ext>
                <a:ext uri="{FF2B5EF4-FFF2-40B4-BE49-F238E27FC236}">
                  <a16:creationId xmlns:a16="http://schemas.microsoft.com/office/drawing/2014/main" id="{00000000-0008-0000-0100-0000C9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7</xdr:col>
          <xdr:colOff>0</xdr:colOff>
          <xdr:row>722</xdr:row>
          <xdr:rowOff>165100</xdr:rowOff>
        </xdr:to>
        <xdr:sp macro="" textlink="">
          <xdr:nvSpPr>
            <xdr:cNvPr id="14280" name="Button 3016" hidden="1">
              <a:extLst>
                <a:ext uri="{63B3BB69-23CF-44E3-9099-C40C66FF867C}">
                  <a14:compatExt spid="_x0000_s14280"/>
                </a:ext>
                <a:ext uri="{FF2B5EF4-FFF2-40B4-BE49-F238E27FC236}">
                  <a16:creationId xmlns:a16="http://schemas.microsoft.com/office/drawing/2014/main" id="{00000000-0008-0000-0100-0000C8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7</xdr:col>
          <xdr:colOff>0</xdr:colOff>
          <xdr:row>726</xdr:row>
          <xdr:rowOff>0</xdr:rowOff>
        </xdr:to>
        <xdr:sp macro="" textlink="">
          <xdr:nvSpPr>
            <xdr:cNvPr id="14279" name="Button 3015" hidden="1">
              <a:extLst>
                <a:ext uri="{63B3BB69-23CF-44E3-9099-C40C66FF867C}">
                  <a14:compatExt spid="_x0000_s14279"/>
                </a:ext>
                <a:ext uri="{FF2B5EF4-FFF2-40B4-BE49-F238E27FC236}">
                  <a16:creationId xmlns:a16="http://schemas.microsoft.com/office/drawing/2014/main" id="{00000000-0008-0000-0100-0000C7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7</xdr:col>
          <xdr:colOff>0</xdr:colOff>
          <xdr:row>732</xdr:row>
          <xdr:rowOff>171450</xdr:rowOff>
        </xdr:to>
        <xdr:sp macro="" textlink="">
          <xdr:nvSpPr>
            <xdr:cNvPr id="14278" name="Button 3014" hidden="1">
              <a:extLst>
                <a:ext uri="{63B3BB69-23CF-44E3-9099-C40C66FF867C}">
                  <a14:compatExt spid="_x0000_s14278"/>
                </a:ext>
                <a:ext uri="{FF2B5EF4-FFF2-40B4-BE49-F238E27FC236}">
                  <a16:creationId xmlns:a16="http://schemas.microsoft.com/office/drawing/2014/main" id="{00000000-0008-0000-0100-0000C6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7</xdr:col>
          <xdr:colOff>0</xdr:colOff>
          <xdr:row>733</xdr:row>
          <xdr:rowOff>165100</xdr:rowOff>
        </xdr:to>
        <xdr:sp macro="" textlink="">
          <xdr:nvSpPr>
            <xdr:cNvPr id="14277" name="Button 3013" hidden="1">
              <a:extLst>
                <a:ext uri="{63B3BB69-23CF-44E3-9099-C40C66FF867C}">
                  <a14:compatExt spid="_x0000_s14277"/>
                </a:ext>
                <a:ext uri="{FF2B5EF4-FFF2-40B4-BE49-F238E27FC236}">
                  <a16:creationId xmlns:a16="http://schemas.microsoft.com/office/drawing/2014/main" id="{00000000-0008-0000-0100-0000C5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7</xdr:col>
          <xdr:colOff>0</xdr:colOff>
          <xdr:row>737</xdr:row>
          <xdr:rowOff>0</xdr:rowOff>
        </xdr:to>
        <xdr:sp macro="" textlink="">
          <xdr:nvSpPr>
            <xdr:cNvPr id="14276" name="Button 3012" hidden="1">
              <a:extLst>
                <a:ext uri="{63B3BB69-23CF-44E3-9099-C40C66FF867C}">
                  <a14:compatExt spid="_x0000_s14276"/>
                </a:ext>
                <a:ext uri="{FF2B5EF4-FFF2-40B4-BE49-F238E27FC236}">
                  <a16:creationId xmlns:a16="http://schemas.microsoft.com/office/drawing/2014/main" id="{00000000-0008-0000-0100-0000C4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7</xdr:col>
          <xdr:colOff>0</xdr:colOff>
          <xdr:row>743</xdr:row>
          <xdr:rowOff>171450</xdr:rowOff>
        </xdr:to>
        <xdr:sp macro="" textlink="">
          <xdr:nvSpPr>
            <xdr:cNvPr id="14275" name="Button 3011" hidden="1">
              <a:extLst>
                <a:ext uri="{63B3BB69-23CF-44E3-9099-C40C66FF867C}">
                  <a14:compatExt spid="_x0000_s14275"/>
                </a:ext>
                <a:ext uri="{FF2B5EF4-FFF2-40B4-BE49-F238E27FC236}">
                  <a16:creationId xmlns:a16="http://schemas.microsoft.com/office/drawing/2014/main" id="{00000000-0008-0000-0100-0000C3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7</xdr:col>
          <xdr:colOff>0</xdr:colOff>
          <xdr:row>744</xdr:row>
          <xdr:rowOff>165100</xdr:rowOff>
        </xdr:to>
        <xdr:sp macro="" textlink="">
          <xdr:nvSpPr>
            <xdr:cNvPr id="14274" name="Button 3010" hidden="1">
              <a:extLst>
                <a:ext uri="{63B3BB69-23CF-44E3-9099-C40C66FF867C}">
                  <a14:compatExt spid="_x0000_s14274"/>
                </a:ext>
                <a:ext uri="{FF2B5EF4-FFF2-40B4-BE49-F238E27FC236}">
                  <a16:creationId xmlns:a16="http://schemas.microsoft.com/office/drawing/2014/main" id="{00000000-0008-0000-0100-0000C2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7</xdr:col>
          <xdr:colOff>0</xdr:colOff>
          <xdr:row>745</xdr:row>
          <xdr:rowOff>165100</xdr:rowOff>
        </xdr:to>
        <xdr:sp macro="" textlink="">
          <xdr:nvSpPr>
            <xdr:cNvPr id="14273" name="Button 3009" hidden="1">
              <a:extLst>
                <a:ext uri="{63B3BB69-23CF-44E3-9099-C40C66FF867C}">
                  <a14:compatExt spid="_x0000_s14273"/>
                </a:ext>
                <a:ext uri="{FF2B5EF4-FFF2-40B4-BE49-F238E27FC236}">
                  <a16:creationId xmlns:a16="http://schemas.microsoft.com/office/drawing/2014/main" id="{00000000-0008-0000-0100-0000C1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7</xdr:col>
          <xdr:colOff>0</xdr:colOff>
          <xdr:row>749</xdr:row>
          <xdr:rowOff>0</xdr:rowOff>
        </xdr:to>
        <xdr:sp macro="" textlink="">
          <xdr:nvSpPr>
            <xdr:cNvPr id="14272" name="Button 3008" hidden="1">
              <a:extLst>
                <a:ext uri="{63B3BB69-23CF-44E3-9099-C40C66FF867C}">
                  <a14:compatExt spid="_x0000_s14272"/>
                </a:ext>
                <a:ext uri="{FF2B5EF4-FFF2-40B4-BE49-F238E27FC236}">
                  <a16:creationId xmlns:a16="http://schemas.microsoft.com/office/drawing/2014/main" id="{00000000-0008-0000-0100-0000C0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7</xdr:col>
          <xdr:colOff>0</xdr:colOff>
          <xdr:row>755</xdr:row>
          <xdr:rowOff>171450</xdr:rowOff>
        </xdr:to>
        <xdr:sp macro="" textlink="">
          <xdr:nvSpPr>
            <xdr:cNvPr id="14271" name="Button 3007" hidden="1">
              <a:extLst>
                <a:ext uri="{63B3BB69-23CF-44E3-9099-C40C66FF867C}">
                  <a14:compatExt spid="_x0000_s14271"/>
                </a:ext>
                <a:ext uri="{FF2B5EF4-FFF2-40B4-BE49-F238E27FC236}">
                  <a16:creationId xmlns:a16="http://schemas.microsoft.com/office/drawing/2014/main" id="{00000000-0008-0000-0100-0000BF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7</xdr:col>
          <xdr:colOff>0</xdr:colOff>
          <xdr:row>756</xdr:row>
          <xdr:rowOff>165100</xdr:rowOff>
        </xdr:to>
        <xdr:sp macro="" textlink="">
          <xdr:nvSpPr>
            <xdr:cNvPr id="14270" name="Button 3006" hidden="1">
              <a:extLst>
                <a:ext uri="{63B3BB69-23CF-44E3-9099-C40C66FF867C}">
                  <a14:compatExt spid="_x0000_s14270"/>
                </a:ext>
                <a:ext uri="{FF2B5EF4-FFF2-40B4-BE49-F238E27FC236}">
                  <a16:creationId xmlns:a16="http://schemas.microsoft.com/office/drawing/2014/main" id="{00000000-0008-0000-0100-0000BE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7</xdr:col>
          <xdr:colOff>0</xdr:colOff>
          <xdr:row>760</xdr:row>
          <xdr:rowOff>0</xdr:rowOff>
        </xdr:to>
        <xdr:sp macro="" textlink="">
          <xdr:nvSpPr>
            <xdr:cNvPr id="14269" name="Button 3005" hidden="1">
              <a:extLst>
                <a:ext uri="{63B3BB69-23CF-44E3-9099-C40C66FF867C}">
                  <a14:compatExt spid="_x0000_s14269"/>
                </a:ext>
                <a:ext uri="{FF2B5EF4-FFF2-40B4-BE49-F238E27FC236}">
                  <a16:creationId xmlns:a16="http://schemas.microsoft.com/office/drawing/2014/main" id="{00000000-0008-0000-0100-0000BD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7</xdr:col>
          <xdr:colOff>0</xdr:colOff>
          <xdr:row>766</xdr:row>
          <xdr:rowOff>171450</xdr:rowOff>
        </xdr:to>
        <xdr:sp macro="" textlink="">
          <xdr:nvSpPr>
            <xdr:cNvPr id="14268" name="Button 3004" hidden="1">
              <a:extLst>
                <a:ext uri="{63B3BB69-23CF-44E3-9099-C40C66FF867C}">
                  <a14:compatExt spid="_x0000_s14268"/>
                </a:ext>
                <a:ext uri="{FF2B5EF4-FFF2-40B4-BE49-F238E27FC236}">
                  <a16:creationId xmlns:a16="http://schemas.microsoft.com/office/drawing/2014/main" id="{00000000-0008-0000-0100-0000BC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7</xdr:col>
          <xdr:colOff>0</xdr:colOff>
          <xdr:row>767</xdr:row>
          <xdr:rowOff>165100</xdr:rowOff>
        </xdr:to>
        <xdr:sp macro="" textlink="">
          <xdr:nvSpPr>
            <xdr:cNvPr id="14267" name="Button 3003" hidden="1">
              <a:extLst>
                <a:ext uri="{63B3BB69-23CF-44E3-9099-C40C66FF867C}">
                  <a14:compatExt spid="_x0000_s14267"/>
                </a:ext>
                <a:ext uri="{FF2B5EF4-FFF2-40B4-BE49-F238E27FC236}">
                  <a16:creationId xmlns:a16="http://schemas.microsoft.com/office/drawing/2014/main" id="{00000000-0008-0000-0100-0000BB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7</xdr:col>
          <xdr:colOff>0</xdr:colOff>
          <xdr:row>768</xdr:row>
          <xdr:rowOff>165100</xdr:rowOff>
        </xdr:to>
        <xdr:sp macro="" textlink="">
          <xdr:nvSpPr>
            <xdr:cNvPr id="14266" name="Button 3002" hidden="1">
              <a:extLst>
                <a:ext uri="{63B3BB69-23CF-44E3-9099-C40C66FF867C}">
                  <a14:compatExt spid="_x0000_s14266"/>
                </a:ext>
                <a:ext uri="{FF2B5EF4-FFF2-40B4-BE49-F238E27FC236}">
                  <a16:creationId xmlns:a16="http://schemas.microsoft.com/office/drawing/2014/main" id="{00000000-0008-0000-0100-0000BA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7</xdr:col>
          <xdr:colOff>0</xdr:colOff>
          <xdr:row>772</xdr:row>
          <xdr:rowOff>0</xdr:rowOff>
        </xdr:to>
        <xdr:sp macro="" textlink="">
          <xdr:nvSpPr>
            <xdr:cNvPr id="14265" name="Button 3001" hidden="1">
              <a:extLst>
                <a:ext uri="{63B3BB69-23CF-44E3-9099-C40C66FF867C}">
                  <a14:compatExt spid="_x0000_s14265"/>
                </a:ext>
                <a:ext uri="{FF2B5EF4-FFF2-40B4-BE49-F238E27FC236}">
                  <a16:creationId xmlns:a16="http://schemas.microsoft.com/office/drawing/2014/main" id="{00000000-0008-0000-0100-0000B9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7</xdr:col>
          <xdr:colOff>0</xdr:colOff>
          <xdr:row>778</xdr:row>
          <xdr:rowOff>171450</xdr:rowOff>
        </xdr:to>
        <xdr:sp macro="" textlink="">
          <xdr:nvSpPr>
            <xdr:cNvPr id="14264" name="Button 3000" hidden="1">
              <a:extLst>
                <a:ext uri="{63B3BB69-23CF-44E3-9099-C40C66FF867C}">
                  <a14:compatExt spid="_x0000_s14264"/>
                </a:ext>
                <a:ext uri="{FF2B5EF4-FFF2-40B4-BE49-F238E27FC236}">
                  <a16:creationId xmlns:a16="http://schemas.microsoft.com/office/drawing/2014/main" id="{00000000-0008-0000-0100-0000B8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7</xdr:col>
          <xdr:colOff>0</xdr:colOff>
          <xdr:row>779</xdr:row>
          <xdr:rowOff>165100</xdr:rowOff>
        </xdr:to>
        <xdr:sp macro="" textlink="">
          <xdr:nvSpPr>
            <xdr:cNvPr id="14263" name="Button 2999" hidden="1">
              <a:extLst>
                <a:ext uri="{63B3BB69-23CF-44E3-9099-C40C66FF867C}">
                  <a14:compatExt spid="_x0000_s14263"/>
                </a:ext>
                <a:ext uri="{FF2B5EF4-FFF2-40B4-BE49-F238E27FC236}">
                  <a16:creationId xmlns:a16="http://schemas.microsoft.com/office/drawing/2014/main" id="{00000000-0008-0000-0100-0000B7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7</xdr:col>
          <xdr:colOff>0</xdr:colOff>
          <xdr:row>780</xdr:row>
          <xdr:rowOff>165100</xdr:rowOff>
        </xdr:to>
        <xdr:sp macro="" textlink="">
          <xdr:nvSpPr>
            <xdr:cNvPr id="14262" name="Button 2998" hidden="1">
              <a:extLst>
                <a:ext uri="{63B3BB69-23CF-44E3-9099-C40C66FF867C}">
                  <a14:compatExt spid="_x0000_s14262"/>
                </a:ext>
                <a:ext uri="{FF2B5EF4-FFF2-40B4-BE49-F238E27FC236}">
                  <a16:creationId xmlns:a16="http://schemas.microsoft.com/office/drawing/2014/main" id="{00000000-0008-0000-0100-0000B6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7</xdr:col>
          <xdr:colOff>0</xdr:colOff>
          <xdr:row>781</xdr:row>
          <xdr:rowOff>165100</xdr:rowOff>
        </xdr:to>
        <xdr:sp macro="" textlink="">
          <xdr:nvSpPr>
            <xdr:cNvPr id="14261" name="Button 2997" hidden="1">
              <a:extLst>
                <a:ext uri="{63B3BB69-23CF-44E3-9099-C40C66FF867C}">
                  <a14:compatExt spid="_x0000_s14261"/>
                </a:ext>
                <a:ext uri="{FF2B5EF4-FFF2-40B4-BE49-F238E27FC236}">
                  <a16:creationId xmlns:a16="http://schemas.microsoft.com/office/drawing/2014/main" id="{00000000-0008-0000-0100-0000B5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7</xdr:col>
          <xdr:colOff>0</xdr:colOff>
          <xdr:row>785</xdr:row>
          <xdr:rowOff>0</xdr:rowOff>
        </xdr:to>
        <xdr:sp macro="" textlink="">
          <xdr:nvSpPr>
            <xdr:cNvPr id="14260" name="Button 2996" hidden="1">
              <a:extLst>
                <a:ext uri="{63B3BB69-23CF-44E3-9099-C40C66FF867C}">
                  <a14:compatExt spid="_x0000_s14260"/>
                </a:ext>
                <a:ext uri="{FF2B5EF4-FFF2-40B4-BE49-F238E27FC236}">
                  <a16:creationId xmlns:a16="http://schemas.microsoft.com/office/drawing/2014/main" id="{00000000-0008-0000-0100-0000B4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7</xdr:col>
          <xdr:colOff>0</xdr:colOff>
          <xdr:row>791</xdr:row>
          <xdr:rowOff>171450</xdr:rowOff>
        </xdr:to>
        <xdr:sp macro="" textlink="">
          <xdr:nvSpPr>
            <xdr:cNvPr id="14259" name="Button 2995" hidden="1">
              <a:extLst>
                <a:ext uri="{63B3BB69-23CF-44E3-9099-C40C66FF867C}">
                  <a14:compatExt spid="_x0000_s14259"/>
                </a:ext>
                <a:ext uri="{FF2B5EF4-FFF2-40B4-BE49-F238E27FC236}">
                  <a16:creationId xmlns:a16="http://schemas.microsoft.com/office/drawing/2014/main" id="{00000000-0008-0000-0100-0000B3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7</xdr:col>
          <xdr:colOff>0</xdr:colOff>
          <xdr:row>792</xdr:row>
          <xdr:rowOff>165100</xdr:rowOff>
        </xdr:to>
        <xdr:sp macro="" textlink="">
          <xdr:nvSpPr>
            <xdr:cNvPr id="14258" name="Button 2994" hidden="1">
              <a:extLst>
                <a:ext uri="{63B3BB69-23CF-44E3-9099-C40C66FF867C}">
                  <a14:compatExt spid="_x0000_s14258"/>
                </a:ext>
                <a:ext uri="{FF2B5EF4-FFF2-40B4-BE49-F238E27FC236}">
                  <a16:creationId xmlns:a16="http://schemas.microsoft.com/office/drawing/2014/main" id="{00000000-0008-0000-0100-0000B2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7</xdr:col>
          <xdr:colOff>0</xdr:colOff>
          <xdr:row>793</xdr:row>
          <xdr:rowOff>165100</xdr:rowOff>
        </xdr:to>
        <xdr:sp macro="" textlink="">
          <xdr:nvSpPr>
            <xdr:cNvPr id="14257" name="Button 2993" hidden="1">
              <a:extLst>
                <a:ext uri="{63B3BB69-23CF-44E3-9099-C40C66FF867C}">
                  <a14:compatExt spid="_x0000_s14257"/>
                </a:ext>
                <a:ext uri="{FF2B5EF4-FFF2-40B4-BE49-F238E27FC236}">
                  <a16:creationId xmlns:a16="http://schemas.microsoft.com/office/drawing/2014/main" id="{00000000-0008-0000-0100-0000B1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7</xdr:col>
          <xdr:colOff>0</xdr:colOff>
          <xdr:row>794</xdr:row>
          <xdr:rowOff>165100</xdr:rowOff>
        </xdr:to>
        <xdr:sp macro="" textlink="">
          <xdr:nvSpPr>
            <xdr:cNvPr id="14256" name="Button 2992" hidden="1">
              <a:extLst>
                <a:ext uri="{63B3BB69-23CF-44E3-9099-C40C66FF867C}">
                  <a14:compatExt spid="_x0000_s14256"/>
                </a:ext>
                <a:ext uri="{FF2B5EF4-FFF2-40B4-BE49-F238E27FC236}">
                  <a16:creationId xmlns:a16="http://schemas.microsoft.com/office/drawing/2014/main" id="{00000000-0008-0000-0100-0000B0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7</xdr:col>
          <xdr:colOff>0</xdr:colOff>
          <xdr:row>798</xdr:row>
          <xdr:rowOff>0</xdr:rowOff>
        </xdr:to>
        <xdr:sp macro="" textlink="">
          <xdr:nvSpPr>
            <xdr:cNvPr id="14255" name="Button 2991" hidden="1">
              <a:extLst>
                <a:ext uri="{63B3BB69-23CF-44E3-9099-C40C66FF867C}">
                  <a14:compatExt spid="_x0000_s14255"/>
                </a:ext>
                <a:ext uri="{FF2B5EF4-FFF2-40B4-BE49-F238E27FC236}">
                  <a16:creationId xmlns:a16="http://schemas.microsoft.com/office/drawing/2014/main" id="{00000000-0008-0000-0100-0000AF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7</xdr:col>
          <xdr:colOff>0</xdr:colOff>
          <xdr:row>804</xdr:row>
          <xdr:rowOff>171450</xdr:rowOff>
        </xdr:to>
        <xdr:sp macro="" textlink="">
          <xdr:nvSpPr>
            <xdr:cNvPr id="14254" name="Button 2990" hidden="1">
              <a:extLst>
                <a:ext uri="{63B3BB69-23CF-44E3-9099-C40C66FF867C}">
                  <a14:compatExt spid="_x0000_s14254"/>
                </a:ext>
                <a:ext uri="{FF2B5EF4-FFF2-40B4-BE49-F238E27FC236}">
                  <a16:creationId xmlns:a16="http://schemas.microsoft.com/office/drawing/2014/main" id="{00000000-0008-0000-0100-0000AE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7</xdr:col>
          <xdr:colOff>0</xdr:colOff>
          <xdr:row>805</xdr:row>
          <xdr:rowOff>165100</xdr:rowOff>
        </xdr:to>
        <xdr:sp macro="" textlink="">
          <xdr:nvSpPr>
            <xdr:cNvPr id="14253" name="Button 2989" hidden="1">
              <a:extLst>
                <a:ext uri="{63B3BB69-23CF-44E3-9099-C40C66FF867C}">
                  <a14:compatExt spid="_x0000_s14253"/>
                </a:ext>
                <a:ext uri="{FF2B5EF4-FFF2-40B4-BE49-F238E27FC236}">
                  <a16:creationId xmlns:a16="http://schemas.microsoft.com/office/drawing/2014/main" id="{00000000-0008-0000-0100-0000AD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7</xdr:col>
          <xdr:colOff>0</xdr:colOff>
          <xdr:row>809</xdr:row>
          <xdr:rowOff>0</xdr:rowOff>
        </xdr:to>
        <xdr:sp macro="" textlink="">
          <xdr:nvSpPr>
            <xdr:cNvPr id="14252" name="Button 2988" hidden="1">
              <a:extLst>
                <a:ext uri="{63B3BB69-23CF-44E3-9099-C40C66FF867C}">
                  <a14:compatExt spid="_x0000_s14252"/>
                </a:ext>
                <a:ext uri="{FF2B5EF4-FFF2-40B4-BE49-F238E27FC236}">
                  <a16:creationId xmlns:a16="http://schemas.microsoft.com/office/drawing/2014/main" id="{00000000-0008-0000-0100-0000AC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7</xdr:col>
          <xdr:colOff>0</xdr:colOff>
          <xdr:row>815</xdr:row>
          <xdr:rowOff>171450</xdr:rowOff>
        </xdr:to>
        <xdr:sp macro="" textlink="">
          <xdr:nvSpPr>
            <xdr:cNvPr id="14251" name="Button 2987" hidden="1">
              <a:extLst>
                <a:ext uri="{63B3BB69-23CF-44E3-9099-C40C66FF867C}">
                  <a14:compatExt spid="_x0000_s14251"/>
                </a:ext>
                <a:ext uri="{FF2B5EF4-FFF2-40B4-BE49-F238E27FC236}">
                  <a16:creationId xmlns:a16="http://schemas.microsoft.com/office/drawing/2014/main" id="{00000000-0008-0000-0100-0000AB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7</xdr:col>
          <xdr:colOff>0</xdr:colOff>
          <xdr:row>816</xdr:row>
          <xdr:rowOff>165100</xdr:rowOff>
        </xdr:to>
        <xdr:sp macro="" textlink="">
          <xdr:nvSpPr>
            <xdr:cNvPr id="14250" name="Button 2986" hidden="1">
              <a:extLst>
                <a:ext uri="{63B3BB69-23CF-44E3-9099-C40C66FF867C}">
                  <a14:compatExt spid="_x0000_s14250"/>
                </a:ext>
                <a:ext uri="{FF2B5EF4-FFF2-40B4-BE49-F238E27FC236}">
                  <a16:creationId xmlns:a16="http://schemas.microsoft.com/office/drawing/2014/main" id="{00000000-0008-0000-0100-0000AA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7</xdr:col>
          <xdr:colOff>0</xdr:colOff>
          <xdr:row>820</xdr:row>
          <xdr:rowOff>0</xdr:rowOff>
        </xdr:to>
        <xdr:sp macro="" textlink="">
          <xdr:nvSpPr>
            <xdr:cNvPr id="14249" name="Button 2985" hidden="1">
              <a:extLst>
                <a:ext uri="{63B3BB69-23CF-44E3-9099-C40C66FF867C}">
                  <a14:compatExt spid="_x0000_s14249"/>
                </a:ext>
                <a:ext uri="{FF2B5EF4-FFF2-40B4-BE49-F238E27FC236}">
                  <a16:creationId xmlns:a16="http://schemas.microsoft.com/office/drawing/2014/main" id="{00000000-0008-0000-0100-0000A9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7</xdr:col>
          <xdr:colOff>0</xdr:colOff>
          <xdr:row>826</xdr:row>
          <xdr:rowOff>171450</xdr:rowOff>
        </xdr:to>
        <xdr:sp macro="" textlink="">
          <xdr:nvSpPr>
            <xdr:cNvPr id="14248" name="Button 2984" hidden="1">
              <a:extLst>
                <a:ext uri="{63B3BB69-23CF-44E3-9099-C40C66FF867C}">
                  <a14:compatExt spid="_x0000_s14248"/>
                </a:ext>
                <a:ext uri="{FF2B5EF4-FFF2-40B4-BE49-F238E27FC236}">
                  <a16:creationId xmlns:a16="http://schemas.microsoft.com/office/drawing/2014/main" id="{00000000-0008-0000-0100-0000A8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7</xdr:col>
          <xdr:colOff>0</xdr:colOff>
          <xdr:row>827</xdr:row>
          <xdr:rowOff>165100</xdr:rowOff>
        </xdr:to>
        <xdr:sp macro="" textlink="">
          <xdr:nvSpPr>
            <xdr:cNvPr id="14247" name="Button 2983" hidden="1">
              <a:extLst>
                <a:ext uri="{63B3BB69-23CF-44E3-9099-C40C66FF867C}">
                  <a14:compatExt spid="_x0000_s14247"/>
                </a:ext>
                <a:ext uri="{FF2B5EF4-FFF2-40B4-BE49-F238E27FC236}">
                  <a16:creationId xmlns:a16="http://schemas.microsoft.com/office/drawing/2014/main" id="{00000000-0008-0000-0100-0000A7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7</xdr:col>
          <xdr:colOff>0</xdr:colOff>
          <xdr:row>828</xdr:row>
          <xdr:rowOff>165100</xdr:rowOff>
        </xdr:to>
        <xdr:sp macro="" textlink="">
          <xdr:nvSpPr>
            <xdr:cNvPr id="14246" name="Button 2982" hidden="1">
              <a:extLst>
                <a:ext uri="{63B3BB69-23CF-44E3-9099-C40C66FF867C}">
                  <a14:compatExt spid="_x0000_s14246"/>
                </a:ext>
                <a:ext uri="{FF2B5EF4-FFF2-40B4-BE49-F238E27FC236}">
                  <a16:creationId xmlns:a16="http://schemas.microsoft.com/office/drawing/2014/main" id="{00000000-0008-0000-0100-0000A6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7</xdr:col>
          <xdr:colOff>0</xdr:colOff>
          <xdr:row>829</xdr:row>
          <xdr:rowOff>165100</xdr:rowOff>
        </xdr:to>
        <xdr:sp macro="" textlink="">
          <xdr:nvSpPr>
            <xdr:cNvPr id="14245" name="Button 2981" hidden="1">
              <a:extLst>
                <a:ext uri="{63B3BB69-23CF-44E3-9099-C40C66FF867C}">
                  <a14:compatExt spid="_x0000_s14245"/>
                </a:ext>
                <a:ext uri="{FF2B5EF4-FFF2-40B4-BE49-F238E27FC236}">
                  <a16:creationId xmlns:a16="http://schemas.microsoft.com/office/drawing/2014/main" id="{00000000-0008-0000-0100-0000A5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7</xdr:col>
          <xdr:colOff>0</xdr:colOff>
          <xdr:row>833</xdr:row>
          <xdr:rowOff>0</xdr:rowOff>
        </xdr:to>
        <xdr:sp macro="" textlink="">
          <xdr:nvSpPr>
            <xdr:cNvPr id="14244" name="Button 2980" hidden="1">
              <a:extLst>
                <a:ext uri="{63B3BB69-23CF-44E3-9099-C40C66FF867C}">
                  <a14:compatExt spid="_x0000_s14244"/>
                </a:ext>
                <a:ext uri="{FF2B5EF4-FFF2-40B4-BE49-F238E27FC236}">
                  <a16:creationId xmlns:a16="http://schemas.microsoft.com/office/drawing/2014/main" id="{00000000-0008-0000-0100-0000A4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7</xdr:col>
          <xdr:colOff>0</xdr:colOff>
          <xdr:row>839</xdr:row>
          <xdr:rowOff>171450</xdr:rowOff>
        </xdr:to>
        <xdr:sp macro="" textlink="">
          <xdr:nvSpPr>
            <xdr:cNvPr id="14243" name="Button 2979" hidden="1">
              <a:extLst>
                <a:ext uri="{63B3BB69-23CF-44E3-9099-C40C66FF867C}">
                  <a14:compatExt spid="_x0000_s14243"/>
                </a:ext>
                <a:ext uri="{FF2B5EF4-FFF2-40B4-BE49-F238E27FC236}">
                  <a16:creationId xmlns:a16="http://schemas.microsoft.com/office/drawing/2014/main" id="{00000000-0008-0000-0100-0000A3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7</xdr:col>
          <xdr:colOff>0</xdr:colOff>
          <xdr:row>840</xdr:row>
          <xdr:rowOff>165100</xdr:rowOff>
        </xdr:to>
        <xdr:sp macro="" textlink="">
          <xdr:nvSpPr>
            <xdr:cNvPr id="14242" name="Button 2978" hidden="1">
              <a:extLst>
                <a:ext uri="{63B3BB69-23CF-44E3-9099-C40C66FF867C}">
                  <a14:compatExt spid="_x0000_s14242"/>
                </a:ext>
                <a:ext uri="{FF2B5EF4-FFF2-40B4-BE49-F238E27FC236}">
                  <a16:creationId xmlns:a16="http://schemas.microsoft.com/office/drawing/2014/main" id="{00000000-0008-0000-0100-0000A2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7</xdr:col>
          <xdr:colOff>0</xdr:colOff>
          <xdr:row>844</xdr:row>
          <xdr:rowOff>0</xdr:rowOff>
        </xdr:to>
        <xdr:sp macro="" textlink="">
          <xdr:nvSpPr>
            <xdr:cNvPr id="14241" name="Button 2977" hidden="1">
              <a:extLst>
                <a:ext uri="{63B3BB69-23CF-44E3-9099-C40C66FF867C}">
                  <a14:compatExt spid="_x0000_s14241"/>
                </a:ext>
                <a:ext uri="{FF2B5EF4-FFF2-40B4-BE49-F238E27FC236}">
                  <a16:creationId xmlns:a16="http://schemas.microsoft.com/office/drawing/2014/main" id="{00000000-0008-0000-0100-0000A1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7</xdr:col>
          <xdr:colOff>0</xdr:colOff>
          <xdr:row>850</xdr:row>
          <xdr:rowOff>171450</xdr:rowOff>
        </xdr:to>
        <xdr:sp macro="" textlink="">
          <xdr:nvSpPr>
            <xdr:cNvPr id="14240" name="Button 2976" hidden="1">
              <a:extLst>
                <a:ext uri="{63B3BB69-23CF-44E3-9099-C40C66FF867C}">
                  <a14:compatExt spid="_x0000_s14240"/>
                </a:ext>
                <a:ext uri="{FF2B5EF4-FFF2-40B4-BE49-F238E27FC236}">
                  <a16:creationId xmlns:a16="http://schemas.microsoft.com/office/drawing/2014/main" id="{00000000-0008-0000-0100-0000A0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7</xdr:col>
          <xdr:colOff>0</xdr:colOff>
          <xdr:row>851</xdr:row>
          <xdr:rowOff>165100</xdr:rowOff>
        </xdr:to>
        <xdr:sp macro="" textlink="">
          <xdr:nvSpPr>
            <xdr:cNvPr id="14239" name="Button 2975" hidden="1">
              <a:extLst>
                <a:ext uri="{63B3BB69-23CF-44E3-9099-C40C66FF867C}">
                  <a14:compatExt spid="_x0000_s14239"/>
                </a:ext>
                <a:ext uri="{FF2B5EF4-FFF2-40B4-BE49-F238E27FC236}">
                  <a16:creationId xmlns:a16="http://schemas.microsoft.com/office/drawing/2014/main" id="{00000000-0008-0000-0100-00009F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7</xdr:col>
          <xdr:colOff>0</xdr:colOff>
          <xdr:row>852</xdr:row>
          <xdr:rowOff>165100</xdr:rowOff>
        </xdr:to>
        <xdr:sp macro="" textlink="">
          <xdr:nvSpPr>
            <xdr:cNvPr id="14238" name="Button 2974" hidden="1">
              <a:extLst>
                <a:ext uri="{63B3BB69-23CF-44E3-9099-C40C66FF867C}">
                  <a14:compatExt spid="_x0000_s14238"/>
                </a:ext>
                <a:ext uri="{FF2B5EF4-FFF2-40B4-BE49-F238E27FC236}">
                  <a16:creationId xmlns:a16="http://schemas.microsoft.com/office/drawing/2014/main" id="{00000000-0008-0000-0100-00009E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7</xdr:col>
          <xdr:colOff>0</xdr:colOff>
          <xdr:row>853</xdr:row>
          <xdr:rowOff>165100</xdr:rowOff>
        </xdr:to>
        <xdr:sp macro="" textlink="">
          <xdr:nvSpPr>
            <xdr:cNvPr id="14237" name="Button 2973" hidden="1">
              <a:extLst>
                <a:ext uri="{63B3BB69-23CF-44E3-9099-C40C66FF867C}">
                  <a14:compatExt spid="_x0000_s14237"/>
                </a:ext>
                <a:ext uri="{FF2B5EF4-FFF2-40B4-BE49-F238E27FC236}">
                  <a16:creationId xmlns:a16="http://schemas.microsoft.com/office/drawing/2014/main" id="{00000000-0008-0000-0100-00009D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7</xdr:col>
          <xdr:colOff>0</xdr:colOff>
          <xdr:row>854</xdr:row>
          <xdr:rowOff>165100</xdr:rowOff>
        </xdr:to>
        <xdr:sp macro="" textlink="">
          <xdr:nvSpPr>
            <xdr:cNvPr id="14236" name="Button 2972" hidden="1">
              <a:extLst>
                <a:ext uri="{63B3BB69-23CF-44E3-9099-C40C66FF867C}">
                  <a14:compatExt spid="_x0000_s14236"/>
                </a:ext>
                <a:ext uri="{FF2B5EF4-FFF2-40B4-BE49-F238E27FC236}">
                  <a16:creationId xmlns:a16="http://schemas.microsoft.com/office/drawing/2014/main" id="{00000000-0008-0000-0100-00009C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7</xdr:col>
          <xdr:colOff>0</xdr:colOff>
          <xdr:row>855</xdr:row>
          <xdr:rowOff>165100</xdr:rowOff>
        </xdr:to>
        <xdr:sp macro="" textlink="">
          <xdr:nvSpPr>
            <xdr:cNvPr id="14235" name="Button 2971" hidden="1">
              <a:extLst>
                <a:ext uri="{63B3BB69-23CF-44E3-9099-C40C66FF867C}">
                  <a14:compatExt spid="_x0000_s14235"/>
                </a:ext>
                <a:ext uri="{FF2B5EF4-FFF2-40B4-BE49-F238E27FC236}">
                  <a16:creationId xmlns:a16="http://schemas.microsoft.com/office/drawing/2014/main" id="{00000000-0008-0000-0100-00009B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7</xdr:col>
          <xdr:colOff>0</xdr:colOff>
          <xdr:row>856</xdr:row>
          <xdr:rowOff>165100</xdr:rowOff>
        </xdr:to>
        <xdr:sp macro="" textlink="">
          <xdr:nvSpPr>
            <xdr:cNvPr id="14234" name="Button 2970" hidden="1">
              <a:extLst>
                <a:ext uri="{63B3BB69-23CF-44E3-9099-C40C66FF867C}">
                  <a14:compatExt spid="_x0000_s14234"/>
                </a:ext>
                <a:ext uri="{FF2B5EF4-FFF2-40B4-BE49-F238E27FC236}">
                  <a16:creationId xmlns:a16="http://schemas.microsoft.com/office/drawing/2014/main" id="{00000000-0008-0000-0100-00009A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7</xdr:col>
          <xdr:colOff>0</xdr:colOff>
          <xdr:row>857</xdr:row>
          <xdr:rowOff>165100</xdr:rowOff>
        </xdr:to>
        <xdr:sp macro="" textlink="">
          <xdr:nvSpPr>
            <xdr:cNvPr id="14233" name="Button 2969" hidden="1">
              <a:extLst>
                <a:ext uri="{63B3BB69-23CF-44E3-9099-C40C66FF867C}">
                  <a14:compatExt spid="_x0000_s14233"/>
                </a:ext>
                <a:ext uri="{FF2B5EF4-FFF2-40B4-BE49-F238E27FC236}">
                  <a16:creationId xmlns:a16="http://schemas.microsoft.com/office/drawing/2014/main" id="{00000000-0008-0000-0100-000099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7</xdr:col>
          <xdr:colOff>0</xdr:colOff>
          <xdr:row>858</xdr:row>
          <xdr:rowOff>165100</xdr:rowOff>
        </xdr:to>
        <xdr:sp macro="" textlink="">
          <xdr:nvSpPr>
            <xdr:cNvPr id="14232" name="Button 2968" hidden="1">
              <a:extLst>
                <a:ext uri="{63B3BB69-23CF-44E3-9099-C40C66FF867C}">
                  <a14:compatExt spid="_x0000_s14232"/>
                </a:ext>
                <a:ext uri="{FF2B5EF4-FFF2-40B4-BE49-F238E27FC236}">
                  <a16:creationId xmlns:a16="http://schemas.microsoft.com/office/drawing/2014/main" id="{00000000-0008-0000-0100-000098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7</xdr:col>
          <xdr:colOff>0</xdr:colOff>
          <xdr:row>859</xdr:row>
          <xdr:rowOff>165100</xdr:rowOff>
        </xdr:to>
        <xdr:sp macro="" textlink="">
          <xdr:nvSpPr>
            <xdr:cNvPr id="14231" name="Button 2967" hidden="1">
              <a:extLst>
                <a:ext uri="{63B3BB69-23CF-44E3-9099-C40C66FF867C}">
                  <a14:compatExt spid="_x0000_s14231"/>
                </a:ext>
                <a:ext uri="{FF2B5EF4-FFF2-40B4-BE49-F238E27FC236}">
                  <a16:creationId xmlns:a16="http://schemas.microsoft.com/office/drawing/2014/main" id="{00000000-0008-0000-0100-000097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7</xdr:col>
          <xdr:colOff>0</xdr:colOff>
          <xdr:row>860</xdr:row>
          <xdr:rowOff>165100</xdr:rowOff>
        </xdr:to>
        <xdr:sp macro="" textlink="">
          <xdr:nvSpPr>
            <xdr:cNvPr id="14230" name="Button 2966" hidden="1">
              <a:extLst>
                <a:ext uri="{63B3BB69-23CF-44E3-9099-C40C66FF867C}">
                  <a14:compatExt spid="_x0000_s14230"/>
                </a:ext>
                <a:ext uri="{FF2B5EF4-FFF2-40B4-BE49-F238E27FC236}">
                  <a16:creationId xmlns:a16="http://schemas.microsoft.com/office/drawing/2014/main" id="{00000000-0008-0000-0100-000096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7</xdr:col>
          <xdr:colOff>0</xdr:colOff>
          <xdr:row>861</xdr:row>
          <xdr:rowOff>165100</xdr:rowOff>
        </xdr:to>
        <xdr:sp macro="" textlink="">
          <xdr:nvSpPr>
            <xdr:cNvPr id="14229" name="Button 2965" hidden="1">
              <a:extLst>
                <a:ext uri="{63B3BB69-23CF-44E3-9099-C40C66FF867C}">
                  <a14:compatExt spid="_x0000_s14229"/>
                </a:ext>
                <a:ext uri="{FF2B5EF4-FFF2-40B4-BE49-F238E27FC236}">
                  <a16:creationId xmlns:a16="http://schemas.microsoft.com/office/drawing/2014/main" id="{00000000-0008-0000-0100-000095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7</xdr:col>
          <xdr:colOff>0</xdr:colOff>
          <xdr:row>862</xdr:row>
          <xdr:rowOff>165100</xdr:rowOff>
        </xdr:to>
        <xdr:sp macro="" textlink="">
          <xdr:nvSpPr>
            <xdr:cNvPr id="14228" name="Button 2964" hidden="1">
              <a:extLst>
                <a:ext uri="{63B3BB69-23CF-44E3-9099-C40C66FF867C}">
                  <a14:compatExt spid="_x0000_s14228"/>
                </a:ext>
                <a:ext uri="{FF2B5EF4-FFF2-40B4-BE49-F238E27FC236}">
                  <a16:creationId xmlns:a16="http://schemas.microsoft.com/office/drawing/2014/main" id="{00000000-0008-0000-0100-000094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7</xdr:col>
          <xdr:colOff>0</xdr:colOff>
          <xdr:row>863</xdr:row>
          <xdr:rowOff>165100</xdr:rowOff>
        </xdr:to>
        <xdr:sp macro="" textlink="">
          <xdr:nvSpPr>
            <xdr:cNvPr id="14227" name="Button 2963" hidden="1">
              <a:extLst>
                <a:ext uri="{63B3BB69-23CF-44E3-9099-C40C66FF867C}">
                  <a14:compatExt spid="_x0000_s14227"/>
                </a:ext>
                <a:ext uri="{FF2B5EF4-FFF2-40B4-BE49-F238E27FC236}">
                  <a16:creationId xmlns:a16="http://schemas.microsoft.com/office/drawing/2014/main" id="{00000000-0008-0000-0100-000093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7</xdr:col>
          <xdr:colOff>0</xdr:colOff>
          <xdr:row>867</xdr:row>
          <xdr:rowOff>0</xdr:rowOff>
        </xdr:to>
        <xdr:sp macro="" textlink="">
          <xdr:nvSpPr>
            <xdr:cNvPr id="14226" name="Button 2962" hidden="1">
              <a:extLst>
                <a:ext uri="{63B3BB69-23CF-44E3-9099-C40C66FF867C}">
                  <a14:compatExt spid="_x0000_s14226"/>
                </a:ext>
                <a:ext uri="{FF2B5EF4-FFF2-40B4-BE49-F238E27FC236}">
                  <a16:creationId xmlns:a16="http://schemas.microsoft.com/office/drawing/2014/main" id="{00000000-0008-0000-0100-000092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7</xdr:col>
          <xdr:colOff>0</xdr:colOff>
          <xdr:row>873</xdr:row>
          <xdr:rowOff>171450</xdr:rowOff>
        </xdr:to>
        <xdr:sp macro="" textlink="">
          <xdr:nvSpPr>
            <xdr:cNvPr id="14225" name="Button 2961" hidden="1">
              <a:extLst>
                <a:ext uri="{63B3BB69-23CF-44E3-9099-C40C66FF867C}">
                  <a14:compatExt spid="_x0000_s14225"/>
                </a:ext>
                <a:ext uri="{FF2B5EF4-FFF2-40B4-BE49-F238E27FC236}">
                  <a16:creationId xmlns:a16="http://schemas.microsoft.com/office/drawing/2014/main" id="{00000000-0008-0000-0100-000091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7</xdr:col>
          <xdr:colOff>0</xdr:colOff>
          <xdr:row>874</xdr:row>
          <xdr:rowOff>165100</xdr:rowOff>
        </xdr:to>
        <xdr:sp macro="" textlink="">
          <xdr:nvSpPr>
            <xdr:cNvPr id="14224" name="Button 2960" hidden="1">
              <a:extLst>
                <a:ext uri="{63B3BB69-23CF-44E3-9099-C40C66FF867C}">
                  <a14:compatExt spid="_x0000_s14224"/>
                </a:ext>
                <a:ext uri="{FF2B5EF4-FFF2-40B4-BE49-F238E27FC236}">
                  <a16:creationId xmlns:a16="http://schemas.microsoft.com/office/drawing/2014/main" id="{00000000-0008-0000-0100-000090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7</xdr:col>
          <xdr:colOff>0</xdr:colOff>
          <xdr:row>875</xdr:row>
          <xdr:rowOff>165100</xdr:rowOff>
        </xdr:to>
        <xdr:sp macro="" textlink="">
          <xdr:nvSpPr>
            <xdr:cNvPr id="14223" name="Button 2959" hidden="1">
              <a:extLst>
                <a:ext uri="{63B3BB69-23CF-44E3-9099-C40C66FF867C}">
                  <a14:compatExt spid="_x0000_s14223"/>
                </a:ext>
                <a:ext uri="{FF2B5EF4-FFF2-40B4-BE49-F238E27FC236}">
                  <a16:creationId xmlns:a16="http://schemas.microsoft.com/office/drawing/2014/main" id="{00000000-0008-0000-0100-00008F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7</xdr:col>
          <xdr:colOff>0</xdr:colOff>
          <xdr:row>879</xdr:row>
          <xdr:rowOff>0</xdr:rowOff>
        </xdr:to>
        <xdr:sp macro="" textlink="">
          <xdr:nvSpPr>
            <xdr:cNvPr id="14222" name="Button 2958" hidden="1">
              <a:extLst>
                <a:ext uri="{63B3BB69-23CF-44E3-9099-C40C66FF867C}">
                  <a14:compatExt spid="_x0000_s14222"/>
                </a:ext>
                <a:ext uri="{FF2B5EF4-FFF2-40B4-BE49-F238E27FC236}">
                  <a16:creationId xmlns:a16="http://schemas.microsoft.com/office/drawing/2014/main" id="{00000000-0008-0000-0100-00008E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7</xdr:col>
          <xdr:colOff>0</xdr:colOff>
          <xdr:row>885</xdr:row>
          <xdr:rowOff>171450</xdr:rowOff>
        </xdr:to>
        <xdr:sp macro="" textlink="">
          <xdr:nvSpPr>
            <xdr:cNvPr id="14221" name="Button 2957" hidden="1">
              <a:extLst>
                <a:ext uri="{63B3BB69-23CF-44E3-9099-C40C66FF867C}">
                  <a14:compatExt spid="_x0000_s14221"/>
                </a:ext>
                <a:ext uri="{FF2B5EF4-FFF2-40B4-BE49-F238E27FC236}">
                  <a16:creationId xmlns:a16="http://schemas.microsoft.com/office/drawing/2014/main" id="{00000000-0008-0000-0100-00008D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7</xdr:col>
          <xdr:colOff>0</xdr:colOff>
          <xdr:row>886</xdr:row>
          <xdr:rowOff>165100</xdr:rowOff>
        </xdr:to>
        <xdr:sp macro="" textlink="">
          <xdr:nvSpPr>
            <xdr:cNvPr id="14220" name="Button 2956" hidden="1">
              <a:extLst>
                <a:ext uri="{63B3BB69-23CF-44E3-9099-C40C66FF867C}">
                  <a14:compatExt spid="_x0000_s14220"/>
                </a:ext>
                <a:ext uri="{FF2B5EF4-FFF2-40B4-BE49-F238E27FC236}">
                  <a16:creationId xmlns:a16="http://schemas.microsoft.com/office/drawing/2014/main" id="{00000000-0008-0000-0100-00008C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7</xdr:col>
          <xdr:colOff>0</xdr:colOff>
          <xdr:row>887</xdr:row>
          <xdr:rowOff>165100</xdr:rowOff>
        </xdr:to>
        <xdr:sp macro="" textlink="">
          <xdr:nvSpPr>
            <xdr:cNvPr id="14219" name="Button 2955" hidden="1">
              <a:extLst>
                <a:ext uri="{63B3BB69-23CF-44E3-9099-C40C66FF867C}">
                  <a14:compatExt spid="_x0000_s14219"/>
                </a:ext>
                <a:ext uri="{FF2B5EF4-FFF2-40B4-BE49-F238E27FC236}">
                  <a16:creationId xmlns:a16="http://schemas.microsoft.com/office/drawing/2014/main" id="{00000000-0008-0000-0100-00008B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7</xdr:col>
          <xdr:colOff>0</xdr:colOff>
          <xdr:row>888</xdr:row>
          <xdr:rowOff>165100</xdr:rowOff>
        </xdr:to>
        <xdr:sp macro="" textlink="">
          <xdr:nvSpPr>
            <xdr:cNvPr id="14218" name="Button 2954" hidden="1">
              <a:extLst>
                <a:ext uri="{63B3BB69-23CF-44E3-9099-C40C66FF867C}">
                  <a14:compatExt spid="_x0000_s14218"/>
                </a:ext>
                <a:ext uri="{FF2B5EF4-FFF2-40B4-BE49-F238E27FC236}">
                  <a16:creationId xmlns:a16="http://schemas.microsoft.com/office/drawing/2014/main" id="{00000000-0008-0000-0100-00008A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7</xdr:col>
          <xdr:colOff>0</xdr:colOff>
          <xdr:row>889</xdr:row>
          <xdr:rowOff>165100</xdr:rowOff>
        </xdr:to>
        <xdr:sp macro="" textlink="">
          <xdr:nvSpPr>
            <xdr:cNvPr id="14217" name="Button 2953" hidden="1">
              <a:extLst>
                <a:ext uri="{63B3BB69-23CF-44E3-9099-C40C66FF867C}">
                  <a14:compatExt spid="_x0000_s14217"/>
                </a:ext>
                <a:ext uri="{FF2B5EF4-FFF2-40B4-BE49-F238E27FC236}">
                  <a16:creationId xmlns:a16="http://schemas.microsoft.com/office/drawing/2014/main" id="{00000000-0008-0000-0100-000089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7</xdr:col>
          <xdr:colOff>0</xdr:colOff>
          <xdr:row>890</xdr:row>
          <xdr:rowOff>165100</xdr:rowOff>
        </xdr:to>
        <xdr:sp macro="" textlink="">
          <xdr:nvSpPr>
            <xdr:cNvPr id="14216" name="Button 2952" hidden="1">
              <a:extLst>
                <a:ext uri="{63B3BB69-23CF-44E3-9099-C40C66FF867C}">
                  <a14:compatExt spid="_x0000_s14216"/>
                </a:ext>
                <a:ext uri="{FF2B5EF4-FFF2-40B4-BE49-F238E27FC236}">
                  <a16:creationId xmlns:a16="http://schemas.microsoft.com/office/drawing/2014/main" id="{00000000-0008-0000-0100-000088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7</xdr:col>
          <xdr:colOff>0</xdr:colOff>
          <xdr:row>891</xdr:row>
          <xdr:rowOff>165100</xdr:rowOff>
        </xdr:to>
        <xdr:sp macro="" textlink="">
          <xdr:nvSpPr>
            <xdr:cNvPr id="14215" name="Button 2951" hidden="1">
              <a:extLst>
                <a:ext uri="{63B3BB69-23CF-44E3-9099-C40C66FF867C}">
                  <a14:compatExt spid="_x0000_s14215"/>
                </a:ext>
                <a:ext uri="{FF2B5EF4-FFF2-40B4-BE49-F238E27FC236}">
                  <a16:creationId xmlns:a16="http://schemas.microsoft.com/office/drawing/2014/main" id="{00000000-0008-0000-0100-000087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7</xdr:col>
          <xdr:colOff>0</xdr:colOff>
          <xdr:row>895</xdr:row>
          <xdr:rowOff>0</xdr:rowOff>
        </xdr:to>
        <xdr:sp macro="" textlink="">
          <xdr:nvSpPr>
            <xdr:cNvPr id="14214" name="Button 2950" hidden="1">
              <a:extLst>
                <a:ext uri="{63B3BB69-23CF-44E3-9099-C40C66FF867C}">
                  <a14:compatExt spid="_x0000_s14214"/>
                </a:ext>
                <a:ext uri="{FF2B5EF4-FFF2-40B4-BE49-F238E27FC236}">
                  <a16:creationId xmlns:a16="http://schemas.microsoft.com/office/drawing/2014/main" id="{00000000-0008-0000-0100-000086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7</xdr:col>
          <xdr:colOff>0</xdr:colOff>
          <xdr:row>901</xdr:row>
          <xdr:rowOff>171450</xdr:rowOff>
        </xdr:to>
        <xdr:sp macro="" textlink="">
          <xdr:nvSpPr>
            <xdr:cNvPr id="14213" name="Button 2949" hidden="1">
              <a:extLst>
                <a:ext uri="{63B3BB69-23CF-44E3-9099-C40C66FF867C}">
                  <a14:compatExt spid="_x0000_s14213"/>
                </a:ext>
                <a:ext uri="{FF2B5EF4-FFF2-40B4-BE49-F238E27FC236}">
                  <a16:creationId xmlns:a16="http://schemas.microsoft.com/office/drawing/2014/main" id="{00000000-0008-0000-0100-000085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7</xdr:col>
          <xdr:colOff>0</xdr:colOff>
          <xdr:row>902</xdr:row>
          <xdr:rowOff>165100</xdr:rowOff>
        </xdr:to>
        <xdr:sp macro="" textlink="">
          <xdr:nvSpPr>
            <xdr:cNvPr id="14212" name="Button 2948" hidden="1">
              <a:extLst>
                <a:ext uri="{63B3BB69-23CF-44E3-9099-C40C66FF867C}">
                  <a14:compatExt spid="_x0000_s14212"/>
                </a:ext>
                <a:ext uri="{FF2B5EF4-FFF2-40B4-BE49-F238E27FC236}">
                  <a16:creationId xmlns:a16="http://schemas.microsoft.com/office/drawing/2014/main" id="{00000000-0008-0000-0100-000084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7</xdr:col>
          <xdr:colOff>0</xdr:colOff>
          <xdr:row>903</xdr:row>
          <xdr:rowOff>165100</xdr:rowOff>
        </xdr:to>
        <xdr:sp macro="" textlink="">
          <xdr:nvSpPr>
            <xdr:cNvPr id="14211" name="Button 2947" hidden="1">
              <a:extLst>
                <a:ext uri="{63B3BB69-23CF-44E3-9099-C40C66FF867C}">
                  <a14:compatExt spid="_x0000_s14211"/>
                </a:ext>
                <a:ext uri="{FF2B5EF4-FFF2-40B4-BE49-F238E27FC236}">
                  <a16:creationId xmlns:a16="http://schemas.microsoft.com/office/drawing/2014/main" id="{00000000-0008-0000-0100-000083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7</xdr:col>
          <xdr:colOff>0</xdr:colOff>
          <xdr:row>907</xdr:row>
          <xdr:rowOff>0</xdr:rowOff>
        </xdr:to>
        <xdr:sp macro="" textlink="">
          <xdr:nvSpPr>
            <xdr:cNvPr id="14210" name="Button 2946" hidden="1">
              <a:extLst>
                <a:ext uri="{63B3BB69-23CF-44E3-9099-C40C66FF867C}">
                  <a14:compatExt spid="_x0000_s14210"/>
                </a:ext>
                <a:ext uri="{FF2B5EF4-FFF2-40B4-BE49-F238E27FC236}">
                  <a16:creationId xmlns:a16="http://schemas.microsoft.com/office/drawing/2014/main" id="{00000000-0008-0000-0100-000082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913</xdr:row>
          <xdr:rowOff>0</xdr:rowOff>
        </xdr:from>
        <xdr:to>
          <xdr:col>7</xdr:col>
          <xdr:colOff>0</xdr:colOff>
          <xdr:row>913</xdr:row>
          <xdr:rowOff>171450</xdr:rowOff>
        </xdr:to>
        <xdr:sp macro="" textlink="">
          <xdr:nvSpPr>
            <xdr:cNvPr id="14209" name="Button 2945" hidden="1">
              <a:extLst>
                <a:ext uri="{63B3BB69-23CF-44E3-9099-C40C66FF867C}">
                  <a14:compatExt spid="_x0000_s14209"/>
                </a:ext>
                <a:ext uri="{FF2B5EF4-FFF2-40B4-BE49-F238E27FC236}">
                  <a16:creationId xmlns:a16="http://schemas.microsoft.com/office/drawing/2014/main" id="{00000000-0008-0000-0100-000081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914</xdr:row>
          <xdr:rowOff>0</xdr:rowOff>
        </xdr:from>
        <xdr:to>
          <xdr:col>7</xdr:col>
          <xdr:colOff>0</xdr:colOff>
          <xdr:row>914</xdr:row>
          <xdr:rowOff>165100</xdr:rowOff>
        </xdr:to>
        <xdr:sp macro="" textlink="">
          <xdr:nvSpPr>
            <xdr:cNvPr id="14208" name="Button 2944" hidden="1">
              <a:extLst>
                <a:ext uri="{63B3BB69-23CF-44E3-9099-C40C66FF867C}">
                  <a14:compatExt spid="_x0000_s14208"/>
                </a:ext>
                <a:ext uri="{FF2B5EF4-FFF2-40B4-BE49-F238E27FC236}">
                  <a16:creationId xmlns:a16="http://schemas.microsoft.com/office/drawing/2014/main" id="{00000000-0008-0000-0100-000080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7</xdr:col>
          <xdr:colOff>0</xdr:colOff>
          <xdr:row>918</xdr:row>
          <xdr:rowOff>0</xdr:rowOff>
        </xdr:to>
        <xdr:sp macro="" textlink="">
          <xdr:nvSpPr>
            <xdr:cNvPr id="14207" name="Button 2943" hidden="1">
              <a:extLst>
                <a:ext uri="{63B3BB69-23CF-44E3-9099-C40C66FF867C}">
                  <a14:compatExt spid="_x0000_s14207"/>
                </a:ext>
                <a:ext uri="{FF2B5EF4-FFF2-40B4-BE49-F238E27FC236}">
                  <a16:creationId xmlns:a16="http://schemas.microsoft.com/office/drawing/2014/main" id="{00000000-0008-0000-0100-00007F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7</xdr:col>
          <xdr:colOff>0</xdr:colOff>
          <xdr:row>924</xdr:row>
          <xdr:rowOff>171450</xdr:rowOff>
        </xdr:to>
        <xdr:sp macro="" textlink="">
          <xdr:nvSpPr>
            <xdr:cNvPr id="14206" name="Button 2942" hidden="1">
              <a:extLst>
                <a:ext uri="{63B3BB69-23CF-44E3-9099-C40C66FF867C}">
                  <a14:compatExt spid="_x0000_s14206"/>
                </a:ext>
                <a:ext uri="{FF2B5EF4-FFF2-40B4-BE49-F238E27FC236}">
                  <a16:creationId xmlns:a16="http://schemas.microsoft.com/office/drawing/2014/main" id="{00000000-0008-0000-0100-00007E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7</xdr:col>
          <xdr:colOff>0</xdr:colOff>
          <xdr:row>925</xdr:row>
          <xdr:rowOff>165100</xdr:rowOff>
        </xdr:to>
        <xdr:sp macro="" textlink="">
          <xdr:nvSpPr>
            <xdr:cNvPr id="14205" name="Button 2941" hidden="1">
              <a:extLst>
                <a:ext uri="{63B3BB69-23CF-44E3-9099-C40C66FF867C}">
                  <a14:compatExt spid="_x0000_s14205"/>
                </a:ext>
                <a:ext uri="{FF2B5EF4-FFF2-40B4-BE49-F238E27FC236}">
                  <a16:creationId xmlns:a16="http://schemas.microsoft.com/office/drawing/2014/main" id="{00000000-0008-0000-0100-00007D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7</xdr:col>
          <xdr:colOff>0</xdr:colOff>
          <xdr:row>926</xdr:row>
          <xdr:rowOff>165100</xdr:rowOff>
        </xdr:to>
        <xdr:sp macro="" textlink="">
          <xdr:nvSpPr>
            <xdr:cNvPr id="14204" name="Button 2940" hidden="1">
              <a:extLst>
                <a:ext uri="{63B3BB69-23CF-44E3-9099-C40C66FF867C}">
                  <a14:compatExt spid="_x0000_s14204"/>
                </a:ext>
                <a:ext uri="{FF2B5EF4-FFF2-40B4-BE49-F238E27FC236}">
                  <a16:creationId xmlns:a16="http://schemas.microsoft.com/office/drawing/2014/main" id="{00000000-0008-0000-0100-00007C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7</xdr:col>
          <xdr:colOff>0</xdr:colOff>
          <xdr:row>927</xdr:row>
          <xdr:rowOff>165100</xdr:rowOff>
        </xdr:to>
        <xdr:sp macro="" textlink="">
          <xdr:nvSpPr>
            <xdr:cNvPr id="14203" name="Button 2939" hidden="1">
              <a:extLst>
                <a:ext uri="{63B3BB69-23CF-44E3-9099-C40C66FF867C}">
                  <a14:compatExt spid="_x0000_s14203"/>
                </a:ext>
                <a:ext uri="{FF2B5EF4-FFF2-40B4-BE49-F238E27FC236}">
                  <a16:creationId xmlns:a16="http://schemas.microsoft.com/office/drawing/2014/main" id="{00000000-0008-0000-0100-00007B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7</xdr:col>
          <xdr:colOff>0</xdr:colOff>
          <xdr:row>931</xdr:row>
          <xdr:rowOff>0</xdr:rowOff>
        </xdr:to>
        <xdr:sp macro="" textlink="">
          <xdr:nvSpPr>
            <xdr:cNvPr id="14202" name="Button 2938" hidden="1">
              <a:extLst>
                <a:ext uri="{63B3BB69-23CF-44E3-9099-C40C66FF867C}">
                  <a14:compatExt spid="_x0000_s14202"/>
                </a:ext>
                <a:ext uri="{FF2B5EF4-FFF2-40B4-BE49-F238E27FC236}">
                  <a16:creationId xmlns:a16="http://schemas.microsoft.com/office/drawing/2014/main" id="{00000000-0008-0000-0100-00007A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7</xdr:col>
          <xdr:colOff>0</xdr:colOff>
          <xdr:row>937</xdr:row>
          <xdr:rowOff>171450</xdr:rowOff>
        </xdr:to>
        <xdr:sp macro="" textlink="">
          <xdr:nvSpPr>
            <xdr:cNvPr id="14201" name="Button 2937" hidden="1">
              <a:extLst>
                <a:ext uri="{63B3BB69-23CF-44E3-9099-C40C66FF867C}">
                  <a14:compatExt spid="_x0000_s14201"/>
                </a:ext>
                <a:ext uri="{FF2B5EF4-FFF2-40B4-BE49-F238E27FC236}">
                  <a16:creationId xmlns:a16="http://schemas.microsoft.com/office/drawing/2014/main" id="{00000000-0008-0000-0100-000079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7</xdr:col>
          <xdr:colOff>0</xdr:colOff>
          <xdr:row>938</xdr:row>
          <xdr:rowOff>165100</xdr:rowOff>
        </xdr:to>
        <xdr:sp macro="" textlink="">
          <xdr:nvSpPr>
            <xdr:cNvPr id="14200" name="Button 2936" hidden="1">
              <a:extLst>
                <a:ext uri="{63B3BB69-23CF-44E3-9099-C40C66FF867C}">
                  <a14:compatExt spid="_x0000_s14200"/>
                </a:ext>
                <a:ext uri="{FF2B5EF4-FFF2-40B4-BE49-F238E27FC236}">
                  <a16:creationId xmlns:a16="http://schemas.microsoft.com/office/drawing/2014/main" id="{00000000-0008-0000-0100-000078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7</xdr:col>
          <xdr:colOff>0</xdr:colOff>
          <xdr:row>942</xdr:row>
          <xdr:rowOff>0</xdr:rowOff>
        </xdr:to>
        <xdr:sp macro="" textlink="">
          <xdr:nvSpPr>
            <xdr:cNvPr id="14199" name="Button 2935" hidden="1">
              <a:extLst>
                <a:ext uri="{63B3BB69-23CF-44E3-9099-C40C66FF867C}">
                  <a14:compatExt spid="_x0000_s14199"/>
                </a:ext>
                <a:ext uri="{FF2B5EF4-FFF2-40B4-BE49-F238E27FC236}">
                  <a16:creationId xmlns:a16="http://schemas.microsoft.com/office/drawing/2014/main" id="{00000000-0008-0000-0100-000077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7</xdr:col>
          <xdr:colOff>0</xdr:colOff>
          <xdr:row>948</xdr:row>
          <xdr:rowOff>171450</xdr:rowOff>
        </xdr:to>
        <xdr:sp macro="" textlink="">
          <xdr:nvSpPr>
            <xdr:cNvPr id="14198" name="Button 2934" hidden="1">
              <a:extLst>
                <a:ext uri="{63B3BB69-23CF-44E3-9099-C40C66FF867C}">
                  <a14:compatExt spid="_x0000_s14198"/>
                </a:ext>
                <a:ext uri="{FF2B5EF4-FFF2-40B4-BE49-F238E27FC236}">
                  <a16:creationId xmlns:a16="http://schemas.microsoft.com/office/drawing/2014/main" id="{00000000-0008-0000-0100-000076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7</xdr:col>
          <xdr:colOff>0</xdr:colOff>
          <xdr:row>949</xdr:row>
          <xdr:rowOff>165100</xdr:rowOff>
        </xdr:to>
        <xdr:sp macro="" textlink="">
          <xdr:nvSpPr>
            <xdr:cNvPr id="14197" name="Button 2933" hidden="1">
              <a:extLst>
                <a:ext uri="{63B3BB69-23CF-44E3-9099-C40C66FF867C}">
                  <a14:compatExt spid="_x0000_s14197"/>
                </a:ext>
                <a:ext uri="{FF2B5EF4-FFF2-40B4-BE49-F238E27FC236}">
                  <a16:creationId xmlns:a16="http://schemas.microsoft.com/office/drawing/2014/main" id="{00000000-0008-0000-0100-000075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7</xdr:col>
          <xdr:colOff>0</xdr:colOff>
          <xdr:row>950</xdr:row>
          <xdr:rowOff>165100</xdr:rowOff>
        </xdr:to>
        <xdr:sp macro="" textlink="">
          <xdr:nvSpPr>
            <xdr:cNvPr id="14196" name="Button 2932" hidden="1">
              <a:extLst>
                <a:ext uri="{63B3BB69-23CF-44E3-9099-C40C66FF867C}">
                  <a14:compatExt spid="_x0000_s14196"/>
                </a:ext>
                <a:ext uri="{FF2B5EF4-FFF2-40B4-BE49-F238E27FC236}">
                  <a16:creationId xmlns:a16="http://schemas.microsoft.com/office/drawing/2014/main" id="{00000000-0008-0000-0100-000074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7</xdr:col>
          <xdr:colOff>0</xdr:colOff>
          <xdr:row>954</xdr:row>
          <xdr:rowOff>0</xdr:rowOff>
        </xdr:to>
        <xdr:sp macro="" textlink="">
          <xdr:nvSpPr>
            <xdr:cNvPr id="14195" name="Button 2931" hidden="1">
              <a:extLst>
                <a:ext uri="{63B3BB69-23CF-44E3-9099-C40C66FF867C}">
                  <a14:compatExt spid="_x0000_s14195"/>
                </a:ext>
                <a:ext uri="{FF2B5EF4-FFF2-40B4-BE49-F238E27FC236}">
                  <a16:creationId xmlns:a16="http://schemas.microsoft.com/office/drawing/2014/main" id="{00000000-0008-0000-0100-000073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7</xdr:col>
          <xdr:colOff>0</xdr:colOff>
          <xdr:row>960</xdr:row>
          <xdr:rowOff>171450</xdr:rowOff>
        </xdr:to>
        <xdr:sp macro="" textlink="">
          <xdr:nvSpPr>
            <xdr:cNvPr id="14194" name="Button 2930" hidden="1">
              <a:extLst>
                <a:ext uri="{63B3BB69-23CF-44E3-9099-C40C66FF867C}">
                  <a14:compatExt spid="_x0000_s14194"/>
                </a:ext>
                <a:ext uri="{FF2B5EF4-FFF2-40B4-BE49-F238E27FC236}">
                  <a16:creationId xmlns:a16="http://schemas.microsoft.com/office/drawing/2014/main" id="{00000000-0008-0000-0100-000072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7</xdr:col>
          <xdr:colOff>0</xdr:colOff>
          <xdr:row>961</xdr:row>
          <xdr:rowOff>165100</xdr:rowOff>
        </xdr:to>
        <xdr:sp macro="" textlink="">
          <xdr:nvSpPr>
            <xdr:cNvPr id="14193" name="Button 2929" hidden="1">
              <a:extLst>
                <a:ext uri="{63B3BB69-23CF-44E3-9099-C40C66FF867C}">
                  <a14:compatExt spid="_x0000_s14193"/>
                </a:ext>
                <a:ext uri="{FF2B5EF4-FFF2-40B4-BE49-F238E27FC236}">
                  <a16:creationId xmlns:a16="http://schemas.microsoft.com/office/drawing/2014/main" id="{00000000-0008-0000-0100-000071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962</xdr:row>
          <xdr:rowOff>0</xdr:rowOff>
        </xdr:from>
        <xdr:to>
          <xdr:col>7</xdr:col>
          <xdr:colOff>0</xdr:colOff>
          <xdr:row>962</xdr:row>
          <xdr:rowOff>165100</xdr:rowOff>
        </xdr:to>
        <xdr:sp macro="" textlink="">
          <xdr:nvSpPr>
            <xdr:cNvPr id="14192" name="Button 2928" hidden="1">
              <a:extLst>
                <a:ext uri="{63B3BB69-23CF-44E3-9099-C40C66FF867C}">
                  <a14:compatExt spid="_x0000_s14192"/>
                </a:ext>
                <a:ext uri="{FF2B5EF4-FFF2-40B4-BE49-F238E27FC236}">
                  <a16:creationId xmlns:a16="http://schemas.microsoft.com/office/drawing/2014/main" id="{00000000-0008-0000-0100-000070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7</xdr:col>
          <xdr:colOff>0</xdr:colOff>
          <xdr:row>963</xdr:row>
          <xdr:rowOff>165100</xdr:rowOff>
        </xdr:to>
        <xdr:sp macro="" textlink="">
          <xdr:nvSpPr>
            <xdr:cNvPr id="14191" name="Button 2927" hidden="1">
              <a:extLst>
                <a:ext uri="{63B3BB69-23CF-44E3-9099-C40C66FF867C}">
                  <a14:compatExt spid="_x0000_s14191"/>
                </a:ext>
                <a:ext uri="{FF2B5EF4-FFF2-40B4-BE49-F238E27FC236}">
                  <a16:creationId xmlns:a16="http://schemas.microsoft.com/office/drawing/2014/main" id="{00000000-0008-0000-0100-00006F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7</xdr:col>
          <xdr:colOff>0</xdr:colOff>
          <xdr:row>964</xdr:row>
          <xdr:rowOff>165100</xdr:rowOff>
        </xdr:to>
        <xdr:sp macro="" textlink="">
          <xdr:nvSpPr>
            <xdr:cNvPr id="14190" name="Button 2926" hidden="1">
              <a:extLst>
                <a:ext uri="{63B3BB69-23CF-44E3-9099-C40C66FF867C}">
                  <a14:compatExt spid="_x0000_s14190"/>
                </a:ext>
                <a:ext uri="{FF2B5EF4-FFF2-40B4-BE49-F238E27FC236}">
                  <a16:creationId xmlns:a16="http://schemas.microsoft.com/office/drawing/2014/main" id="{00000000-0008-0000-0100-00006E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7</xdr:col>
          <xdr:colOff>0</xdr:colOff>
          <xdr:row>965</xdr:row>
          <xdr:rowOff>165100</xdr:rowOff>
        </xdr:to>
        <xdr:sp macro="" textlink="">
          <xdr:nvSpPr>
            <xdr:cNvPr id="14189" name="Button 2925" hidden="1">
              <a:extLst>
                <a:ext uri="{63B3BB69-23CF-44E3-9099-C40C66FF867C}">
                  <a14:compatExt spid="_x0000_s14189"/>
                </a:ext>
                <a:ext uri="{FF2B5EF4-FFF2-40B4-BE49-F238E27FC236}">
                  <a16:creationId xmlns:a16="http://schemas.microsoft.com/office/drawing/2014/main" id="{00000000-0008-0000-0100-00006D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7</xdr:col>
          <xdr:colOff>0</xdr:colOff>
          <xdr:row>966</xdr:row>
          <xdr:rowOff>165100</xdr:rowOff>
        </xdr:to>
        <xdr:sp macro="" textlink="">
          <xdr:nvSpPr>
            <xdr:cNvPr id="14188" name="Button 2924" hidden="1">
              <a:extLst>
                <a:ext uri="{63B3BB69-23CF-44E3-9099-C40C66FF867C}">
                  <a14:compatExt spid="_x0000_s14188"/>
                </a:ext>
                <a:ext uri="{FF2B5EF4-FFF2-40B4-BE49-F238E27FC236}">
                  <a16:creationId xmlns:a16="http://schemas.microsoft.com/office/drawing/2014/main" id="{00000000-0008-0000-0100-00006C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7</xdr:col>
          <xdr:colOff>0</xdr:colOff>
          <xdr:row>967</xdr:row>
          <xdr:rowOff>165100</xdr:rowOff>
        </xdr:to>
        <xdr:sp macro="" textlink="">
          <xdr:nvSpPr>
            <xdr:cNvPr id="14187" name="Button 2923" hidden="1">
              <a:extLst>
                <a:ext uri="{63B3BB69-23CF-44E3-9099-C40C66FF867C}">
                  <a14:compatExt spid="_x0000_s14187"/>
                </a:ext>
                <a:ext uri="{FF2B5EF4-FFF2-40B4-BE49-F238E27FC236}">
                  <a16:creationId xmlns:a16="http://schemas.microsoft.com/office/drawing/2014/main" id="{00000000-0008-0000-0100-00006B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7</xdr:col>
          <xdr:colOff>0</xdr:colOff>
          <xdr:row>968</xdr:row>
          <xdr:rowOff>165100</xdr:rowOff>
        </xdr:to>
        <xdr:sp macro="" textlink="">
          <xdr:nvSpPr>
            <xdr:cNvPr id="14186" name="Button 2922" hidden="1">
              <a:extLst>
                <a:ext uri="{63B3BB69-23CF-44E3-9099-C40C66FF867C}">
                  <a14:compatExt spid="_x0000_s14186"/>
                </a:ext>
                <a:ext uri="{FF2B5EF4-FFF2-40B4-BE49-F238E27FC236}">
                  <a16:creationId xmlns:a16="http://schemas.microsoft.com/office/drawing/2014/main" id="{00000000-0008-0000-0100-00006A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7</xdr:col>
          <xdr:colOff>0</xdr:colOff>
          <xdr:row>969</xdr:row>
          <xdr:rowOff>165100</xdr:rowOff>
        </xdr:to>
        <xdr:sp macro="" textlink="">
          <xdr:nvSpPr>
            <xdr:cNvPr id="14185" name="Button 2921" hidden="1">
              <a:extLst>
                <a:ext uri="{63B3BB69-23CF-44E3-9099-C40C66FF867C}">
                  <a14:compatExt spid="_x0000_s14185"/>
                </a:ext>
                <a:ext uri="{FF2B5EF4-FFF2-40B4-BE49-F238E27FC236}">
                  <a16:creationId xmlns:a16="http://schemas.microsoft.com/office/drawing/2014/main" id="{00000000-0008-0000-0100-000069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7</xdr:col>
          <xdr:colOff>0</xdr:colOff>
          <xdr:row>970</xdr:row>
          <xdr:rowOff>165100</xdr:rowOff>
        </xdr:to>
        <xdr:sp macro="" textlink="">
          <xdr:nvSpPr>
            <xdr:cNvPr id="14184" name="Button 2920" hidden="1">
              <a:extLst>
                <a:ext uri="{63B3BB69-23CF-44E3-9099-C40C66FF867C}">
                  <a14:compatExt spid="_x0000_s14184"/>
                </a:ext>
                <a:ext uri="{FF2B5EF4-FFF2-40B4-BE49-F238E27FC236}">
                  <a16:creationId xmlns:a16="http://schemas.microsoft.com/office/drawing/2014/main" id="{00000000-0008-0000-0100-000068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7</xdr:col>
          <xdr:colOff>0</xdr:colOff>
          <xdr:row>971</xdr:row>
          <xdr:rowOff>165100</xdr:rowOff>
        </xdr:to>
        <xdr:sp macro="" textlink="">
          <xdr:nvSpPr>
            <xdr:cNvPr id="14183" name="Button 2919" hidden="1">
              <a:extLst>
                <a:ext uri="{63B3BB69-23CF-44E3-9099-C40C66FF867C}">
                  <a14:compatExt spid="_x0000_s14183"/>
                </a:ext>
                <a:ext uri="{FF2B5EF4-FFF2-40B4-BE49-F238E27FC236}">
                  <a16:creationId xmlns:a16="http://schemas.microsoft.com/office/drawing/2014/main" id="{00000000-0008-0000-0100-000067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7</xdr:col>
          <xdr:colOff>0</xdr:colOff>
          <xdr:row>972</xdr:row>
          <xdr:rowOff>165100</xdr:rowOff>
        </xdr:to>
        <xdr:sp macro="" textlink="">
          <xdr:nvSpPr>
            <xdr:cNvPr id="14182" name="Button 2918" hidden="1">
              <a:extLst>
                <a:ext uri="{63B3BB69-23CF-44E3-9099-C40C66FF867C}">
                  <a14:compatExt spid="_x0000_s14182"/>
                </a:ext>
                <a:ext uri="{FF2B5EF4-FFF2-40B4-BE49-F238E27FC236}">
                  <a16:creationId xmlns:a16="http://schemas.microsoft.com/office/drawing/2014/main" id="{00000000-0008-0000-0100-000066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7</xdr:col>
          <xdr:colOff>0</xdr:colOff>
          <xdr:row>976</xdr:row>
          <xdr:rowOff>0</xdr:rowOff>
        </xdr:to>
        <xdr:sp macro="" textlink="">
          <xdr:nvSpPr>
            <xdr:cNvPr id="14181" name="Button 2917" hidden="1">
              <a:extLst>
                <a:ext uri="{63B3BB69-23CF-44E3-9099-C40C66FF867C}">
                  <a14:compatExt spid="_x0000_s14181"/>
                </a:ext>
                <a:ext uri="{FF2B5EF4-FFF2-40B4-BE49-F238E27FC236}">
                  <a16:creationId xmlns:a16="http://schemas.microsoft.com/office/drawing/2014/main" id="{00000000-0008-0000-0100-000065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7</xdr:col>
          <xdr:colOff>0</xdr:colOff>
          <xdr:row>982</xdr:row>
          <xdr:rowOff>171450</xdr:rowOff>
        </xdr:to>
        <xdr:sp macro="" textlink="">
          <xdr:nvSpPr>
            <xdr:cNvPr id="14180" name="Button 2916" hidden="1">
              <a:extLst>
                <a:ext uri="{63B3BB69-23CF-44E3-9099-C40C66FF867C}">
                  <a14:compatExt spid="_x0000_s14180"/>
                </a:ext>
                <a:ext uri="{FF2B5EF4-FFF2-40B4-BE49-F238E27FC236}">
                  <a16:creationId xmlns:a16="http://schemas.microsoft.com/office/drawing/2014/main" id="{00000000-0008-0000-0100-000064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7</xdr:col>
          <xdr:colOff>0</xdr:colOff>
          <xdr:row>983</xdr:row>
          <xdr:rowOff>165100</xdr:rowOff>
        </xdr:to>
        <xdr:sp macro="" textlink="">
          <xdr:nvSpPr>
            <xdr:cNvPr id="14179" name="Button 2915" hidden="1">
              <a:extLst>
                <a:ext uri="{63B3BB69-23CF-44E3-9099-C40C66FF867C}">
                  <a14:compatExt spid="_x0000_s14179"/>
                </a:ext>
                <a:ext uri="{FF2B5EF4-FFF2-40B4-BE49-F238E27FC236}">
                  <a16:creationId xmlns:a16="http://schemas.microsoft.com/office/drawing/2014/main" id="{00000000-0008-0000-0100-000063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7</xdr:col>
          <xdr:colOff>0</xdr:colOff>
          <xdr:row>984</xdr:row>
          <xdr:rowOff>165100</xdr:rowOff>
        </xdr:to>
        <xdr:sp macro="" textlink="">
          <xdr:nvSpPr>
            <xdr:cNvPr id="14178" name="Button 2914" hidden="1">
              <a:extLst>
                <a:ext uri="{63B3BB69-23CF-44E3-9099-C40C66FF867C}">
                  <a14:compatExt spid="_x0000_s14178"/>
                </a:ext>
                <a:ext uri="{FF2B5EF4-FFF2-40B4-BE49-F238E27FC236}">
                  <a16:creationId xmlns:a16="http://schemas.microsoft.com/office/drawing/2014/main" id="{00000000-0008-0000-0100-000062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7</xdr:col>
          <xdr:colOff>0</xdr:colOff>
          <xdr:row>988</xdr:row>
          <xdr:rowOff>0</xdr:rowOff>
        </xdr:to>
        <xdr:sp macro="" textlink="">
          <xdr:nvSpPr>
            <xdr:cNvPr id="14177" name="Button 2913" hidden="1">
              <a:extLst>
                <a:ext uri="{63B3BB69-23CF-44E3-9099-C40C66FF867C}">
                  <a14:compatExt spid="_x0000_s14177"/>
                </a:ext>
                <a:ext uri="{FF2B5EF4-FFF2-40B4-BE49-F238E27FC236}">
                  <a16:creationId xmlns:a16="http://schemas.microsoft.com/office/drawing/2014/main" id="{00000000-0008-0000-0100-000061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7</xdr:col>
          <xdr:colOff>0</xdr:colOff>
          <xdr:row>994</xdr:row>
          <xdr:rowOff>171450</xdr:rowOff>
        </xdr:to>
        <xdr:sp macro="" textlink="">
          <xdr:nvSpPr>
            <xdr:cNvPr id="14176" name="Button 2912" hidden="1">
              <a:extLst>
                <a:ext uri="{63B3BB69-23CF-44E3-9099-C40C66FF867C}">
                  <a14:compatExt spid="_x0000_s14176"/>
                </a:ext>
                <a:ext uri="{FF2B5EF4-FFF2-40B4-BE49-F238E27FC236}">
                  <a16:creationId xmlns:a16="http://schemas.microsoft.com/office/drawing/2014/main" id="{00000000-0008-0000-0100-000060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7</xdr:col>
          <xdr:colOff>0</xdr:colOff>
          <xdr:row>995</xdr:row>
          <xdr:rowOff>165100</xdr:rowOff>
        </xdr:to>
        <xdr:sp macro="" textlink="">
          <xdr:nvSpPr>
            <xdr:cNvPr id="14175" name="Button 2911" hidden="1">
              <a:extLst>
                <a:ext uri="{63B3BB69-23CF-44E3-9099-C40C66FF867C}">
                  <a14:compatExt spid="_x0000_s14175"/>
                </a:ext>
                <a:ext uri="{FF2B5EF4-FFF2-40B4-BE49-F238E27FC236}">
                  <a16:creationId xmlns:a16="http://schemas.microsoft.com/office/drawing/2014/main" id="{00000000-0008-0000-0100-00005F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7</xdr:col>
          <xdr:colOff>0</xdr:colOff>
          <xdr:row>996</xdr:row>
          <xdr:rowOff>165100</xdr:rowOff>
        </xdr:to>
        <xdr:sp macro="" textlink="">
          <xdr:nvSpPr>
            <xdr:cNvPr id="14174" name="Button 2910" hidden="1">
              <a:extLst>
                <a:ext uri="{63B3BB69-23CF-44E3-9099-C40C66FF867C}">
                  <a14:compatExt spid="_x0000_s14174"/>
                </a:ext>
                <a:ext uri="{FF2B5EF4-FFF2-40B4-BE49-F238E27FC236}">
                  <a16:creationId xmlns:a16="http://schemas.microsoft.com/office/drawing/2014/main" id="{00000000-0008-0000-0100-00005E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7</xdr:col>
          <xdr:colOff>0</xdr:colOff>
          <xdr:row>1000</xdr:row>
          <xdr:rowOff>0</xdr:rowOff>
        </xdr:to>
        <xdr:sp macro="" textlink="">
          <xdr:nvSpPr>
            <xdr:cNvPr id="14173" name="Button 2909" hidden="1">
              <a:extLst>
                <a:ext uri="{63B3BB69-23CF-44E3-9099-C40C66FF867C}">
                  <a14:compatExt spid="_x0000_s14173"/>
                </a:ext>
                <a:ext uri="{FF2B5EF4-FFF2-40B4-BE49-F238E27FC236}">
                  <a16:creationId xmlns:a16="http://schemas.microsoft.com/office/drawing/2014/main" id="{00000000-0008-0000-0100-00005D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7</xdr:col>
          <xdr:colOff>0</xdr:colOff>
          <xdr:row>1006</xdr:row>
          <xdr:rowOff>171450</xdr:rowOff>
        </xdr:to>
        <xdr:sp macro="" textlink="">
          <xdr:nvSpPr>
            <xdr:cNvPr id="14172" name="Button 2908" hidden="1">
              <a:extLst>
                <a:ext uri="{63B3BB69-23CF-44E3-9099-C40C66FF867C}">
                  <a14:compatExt spid="_x0000_s14172"/>
                </a:ext>
                <a:ext uri="{FF2B5EF4-FFF2-40B4-BE49-F238E27FC236}">
                  <a16:creationId xmlns:a16="http://schemas.microsoft.com/office/drawing/2014/main" id="{00000000-0008-0000-0100-00005C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7</xdr:col>
          <xdr:colOff>0</xdr:colOff>
          <xdr:row>1007</xdr:row>
          <xdr:rowOff>165100</xdr:rowOff>
        </xdr:to>
        <xdr:sp macro="" textlink="">
          <xdr:nvSpPr>
            <xdr:cNvPr id="14171" name="Button 2907" hidden="1">
              <a:extLst>
                <a:ext uri="{63B3BB69-23CF-44E3-9099-C40C66FF867C}">
                  <a14:compatExt spid="_x0000_s14171"/>
                </a:ext>
                <a:ext uri="{FF2B5EF4-FFF2-40B4-BE49-F238E27FC236}">
                  <a16:creationId xmlns:a16="http://schemas.microsoft.com/office/drawing/2014/main" id="{00000000-0008-0000-0100-00005B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7</xdr:col>
          <xdr:colOff>0</xdr:colOff>
          <xdr:row>1008</xdr:row>
          <xdr:rowOff>165100</xdr:rowOff>
        </xdr:to>
        <xdr:sp macro="" textlink="">
          <xdr:nvSpPr>
            <xdr:cNvPr id="14170" name="Button 2906" hidden="1">
              <a:extLst>
                <a:ext uri="{63B3BB69-23CF-44E3-9099-C40C66FF867C}">
                  <a14:compatExt spid="_x0000_s14170"/>
                </a:ext>
                <a:ext uri="{FF2B5EF4-FFF2-40B4-BE49-F238E27FC236}">
                  <a16:creationId xmlns:a16="http://schemas.microsoft.com/office/drawing/2014/main" id="{00000000-0008-0000-0100-00005A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7</xdr:col>
          <xdr:colOff>0</xdr:colOff>
          <xdr:row>1012</xdr:row>
          <xdr:rowOff>0</xdr:rowOff>
        </xdr:to>
        <xdr:sp macro="" textlink="">
          <xdr:nvSpPr>
            <xdr:cNvPr id="14169" name="Button 2905" hidden="1">
              <a:extLst>
                <a:ext uri="{63B3BB69-23CF-44E3-9099-C40C66FF867C}">
                  <a14:compatExt spid="_x0000_s14169"/>
                </a:ext>
                <a:ext uri="{FF2B5EF4-FFF2-40B4-BE49-F238E27FC236}">
                  <a16:creationId xmlns:a16="http://schemas.microsoft.com/office/drawing/2014/main" id="{00000000-0008-0000-0100-000059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7</xdr:col>
          <xdr:colOff>0</xdr:colOff>
          <xdr:row>1018</xdr:row>
          <xdr:rowOff>171450</xdr:rowOff>
        </xdr:to>
        <xdr:sp macro="" textlink="">
          <xdr:nvSpPr>
            <xdr:cNvPr id="14168" name="Button 2904" hidden="1">
              <a:extLst>
                <a:ext uri="{63B3BB69-23CF-44E3-9099-C40C66FF867C}">
                  <a14:compatExt spid="_x0000_s14168"/>
                </a:ext>
                <a:ext uri="{FF2B5EF4-FFF2-40B4-BE49-F238E27FC236}">
                  <a16:creationId xmlns:a16="http://schemas.microsoft.com/office/drawing/2014/main" id="{00000000-0008-0000-0100-000058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7</xdr:col>
          <xdr:colOff>0</xdr:colOff>
          <xdr:row>1019</xdr:row>
          <xdr:rowOff>165100</xdr:rowOff>
        </xdr:to>
        <xdr:sp macro="" textlink="">
          <xdr:nvSpPr>
            <xdr:cNvPr id="14167" name="Button 2903" hidden="1">
              <a:extLst>
                <a:ext uri="{63B3BB69-23CF-44E3-9099-C40C66FF867C}">
                  <a14:compatExt spid="_x0000_s14167"/>
                </a:ext>
                <a:ext uri="{FF2B5EF4-FFF2-40B4-BE49-F238E27FC236}">
                  <a16:creationId xmlns:a16="http://schemas.microsoft.com/office/drawing/2014/main" id="{00000000-0008-0000-0100-000057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7</xdr:col>
          <xdr:colOff>0</xdr:colOff>
          <xdr:row>1020</xdr:row>
          <xdr:rowOff>165100</xdr:rowOff>
        </xdr:to>
        <xdr:sp macro="" textlink="">
          <xdr:nvSpPr>
            <xdr:cNvPr id="14166" name="Button 2902" hidden="1">
              <a:extLst>
                <a:ext uri="{63B3BB69-23CF-44E3-9099-C40C66FF867C}">
                  <a14:compatExt spid="_x0000_s14166"/>
                </a:ext>
                <a:ext uri="{FF2B5EF4-FFF2-40B4-BE49-F238E27FC236}">
                  <a16:creationId xmlns:a16="http://schemas.microsoft.com/office/drawing/2014/main" id="{00000000-0008-0000-0100-000056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7</xdr:col>
          <xdr:colOff>0</xdr:colOff>
          <xdr:row>1021</xdr:row>
          <xdr:rowOff>165100</xdr:rowOff>
        </xdr:to>
        <xdr:sp macro="" textlink="">
          <xdr:nvSpPr>
            <xdr:cNvPr id="14165" name="Button 2901" hidden="1">
              <a:extLst>
                <a:ext uri="{63B3BB69-23CF-44E3-9099-C40C66FF867C}">
                  <a14:compatExt spid="_x0000_s14165"/>
                </a:ext>
                <a:ext uri="{FF2B5EF4-FFF2-40B4-BE49-F238E27FC236}">
                  <a16:creationId xmlns:a16="http://schemas.microsoft.com/office/drawing/2014/main" id="{00000000-0008-0000-0100-000055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7</xdr:col>
          <xdr:colOff>0</xdr:colOff>
          <xdr:row>1022</xdr:row>
          <xdr:rowOff>165100</xdr:rowOff>
        </xdr:to>
        <xdr:sp macro="" textlink="">
          <xdr:nvSpPr>
            <xdr:cNvPr id="14164" name="Button 2900" hidden="1">
              <a:extLst>
                <a:ext uri="{63B3BB69-23CF-44E3-9099-C40C66FF867C}">
                  <a14:compatExt spid="_x0000_s14164"/>
                </a:ext>
                <a:ext uri="{FF2B5EF4-FFF2-40B4-BE49-F238E27FC236}">
                  <a16:creationId xmlns:a16="http://schemas.microsoft.com/office/drawing/2014/main" id="{00000000-0008-0000-0100-000054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7</xdr:col>
          <xdr:colOff>0</xdr:colOff>
          <xdr:row>1023</xdr:row>
          <xdr:rowOff>165100</xdr:rowOff>
        </xdr:to>
        <xdr:sp macro="" textlink="">
          <xdr:nvSpPr>
            <xdr:cNvPr id="14163" name="Button 2899" hidden="1">
              <a:extLst>
                <a:ext uri="{63B3BB69-23CF-44E3-9099-C40C66FF867C}">
                  <a14:compatExt spid="_x0000_s14163"/>
                </a:ext>
                <a:ext uri="{FF2B5EF4-FFF2-40B4-BE49-F238E27FC236}">
                  <a16:creationId xmlns:a16="http://schemas.microsoft.com/office/drawing/2014/main" id="{00000000-0008-0000-0100-000053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7</xdr:col>
          <xdr:colOff>0</xdr:colOff>
          <xdr:row>1024</xdr:row>
          <xdr:rowOff>165100</xdr:rowOff>
        </xdr:to>
        <xdr:sp macro="" textlink="">
          <xdr:nvSpPr>
            <xdr:cNvPr id="14162" name="Button 2898" hidden="1">
              <a:extLst>
                <a:ext uri="{63B3BB69-23CF-44E3-9099-C40C66FF867C}">
                  <a14:compatExt spid="_x0000_s14162"/>
                </a:ext>
                <a:ext uri="{FF2B5EF4-FFF2-40B4-BE49-F238E27FC236}">
                  <a16:creationId xmlns:a16="http://schemas.microsoft.com/office/drawing/2014/main" id="{00000000-0008-0000-0100-000052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7</xdr:col>
          <xdr:colOff>0</xdr:colOff>
          <xdr:row>1025</xdr:row>
          <xdr:rowOff>165100</xdr:rowOff>
        </xdr:to>
        <xdr:sp macro="" textlink="">
          <xdr:nvSpPr>
            <xdr:cNvPr id="14161" name="Button 2897" hidden="1">
              <a:extLst>
                <a:ext uri="{63B3BB69-23CF-44E3-9099-C40C66FF867C}">
                  <a14:compatExt spid="_x0000_s14161"/>
                </a:ext>
                <a:ext uri="{FF2B5EF4-FFF2-40B4-BE49-F238E27FC236}">
                  <a16:creationId xmlns:a16="http://schemas.microsoft.com/office/drawing/2014/main" id="{00000000-0008-0000-0100-000051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7</xdr:col>
          <xdr:colOff>0</xdr:colOff>
          <xdr:row>1026</xdr:row>
          <xdr:rowOff>165100</xdr:rowOff>
        </xdr:to>
        <xdr:sp macro="" textlink="">
          <xdr:nvSpPr>
            <xdr:cNvPr id="14160" name="Button 2896" hidden="1">
              <a:extLst>
                <a:ext uri="{63B3BB69-23CF-44E3-9099-C40C66FF867C}">
                  <a14:compatExt spid="_x0000_s14160"/>
                </a:ext>
                <a:ext uri="{FF2B5EF4-FFF2-40B4-BE49-F238E27FC236}">
                  <a16:creationId xmlns:a16="http://schemas.microsoft.com/office/drawing/2014/main" id="{00000000-0008-0000-0100-000050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7</xdr:col>
          <xdr:colOff>0</xdr:colOff>
          <xdr:row>1027</xdr:row>
          <xdr:rowOff>165100</xdr:rowOff>
        </xdr:to>
        <xdr:sp macro="" textlink="">
          <xdr:nvSpPr>
            <xdr:cNvPr id="14159" name="Button 2895" hidden="1">
              <a:extLst>
                <a:ext uri="{63B3BB69-23CF-44E3-9099-C40C66FF867C}">
                  <a14:compatExt spid="_x0000_s14159"/>
                </a:ext>
                <a:ext uri="{FF2B5EF4-FFF2-40B4-BE49-F238E27FC236}">
                  <a16:creationId xmlns:a16="http://schemas.microsoft.com/office/drawing/2014/main" id="{00000000-0008-0000-0100-00004F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7</xdr:col>
          <xdr:colOff>0</xdr:colOff>
          <xdr:row>1028</xdr:row>
          <xdr:rowOff>165100</xdr:rowOff>
        </xdr:to>
        <xdr:sp macro="" textlink="">
          <xdr:nvSpPr>
            <xdr:cNvPr id="14158" name="Button 2894" hidden="1">
              <a:extLst>
                <a:ext uri="{63B3BB69-23CF-44E3-9099-C40C66FF867C}">
                  <a14:compatExt spid="_x0000_s14158"/>
                </a:ext>
                <a:ext uri="{FF2B5EF4-FFF2-40B4-BE49-F238E27FC236}">
                  <a16:creationId xmlns:a16="http://schemas.microsoft.com/office/drawing/2014/main" id="{00000000-0008-0000-0100-00004E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7</xdr:col>
          <xdr:colOff>0</xdr:colOff>
          <xdr:row>1029</xdr:row>
          <xdr:rowOff>165100</xdr:rowOff>
        </xdr:to>
        <xdr:sp macro="" textlink="">
          <xdr:nvSpPr>
            <xdr:cNvPr id="14157" name="Button 2893" hidden="1">
              <a:extLst>
                <a:ext uri="{63B3BB69-23CF-44E3-9099-C40C66FF867C}">
                  <a14:compatExt spid="_x0000_s14157"/>
                </a:ext>
                <a:ext uri="{FF2B5EF4-FFF2-40B4-BE49-F238E27FC236}">
                  <a16:creationId xmlns:a16="http://schemas.microsoft.com/office/drawing/2014/main" id="{00000000-0008-0000-0100-00004D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7</xdr:col>
          <xdr:colOff>0</xdr:colOff>
          <xdr:row>1030</xdr:row>
          <xdr:rowOff>165100</xdr:rowOff>
        </xdr:to>
        <xdr:sp macro="" textlink="">
          <xdr:nvSpPr>
            <xdr:cNvPr id="14156" name="Button 2892" hidden="1">
              <a:extLst>
                <a:ext uri="{63B3BB69-23CF-44E3-9099-C40C66FF867C}">
                  <a14:compatExt spid="_x0000_s14156"/>
                </a:ext>
                <a:ext uri="{FF2B5EF4-FFF2-40B4-BE49-F238E27FC236}">
                  <a16:creationId xmlns:a16="http://schemas.microsoft.com/office/drawing/2014/main" id="{00000000-0008-0000-0100-00004C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7</xdr:col>
          <xdr:colOff>0</xdr:colOff>
          <xdr:row>1031</xdr:row>
          <xdr:rowOff>165100</xdr:rowOff>
        </xdr:to>
        <xdr:sp macro="" textlink="">
          <xdr:nvSpPr>
            <xdr:cNvPr id="14155" name="Button 2891" hidden="1">
              <a:extLst>
                <a:ext uri="{63B3BB69-23CF-44E3-9099-C40C66FF867C}">
                  <a14:compatExt spid="_x0000_s14155"/>
                </a:ext>
                <a:ext uri="{FF2B5EF4-FFF2-40B4-BE49-F238E27FC236}">
                  <a16:creationId xmlns:a16="http://schemas.microsoft.com/office/drawing/2014/main" id="{00000000-0008-0000-0100-00004B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7</xdr:col>
          <xdr:colOff>0</xdr:colOff>
          <xdr:row>1032</xdr:row>
          <xdr:rowOff>165100</xdr:rowOff>
        </xdr:to>
        <xdr:sp macro="" textlink="">
          <xdr:nvSpPr>
            <xdr:cNvPr id="14154" name="Button 2890" hidden="1">
              <a:extLst>
                <a:ext uri="{63B3BB69-23CF-44E3-9099-C40C66FF867C}">
                  <a14:compatExt spid="_x0000_s14154"/>
                </a:ext>
                <a:ext uri="{FF2B5EF4-FFF2-40B4-BE49-F238E27FC236}">
                  <a16:creationId xmlns:a16="http://schemas.microsoft.com/office/drawing/2014/main" id="{00000000-0008-0000-0100-00004A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7</xdr:col>
          <xdr:colOff>0</xdr:colOff>
          <xdr:row>1033</xdr:row>
          <xdr:rowOff>165100</xdr:rowOff>
        </xdr:to>
        <xdr:sp macro="" textlink="">
          <xdr:nvSpPr>
            <xdr:cNvPr id="14153" name="Button 2889" hidden="1">
              <a:extLst>
                <a:ext uri="{63B3BB69-23CF-44E3-9099-C40C66FF867C}">
                  <a14:compatExt spid="_x0000_s14153"/>
                </a:ext>
                <a:ext uri="{FF2B5EF4-FFF2-40B4-BE49-F238E27FC236}">
                  <a16:creationId xmlns:a16="http://schemas.microsoft.com/office/drawing/2014/main" id="{00000000-0008-0000-0100-000049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7</xdr:col>
          <xdr:colOff>0</xdr:colOff>
          <xdr:row>1034</xdr:row>
          <xdr:rowOff>165100</xdr:rowOff>
        </xdr:to>
        <xdr:sp macro="" textlink="">
          <xdr:nvSpPr>
            <xdr:cNvPr id="14152" name="Button 2888" hidden="1">
              <a:extLst>
                <a:ext uri="{63B3BB69-23CF-44E3-9099-C40C66FF867C}">
                  <a14:compatExt spid="_x0000_s14152"/>
                </a:ext>
                <a:ext uri="{FF2B5EF4-FFF2-40B4-BE49-F238E27FC236}">
                  <a16:creationId xmlns:a16="http://schemas.microsoft.com/office/drawing/2014/main" id="{00000000-0008-0000-0100-000048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7</xdr:col>
          <xdr:colOff>0</xdr:colOff>
          <xdr:row>1035</xdr:row>
          <xdr:rowOff>165100</xdr:rowOff>
        </xdr:to>
        <xdr:sp macro="" textlink="">
          <xdr:nvSpPr>
            <xdr:cNvPr id="14151" name="Button 2887" hidden="1">
              <a:extLst>
                <a:ext uri="{63B3BB69-23CF-44E3-9099-C40C66FF867C}">
                  <a14:compatExt spid="_x0000_s14151"/>
                </a:ext>
                <a:ext uri="{FF2B5EF4-FFF2-40B4-BE49-F238E27FC236}">
                  <a16:creationId xmlns:a16="http://schemas.microsoft.com/office/drawing/2014/main" id="{00000000-0008-0000-0100-000047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7</xdr:col>
          <xdr:colOff>0</xdr:colOff>
          <xdr:row>1036</xdr:row>
          <xdr:rowOff>165100</xdr:rowOff>
        </xdr:to>
        <xdr:sp macro="" textlink="">
          <xdr:nvSpPr>
            <xdr:cNvPr id="14150" name="Button 2886" hidden="1">
              <a:extLst>
                <a:ext uri="{63B3BB69-23CF-44E3-9099-C40C66FF867C}">
                  <a14:compatExt spid="_x0000_s14150"/>
                </a:ext>
                <a:ext uri="{FF2B5EF4-FFF2-40B4-BE49-F238E27FC236}">
                  <a16:creationId xmlns:a16="http://schemas.microsoft.com/office/drawing/2014/main" id="{00000000-0008-0000-0100-000046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7</xdr:col>
          <xdr:colOff>0</xdr:colOff>
          <xdr:row>1037</xdr:row>
          <xdr:rowOff>165100</xdr:rowOff>
        </xdr:to>
        <xdr:sp macro="" textlink="">
          <xdr:nvSpPr>
            <xdr:cNvPr id="14149" name="Button 2885" hidden="1">
              <a:extLst>
                <a:ext uri="{63B3BB69-23CF-44E3-9099-C40C66FF867C}">
                  <a14:compatExt spid="_x0000_s14149"/>
                </a:ext>
                <a:ext uri="{FF2B5EF4-FFF2-40B4-BE49-F238E27FC236}">
                  <a16:creationId xmlns:a16="http://schemas.microsoft.com/office/drawing/2014/main" id="{00000000-0008-0000-0100-000045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7</xdr:col>
          <xdr:colOff>0</xdr:colOff>
          <xdr:row>1038</xdr:row>
          <xdr:rowOff>165100</xdr:rowOff>
        </xdr:to>
        <xdr:sp macro="" textlink="">
          <xdr:nvSpPr>
            <xdr:cNvPr id="14148" name="Button 2884" hidden="1">
              <a:extLst>
                <a:ext uri="{63B3BB69-23CF-44E3-9099-C40C66FF867C}">
                  <a14:compatExt spid="_x0000_s14148"/>
                </a:ext>
                <a:ext uri="{FF2B5EF4-FFF2-40B4-BE49-F238E27FC236}">
                  <a16:creationId xmlns:a16="http://schemas.microsoft.com/office/drawing/2014/main" id="{00000000-0008-0000-0100-000044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7</xdr:col>
          <xdr:colOff>0</xdr:colOff>
          <xdr:row>1039</xdr:row>
          <xdr:rowOff>165100</xdr:rowOff>
        </xdr:to>
        <xdr:sp macro="" textlink="">
          <xdr:nvSpPr>
            <xdr:cNvPr id="14147" name="Button 2883" hidden="1">
              <a:extLst>
                <a:ext uri="{63B3BB69-23CF-44E3-9099-C40C66FF867C}">
                  <a14:compatExt spid="_x0000_s14147"/>
                </a:ext>
                <a:ext uri="{FF2B5EF4-FFF2-40B4-BE49-F238E27FC236}">
                  <a16:creationId xmlns:a16="http://schemas.microsoft.com/office/drawing/2014/main" id="{00000000-0008-0000-0100-000043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7</xdr:col>
          <xdr:colOff>0</xdr:colOff>
          <xdr:row>1040</xdr:row>
          <xdr:rowOff>165100</xdr:rowOff>
        </xdr:to>
        <xdr:sp macro="" textlink="">
          <xdr:nvSpPr>
            <xdr:cNvPr id="14146" name="Button 2882" hidden="1">
              <a:extLst>
                <a:ext uri="{63B3BB69-23CF-44E3-9099-C40C66FF867C}">
                  <a14:compatExt spid="_x0000_s14146"/>
                </a:ext>
                <a:ext uri="{FF2B5EF4-FFF2-40B4-BE49-F238E27FC236}">
                  <a16:creationId xmlns:a16="http://schemas.microsoft.com/office/drawing/2014/main" id="{00000000-0008-0000-0100-000042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7</xdr:col>
          <xdr:colOff>0</xdr:colOff>
          <xdr:row>1041</xdr:row>
          <xdr:rowOff>165100</xdr:rowOff>
        </xdr:to>
        <xdr:sp macro="" textlink="">
          <xdr:nvSpPr>
            <xdr:cNvPr id="14145" name="Button 2881" hidden="1">
              <a:extLst>
                <a:ext uri="{63B3BB69-23CF-44E3-9099-C40C66FF867C}">
                  <a14:compatExt spid="_x0000_s14145"/>
                </a:ext>
                <a:ext uri="{FF2B5EF4-FFF2-40B4-BE49-F238E27FC236}">
                  <a16:creationId xmlns:a16="http://schemas.microsoft.com/office/drawing/2014/main" id="{00000000-0008-0000-0100-000041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7</xdr:col>
          <xdr:colOff>0</xdr:colOff>
          <xdr:row>1042</xdr:row>
          <xdr:rowOff>165100</xdr:rowOff>
        </xdr:to>
        <xdr:sp macro="" textlink="">
          <xdr:nvSpPr>
            <xdr:cNvPr id="14144" name="Button 2880" hidden="1">
              <a:extLst>
                <a:ext uri="{63B3BB69-23CF-44E3-9099-C40C66FF867C}">
                  <a14:compatExt spid="_x0000_s14144"/>
                </a:ext>
                <a:ext uri="{FF2B5EF4-FFF2-40B4-BE49-F238E27FC236}">
                  <a16:creationId xmlns:a16="http://schemas.microsoft.com/office/drawing/2014/main" id="{00000000-0008-0000-0100-000040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7</xdr:col>
          <xdr:colOff>0</xdr:colOff>
          <xdr:row>1043</xdr:row>
          <xdr:rowOff>165100</xdr:rowOff>
        </xdr:to>
        <xdr:sp macro="" textlink="">
          <xdr:nvSpPr>
            <xdr:cNvPr id="14143" name="Button 2879" hidden="1">
              <a:extLst>
                <a:ext uri="{63B3BB69-23CF-44E3-9099-C40C66FF867C}">
                  <a14:compatExt spid="_x0000_s14143"/>
                </a:ext>
                <a:ext uri="{FF2B5EF4-FFF2-40B4-BE49-F238E27FC236}">
                  <a16:creationId xmlns:a16="http://schemas.microsoft.com/office/drawing/2014/main" id="{00000000-0008-0000-0100-00003F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1044</xdr:row>
          <xdr:rowOff>0</xdr:rowOff>
        </xdr:from>
        <xdr:to>
          <xdr:col>7</xdr:col>
          <xdr:colOff>0</xdr:colOff>
          <xdr:row>1044</xdr:row>
          <xdr:rowOff>165100</xdr:rowOff>
        </xdr:to>
        <xdr:sp macro="" textlink="">
          <xdr:nvSpPr>
            <xdr:cNvPr id="14142" name="Button 2878" hidden="1">
              <a:extLst>
                <a:ext uri="{63B3BB69-23CF-44E3-9099-C40C66FF867C}">
                  <a14:compatExt spid="_x0000_s14142"/>
                </a:ext>
                <a:ext uri="{FF2B5EF4-FFF2-40B4-BE49-F238E27FC236}">
                  <a16:creationId xmlns:a16="http://schemas.microsoft.com/office/drawing/2014/main" id="{00000000-0008-0000-0100-00003E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7</xdr:col>
          <xdr:colOff>0</xdr:colOff>
          <xdr:row>1045</xdr:row>
          <xdr:rowOff>165100</xdr:rowOff>
        </xdr:to>
        <xdr:sp macro="" textlink="">
          <xdr:nvSpPr>
            <xdr:cNvPr id="14141" name="Button 2877" hidden="1">
              <a:extLst>
                <a:ext uri="{63B3BB69-23CF-44E3-9099-C40C66FF867C}">
                  <a14:compatExt spid="_x0000_s14141"/>
                </a:ext>
                <a:ext uri="{FF2B5EF4-FFF2-40B4-BE49-F238E27FC236}">
                  <a16:creationId xmlns:a16="http://schemas.microsoft.com/office/drawing/2014/main" id="{00000000-0008-0000-0100-00003D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7</xdr:col>
          <xdr:colOff>0</xdr:colOff>
          <xdr:row>1046</xdr:row>
          <xdr:rowOff>165100</xdr:rowOff>
        </xdr:to>
        <xdr:sp macro="" textlink="">
          <xdr:nvSpPr>
            <xdr:cNvPr id="14140" name="Button 2876" hidden="1">
              <a:extLst>
                <a:ext uri="{63B3BB69-23CF-44E3-9099-C40C66FF867C}">
                  <a14:compatExt spid="_x0000_s14140"/>
                </a:ext>
                <a:ext uri="{FF2B5EF4-FFF2-40B4-BE49-F238E27FC236}">
                  <a16:creationId xmlns:a16="http://schemas.microsoft.com/office/drawing/2014/main" id="{00000000-0008-0000-0100-00003C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1047</xdr:row>
          <xdr:rowOff>0</xdr:rowOff>
        </xdr:from>
        <xdr:to>
          <xdr:col>7</xdr:col>
          <xdr:colOff>0</xdr:colOff>
          <xdr:row>1047</xdr:row>
          <xdr:rowOff>165100</xdr:rowOff>
        </xdr:to>
        <xdr:sp macro="" textlink="">
          <xdr:nvSpPr>
            <xdr:cNvPr id="14139" name="Button 2875" hidden="1">
              <a:extLst>
                <a:ext uri="{63B3BB69-23CF-44E3-9099-C40C66FF867C}">
                  <a14:compatExt spid="_x0000_s14139"/>
                </a:ext>
                <a:ext uri="{FF2B5EF4-FFF2-40B4-BE49-F238E27FC236}">
                  <a16:creationId xmlns:a16="http://schemas.microsoft.com/office/drawing/2014/main" id="{00000000-0008-0000-0100-00003B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7</xdr:col>
          <xdr:colOff>0</xdr:colOff>
          <xdr:row>1048</xdr:row>
          <xdr:rowOff>165100</xdr:rowOff>
        </xdr:to>
        <xdr:sp macro="" textlink="">
          <xdr:nvSpPr>
            <xdr:cNvPr id="14138" name="Button 2874" hidden="1">
              <a:extLst>
                <a:ext uri="{63B3BB69-23CF-44E3-9099-C40C66FF867C}">
                  <a14:compatExt spid="_x0000_s14138"/>
                </a:ext>
                <a:ext uri="{FF2B5EF4-FFF2-40B4-BE49-F238E27FC236}">
                  <a16:creationId xmlns:a16="http://schemas.microsoft.com/office/drawing/2014/main" id="{00000000-0008-0000-0100-00003A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7</xdr:col>
          <xdr:colOff>0</xdr:colOff>
          <xdr:row>1049</xdr:row>
          <xdr:rowOff>165100</xdr:rowOff>
        </xdr:to>
        <xdr:sp macro="" textlink="">
          <xdr:nvSpPr>
            <xdr:cNvPr id="14137" name="Button 2873" hidden="1">
              <a:extLst>
                <a:ext uri="{63B3BB69-23CF-44E3-9099-C40C66FF867C}">
                  <a14:compatExt spid="_x0000_s14137"/>
                </a:ext>
                <a:ext uri="{FF2B5EF4-FFF2-40B4-BE49-F238E27FC236}">
                  <a16:creationId xmlns:a16="http://schemas.microsoft.com/office/drawing/2014/main" id="{00000000-0008-0000-0100-000039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7</xdr:col>
          <xdr:colOff>0</xdr:colOff>
          <xdr:row>1050</xdr:row>
          <xdr:rowOff>165100</xdr:rowOff>
        </xdr:to>
        <xdr:sp macro="" textlink="">
          <xdr:nvSpPr>
            <xdr:cNvPr id="14136" name="Button 2872" hidden="1">
              <a:extLst>
                <a:ext uri="{63B3BB69-23CF-44E3-9099-C40C66FF867C}">
                  <a14:compatExt spid="_x0000_s14136"/>
                </a:ext>
                <a:ext uri="{FF2B5EF4-FFF2-40B4-BE49-F238E27FC236}">
                  <a16:creationId xmlns:a16="http://schemas.microsoft.com/office/drawing/2014/main" id="{00000000-0008-0000-0100-000038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7</xdr:col>
          <xdr:colOff>0</xdr:colOff>
          <xdr:row>1051</xdr:row>
          <xdr:rowOff>165100</xdr:rowOff>
        </xdr:to>
        <xdr:sp macro="" textlink="">
          <xdr:nvSpPr>
            <xdr:cNvPr id="14135" name="Button 2871" hidden="1">
              <a:extLst>
                <a:ext uri="{63B3BB69-23CF-44E3-9099-C40C66FF867C}">
                  <a14:compatExt spid="_x0000_s14135"/>
                </a:ext>
                <a:ext uri="{FF2B5EF4-FFF2-40B4-BE49-F238E27FC236}">
                  <a16:creationId xmlns:a16="http://schemas.microsoft.com/office/drawing/2014/main" id="{00000000-0008-0000-0100-000037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7</xdr:col>
          <xdr:colOff>0</xdr:colOff>
          <xdr:row>1052</xdr:row>
          <xdr:rowOff>165100</xdr:rowOff>
        </xdr:to>
        <xdr:sp macro="" textlink="">
          <xdr:nvSpPr>
            <xdr:cNvPr id="14134" name="Button 2870" hidden="1">
              <a:extLst>
                <a:ext uri="{63B3BB69-23CF-44E3-9099-C40C66FF867C}">
                  <a14:compatExt spid="_x0000_s14134"/>
                </a:ext>
                <a:ext uri="{FF2B5EF4-FFF2-40B4-BE49-F238E27FC236}">
                  <a16:creationId xmlns:a16="http://schemas.microsoft.com/office/drawing/2014/main" id="{00000000-0008-0000-0100-000036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7</xdr:col>
          <xdr:colOff>0</xdr:colOff>
          <xdr:row>1053</xdr:row>
          <xdr:rowOff>165100</xdr:rowOff>
        </xdr:to>
        <xdr:sp macro="" textlink="">
          <xdr:nvSpPr>
            <xdr:cNvPr id="14133" name="Button 2869" hidden="1">
              <a:extLst>
                <a:ext uri="{63B3BB69-23CF-44E3-9099-C40C66FF867C}">
                  <a14:compatExt spid="_x0000_s14133"/>
                </a:ext>
                <a:ext uri="{FF2B5EF4-FFF2-40B4-BE49-F238E27FC236}">
                  <a16:creationId xmlns:a16="http://schemas.microsoft.com/office/drawing/2014/main" id="{00000000-0008-0000-0100-000035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7</xdr:col>
          <xdr:colOff>0</xdr:colOff>
          <xdr:row>1054</xdr:row>
          <xdr:rowOff>165100</xdr:rowOff>
        </xdr:to>
        <xdr:sp macro="" textlink="">
          <xdr:nvSpPr>
            <xdr:cNvPr id="14132" name="Button 2868" hidden="1">
              <a:extLst>
                <a:ext uri="{63B3BB69-23CF-44E3-9099-C40C66FF867C}">
                  <a14:compatExt spid="_x0000_s14132"/>
                </a:ext>
                <a:ext uri="{FF2B5EF4-FFF2-40B4-BE49-F238E27FC236}">
                  <a16:creationId xmlns:a16="http://schemas.microsoft.com/office/drawing/2014/main" id="{00000000-0008-0000-0100-000034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7</xdr:col>
          <xdr:colOff>0</xdr:colOff>
          <xdr:row>1055</xdr:row>
          <xdr:rowOff>165100</xdr:rowOff>
        </xdr:to>
        <xdr:sp macro="" textlink="">
          <xdr:nvSpPr>
            <xdr:cNvPr id="14131" name="Button 2867" hidden="1">
              <a:extLst>
                <a:ext uri="{63B3BB69-23CF-44E3-9099-C40C66FF867C}">
                  <a14:compatExt spid="_x0000_s14131"/>
                </a:ext>
                <a:ext uri="{FF2B5EF4-FFF2-40B4-BE49-F238E27FC236}">
                  <a16:creationId xmlns:a16="http://schemas.microsoft.com/office/drawing/2014/main" id="{00000000-0008-0000-0100-000033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7</xdr:col>
          <xdr:colOff>0</xdr:colOff>
          <xdr:row>1056</xdr:row>
          <xdr:rowOff>165100</xdr:rowOff>
        </xdr:to>
        <xdr:sp macro="" textlink="">
          <xdr:nvSpPr>
            <xdr:cNvPr id="14130" name="Button 2866" hidden="1">
              <a:extLst>
                <a:ext uri="{63B3BB69-23CF-44E3-9099-C40C66FF867C}">
                  <a14:compatExt spid="_x0000_s14130"/>
                </a:ext>
                <a:ext uri="{FF2B5EF4-FFF2-40B4-BE49-F238E27FC236}">
                  <a16:creationId xmlns:a16="http://schemas.microsoft.com/office/drawing/2014/main" id="{00000000-0008-0000-0100-000032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7</xdr:col>
          <xdr:colOff>0</xdr:colOff>
          <xdr:row>1057</xdr:row>
          <xdr:rowOff>165100</xdr:rowOff>
        </xdr:to>
        <xdr:sp macro="" textlink="">
          <xdr:nvSpPr>
            <xdr:cNvPr id="14129" name="Button 2865" hidden="1">
              <a:extLst>
                <a:ext uri="{63B3BB69-23CF-44E3-9099-C40C66FF867C}">
                  <a14:compatExt spid="_x0000_s14129"/>
                </a:ext>
                <a:ext uri="{FF2B5EF4-FFF2-40B4-BE49-F238E27FC236}">
                  <a16:creationId xmlns:a16="http://schemas.microsoft.com/office/drawing/2014/main" id="{00000000-0008-0000-0100-000031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7</xdr:col>
          <xdr:colOff>0</xdr:colOff>
          <xdr:row>1058</xdr:row>
          <xdr:rowOff>165100</xdr:rowOff>
        </xdr:to>
        <xdr:sp macro="" textlink="">
          <xdr:nvSpPr>
            <xdr:cNvPr id="14128" name="Button 2864" hidden="1">
              <a:extLst>
                <a:ext uri="{63B3BB69-23CF-44E3-9099-C40C66FF867C}">
                  <a14:compatExt spid="_x0000_s14128"/>
                </a:ext>
                <a:ext uri="{FF2B5EF4-FFF2-40B4-BE49-F238E27FC236}">
                  <a16:creationId xmlns:a16="http://schemas.microsoft.com/office/drawing/2014/main" id="{00000000-0008-0000-0100-000030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7</xdr:col>
          <xdr:colOff>0</xdr:colOff>
          <xdr:row>1059</xdr:row>
          <xdr:rowOff>165100</xdr:rowOff>
        </xdr:to>
        <xdr:sp macro="" textlink="">
          <xdr:nvSpPr>
            <xdr:cNvPr id="14127" name="Button 2863" hidden="1">
              <a:extLst>
                <a:ext uri="{63B3BB69-23CF-44E3-9099-C40C66FF867C}">
                  <a14:compatExt spid="_x0000_s14127"/>
                </a:ext>
                <a:ext uri="{FF2B5EF4-FFF2-40B4-BE49-F238E27FC236}">
                  <a16:creationId xmlns:a16="http://schemas.microsoft.com/office/drawing/2014/main" id="{00000000-0008-0000-0100-00002F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7</xdr:col>
          <xdr:colOff>0</xdr:colOff>
          <xdr:row>1060</xdr:row>
          <xdr:rowOff>165100</xdr:rowOff>
        </xdr:to>
        <xdr:sp macro="" textlink="">
          <xdr:nvSpPr>
            <xdr:cNvPr id="14126" name="Button 2862" hidden="1">
              <a:extLst>
                <a:ext uri="{63B3BB69-23CF-44E3-9099-C40C66FF867C}">
                  <a14:compatExt spid="_x0000_s14126"/>
                </a:ext>
                <a:ext uri="{FF2B5EF4-FFF2-40B4-BE49-F238E27FC236}">
                  <a16:creationId xmlns:a16="http://schemas.microsoft.com/office/drawing/2014/main" id="{00000000-0008-0000-0100-00002E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7</xdr:col>
          <xdr:colOff>0</xdr:colOff>
          <xdr:row>1061</xdr:row>
          <xdr:rowOff>165100</xdr:rowOff>
        </xdr:to>
        <xdr:sp macro="" textlink="">
          <xdr:nvSpPr>
            <xdr:cNvPr id="14125" name="Button 2861" hidden="1">
              <a:extLst>
                <a:ext uri="{63B3BB69-23CF-44E3-9099-C40C66FF867C}">
                  <a14:compatExt spid="_x0000_s14125"/>
                </a:ext>
                <a:ext uri="{FF2B5EF4-FFF2-40B4-BE49-F238E27FC236}">
                  <a16:creationId xmlns:a16="http://schemas.microsoft.com/office/drawing/2014/main" id="{00000000-0008-0000-0100-00002D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7</xdr:col>
          <xdr:colOff>0</xdr:colOff>
          <xdr:row>1062</xdr:row>
          <xdr:rowOff>165100</xdr:rowOff>
        </xdr:to>
        <xdr:sp macro="" textlink="">
          <xdr:nvSpPr>
            <xdr:cNvPr id="14124" name="Button 2860" hidden="1">
              <a:extLst>
                <a:ext uri="{63B3BB69-23CF-44E3-9099-C40C66FF867C}">
                  <a14:compatExt spid="_x0000_s14124"/>
                </a:ext>
                <a:ext uri="{FF2B5EF4-FFF2-40B4-BE49-F238E27FC236}">
                  <a16:creationId xmlns:a16="http://schemas.microsoft.com/office/drawing/2014/main" id="{00000000-0008-0000-0100-00002C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7</xdr:col>
          <xdr:colOff>0</xdr:colOff>
          <xdr:row>1063</xdr:row>
          <xdr:rowOff>165100</xdr:rowOff>
        </xdr:to>
        <xdr:sp macro="" textlink="">
          <xdr:nvSpPr>
            <xdr:cNvPr id="14123" name="Button 2859" hidden="1">
              <a:extLst>
                <a:ext uri="{63B3BB69-23CF-44E3-9099-C40C66FF867C}">
                  <a14:compatExt spid="_x0000_s14123"/>
                </a:ext>
                <a:ext uri="{FF2B5EF4-FFF2-40B4-BE49-F238E27FC236}">
                  <a16:creationId xmlns:a16="http://schemas.microsoft.com/office/drawing/2014/main" id="{00000000-0008-0000-0100-00002B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7</xdr:col>
          <xdr:colOff>0</xdr:colOff>
          <xdr:row>1064</xdr:row>
          <xdr:rowOff>165100</xdr:rowOff>
        </xdr:to>
        <xdr:sp macro="" textlink="">
          <xdr:nvSpPr>
            <xdr:cNvPr id="14122" name="Button 2858" hidden="1">
              <a:extLst>
                <a:ext uri="{63B3BB69-23CF-44E3-9099-C40C66FF867C}">
                  <a14:compatExt spid="_x0000_s14122"/>
                </a:ext>
                <a:ext uri="{FF2B5EF4-FFF2-40B4-BE49-F238E27FC236}">
                  <a16:creationId xmlns:a16="http://schemas.microsoft.com/office/drawing/2014/main" id="{00000000-0008-0000-0100-00002A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1065</xdr:row>
          <xdr:rowOff>0</xdr:rowOff>
        </xdr:from>
        <xdr:to>
          <xdr:col>7</xdr:col>
          <xdr:colOff>0</xdr:colOff>
          <xdr:row>1065</xdr:row>
          <xdr:rowOff>165100</xdr:rowOff>
        </xdr:to>
        <xdr:sp macro="" textlink="">
          <xdr:nvSpPr>
            <xdr:cNvPr id="14121" name="Button 2857" hidden="1">
              <a:extLst>
                <a:ext uri="{63B3BB69-23CF-44E3-9099-C40C66FF867C}">
                  <a14:compatExt spid="_x0000_s14121"/>
                </a:ext>
                <a:ext uri="{FF2B5EF4-FFF2-40B4-BE49-F238E27FC236}">
                  <a16:creationId xmlns:a16="http://schemas.microsoft.com/office/drawing/2014/main" id="{00000000-0008-0000-0100-000029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1066</xdr:row>
          <xdr:rowOff>0</xdr:rowOff>
        </xdr:from>
        <xdr:to>
          <xdr:col>7</xdr:col>
          <xdr:colOff>0</xdr:colOff>
          <xdr:row>1066</xdr:row>
          <xdr:rowOff>165100</xdr:rowOff>
        </xdr:to>
        <xdr:sp macro="" textlink="">
          <xdr:nvSpPr>
            <xdr:cNvPr id="14120" name="Button 2856" hidden="1">
              <a:extLst>
                <a:ext uri="{63B3BB69-23CF-44E3-9099-C40C66FF867C}">
                  <a14:compatExt spid="_x0000_s14120"/>
                </a:ext>
                <a:ext uri="{FF2B5EF4-FFF2-40B4-BE49-F238E27FC236}">
                  <a16:creationId xmlns:a16="http://schemas.microsoft.com/office/drawing/2014/main" id="{00000000-0008-0000-0100-000028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1067</xdr:row>
          <xdr:rowOff>0</xdr:rowOff>
        </xdr:from>
        <xdr:to>
          <xdr:col>7</xdr:col>
          <xdr:colOff>0</xdr:colOff>
          <xdr:row>1067</xdr:row>
          <xdr:rowOff>165100</xdr:rowOff>
        </xdr:to>
        <xdr:sp macro="" textlink="">
          <xdr:nvSpPr>
            <xdr:cNvPr id="14119" name="Button 2855" hidden="1">
              <a:extLst>
                <a:ext uri="{63B3BB69-23CF-44E3-9099-C40C66FF867C}">
                  <a14:compatExt spid="_x0000_s14119"/>
                </a:ext>
                <a:ext uri="{FF2B5EF4-FFF2-40B4-BE49-F238E27FC236}">
                  <a16:creationId xmlns:a16="http://schemas.microsoft.com/office/drawing/2014/main" id="{00000000-0008-0000-0100-000027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1068</xdr:row>
          <xdr:rowOff>0</xdr:rowOff>
        </xdr:from>
        <xdr:to>
          <xdr:col>7</xdr:col>
          <xdr:colOff>0</xdr:colOff>
          <xdr:row>1068</xdr:row>
          <xdr:rowOff>165100</xdr:rowOff>
        </xdr:to>
        <xdr:sp macro="" textlink="">
          <xdr:nvSpPr>
            <xdr:cNvPr id="14118" name="Button 2854" hidden="1">
              <a:extLst>
                <a:ext uri="{63B3BB69-23CF-44E3-9099-C40C66FF867C}">
                  <a14:compatExt spid="_x0000_s14118"/>
                </a:ext>
                <a:ext uri="{FF2B5EF4-FFF2-40B4-BE49-F238E27FC236}">
                  <a16:creationId xmlns:a16="http://schemas.microsoft.com/office/drawing/2014/main" id="{00000000-0008-0000-0100-000026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1069</xdr:row>
          <xdr:rowOff>0</xdr:rowOff>
        </xdr:from>
        <xdr:to>
          <xdr:col>7</xdr:col>
          <xdr:colOff>0</xdr:colOff>
          <xdr:row>1069</xdr:row>
          <xdr:rowOff>165100</xdr:rowOff>
        </xdr:to>
        <xdr:sp macro="" textlink="">
          <xdr:nvSpPr>
            <xdr:cNvPr id="14117" name="Button 2853" hidden="1">
              <a:extLst>
                <a:ext uri="{63B3BB69-23CF-44E3-9099-C40C66FF867C}">
                  <a14:compatExt spid="_x0000_s14117"/>
                </a:ext>
                <a:ext uri="{FF2B5EF4-FFF2-40B4-BE49-F238E27FC236}">
                  <a16:creationId xmlns:a16="http://schemas.microsoft.com/office/drawing/2014/main" id="{00000000-0008-0000-0100-000025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1070</xdr:row>
          <xdr:rowOff>0</xdr:rowOff>
        </xdr:from>
        <xdr:to>
          <xdr:col>7</xdr:col>
          <xdr:colOff>0</xdr:colOff>
          <xdr:row>1070</xdr:row>
          <xdr:rowOff>165100</xdr:rowOff>
        </xdr:to>
        <xdr:sp macro="" textlink="">
          <xdr:nvSpPr>
            <xdr:cNvPr id="14116" name="Button 2852" hidden="1">
              <a:extLst>
                <a:ext uri="{63B3BB69-23CF-44E3-9099-C40C66FF867C}">
                  <a14:compatExt spid="_x0000_s14116"/>
                </a:ext>
                <a:ext uri="{FF2B5EF4-FFF2-40B4-BE49-F238E27FC236}">
                  <a16:creationId xmlns:a16="http://schemas.microsoft.com/office/drawing/2014/main" id="{00000000-0008-0000-0100-000024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7</xdr:col>
          <xdr:colOff>0</xdr:colOff>
          <xdr:row>1071</xdr:row>
          <xdr:rowOff>165100</xdr:rowOff>
        </xdr:to>
        <xdr:sp macro="" textlink="">
          <xdr:nvSpPr>
            <xdr:cNvPr id="14115" name="Button 2851" hidden="1">
              <a:extLst>
                <a:ext uri="{63B3BB69-23CF-44E3-9099-C40C66FF867C}">
                  <a14:compatExt spid="_x0000_s14115"/>
                </a:ext>
                <a:ext uri="{FF2B5EF4-FFF2-40B4-BE49-F238E27FC236}">
                  <a16:creationId xmlns:a16="http://schemas.microsoft.com/office/drawing/2014/main" id="{00000000-0008-0000-0100-000023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7</xdr:col>
          <xdr:colOff>0</xdr:colOff>
          <xdr:row>1072</xdr:row>
          <xdr:rowOff>165100</xdr:rowOff>
        </xdr:to>
        <xdr:sp macro="" textlink="">
          <xdr:nvSpPr>
            <xdr:cNvPr id="14114" name="Button 2850" hidden="1">
              <a:extLst>
                <a:ext uri="{63B3BB69-23CF-44E3-9099-C40C66FF867C}">
                  <a14:compatExt spid="_x0000_s14114"/>
                </a:ext>
                <a:ext uri="{FF2B5EF4-FFF2-40B4-BE49-F238E27FC236}">
                  <a16:creationId xmlns:a16="http://schemas.microsoft.com/office/drawing/2014/main" id="{00000000-0008-0000-0100-000022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7</xdr:col>
          <xdr:colOff>0</xdr:colOff>
          <xdr:row>1073</xdr:row>
          <xdr:rowOff>165100</xdr:rowOff>
        </xdr:to>
        <xdr:sp macro="" textlink="">
          <xdr:nvSpPr>
            <xdr:cNvPr id="14113" name="Button 2849" hidden="1">
              <a:extLst>
                <a:ext uri="{63B3BB69-23CF-44E3-9099-C40C66FF867C}">
                  <a14:compatExt spid="_x0000_s14113"/>
                </a:ext>
                <a:ext uri="{FF2B5EF4-FFF2-40B4-BE49-F238E27FC236}">
                  <a16:creationId xmlns:a16="http://schemas.microsoft.com/office/drawing/2014/main" id="{00000000-0008-0000-0100-000021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7</xdr:col>
          <xdr:colOff>0</xdr:colOff>
          <xdr:row>1074</xdr:row>
          <xdr:rowOff>165100</xdr:rowOff>
        </xdr:to>
        <xdr:sp macro="" textlink="">
          <xdr:nvSpPr>
            <xdr:cNvPr id="14112" name="Button 2848" hidden="1">
              <a:extLst>
                <a:ext uri="{63B3BB69-23CF-44E3-9099-C40C66FF867C}">
                  <a14:compatExt spid="_x0000_s14112"/>
                </a:ext>
                <a:ext uri="{FF2B5EF4-FFF2-40B4-BE49-F238E27FC236}">
                  <a16:creationId xmlns:a16="http://schemas.microsoft.com/office/drawing/2014/main" id="{00000000-0008-0000-0100-000020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7</xdr:col>
          <xdr:colOff>0</xdr:colOff>
          <xdr:row>1075</xdr:row>
          <xdr:rowOff>165100</xdr:rowOff>
        </xdr:to>
        <xdr:sp macro="" textlink="">
          <xdr:nvSpPr>
            <xdr:cNvPr id="14111" name="Button 2847" hidden="1">
              <a:extLst>
                <a:ext uri="{63B3BB69-23CF-44E3-9099-C40C66FF867C}">
                  <a14:compatExt spid="_x0000_s14111"/>
                </a:ext>
                <a:ext uri="{FF2B5EF4-FFF2-40B4-BE49-F238E27FC236}">
                  <a16:creationId xmlns:a16="http://schemas.microsoft.com/office/drawing/2014/main" id="{00000000-0008-0000-0100-00001F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7</xdr:col>
          <xdr:colOff>0</xdr:colOff>
          <xdr:row>1076</xdr:row>
          <xdr:rowOff>165100</xdr:rowOff>
        </xdr:to>
        <xdr:sp macro="" textlink="">
          <xdr:nvSpPr>
            <xdr:cNvPr id="14110" name="Button 2846" hidden="1">
              <a:extLst>
                <a:ext uri="{63B3BB69-23CF-44E3-9099-C40C66FF867C}">
                  <a14:compatExt spid="_x0000_s14110"/>
                </a:ext>
                <a:ext uri="{FF2B5EF4-FFF2-40B4-BE49-F238E27FC236}">
                  <a16:creationId xmlns:a16="http://schemas.microsoft.com/office/drawing/2014/main" id="{00000000-0008-0000-0100-00001E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7</xdr:col>
          <xdr:colOff>0</xdr:colOff>
          <xdr:row>1077</xdr:row>
          <xdr:rowOff>165100</xdr:rowOff>
        </xdr:to>
        <xdr:sp macro="" textlink="">
          <xdr:nvSpPr>
            <xdr:cNvPr id="14109" name="Button 2845" hidden="1">
              <a:extLst>
                <a:ext uri="{63B3BB69-23CF-44E3-9099-C40C66FF867C}">
                  <a14:compatExt spid="_x0000_s14109"/>
                </a:ext>
                <a:ext uri="{FF2B5EF4-FFF2-40B4-BE49-F238E27FC236}">
                  <a16:creationId xmlns:a16="http://schemas.microsoft.com/office/drawing/2014/main" id="{00000000-0008-0000-0100-00001D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7</xdr:col>
          <xdr:colOff>0</xdr:colOff>
          <xdr:row>1078</xdr:row>
          <xdr:rowOff>165100</xdr:rowOff>
        </xdr:to>
        <xdr:sp macro="" textlink="">
          <xdr:nvSpPr>
            <xdr:cNvPr id="14108" name="Button 2844" hidden="1">
              <a:extLst>
                <a:ext uri="{63B3BB69-23CF-44E3-9099-C40C66FF867C}">
                  <a14:compatExt spid="_x0000_s14108"/>
                </a:ext>
                <a:ext uri="{FF2B5EF4-FFF2-40B4-BE49-F238E27FC236}">
                  <a16:creationId xmlns:a16="http://schemas.microsoft.com/office/drawing/2014/main" id="{00000000-0008-0000-0100-00001C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7</xdr:col>
          <xdr:colOff>0</xdr:colOff>
          <xdr:row>1079</xdr:row>
          <xdr:rowOff>165100</xdr:rowOff>
        </xdr:to>
        <xdr:sp macro="" textlink="">
          <xdr:nvSpPr>
            <xdr:cNvPr id="14107" name="Button 2843" hidden="1">
              <a:extLst>
                <a:ext uri="{63B3BB69-23CF-44E3-9099-C40C66FF867C}">
                  <a14:compatExt spid="_x0000_s14107"/>
                </a:ext>
                <a:ext uri="{FF2B5EF4-FFF2-40B4-BE49-F238E27FC236}">
                  <a16:creationId xmlns:a16="http://schemas.microsoft.com/office/drawing/2014/main" id="{00000000-0008-0000-0100-00001B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7</xdr:col>
          <xdr:colOff>0</xdr:colOff>
          <xdr:row>1080</xdr:row>
          <xdr:rowOff>165100</xdr:rowOff>
        </xdr:to>
        <xdr:sp macro="" textlink="">
          <xdr:nvSpPr>
            <xdr:cNvPr id="14106" name="Button 2842" hidden="1">
              <a:extLst>
                <a:ext uri="{63B3BB69-23CF-44E3-9099-C40C66FF867C}">
                  <a14:compatExt spid="_x0000_s14106"/>
                </a:ext>
                <a:ext uri="{FF2B5EF4-FFF2-40B4-BE49-F238E27FC236}">
                  <a16:creationId xmlns:a16="http://schemas.microsoft.com/office/drawing/2014/main" id="{00000000-0008-0000-0100-00001A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7</xdr:col>
          <xdr:colOff>0</xdr:colOff>
          <xdr:row>1081</xdr:row>
          <xdr:rowOff>165100</xdr:rowOff>
        </xdr:to>
        <xdr:sp macro="" textlink="">
          <xdr:nvSpPr>
            <xdr:cNvPr id="14105" name="Button 2841" hidden="1">
              <a:extLst>
                <a:ext uri="{63B3BB69-23CF-44E3-9099-C40C66FF867C}">
                  <a14:compatExt spid="_x0000_s14105"/>
                </a:ext>
                <a:ext uri="{FF2B5EF4-FFF2-40B4-BE49-F238E27FC236}">
                  <a16:creationId xmlns:a16="http://schemas.microsoft.com/office/drawing/2014/main" id="{00000000-0008-0000-0100-000019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7</xdr:col>
          <xdr:colOff>0</xdr:colOff>
          <xdr:row>1082</xdr:row>
          <xdr:rowOff>165100</xdr:rowOff>
        </xdr:to>
        <xdr:sp macro="" textlink="">
          <xdr:nvSpPr>
            <xdr:cNvPr id="14104" name="Button 2840" hidden="1">
              <a:extLst>
                <a:ext uri="{63B3BB69-23CF-44E3-9099-C40C66FF867C}">
                  <a14:compatExt spid="_x0000_s14104"/>
                </a:ext>
                <a:ext uri="{FF2B5EF4-FFF2-40B4-BE49-F238E27FC236}">
                  <a16:creationId xmlns:a16="http://schemas.microsoft.com/office/drawing/2014/main" id="{00000000-0008-0000-0100-000018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7</xdr:col>
          <xdr:colOff>0</xdr:colOff>
          <xdr:row>1083</xdr:row>
          <xdr:rowOff>165100</xdr:rowOff>
        </xdr:to>
        <xdr:sp macro="" textlink="">
          <xdr:nvSpPr>
            <xdr:cNvPr id="14103" name="Button 2839" hidden="1">
              <a:extLst>
                <a:ext uri="{63B3BB69-23CF-44E3-9099-C40C66FF867C}">
                  <a14:compatExt spid="_x0000_s14103"/>
                </a:ext>
                <a:ext uri="{FF2B5EF4-FFF2-40B4-BE49-F238E27FC236}">
                  <a16:creationId xmlns:a16="http://schemas.microsoft.com/office/drawing/2014/main" id="{00000000-0008-0000-0100-000017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7</xdr:col>
          <xdr:colOff>0</xdr:colOff>
          <xdr:row>1084</xdr:row>
          <xdr:rowOff>165100</xdr:rowOff>
        </xdr:to>
        <xdr:sp macro="" textlink="">
          <xdr:nvSpPr>
            <xdr:cNvPr id="14102" name="Button 2838" hidden="1">
              <a:extLst>
                <a:ext uri="{63B3BB69-23CF-44E3-9099-C40C66FF867C}">
                  <a14:compatExt spid="_x0000_s14102"/>
                </a:ext>
                <a:ext uri="{FF2B5EF4-FFF2-40B4-BE49-F238E27FC236}">
                  <a16:creationId xmlns:a16="http://schemas.microsoft.com/office/drawing/2014/main" id="{00000000-0008-0000-0100-000016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7</xdr:col>
          <xdr:colOff>0</xdr:colOff>
          <xdr:row>1085</xdr:row>
          <xdr:rowOff>165100</xdr:rowOff>
        </xdr:to>
        <xdr:sp macro="" textlink="">
          <xdr:nvSpPr>
            <xdr:cNvPr id="14101" name="Button 2837" hidden="1">
              <a:extLst>
                <a:ext uri="{63B3BB69-23CF-44E3-9099-C40C66FF867C}">
                  <a14:compatExt spid="_x0000_s14101"/>
                </a:ext>
                <a:ext uri="{FF2B5EF4-FFF2-40B4-BE49-F238E27FC236}">
                  <a16:creationId xmlns:a16="http://schemas.microsoft.com/office/drawing/2014/main" id="{00000000-0008-0000-0100-000015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7</xdr:col>
          <xdr:colOff>0</xdr:colOff>
          <xdr:row>1086</xdr:row>
          <xdr:rowOff>165100</xdr:rowOff>
        </xdr:to>
        <xdr:sp macro="" textlink="">
          <xdr:nvSpPr>
            <xdr:cNvPr id="14100" name="Button 2836" hidden="1">
              <a:extLst>
                <a:ext uri="{63B3BB69-23CF-44E3-9099-C40C66FF867C}">
                  <a14:compatExt spid="_x0000_s14100"/>
                </a:ext>
                <a:ext uri="{FF2B5EF4-FFF2-40B4-BE49-F238E27FC236}">
                  <a16:creationId xmlns:a16="http://schemas.microsoft.com/office/drawing/2014/main" id="{00000000-0008-0000-0100-000014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7</xdr:col>
          <xdr:colOff>0</xdr:colOff>
          <xdr:row>1087</xdr:row>
          <xdr:rowOff>165100</xdr:rowOff>
        </xdr:to>
        <xdr:sp macro="" textlink="">
          <xdr:nvSpPr>
            <xdr:cNvPr id="14099" name="Button 2835" hidden="1">
              <a:extLst>
                <a:ext uri="{63B3BB69-23CF-44E3-9099-C40C66FF867C}">
                  <a14:compatExt spid="_x0000_s14099"/>
                </a:ext>
                <a:ext uri="{FF2B5EF4-FFF2-40B4-BE49-F238E27FC236}">
                  <a16:creationId xmlns:a16="http://schemas.microsoft.com/office/drawing/2014/main" id="{00000000-0008-0000-0100-000013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7</xdr:col>
          <xdr:colOff>0</xdr:colOff>
          <xdr:row>1088</xdr:row>
          <xdr:rowOff>165100</xdr:rowOff>
        </xdr:to>
        <xdr:sp macro="" textlink="">
          <xdr:nvSpPr>
            <xdr:cNvPr id="14098" name="Button 2834" hidden="1">
              <a:extLst>
                <a:ext uri="{63B3BB69-23CF-44E3-9099-C40C66FF867C}">
                  <a14:compatExt spid="_x0000_s14098"/>
                </a:ext>
                <a:ext uri="{FF2B5EF4-FFF2-40B4-BE49-F238E27FC236}">
                  <a16:creationId xmlns:a16="http://schemas.microsoft.com/office/drawing/2014/main" id="{00000000-0008-0000-0100-000012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7</xdr:col>
          <xdr:colOff>0</xdr:colOff>
          <xdr:row>1089</xdr:row>
          <xdr:rowOff>165100</xdr:rowOff>
        </xdr:to>
        <xdr:sp macro="" textlink="">
          <xdr:nvSpPr>
            <xdr:cNvPr id="14097" name="Button 2833" hidden="1">
              <a:extLst>
                <a:ext uri="{63B3BB69-23CF-44E3-9099-C40C66FF867C}">
                  <a14:compatExt spid="_x0000_s14097"/>
                </a:ext>
                <a:ext uri="{FF2B5EF4-FFF2-40B4-BE49-F238E27FC236}">
                  <a16:creationId xmlns:a16="http://schemas.microsoft.com/office/drawing/2014/main" id="{00000000-0008-0000-0100-000011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7</xdr:col>
          <xdr:colOff>0</xdr:colOff>
          <xdr:row>1090</xdr:row>
          <xdr:rowOff>165100</xdr:rowOff>
        </xdr:to>
        <xdr:sp macro="" textlink="">
          <xdr:nvSpPr>
            <xdr:cNvPr id="14096" name="Button 2832" hidden="1">
              <a:extLst>
                <a:ext uri="{63B3BB69-23CF-44E3-9099-C40C66FF867C}">
                  <a14:compatExt spid="_x0000_s14096"/>
                </a:ext>
                <a:ext uri="{FF2B5EF4-FFF2-40B4-BE49-F238E27FC236}">
                  <a16:creationId xmlns:a16="http://schemas.microsoft.com/office/drawing/2014/main" id="{00000000-0008-0000-0100-000010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7</xdr:col>
          <xdr:colOff>0</xdr:colOff>
          <xdr:row>1091</xdr:row>
          <xdr:rowOff>165100</xdr:rowOff>
        </xdr:to>
        <xdr:sp macro="" textlink="">
          <xdr:nvSpPr>
            <xdr:cNvPr id="14095" name="Button 2831" hidden="1">
              <a:extLst>
                <a:ext uri="{63B3BB69-23CF-44E3-9099-C40C66FF867C}">
                  <a14:compatExt spid="_x0000_s14095"/>
                </a:ext>
                <a:ext uri="{FF2B5EF4-FFF2-40B4-BE49-F238E27FC236}">
                  <a16:creationId xmlns:a16="http://schemas.microsoft.com/office/drawing/2014/main" id="{00000000-0008-0000-0100-00000F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7</xdr:col>
          <xdr:colOff>0</xdr:colOff>
          <xdr:row>1092</xdr:row>
          <xdr:rowOff>165100</xdr:rowOff>
        </xdr:to>
        <xdr:sp macro="" textlink="">
          <xdr:nvSpPr>
            <xdr:cNvPr id="14094" name="Button 2830" hidden="1">
              <a:extLst>
                <a:ext uri="{63B3BB69-23CF-44E3-9099-C40C66FF867C}">
                  <a14:compatExt spid="_x0000_s14094"/>
                </a:ext>
                <a:ext uri="{FF2B5EF4-FFF2-40B4-BE49-F238E27FC236}">
                  <a16:creationId xmlns:a16="http://schemas.microsoft.com/office/drawing/2014/main" id="{00000000-0008-0000-0100-00000E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1093</xdr:row>
          <xdr:rowOff>0</xdr:rowOff>
        </xdr:from>
        <xdr:to>
          <xdr:col>7</xdr:col>
          <xdr:colOff>0</xdr:colOff>
          <xdr:row>1093</xdr:row>
          <xdr:rowOff>165100</xdr:rowOff>
        </xdr:to>
        <xdr:sp macro="" textlink="">
          <xdr:nvSpPr>
            <xdr:cNvPr id="14093" name="Button 2829" hidden="1">
              <a:extLst>
                <a:ext uri="{63B3BB69-23CF-44E3-9099-C40C66FF867C}">
                  <a14:compatExt spid="_x0000_s14093"/>
                </a:ext>
                <a:ext uri="{FF2B5EF4-FFF2-40B4-BE49-F238E27FC236}">
                  <a16:creationId xmlns:a16="http://schemas.microsoft.com/office/drawing/2014/main" id="{00000000-0008-0000-0100-00000D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7</xdr:col>
          <xdr:colOff>0</xdr:colOff>
          <xdr:row>1094</xdr:row>
          <xdr:rowOff>165100</xdr:rowOff>
        </xdr:to>
        <xdr:sp macro="" textlink="">
          <xdr:nvSpPr>
            <xdr:cNvPr id="14092" name="Button 2828" hidden="1">
              <a:extLst>
                <a:ext uri="{63B3BB69-23CF-44E3-9099-C40C66FF867C}">
                  <a14:compatExt spid="_x0000_s14092"/>
                </a:ext>
                <a:ext uri="{FF2B5EF4-FFF2-40B4-BE49-F238E27FC236}">
                  <a16:creationId xmlns:a16="http://schemas.microsoft.com/office/drawing/2014/main" id="{00000000-0008-0000-0100-00000C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7</xdr:col>
          <xdr:colOff>0</xdr:colOff>
          <xdr:row>1095</xdr:row>
          <xdr:rowOff>165100</xdr:rowOff>
        </xdr:to>
        <xdr:sp macro="" textlink="">
          <xdr:nvSpPr>
            <xdr:cNvPr id="14091" name="Button 2827" hidden="1">
              <a:extLst>
                <a:ext uri="{63B3BB69-23CF-44E3-9099-C40C66FF867C}">
                  <a14:compatExt spid="_x0000_s14091"/>
                </a:ext>
                <a:ext uri="{FF2B5EF4-FFF2-40B4-BE49-F238E27FC236}">
                  <a16:creationId xmlns:a16="http://schemas.microsoft.com/office/drawing/2014/main" id="{00000000-0008-0000-0100-00000B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7</xdr:col>
          <xdr:colOff>0</xdr:colOff>
          <xdr:row>1096</xdr:row>
          <xdr:rowOff>165100</xdr:rowOff>
        </xdr:to>
        <xdr:sp macro="" textlink="">
          <xdr:nvSpPr>
            <xdr:cNvPr id="14090" name="Button 2826" hidden="1">
              <a:extLst>
                <a:ext uri="{63B3BB69-23CF-44E3-9099-C40C66FF867C}">
                  <a14:compatExt spid="_x0000_s14090"/>
                </a:ext>
                <a:ext uri="{FF2B5EF4-FFF2-40B4-BE49-F238E27FC236}">
                  <a16:creationId xmlns:a16="http://schemas.microsoft.com/office/drawing/2014/main" id="{00000000-0008-0000-0100-00000A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7</xdr:col>
          <xdr:colOff>0</xdr:colOff>
          <xdr:row>1097</xdr:row>
          <xdr:rowOff>165100</xdr:rowOff>
        </xdr:to>
        <xdr:sp macro="" textlink="">
          <xdr:nvSpPr>
            <xdr:cNvPr id="14089" name="Button 2825" hidden="1">
              <a:extLst>
                <a:ext uri="{63B3BB69-23CF-44E3-9099-C40C66FF867C}">
                  <a14:compatExt spid="_x0000_s14089"/>
                </a:ext>
                <a:ext uri="{FF2B5EF4-FFF2-40B4-BE49-F238E27FC236}">
                  <a16:creationId xmlns:a16="http://schemas.microsoft.com/office/drawing/2014/main" id="{00000000-0008-0000-0100-000009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1098</xdr:row>
          <xdr:rowOff>0</xdr:rowOff>
        </xdr:from>
        <xdr:to>
          <xdr:col>7</xdr:col>
          <xdr:colOff>0</xdr:colOff>
          <xdr:row>1098</xdr:row>
          <xdr:rowOff>165100</xdr:rowOff>
        </xdr:to>
        <xdr:sp macro="" textlink="">
          <xdr:nvSpPr>
            <xdr:cNvPr id="14088" name="Button 2824" hidden="1">
              <a:extLst>
                <a:ext uri="{63B3BB69-23CF-44E3-9099-C40C66FF867C}">
                  <a14:compatExt spid="_x0000_s14088"/>
                </a:ext>
                <a:ext uri="{FF2B5EF4-FFF2-40B4-BE49-F238E27FC236}">
                  <a16:creationId xmlns:a16="http://schemas.microsoft.com/office/drawing/2014/main" id="{00000000-0008-0000-0100-000008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1099</xdr:row>
          <xdr:rowOff>0</xdr:rowOff>
        </xdr:from>
        <xdr:to>
          <xdr:col>7</xdr:col>
          <xdr:colOff>0</xdr:colOff>
          <xdr:row>1099</xdr:row>
          <xdr:rowOff>165100</xdr:rowOff>
        </xdr:to>
        <xdr:sp macro="" textlink="">
          <xdr:nvSpPr>
            <xdr:cNvPr id="14087" name="Button 2823" hidden="1">
              <a:extLst>
                <a:ext uri="{63B3BB69-23CF-44E3-9099-C40C66FF867C}">
                  <a14:compatExt spid="_x0000_s14087"/>
                </a:ext>
                <a:ext uri="{FF2B5EF4-FFF2-40B4-BE49-F238E27FC236}">
                  <a16:creationId xmlns:a16="http://schemas.microsoft.com/office/drawing/2014/main" id="{00000000-0008-0000-0100-000007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7</xdr:col>
          <xdr:colOff>0</xdr:colOff>
          <xdr:row>1100</xdr:row>
          <xdr:rowOff>165100</xdr:rowOff>
        </xdr:to>
        <xdr:sp macro="" textlink="">
          <xdr:nvSpPr>
            <xdr:cNvPr id="14086" name="Button 2822" hidden="1">
              <a:extLst>
                <a:ext uri="{63B3BB69-23CF-44E3-9099-C40C66FF867C}">
                  <a14:compatExt spid="_x0000_s14086"/>
                </a:ext>
                <a:ext uri="{FF2B5EF4-FFF2-40B4-BE49-F238E27FC236}">
                  <a16:creationId xmlns:a16="http://schemas.microsoft.com/office/drawing/2014/main" id="{00000000-0008-0000-0100-000006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7</xdr:col>
          <xdr:colOff>0</xdr:colOff>
          <xdr:row>1101</xdr:row>
          <xdr:rowOff>165100</xdr:rowOff>
        </xdr:to>
        <xdr:sp macro="" textlink="">
          <xdr:nvSpPr>
            <xdr:cNvPr id="14085" name="Button 2821" hidden="1">
              <a:extLst>
                <a:ext uri="{63B3BB69-23CF-44E3-9099-C40C66FF867C}">
                  <a14:compatExt spid="_x0000_s14085"/>
                </a:ext>
                <a:ext uri="{FF2B5EF4-FFF2-40B4-BE49-F238E27FC236}">
                  <a16:creationId xmlns:a16="http://schemas.microsoft.com/office/drawing/2014/main" id="{00000000-0008-0000-0100-000005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1102</xdr:row>
          <xdr:rowOff>0</xdr:rowOff>
        </xdr:from>
        <xdr:to>
          <xdr:col>7</xdr:col>
          <xdr:colOff>0</xdr:colOff>
          <xdr:row>1102</xdr:row>
          <xdr:rowOff>165100</xdr:rowOff>
        </xdr:to>
        <xdr:sp macro="" textlink="">
          <xdr:nvSpPr>
            <xdr:cNvPr id="14084" name="Button 2820" hidden="1">
              <a:extLst>
                <a:ext uri="{63B3BB69-23CF-44E3-9099-C40C66FF867C}">
                  <a14:compatExt spid="_x0000_s14084"/>
                </a:ext>
                <a:ext uri="{FF2B5EF4-FFF2-40B4-BE49-F238E27FC236}">
                  <a16:creationId xmlns:a16="http://schemas.microsoft.com/office/drawing/2014/main" id="{00000000-0008-0000-0100-000004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1103</xdr:row>
          <xdr:rowOff>0</xdr:rowOff>
        </xdr:from>
        <xdr:to>
          <xdr:col>7</xdr:col>
          <xdr:colOff>0</xdr:colOff>
          <xdr:row>1103</xdr:row>
          <xdr:rowOff>165100</xdr:rowOff>
        </xdr:to>
        <xdr:sp macro="" textlink="">
          <xdr:nvSpPr>
            <xdr:cNvPr id="14083" name="Button 2819" hidden="1">
              <a:extLst>
                <a:ext uri="{63B3BB69-23CF-44E3-9099-C40C66FF867C}">
                  <a14:compatExt spid="_x0000_s14083"/>
                </a:ext>
                <a:ext uri="{FF2B5EF4-FFF2-40B4-BE49-F238E27FC236}">
                  <a16:creationId xmlns:a16="http://schemas.microsoft.com/office/drawing/2014/main" id="{00000000-0008-0000-0100-000003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7</xdr:col>
          <xdr:colOff>0</xdr:colOff>
          <xdr:row>1104</xdr:row>
          <xdr:rowOff>165100</xdr:rowOff>
        </xdr:to>
        <xdr:sp macro="" textlink="">
          <xdr:nvSpPr>
            <xdr:cNvPr id="14082" name="Button 2818" hidden="1">
              <a:extLst>
                <a:ext uri="{63B3BB69-23CF-44E3-9099-C40C66FF867C}">
                  <a14:compatExt spid="_x0000_s14082"/>
                </a:ext>
                <a:ext uri="{FF2B5EF4-FFF2-40B4-BE49-F238E27FC236}">
                  <a16:creationId xmlns:a16="http://schemas.microsoft.com/office/drawing/2014/main" id="{00000000-0008-0000-0100-000002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7</xdr:col>
          <xdr:colOff>0</xdr:colOff>
          <xdr:row>1105</xdr:row>
          <xdr:rowOff>165100</xdr:rowOff>
        </xdr:to>
        <xdr:sp macro="" textlink="">
          <xdr:nvSpPr>
            <xdr:cNvPr id="14081" name="Button 2817" hidden="1">
              <a:extLst>
                <a:ext uri="{63B3BB69-23CF-44E3-9099-C40C66FF867C}">
                  <a14:compatExt spid="_x0000_s14081"/>
                </a:ext>
                <a:ext uri="{FF2B5EF4-FFF2-40B4-BE49-F238E27FC236}">
                  <a16:creationId xmlns:a16="http://schemas.microsoft.com/office/drawing/2014/main" id="{00000000-0008-0000-0100-000001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7</xdr:col>
          <xdr:colOff>0</xdr:colOff>
          <xdr:row>1106</xdr:row>
          <xdr:rowOff>165100</xdr:rowOff>
        </xdr:to>
        <xdr:sp macro="" textlink="">
          <xdr:nvSpPr>
            <xdr:cNvPr id="14080" name="Button 2816" hidden="1">
              <a:extLst>
                <a:ext uri="{63B3BB69-23CF-44E3-9099-C40C66FF867C}">
                  <a14:compatExt spid="_x0000_s14080"/>
                </a:ext>
                <a:ext uri="{FF2B5EF4-FFF2-40B4-BE49-F238E27FC236}">
                  <a16:creationId xmlns:a16="http://schemas.microsoft.com/office/drawing/2014/main" id="{00000000-0008-0000-0100-0000003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7</xdr:col>
          <xdr:colOff>0</xdr:colOff>
          <xdr:row>1107</xdr:row>
          <xdr:rowOff>165100</xdr:rowOff>
        </xdr:to>
        <xdr:sp macro="" textlink="">
          <xdr:nvSpPr>
            <xdr:cNvPr id="14079" name="Button 2815" hidden="1">
              <a:extLst>
                <a:ext uri="{63B3BB69-23CF-44E3-9099-C40C66FF867C}">
                  <a14:compatExt spid="_x0000_s14079"/>
                </a:ext>
                <a:ext uri="{FF2B5EF4-FFF2-40B4-BE49-F238E27FC236}">
                  <a16:creationId xmlns:a16="http://schemas.microsoft.com/office/drawing/2014/main" id="{00000000-0008-0000-0100-0000FF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7</xdr:col>
          <xdr:colOff>0</xdr:colOff>
          <xdr:row>1111</xdr:row>
          <xdr:rowOff>0</xdr:rowOff>
        </xdr:to>
        <xdr:sp macro="" textlink="">
          <xdr:nvSpPr>
            <xdr:cNvPr id="14078" name="Button 2814" hidden="1">
              <a:extLst>
                <a:ext uri="{63B3BB69-23CF-44E3-9099-C40C66FF867C}">
                  <a14:compatExt spid="_x0000_s14078"/>
                </a:ext>
                <a:ext uri="{FF2B5EF4-FFF2-40B4-BE49-F238E27FC236}">
                  <a16:creationId xmlns:a16="http://schemas.microsoft.com/office/drawing/2014/main" id="{00000000-0008-0000-0100-0000FE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1117</xdr:row>
          <xdr:rowOff>0</xdr:rowOff>
        </xdr:from>
        <xdr:to>
          <xdr:col>7</xdr:col>
          <xdr:colOff>0</xdr:colOff>
          <xdr:row>1117</xdr:row>
          <xdr:rowOff>171450</xdr:rowOff>
        </xdr:to>
        <xdr:sp macro="" textlink="">
          <xdr:nvSpPr>
            <xdr:cNvPr id="14077" name="Button 2813" hidden="1">
              <a:extLst>
                <a:ext uri="{63B3BB69-23CF-44E3-9099-C40C66FF867C}">
                  <a14:compatExt spid="_x0000_s14077"/>
                </a:ext>
                <a:ext uri="{FF2B5EF4-FFF2-40B4-BE49-F238E27FC236}">
                  <a16:creationId xmlns:a16="http://schemas.microsoft.com/office/drawing/2014/main" id="{00000000-0008-0000-0100-0000FD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7</xdr:col>
          <xdr:colOff>0</xdr:colOff>
          <xdr:row>1118</xdr:row>
          <xdr:rowOff>165100</xdr:rowOff>
        </xdr:to>
        <xdr:sp macro="" textlink="">
          <xdr:nvSpPr>
            <xdr:cNvPr id="14076" name="Button 2812" hidden="1">
              <a:extLst>
                <a:ext uri="{63B3BB69-23CF-44E3-9099-C40C66FF867C}">
                  <a14:compatExt spid="_x0000_s14076"/>
                </a:ext>
                <a:ext uri="{FF2B5EF4-FFF2-40B4-BE49-F238E27FC236}">
                  <a16:creationId xmlns:a16="http://schemas.microsoft.com/office/drawing/2014/main" id="{00000000-0008-0000-0100-0000FC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7</xdr:col>
          <xdr:colOff>0</xdr:colOff>
          <xdr:row>1119</xdr:row>
          <xdr:rowOff>165100</xdr:rowOff>
        </xdr:to>
        <xdr:sp macro="" textlink="">
          <xdr:nvSpPr>
            <xdr:cNvPr id="14075" name="Button 2811" hidden="1">
              <a:extLst>
                <a:ext uri="{63B3BB69-23CF-44E3-9099-C40C66FF867C}">
                  <a14:compatExt spid="_x0000_s14075"/>
                </a:ext>
                <a:ext uri="{FF2B5EF4-FFF2-40B4-BE49-F238E27FC236}">
                  <a16:creationId xmlns:a16="http://schemas.microsoft.com/office/drawing/2014/main" id="{00000000-0008-0000-0100-0000FB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1120</xdr:row>
          <xdr:rowOff>0</xdr:rowOff>
        </xdr:from>
        <xdr:to>
          <xdr:col>7</xdr:col>
          <xdr:colOff>0</xdr:colOff>
          <xdr:row>1120</xdr:row>
          <xdr:rowOff>165100</xdr:rowOff>
        </xdr:to>
        <xdr:sp macro="" textlink="">
          <xdr:nvSpPr>
            <xdr:cNvPr id="14074" name="Button 2810" hidden="1">
              <a:extLst>
                <a:ext uri="{63B3BB69-23CF-44E3-9099-C40C66FF867C}">
                  <a14:compatExt spid="_x0000_s14074"/>
                </a:ext>
                <a:ext uri="{FF2B5EF4-FFF2-40B4-BE49-F238E27FC236}">
                  <a16:creationId xmlns:a16="http://schemas.microsoft.com/office/drawing/2014/main" id="{00000000-0008-0000-0100-0000FA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1121</xdr:row>
          <xdr:rowOff>0</xdr:rowOff>
        </xdr:from>
        <xdr:to>
          <xdr:col>7</xdr:col>
          <xdr:colOff>0</xdr:colOff>
          <xdr:row>1121</xdr:row>
          <xdr:rowOff>165100</xdr:rowOff>
        </xdr:to>
        <xdr:sp macro="" textlink="">
          <xdr:nvSpPr>
            <xdr:cNvPr id="14073" name="Button 2809" hidden="1">
              <a:extLst>
                <a:ext uri="{63B3BB69-23CF-44E3-9099-C40C66FF867C}">
                  <a14:compatExt spid="_x0000_s14073"/>
                </a:ext>
                <a:ext uri="{FF2B5EF4-FFF2-40B4-BE49-F238E27FC236}">
                  <a16:creationId xmlns:a16="http://schemas.microsoft.com/office/drawing/2014/main" id="{00000000-0008-0000-0100-0000F9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1122</xdr:row>
          <xdr:rowOff>0</xdr:rowOff>
        </xdr:from>
        <xdr:to>
          <xdr:col>7</xdr:col>
          <xdr:colOff>0</xdr:colOff>
          <xdr:row>1122</xdr:row>
          <xdr:rowOff>165100</xdr:rowOff>
        </xdr:to>
        <xdr:sp macro="" textlink="">
          <xdr:nvSpPr>
            <xdr:cNvPr id="14072" name="Button 2808" hidden="1">
              <a:extLst>
                <a:ext uri="{63B3BB69-23CF-44E3-9099-C40C66FF867C}">
                  <a14:compatExt spid="_x0000_s14072"/>
                </a:ext>
                <a:ext uri="{FF2B5EF4-FFF2-40B4-BE49-F238E27FC236}">
                  <a16:creationId xmlns:a16="http://schemas.microsoft.com/office/drawing/2014/main" id="{00000000-0008-0000-0100-0000F8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1123</xdr:row>
          <xdr:rowOff>0</xdr:rowOff>
        </xdr:from>
        <xdr:to>
          <xdr:col>7</xdr:col>
          <xdr:colOff>0</xdr:colOff>
          <xdr:row>1123</xdr:row>
          <xdr:rowOff>165100</xdr:rowOff>
        </xdr:to>
        <xdr:sp macro="" textlink="">
          <xdr:nvSpPr>
            <xdr:cNvPr id="14071" name="Button 2807" hidden="1">
              <a:extLst>
                <a:ext uri="{63B3BB69-23CF-44E3-9099-C40C66FF867C}">
                  <a14:compatExt spid="_x0000_s14071"/>
                </a:ext>
                <a:ext uri="{FF2B5EF4-FFF2-40B4-BE49-F238E27FC236}">
                  <a16:creationId xmlns:a16="http://schemas.microsoft.com/office/drawing/2014/main" id="{00000000-0008-0000-0100-0000F7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1124</xdr:row>
          <xdr:rowOff>0</xdr:rowOff>
        </xdr:from>
        <xdr:to>
          <xdr:col>7</xdr:col>
          <xdr:colOff>0</xdr:colOff>
          <xdr:row>1124</xdr:row>
          <xdr:rowOff>165100</xdr:rowOff>
        </xdr:to>
        <xdr:sp macro="" textlink="">
          <xdr:nvSpPr>
            <xdr:cNvPr id="14070" name="Button 2806" hidden="1">
              <a:extLst>
                <a:ext uri="{63B3BB69-23CF-44E3-9099-C40C66FF867C}">
                  <a14:compatExt spid="_x0000_s14070"/>
                </a:ext>
                <a:ext uri="{FF2B5EF4-FFF2-40B4-BE49-F238E27FC236}">
                  <a16:creationId xmlns:a16="http://schemas.microsoft.com/office/drawing/2014/main" id="{00000000-0008-0000-0100-0000F6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7</xdr:col>
          <xdr:colOff>0</xdr:colOff>
          <xdr:row>1125</xdr:row>
          <xdr:rowOff>165100</xdr:rowOff>
        </xdr:to>
        <xdr:sp macro="" textlink="">
          <xdr:nvSpPr>
            <xdr:cNvPr id="14069" name="Button 2805" hidden="1">
              <a:extLst>
                <a:ext uri="{63B3BB69-23CF-44E3-9099-C40C66FF867C}">
                  <a14:compatExt spid="_x0000_s14069"/>
                </a:ext>
                <a:ext uri="{FF2B5EF4-FFF2-40B4-BE49-F238E27FC236}">
                  <a16:creationId xmlns:a16="http://schemas.microsoft.com/office/drawing/2014/main" id="{00000000-0008-0000-0100-0000F5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7</xdr:col>
          <xdr:colOff>0</xdr:colOff>
          <xdr:row>1126</xdr:row>
          <xdr:rowOff>165100</xdr:rowOff>
        </xdr:to>
        <xdr:sp macro="" textlink="">
          <xdr:nvSpPr>
            <xdr:cNvPr id="14068" name="Button 2804" hidden="1">
              <a:extLst>
                <a:ext uri="{63B3BB69-23CF-44E3-9099-C40C66FF867C}">
                  <a14:compatExt spid="_x0000_s14068"/>
                </a:ext>
                <a:ext uri="{FF2B5EF4-FFF2-40B4-BE49-F238E27FC236}">
                  <a16:creationId xmlns:a16="http://schemas.microsoft.com/office/drawing/2014/main" id="{00000000-0008-0000-0100-0000F4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7</xdr:col>
          <xdr:colOff>0</xdr:colOff>
          <xdr:row>1127</xdr:row>
          <xdr:rowOff>165100</xdr:rowOff>
        </xdr:to>
        <xdr:sp macro="" textlink="">
          <xdr:nvSpPr>
            <xdr:cNvPr id="14067" name="Button 2803" hidden="1">
              <a:extLst>
                <a:ext uri="{63B3BB69-23CF-44E3-9099-C40C66FF867C}">
                  <a14:compatExt spid="_x0000_s14067"/>
                </a:ext>
                <a:ext uri="{FF2B5EF4-FFF2-40B4-BE49-F238E27FC236}">
                  <a16:creationId xmlns:a16="http://schemas.microsoft.com/office/drawing/2014/main" id="{00000000-0008-0000-0100-0000F3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7</xdr:col>
          <xdr:colOff>0</xdr:colOff>
          <xdr:row>1128</xdr:row>
          <xdr:rowOff>165100</xdr:rowOff>
        </xdr:to>
        <xdr:sp macro="" textlink="">
          <xdr:nvSpPr>
            <xdr:cNvPr id="14066" name="Button 2802" hidden="1">
              <a:extLst>
                <a:ext uri="{63B3BB69-23CF-44E3-9099-C40C66FF867C}">
                  <a14:compatExt spid="_x0000_s14066"/>
                </a:ext>
                <a:ext uri="{FF2B5EF4-FFF2-40B4-BE49-F238E27FC236}">
                  <a16:creationId xmlns:a16="http://schemas.microsoft.com/office/drawing/2014/main" id="{00000000-0008-0000-0100-0000F2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7</xdr:col>
          <xdr:colOff>0</xdr:colOff>
          <xdr:row>1129</xdr:row>
          <xdr:rowOff>165100</xdr:rowOff>
        </xdr:to>
        <xdr:sp macro="" textlink="">
          <xdr:nvSpPr>
            <xdr:cNvPr id="14065" name="Button 2801" hidden="1">
              <a:extLst>
                <a:ext uri="{63B3BB69-23CF-44E3-9099-C40C66FF867C}">
                  <a14:compatExt spid="_x0000_s14065"/>
                </a:ext>
                <a:ext uri="{FF2B5EF4-FFF2-40B4-BE49-F238E27FC236}">
                  <a16:creationId xmlns:a16="http://schemas.microsoft.com/office/drawing/2014/main" id="{00000000-0008-0000-0100-0000F1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7</xdr:col>
          <xdr:colOff>0</xdr:colOff>
          <xdr:row>1130</xdr:row>
          <xdr:rowOff>165100</xdr:rowOff>
        </xdr:to>
        <xdr:sp macro="" textlink="">
          <xdr:nvSpPr>
            <xdr:cNvPr id="14064" name="Button 2800" hidden="1">
              <a:extLst>
                <a:ext uri="{63B3BB69-23CF-44E3-9099-C40C66FF867C}">
                  <a14:compatExt spid="_x0000_s14064"/>
                </a:ext>
                <a:ext uri="{FF2B5EF4-FFF2-40B4-BE49-F238E27FC236}">
                  <a16:creationId xmlns:a16="http://schemas.microsoft.com/office/drawing/2014/main" id="{00000000-0008-0000-0100-0000F0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7</xdr:col>
          <xdr:colOff>0</xdr:colOff>
          <xdr:row>1131</xdr:row>
          <xdr:rowOff>165100</xdr:rowOff>
        </xdr:to>
        <xdr:sp macro="" textlink="">
          <xdr:nvSpPr>
            <xdr:cNvPr id="14063" name="Button 2799" hidden="1">
              <a:extLst>
                <a:ext uri="{63B3BB69-23CF-44E3-9099-C40C66FF867C}">
                  <a14:compatExt spid="_x0000_s14063"/>
                </a:ext>
                <a:ext uri="{FF2B5EF4-FFF2-40B4-BE49-F238E27FC236}">
                  <a16:creationId xmlns:a16="http://schemas.microsoft.com/office/drawing/2014/main" id="{00000000-0008-0000-0100-0000EF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1132</xdr:row>
          <xdr:rowOff>0</xdr:rowOff>
        </xdr:from>
        <xdr:to>
          <xdr:col>7</xdr:col>
          <xdr:colOff>0</xdr:colOff>
          <xdr:row>1132</xdr:row>
          <xdr:rowOff>165100</xdr:rowOff>
        </xdr:to>
        <xdr:sp macro="" textlink="">
          <xdr:nvSpPr>
            <xdr:cNvPr id="14062" name="Button 2798" hidden="1">
              <a:extLst>
                <a:ext uri="{63B3BB69-23CF-44E3-9099-C40C66FF867C}">
                  <a14:compatExt spid="_x0000_s14062"/>
                </a:ext>
                <a:ext uri="{FF2B5EF4-FFF2-40B4-BE49-F238E27FC236}">
                  <a16:creationId xmlns:a16="http://schemas.microsoft.com/office/drawing/2014/main" id="{00000000-0008-0000-0100-0000EE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1133</xdr:row>
          <xdr:rowOff>0</xdr:rowOff>
        </xdr:from>
        <xdr:to>
          <xdr:col>7</xdr:col>
          <xdr:colOff>0</xdr:colOff>
          <xdr:row>1133</xdr:row>
          <xdr:rowOff>165100</xdr:rowOff>
        </xdr:to>
        <xdr:sp macro="" textlink="">
          <xdr:nvSpPr>
            <xdr:cNvPr id="14061" name="Button 2797" hidden="1">
              <a:extLst>
                <a:ext uri="{63B3BB69-23CF-44E3-9099-C40C66FF867C}">
                  <a14:compatExt spid="_x0000_s14061"/>
                </a:ext>
                <a:ext uri="{FF2B5EF4-FFF2-40B4-BE49-F238E27FC236}">
                  <a16:creationId xmlns:a16="http://schemas.microsoft.com/office/drawing/2014/main" id="{00000000-0008-0000-0100-0000ED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7</xdr:col>
          <xdr:colOff>0</xdr:colOff>
          <xdr:row>1134</xdr:row>
          <xdr:rowOff>165100</xdr:rowOff>
        </xdr:to>
        <xdr:sp macro="" textlink="">
          <xdr:nvSpPr>
            <xdr:cNvPr id="14060" name="Button 2796" hidden="1">
              <a:extLst>
                <a:ext uri="{63B3BB69-23CF-44E3-9099-C40C66FF867C}">
                  <a14:compatExt spid="_x0000_s14060"/>
                </a:ext>
                <a:ext uri="{FF2B5EF4-FFF2-40B4-BE49-F238E27FC236}">
                  <a16:creationId xmlns:a16="http://schemas.microsoft.com/office/drawing/2014/main" id="{00000000-0008-0000-0100-0000EC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1135</xdr:row>
          <xdr:rowOff>0</xdr:rowOff>
        </xdr:from>
        <xdr:to>
          <xdr:col>7</xdr:col>
          <xdr:colOff>0</xdr:colOff>
          <xdr:row>1135</xdr:row>
          <xdr:rowOff>165100</xdr:rowOff>
        </xdr:to>
        <xdr:sp macro="" textlink="">
          <xdr:nvSpPr>
            <xdr:cNvPr id="14059" name="Button 2795" hidden="1">
              <a:extLst>
                <a:ext uri="{63B3BB69-23CF-44E3-9099-C40C66FF867C}">
                  <a14:compatExt spid="_x0000_s14059"/>
                </a:ext>
                <a:ext uri="{FF2B5EF4-FFF2-40B4-BE49-F238E27FC236}">
                  <a16:creationId xmlns:a16="http://schemas.microsoft.com/office/drawing/2014/main" id="{00000000-0008-0000-0100-0000EB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7</xdr:col>
          <xdr:colOff>0</xdr:colOff>
          <xdr:row>1136</xdr:row>
          <xdr:rowOff>165100</xdr:rowOff>
        </xdr:to>
        <xdr:sp macro="" textlink="">
          <xdr:nvSpPr>
            <xdr:cNvPr id="14058" name="Button 2794" hidden="1">
              <a:extLst>
                <a:ext uri="{63B3BB69-23CF-44E3-9099-C40C66FF867C}">
                  <a14:compatExt spid="_x0000_s14058"/>
                </a:ext>
                <a:ext uri="{FF2B5EF4-FFF2-40B4-BE49-F238E27FC236}">
                  <a16:creationId xmlns:a16="http://schemas.microsoft.com/office/drawing/2014/main" id="{00000000-0008-0000-0100-0000EA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1137</xdr:row>
          <xdr:rowOff>0</xdr:rowOff>
        </xdr:from>
        <xdr:to>
          <xdr:col>7</xdr:col>
          <xdr:colOff>0</xdr:colOff>
          <xdr:row>1137</xdr:row>
          <xdr:rowOff>165100</xdr:rowOff>
        </xdr:to>
        <xdr:sp macro="" textlink="">
          <xdr:nvSpPr>
            <xdr:cNvPr id="14057" name="Button 2793" hidden="1">
              <a:extLst>
                <a:ext uri="{63B3BB69-23CF-44E3-9099-C40C66FF867C}">
                  <a14:compatExt spid="_x0000_s14057"/>
                </a:ext>
                <a:ext uri="{FF2B5EF4-FFF2-40B4-BE49-F238E27FC236}">
                  <a16:creationId xmlns:a16="http://schemas.microsoft.com/office/drawing/2014/main" id="{00000000-0008-0000-0100-0000E9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1138</xdr:row>
          <xdr:rowOff>0</xdr:rowOff>
        </xdr:from>
        <xdr:to>
          <xdr:col>7</xdr:col>
          <xdr:colOff>0</xdr:colOff>
          <xdr:row>1138</xdr:row>
          <xdr:rowOff>165100</xdr:rowOff>
        </xdr:to>
        <xdr:sp macro="" textlink="">
          <xdr:nvSpPr>
            <xdr:cNvPr id="14056" name="Button 2792" hidden="1">
              <a:extLst>
                <a:ext uri="{63B3BB69-23CF-44E3-9099-C40C66FF867C}">
                  <a14:compatExt spid="_x0000_s14056"/>
                </a:ext>
                <a:ext uri="{FF2B5EF4-FFF2-40B4-BE49-F238E27FC236}">
                  <a16:creationId xmlns:a16="http://schemas.microsoft.com/office/drawing/2014/main" id="{00000000-0008-0000-0100-0000E8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1139</xdr:row>
          <xdr:rowOff>0</xdr:rowOff>
        </xdr:from>
        <xdr:to>
          <xdr:col>7</xdr:col>
          <xdr:colOff>0</xdr:colOff>
          <xdr:row>1139</xdr:row>
          <xdr:rowOff>165100</xdr:rowOff>
        </xdr:to>
        <xdr:sp macro="" textlink="">
          <xdr:nvSpPr>
            <xdr:cNvPr id="14055" name="Button 2791" hidden="1">
              <a:extLst>
                <a:ext uri="{63B3BB69-23CF-44E3-9099-C40C66FF867C}">
                  <a14:compatExt spid="_x0000_s14055"/>
                </a:ext>
                <a:ext uri="{FF2B5EF4-FFF2-40B4-BE49-F238E27FC236}">
                  <a16:creationId xmlns:a16="http://schemas.microsoft.com/office/drawing/2014/main" id="{00000000-0008-0000-0100-0000E7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1140</xdr:row>
          <xdr:rowOff>0</xdr:rowOff>
        </xdr:from>
        <xdr:to>
          <xdr:col>7</xdr:col>
          <xdr:colOff>0</xdr:colOff>
          <xdr:row>1140</xdr:row>
          <xdr:rowOff>165100</xdr:rowOff>
        </xdr:to>
        <xdr:sp macro="" textlink="">
          <xdr:nvSpPr>
            <xdr:cNvPr id="14054" name="Button 2790" hidden="1">
              <a:extLst>
                <a:ext uri="{63B3BB69-23CF-44E3-9099-C40C66FF867C}">
                  <a14:compatExt spid="_x0000_s14054"/>
                </a:ext>
                <a:ext uri="{FF2B5EF4-FFF2-40B4-BE49-F238E27FC236}">
                  <a16:creationId xmlns:a16="http://schemas.microsoft.com/office/drawing/2014/main" id="{00000000-0008-0000-0100-0000E6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1143</xdr:row>
          <xdr:rowOff>0</xdr:rowOff>
        </xdr:from>
        <xdr:to>
          <xdr:col>7</xdr:col>
          <xdr:colOff>0</xdr:colOff>
          <xdr:row>1144</xdr:row>
          <xdr:rowOff>0</xdr:rowOff>
        </xdr:to>
        <xdr:sp macro="" textlink="">
          <xdr:nvSpPr>
            <xdr:cNvPr id="14053" name="Button 2789" hidden="1">
              <a:extLst>
                <a:ext uri="{63B3BB69-23CF-44E3-9099-C40C66FF867C}">
                  <a14:compatExt spid="_x0000_s14053"/>
                </a:ext>
                <a:ext uri="{FF2B5EF4-FFF2-40B4-BE49-F238E27FC236}">
                  <a16:creationId xmlns:a16="http://schemas.microsoft.com/office/drawing/2014/main" id="{00000000-0008-0000-0100-0000E5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1150</xdr:row>
          <xdr:rowOff>0</xdr:rowOff>
        </xdr:from>
        <xdr:to>
          <xdr:col>7</xdr:col>
          <xdr:colOff>0</xdr:colOff>
          <xdr:row>1150</xdr:row>
          <xdr:rowOff>171450</xdr:rowOff>
        </xdr:to>
        <xdr:sp macro="" textlink="">
          <xdr:nvSpPr>
            <xdr:cNvPr id="14052" name="Button 2788" hidden="1">
              <a:extLst>
                <a:ext uri="{63B3BB69-23CF-44E3-9099-C40C66FF867C}">
                  <a14:compatExt spid="_x0000_s14052"/>
                </a:ext>
                <a:ext uri="{FF2B5EF4-FFF2-40B4-BE49-F238E27FC236}">
                  <a16:creationId xmlns:a16="http://schemas.microsoft.com/office/drawing/2014/main" id="{00000000-0008-0000-0100-0000E4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7</xdr:col>
          <xdr:colOff>0</xdr:colOff>
          <xdr:row>1151</xdr:row>
          <xdr:rowOff>165100</xdr:rowOff>
        </xdr:to>
        <xdr:sp macro="" textlink="">
          <xdr:nvSpPr>
            <xdr:cNvPr id="14051" name="Button 2787" hidden="1">
              <a:extLst>
                <a:ext uri="{63B3BB69-23CF-44E3-9099-C40C66FF867C}">
                  <a14:compatExt spid="_x0000_s14051"/>
                </a:ext>
                <a:ext uri="{FF2B5EF4-FFF2-40B4-BE49-F238E27FC236}">
                  <a16:creationId xmlns:a16="http://schemas.microsoft.com/office/drawing/2014/main" id="{00000000-0008-0000-0100-0000E3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7</xdr:col>
          <xdr:colOff>0</xdr:colOff>
          <xdr:row>1152</xdr:row>
          <xdr:rowOff>165100</xdr:rowOff>
        </xdr:to>
        <xdr:sp macro="" textlink="">
          <xdr:nvSpPr>
            <xdr:cNvPr id="14050" name="Button 2786" hidden="1">
              <a:extLst>
                <a:ext uri="{63B3BB69-23CF-44E3-9099-C40C66FF867C}">
                  <a14:compatExt spid="_x0000_s14050"/>
                </a:ext>
                <a:ext uri="{FF2B5EF4-FFF2-40B4-BE49-F238E27FC236}">
                  <a16:creationId xmlns:a16="http://schemas.microsoft.com/office/drawing/2014/main" id="{00000000-0008-0000-0100-0000E2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7</xdr:col>
          <xdr:colOff>0</xdr:colOff>
          <xdr:row>1153</xdr:row>
          <xdr:rowOff>165100</xdr:rowOff>
        </xdr:to>
        <xdr:sp macro="" textlink="">
          <xdr:nvSpPr>
            <xdr:cNvPr id="14049" name="Button 2785" hidden="1">
              <a:extLst>
                <a:ext uri="{63B3BB69-23CF-44E3-9099-C40C66FF867C}">
                  <a14:compatExt spid="_x0000_s14049"/>
                </a:ext>
                <a:ext uri="{FF2B5EF4-FFF2-40B4-BE49-F238E27FC236}">
                  <a16:creationId xmlns:a16="http://schemas.microsoft.com/office/drawing/2014/main" id="{00000000-0008-0000-0100-0000E1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7</xdr:col>
          <xdr:colOff>0</xdr:colOff>
          <xdr:row>1154</xdr:row>
          <xdr:rowOff>165100</xdr:rowOff>
        </xdr:to>
        <xdr:sp macro="" textlink="">
          <xdr:nvSpPr>
            <xdr:cNvPr id="14048" name="Button 2784" hidden="1">
              <a:extLst>
                <a:ext uri="{63B3BB69-23CF-44E3-9099-C40C66FF867C}">
                  <a14:compatExt spid="_x0000_s14048"/>
                </a:ext>
                <a:ext uri="{FF2B5EF4-FFF2-40B4-BE49-F238E27FC236}">
                  <a16:creationId xmlns:a16="http://schemas.microsoft.com/office/drawing/2014/main" id="{00000000-0008-0000-0100-0000E0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7</xdr:col>
          <xdr:colOff>0</xdr:colOff>
          <xdr:row>1155</xdr:row>
          <xdr:rowOff>165100</xdr:rowOff>
        </xdr:to>
        <xdr:sp macro="" textlink="">
          <xdr:nvSpPr>
            <xdr:cNvPr id="14047" name="Button 2783" hidden="1">
              <a:extLst>
                <a:ext uri="{63B3BB69-23CF-44E3-9099-C40C66FF867C}">
                  <a14:compatExt spid="_x0000_s14047"/>
                </a:ext>
                <a:ext uri="{FF2B5EF4-FFF2-40B4-BE49-F238E27FC236}">
                  <a16:creationId xmlns:a16="http://schemas.microsoft.com/office/drawing/2014/main" id="{00000000-0008-0000-0100-0000DF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7</xdr:col>
          <xdr:colOff>0</xdr:colOff>
          <xdr:row>1156</xdr:row>
          <xdr:rowOff>165100</xdr:rowOff>
        </xdr:to>
        <xdr:sp macro="" textlink="">
          <xdr:nvSpPr>
            <xdr:cNvPr id="14046" name="Button 2782" hidden="1">
              <a:extLst>
                <a:ext uri="{63B3BB69-23CF-44E3-9099-C40C66FF867C}">
                  <a14:compatExt spid="_x0000_s14046"/>
                </a:ext>
                <a:ext uri="{FF2B5EF4-FFF2-40B4-BE49-F238E27FC236}">
                  <a16:creationId xmlns:a16="http://schemas.microsoft.com/office/drawing/2014/main" id="{00000000-0008-0000-0100-0000DE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1157</xdr:row>
          <xdr:rowOff>0</xdr:rowOff>
        </xdr:from>
        <xdr:to>
          <xdr:col>7</xdr:col>
          <xdr:colOff>0</xdr:colOff>
          <xdr:row>1157</xdr:row>
          <xdr:rowOff>165100</xdr:rowOff>
        </xdr:to>
        <xdr:sp macro="" textlink="">
          <xdr:nvSpPr>
            <xdr:cNvPr id="14045" name="Button 2781" hidden="1">
              <a:extLst>
                <a:ext uri="{63B3BB69-23CF-44E3-9099-C40C66FF867C}">
                  <a14:compatExt spid="_x0000_s14045"/>
                </a:ext>
                <a:ext uri="{FF2B5EF4-FFF2-40B4-BE49-F238E27FC236}">
                  <a16:creationId xmlns:a16="http://schemas.microsoft.com/office/drawing/2014/main" id="{00000000-0008-0000-0100-0000DD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1158</xdr:row>
          <xdr:rowOff>0</xdr:rowOff>
        </xdr:from>
        <xdr:to>
          <xdr:col>7</xdr:col>
          <xdr:colOff>0</xdr:colOff>
          <xdr:row>1158</xdr:row>
          <xdr:rowOff>165100</xdr:rowOff>
        </xdr:to>
        <xdr:sp macro="" textlink="">
          <xdr:nvSpPr>
            <xdr:cNvPr id="14044" name="Button 2780" hidden="1">
              <a:extLst>
                <a:ext uri="{63B3BB69-23CF-44E3-9099-C40C66FF867C}">
                  <a14:compatExt spid="_x0000_s14044"/>
                </a:ext>
                <a:ext uri="{FF2B5EF4-FFF2-40B4-BE49-F238E27FC236}">
                  <a16:creationId xmlns:a16="http://schemas.microsoft.com/office/drawing/2014/main" id="{00000000-0008-0000-0100-0000DC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1159</xdr:row>
          <xdr:rowOff>0</xdr:rowOff>
        </xdr:from>
        <xdr:to>
          <xdr:col>7</xdr:col>
          <xdr:colOff>0</xdr:colOff>
          <xdr:row>1159</xdr:row>
          <xdr:rowOff>165100</xdr:rowOff>
        </xdr:to>
        <xdr:sp macro="" textlink="">
          <xdr:nvSpPr>
            <xdr:cNvPr id="14043" name="Button 2779" hidden="1">
              <a:extLst>
                <a:ext uri="{63B3BB69-23CF-44E3-9099-C40C66FF867C}">
                  <a14:compatExt spid="_x0000_s14043"/>
                </a:ext>
                <a:ext uri="{FF2B5EF4-FFF2-40B4-BE49-F238E27FC236}">
                  <a16:creationId xmlns:a16="http://schemas.microsoft.com/office/drawing/2014/main" id="{00000000-0008-0000-0100-0000DB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1160</xdr:row>
          <xdr:rowOff>0</xdr:rowOff>
        </xdr:from>
        <xdr:to>
          <xdr:col>7</xdr:col>
          <xdr:colOff>0</xdr:colOff>
          <xdr:row>1160</xdr:row>
          <xdr:rowOff>165100</xdr:rowOff>
        </xdr:to>
        <xdr:sp macro="" textlink="">
          <xdr:nvSpPr>
            <xdr:cNvPr id="14042" name="Button 2778" hidden="1">
              <a:extLst>
                <a:ext uri="{63B3BB69-23CF-44E3-9099-C40C66FF867C}">
                  <a14:compatExt spid="_x0000_s14042"/>
                </a:ext>
                <a:ext uri="{FF2B5EF4-FFF2-40B4-BE49-F238E27FC236}">
                  <a16:creationId xmlns:a16="http://schemas.microsoft.com/office/drawing/2014/main" id="{00000000-0008-0000-0100-0000DA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1161</xdr:row>
          <xdr:rowOff>0</xdr:rowOff>
        </xdr:from>
        <xdr:to>
          <xdr:col>7</xdr:col>
          <xdr:colOff>0</xdr:colOff>
          <xdr:row>1161</xdr:row>
          <xdr:rowOff>165100</xdr:rowOff>
        </xdr:to>
        <xdr:sp macro="" textlink="">
          <xdr:nvSpPr>
            <xdr:cNvPr id="14041" name="Button 2777" hidden="1">
              <a:extLst>
                <a:ext uri="{63B3BB69-23CF-44E3-9099-C40C66FF867C}">
                  <a14:compatExt spid="_x0000_s14041"/>
                </a:ext>
                <a:ext uri="{FF2B5EF4-FFF2-40B4-BE49-F238E27FC236}">
                  <a16:creationId xmlns:a16="http://schemas.microsoft.com/office/drawing/2014/main" id="{00000000-0008-0000-0100-0000D9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1162</xdr:row>
          <xdr:rowOff>0</xdr:rowOff>
        </xdr:from>
        <xdr:to>
          <xdr:col>7</xdr:col>
          <xdr:colOff>0</xdr:colOff>
          <xdr:row>1162</xdr:row>
          <xdr:rowOff>165100</xdr:rowOff>
        </xdr:to>
        <xdr:sp macro="" textlink="">
          <xdr:nvSpPr>
            <xdr:cNvPr id="14040" name="Button 2776" hidden="1">
              <a:extLst>
                <a:ext uri="{63B3BB69-23CF-44E3-9099-C40C66FF867C}">
                  <a14:compatExt spid="_x0000_s14040"/>
                </a:ext>
                <a:ext uri="{FF2B5EF4-FFF2-40B4-BE49-F238E27FC236}">
                  <a16:creationId xmlns:a16="http://schemas.microsoft.com/office/drawing/2014/main" id="{00000000-0008-0000-0100-0000D8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1163</xdr:row>
          <xdr:rowOff>0</xdr:rowOff>
        </xdr:from>
        <xdr:to>
          <xdr:col>7</xdr:col>
          <xdr:colOff>0</xdr:colOff>
          <xdr:row>1163</xdr:row>
          <xdr:rowOff>165100</xdr:rowOff>
        </xdr:to>
        <xdr:sp macro="" textlink="">
          <xdr:nvSpPr>
            <xdr:cNvPr id="14039" name="Button 2775" hidden="1">
              <a:extLst>
                <a:ext uri="{63B3BB69-23CF-44E3-9099-C40C66FF867C}">
                  <a14:compatExt spid="_x0000_s14039"/>
                </a:ext>
                <a:ext uri="{FF2B5EF4-FFF2-40B4-BE49-F238E27FC236}">
                  <a16:creationId xmlns:a16="http://schemas.microsoft.com/office/drawing/2014/main" id="{00000000-0008-0000-0100-0000D7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1164</xdr:row>
          <xdr:rowOff>0</xdr:rowOff>
        </xdr:from>
        <xdr:to>
          <xdr:col>7</xdr:col>
          <xdr:colOff>0</xdr:colOff>
          <xdr:row>1164</xdr:row>
          <xdr:rowOff>165100</xdr:rowOff>
        </xdr:to>
        <xdr:sp macro="" textlink="">
          <xdr:nvSpPr>
            <xdr:cNvPr id="14038" name="Button 2774" hidden="1">
              <a:extLst>
                <a:ext uri="{63B3BB69-23CF-44E3-9099-C40C66FF867C}">
                  <a14:compatExt spid="_x0000_s14038"/>
                </a:ext>
                <a:ext uri="{FF2B5EF4-FFF2-40B4-BE49-F238E27FC236}">
                  <a16:creationId xmlns:a16="http://schemas.microsoft.com/office/drawing/2014/main" id="{00000000-0008-0000-0100-0000D6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1165</xdr:row>
          <xdr:rowOff>0</xdr:rowOff>
        </xdr:from>
        <xdr:to>
          <xdr:col>7</xdr:col>
          <xdr:colOff>0</xdr:colOff>
          <xdr:row>1165</xdr:row>
          <xdr:rowOff>165100</xdr:rowOff>
        </xdr:to>
        <xdr:sp macro="" textlink="">
          <xdr:nvSpPr>
            <xdr:cNvPr id="14037" name="Button 2773" hidden="1">
              <a:extLst>
                <a:ext uri="{63B3BB69-23CF-44E3-9099-C40C66FF867C}">
                  <a14:compatExt spid="_x0000_s14037"/>
                </a:ext>
                <a:ext uri="{FF2B5EF4-FFF2-40B4-BE49-F238E27FC236}">
                  <a16:creationId xmlns:a16="http://schemas.microsoft.com/office/drawing/2014/main" id="{00000000-0008-0000-0100-0000D5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1168</xdr:row>
          <xdr:rowOff>0</xdr:rowOff>
        </xdr:from>
        <xdr:to>
          <xdr:col>7</xdr:col>
          <xdr:colOff>0</xdr:colOff>
          <xdr:row>1169</xdr:row>
          <xdr:rowOff>0</xdr:rowOff>
        </xdr:to>
        <xdr:sp macro="" textlink="">
          <xdr:nvSpPr>
            <xdr:cNvPr id="14036" name="Button 2772" hidden="1">
              <a:extLst>
                <a:ext uri="{63B3BB69-23CF-44E3-9099-C40C66FF867C}">
                  <a14:compatExt spid="_x0000_s14036"/>
                </a:ext>
                <a:ext uri="{FF2B5EF4-FFF2-40B4-BE49-F238E27FC236}">
                  <a16:creationId xmlns:a16="http://schemas.microsoft.com/office/drawing/2014/main" id="{00000000-0008-0000-0100-0000D4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1175</xdr:row>
          <xdr:rowOff>0</xdr:rowOff>
        </xdr:from>
        <xdr:to>
          <xdr:col>7</xdr:col>
          <xdr:colOff>0</xdr:colOff>
          <xdr:row>1175</xdr:row>
          <xdr:rowOff>171450</xdr:rowOff>
        </xdr:to>
        <xdr:sp macro="" textlink="">
          <xdr:nvSpPr>
            <xdr:cNvPr id="14035" name="Button 2771" hidden="1">
              <a:extLst>
                <a:ext uri="{63B3BB69-23CF-44E3-9099-C40C66FF867C}">
                  <a14:compatExt spid="_x0000_s14035"/>
                </a:ext>
                <a:ext uri="{FF2B5EF4-FFF2-40B4-BE49-F238E27FC236}">
                  <a16:creationId xmlns:a16="http://schemas.microsoft.com/office/drawing/2014/main" id="{00000000-0008-0000-0100-0000D3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1176</xdr:row>
          <xdr:rowOff>0</xdr:rowOff>
        </xdr:from>
        <xdr:to>
          <xdr:col>7</xdr:col>
          <xdr:colOff>0</xdr:colOff>
          <xdr:row>1176</xdr:row>
          <xdr:rowOff>165100</xdr:rowOff>
        </xdr:to>
        <xdr:sp macro="" textlink="">
          <xdr:nvSpPr>
            <xdr:cNvPr id="14034" name="Button 2770" hidden="1">
              <a:extLst>
                <a:ext uri="{63B3BB69-23CF-44E3-9099-C40C66FF867C}">
                  <a14:compatExt spid="_x0000_s14034"/>
                </a:ext>
                <a:ext uri="{FF2B5EF4-FFF2-40B4-BE49-F238E27FC236}">
                  <a16:creationId xmlns:a16="http://schemas.microsoft.com/office/drawing/2014/main" id="{00000000-0008-0000-0100-0000D2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1179</xdr:row>
          <xdr:rowOff>0</xdr:rowOff>
        </xdr:from>
        <xdr:to>
          <xdr:col>7</xdr:col>
          <xdr:colOff>0</xdr:colOff>
          <xdr:row>1180</xdr:row>
          <xdr:rowOff>0</xdr:rowOff>
        </xdr:to>
        <xdr:sp macro="" textlink="">
          <xdr:nvSpPr>
            <xdr:cNvPr id="14033" name="Button 2769" hidden="1">
              <a:extLst>
                <a:ext uri="{63B3BB69-23CF-44E3-9099-C40C66FF867C}">
                  <a14:compatExt spid="_x0000_s14033"/>
                </a:ext>
                <a:ext uri="{FF2B5EF4-FFF2-40B4-BE49-F238E27FC236}">
                  <a16:creationId xmlns:a16="http://schemas.microsoft.com/office/drawing/2014/main" id="{00000000-0008-0000-0100-0000D1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1186</xdr:row>
          <xdr:rowOff>0</xdr:rowOff>
        </xdr:from>
        <xdr:to>
          <xdr:col>7</xdr:col>
          <xdr:colOff>0</xdr:colOff>
          <xdr:row>1186</xdr:row>
          <xdr:rowOff>171450</xdr:rowOff>
        </xdr:to>
        <xdr:sp macro="" textlink="">
          <xdr:nvSpPr>
            <xdr:cNvPr id="14032" name="Button 2768" hidden="1">
              <a:extLst>
                <a:ext uri="{63B3BB69-23CF-44E3-9099-C40C66FF867C}">
                  <a14:compatExt spid="_x0000_s14032"/>
                </a:ext>
                <a:ext uri="{FF2B5EF4-FFF2-40B4-BE49-F238E27FC236}">
                  <a16:creationId xmlns:a16="http://schemas.microsoft.com/office/drawing/2014/main" id="{00000000-0008-0000-0100-0000D0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1187</xdr:row>
          <xdr:rowOff>0</xdr:rowOff>
        </xdr:from>
        <xdr:to>
          <xdr:col>7</xdr:col>
          <xdr:colOff>0</xdr:colOff>
          <xdr:row>1187</xdr:row>
          <xdr:rowOff>165100</xdr:rowOff>
        </xdr:to>
        <xdr:sp macro="" textlink="">
          <xdr:nvSpPr>
            <xdr:cNvPr id="14031" name="Button 2767" hidden="1">
              <a:extLst>
                <a:ext uri="{63B3BB69-23CF-44E3-9099-C40C66FF867C}">
                  <a14:compatExt spid="_x0000_s14031"/>
                </a:ext>
                <a:ext uri="{FF2B5EF4-FFF2-40B4-BE49-F238E27FC236}">
                  <a16:creationId xmlns:a16="http://schemas.microsoft.com/office/drawing/2014/main" id="{00000000-0008-0000-0100-0000CF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1188</xdr:row>
          <xdr:rowOff>0</xdr:rowOff>
        </xdr:from>
        <xdr:to>
          <xdr:col>7</xdr:col>
          <xdr:colOff>0</xdr:colOff>
          <xdr:row>1188</xdr:row>
          <xdr:rowOff>165100</xdr:rowOff>
        </xdr:to>
        <xdr:sp macro="" textlink="">
          <xdr:nvSpPr>
            <xdr:cNvPr id="14030" name="Button 2766" hidden="1">
              <a:extLst>
                <a:ext uri="{63B3BB69-23CF-44E3-9099-C40C66FF867C}">
                  <a14:compatExt spid="_x0000_s14030"/>
                </a:ext>
                <a:ext uri="{FF2B5EF4-FFF2-40B4-BE49-F238E27FC236}">
                  <a16:creationId xmlns:a16="http://schemas.microsoft.com/office/drawing/2014/main" id="{00000000-0008-0000-0100-0000CE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1189</xdr:row>
          <xdr:rowOff>0</xdr:rowOff>
        </xdr:from>
        <xdr:to>
          <xdr:col>7</xdr:col>
          <xdr:colOff>0</xdr:colOff>
          <xdr:row>1189</xdr:row>
          <xdr:rowOff>165100</xdr:rowOff>
        </xdr:to>
        <xdr:sp macro="" textlink="">
          <xdr:nvSpPr>
            <xdr:cNvPr id="14029" name="Button 2765" hidden="1">
              <a:extLst>
                <a:ext uri="{63B3BB69-23CF-44E3-9099-C40C66FF867C}">
                  <a14:compatExt spid="_x0000_s14029"/>
                </a:ext>
                <a:ext uri="{FF2B5EF4-FFF2-40B4-BE49-F238E27FC236}">
                  <a16:creationId xmlns:a16="http://schemas.microsoft.com/office/drawing/2014/main" id="{00000000-0008-0000-0100-0000CD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1190</xdr:row>
          <xdr:rowOff>0</xdr:rowOff>
        </xdr:from>
        <xdr:to>
          <xdr:col>7</xdr:col>
          <xdr:colOff>0</xdr:colOff>
          <xdr:row>1190</xdr:row>
          <xdr:rowOff>165100</xdr:rowOff>
        </xdr:to>
        <xdr:sp macro="" textlink="">
          <xdr:nvSpPr>
            <xdr:cNvPr id="14028" name="Button 2764" hidden="1">
              <a:extLst>
                <a:ext uri="{63B3BB69-23CF-44E3-9099-C40C66FF867C}">
                  <a14:compatExt spid="_x0000_s14028"/>
                </a:ext>
                <a:ext uri="{FF2B5EF4-FFF2-40B4-BE49-F238E27FC236}">
                  <a16:creationId xmlns:a16="http://schemas.microsoft.com/office/drawing/2014/main" id="{00000000-0008-0000-0100-0000CC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1191</xdr:row>
          <xdr:rowOff>0</xdr:rowOff>
        </xdr:from>
        <xdr:to>
          <xdr:col>7</xdr:col>
          <xdr:colOff>0</xdr:colOff>
          <xdr:row>1191</xdr:row>
          <xdr:rowOff>165100</xdr:rowOff>
        </xdr:to>
        <xdr:sp macro="" textlink="">
          <xdr:nvSpPr>
            <xdr:cNvPr id="14027" name="Button 2763" hidden="1">
              <a:extLst>
                <a:ext uri="{63B3BB69-23CF-44E3-9099-C40C66FF867C}">
                  <a14:compatExt spid="_x0000_s14027"/>
                </a:ext>
                <a:ext uri="{FF2B5EF4-FFF2-40B4-BE49-F238E27FC236}">
                  <a16:creationId xmlns:a16="http://schemas.microsoft.com/office/drawing/2014/main" id="{00000000-0008-0000-0100-0000CB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1192</xdr:row>
          <xdr:rowOff>0</xdr:rowOff>
        </xdr:from>
        <xdr:to>
          <xdr:col>7</xdr:col>
          <xdr:colOff>0</xdr:colOff>
          <xdr:row>1192</xdr:row>
          <xdr:rowOff>165100</xdr:rowOff>
        </xdr:to>
        <xdr:sp macro="" textlink="">
          <xdr:nvSpPr>
            <xdr:cNvPr id="14026" name="Button 2762" hidden="1">
              <a:extLst>
                <a:ext uri="{63B3BB69-23CF-44E3-9099-C40C66FF867C}">
                  <a14:compatExt spid="_x0000_s14026"/>
                </a:ext>
                <a:ext uri="{FF2B5EF4-FFF2-40B4-BE49-F238E27FC236}">
                  <a16:creationId xmlns:a16="http://schemas.microsoft.com/office/drawing/2014/main" id="{00000000-0008-0000-0100-0000CA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1193</xdr:row>
          <xdr:rowOff>0</xdr:rowOff>
        </xdr:from>
        <xdr:to>
          <xdr:col>7</xdr:col>
          <xdr:colOff>0</xdr:colOff>
          <xdr:row>1193</xdr:row>
          <xdr:rowOff>165100</xdr:rowOff>
        </xdr:to>
        <xdr:sp macro="" textlink="">
          <xdr:nvSpPr>
            <xdr:cNvPr id="14025" name="Button 2761" hidden="1">
              <a:extLst>
                <a:ext uri="{63B3BB69-23CF-44E3-9099-C40C66FF867C}">
                  <a14:compatExt spid="_x0000_s14025"/>
                </a:ext>
                <a:ext uri="{FF2B5EF4-FFF2-40B4-BE49-F238E27FC236}">
                  <a16:creationId xmlns:a16="http://schemas.microsoft.com/office/drawing/2014/main" id="{00000000-0008-0000-0100-0000C9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1194</xdr:row>
          <xdr:rowOff>0</xdr:rowOff>
        </xdr:from>
        <xdr:to>
          <xdr:col>7</xdr:col>
          <xdr:colOff>0</xdr:colOff>
          <xdr:row>1194</xdr:row>
          <xdr:rowOff>165100</xdr:rowOff>
        </xdr:to>
        <xdr:sp macro="" textlink="">
          <xdr:nvSpPr>
            <xdr:cNvPr id="14024" name="Button 2760" hidden="1">
              <a:extLst>
                <a:ext uri="{63B3BB69-23CF-44E3-9099-C40C66FF867C}">
                  <a14:compatExt spid="_x0000_s14024"/>
                </a:ext>
                <a:ext uri="{FF2B5EF4-FFF2-40B4-BE49-F238E27FC236}">
                  <a16:creationId xmlns:a16="http://schemas.microsoft.com/office/drawing/2014/main" id="{00000000-0008-0000-0100-0000C8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7</xdr:col>
          <xdr:colOff>0</xdr:colOff>
          <xdr:row>1195</xdr:row>
          <xdr:rowOff>165100</xdr:rowOff>
        </xdr:to>
        <xdr:sp macro="" textlink="">
          <xdr:nvSpPr>
            <xdr:cNvPr id="14023" name="Button 2759" hidden="1">
              <a:extLst>
                <a:ext uri="{63B3BB69-23CF-44E3-9099-C40C66FF867C}">
                  <a14:compatExt spid="_x0000_s14023"/>
                </a:ext>
                <a:ext uri="{FF2B5EF4-FFF2-40B4-BE49-F238E27FC236}">
                  <a16:creationId xmlns:a16="http://schemas.microsoft.com/office/drawing/2014/main" id="{00000000-0008-0000-0100-0000C7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1198</xdr:row>
          <xdr:rowOff>0</xdr:rowOff>
        </xdr:from>
        <xdr:to>
          <xdr:col>7</xdr:col>
          <xdr:colOff>0</xdr:colOff>
          <xdr:row>1199</xdr:row>
          <xdr:rowOff>0</xdr:rowOff>
        </xdr:to>
        <xdr:sp macro="" textlink="">
          <xdr:nvSpPr>
            <xdr:cNvPr id="14022" name="Button 2758" hidden="1">
              <a:extLst>
                <a:ext uri="{63B3BB69-23CF-44E3-9099-C40C66FF867C}">
                  <a14:compatExt spid="_x0000_s14022"/>
                </a:ext>
                <a:ext uri="{FF2B5EF4-FFF2-40B4-BE49-F238E27FC236}">
                  <a16:creationId xmlns:a16="http://schemas.microsoft.com/office/drawing/2014/main" id="{00000000-0008-0000-0100-0000C6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1205</xdr:row>
          <xdr:rowOff>0</xdr:rowOff>
        </xdr:from>
        <xdr:to>
          <xdr:col>7</xdr:col>
          <xdr:colOff>0</xdr:colOff>
          <xdr:row>1205</xdr:row>
          <xdr:rowOff>171450</xdr:rowOff>
        </xdr:to>
        <xdr:sp macro="" textlink="">
          <xdr:nvSpPr>
            <xdr:cNvPr id="14021" name="Button 2757" hidden="1">
              <a:extLst>
                <a:ext uri="{63B3BB69-23CF-44E3-9099-C40C66FF867C}">
                  <a14:compatExt spid="_x0000_s14021"/>
                </a:ext>
                <a:ext uri="{FF2B5EF4-FFF2-40B4-BE49-F238E27FC236}">
                  <a16:creationId xmlns:a16="http://schemas.microsoft.com/office/drawing/2014/main" id="{00000000-0008-0000-0100-0000C5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1206</xdr:row>
          <xdr:rowOff>0</xdr:rowOff>
        </xdr:from>
        <xdr:to>
          <xdr:col>7</xdr:col>
          <xdr:colOff>0</xdr:colOff>
          <xdr:row>1206</xdr:row>
          <xdr:rowOff>165100</xdr:rowOff>
        </xdr:to>
        <xdr:sp macro="" textlink="">
          <xdr:nvSpPr>
            <xdr:cNvPr id="14020" name="Button 2756" hidden="1">
              <a:extLst>
                <a:ext uri="{63B3BB69-23CF-44E3-9099-C40C66FF867C}">
                  <a14:compatExt spid="_x0000_s14020"/>
                </a:ext>
                <a:ext uri="{FF2B5EF4-FFF2-40B4-BE49-F238E27FC236}">
                  <a16:creationId xmlns:a16="http://schemas.microsoft.com/office/drawing/2014/main" id="{00000000-0008-0000-0100-0000C4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1207</xdr:row>
          <xdr:rowOff>0</xdr:rowOff>
        </xdr:from>
        <xdr:to>
          <xdr:col>7</xdr:col>
          <xdr:colOff>0</xdr:colOff>
          <xdr:row>1207</xdr:row>
          <xdr:rowOff>165100</xdr:rowOff>
        </xdr:to>
        <xdr:sp macro="" textlink="">
          <xdr:nvSpPr>
            <xdr:cNvPr id="14019" name="Button 2755" hidden="1">
              <a:extLst>
                <a:ext uri="{63B3BB69-23CF-44E3-9099-C40C66FF867C}">
                  <a14:compatExt spid="_x0000_s14019"/>
                </a:ext>
                <a:ext uri="{FF2B5EF4-FFF2-40B4-BE49-F238E27FC236}">
                  <a16:creationId xmlns:a16="http://schemas.microsoft.com/office/drawing/2014/main" id="{00000000-0008-0000-0100-0000C3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1208</xdr:row>
          <xdr:rowOff>0</xdr:rowOff>
        </xdr:from>
        <xdr:to>
          <xdr:col>7</xdr:col>
          <xdr:colOff>0</xdr:colOff>
          <xdr:row>1208</xdr:row>
          <xdr:rowOff>165100</xdr:rowOff>
        </xdr:to>
        <xdr:sp macro="" textlink="">
          <xdr:nvSpPr>
            <xdr:cNvPr id="14018" name="Button 2754" hidden="1">
              <a:extLst>
                <a:ext uri="{63B3BB69-23CF-44E3-9099-C40C66FF867C}">
                  <a14:compatExt spid="_x0000_s14018"/>
                </a:ext>
                <a:ext uri="{FF2B5EF4-FFF2-40B4-BE49-F238E27FC236}">
                  <a16:creationId xmlns:a16="http://schemas.microsoft.com/office/drawing/2014/main" id="{00000000-0008-0000-0100-0000C2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1211</xdr:row>
          <xdr:rowOff>0</xdr:rowOff>
        </xdr:from>
        <xdr:to>
          <xdr:col>7</xdr:col>
          <xdr:colOff>0</xdr:colOff>
          <xdr:row>1212</xdr:row>
          <xdr:rowOff>0</xdr:rowOff>
        </xdr:to>
        <xdr:sp macro="" textlink="">
          <xdr:nvSpPr>
            <xdr:cNvPr id="14017" name="Button 2753" hidden="1">
              <a:extLst>
                <a:ext uri="{63B3BB69-23CF-44E3-9099-C40C66FF867C}">
                  <a14:compatExt spid="_x0000_s14017"/>
                </a:ext>
                <a:ext uri="{FF2B5EF4-FFF2-40B4-BE49-F238E27FC236}">
                  <a16:creationId xmlns:a16="http://schemas.microsoft.com/office/drawing/2014/main" id="{00000000-0008-0000-0100-0000C1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1218</xdr:row>
          <xdr:rowOff>0</xdr:rowOff>
        </xdr:from>
        <xdr:to>
          <xdr:col>7</xdr:col>
          <xdr:colOff>0</xdr:colOff>
          <xdr:row>1218</xdr:row>
          <xdr:rowOff>171450</xdr:rowOff>
        </xdr:to>
        <xdr:sp macro="" textlink="">
          <xdr:nvSpPr>
            <xdr:cNvPr id="14016" name="Button 2752" hidden="1">
              <a:extLst>
                <a:ext uri="{63B3BB69-23CF-44E3-9099-C40C66FF867C}">
                  <a14:compatExt spid="_x0000_s14016"/>
                </a:ext>
                <a:ext uri="{FF2B5EF4-FFF2-40B4-BE49-F238E27FC236}">
                  <a16:creationId xmlns:a16="http://schemas.microsoft.com/office/drawing/2014/main" id="{00000000-0008-0000-0100-0000C0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1219</xdr:row>
          <xdr:rowOff>0</xdr:rowOff>
        </xdr:from>
        <xdr:to>
          <xdr:col>7</xdr:col>
          <xdr:colOff>0</xdr:colOff>
          <xdr:row>1219</xdr:row>
          <xdr:rowOff>165100</xdr:rowOff>
        </xdr:to>
        <xdr:sp macro="" textlink="">
          <xdr:nvSpPr>
            <xdr:cNvPr id="14015" name="Button 2751" hidden="1">
              <a:extLst>
                <a:ext uri="{63B3BB69-23CF-44E3-9099-C40C66FF867C}">
                  <a14:compatExt spid="_x0000_s14015"/>
                </a:ext>
                <a:ext uri="{FF2B5EF4-FFF2-40B4-BE49-F238E27FC236}">
                  <a16:creationId xmlns:a16="http://schemas.microsoft.com/office/drawing/2014/main" id="{00000000-0008-0000-0100-0000BF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1220</xdr:row>
          <xdr:rowOff>0</xdr:rowOff>
        </xdr:from>
        <xdr:to>
          <xdr:col>7</xdr:col>
          <xdr:colOff>0</xdr:colOff>
          <xdr:row>1220</xdr:row>
          <xdr:rowOff>165100</xdr:rowOff>
        </xdr:to>
        <xdr:sp macro="" textlink="">
          <xdr:nvSpPr>
            <xdr:cNvPr id="14014" name="Button 2750" hidden="1">
              <a:extLst>
                <a:ext uri="{63B3BB69-23CF-44E3-9099-C40C66FF867C}">
                  <a14:compatExt spid="_x0000_s14014"/>
                </a:ext>
                <a:ext uri="{FF2B5EF4-FFF2-40B4-BE49-F238E27FC236}">
                  <a16:creationId xmlns:a16="http://schemas.microsoft.com/office/drawing/2014/main" id="{00000000-0008-0000-0100-0000BE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1221</xdr:row>
          <xdr:rowOff>0</xdr:rowOff>
        </xdr:from>
        <xdr:to>
          <xdr:col>7</xdr:col>
          <xdr:colOff>0</xdr:colOff>
          <xdr:row>1221</xdr:row>
          <xdr:rowOff>165100</xdr:rowOff>
        </xdr:to>
        <xdr:sp macro="" textlink="">
          <xdr:nvSpPr>
            <xdr:cNvPr id="14013" name="Button 2749" hidden="1">
              <a:extLst>
                <a:ext uri="{63B3BB69-23CF-44E3-9099-C40C66FF867C}">
                  <a14:compatExt spid="_x0000_s14013"/>
                </a:ext>
                <a:ext uri="{FF2B5EF4-FFF2-40B4-BE49-F238E27FC236}">
                  <a16:creationId xmlns:a16="http://schemas.microsoft.com/office/drawing/2014/main" id="{00000000-0008-0000-0100-0000BD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1224</xdr:row>
          <xdr:rowOff>0</xdr:rowOff>
        </xdr:from>
        <xdr:to>
          <xdr:col>7</xdr:col>
          <xdr:colOff>0</xdr:colOff>
          <xdr:row>1225</xdr:row>
          <xdr:rowOff>0</xdr:rowOff>
        </xdr:to>
        <xdr:sp macro="" textlink="">
          <xdr:nvSpPr>
            <xdr:cNvPr id="14012" name="Button 2748" hidden="1">
              <a:extLst>
                <a:ext uri="{63B3BB69-23CF-44E3-9099-C40C66FF867C}">
                  <a14:compatExt spid="_x0000_s14012"/>
                </a:ext>
                <a:ext uri="{FF2B5EF4-FFF2-40B4-BE49-F238E27FC236}">
                  <a16:creationId xmlns:a16="http://schemas.microsoft.com/office/drawing/2014/main" id="{00000000-0008-0000-0100-0000BC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1231</xdr:row>
          <xdr:rowOff>0</xdr:rowOff>
        </xdr:from>
        <xdr:to>
          <xdr:col>7</xdr:col>
          <xdr:colOff>0</xdr:colOff>
          <xdr:row>1231</xdr:row>
          <xdr:rowOff>171450</xdr:rowOff>
        </xdr:to>
        <xdr:sp macro="" textlink="">
          <xdr:nvSpPr>
            <xdr:cNvPr id="14011" name="Button 2747" hidden="1">
              <a:extLst>
                <a:ext uri="{63B3BB69-23CF-44E3-9099-C40C66FF867C}">
                  <a14:compatExt spid="_x0000_s14011"/>
                </a:ext>
                <a:ext uri="{FF2B5EF4-FFF2-40B4-BE49-F238E27FC236}">
                  <a16:creationId xmlns:a16="http://schemas.microsoft.com/office/drawing/2014/main" id="{00000000-0008-0000-0100-0000BB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1232</xdr:row>
          <xdr:rowOff>0</xdr:rowOff>
        </xdr:from>
        <xdr:to>
          <xdr:col>7</xdr:col>
          <xdr:colOff>0</xdr:colOff>
          <xdr:row>1232</xdr:row>
          <xdr:rowOff>165100</xdr:rowOff>
        </xdr:to>
        <xdr:sp macro="" textlink="">
          <xdr:nvSpPr>
            <xdr:cNvPr id="14010" name="Button 2746" hidden="1">
              <a:extLst>
                <a:ext uri="{63B3BB69-23CF-44E3-9099-C40C66FF867C}">
                  <a14:compatExt spid="_x0000_s14010"/>
                </a:ext>
                <a:ext uri="{FF2B5EF4-FFF2-40B4-BE49-F238E27FC236}">
                  <a16:creationId xmlns:a16="http://schemas.microsoft.com/office/drawing/2014/main" id="{00000000-0008-0000-0100-0000BA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1233</xdr:row>
          <xdr:rowOff>0</xdr:rowOff>
        </xdr:from>
        <xdr:to>
          <xdr:col>7</xdr:col>
          <xdr:colOff>0</xdr:colOff>
          <xdr:row>1233</xdr:row>
          <xdr:rowOff>165100</xdr:rowOff>
        </xdr:to>
        <xdr:sp macro="" textlink="">
          <xdr:nvSpPr>
            <xdr:cNvPr id="14009" name="Button 2745" hidden="1">
              <a:extLst>
                <a:ext uri="{63B3BB69-23CF-44E3-9099-C40C66FF867C}">
                  <a14:compatExt spid="_x0000_s14009"/>
                </a:ext>
                <a:ext uri="{FF2B5EF4-FFF2-40B4-BE49-F238E27FC236}">
                  <a16:creationId xmlns:a16="http://schemas.microsoft.com/office/drawing/2014/main" id="{00000000-0008-0000-0100-0000B9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1234</xdr:row>
          <xdr:rowOff>0</xdr:rowOff>
        </xdr:from>
        <xdr:to>
          <xdr:col>7</xdr:col>
          <xdr:colOff>0</xdr:colOff>
          <xdr:row>1234</xdr:row>
          <xdr:rowOff>165100</xdr:rowOff>
        </xdr:to>
        <xdr:sp macro="" textlink="">
          <xdr:nvSpPr>
            <xdr:cNvPr id="14008" name="Button 2744" hidden="1">
              <a:extLst>
                <a:ext uri="{63B3BB69-23CF-44E3-9099-C40C66FF867C}">
                  <a14:compatExt spid="_x0000_s14008"/>
                </a:ext>
                <a:ext uri="{FF2B5EF4-FFF2-40B4-BE49-F238E27FC236}">
                  <a16:creationId xmlns:a16="http://schemas.microsoft.com/office/drawing/2014/main" id="{00000000-0008-0000-0100-0000B8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1237</xdr:row>
          <xdr:rowOff>0</xdr:rowOff>
        </xdr:from>
        <xdr:to>
          <xdr:col>7</xdr:col>
          <xdr:colOff>0</xdr:colOff>
          <xdr:row>1238</xdr:row>
          <xdr:rowOff>0</xdr:rowOff>
        </xdr:to>
        <xdr:sp macro="" textlink="">
          <xdr:nvSpPr>
            <xdr:cNvPr id="14007" name="Button 2743" hidden="1">
              <a:extLst>
                <a:ext uri="{63B3BB69-23CF-44E3-9099-C40C66FF867C}">
                  <a14:compatExt spid="_x0000_s14007"/>
                </a:ext>
                <a:ext uri="{FF2B5EF4-FFF2-40B4-BE49-F238E27FC236}">
                  <a16:creationId xmlns:a16="http://schemas.microsoft.com/office/drawing/2014/main" id="{00000000-0008-0000-0100-0000B7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1244</xdr:row>
          <xdr:rowOff>0</xdr:rowOff>
        </xdr:from>
        <xdr:to>
          <xdr:col>7</xdr:col>
          <xdr:colOff>0</xdr:colOff>
          <xdr:row>1244</xdr:row>
          <xdr:rowOff>171450</xdr:rowOff>
        </xdr:to>
        <xdr:sp macro="" textlink="">
          <xdr:nvSpPr>
            <xdr:cNvPr id="14006" name="Button 2742" hidden="1">
              <a:extLst>
                <a:ext uri="{63B3BB69-23CF-44E3-9099-C40C66FF867C}">
                  <a14:compatExt spid="_x0000_s14006"/>
                </a:ext>
                <a:ext uri="{FF2B5EF4-FFF2-40B4-BE49-F238E27FC236}">
                  <a16:creationId xmlns:a16="http://schemas.microsoft.com/office/drawing/2014/main" id="{00000000-0008-0000-0100-0000B6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1245</xdr:row>
          <xdr:rowOff>0</xdr:rowOff>
        </xdr:from>
        <xdr:to>
          <xdr:col>7</xdr:col>
          <xdr:colOff>0</xdr:colOff>
          <xdr:row>1245</xdr:row>
          <xdr:rowOff>165100</xdr:rowOff>
        </xdr:to>
        <xdr:sp macro="" textlink="">
          <xdr:nvSpPr>
            <xdr:cNvPr id="14005" name="Button 2741" hidden="1">
              <a:extLst>
                <a:ext uri="{63B3BB69-23CF-44E3-9099-C40C66FF867C}">
                  <a14:compatExt spid="_x0000_s14005"/>
                </a:ext>
                <a:ext uri="{FF2B5EF4-FFF2-40B4-BE49-F238E27FC236}">
                  <a16:creationId xmlns:a16="http://schemas.microsoft.com/office/drawing/2014/main" id="{00000000-0008-0000-0100-0000B5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1246</xdr:row>
          <xdr:rowOff>0</xdr:rowOff>
        </xdr:from>
        <xdr:to>
          <xdr:col>7</xdr:col>
          <xdr:colOff>0</xdr:colOff>
          <xdr:row>1246</xdr:row>
          <xdr:rowOff>165100</xdr:rowOff>
        </xdr:to>
        <xdr:sp macro="" textlink="">
          <xdr:nvSpPr>
            <xdr:cNvPr id="14004" name="Button 2740" hidden="1">
              <a:extLst>
                <a:ext uri="{63B3BB69-23CF-44E3-9099-C40C66FF867C}">
                  <a14:compatExt spid="_x0000_s14004"/>
                </a:ext>
                <a:ext uri="{FF2B5EF4-FFF2-40B4-BE49-F238E27FC236}">
                  <a16:creationId xmlns:a16="http://schemas.microsoft.com/office/drawing/2014/main" id="{00000000-0008-0000-0100-0000B4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1249</xdr:row>
          <xdr:rowOff>0</xdr:rowOff>
        </xdr:from>
        <xdr:to>
          <xdr:col>7</xdr:col>
          <xdr:colOff>0</xdr:colOff>
          <xdr:row>1250</xdr:row>
          <xdr:rowOff>0</xdr:rowOff>
        </xdr:to>
        <xdr:sp macro="" textlink="">
          <xdr:nvSpPr>
            <xdr:cNvPr id="14003" name="Button 2739" hidden="1">
              <a:extLst>
                <a:ext uri="{63B3BB69-23CF-44E3-9099-C40C66FF867C}">
                  <a14:compatExt spid="_x0000_s14003"/>
                </a:ext>
                <a:ext uri="{FF2B5EF4-FFF2-40B4-BE49-F238E27FC236}">
                  <a16:creationId xmlns:a16="http://schemas.microsoft.com/office/drawing/2014/main" id="{00000000-0008-0000-0100-0000B3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1256</xdr:row>
          <xdr:rowOff>0</xdr:rowOff>
        </xdr:from>
        <xdr:to>
          <xdr:col>7</xdr:col>
          <xdr:colOff>0</xdr:colOff>
          <xdr:row>1256</xdr:row>
          <xdr:rowOff>171450</xdr:rowOff>
        </xdr:to>
        <xdr:sp macro="" textlink="">
          <xdr:nvSpPr>
            <xdr:cNvPr id="14002" name="Button 2738" hidden="1">
              <a:extLst>
                <a:ext uri="{63B3BB69-23CF-44E3-9099-C40C66FF867C}">
                  <a14:compatExt spid="_x0000_s14002"/>
                </a:ext>
                <a:ext uri="{FF2B5EF4-FFF2-40B4-BE49-F238E27FC236}">
                  <a16:creationId xmlns:a16="http://schemas.microsoft.com/office/drawing/2014/main" id="{00000000-0008-0000-0100-0000B2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1257</xdr:row>
          <xdr:rowOff>0</xdr:rowOff>
        </xdr:from>
        <xdr:to>
          <xdr:col>7</xdr:col>
          <xdr:colOff>0</xdr:colOff>
          <xdr:row>1257</xdr:row>
          <xdr:rowOff>165100</xdr:rowOff>
        </xdr:to>
        <xdr:sp macro="" textlink="">
          <xdr:nvSpPr>
            <xdr:cNvPr id="14001" name="Button 2737" hidden="1">
              <a:extLst>
                <a:ext uri="{63B3BB69-23CF-44E3-9099-C40C66FF867C}">
                  <a14:compatExt spid="_x0000_s14001"/>
                </a:ext>
                <a:ext uri="{FF2B5EF4-FFF2-40B4-BE49-F238E27FC236}">
                  <a16:creationId xmlns:a16="http://schemas.microsoft.com/office/drawing/2014/main" id="{00000000-0008-0000-0100-0000B1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1258</xdr:row>
          <xdr:rowOff>0</xdr:rowOff>
        </xdr:from>
        <xdr:to>
          <xdr:col>7</xdr:col>
          <xdr:colOff>0</xdr:colOff>
          <xdr:row>1258</xdr:row>
          <xdr:rowOff>165100</xdr:rowOff>
        </xdr:to>
        <xdr:sp macro="" textlink="">
          <xdr:nvSpPr>
            <xdr:cNvPr id="14000" name="Button 2736" hidden="1">
              <a:extLst>
                <a:ext uri="{63B3BB69-23CF-44E3-9099-C40C66FF867C}">
                  <a14:compatExt spid="_x0000_s14000"/>
                </a:ext>
                <a:ext uri="{FF2B5EF4-FFF2-40B4-BE49-F238E27FC236}">
                  <a16:creationId xmlns:a16="http://schemas.microsoft.com/office/drawing/2014/main" id="{00000000-0008-0000-0100-0000B0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1261</xdr:row>
          <xdr:rowOff>0</xdr:rowOff>
        </xdr:from>
        <xdr:to>
          <xdr:col>7</xdr:col>
          <xdr:colOff>0</xdr:colOff>
          <xdr:row>1262</xdr:row>
          <xdr:rowOff>0</xdr:rowOff>
        </xdr:to>
        <xdr:sp macro="" textlink="">
          <xdr:nvSpPr>
            <xdr:cNvPr id="13999" name="Button 2735" hidden="1">
              <a:extLst>
                <a:ext uri="{63B3BB69-23CF-44E3-9099-C40C66FF867C}">
                  <a14:compatExt spid="_x0000_s13999"/>
                </a:ext>
                <a:ext uri="{FF2B5EF4-FFF2-40B4-BE49-F238E27FC236}">
                  <a16:creationId xmlns:a16="http://schemas.microsoft.com/office/drawing/2014/main" id="{00000000-0008-0000-0100-0000AF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1268</xdr:row>
          <xdr:rowOff>0</xdr:rowOff>
        </xdr:from>
        <xdr:to>
          <xdr:col>7</xdr:col>
          <xdr:colOff>0</xdr:colOff>
          <xdr:row>1268</xdr:row>
          <xdr:rowOff>171450</xdr:rowOff>
        </xdr:to>
        <xdr:sp macro="" textlink="">
          <xdr:nvSpPr>
            <xdr:cNvPr id="13998" name="Button 2734" hidden="1">
              <a:extLst>
                <a:ext uri="{63B3BB69-23CF-44E3-9099-C40C66FF867C}">
                  <a14:compatExt spid="_x0000_s13998"/>
                </a:ext>
                <a:ext uri="{FF2B5EF4-FFF2-40B4-BE49-F238E27FC236}">
                  <a16:creationId xmlns:a16="http://schemas.microsoft.com/office/drawing/2014/main" id="{00000000-0008-0000-0100-0000AE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1269</xdr:row>
          <xdr:rowOff>0</xdr:rowOff>
        </xdr:from>
        <xdr:to>
          <xdr:col>7</xdr:col>
          <xdr:colOff>0</xdr:colOff>
          <xdr:row>1269</xdr:row>
          <xdr:rowOff>165100</xdr:rowOff>
        </xdr:to>
        <xdr:sp macro="" textlink="">
          <xdr:nvSpPr>
            <xdr:cNvPr id="13997" name="Button 2733" hidden="1">
              <a:extLst>
                <a:ext uri="{63B3BB69-23CF-44E3-9099-C40C66FF867C}">
                  <a14:compatExt spid="_x0000_s13997"/>
                </a:ext>
                <a:ext uri="{FF2B5EF4-FFF2-40B4-BE49-F238E27FC236}">
                  <a16:creationId xmlns:a16="http://schemas.microsoft.com/office/drawing/2014/main" id="{00000000-0008-0000-0100-0000AD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1272</xdr:row>
          <xdr:rowOff>0</xdr:rowOff>
        </xdr:from>
        <xdr:to>
          <xdr:col>7</xdr:col>
          <xdr:colOff>0</xdr:colOff>
          <xdr:row>1273</xdr:row>
          <xdr:rowOff>0</xdr:rowOff>
        </xdr:to>
        <xdr:sp macro="" textlink="">
          <xdr:nvSpPr>
            <xdr:cNvPr id="13996" name="Button 2732" hidden="1">
              <a:extLst>
                <a:ext uri="{63B3BB69-23CF-44E3-9099-C40C66FF867C}">
                  <a14:compatExt spid="_x0000_s13996"/>
                </a:ext>
                <a:ext uri="{FF2B5EF4-FFF2-40B4-BE49-F238E27FC236}">
                  <a16:creationId xmlns:a16="http://schemas.microsoft.com/office/drawing/2014/main" id="{00000000-0008-0000-0100-0000AC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1279</xdr:row>
          <xdr:rowOff>0</xdr:rowOff>
        </xdr:from>
        <xdr:to>
          <xdr:col>7</xdr:col>
          <xdr:colOff>0</xdr:colOff>
          <xdr:row>1279</xdr:row>
          <xdr:rowOff>171450</xdr:rowOff>
        </xdr:to>
        <xdr:sp macro="" textlink="">
          <xdr:nvSpPr>
            <xdr:cNvPr id="13995" name="Button 2731" hidden="1">
              <a:extLst>
                <a:ext uri="{63B3BB69-23CF-44E3-9099-C40C66FF867C}">
                  <a14:compatExt spid="_x0000_s13995"/>
                </a:ext>
                <a:ext uri="{FF2B5EF4-FFF2-40B4-BE49-F238E27FC236}">
                  <a16:creationId xmlns:a16="http://schemas.microsoft.com/office/drawing/2014/main" id="{00000000-0008-0000-0100-0000AB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1280</xdr:row>
          <xdr:rowOff>0</xdr:rowOff>
        </xdr:from>
        <xdr:to>
          <xdr:col>7</xdr:col>
          <xdr:colOff>0</xdr:colOff>
          <xdr:row>1280</xdr:row>
          <xdr:rowOff>165100</xdr:rowOff>
        </xdr:to>
        <xdr:sp macro="" textlink="">
          <xdr:nvSpPr>
            <xdr:cNvPr id="13994" name="Button 2730" hidden="1">
              <a:extLst>
                <a:ext uri="{63B3BB69-23CF-44E3-9099-C40C66FF867C}">
                  <a14:compatExt spid="_x0000_s13994"/>
                </a:ext>
                <a:ext uri="{FF2B5EF4-FFF2-40B4-BE49-F238E27FC236}">
                  <a16:creationId xmlns:a16="http://schemas.microsoft.com/office/drawing/2014/main" id="{00000000-0008-0000-0100-0000AA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1283</xdr:row>
          <xdr:rowOff>0</xdr:rowOff>
        </xdr:from>
        <xdr:to>
          <xdr:col>7</xdr:col>
          <xdr:colOff>0</xdr:colOff>
          <xdr:row>1284</xdr:row>
          <xdr:rowOff>0</xdr:rowOff>
        </xdr:to>
        <xdr:sp macro="" textlink="">
          <xdr:nvSpPr>
            <xdr:cNvPr id="13993" name="Button 2729" hidden="1">
              <a:extLst>
                <a:ext uri="{63B3BB69-23CF-44E3-9099-C40C66FF867C}">
                  <a14:compatExt spid="_x0000_s13993"/>
                </a:ext>
                <a:ext uri="{FF2B5EF4-FFF2-40B4-BE49-F238E27FC236}">
                  <a16:creationId xmlns:a16="http://schemas.microsoft.com/office/drawing/2014/main" id="{00000000-0008-0000-0100-0000A9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1290</xdr:row>
          <xdr:rowOff>0</xdr:rowOff>
        </xdr:from>
        <xdr:to>
          <xdr:col>7</xdr:col>
          <xdr:colOff>0</xdr:colOff>
          <xdr:row>1290</xdr:row>
          <xdr:rowOff>171450</xdr:rowOff>
        </xdr:to>
        <xdr:sp macro="" textlink="">
          <xdr:nvSpPr>
            <xdr:cNvPr id="13992" name="Button 2728" hidden="1">
              <a:extLst>
                <a:ext uri="{63B3BB69-23CF-44E3-9099-C40C66FF867C}">
                  <a14:compatExt spid="_x0000_s13992"/>
                </a:ext>
                <a:ext uri="{FF2B5EF4-FFF2-40B4-BE49-F238E27FC236}">
                  <a16:creationId xmlns:a16="http://schemas.microsoft.com/office/drawing/2014/main" id="{00000000-0008-0000-0100-0000A8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1291</xdr:row>
          <xdr:rowOff>0</xdr:rowOff>
        </xdr:from>
        <xdr:to>
          <xdr:col>7</xdr:col>
          <xdr:colOff>0</xdr:colOff>
          <xdr:row>1291</xdr:row>
          <xdr:rowOff>165100</xdr:rowOff>
        </xdr:to>
        <xdr:sp macro="" textlink="">
          <xdr:nvSpPr>
            <xdr:cNvPr id="13991" name="Button 2727" hidden="1">
              <a:extLst>
                <a:ext uri="{63B3BB69-23CF-44E3-9099-C40C66FF867C}">
                  <a14:compatExt spid="_x0000_s13991"/>
                </a:ext>
                <a:ext uri="{FF2B5EF4-FFF2-40B4-BE49-F238E27FC236}">
                  <a16:creationId xmlns:a16="http://schemas.microsoft.com/office/drawing/2014/main" id="{00000000-0008-0000-0100-0000A7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1292</xdr:row>
          <xdr:rowOff>0</xdr:rowOff>
        </xdr:from>
        <xdr:to>
          <xdr:col>7</xdr:col>
          <xdr:colOff>0</xdr:colOff>
          <xdr:row>1292</xdr:row>
          <xdr:rowOff>165100</xdr:rowOff>
        </xdr:to>
        <xdr:sp macro="" textlink="">
          <xdr:nvSpPr>
            <xdr:cNvPr id="13990" name="Button 2726" hidden="1">
              <a:extLst>
                <a:ext uri="{63B3BB69-23CF-44E3-9099-C40C66FF867C}">
                  <a14:compatExt spid="_x0000_s13990"/>
                </a:ext>
                <a:ext uri="{FF2B5EF4-FFF2-40B4-BE49-F238E27FC236}">
                  <a16:creationId xmlns:a16="http://schemas.microsoft.com/office/drawing/2014/main" id="{00000000-0008-0000-0100-0000A6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1293</xdr:row>
          <xdr:rowOff>0</xdr:rowOff>
        </xdr:from>
        <xdr:to>
          <xdr:col>7</xdr:col>
          <xdr:colOff>0</xdr:colOff>
          <xdr:row>1293</xdr:row>
          <xdr:rowOff>165100</xdr:rowOff>
        </xdr:to>
        <xdr:sp macro="" textlink="">
          <xdr:nvSpPr>
            <xdr:cNvPr id="13989" name="Button 2725" hidden="1">
              <a:extLst>
                <a:ext uri="{63B3BB69-23CF-44E3-9099-C40C66FF867C}">
                  <a14:compatExt spid="_x0000_s13989"/>
                </a:ext>
                <a:ext uri="{FF2B5EF4-FFF2-40B4-BE49-F238E27FC236}">
                  <a16:creationId xmlns:a16="http://schemas.microsoft.com/office/drawing/2014/main" id="{00000000-0008-0000-0100-0000A5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1296</xdr:row>
          <xdr:rowOff>0</xdr:rowOff>
        </xdr:from>
        <xdr:to>
          <xdr:col>7</xdr:col>
          <xdr:colOff>0</xdr:colOff>
          <xdr:row>1297</xdr:row>
          <xdr:rowOff>0</xdr:rowOff>
        </xdr:to>
        <xdr:sp macro="" textlink="">
          <xdr:nvSpPr>
            <xdr:cNvPr id="13988" name="Button 2724" hidden="1">
              <a:extLst>
                <a:ext uri="{63B3BB69-23CF-44E3-9099-C40C66FF867C}">
                  <a14:compatExt spid="_x0000_s13988"/>
                </a:ext>
                <a:ext uri="{FF2B5EF4-FFF2-40B4-BE49-F238E27FC236}">
                  <a16:creationId xmlns:a16="http://schemas.microsoft.com/office/drawing/2014/main" id="{00000000-0008-0000-0100-0000A4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1303</xdr:row>
          <xdr:rowOff>0</xdr:rowOff>
        </xdr:from>
        <xdr:to>
          <xdr:col>7</xdr:col>
          <xdr:colOff>0</xdr:colOff>
          <xdr:row>1303</xdr:row>
          <xdr:rowOff>171450</xdr:rowOff>
        </xdr:to>
        <xdr:sp macro="" textlink="">
          <xdr:nvSpPr>
            <xdr:cNvPr id="13987" name="Button 2723" hidden="1">
              <a:extLst>
                <a:ext uri="{63B3BB69-23CF-44E3-9099-C40C66FF867C}">
                  <a14:compatExt spid="_x0000_s13987"/>
                </a:ext>
                <a:ext uri="{FF2B5EF4-FFF2-40B4-BE49-F238E27FC236}">
                  <a16:creationId xmlns:a16="http://schemas.microsoft.com/office/drawing/2014/main" id="{00000000-0008-0000-0100-0000A3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1304</xdr:row>
          <xdr:rowOff>0</xdr:rowOff>
        </xdr:from>
        <xdr:to>
          <xdr:col>7</xdr:col>
          <xdr:colOff>0</xdr:colOff>
          <xdr:row>1304</xdr:row>
          <xdr:rowOff>165100</xdr:rowOff>
        </xdr:to>
        <xdr:sp macro="" textlink="">
          <xdr:nvSpPr>
            <xdr:cNvPr id="13986" name="Button 2722" hidden="1">
              <a:extLst>
                <a:ext uri="{63B3BB69-23CF-44E3-9099-C40C66FF867C}">
                  <a14:compatExt spid="_x0000_s13986"/>
                </a:ext>
                <a:ext uri="{FF2B5EF4-FFF2-40B4-BE49-F238E27FC236}">
                  <a16:creationId xmlns:a16="http://schemas.microsoft.com/office/drawing/2014/main" id="{00000000-0008-0000-0100-0000A2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1305</xdr:row>
          <xdr:rowOff>0</xdr:rowOff>
        </xdr:from>
        <xdr:to>
          <xdr:col>7</xdr:col>
          <xdr:colOff>0</xdr:colOff>
          <xdr:row>1305</xdr:row>
          <xdr:rowOff>165100</xdr:rowOff>
        </xdr:to>
        <xdr:sp macro="" textlink="">
          <xdr:nvSpPr>
            <xdr:cNvPr id="13985" name="Button 2721" hidden="1">
              <a:extLst>
                <a:ext uri="{63B3BB69-23CF-44E3-9099-C40C66FF867C}">
                  <a14:compatExt spid="_x0000_s13985"/>
                </a:ext>
                <a:ext uri="{FF2B5EF4-FFF2-40B4-BE49-F238E27FC236}">
                  <a16:creationId xmlns:a16="http://schemas.microsoft.com/office/drawing/2014/main" id="{00000000-0008-0000-0100-0000A1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1306</xdr:row>
          <xdr:rowOff>0</xdr:rowOff>
        </xdr:from>
        <xdr:to>
          <xdr:col>7</xdr:col>
          <xdr:colOff>0</xdr:colOff>
          <xdr:row>1306</xdr:row>
          <xdr:rowOff>165100</xdr:rowOff>
        </xdr:to>
        <xdr:sp macro="" textlink="">
          <xdr:nvSpPr>
            <xdr:cNvPr id="13984" name="Button 2720" hidden="1">
              <a:extLst>
                <a:ext uri="{63B3BB69-23CF-44E3-9099-C40C66FF867C}">
                  <a14:compatExt spid="_x0000_s13984"/>
                </a:ext>
                <a:ext uri="{FF2B5EF4-FFF2-40B4-BE49-F238E27FC236}">
                  <a16:creationId xmlns:a16="http://schemas.microsoft.com/office/drawing/2014/main" id="{00000000-0008-0000-0100-0000A0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1307</xdr:row>
          <xdr:rowOff>0</xdr:rowOff>
        </xdr:from>
        <xdr:to>
          <xdr:col>7</xdr:col>
          <xdr:colOff>0</xdr:colOff>
          <xdr:row>1307</xdr:row>
          <xdr:rowOff>165100</xdr:rowOff>
        </xdr:to>
        <xdr:sp macro="" textlink="">
          <xdr:nvSpPr>
            <xdr:cNvPr id="13983" name="Button 2719" hidden="1">
              <a:extLst>
                <a:ext uri="{63B3BB69-23CF-44E3-9099-C40C66FF867C}">
                  <a14:compatExt spid="_x0000_s13983"/>
                </a:ext>
                <a:ext uri="{FF2B5EF4-FFF2-40B4-BE49-F238E27FC236}">
                  <a16:creationId xmlns:a16="http://schemas.microsoft.com/office/drawing/2014/main" id="{00000000-0008-0000-0100-00009F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1310</xdr:row>
          <xdr:rowOff>0</xdr:rowOff>
        </xdr:from>
        <xdr:to>
          <xdr:col>7</xdr:col>
          <xdr:colOff>0</xdr:colOff>
          <xdr:row>1311</xdr:row>
          <xdr:rowOff>0</xdr:rowOff>
        </xdr:to>
        <xdr:sp macro="" textlink="">
          <xdr:nvSpPr>
            <xdr:cNvPr id="13982" name="Button 2718" hidden="1">
              <a:extLst>
                <a:ext uri="{63B3BB69-23CF-44E3-9099-C40C66FF867C}">
                  <a14:compatExt spid="_x0000_s13982"/>
                </a:ext>
                <a:ext uri="{FF2B5EF4-FFF2-40B4-BE49-F238E27FC236}">
                  <a16:creationId xmlns:a16="http://schemas.microsoft.com/office/drawing/2014/main" id="{00000000-0008-0000-0100-00009E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1317</xdr:row>
          <xdr:rowOff>0</xdr:rowOff>
        </xdr:from>
        <xdr:to>
          <xdr:col>7</xdr:col>
          <xdr:colOff>0</xdr:colOff>
          <xdr:row>1317</xdr:row>
          <xdr:rowOff>171450</xdr:rowOff>
        </xdr:to>
        <xdr:sp macro="" textlink="">
          <xdr:nvSpPr>
            <xdr:cNvPr id="13981" name="Button 2717" hidden="1">
              <a:extLst>
                <a:ext uri="{63B3BB69-23CF-44E3-9099-C40C66FF867C}">
                  <a14:compatExt spid="_x0000_s13981"/>
                </a:ext>
                <a:ext uri="{FF2B5EF4-FFF2-40B4-BE49-F238E27FC236}">
                  <a16:creationId xmlns:a16="http://schemas.microsoft.com/office/drawing/2014/main" id="{00000000-0008-0000-0100-00009D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1318</xdr:row>
          <xdr:rowOff>0</xdr:rowOff>
        </xdr:from>
        <xdr:to>
          <xdr:col>7</xdr:col>
          <xdr:colOff>0</xdr:colOff>
          <xdr:row>1318</xdr:row>
          <xdr:rowOff>165100</xdr:rowOff>
        </xdr:to>
        <xdr:sp macro="" textlink="">
          <xdr:nvSpPr>
            <xdr:cNvPr id="13980" name="Button 2716" hidden="1">
              <a:extLst>
                <a:ext uri="{63B3BB69-23CF-44E3-9099-C40C66FF867C}">
                  <a14:compatExt spid="_x0000_s13980"/>
                </a:ext>
                <a:ext uri="{FF2B5EF4-FFF2-40B4-BE49-F238E27FC236}">
                  <a16:creationId xmlns:a16="http://schemas.microsoft.com/office/drawing/2014/main" id="{00000000-0008-0000-0100-00009C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1319</xdr:row>
          <xdr:rowOff>0</xdr:rowOff>
        </xdr:from>
        <xdr:to>
          <xdr:col>7</xdr:col>
          <xdr:colOff>0</xdr:colOff>
          <xdr:row>1319</xdr:row>
          <xdr:rowOff>165100</xdr:rowOff>
        </xdr:to>
        <xdr:sp macro="" textlink="">
          <xdr:nvSpPr>
            <xdr:cNvPr id="13979" name="Button 2715" hidden="1">
              <a:extLst>
                <a:ext uri="{63B3BB69-23CF-44E3-9099-C40C66FF867C}">
                  <a14:compatExt spid="_x0000_s13979"/>
                </a:ext>
                <a:ext uri="{FF2B5EF4-FFF2-40B4-BE49-F238E27FC236}">
                  <a16:creationId xmlns:a16="http://schemas.microsoft.com/office/drawing/2014/main" id="{00000000-0008-0000-0100-00009B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1320</xdr:row>
          <xdr:rowOff>0</xdr:rowOff>
        </xdr:from>
        <xdr:to>
          <xdr:col>7</xdr:col>
          <xdr:colOff>0</xdr:colOff>
          <xdr:row>1320</xdr:row>
          <xdr:rowOff>165100</xdr:rowOff>
        </xdr:to>
        <xdr:sp macro="" textlink="">
          <xdr:nvSpPr>
            <xdr:cNvPr id="13978" name="Button 2714" hidden="1">
              <a:extLst>
                <a:ext uri="{63B3BB69-23CF-44E3-9099-C40C66FF867C}">
                  <a14:compatExt spid="_x0000_s13978"/>
                </a:ext>
                <a:ext uri="{FF2B5EF4-FFF2-40B4-BE49-F238E27FC236}">
                  <a16:creationId xmlns:a16="http://schemas.microsoft.com/office/drawing/2014/main" id="{00000000-0008-0000-0100-00009A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1321</xdr:row>
          <xdr:rowOff>0</xdr:rowOff>
        </xdr:from>
        <xdr:to>
          <xdr:col>7</xdr:col>
          <xdr:colOff>0</xdr:colOff>
          <xdr:row>1321</xdr:row>
          <xdr:rowOff>165100</xdr:rowOff>
        </xdr:to>
        <xdr:sp macro="" textlink="">
          <xdr:nvSpPr>
            <xdr:cNvPr id="13977" name="Button 2713" hidden="1">
              <a:extLst>
                <a:ext uri="{63B3BB69-23CF-44E3-9099-C40C66FF867C}">
                  <a14:compatExt spid="_x0000_s13977"/>
                </a:ext>
                <a:ext uri="{FF2B5EF4-FFF2-40B4-BE49-F238E27FC236}">
                  <a16:creationId xmlns:a16="http://schemas.microsoft.com/office/drawing/2014/main" id="{00000000-0008-0000-0100-000099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1322</xdr:row>
          <xdr:rowOff>0</xdr:rowOff>
        </xdr:from>
        <xdr:to>
          <xdr:col>7</xdr:col>
          <xdr:colOff>0</xdr:colOff>
          <xdr:row>1322</xdr:row>
          <xdr:rowOff>165100</xdr:rowOff>
        </xdr:to>
        <xdr:sp macro="" textlink="">
          <xdr:nvSpPr>
            <xdr:cNvPr id="13976" name="Button 2712" hidden="1">
              <a:extLst>
                <a:ext uri="{63B3BB69-23CF-44E3-9099-C40C66FF867C}">
                  <a14:compatExt spid="_x0000_s13976"/>
                </a:ext>
                <a:ext uri="{FF2B5EF4-FFF2-40B4-BE49-F238E27FC236}">
                  <a16:creationId xmlns:a16="http://schemas.microsoft.com/office/drawing/2014/main" id="{00000000-0008-0000-0100-000098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1323</xdr:row>
          <xdr:rowOff>0</xdr:rowOff>
        </xdr:from>
        <xdr:to>
          <xdr:col>7</xdr:col>
          <xdr:colOff>0</xdr:colOff>
          <xdr:row>1323</xdr:row>
          <xdr:rowOff>165100</xdr:rowOff>
        </xdr:to>
        <xdr:sp macro="" textlink="">
          <xdr:nvSpPr>
            <xdr:cNvPr id="13975" name="Button 2711" hidden="1">
              <a:extLst>
                <a:ext uri="{63B3BB69-23CF-44E3-9099-C40C66FF867C}">
                  <a14:compatExt spid="_x0000_s13975"/>
                </a:ext>
                <a:ext uri="{FF2B5EF4-FFF2-40B4-BE49-F238E27FC236}">
                  <a16:creationId xmlns:a16="http://schemas.microsoft.com/office/drawing/2014/main" id="{00000000-0008-0000-0100-000097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1324</xdr:row>
          <xdr:rowOff>0</xdr:rowOff>
        </xdr:from>
        <xdr:to>
          <xdr:col>7</xdr:col>
          <xdr:colOff>0</xdr:colOff>
          <xdr:row>1324</xdr:row>
          <xdr:rowOff>165100</xdr:rowOff>
        </xdr:to>
        <xdr:sp macro="" textlink="">
          <xdr:nvSpPr>
            <xdr:cNvPr id="13974" name="Button 2710" hidden="1">
              <a:extLst>
                <a:ext uri="{63B3BB69-23CF-44E3-9099-C40C66FF867C}">
                  <a14:compatExt spid="_x0000_s13974"/>
                </a:ext>
                <a:ext uri="{FF2B5EF4-FFF2-40B4-BE49-F238E27FC236}">
                  <a16:creationId xmlns:a16="http://schemas.microsoft.com/office/drawing/2014/main" id="{00000000-0008-0000-0100-000096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1325</xdr:row>
          <xdr:rowOff>0</xdr:rowOff>
        </xdr:from>
        <xdr:to>
          <xdr:col>7</xdr:col>
          <xdr:colOff>0</xdr:colOff>
          <xdr:row>1325</xdr:row>
          <xdr:rowOff>165100</xdr:rowOff>
        </xdr:to>
        <xdr:sp macro="" textlink="">
          <xdr:nvSpPr>
            <xdr:cNvPr id="13973" name="Button 2709" hidden="1">
              <a:extLst>
                <a:ext uri="{63B3BB69-23CF-44E3-9099-C40C66FF867C}">
                  <a14:compatExt spid="_x0000_s13973"/>
                </a:ext>
                <a:ext uri="{FF2B5EF4-FFF2-40B4-BE49-F238E27FC236}">
                  <a16:creationId xmlns:a16="http://schemas.microsoft.com/office/drawing/2014/main" id="{00000000-0008-0000-0100-000095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1326</xdr:row>
          <xdr:rowOff>0</xdr:rowOff>
        </xdr:from>
        <xdr:to>
          <xdr:col>7</xdr:col>
          <xdr:colOff>0</xdr:colOff>
          <xdr:row>1326</xdr:row>
          <xdr:rowOff>165100</xdr:rowOff>
        </xdr:to>
        <xdr:sp macro="" textlink="">
          <xdr:nvSpPr>
            <xdr:cNvPr id="13972" name="Button 2708" hidden="1">
              <a:extLst>
                <a:ext uri="{63B3BB69-23CF-44E3-9099-C40C66FF867C}">
                  <a14:compatExt spid="_x0000_s13972"/>
                </a:ext>
                <a:ext uri="{FF2B5EF4-FFF2-40B4-BE49-F238E27FC236}">
                  <a16:creationId xmlns:a16="http://schemas.microsoft.com/office/drawing/2014/main" id="{00000000-0008-0000-0100-000094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1329</xdr:row>
          <xdr:rowOff>0</xdr:rowOff>
        </xdr:from>
        <xdr:to>
          <xdr:col>7</xdr:col>
          <xdr:colOff>0</xdr:colOff>
          <xdr:row>1330</xdr:row>
          <xdr:rowOff>0</xdr:rowOff>
        </xdr:to>
        <xdr:sp macro="" textlink="">
          <xdr:nvSpPr>
            <xdr:cNvPr id="13971" name="Button 2707" hidden="1">
              <a:extLst>
                <a:ext uri="{63B3BB69-23CF-44E3-9099-C40C66FF867C}">
                  <a14:compatExt spid="_x0000_s13971"/>
                </a:ext>
                <a:ext uri="{FF2B5EF4-FFF2-40B4-BE49-F238E27FC236}">
                  <a16:creationId xmlns:a16="http://schemas.microsoft.com/office/drawing/2014/main" id="{00000000-0008-0000-0100-000093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1336</xdr:row>
          <xdr:rowOff>0</xdr:rowOff>
        </xdr:from>
        <xdr:to>
          <xdr:col>7</xdr:col>
          <xdr:colOff>0</xdr:colOff>
          <xdr:row>1336</xdr:row>
          <xdr:rowOff>171450</xdr:rowOff>
        </xdr:to>
        <xdr:sp macro="" textlink="">
          <xdr:nvSpPr>
            <xdr:cNvPr id="13970" name="Button 2706" hidden="1">
              <a:extLst>
                <a:ext uri="{63B3BB69-23CF-44E3-9099-C40C66FF867C}">
                  <a14:compatExt spid="_x0000_s13970"/>
                </a:ext>
                <a:ext uri="{FF2B5EF4-FFF2-40B4-BE49-F238E27FC236}">
                  <a16:creationId xmlns:a16="http://schemas.microsoft.com/office/drawing/2014/main" id="{00000000-0008-0000-0100-000092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1337</xdr:row>
          <xdr:rowOff>0</xdr:rowOff>
        </xdr:from>
        <xdr:to>
          <xdr:col>7</xdr:col>
          <xdr:colOff>0</xdr:colOff>
          <xdr:row>1337</xdr:row>
          <xdr:rowOff>165100</xdr:rowOff>
        </xdr:to>
        <xdr:sp macro="" textlink="">
          <xdr:nvSpPr>
            <xdr:cNvPr id="13969" name="Button 2705" hidden="1">
              <a:extLst>
                <a:ext uri="{63B3BB69-23CF-44E3-9099-C40C66FF867C}">
                  <a14:compatExt spid="_x0000_s13969"/>
                </a:ext>
                <a:ext uri="{FF2B5EF4-FFF2-40B4-BE49-F238E27FC236}">
                  <a16:creationId xmlns:a16="http://schemas.microsoft.com/office/drawing/2014/main" id="{00000000-0008-0000-0100-000091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1338</xdr:row>
          <xdr:rowOff>0</xdr:rowOff>
        </xdr:from>
        <xdr:to>
          <xdr:col>7</xdr:col>
          <xdr:colOff>0</xdr:colOff>
          <xdr:row>1338</xdr:row>
          <xdr:rowOff>165100</xdr:rowOff>
        </xdr:to>
        <xdr:sp macro="" textlink="">
          <xdr:nvSpPr>
            <xdr:cNvPr id="13968" name="Button 2704" hidden="1">
              <a:extLst>
                <a:ext uri="{63B3BB69-23CF-44E3-9099-C40C66FF867C}">
                  <a14:compatExt spid="_x0000_s13968"/>
                </a:ext>
                <a:ext uri="{FF2B5EF4-FFF2-40B4-BE49-F238E27FC236}">
                  <a16:creationId xmlns:a16="http://schemas.microsoft.com/office/drawing/2014/main" id="{00000000-0008-0000-0100-000090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1339</xdr:row>
          <xdr:rowOff>0</xdr:rowOff>
        </xdr:from>
        <xdr:to>
          <xdr:col>7</xdr:col>
          <xdr:colOff>0</xdr:colOff>
          <xdr:row>1339</xdr:row>
          <xdr:rowOff>165100</xdr:rowOff>
        </xdr:to>
        <xdr:sp macro="" textlink="">
          <xdr:nvSpPr>
            <xdr:cNvPr id="13967" name="Button 2703" hidden="1">
              <a:extLst>
                <a:ext uri="{63B3BB69-23CF-44E3-9099-C40C66FF867C}">
                  <a14:compatExt spid="_x0000_s13967"/>
                </a:ext>
                <a:ext uri="{FF2B5EF4-FFF2-40B4-BE49-F238E27FC236}">
                  <a16:creationId xmlns:a16="http://schemas.microsoft.com/office/drawing/2014/main" id="{00000000-0008-0000-0100-00008F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1340</xdr:row>
          <xdr:rowOff>0</xdr:rowOff>
        </xdr:from>
        <xdr:to>
          <xdr:col>7</xdr:col>
          <xdr:colOff>0</xdr:colOff>
          <xdr:row>1340</xdr:row>
          <xdr:rowOff>165100</xdr:rowOff>
        </xdr:to>
        <xdr:sp macro="" textlink="">
          <xdr:nvSpPr>
            <xdr:cNvPr id="13966" name="Button 2702" hidden="1">
              <a:extLst>
                <a:ext uri="{63B3BB69-23CF-44E3-9099-C40C66FF867C}">
                  <a14:compatExt spid="_x0000_s13966"/>
                </a:ext>
                <a:ext uri="{FF2B5EF4-FFF2-40B4-BE49-F238E27FC236}">
                  <a16:creationId xmlns:a16="http://schemas.microsoft.com/office/drawing/2014/main" id="{00000000-0008-0000-0100-00008E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1341</xdr:row>
          <xdr:rowOff>0</xdr:rowOff>
        </xdr:from>
        <xdr:to>
          <xdr:col>7</xdr:col>
          <xdr:colOff>0</xdr:colOff>
          <xdr:row>1341</xdr:row>
          <xdr:rowOff>165100</xdr:rowOff>
        </xdr:to>
        <xdr:sp macro="" textlink="">
          <xdr:nvSpPr>
            <xdr:cNvPr id="13965" name="Button 2701" hidden="1">
              <a:extLst>
                <a:ext uri="{63B3BB69-23CF-44E3-9099-C40C66FF867C}">
                  <a14:compatExt spid="_x0000_s13965"/>
                </a:ext>
                <a:ext uri="{FF2B5EF4-FFF2-40B4-BE49-F238E27FC236}">
                  <a16:creationId xmlns:a16="http://schemas.microsoft.com/office/drawing/2014/main" id="{00000000-0008-0000-0100-00008D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1342</xdr:row>
          <xdr:rowOff>0</xdr:rowOff>
        </xdr:from>
        <xdr:to>
          <xdr:col>7</xdr:col>
          <xdr:colOff>0</xdr:colOff>
          <xdr:row>1342</xdr:row>
          <xdr:rowOff>165100</xdr:rowOff>
        </xdr:to>
        <xdr:sp macro="" textlink="">
          <xdr:nvSpPr>
            <xdr:cNvPr id="13964" name="Button 2700" hidden="1">
              <a:extLst>
                <a:ext uri="{63B3BB69-23CF-44E3-9099-C40C66FF867C}">
                  <a14:compatExt spid="_x0000_s13964"/>
                </a:ext>
                <a:ext uri="{FF2B5EF4-FFF2-40B4-BE49-F238E27FC236}">
                  <a16:creationId xmlns:a16="http://schemas.microsoft.com/office/drawing/2014/main" id="{00000000-0008-0000-0100-00008C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1343</xdr:row>
          <xdr:rowOff>0</xdr:rowOff>
        </xdr:from>
        <xdr:to>
          <xdr:col>7</xdr:col>
          <xdr:colOff>0</xdr:colOff>
          <xdr:row>1343</xdr:row>
          <xdr:rowOff>165100</xdr:rowOff>
        </xdr:to>
        <xdr:sp macro="" textlink="">
          <xdr:nvSpPr>
            <xdr:cNvPr id="13963" name="Button 2699" hidden="1">
              <a:extLst>
                <a:ext uri="{63B3BB69-23CF-44E3-9099-C40C66FF867C}">
                  <a14:compatExt spid="_x0000_s13963"/>
                </a:ext>
                <a:ext uri="{FF2B5EF4-FFF2-40B4-BE49-F238E27FC236}">
                  <a16:creationId xmlns:a16="http://schemas.microsoft.com/office/drawing/2014/main" id="{00000000-0008-0000-0100-00008B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1344</xdr:row>
          <xdr:rowOff>0</xdr:rowOff>
        </xdr:from>
        <xdr:to>
          <xdr:col>7</xdr:col>
          <xdr:colOff>0</xdr:colOff>
          <xdr:row>1344</xdr:row>
          <xdr:rowOff>165100</xdr:rowOff>
        </xdr:to>
        <xdr:sp macro="" textlink="">
          <xdr:nvSpPr>
            <xdr:cNvPr id="13962" name="Button 2698" hidden="1">
              <a:extLst>
                <a:ext uri="{63B3BB69-23CF-44E3-9099-C40C66FF867C}">
                  <a14:compatExt spid="_x0000_s13962"/>
                </a:ext>
                <a:ext uri="{FF2B5EF4-FFF2-40B4-BE49-F238E27FC236}">
                  <a16:creationId xmlns:a16="http://schemas.microsoft.com/office/drawing/2014/main" id="{00000000-0008-0000-0100-00008A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1345</xdr:row>
          <xdr:rowOff>0</xdr:rowOff>
        </xdr:from>
        <xdr:to>
          <xdr:col>7</xdr:col>
          <xdr:colOff>0</xdr:colOff>
          <xdr:row>1345</xdr:row>
          <xdr:rowOff>165100</xdr:rowOff>
        </xdr:to>
        <xdr:sp macro="" textlink="">
          <xdr:nvSpPr>
            <xdr:cNvPr id="13961" name="Button 2697" hidden="1">
              <a:extLst>
                <a:ext uri="{63B3BB69-23CF-44E3-9099-C40C66FF867C}">
                  <a14:compatExt spid="_x0000_s13961"/>
                </a:ext>
                <a:ext uri="{FF2B5EF4-FFF2-40B4-BE49-F238E27FC236}">
                  <a16:creationId xmlns:a16="http://schemas.microsoft.com/office/drawing/2014/main" id="{00000000-0008-0000-0100-000089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1346</xdr:row>
          <xdr:rowOff>0</xdr:rowOff>
        </xdr:from>
        <xdr:to>
          <xdr:col>7</xdr:col>
          <xdr:colOff>0</xdr:colOff>
          <xdr:row>1346</xdr:row>
          <xdr:rowOff>165100</xdr:rowOff>
        </xdr:to>
        <xdr:sp macro="" textlink="">
          <xdr:nvSpPr>
            <xdr:cNvPr id="13960" name="Button 2696" hidden="1">
              <a:extLst>
                <a:ext uri="{63B3BB69-23CF-44E3-9099-C40C66FF867C}">
                  <a14:compatExt spid="_x0000_s13960"/>
                </a:ext>
                <a:ext uri="{FF2B5EF4-FFF2-40B4-BE49-F238E27FC236}">
                  <a16:creationId xmlns:a16="http://schemas.microsoft.com/office/drawing/2014/main" id="{00000000-0008-0000-0100-000088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1347</xdr:row>
          <xdr:rowOff>0</xdr:rowOff>
        </xdr:from>
        <xdr:to>
          <xdr:col>7</xdr:col>
          <xdr:colOff>0</xdr:colOff>
          <xdr:row>1347</xdr:row>
          <xdr:rowOff>165100</xdr:rowOff>
        </xdr:to>
        <xdr:sp macro="" textlink="">
          <xdr:nvSpPr>
            <xdr:cNvPr id="13959" name="Button 2695" hidden="1">
              <a:extLst>
                <a:ext uri="{63B3BB69-23CF-44E3-9099-C40C66FF867C}">
                  <a14:compatExt spid="_x0000_s13959"/>
                </a:ext>
                <a:ext uri="{FF2B5EF4-FFF2-40B4-BE49-F238E27FC236}">
                  <a16:creationId xmlns:a16="http://schemas.microsoft.com/office/drawing/2014/main" id="{00000000-0008-0000-0100-000087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1350</xdr:row>
          <xdr:rowOff>0</xdr:rowOff>
        </xdr:from>
        <xdr:to>
          <xdr:col>7</xdr:col>
          <xdr:colOff>0</xdr:colOff>
          <xdr:row>1351</xdr:row>
          <xdr:rowOff>0</xdr:rowOff>
        </xdr:to>
        <xdr:sp macro="" textlink="">
          <xdr:nvSpPr>
            <xdr:cNvPr id="13958" name="Button 2694" hidden="1">
              <a:extLst>
                <a:ext uri="{63B3BB69-23CF-44E3-9099-C40C66FF867C}">
                  <a14:compatExt spid="_x0000_s13958"/>
                </a:ext>
                <a:ext uri="{FF2B5EF4-FFF2-40B4-BE49-F238E27FC236}">
                  <a16:creationId xmlns:a16="http://schemas.microsoft.com/office/drawing/2014/main" id="{00000000-0008-0000-0100-000086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1357</xdr:row>
          <xdr:rowOff>0</xdr:rowOff>
        </xdr:from>
        <xdr:to>
          <xdr:col>7</xdr:col>
          <xdr:colOff>0</xdr:colOff>
          <xdr:row>1357</xdr:row>
          <xdr:rowOff>171450</xdr:rowOff>
        </xdr:to>
        <xdr:sp macro="" textlink="">
          <xdr:nvSpPr>
            <xdr:cNvPr id="13957" name="Button 2693" hidden="1">
              <a:extLst>
                <a:ext uri="{63B3BB69-23CF-44E3-9099-C40C66FF867C}">
                  <a14:compatExt spid="_x0000_s13957"/>
                </a:ext>
                <a:ext uri="{FF2B5EF4-FFF2-40B4-BE49-F238E27FC236}">
                  <a16:creationId xmlns:a16="http://schemas.microsoft.com/office/drawing/2014/main" id="{00000000-0008-0000-0100-000085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1358</xdr:row>
          <xdr:rowOff>0</xdr:rowOff>
        </xdr:from>
        <xdr:to>
          <xdr:col>7</xdr:col>
          <xdr:colOff>0</xdr:colOff>
          <xdr:row>1358</xdr:row>
          <xdr:rowOff>165100</xdr:rowOff>
        </xdr:to>
        <xdr:sp macro="" textlink="">
          <xdr:nvSpPr>
            <xdr:cNvPr id="13956" name="Button 2692" hidden="1">
              <a:extLst>
                <a:ext uri="{63B3BB69-23CF-44E3-9099-C40C66FF867C}">
                  <a14:compatExt spid="_x0000_s13956"/>
                </a:ext>
                <a:ext uri="{FF2B5EF4-FFF2-40B4-BE49-F238E27FC236}">
                  <a16:creationId xmlns:a16="http://schemas.microsoft.com/office/drawing/2014/main" id="{00000000-0008-0000-0100-000084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1359</xdr:row>
          <xdr:rowOff>0</xdr:rowOff>
        </xdr:from>
        <xdr:to>
          <xdr:col>7</xdr:col>
          <xdr:colOff>0</xdr:colOff>
          <xdr:row>1359</xdr:row>
          <xdr:rowOff>165100</xdr:rowOff>
        </xdr:to>
        <xdr:sp macro="" textlink="">
          <xdr:nvSpPr>
            <xdr:cNvPr id="13955" name="Button 2691" hidden="1">
              <a:extLst>
                <a:ext uri="{63B3BB69-23CF-44E3-9099-C40C66FF867C}">
                  <a14:compatExt spid="_x0000_s13955"/>
                </a:ext>
                <a:ext uri="{FF2B5EF4-FFF2-40B4-BE49-F238E27FC236}">
                  <a16:creationId xmlns:a16="http://schemas.microsoft.com/office/drawing/2014/main" id="{00000000-0008-0000-0100-000083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1360</xdr:row>
          <xdr:rowOff>0</xdr:rowOff>
        </xdr:from>
        <xdr:to>
          <xdr:col>7</xdr:col>
          <xdr:colOff>0</xdr:colOff>
          <xdr:row>1360</xdr:row>
          <xdr:rowOff>165100</xdr:rowOff>
        </xdr:to>
        <xdr:sp macro="" textlink="">
          <xdr:nvSpPr>
            <xdr:cNvPr id="13954" name="Button 2690" hidden="1">
              <a:extLst>
                <a:ext uri="{63B3BB69-23CF-44E3-9099-C40C66FF867C}">
                  <a14:compatExt spid="_x0000_s13954"/>
                </a:ext>
                <a:ext uri="{FF2B5EF4-FFF2-40B4-BE49-F238E27FC236}">
                  <a16:creationId xmlns:a16="http://schemas.microsoft.com/office/drawing/2014/main" id="{00000000-0008-0000-0100-000082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1363</xdr:row>
          <xdr:rowOff>0</xdr:rowOff>
        </xdr:from>
        <xdr:to>
          <xdr:col>7</xdr:col>
          <xdr:colOff>0</xdr:colOff>
          <xdr:row>1364</xdr:row>
          <xdr:rowOff>0</xdr:rowOff>
        </xdr:to>
        <xdr:sp macro="" textlink="">
          <xdr:nvSpPr>
            <xdr:cNvPr id="13953" name="Button 2689" hidden="1">
              <a:extLst>
                <a:ext uri="{63B3BB69-23CF-44E3-9099-C40C66FF867C}">
                  <a14:compatExt spid="_x0000_s13953"/>
                </a:ext>
                <a:ext uri="{FF2B5EF4-FFF2-40B4-BE49-F238E27FC236}">
                  <a16:creationId xmlns:a16="http://schemas.microsoft.com/office/drawing/2014/main" id="{00000000-0008-0000-0100-000081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1370</xdr:row>
          <xdr:rowOff>0</xdr:rowOff>
        </xdr:from>
        <xdr:to>
          <xdr:col>7</xdr:col>
          <xdr:colOff>0</xdr:colOff>
          <xdr:row>1370</xdr:row>
          <xdr:rowOff>171450</xdr:rowOff>
        </xdr:to>
        <xdr:sp macro="" textlink="">
          <xdr:nvSpPr>
            <xdr:cNvPr id="13952" name="Button 2688" hidden="1">
              <a:extLst>
                <a:ext uri="{63B3BB69-23CF-44E3-9099-C40C66FF867C}">
                  <a14:compatExt spid="_x0000_s13952"/>
                </a:ext>
                <a:ext uri="{FF2B5EF4-FFF2-40B4-BE49-F238E27FC236}">
                  <a16:creationId xmlns:a16="http://schemas.microsoft.com/office/drawing/2014/main" id="{00000000-0008-0000-0100-000080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1371</xdr:row>
          <xdr:rowOff>0</xdr:rowOff>
        </xdr:from>
        <xdr:to>
          <xdr:col>7</xdr:col>
          <xdr:colOff>0</xdr:colOff>
          <xdr:row>1371</xdr:row>
          <xdr:rowOff>165100</xdr:rowOff>
        </xdr:to>
        <xdr:sp macro="" textlink="">
          <xdr:nvSpPr>
            <xdr:cNvPr id="13951" name="Button 2687" hidden="1">
              <a:extLst>
                <a:ext uri="{63B3BB69-23CF-44E3-9099-C40C66FF867C}">
                  <a14:compatExt spid="_x0000_s13951"/>
                </a:ext>
                <a:ext uri="{FF2B5EF4-FFF2-40B4-BE49-F238E27FC236}">
                  <a16:creationId xmlns:a16="http://schemas.microsoft.com/office/drawing/2014/main" id="{00000000-0008-0000-0100-00007F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1372</xdr:row>
          <xdr:rowOff>0</xdr:rowOff>
        </xdr:from>
        <xdr:to>
          <xdr:col>7</xdr:col>
          <xdr:colOff>0</xdr:colOff>
          <xdr:row>1372</xdr:row>
          <xdr:rowOff>165100</xdr:rowOff>
        </xdr:to>
        <xdr:sp macro="" textlink="">
          <xdr:nvSpPr>
            <xdr:cNvPr id="13950" name="Button 2686" hidden="1">
              <a:extLst>
                <a:ext uri="{63B3BB69-23CF-44E3-9099-C40C66FF867C}">
                  <a14:compatExt spid="_x0000_s13950"/>
                </a:ext>
                <a:ext uri="{FF2B5EF4-FFF2-40B4-BE49-F238E27FC236}">
                  <a16:creationId xmlns:a16="http://schemas.microsoft.com/office/drawing/2014/main" id="{00000000-0008-0000-0100-00007E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1373</xdr:row>
          <xdr:rowOff>0</xdr:rowOff>
        </xdr:from>
        <xdr:to>
          <xdr:col>7</xdr:col>
          <xdr:colOff>0</xdr:colOff>
          <xdr:row>1373</xdr:row>
          <xdr:rowOff>165100</xdr:rowOff>
        </xdr:to>
        <xdr:sp macro="" textlink="">
          <xdr:nvSpPr>
            <xdr:cNvPr id="13949" name="Button 2685" hidden="1">
              <a:extLst>
                <a:ext uri="{63B3BB69-23CF-44E3-9099-C40C66FF867C}">
                  <a14:compatExt spid="_x0000_s13949"/>
                </a:ext>
                <a:ext uri="{FF2B5EF4-FFF2-40B4-BE49-F238E27FC236}">
                  <a16:creationId xmlns:a16="http://schemas.microsoft.com/office/drawing/2014/main" id="{00000000-0008-0000-0100-00007D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1374</xdr:row>
          <xdr:rowOff>0</xdr:rowOff>
        </xdr:from>
        <xdr:to>
          <xdr:col>7</xdr:col>
          <xdr:colOff>0</xdr:colOff>
          <xdr:row>1374</xdr:row>
          <xdr:rowOff>165100</xdr:rowOff>
        </xdr:to>
        <xdr:sp macro="" textlink="">
          <xdr:nvSpPr>
            <xdr:cNvPr id="13948" name="Button 2684" hidden="1">
              <a:extLst>
                <a:ext uri="{63B3BB69-23CF-44E3-9099-C40C66FF867C}">
                  <a14:compatExt spid="_x0000_s13948"/>
                </a:ext>
                <a:ext uri="{FF2B5EF4-FFF2-40B4-BE49-F238E27FC236}">
                  <a16:creationId xmlns:a16="http://schemas.microsoft.com/office/drawing/2014/main" id="{00000000-0008-0000-0100-00007C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1375</xdr:row>
          <xdr:rowOff>0</xdr:rowOff>
        </xdr:from>
        <xdr:to>
          <xdr:col>7</xdr:col>
          <xdr:colOff>0</xdr:colOff>
          <xdr:row>1375</xdr:row>
          <xdr:rowOff>165100</xdr:rowOff>
        </xdr:to>
        <xdr:sp macro="" textlink="">
          <xdr:nvSpPr>
            <xdr:cNvPr id="13947" name="Button 2683" hidden="1">
              <a:extLst>
                <a:ext uri="{63B3BB69-23CF-44E3-9099-C40C66FF867C}">
                  <a14:compatExt spid="_x0000_s13947"/>
                </a:ext>
                <a:ext uri="{FF2B5EF4-FFF2-40B4-BE49-F238E27FC236}">
                  <a16:creationId xmlns:a16="http://schemas.microsoft.com/office/drawing/2014/main" id="{00000000-0008-0000-0100-00007B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1378</xdr:row>
          <xdr:rowOff>0</xdr:rowOff>
        </xdr:from>
        <xdr:to>
          <xdr:col>7</xdr:col>
          <xdr:colOff>0</xdr:colOff>
          <xdr:row>1379</xdr:row>
          <xdr:rowOff>0</xdr:rowOff>
        </xdr:to>
        <xdr:sp macro="" textlink="">
          <xdr:nvSpPr>
            <xdr:cNvPr id="13946" name="Button 2682" hidden="1">
              <a:extLst>
                <a:ext uri="{63B3BB69-23CF-44E3-9099-C40C66FF867C}">
                  <a14:compatExt spid="_x0000_s13946"/>
                </a:ext>
                <a:ext uri="{FF2B5EF4-FFF2-40B4-BE49-F238E27FC236}">
                  <a16:creationId xmlns:a16="http://schemas.microsoft.com/office/drawing/2014/main" id="{00000000-0008-0000-0100-00007A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1385</xdr:row>
          <xdr:rowOff>0</xdr:rowOff>
        </xdr:from>
        <xdr:to>
          <xdr:col>7</xdr:col>
          <xdr:colOff>0</xdr:colOff>
          <xdr:row>1385</xdr:row>
          <xdr:rowOff>171450</xdr:rowOff>
        </xdr:to>
        <xdr:sp macro="" textlink="">
          <xdr:nvSpPr>
            <xdr:cNvPr id="13945" name="Button 2681" hidden="1">
              <a:extLst>
                <a:ext uri="{63B3BB69-23CF-44E3-9099-C40C66FF867C}">
                  <a14:compatExt spid="_x0000_s13945"/>
                </a:ext>
                <a:ext uri="{FF2B5EF4-FFF2-40B4-BE49-F238E27FC236}">
                  <a16:creationId xmlns:a16="http://schemas.microsoft.com/office/drawing/2014/main" id="{00000000-0008-0000-0100-000079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1386</xdr:row>
          <xdr:rowOff>0</xdr:rowOff>
        </xdr:from>
        <xdr:to>
          <xdr:col>7</xdr:col>
          <xdr:colOff>0</xdr:colOff>
          <xdr:row>1386</xdr:row>
          <xdr:rowOff>165100</xdr:rowOff>
        </xdr:to>
        <xdr:sp macro="" textlink="">
          <xdr:nvSpPr>
            <xdr:cNvPr id="13944" name="Button 2680" hidden="1">
              <a:extLst>
                <a:ext uri="{63B3BB69-23CF-44E3-9099-C40C66FF867C}">
                  <a14:compatExt spid="_x0000_s13944"/>
                </a:ext>
                <a:ext uri="{FF2B5EF4-FFF2-40B4-BE49-F238E27FC236}">
                  <a16:creationId xmlns:a16="http://schemas.microsoft.com/office/drawing/2014/main" id="{00000000-0008-0000-0100-000078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1387</xdr:row>
          <xdr:rowOff>0</xdr:rowOff>
        </xdr:from>
        <xdr:to>
          <xdr:col>7</xdr:col>
          <xdr:colOff>0</xdr:colOff>
          <xdr:row>1387</xdr:row>
          <xdr:rowOff>165100</xdr:rowOff>
        </xdr:to>
        <xdr:sp macro="" textlink="">
          <xdr:nvSpPr>
            <xdr:cNvPr id="13943" name="Button 2679" hidden="1">
              <a:extLst>
                <a:ext uri="{63B3BB69-23CF-44E3-9099-C40C66FF867C}">
                  <a14:compatExt spid="_x0000_s13943"/>
                </a:ext>
                <a:ext uri="{FF2B5EF4-FFF2-40B4-BE49-F238E27FC236}">
                  <a16:creationId xmlns:a16="http://schemas.microsoft.com/office/drawing/2014/main" id="{00000000-0008-0000-0100-000077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1390</xdr:row>
          <xdr:rowOff>0</xdr:rowOff>
        </xdr:from>
        <xdr:to>
          <xdr:col>7</xdr:col>
          <xdr:colOff>0</xdr:colOff>
          <xdr:row>1391</xdr:row>
          <xdr:rowOff>0</xdr:rowOff>
        </xdr:to>
        <xdr:sp macro="" textlink="">
          <xdr:nvSpPr>
            <xdr:cNvPr id="13942" name="Button 2678" hidden="1">
              <a:extLst>
                <a:ext uri="{63B3BB69-23CF-44E3-9099-C40C66FF867C}">
                  <a14:compatExt spid="_x0000_s13942"/>
                </a:ext>
                <a:ext uri="{FF2B5EF4-FFF2-40B4-BE49-F238E27FC236}">
                  <a16:creationId xmlns:a16="http://schemas.microsoft.com/office/drawing/2014/main" id="{00000000-0008-0000-0100-000076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1397</xdr:row>
          <xdr:rowOff>0</xdr:rowOff>
        </xdr:from>
        <xdr:to>
          <xdr:col>7</xdr:col>
          <xdr:colOff>0</xdr:colOff>
          <xdr:row>1397</xdr:row>
          <xdr:rowOff>171450</xdr:rowOff>
        </xdr:to>
        <xdr:sp macro="" textlink="">
          <xdr:nvSpPr>
            <xdr:cNvPr id="13941" name="Button 2677" hidden="1">
              <a:extLst>
                <a:ext uri="{63B3BB69-23CF-44E3-9099-C40C66FF867C}">
                  <a14:compatExt spid="_x0000_s13941"/>
                </a:ext>
                <a:ext uri="{FF2B5EF4-FFF2-40B4-BE49-F238E27FC236}">
                  <a16:creationId xmlns:a16="http://schemas.microsoft.com/office/drawing/2014/main" id="{00000000-0008-0000-0100-000075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1398</xdr:row>
          <xdr:rowOff>0</xdr:rowOff>
        </xdr:from>
        <xdr:to>
          <xdr:col>7</xdr:col>
          <xdr:colOff>0</xdr:colOff>
          <xdr:row>1398</xdr:row>
          <xdr:rowOff>165100</xdr:rowOff>
        </xdr:to>
        <xdr:sp macro="" textlink="">
          <xdr:nvSpPr>
            <xdr:cNvPr id="13940" name="Button 2676" hidden="1">
              <a:extLst>
                <a:ext uri="{63B3BB69-23CF-44E3-9099-C40C66FF867C}">
                  <a14:compatExt spid="_x0000_s13940"/>
                </a:ext>
                <a:ext uri="{FF2B5EF4-FFF2-40B4-BE49-F238E27FC236}">
                  <a16:creationId xmlns:a16="http://schemas.microsoft.com/office/drawing/2014/main" id="{00000000-0008-0000-0100-000074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1401</xdr:row>
          <xdr:rowOff>0</xdr:rowOff>
        </xdr:from>
        <xdr:to>
          <xdr:col>7</xdr:col>
          <xdr:colOff>0</xdr:colOff>
          <xdr:row>1402</xdr:row>
          <xdr:rowOff>0</xdr:rowOff>
        </xdr:to>
        <xdr:sp macro="" textlink="">
          <xdr:nvSpPr>
            <xdr:cNvPr id="13939" name="Button 2675" hidden="1">
              <a:extLst>
                <a:ext uri="{63B3BB69-23CF-44E3-9099-C40C66FF867C}">
                  <a14:compatExt spid="_x0000_s13939"/>
                </a:ext>
                <a:ext uri="{FF2B5EF4-FFF2-40B4-BE49-F238E27FC236}">
                  <a16:creationId xmlns:a16="http://schemas.microsoft.com/office/drawing/2014/main" id="{00000000-0008-0000-0100-000073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1408</xdr:row>
          <xdr:rowOff>0</xdr:rowOff>
        </xdr:from>
        <xdr:to>
          <xdr:col>7</xdr:col>
          <xdr:colOff>0</xdr:colOff>
          <xdr:row>1408</xdr:row>
          <xdr:rowOff>171450</xdr:rowOff>
        </xdr:to>
        <xdr:sp macro="" textlink="">
          <xdr:nvSpPr>
            <xdr:cNvPr id="13938" name="Button 2674" hidden="1">
              <a:extLst>
                <a:ext uri="{63B3BB69-23CF-44E3-9099-C40C66FF867C}">
                  <a14:compatExt spid="_x0000_s13938"/>
                </a:ext>
                <a:ext uri="{FF2B5EF4-FFF2-40B4-BE49-F238E27FC236}">
                  <a16:creationId xmlns:a16="http://schemas.microsoft.com/office/drawing/2014/main" id="{00000000-0008-0000-0100-000072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1409</xdr:row>
          <xdr:rowOff>0</xdr:rowOff>
        </xdr:from>
        <xdr:to>
          <xdr:col>7</xdr:col>
          <xdr:colOff>0</xdr:colOff>
          <xdr:row>1409</xdr:row>
          <xdr:rowOff>165100</xdr:rowOff>
        </xdr:to>
        <xdr:sp macro="" textlink="">
          <xdr:nvSpPr>
            <xdr:cNvPr id="13937" name="Button 2673" hidden="1">
              <a:extLst>
                <a:ext uri="{63B3BB69-23CF-44E3-9099-C40C66FF867C}">
                  <a14:compatExt spid="_x0000_s13937"/>
                </a:ext>
                <a:ext uri="{FF2B5EF4-FFF2-40B4-BE49-F238E27FC236}">
                  <a16:creationId xmlns:a16="http://schemas.microsoft.com/office/drawing/2014/main" id="{00000000-0008-0000-0100-000071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1410</xdr:row>
          <xdr:rowOff>0</xdr:rowOff>
        </xdr:from>
        <xdr:to>
          <xdr:col>7</xdr:col>
          <xdr:colOff>0</xdr:colOff>
          <xdr:row>1410</xdr:row>
          <xdr:rowOff>165100</xdr:rowOff>
        </xdr:to>
        <xdr:sp macro="" textlink="">
          <xdr:nvSpPr>
            <xdr:cNvPr id="13936" name="Button 2672" hidden="1">
              <a:extLst>
                <a:ext uri="{63B3BB69-23CF-44E3-9099-C40C66FF867C}">
                  <a14:compatExt spid="_x0000_s13936"/>
                </a:ext>
                <a:ext uri="{FF2B5EF4-FFF2-40B4-BE49-F238E27FC236}">
                  <a16:creationId xmlns:a16="http://schemas.microsoft.com/office/drawing/2014/main" id="{00000000-0008-0000-0100-000070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1411</xdr:row>
          <xdr:rowOff>0</xdr:rowOff>
        </xdr:from>
        <xdr:to>
          <xdr:col>7</xdr:col>
          <xdr:colOff>0</xdr:colOff>
          <xdr:row>1411</xdr:row>
          <xdr:rowOff>165100</xdr:rowOff>
        </xdr:to>
        <xdr:sp macro="" textlink="">
          <xdr:nvSpPr>
            <xdr:cNvPr id="13935" name="Button 2671" hidden="1">
              <a:extLst>
                <a:ext uri="{63B3BB69-23CF-44E3-9099-C40C66FF867C}">
                  <a14:compatExt spid="_x0000_s13935"/>
                </a:ext>
                <a:ext uri="{FF2B5EF4-FFF2-40B4-BE49-F238E27FC236}">
                  <a16:creationId xmlns:a16="http://schemas.microsoft.com/office/drawing/2014/main" id="{00000000-0008-0000-0100-00006F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1412</xdr:row>
          <xdr:rowOff>0</xdr:rowOff>
        </xdr:from>
        <xdr:to>
          <xdr:col>7</xdr:col>
          <xdr:colOff>0</xdr:colOff>
          <xdr:row>1412</xdr:row>
          <xdr:rowOff>165100</xdr:rowOff>
        </xdr:to>
        <xdr:sp macro="" textlink="">
          <xdr:nvSpPr>
            <xdr:cNvPr id="13934" name="Button 2670" hidden="1">
              <a:extLst>
                <a:ext uri="{63B3BB69-23CF-44E3-9099-C40C66FF867C}">
                  <a14:compatExt spid="_x0000_s13934"/>
                </a:ext>
                <a:ext uri="{FF2B5EF4-FFF2-40B4-BE49-F238E27FC236}">
                  <a16:creationId xmlns:a16="http://schemas.microsoft.com/office/drawing/2014/main" id="{00000000-0008-0000-0100-00006E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1413</xdr:row>
          <xdr:rowOff>0</xdr:rowOff>
        </xdr:from>
        <xdr:to>
          <xdr:col>7</xdr:col>
          <xdr:colOff>0</xdr:colOff>
          <xdr:row>1413</xdr:row>
          <xdr:rowOff>165100</xdr:rowOff>
        </xdr:to>
        <xdr:sp macro="" textlink="">
          <xdr:nvSpPr>
            <xdr:cNvPr id="13933" name="Button 2669" hidden="1">
              <a:extLst>
                <a:ext uri="{63B3BB69-23CF-44E3-9099-C40C66FF867C}">
                  <a14:compatExt spid="_x0000_s13933"/>
                </a:ext>
                <a:ext uri="{FF2B5EF4-FFF2-40B4-BE49-F238E27FC236}">
                  <a16:creationId xmlns:a16="http://schemas.microsoft.com/office/drawing/2014/main" id="{00000000-0008-0000-0100-00006D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1414</xdr:row>
          <xdr:rowOff>0</xdr:rowOff>
        </xdr:from>
        <xdr:to>
          <xdr:col>7</xdr:col>
          <xdr:colOff>0</xdr:colOff>
          <xdr:row>1414</xdr:row>
          <xdr:rowOff>165100</xdr:rowOff>
        </xdr:to>
        <xdr:sp macro="" textlink="">
          <xdr:nvSpPr>
            <xdr:cNvPr id="13932" name="Button 2668" hidden="1">
              <a:extLst>
                <a:ext uri="{63B3BB69-23CF-44E3-9099-C40C66FF867C}">
                  <a14:compatExt spid="_x0000_s13932"/>
                </a:ext>
                <a:ext uri="{FF2B5EF4-FFF2-40B4-BE49-F238E27FC236}">
                  <a16:creationId xmlns:a16="http://schemas.microsoft.com/office/drawing/2014/main" id="{00000000-0008-0000-0100-00006C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1415</xdr:row>
          <xdr:rowOff>0</xdr:rowOff>
        </xdr:from>
        <xdr:to>
          <xdr:col>7</xdr:col>
          <xdr:colOff>0</xdr:colOff>
          <xdr:row>1415</xdr:row>
          <xdr:rowOff>165100</xdr:rowOff>
        </xdr:to>
        <xdr:sp macro="" textlink="">
          <xdr:nvSpPr>
            <xdr:cNvPr id="13931" name="Button 2667" hidden="1">
              <a:extLst>
                <a:ext uri="{63B3BB69-23CF-44E3-9099-C40C66FF867C}">
                  <a14:compatExt spid="_x0000_s13931"/>
                </a:ext>
                <a:ext uri="{FF2B5EF4-FFF2-40B4-BE49-F238E27FC236}">
                  <a16:creationId xmlns:a16="http://schemas.microsoft.com/office/drawing/2014/main" id="{00000000-0008-0000-0100-00006B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1416</xdr:row>
          <xdr:rowOff>0</xdr:rowOff>
        </xdr:from>
        <xdr:to>
          <xdr:col>7</xdr:col>
          <xdr:colOff>0</xdr:colOff>
          <xdr:row>1416</xdr:row>
          <xdr:rowOff>165100</xdr:rowOff>
        </xdr:to>
        <xdr:sp macro="" textlink="">
          <xdr:nvSpPr>
            <xdr:cNvPr id="13930" name="Button 2666" hidden="1">
              <a:extLst>
                <a:ext uri="{63B3BB69-23CF-44E3-9099-C40C66FF867C}">
                  <a14:compatExt spid="_x0000_s13930"/>
                </a:ext>
                <a:ext uri="{FF2B5EF4-FFF2-40B4-BE49-F238E27FC236}">
                  <a16:creationId xmlns:a16="http://schemas.microsoft.com/office/drawing/2014/main" id="{00000000-0008-0000-0100-00006A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1417</xdr:row>
          <xdr:rowOff>0</xdr:rowOff>
        </xdr:from>
        <xdr:to>
          <xdr:col>7</xdr:col>
          <xdr:colOff>0</xdr:colOff>
          <xdr:row>1417</xdr:row>
          <xdr:rowOff>165100</xdr:rowOff>
        </xdr:to>
        <xdr:sp macro="" textlink="">
          <xdr:nvSpPr>
            <xdr:cNvPr id="13929" name="Button 2665" hidden="1">
              <a:extLst>
                <a:ext uri="{63B3BB69-23CF-44E3-9099-C40C66FF867C}">
                  <a14:compatExt spid="_x0000_s13929"/>
                </a:ext>
                <a:ext uri="{FF2B5EF4-FFF2-40B4-BE49-F238E27FC236}">
                  <a16:creationId xmlns:a16="http://schemas.microsoft.com/office/drawing/2014/main" id="{00000000-0008-0000-0100-000069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1418</xdr:row>
          <xdr:rowOff>0</xdr:rowOff>
        </xdr:from>
        <xdr:to>
          <xdr:col>7</xdr:col>
          <xdr:colOff>0</xdr:colOff>
          <xdr:row>1418</xdr:row>
          <xdr:rowOff>165100</xdr:rowOff>
        </xdr:to>
        <xdr:sp macro="" textlink="">
          <xdr:nvSpPr>
            <xdr:cNvPr id="13928" name="Button 2664" hidden="1">
              <a:extLst>
                <a:ext uri="{63B3BB69-23CF-44E3-9099-C40C66FF867C}">
                  <a14:compatExt spid="_x0000_s13928"/>
                </a:ext>
                <a:ext uri="{FF2B5EF4-FFF2-40B4-BE49-F238E27FC236}">
                  <a16:creationId xmlns:a16="http://schemas.microsoft.com/office/drawing/2014/main" id="{00000000-0008-0000-0100-000068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1419</xdr:row>
          <xdr:rowOff>0</xdr:rowOff>
        </xdr:from>
        <xdr:to>
          <xdr:col>7</xdr:col>
          <xdr:colOff>0</xdr:colOff>
          <xdr:row>1419</xdr:row>
          <xdr:rowOff>165100</xdr:rowOff>
        </xdr:to>
        <xdr:sp macro="" textlink="">
          <xdr:nvSpPr>
            <xdr:cNvPr id="13927" name="Button 2663" hidden="1">
              <a:extLst>
                <a:ext uri="{63B3BB69-23CF-44E3-9099-C40C66FF867C}">
                  <a14:compatExt spid="_x0000_s13927"/>
                </a:ext>
                <a:ext uri="{FF2B5EF4-FFF2-40B4-BE49-F238E27FC236}">
                  <a16:creationId xmlns:a16="http://schemas.microsoft.com/office/drawing/2014/main" id="{00000000-0008-0000-0100-000067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1420</xdr:row>
          <xdr:rowOff>0</xdr:rowOff>
        </xdr:from>
        <xdr:to>
          <xdr:col>7</xdr:col>
          <xdr:colOff>0</xdr:colOff>
          <xdr:row>1420</xdr:row>
          <xdr:rowOff>165100</xdr:rowOff>
        </xdr:to>
        <xdr:sp macro="" textlink="">
          <xdr:nvSpPr>
            <xdr:cNvPr id="13926" name="Button 2662" hidden="1">
              <a:extLst>
                <a:ext uri="{63B3BB69-23CF-44E3-9099-C40C66FF867C}">
                  <a14:compatExt spid="_x0000_s13926"/>
                </a:ext>
                <a:ext uri="{FF2B5EF4-FFF2-40B4-BE49-F238E27FC236}">
                  <a16:creationId xmlns:a16="http://schemas.microsoft.com/office/drawing/2014/main" id="{00000000-0008-0000-0100-000066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1421</xdr:row>
          <xdr:rowOff>0</xdr:rowOff>
        </xdr:from>
        <xdr:to>
          <xdr:col>7</xdr:col>
          <xdr:colOff>0</xdr:colOff>
          <xdr:row>1421</xdr:row>
          <xdr:rowOff>165100</xdr:rowOff>
        </xdr:to>
        <xdr:sp macro="" textlink="">
          <xdr:nvSpPr>
            <xdr:cNvPr id="13925" name="Button 2661" hidden="1">
              <a:extLst>
                <a:ext uri="{63B3BB69-23CF-44E3-9099-C40C66FF867C}">
                  <a14:compatExt spid="_x0000_s13925"/>
                </a:ext>
                <a:ext uri="{FF2B5EF4-FFF2-40B4-BE49-F238E27FC236}">
                  <a16:creationId xmlns:a16="http://schemas.microsoft.com/office/drawing/2014/main" id="{00000000-0008-0000-0100-000065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1422</xdr:row>
          <xdr:rowOff>0</xdr:rowOff>
        </xdr:from>
        <xdr:to>
          <xdr:col>7</xdr:col>
          <xdr:colOff>0</xdr:colOff>
          <xdr:row>1422</xdr:row>
          <xdr:rowOff>165100</xdr:rowOff>
        </xdr:to>
        <xdr:sp macro="" textlink="">
          <xdr:nvSpPr>
            <xdr:cNvPr id="13924" name="Button 2660" hidden="1">
              <a:extLst>
                <a:ext uri="{63B3BB69-23CF-44E3-9099-C40C66FF867C}">
                  <a14:compatExt spid="_x0000_s13924"/>
                </a:ext>
                <a:ext uri="{FF2B5EF4-FFF2-40B4-BE49-F238E27FC236}">
                  <a16:creationId xmlns:a16="http://schemas.microsoft.com/office/drawing/2014/main" id="{00000000-0008-0000-0100-000064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1423</xdr:row>
          <xdr:rowOff>0</xdr:rowOff>
        </xdr:from>
        <xdr:to>
          <xdr:col>7</xdr:col>
          <xdr:colOff>0</xdr:colOff>
          <xdr:row>1423</xdr:row>
          <xdr:rowOff>165100</xdr:rowOff>
        </xdr:to>
        <xdr:sp macro="" textlink="">
          <xdr:nvSpPr>
            <xdr:cNvPr id="13923" name="Button 2659" hidden="1">
              <a:extLst>
                <a:ext uri="{63B3BB69-23CF-44E3-9099-C40C66FF867C}">
                  <a14:compatExt spid="_x0000_s13923"/>
                </a:ext>
                <a:ext uri="{FF2B5EF4-FFF2-40B4-BE49-F238E27FC236}">
                  <a16:creationId xmlns:a16="http://schemas.microsoft.com/office/drawing/2014/main" id="{00000000-0008-0000-0100-000063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1424</xdr:row>
          <xdr:rowOff>0</xdr:rowOff>
        </xdr:from>
        <xdr:to>
          <xdr:col>7</xdr:col>
          <xdr:colOff>0</xdr:colOff>
          <xdr:row>1424</xdr:row>
          <xdr:rowOff>165100</xdr:rowOff>
        </xdr:to>
        <xdr:sp macro="" textlink="">
          <xdr:nvSpPr>
            <xdr:cNvPr id="13922" name="Button 2658" hidden="1">
              <a:extLst>
                <a:ext uri="{63B3BB69-23CF-44E3-9099-C40C66FF867C}">
                  <a14:compatExt spid="_x0000_s13922"/>
                </a:ext>
                <a:ext uri="{FF2B5EF4-FFF2-40B4-BE49-F238E27FC236}">
                  <a16:creationId xmlns:a16="http://schemas.microsoft.com/office/drawing/2014/main" id="{00000000-0008-0000-0100-000062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1427</xdr:row>
          <xdr:rowOff>0</xdr:rowOff>
        </xdr:from>
        <xdr:to>
          <xdr:col>7</xdr:col>
          <xdr:colOff>0</xdr:colOff>
          <xdr:row>1428</xdr:row>
          <xdr:rowOff>0</xdr:rowOff>
        </xdr:to>
        <xdr:sp macro="" textlink="">
          <xdr:nvSpPr>
            <xdr:cNvPr id="13921" name="Button 2657" hidden="1">
              <a:extLst>
                <a:ext uri="{63B3BB69-23CF-44E3-9099-C40C66FF867C}">
                  <a14:compatExt spid="_x0000_s13921"/>
                </a:ext>
                <a:ext uri="{FF2B5EF4-FFF2-40B4-BE49-F238E27FC236}">
                  <a16:creationId xmlns:a16="http://schemas.microsoft.com/office/drawing/2014/main" id="{00000000-0008-0000-0100-000061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1434</xdr:row>
          <xdr:rowOff>0</xdr:rowOff>
        </xdr:from>
        <xdr:to>
          <xdr:col>7</xdr:col>
          <xdr:colOff>0</xdr:colOff>
          <xdr:row>1434</xdr:row>
          <xdr:rowOff>171450</xdr:rowOff>
        </xdr:to>
        <xdr:sp macro="" textlink="">
          <xdr:nvSpPr>
            <xdr:cNvPr id="13920" name="Button 2656" hidden="1">
              <a:extLst>
                <a:ext uri="{63B3BB69-23CF-44E3-9099-C40C66FF867C}">
                  <a14:compatExt spid="_x0000_s13920"/>
                </a:ext>
                <a:ext uri="{FF2B5EF4-FFF2-40B4-BE49-F238E27FC236}">
                  <a16:creationId xmlns:a16="http://schemas.microsoft.com/office/drawing/2014/main" id="{00000000-0008-0000-0100-000060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1435</xdr:row>
          <xdr:rowOff>0</xdr:rowOff>
        </xdr:from>
        <xdr:to>
          <xdr:col>7</xdr:col>
          <xdr:colOff>0</xdr:colOff>
          <xdr:row>1435</xdr:row>
          <xdr:rowOff>165100</xdr:rowOff>
        </xdr:to>
        <xdr:sp macro="" textlink="">
          <xdr:nvSpPr>
            <xdr:cNvPr id="13919" name="Button 2655" hidden="1">
              <a:extLst>
                <a:ext uri="{63B3BB69-23CF-44E3-9099-C40C66FF867C}">
                  <a14:compatExt spid="_x0000_s13919"/>
                </a:ext>
                <a:ext uri="{FF2B5EF4-FFF2-40B4-BE49-F238E27FC236}">
                  <a16:creationId xmlns:a16="http://schemas.microsoft.com/office/drawing/2014/main" id="{00000000-0008-0000-0100-00005F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1436</xdr:row>
          <xdr:rowOff>0</xdr:rowOff>
        </xdr:from>
        <xdr:to>
          <xdr:col>7</xdr:col>
          <xdr:colOff>0</xdr:colOff>
          <xdr:row>1436</xdr:row>
          <xdr:rowOff>165100</xdr:rowOff>
        </xdr:to>
        <xdr:sp macro="" textlink="">
          <xdr:nvSpPr>
            <xdr:cNvPr id="13918" name="Button 2654" hidden="1">
              <a:extLst>
                <a:ext uri="{63B3BB69-23CF-44E3-9099-C40C66FF867C}">
                  <a14:compatExt spid="_x0000_s13918"/>
                </a:ext>
                <a:ext uri="{FF2B5EF4-FFF2-40B4-BE49-F238E27FC236}">
                  <a16:creationId xmlns:a16="http://schemas.microsoft.com/office/drawing/2014/main" id="{00000000-0008-0000-0100-00005E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1437</xdr:row>
          <xdr:rowOff>0</xdr:rowOff>
        </xdr:from>
        <xdr:to>
          <xdr:col>7</xdr:col>
          <xdr:colOff>0</xdr:colOff>
          <xdr:row>1437</xdr:row>
          <xdr:rowOff>165100</xdr:rowOff>
        </xdr:to>
        <xdr:sp macro="" textlink="">
          <xdr:nvSpPr>
            <xdr:cNvPr id="13917" name="Button 2653" hidden="1">
              <a:extLst>
                <a:ext uri="{63B3BB69-23CF-44E3-9099-C40C66FF867C}">
                  <a14:compatExt spid="_x0000_s13917"/>
                </a:ext>
                <a:ext uri="{FF2B5EF4-FFF2-40B4-BE49-F238E27FC236}">
                  <a16:creationId xmlns:a16="http://schemas.microsoft.com/office/drawing/2014/main" id="{00000000-0008-0000-0100-00005D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1438</xdr:row>
          <xdr:rowOff>0</xdr:rowOff>
        </xdr:from>
        <xdr:to>
          <xdr:col>7</xdr:col>
          <xdr:colOff>0</xdr:colOff>
          <xdr:row>1438</xdr:row>
          <xdr:rowOff>165100</xdr:rowOff>
        </xdr:to>
        <xdr:sp macro="" textlink="">
          <xdr:nvSpPr>
            <xdr:cNvPr id="13916" name="Button 2652" hidden="1">
              <a:extLst>
                <a:ext uri="{63B3BB69-23CF-44E3-9099-C40C66FF867C}">
                  <a14:compatExt spid="_x0000_s13916"/>
                </a:ext>
                <a:ext uri="{FF2B5EF4-FFF2-40B4-BE49-F238E27FC236}">
                  <a16:creationId xmlns:a16="http://schemas.microsoft.com/office/drawing/2014/main" id="{00000000-0008-0000-0100-00005C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1439</xdr:row>
          <xdr:rowOff>0</xdr:rowOff>
        </xdr:from>
        <xdr:to>
          <xdr:col>7</xdr:col>
          <xdr:colOff>0</xdr:colOff>
          <xdr:row>1439</xdr:row>
          <xdr:rowOff>165100</xdr:rowOff>
        </xdr:to>
        <xdr:sp macro="" textlink="">
          <xdr:nvSpPr>
            <xdr:cNvPr id="13915" name="Button 2651" hidden="1">
              <a:extLst>
                <a:ext uri="{63B3BB69-23CF-44E3-9099-C40C66FF867C}">
                  <a14:compatExt spid="_x0000_s13915"/>
                </a:ext>
                <a:ext uri="{FF2B5EF4-FFF2-40B4-BE49-F238E27FC236}">
                  <a16:creationId xmlns:a16="http://schemas.microsoft.com/office/drawing/2014/main" id="{00000000-0008-0000-0100-00005B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1440</xdr:row>
          <xdr:rowOff>0</xdr:rowOff>
        </xdr:from>
        <xdr:to>
          <xdr:col>7</xdr:col>
          <xdr:colOff>0</xdr:colOff>
          <xdr:row>1440</xdr:row>
          <xdr:rowOff>165100</xdr:rowOff>
        </xdr:to>
        <xdr:sp macro="" textlink="">
          <xdr:nvSpPr>
            <xdr:cNvPr id="13914" name="Button 2650" hidden="1">
              <a:extLst>
                <a:ext uri="{63B3BB69-23CF-44E3-9099-C40C66FF867C}">
                  <a14:compatExt spid="_x0000_s13914"/>
                </a:ext>
                <a:ext uri="{FF2B5EF4-FFF2-40B4-BE49-F238E27FC236}">
                  <a16:creationId xmlns:a16="http://schemas.microsoft.com/office/drawing/2014/main" id="{00000000-0008-0000-0100-00005A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1441</xdr:row>
          <xdr:rowOff>0</xdr:rowOff>
        </xdr:from>
        <xdr:to>
          <xdr:col>7</xdr:col>
          <xdr:colOff>0</xdr:colOff>
          <xdr:row>1441</xdr:row>
          <xdr:rowOff>165100</xdr:rowOff>
        </xdr:to>
        <xdr:sp macro="" textlink="">
          <xdr:nvSpPr>
            <xdr:cNvPr id="13913" name="Button 2649" hidden="1">
              <a:extLst>
                <a:ext uri="{63B3BB69-23CF-44E3-9099-C40C66FF867C}">
                  <a14:compatExt spid="_x0000_s13913"/>
                </a:ext>
                <a:ext uri="{FF2B5EF4-FFF2-40B4-BE49-F238E27FC236}">
                  <a16:creationId xmlns:a16="http://schemas.microsoft.com/office/drawing/2014/main" id="{00000000-0008-0000-0100-000059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1442</xdr:row>
          <xdr:rowOff>0</xdr:rowOff>
        </xdr:from>
        <xdr:to>
          <xdr:col>7</xdr:col>
          <xdr:colOff>0</xdr:colOff>
          <xdr:row>1442</xdr:row>
          <xdr:rowOff>165100</xdr:rowOff>
        </xdr:to>
        <xdr:sp macro="" textlink="">
          <xdr:nvSpPr>
            <xdr:cNvPr id="13912" name="Button 2648" hidden="1">
              <a:extLst>
                <a:ext uri="{63B3BB69-23CF-44E3-9099-C40C66FF867C}">
                  <a14:compatExt spid="_x0000_s13912"/>
                </a:ext>
                <a:ext uri="{FF2B5EF4-FFF2-40B4-BE49-F238E27FC236}">
                  <a16:creationId xmlns:a16="http://schemas.microsoft.com/office/drawing/2014/main" id="{00000000-0008-0000-0100-000058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1443</xdr:row>
          <xdr:rowOff>0</xdr:rowOff>
        </xdr:from>
        <xdr:to>
          <xdr:col>7</xdr:col>
          <xdr:colOff>0</xdr:colOff>
          <xdr:row>1443</xdr:row>
          <xdr:rowOff>165100</xdr:rowOff>
        </xdr:to>
        <xdr:sp macro="" textlink="">
          <xdr:nvSpPr>
            <xdr:cNvPr id="13911" name="Button 2647" hidden="1">
              <a:extLst>
                <a:ext uri="{63B3BB69-23CF-44E3-9099-C40C66FF867C}">
                  <a14:compatExt spid="_x0000_s13911"/>
                </a:ext>
                <a:ext uri="{FF2B5EF4-FFF2-40B4-BE49-F238E27FC236}">
                  <a16:creationId xmlns:a16="http://schemas.microsoft.com/office/drawing/2014/main" id="{00000000-0008-0000-0100-000057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1444</xdr:row>
          <xdr:rowOff>0</xdr:rowOff>
        </xdr:from>
        <xdr:to>
          <xdr:col>7</xdr:col>
          <xdr:colOff>0</xdr:colOff>
          <xdr:row>1444</xdr:row>
          <xdr:rowOff>165100</xdr:rowOff>
        </xdr:to>
        <xdr:sp macro="" textlink="">
          <xdr:nvSpPr>
            <xdr:cNvPr id="13910" name="Button 2646" hidden="1">
              <a:extLst>
                <a:ext uri="{63B3BB69-23CF-44E3-9099-C40C66FF867C}">
                  <a14:compatExt spid="_x0000_s13910"/>
                </a:ext>
                <a:ext uri="{FF2B5EF4-FFF2-40B4-BE49-F238E27FC236}">
                  <a16:creationId xmlns:a16="http://schemas.microsoft.com/office/drawing/2014/main" id="{00000000-0008-0000-0100-000056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1445</xdr:row>
          <xdr:rowOff>0</xdr:rowOff>
        </xdr:from>
        <xdr:to>
          <xdr:col>7</xdr:col>
          <xdr:colOff>0</xdr:colOff>
          <xdr:row>1445</xdr:row>
          <xdr:rowOff>165100</xdr:rowOff>
        </xdr:to>
        <xdr:sp macro="" textlink="">
          <xdr:nvSpPr>
            <xdr:cNvPr id="13909" name="Button 2645" hidden="1">
              <a:extLst>
                <a:ext uri="{63B3BB69-23CF-44E3-9099-C40C66FF867C}">
                  <a14:compatExt spid="_x0000_s13909"/>
                </a:ext>
                <a:ext uri="{FF2B5EF4-FFF2-40B4-BE49-F238E27FC236}">
                  <a16:creationId xmlns:a16="http://schemas.microsoft.com/office/drawing/2014/main" id="{00000000-0008-0000-0100-000055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1448</xdr:row>
          <xdr:rowOff>0</xdr:rowOff>
        </xdr:from>
        <xdr:to>
          <xdr:col>7</xdr:col>
          <xdr:colOff>0</xdr:colOff>
          <xdr:row>1449</xdr:row>
          <xdr:rowOff>0</xdr:rowOff>
        </xdr:to>
        <xdr:sp macro="" textlink="">
          <xdr:nvSpPr>
            <xdr:cNvPr id="13908" name="Button 2644" hidden="1">
              <a:extLst>
                <a:ext uri="{63B3BB69-23CF-44E3-9099-C40C66FF867C}">
                  <a14:compatExt spid="_x0000_s13908"/>
                </a:ext>
                <a:ext uri="{FF2B5EF4-FFF2-40B4-BE49-F238E27FC236}">
                  <a16:creationId xmlns:a16="http://schemas.microsoft.com/office/drawing/2014/main" id="{00000000-0008-0000-0100-000054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1455</xdr:row>
          <xdr:rowOff>0</xdr:rowOff>
        </xdr:from>
        <xdr:to>
          <xdr:col>7</xdr:col>
          <xdr:colOff>0</xdr:colOff>
          <xdr:row>1455</xdr:row>
          <xdr:rowOff>171450</xdr:rowOff>
        </xdr:to>
        <xdr:sp macro="" textlink="">
          <xdr:nvSpPr>
            <xdr:cNvPr id="13907" name="Button 2643" hidden="1">
              <a:extLst>
                <a:ext uri="{63B3BB69-23CF-44E3-9099-C40C66FF867C}">
                  <a14:compatExt spid="_x0000_s13907"/>
                </a:ext>
                <a:ext uri="{FF2B5EF4-FFF2-40B4-BE49-F238E27FC236}">
                  <a16:creationId xmlns:a16="http://schemas.microsoft.com/office/drawing/2014/main" id="{00000000-0008-0000-0100-000053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1456</xdr:row>
          <xdr:rowOff>0</xdr:rowOff>
        </xdr:from>
        <xdr:to>
          <xdr:col>7</xdr:col>
          <xdr:colOff>0</xdr:colOff>
          <xdr:row>1456</xdr:row>
          <xdr:rowOff>165100</xdr:rowOff>
        </xdr:to>
        <xdr:sp macro="" textlink="">
          <xdr:nvSpPr>
            <xdr:cNvPr id="13906" name="Button 2642" hidden="1">
              <a:extLst>
                <a:ext uri="{63B3BB69-23CF-44E3-9099-C40C66FF867C}">
                  <a14:compatExt spid="_x0000_s13906"/>
                </a:ext>
                <a:ext uri="{FF2B5EF4-FFF2-40B4-BE49-F238E27FC236}">
                  <a16:creationId xmlns:a16="http://schemas.microsoft.com/office/drawing/2014/main" id="{00000000-0008-0000-0100-000052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1459</xdr:row>
          <xdr:rowOff>0</xdr:rowOff>
        </xdr:from>
        <xdr:to>
          <xdr:col>7</xdr:col>
          <xdr:colOff>0</xdr:colOff>
          <xdr:row>1460</xdr:row>
          <xdr:rowOff>0</xdr:rowOff>
        </xdr:to>
        <xdr:sp macro="" textlink="">
          <xdr:nvSpPr>
            <xdr:cNvPr id="13905" name="Button 2641" hidden="1">
              <a:extLst>
                <a:ext uri="{63B3BB69-23CF-44E3-9099-C40C66FF867C}">
                  <a14:compatExt spid="_x0000_s13905"/>
                </a:ext>
                <a:ext uri="{FF2B5EF4-FFF2-40B4-BE49-F238E27FC236}">
                  <a16:creationId xmlns:a16="http://schemas.microsoft.com/office/drawing/2014/main" id="{00000000-0008-0000-0100-000051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1466</xdr:row>
          <xdr:rowOff>0</xdr:rowOff>
        </xdr:from>
        <xdr:to>
          <xdr:col>7</xdr:col>
          <xdr:colOff>0</xdr:colOff>
          <xdr:row>1466</xdr:row>
          <xdr:rowOff>171450</xdr:rowOff>
        </xdr:to>
        <xdr:sp macro="" textlink="">
          <xdr:nvSpPr>
            <xdr:cNvPr id="13904" name="Button 2640" hidden="1">
              <a:extLst>
                <a:ext uri="{63B3BB69-23CF-44E3-9099-C40C66FF867C}">
                  <a14:compatExt spid="_x0000_s13904"/>
                </a:ext>
                <a:ext uri="{FF2B5EF4-FFF2-40B4-BE49-F238E27FC236}">
                  <a16:creationId xmlns:a16="http://schemas.microsoft.com/office/drawing/2014/main" id="{00000000-0008-0000-0100-000050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1467</xdr:row>
          <xdr:rowOff>0</xdr:rowOff>
        </xdr:from>
        <xdr:to>
          <xdr:col>7</xdr:col>
          <xdr:colOff>0</xdr:colOff>
          <xdr:row>1467</xdr:row>
          <xdr:rowOff>165100</xdr:rowOff>
        </xdr:to>
        <xdr:sp macro="" textlink="">
          <xdr:nvSpPr>
            <xdr:cNvPr id="13903" name="Button 2639" hidden="1">
              <a:extLst>
                <a:ext uri="{63B3BB69-23CF-44E3-9099-C40C66FF867C}">
                  <a14:compatExt spid="_x0000_s13903"/>
                </a:ext>
                <a:ext uri="{FF2B5EF4-FFF2-40B4-BE49-F238E27FC236}">
                  <a16:creationId xmlns:a16="http://schemas.microsoft.com/office/drawing/2014/main" id="{00000000-0008-0000-0100-00004F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1470</xdr:row>
          <xdr:rowOff>0</xdr:rowOff>
        </xdr:from>
        <xdr:to>
          <xdr:col>7</xdr:col>
          <xdr:colOff>0</xdr:colOff>
          <xdr:row>1471</xdr:row>
          <xdr:rowOff>0</xdr:rowOff>
        </xdr:to>
        <xdr:sp macro="" textlink="">
          <xdr:nvSpPr>
            <xdr:cNvPr id="13902" name="Button 2638" hidden="1">
              <a:extLst>
                <a:ext uri="{63B3BB69-23CF-44E3-9099-C40C66FF867C}">
                  <a14:compatExt spid="_x0000_s13902"/>
                </a:ext>
                <a:ext uri="{FF2B5EF4-FFF2-40B4-BE49-F238E27FC236}">
                  <a16:creationId xmlns:a16="http://schemas.microsoft.com/office/drawing/2014/main" id="{00000000-0008-0000-0100-00004E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1477</xdr:row>
          <xdr:rowOff>0</xdr:rowOff>
        </xdr:from>
        <xdr:to>
          <xdr:col>7</xdr:col>
          <xdr:colOff>0</xdr:colOff>
          <xdr:row>1477</xdr:row>
          <xdr:rowOff>171450</xdr:rowOff>
        </xdr:to>
        <xdr:sp macro="" textlink="">
          <xdr:nvSpPr>
            <xdr:cNvPr id="13901" name="Button 2637" hidden="1">
              <a:extLst>
                <a:ext uri="{63B3BB69-23CF-44E3-9099-C40C66FF867C}">
                  <a14:compatExt spid="_x0000_s13901"/>
                </a:ext>
                <a:ext uri="{FF2B5EF4-FFF2-40B4-BE49-F238E27FC236}">
                  <a16:creationId xmlns:a16="http://schemas.microsoft.com/office/drawing/2014/main" id="{00000000-0008-0000-0100-00004D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1478</xdr:row>
          <xdr:rowOff>0</xdr:rowOff>
        </xdr:from>
        <xdr:to>
          <xdr:col>7</xdr:col>
          <xdr:colOff>0</xdr:colOff>
          <xdr:row>1478</xdr:row>
          <xdr:rowOff>165100</xdr:rowOff>
        </xdr:to>
        <xdr:sp macro="" textlink="">
          <xdr:nvSpPr>
            <xdr:cNvPr id="13900" name="Button 2636" hidden="1">
              <a:extLst>
                <a:ext uri="{63B3BB69-23CF-44E3-9099-C40C66FF867C}">
                  <a14:compatExt spid="_x0000_s13900"/>
                </a:ext>
                <a:ext uri="{FF2B5EF4-FFF2-40B4-BE49-F238E27FC236}">
                  <a16:creationId xmlns:a16="http://schemas.microsoft.com/office/drawing/2014/main" id="{00000000-0008-0000-0100-00004C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1479</xdr:row>
          <xdr:rowOff>0</xdr:rowOff>
        </xdr:from>
        <xdr:to>
          <xdr:col>7</xdr:col>
          <xdr:colOff>0</xdr:colOff>
          <xdr:row>1479</xdr:row>
          <xdr:rowOff>165100</xdr:rowOff>
        </xdr:to>
        <xdr:sp macro="" textlink="">
          <xdr:nvSpPr>
            <xdr:cNvPr id="13899" name="Button 2635" hidden="1">
              <a:extLst>
                <a:ext uri="{63B3BB69-23CF-44E3-9099-C40C66FF867C}">
                  <a14:compatExt spid="_x0000_s13899"/>
                </a:ext>
                <a:ext uri="{FF2B5EF4-FFF2-40B4-BE49-F238E27FC236}">
                  <a16:creationId xmlns:a16="http://schemas.microsoft.com/office/drawing/2014/main" id="{00000000-0008-0000-0100-00004B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1480</xdr:row>
          <xdr:rowOff>0</xdr:rowOff>
        </xdr:from>
        <xdr:to>
          <xdr:col>7</xdr:col>
          <xdr:colOff>0</xdr:colOff>
          <xdr:row>1480</xdr:row>
          <xdr:rowOff>165100</xdr:rowOff>
        </xdr:to>
        <xdr:sp macro="" textlink="">
          <xdr:nvSpPr>
            <xdr:cNvPr id="13898" name="Button 2634" hidden="1">
              <a:extLst>
                <a:ext uri="{63B3BB69-23CF-44E3-9099-C40C66FF867C}">
                  <a14:compatExt spid="_x0000_s13898"/>
                </a:ext>
                <a:ext uri="{FF2B5EF4-FFF2-40B4-BE49-F238E27FC236}">
                  <a16:creationId xmlns:a16="http://schemas.microsoft.com/office/drawing/2014/main" id="{00000000-0008-0000-0100-00004A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1483</xdr:row>
          <xdr:rowOff>0</xdr:rowOff>
        </xdr:from>
        <xdr:to>
          <xdr:col>7</xdr:col>
          <xdr:colOff>0</xdr:colOff>
          <xdr:row>1484</xdr:row>
          <xdr:rowOff>0</xdr:rowOff>
        </xdr:to>
        <xdr:sp macro="" textlink="">
          <xdr:nvSpPr>
            <xdr:cNvPr id="13897" name="Button 2633" hidden="1">
              <a:extLst>
                <a:ext uri="{63B3BB69-23CF-44E3-9099-C40C66FF867C}">
                  <a14:compatExt spid="_x0000_s13897"/>
                </a:ext>
                <a:ext uri="{FF2B5EF4-FFF2-40B4-BE49-F238E27FC236}">
                  <a16:creationId xmlns:a16="http://schemas.microsoft.com/office/drawing/2014/main" id="{00000000-0008-0000-0100-000049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1490</xdr:row>
          <xdr:rowOff>0</xdr:rowOff>
        </xdr:from>
        <xdr:to>
          <xdr:col>7</xdr:col>
          <xdr:colOff>0</xdr:colOff>
          <xdr:row>1490</xdr:row>
          <xdr:rowOff>171450</xdr:rowOff>
        </xdr:to>
        <xdr:sp macro="" textlink="">
          <xdr:nvSpPr>
            <xdr:cNvPr id="13896" name="Button 2632" hidden="1">
              <a:extLst>
                <a:ext uri="{63B3BB69-23CF-44E3-9099-C40C66FF867C}">
                  <a14:compatExt spid="_x0000_s13896"/>
                </a:ext>
                <a:ext uri="{FF2B5EF4-FFF2-40B4-BE49-F238E27FC236}">
                  <a16:creationId xmlns:a16="http://schemas.microsoft.com/office/drawing/2014/main" id="{00000000-0008-0000-0100-000048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1491</xdr:row>
          <xdr:rowOff>0</xdr:rowOff>
        </xdr:from>
        <xdr:to>
          <xdr:col>7</xdr:col>
          <xdr:colOff>0</xdr:colOff>
          <xdr:row>1491</xdr:row>
          <xdr:rowOff>165100</xdr:rowOff>
        </xdr:to>
        <xdr:sp macro="" textlink="">
          <xdr:nvSpPr>
            <xdr:cNvPr id="13895" name="Button 2631" hidden="1">
              <a:extLst>
                <a:ext uri="{63B3BB69-23CF-44E3-9099-C40C66FF867C}">
                  <a14:compatExt spid="_x0000_s13895"/>
                </a:ext>
                <a:ext uri="{FF2B5EF4-FFF2-40B4-BE49-F238E27FC236}">
                  <a16:creationId xmlns:a16="http://schemas.microsoft.com/office/drawing/2014/main" id="{00000000-0008-0000-0100-000047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1492</xdr:row>
          <xdr:rowOff>0</xdr:rowOff>
        </xdr:from>
        <xdr:to>
          <xdr:col>7</xdr:col>
          <xdr:colOff>0</xdr:colOff>
          <xdr:row>1492</xdr:row>
          <xdr:rowOff>165100</xdr:rowOff>
        </xdr:to>
        <xdr:sp macro="" textlink="">
          <xdr:nvSpPr>
            <xdr:cNvPr id="13894" name="Button 2630" hidden="1">
              <a:extLst>
                <a:ext uri="{63B3BB69-23CF-44E3-9099-C40C66FF867C}">
                  <a14:compatExt spid="_x0000_s13894"/>
                </a:ext>
                <a:ext uri="{FF2B5EF4-FFF2-40B4-BE49-F238E27FC236}">
                  <a16:creationId xmlns:a16="http://schemas.microsoft.com/office/drawing/2014/main" id="{00000000-0008-0000-0100-000046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1493</xdr:row>
          <xdr:rowOff>0</xdr:rowOff>
        </xdr:from>
        <xdr:to>
          <xdr:col>7</xdr:col>
          <xdr:colOff>0</xdr:colOff>
          <xdr:row>1493</xdr:row>
          <xdr:rowOff>165100</xdr:rowOff>
        </xdr:to>
        <xdr:sp macro="" textlink="">
          <xdr:nvSpPr>
            <xdr:cNvPr id="13893" name="Button 2629" hidden="1">
              <a:extLst>
                <a:ext uri="{63B3BB69-23CF-44E3-9099-C40C66FF867C}">
                  <a14:compatExt spid="_x0000_s13893"/>
                </a:ext>
                <a:ext uri="{FF2B5EF4-FFF2-40B4-BE49-F238E27FC236}">
                  <a16:creationId xmlns:a16="http://schemas.microsoft.com/office/drawing/2014/main" id="{00000000-0008-0000-0100-000045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1496</xdr:row>
          <xdr:rowOff>0</xdr:rowOff>
        </xdr:from>
        <xdr:to>
          <xdr:col>7</xdr:col>
          <xdr:colOff>0</xdr:colOff>
          <xdr:row>1497</xdr:row>
          <xdr:rowOff>0</xdr:rowOff>
        </xdr:to>
        <xdr:sp macro="" textlink="">
          <xdr:nvSpPr>
            <xdr:cNvPr id="13892" name="Button 2628" hidden="1">
              <a:extLst>
                <a:ext uri="{63B3BB69-23CF-44E3-9099-C40C66FF867C}">
                  <a14:compatExt spid="_x0000_s13892"/>
                </a:ext>
                <a:ext uri="{FF2B5EF4-FFF2-40B4-BE49-F238E27FC236}">
                  <a16:creationId xmlns:a16="http://schemas.microsoft.com/office/drawing/2014/main" id="{00000000-0008-0000-0100-000044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1503</xdr:row>
          <xdr:rowOff>0</xdr:rowOff>
        </xdr:from>
        <xdr:to>
          <xdr:col>7</xdr:col>
          <xdr:colOff>0</xdr:colOff>
          <xdr:row>1503</xdr:row>
          <xdr:rowOff>171450</xdr:rowOff>
        </xdr:to>
        <xdr:sp macro="" textlink="">
          <xdr:nvSpPr>
            <xdr:cNvPr id="13891" name="Button 2627" hidden="1">
              <a:extLst>
                <a:ext uri="{63B3BB69-23CF-44E3-9099-C40C66FF867C}">
                  <a14:compatExt spid="_x0000_s13891"/>
                </a:ext>
                <a:ext uri="{FF2B5EF4-FFF2-40B4-BE49-F238E27FC236}">
                  <a16:creationId xmlns:a16="http://schemas.microsoft.com/office/drawing/2014/main" id="{00000000-0008-0000-0100-000043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1504</xdr:row>
          <xdr:rowOff>0</xdr:rowOff>
        </xdr:from>
        <xdr:to>
          <xdr:col>7</xdr:col>
          <xdr:colOff>0</xdr:colOff>
          <xdr:row>1504</xdr:row>
          <xdr:rowOff>165100</xdr:rowOff>
        </xdr:to>
        <xdr:sp macro="" textlink="">
          <xdr:nvSpPr>
            <xdr:cNvPr id="13890" name="Button 2626" hidden="1">
              <a:extLst>
                <a:ext uri="{63B3BB69-23CF-44E3-9099-C40C66FF867C}">
                  <a14:compatExt spid="_x0000_s13890"/>
                </a:ext>
                <a:ext uri="{FF2B5EF4-FFF2-40B4-BE49-F238E27FC236}">
                  <a16:creationId xmlns:a16="http://schemas.microsoft.com/office/drawing/2014/main" id="{00000000-0008-0000-0100-000042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1505</xdr:row>
          <xdr:rowOff>0</xdr:rowOff>
        </xdr:from>
        <xdr:to>
          <xdr:col>7</xdr:col>
          <xdr:colOff>0</xdr:colOff>
          <xdr:row>1505</xdr:row>
          <xdr:rowOff>165100</xdr:rowOff>
        </xdr:to>
        <xdr:sp macro="" textlink="">
          <xdr:nvSpPr>
            <xdr:cNvPr id="13889" name="Button 2625" hidden="1">
              <a:extLst>
                <a:ext uri="{63B3BB69-23CF-44E3-9099-C40C66FF867C}">
                  <a14:compatExt spid="_x0000_s13889"/>
                </a:ext>
                <a:ext uri="{FF2B5EF4-FFF2-40B4-BE49-F238E27FC236}">
                  <a16:creationId xmlns:a16="http://schemas.microsoft.com/office/drawing/2014/main" id="{00000000-0008-0000-0100-000041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1506</xdr:row>
          <xdr:rowOff>0</xdr:rowOff>
        </xdr:from>
        <xdr:to>
          <xdr:col>7</xdr:col>
          <xdr:colOff>0</xdr:colOff>
          <xdr:row>1506</xdr:row>
          <xdr:rowOff>165100</xdr:rowOff>
        </xdr:to>
        <xdr:sp macro="" textlink="">
          <xdr:nvSpPr>
            <xdr:cNvPr id="13888" name="Button 2624" hidden="1">
              <a:extLst>
                <a:ext uri="{63B3BB69-23CF-44E3-9099-C40C66FF867C}">
                  <a14:compatExt spid="_x0000_s13888"/>
                </a:ext>
                <a:ext uri="{FF2B5EF4-FFF2-40B4-BE49-F238E27FC236}">
                  <a16:creationId xmlns:a16="http://schemas.microsoft.com/office/drawing/2014/main" id="{00000000-0008-0000-0100-000040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1507</xdr:row>
          <xdr:rowOff>0</xdr:rowOff>
        </xdr:from>
        <xdr:to>
          <xdr:col>7</xdr:col>
          <xdr:colOff>0</xdr:colOff>
          <xdr:row>1507</xdr:row>
          <xdr:rowOff>165100</xdr:rowOff>
        </xdr:to>
        <xdr:sp macro="" textlink="">
          <xdr:nvSpPr>
            <xdr:cNvPr id="13887" name="Button 2623" hidden="1">
              <a:extLst>
                <a:ext uri="{63B3BB69-23CF-44E3-9099-C40C66FF867C}">
                  <a14:compatExt spid="_x0000_s13887"/>
                </a:ext>
                <a:ext uri="{FF2B5EF4-FFF2-40B4-BE49-F238E27FC236}">
                  <a16:creationId xmlns:a16="http://schemas.microsoft.com/office/drawing/2014/main" id="{00000000-0008-0000-0100-00003F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1508</xdr:row>
          <xdr:rowOff>0</xdr:rowOff>
        </xdr:from>
        <xdr:to>
          <xdr:col>7</xdr:col>
          <xdr:colOff>0</xdr:colOff>
          <xdr:row>1508</xdr:row>
          <xdr:rowOff>165100</xdr:rowOff>
        </xdr:to>
        <xdr:sp macro="" textlink="">
          <xdr:nvSpPr>
            <xdr:cNvPr id="13886" name="Button 2622" hidden="1">
              <a:extLst>
                <a:ext uri="{63B3BB69-23CF-44E3-9099-C40C66FF867C}">
                  <a14:compatExt spid="_x0000_s13886"/>
                </a:ext>
                <a:ext uri="{FF2B5EF4-FFF2-40B4-BE49-F238E27FC236}">
                  <a16:creationId xmlns:a16="http://schemas.microsoft.com/office/drawing/2014/main" id="{00000000-0008-0000-0100-00003E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1509</xdr:row>
          <xdr:rowOff>0</xdr:rowOff>
        </xdr:from>
        <xdr:to>
          <xdr:col>7</xdr:col>
          <xdr:colOff>0</xdr:colOff>
          <xdr:row>1509</xdr:row>
          <xdr:rowOff>165100</xdr:rowOff>
        </xdr:to>
        <xdr:sp macro="" textlink="">
          <xdr:nvSpPr>
            <xdr:cNvPr id="13885" name="Button 2621" hidden="1">
              <a:extLst>
                <a:ext uri="{63B3BB69-23CF-44E3-9099-C40C66FF867C}">
                  <a14:compatExt spid="_x0000_s13885"/>
                </a:ext>
                <a:ext uri="{FF2B5EF4-FFF2-40B4-BE49-F238E27FC236}">
                  <a16:creationId xmlns:a16="http://schemas.microsoft.com/office/drawing/2014/main" id="{00000000-0008-0000-0100-00003D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1510</xdr:row>
          <xdr:rowOff>0</xdr:rowOff>
        </xdr:from>
        <xdr:to>
          <xdr:col>7</xdr:col>
          <xdr:colOff>0</xdr:colOff>
          <xdr:row>1510</xdr:row>
          <xdr:rowOff>165100</xdr:rowOff>
        </xdr:to>
        <xdr:sp macro="" textlink="">
          <xdr:nvSpPr>
            <xdr:cNvPr id="13884" name="Button 2620" hidden="1">
              <a:extLst>
                <a:ext uri="{63B3BB69-23CF-44E3-9099-C40C66FF867C}">
                  <a14:compatExt spid="_x0000_s13884"/>
                </a:ext>
                <a:ext uri="{FF2B5EF4-FFF2-40B4-BE49-F238E27FC236}">
                  <a16:creationId xmlns:a16="http://schemas.microsoft.com/office/drawing/2014/main" id="{00000000-0008-0000-0100-00003C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1511</xdr:row>
          <xdr:rowOff>0</xdr:rowOff>
        </xdr:from>
        <xdr:to>
          <xdr:col>7</xdr:col>
          <xdr:colOff>0</xdr:colOff>
          <xdr:row>1511</xdr:row>
          <xdr:rowOff>165100</xdr:rowOff>
        </xdr:to>
        <xdr:sp macro="" textlink="">
          <xdr:nvSpPr>
            <xdr:cNvPr id="13883" name="Button 2619" hidden="1">
              <a:extLst>
                <a:ext uri="{63B3BB69-23CF-44E3-9099-C40C66FF867C}">
                  <a14:compatExt spid="_x0000_s13883"/>
                </a:ext>
                <a:ext uri="{FF2B5EF4-FFF2-40B4-BE49-F238E27FC236}">
                  <a16:creationId xmlns:a16="http://schemas.microsoft.com/office/drawing/2014/main" id="{00000000-0008-0000-0100-00003B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1512</xdr:row>
          <xdr:rowOff>0</xdr:rowOff>
        </xdr:from>
        <xdr:to>
          <xdr:col>7</xdr:col>
          <xdr:colOff>0</xdr:colOff>
          <xdr:row>1512</xdr:row>
          <xdr:rowOff>165100</xdr:rowOff>
        </xdr:to>
        <xdr:sp macro="" textlink="">
          <xdr:nvSpPr>
            <xdr:cNvPr id="13882" name="Button 2618" hidden="1">
              <a:extLst>
                <a:ext uri="{63B3BB69-23CF-44E3-9099-C40C66FF867C}">
                  <a14:compatExt spid="_x0000_s13882"/>
                </a:ext>
                <a:ext uri="{FF2B5EF4-FFF2-40B4-BE49-F238E27FC236}">
                  <a16:creationId xmlns:a16="http://schemas.microsoft.com/office/drawing/2014/main" id="{00000000-0008-0000-0100-00003A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1513</xdr:row>
          <xdr:rowOff>0</xdr:rowOff>
        </xdr:from>
        <xdr:to>
          <xdr:col>7</xdr:col>
          <xdr:colOff>0</xdr:colOff>
          <xdr:row>1513</xdr:row>
          <xdr:rowOff>165100</xdr:rowOff>
        </xdr:to>
        <xdr:sp macro="" textlink="">
          <xdr:nvSpPr>
            <xdr:cNvPr id="13881" name="Button 2617" hidden="1">
              <a:extLst>
                <a:ext uri="{63B3BB69-23CF-44E3-9099-C40C66FF867C}">
                  <a14:compatExt spid="_x0000_s13881"/>
                </a:ext>
                <a:ext uri="{FF2B5EF4-FFF2-40B4-BE49-F238E27FC236}">
                  <a16:creationId xmlns:a16="http://schemas.microsoft.com/office/drawing/2014/main" id="{00000000-0008-0000-0100-000039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1514</xdr:row>
          <xdr:rowOff>0</xdr:rowOff>
        </xdr:from>
        <xdr:to>
          <xdr:col>7</xdr:col>
          <xdr:colOff>0</xdr:colOff>
          <xdr:row>1514</xdr:row>
          <xdr:rowOff>165100</xdr:rowOff>
        </xdr:to>
        <xdr:sp macro="" textlink="">
          <xdr:nvSpPr>
            <xdr:cNvPr id="13880" name="Button 2616" hidden="1">
              <a:extLst>
                <a:ext uri="{63B3BB69-23CF-44E3-9099-C40C66FF867C}">
                  <a14:compatExt spid="_x0000_s13880"/>
                </a:ext>
                <a:ext uri="{FF2B5EF4-FFF2-40B4-BE49-F238E27FC236}">
                  <a16:creationId xmlns:a16="http://schemas.microsoft.com/office/drawing/2014/main" id="{00000000-0008-0000-0100-000038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1515</xdr:row>
          <xdr:rowOff>0</xdr:rowOff>
        </xdr:from>
        <xdr:to>
          <xdr:col>7</xdr:col>
          <xdr:colOff>0</xdr:colOff>
          <xdr:row>1515</xdr:row>
          <xdr:rowOff>165100</xdr:rowOff>
        </xdr:to>
        <xdr:sp macro="" textlink="">
          <xdr:nvSpPr>
            <xdr:cNvPr id="13879" name="Button 2615" hidden="1">
              <a:extLst>
                <a:ext uri="{63B3BB69-23CF-44E3-9099-C40C66FF867C}">
                  <a14:compatExt spid="_x0000_s13879"/>
                </a:ext>
                <a:ext uri="{FF2B5EF4-FFF2-40B4-BE49-F238E27FC236}">
                  <a16:creationId xmlns:a16="http://schemas.microsoft.com/office/drawing/2014/main" id="{00000000-0008-0000-0100-000037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1516</xdr:row>
          <xdr:rowOff>0</xdr:rowOff>
        </xdr:from>
        <xdr:to>
          <xdr:col>7</xdr:col>
          <xdr:colOff>0</xdr:colOff>
          <xdr:row>1516</xdr:row>
          <xdr:rowOff>165100</xdr:rowOff>
        </xdr:to>
        <xdr:sp macro="" textlink="">
          <xdr:nvSpPr>
            <xdr:cNvPr id="13878" name="Button 2614" hidden="1">
              <a:extLst>
                <a:ext uri="{63B3BB69-23CF-44E3-9099-C40C66FF867C}">
                  <a14:compatExt spid="_x0000_s13878"/>
                </a:ext>
                <a:ext uri="{FF2B5EF4-FFF2-40B4-BE49-F238E27FC236}">
                  <a16:creationId xmlns:a16="http://schemas.microsoft.com/office/drawing/2014/main" id="{00000000-0008-0000-0100-000036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1517</xdr:row>
          <xdr:rowOff>0</xdr:rowOff>
        </xdr:from>
        <xdr:to>
          <xdr:col>7</xdr:col>
          <xdr:colOff>0</xdr:colOff>
          <xdr:row>1517</xdr:row>
          <xdr:rowOff>165100</xdr:rowOff>
        </xdr:to>
        <xdr:sp macro="" textlink="">
          <xdr:nvSpPr>
            <xdr:cNvPr id="13877" name="Button 2613" hidden="1">
              <a:extLst>
                <a:ext uri="{63B3BB69-23CF-44E3-9099-C40C66FF867C}">
                  <a14:compatExt spid="_x0000_s13877"/>
                </a:ext>
                <a:ext uri="{FF2B5EF4-FFF2-40B4-BE49-F238E27FC236}">
                  <a16:creationId xmlns:a16="http://schemas.microsoft.com/office/drawing/2014/main" id="{00000000-0008-0000-0100-000035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1518</xdr:row>
          <xdr:rowOff>0</xdr:rowOff>
        </xdr:from>
        <xdr:to>
          <xdr:col>7</xdr:col>
          <xdr:colOff>0</xdr:colOff>
          <xdr:row>1518</xdr:row>
          <xdr:rowOff>165100</xdr:rowOff>
        </xdr:to>
        <xdr:sp macro="" textlink="">
          <xdr:nvSpPr>
            <xdr:cNvPr id="13876" name="Button 2612" hidden="1">
              <a:extLst>
                <a:ext uri="{63B3BB69-23CF-44E3-9099-C40C66FF867C}">
                  <a14:compatExt spid="_x0000_s13876"/>
                </a:ext>
                <a:ext uri="{FF2B5EF4-FFF2-40B4-BE49-F238E27FC236}">
                  <a16:creationId xmlns:a16="http://schemas.microsoft.com/office/drawing/2014/main" id="{00000000-0008-0000-0100-000034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1519</xdr:row>
          <xdr:rowOff>0</xdr:rowOff>
        </xdr:from>
        <xdr:to>
          <xdr:col>7</xdr:col>
          <xdr:colOff>0</xdr:colOff>
          <xdr:row>1519</xdr:row>
          <xdr:rowOff>165100</xdr:rowOff>
        </xdr:to>
        <xdr:sp macro="" textlink="">
          <xdr:nvSpPr>
            <xdr:cNvPr id="13875" name="Button 2611" hidden="1">
              <a:extLst>
                <a:ext uri="{63B3BB69-23CF-44E3-9099-C40C66FF867C}">
                  <a14:compatExt spid="_x0000_s13875"/>
                </a:ext>
                <a:ext uri="{FF2B5EF4-FFF2-40B4-BE49-F238E27FC236}">
                  <a16:creationId xmlns:a16="http://schemas.microsoft.com/office/drawing/2014/main" id="{00000000-0008-0000-0100-000033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1520</xdr:row>
          <xdr:rowOff>0</xdr:rowOff>
        </xdr:from>
        <xdr:to>
          <xdr:col>7</xdr:col>
          <xdr:colOff>0</xdr:colOff>
          <xdr:row>1520</xdr:row>
          <xdr:rowOff>165100</xdr:rowOff>
        </xdr:to>
        <xdr:sp macro="" textlink="">
          <xdr:nvSpPr>
            <xdr:cNvPr id="13874" name="Button 2610" hidden="1">
              <a:extLst>
                <a:ext uri="{63B3BB69-23CF-44E3-9099-C40C66FF867C}">
                  <a14:compatExt spid="_x0000_s13874"/>
                </a:ext>
                <a:ext uri="{FF2B5EF4-FFF2-40B4-BE49-F238E27FC236}">
                  <a16:creationId xmlns:a16="http://schemas.microsoft.com/office/drawing/2014/main" id="{00000000-0008-0000-0100-000032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1521</xdr:row>
          <xdr:rowOff>0</xdr:rowOff>
        </xdr:from>
        <xdr:to>
          <xdr:col>7</xdr:col>
          <xdr:colOff>0</xdr:colOff>
          <xdr:row>1521</xdr:row>
          <xdr:rowOff>165100</xdr:rowOff>
        </xdr:to>
        <xdr:sp macro="" textlink="">
          <xdr:nvSpPr>
            <xdr:cNvPr id="13873" name="Button 2609" hidden="1">
              <a:extLst>
                <a:ext uri="{63B3BB69-23CF-44E3-9099-C40C66FF867C}">
                  <a14:compatExt spid="_x0000_s13873"/>
                </a:ext>
                <a:ext uri="{FF2B5EF4-FFF2-40B4-BE49-F238E27FC236}">
                  <a16:creationId xmlns:a16="http://schemas.microsoft.com/office/drawing/2014/main" id="{00000000-0008-0000-0100-000031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1522</xdr:row>
          <xdr:rowOff>0</xdr:rowOff>
        </xdr:from>
        <xdr:to>
          <xdr:col>7</xdr:col>
          <xdr:colOff>0</xdr:colOff>
          <xdr:row>1522</xdr:row>
          <xdr:rowOff>165100</xdr:rowOff>
        </xdr:to>
        <xdr:sp macro="" textlink="">
          <xdr:nvSpPr>
            <xdr:cNvPr id="13872" name="Button 2608" hidden="1">
              <a:extLst>
                <a:ext uri="{63B3BB69-23CF-44E3-9099-C40C66FF867C}">
                  <a14:compatExt spid="_x0000_s13872"/>
                </a:ext>
                <a:ext uri="{FF2B5EF4-FFF2-40B4-BE49-F238E27FC236}">
                  <a16:creationId xmlns:a16="http://schemas.microsoft.com/office/drawing/2014/main" id="{00000000-0008-0000-0100-000030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1523</xdr:row>
          <xdr:rowOff>0</xdr:rowOff>
        </xdr:from>
        <xdr:to>
          <xdr:col>7</xdr:col>
          <xdr:colOff>0</xdr:colOff>
          <xdr:row>1523</xdr:row>
          <xdr:rowOff>165100</xdr:rowOff>
        </xdr:to>
        <xdr:sp macro="" textlink="">
          <xdr:nvSpPr>
            <xdr:cNvPr id="13871" name="Button 2607" hidden="1">
              <a:extLst>
                <a:ext uri="{63B3BB69-23CF-44E3-9099-C40C66FF867C}">
                  <a14:compatExt spid="_x0000_s13871"/>
                </a:ext>
                <a:ext uri="{FF2B5EF4-FFF2-40B4-BE49-F238E27FC236}">
                  <a16:creationId xmlns:a16="http://schemas.microsoft.com/office/drawing/2014/main" id="{00000000-0008-0000-0100-00002F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1524</xdr:row>
          <xdr:rowOff>0</xdr:rowOff>
        </xdr:from>
        <xdr:to>
          <xdr:col>7</xdr:col>
          <xdr:colOff>0</xdr:colOff>
          <xdr:row>1524</xdr:row>
          <xdr:rowOff>165100</xdr:rowOff>
        </xdr:to>
        <xdr:sp macro="" textlink="">
          <xdr:nvSpPr>
            <xdr:cNvPr id="13870" name="Button 2606" hidden="1">
              <a:extLst>
                <a:ext uri="{63B3BB69-23CF-44E3-9099-C40C66FF867C}">
                  <a14:compatExt spid="_x0000_s13870"/>
                </a:ext>
                <a:ext uri="{FF2B5EF4-FFF2-40B4-BE49-F238E27FC236}">
                  <a16:creationId xmlns:a16="http://schemas.microsoft.com/office/drawing/2014/main" id="{00000000-0008-0000-0100-00002E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1525</xdr:row>
          <xdr:rowOff>0</xdr:rowOff>
        </xdr:from>
        <xdr:to>
          <xdr:col>7</xdr:col>
          <xdr:colOff>0</xdr:colOff>
          <xdr:row>1525</xdr:row>
          <xdr:rowOff>165100</xdr:rowOff>
        </xdr:to>
        <xdr:sp macro="" textlink="">
          <xdr:nvSpPr>
            <xdr:cNvPr id="13869" name="Button 2605" hidden="1">
              <a:extLst>
                <a:ext uri="{63B3BB69-23CF-44E3-9099-C40C66FF867C}">
                  <a14:compatExt spid="_x0000_s13869"/>
                </a:ext>
                <a:ext uri="{FF2B5EF4-FFF2-40B4-BE49-F238E27FC236}">
                  <a16:creationId xmlns:a16="http://schemas.microsoft.com/office/drawing/2014/main" id="{00000000-0008-0000-0100-00002D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1526</xdr:row>
          <xdr:rowOff>0</xdr:rowOff>
        </xdr:from>
        <xdr:to>
          <xdr:col>7</xdr:col>
          <xdr:colOff>0</xdr:colOff>
          <xdr:row>1526</xdr:row>
          <xdr:rowOff>165100</xdr:rowOff>
        </xdr:to>
        <xdr:sp macro="" textlink="">
          <xdr:nvSpPr>
            <xdr:cNvPr id="13868" name="Button 2604" hidden="1">
              <a:extLst>
                <a:ext uri="{63B3BB69-23CF-44E3-9099-C40C66FF867C}">
                  <a14:compatExt spid="_x0000_s13868"/>
                </a:ext>
                <a:ext uri="{FF2B5EF4-FFF2-40B4-BE49-F238E27FC236}">
                  <a16:creationId xmlns:a16="http://schemas.microsoft.com/office/drawing/2014/main" id="{00000000-0008-0000-0100-00002C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1527</xdr:row>
          <xdr:rowOff>0</xdr:rowOff>
        </xdr:from>
        <xdr:to>
          <xdr:col>7</xdr:col>
          <xdr:colOff>0</xdr:colOff>
          <xdr:row>1527</xdr:row>
          <xdr:rowOff>165100</xdr:rowOff>
        </xdr:to>
        <xdr:sp macro="" textlink="">
          <xdr:nvSpPr>
            <xdr:cNvPr id="13867" name="Button 2603" hidden="1">
              <a:extLst>
                <a:ext uri="{63B3BB69-23CF-44E3-9099-C40C66FF867C}">
                  <a14:compatExt spid="_x0000_s13867"/>
                </a:ext>
                <a:ext uri="{FF2B5EF4-FFF2-40B4-BE49-F238E27FC236}">
                  <a16:creationId xmlns:a16="http://schemas.microsoft.com/office/drawing/2014/main" id="{00000000-0008-0000-0100-00002B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1528</xdr:row>
          <xdr:rowOff>0</xdr:rowOff>
        </xdr:from>
        <xdr:to>
          <xdr:col>7</xdr:col>
          <xdr:colOff>0</xdr:colOff>
          <xdr:row>1528</xdr:row>
          <xdr:rowOff>165100</xdr:rowOff>
        </xdr:to>
        <xdr:sp macro="" textlink="">
          <xdr:nvSpPr>
            <xdr:cNvPr id="13866" name="Button 2602" hidden="1">
              <a:extLst>
                <a:ext uri="{63B3BB69-23CF-44E3-9099-C40C66FF867C}">
                  <a14:compatExt spid="_x0000_s13866"/>
                </a:ext>
                <a:ext uri="{FF2B5EF4-FFF2-40B4-BE49-F238E27FC236}">
                  <a16:creationId xmlns:a16="http://schemas.microsoft.com/office/drawing/2014/main" id="{00000000-0008-0000-0100-00002A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1529</xdr:row>
          <xdr:rowOff>0</xdr:rowOff>
        </xdr:from>
        <xdr:to>
          <xdr:col>7</xdr:col>
          <xdr:colOff>0</xdr:colOff>
          <xdr:row>1529</xdr:row>
          <xdr:rowOff>165100</xdr:rowOff>
        </xdr:to>
        <xdr:sp macro="" textlink="">
          <xdr:nvSpPr>
            <xdr:cNvPr id="13865" name="Button 2601" hidden="1">
              <a:extLst>
                <a:ext uri="{63B3BB69-23CF-44E3-9099-C40C66FF867C}">
                  <a14:compatExt spid="_x0000_s13865"/>
                </a:ext>
                <a:ext uri="{FF2B5EF4-FFF2-40B4-BE49-F238E27FC236}">
                  <a16:creationId xmlns:a16="http://schemas.microsoft.com/office/drawing/2014/main" id="{00000000-0008-0000-0100-000029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1530</xdr:row>
          <xdr:rowOff>0</xdr:rowOff>
        </xdr:from>
        <xdr:to>
          <xdr:col>7</xdr:col>
          <xdr:colOff>0</xdr:colOff>
          <xdr:row>1530</xdr:row>
          <xdr:rowOff>165100</xdr:rowOff>
        </xdr:to>
        <xdr:sp macro="" textlink="">
          <xdr:nvSpPr>
            <xdr:cNvPr id="13864" name="Button 2600" hidden="1">
              <a:extLst>
                <a:ext uri="{63B3BB69-23CF-44E3-9099-C40C66FF867C}">
                  <a14:compatExt spid="_x0000_s13864"/>
                </a:ext>
                <a:ext uri="{FF2B5EF4-FFF2-40B4-BE49-F238E27FC236}">
                  <a16:creationId xmlns:a16="http://schemas.microsoft.com/office/drawing/2014/main" id="{00000000-0008-0000-0100-000028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1531</xdr:row>
          <xdr:rowOff>0</xdr:rowOff>
        </xdr:from>
        <xdr:to>
          <xdr:col>7</xdr:col>
          <xdr:colOff>0</xdr:colOff>
          <xdr:row>1531</xdr:row>
          <xdr:rowOff>165100</xdr:rowOff>
        </xdr:to>
        <xdr:sp macro="" textlink="">
          <xdr:nvSpPr>
            <xdr:cNvPr id="13863" name="Button 2599" hidden="1">
              <a:extLst>
                <a:ext uri="{63B3BB69-23CF-44E3-9099-C40C66FF867C}">
                  <a14:compatExt spid="_x0000_s13863"/>
                </a:ext>
                <a:ext uri="{FF2B5EF4-FFF2-40B4-BE49-F238E27FC236}">
                  <a16:creationId xmlns:a16="http://schemas.microsoft.com/office/drawing/2014/main" id="{00000000-0008-0000-0100-000027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1532</xdr:row>
          <xdr:rowOff>0</xdr:rowOff>
        </xdr:from>
        <xdr:to>
          <xdr:col>7</xdr:col>
          <xdr:colOff>0</xdr:colOff>
          <xdr:row>1532</xdr:row>
          <xdr:rowOff>165100</xdr:rowOff>
        </xdr:to>
        <xdr:sp macro="" textlink="">
          <xdr:nvSpPr>
            <xdr:cNvPr id="13862" name="Button 2598" hidden="1">
              <a:extLst>
                <a:ext uri="{63B3BB69-23CF-44E3-9099-C40C66FF867C}">
                  <a14:compatExt spid="_x0000_s13862"/>
                </a:ext>
                <a:ext uri="{FF2B5EF4-FFF2-40B4-BE49-F238E27FC236}">
                  <a16:creationId xmlns:a16="http://schemas.microsoft.com/office/drawing/2014/main" id="{00000000-0008-0000-0100-000026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1533</xdr:row>
          <xdr:rowOff>0</xdr:rowOff>
        </xdr:from>
        <xdr:to>
          <xdr:col>7</xdr:col>
          <xdr:colOff>0</xdr:colOff>
          <xdr:row>1533</xdr:row>
          <xdr:rowOff>165100</xdr:rowOff>
        </xdr:to>
        <xdr:sp macro="" textlink="">
          <xdr:nvSpPr>
            <xdr:cNvPr id="13861" name="Button 2597" hidden="1">
              <a:extLst>
                <a:ext uri="{63B3BB69-23CF-44E3-9099-C40C66FF867C}">
                  <a14:compatExt spid="_x0000_s13861"/>
                </a:ext>
                <a:ext uri="{FF2B5EF4-FFF2-40B4-BE49-F238E27FC236}">
                  <a16:creationId xmlns:a16="http://schemas.microsoft.com/office/drawing/2014/main" id="{00000000-0008-0000-0100-000025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1534</xdr:row>
          <xdr:rowOff>0</xdr:rowOff>
        </xdr:from>
        <xdr:to>
          <xdr:col>7</xdr:col>
          <xdr:colOff>0</xdr:colOff>
          <xdr:row>1534</xdr:row>
          <xdr:rowOff>165100</xdr:rowOff>
        </xdr:to>
        <xdr:sp macro="" textlink="">
          <xdr:nvSpPr>
            <xdr:cNvPr id="13860" name="Button 2596" hidden="1">
              <a:extLst>
                <a:ext uri="{63B3BB69-23CF-44E3-9099-C40C66FF867C}">
                  <a14:compatExt spid="_x0000_s13860"/>
                </a:ext>
                <a:ext uri="{FF2B5EF4-FFF2-40B4-BE49-F238E27FC236}">
                  <a16:creationId xmlns:a16="http://schemas.microsoft.com/office/drawing/2014/main" id="{00000000-0008-0000-0100-000024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1535</xdr:row>
          <xdr:rowOff>0</xdr:rowOff>
        </xdr:from>
        <xdr:to>
          <xdr:col>7</xdr:col>
          <xdr:colOff>0</xdr:colOff>
          <xdr:row>1535</xdr:row>
          <xdr:rowOff>165100</xdr:rowOff>
        </xdr:to>
        <xdr:sp macro="" textlink="">
          <xdr:nvSpPr>
            <xdr:cNvPr id="13859" name="Button 2595" hidden="1">
              <a:extLst>
                <a:ext uri="{63B3BB69-23CF-44E3-9099-C40C66FF867C}">
                  <a14:compatExt spid="_x0000_s13859"/>
                </a:ext>
                <a:ext uri="{FF2B5EF4-FFF2-40B4-BE49-F238E27FC236}">
                  <a16:creationId xmlns:a16="http://schemas.microsoft.com/office/drawing/2014/main" id="{00000000-0008-0000-0100-000023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1536</xdr:row>
          <xdr:rowOff>0</xdr:rowOff>
        </xdr:from>
        <xdr:to>
          <xdr:col>7</xdr:col>
          <xdr:colOff>0</xdr:colOff>
          <xdr:row>1536</xdr:row>
          <xdr:rowOff>165100</xdr:rowOff>
        </xdr:to>
        <xdr:sp macro="" textlink="">
          <xdr:nvSpPr>
            <xdr:cNvPr id="13858" name="Button 2594" hidden="1">
              <a:extLst>
                <a:ext uri="{63B3BB69-23CF-44E3-9099-C40C66FF867C}">
                  <a14:compatExt spid="_x0000_s13858"/>
                </a:ext>
                <a:ext uri="{FF2B5EF4-FFF2-40B4-BE49-F238E27FC236}">
                  <a16:creationId xmlns:a16="http://schemas.microsoft.com/office/drawing/2014/main" id="{00000000-0008-0000-0100-000022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1537</xdr:row>
          <xdr:rowOff>0</xdr:rowOff>
        </xdr:from>
        <xdr:to>
          <xdr:col>7</xdr:col>
          <xdr:colOff>0</xdr:colOff>
          <xdr:row>1537</xdr:row>
          <xdr:rowOff>165100</xdr:rowOff>
        </xdr:to>
        <xdr:sp macro="" textlink="">
          <xdr:nvSpPr>
            <xdr:cNvPr id="13857" name="Button 2593" hidden="1">
              <a:extLst>
                <a:ext uri="{63B3BB69-23CF-44E3-9099-C40C66FF867C}">
                  <a14:compatExt spid="_x0000_s13857"/>
                </a:ext>
                <a:ext uri="{FF2B5EF4-FFF2-40B4-BE49-F238E27FC236}">
                  <a16:creationId xmlns:a16="http://schemas.microsoft.com/office/drawing/2014/main" id="{00000000-0008-0000-0100-000021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1538</xdr:row>
          <xdr:rowOff>0</xdr:rowOff>
        </xdr:from>
        <xdr:to>
          <xdr:col>7</xdr:col>
          <xdr:colOff>0</xdr:colOff>
          <xdr:row>1538</xdr:row>
          <xdr:rowOff>165100</xdr:rowOff>
        </xdr:to>
        <xdr:sp macro="" textlink="">
          <xdr:nvSpPr>
            <xdr:cNvPr id="13856" name="Button 2592" hidden="1">
              <a:extLst>
                <a:ext uri="{63B3BB69-23CF-44E3-9099-C40C66FF867C}">
                  <a14:compatExt spid="_x0000_s13856"/>
                </a:ext>
                <a:ext uri="{FF2B5EF4-FFF2-40B4-BE49-F238E27FC236}">
                  <a16:creationId xmlns:a16="http://schemas.microsoft.com/office/drawing/2014/main" id="{00000000-0008-0000-0100-000020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1539</xdr:row>
          <xdr:rowOff>0</xdr:rowOff>
        </xdr:from>
        <xdr:to>
          <xdr:col>7</xdr:col>
          <xdr:colOff>0</xdr:colOff>
          <xdr:row>1539</xdr:row>
          <xdr:rowOff>165100</xdr:rowOff>
        </xdr:to>
        <xdr:sp macro="" textlink="">
          <xdr:nvSpPr>
            <xdr:cNvPr id="13855" name="Button 2591" hidden="1">
              <a:extLst>
                <a:ext uri="{63B3BB69-23CF-44E3-9099-C40C66FF867C}">
                  <a14:compatExt spid="_x0000_s13855"/>
                </a:ext>
                <a:ext uri="{FF2B5EF4-FFF2-40B4-BE49-F238E27FC236}">
                  <a16:creationId xmlns:a16="http://schemas.microsoft.com/office/drawing/2014/main" id="{00000000-0008-0000-0100-00001F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1540</xdr:row>
          <xdr:rowOff>0</xdr:rowOff>
        </xdr:from>
        <xdr:to>
          <xdr:col>7</xdr:col>
          <xdr:colOff>0</xdr:colOff>
          <xdr:row>1540</xdr:row>
          <xdr:rowOff>165100</xdr:rowOff>
        </xdr:to>
        <xdr:sp macro="" textlink="">
          <xdr:nvSpPr>
            <xdr:cNvPr id="13854" name="Button 2590" hidden="1">
              <a:extLst>
                <a:ext uri="{63B3BB69-23CF-44E3-9099-C40C66FF867C}">
                  <a14:compatExt spid="_x0000_s13854"/>
                </a:ext>
                <a:ext uri="{FF2B5EF4-FFF2-40B4-BE49-F238E27FC236}">
                  <a16:creationId xmlns:a16="http://schemas.microsoft.com/office/drawing/2014/main" id="{00000000-0008-0000-0100-00001E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1541</xdr:row>
          <xdr:rowOff>0</xdr:rowOff>
        </xdr:from>
        <xdr:to>
          <xdr:col>7</xdr:col>
          <xdr:colOff>0</xdr:colOff>
          <xdr:row>1541</xdr:row>
          <xdr:rowOff>165100</xdr:rowOff>
        </xdr:to>
        <xdr:sp macro="" textlink="">
          <xdr:nvSpPr>
            <xdr:cNvPr id="13853" name="Button 2589" hidden="1">
              <a:extLst>
                <a:ext uri="{63B3BB69-23CF-44E3-9099-C40C66FF867C}">
                  <a14:compatExt spid="_x0000_s13853"/>
                </a:ext>
                <a:ext uri="{FF2B5EF4-FFF2-40B4-BE49-F238E27FC236}">
                  <a16:creationId xmlns:a16="http://schemas.microsoft.com/office/drawing/2014/main" id="{00000000-0008-0000-0100-00001D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1542</xdr:row>
          <xdr:rowOff>0</xdr:rowOff>
        </xdr:from>
        <xdr:to>
          <xdr:col>7</xdr:col>
          <xdr:colOff>0</xdr:colOff>
          <xdr:row>1542</xdr:row>
          <xdr:rowOff>165100</xdr:rowOff>
        </xdr:to>
        <xdr:sp macro="" textlink="">
          <xdr:nvSpPr>
            <xdr:cNvPr id="13852" name="Button 2588" hidden="1">
              <a:extLst>
                <a:ext uri="{63B3BB69-23CF-44E3-9099-C40C66FF867C}">
                  <a14:compatExt spid="_x0000_s13852"/>
                </a:ext>
                <a:ext uri="{FF2B5EF4-FFF2-40B4-BE49-F238E27FC236}">
                  <a16:creationId xmlns:a16="http://schemas.microsoft.com/office/drawing/2014/main" id="{00000000-0008-0000-0100-00001C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1543</xdr:row>
          <xdr:rowOff>0</xdr:rowOff>
        </xdr:from>
        <xdr:to>
          <xdr:col>7</xdr:col>
          <xdr:colOff>0</xdr:colOff>
          <xdr:row>1543</xdr:row>
          <xdr:rowOff>165100</xdr:rowOff>
        </xdr:to>
        <xdr:sp macro="" textlink="">
          <xdr:nvSpPr>
            <xdr:cNvPr id="13851" name="Button 2587" hidden="1">
              <a:extLst>
                <a:ext uri="{63B3BB69-23CF-44E3-9099-C40C66FF867C}">
                  <a14:compatExt spid="_x0000_s13851"/>
                </a:ext>
                <a:ext uri="{FF2B5EF4-FFF2-40B4-BE49-F238E27FC236}">
                  <a16:creationId xmlns:a16="http://schemas.microsoft.com/office/drawing/2014/main" id="{00000000-0008-0000-0100-00001B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1544</xdr:row>
          <xdr:rowOff>0</xdr:rowOff>
        </xdr:from>
        <xdr:to>
          <xdr:col>7</xdr:col>
          <xdr:colOff>0</xdr:colOff>
          <xdr:row>1544</xdr:row>
          <xdr:rowOff>165100</xdr:rowOff>
        </xdr:to>
        <xdr:sp macro="" textlink="">
          <xdr:nvSpPr>
            <xdr:cNvPr id="13850" name="Button 2586" hidden="1">
              <a:extLst>
                <a:ext uri="{63B3BB69-23CF-44E3-9099-C40C66FF867C}">
                  <a14:compatExt spid="_x0000_s13850"/>
                </a:ext>
                <a:ext uri="{FF2B5EF4-FFF2-40B4-BE49-F238E27FC236}">
                  <a16:creationId xmlns:a16="http://schemas.microsoft.com/office/drawing/2014/main" id="{00000000-0008-0000-0100-00001A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1545</xdr:row>
          <xdr:rowOff>0</xdr:rowOff>
        </xdr:from>
        <xdr:to>
          <xdr:col>7</xdr:col>
          <xdr:colOff>0</xdr:colOff>
          <xdr:row>1545</xdr:row>
          <xdr:rowOff>165100</xdr:rowOff>
        </xdr:to>
        <xdr:sp macro="" textlink="">
          <xdr:nvSpPr>
            <xdr:cNvPr id="13849" name="Button 2585" hidden="1">
              <a:extLst>
                <a:ext uri="{63B3BB69-23CF-44E3-9099-C40C66FF867C}">
                  <a14:compatExt spid="_x0000_s13849"/>
                </a:ext>
                <a:ext uri="{FF2B5EF4-FFF2-40B4-BE49-F238E27FC236}">
                  <a16:creationId xmlns:a16="http://schemas.microsoft.com/office/drawing/2014/main" id="{00000000-0008-0000-0100-000019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1546</xdr:row>
          <xdr:rowOff>0</xdr:rowOff>
        </xdr:from>
        <xdr:to>
          <xdr:col>7</xdr:col>
          <xdr:colOff>0</xdr:colOff>
          <xdr:row>1546</xdr:row>
          <xdr:rowOff>165100</xdr:rowOff>
        </xdr:to>
        <xdr:sp macro="" textlink="">
          <xdr:nvSpPr>
            <xdr:cNvPr id="13848" name="Button 2584" hidden="1">
              <a:extLst>
                <a:ext uri="{63B3BB69-23CF-44E3-9099-C40C66FF867C}">
                  <a14:compatExt spid="_x0000_s13848"/>
                </a:ext>
                <a:ext uri="{FF2B5EF4-FFF2-40B4-BE49-F238E27FC236}">
                  <a16:creationId xmlns:a16="http://schemas.microsoft.com/office/drawing/2014/main" id="{00000000-0008-0000-0100-000018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1547</xdr:row>
          <xdr:rowOff>0</xdr:rowOff>
        </xdr:from>
        <xdr:to>
          <xdr:col>7</xdr:col>
          <xdr:colOff>0</xdr:colOff>
          <xdr:row>1547</xdr:row>
          <xdr:rowOff>165100</xdr:rowOff>
        </xdr:to>
        <xdr:sp macro="" textlink="">
          <xdr:nvSpPr>
            <xdr:cNvPr id="13847" name="Button 2583" hidden="1">
              <a:extLst>
                <a:ext uri="{63B3BB69-23CF-44E3-9099-C40C66FF867C}">
                  <a14:compatExt spid="_x0000_s13847"/>
                </a:ext>
                <a:ext uri="{FF2B5EF4-FFF2-40B4-BE49-F238E27FC236}">
                  <a16:creationId xmlns:a16="http://schemas.microsoft.com/office/drawing/2014/main" id="{00000000-0008-0000-0100-000017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1548</xdr:row>
          <xdr:rowOff>0</xdr:rowOff>
        </xdr:from>
        <xdr:to>
          <xdr:col>7</xdr:col>
          <xdr:colOff>0</xdr:colOff>
          <xdr:row>1548</xdr:row>
          <xdr:rowOff>165100</xdr:rowOff>
        </xdr:to>
        <xdr:sp macro="" textlink="">
          <xdr:nvSpPr>
            <xdr:cNvPr id="13846" name="Button 2582" hidden="1">
              <a:extLst>
                <a:ext uri="{63B3BB69-23CF-44E3-9099-C40C66FF867C}">
                  <a14:compatExt spid="_x0000_s13846"/>
                </a:ext>
                <a:ext uri="{FF2B5EF4-FFF2-40B4-BE49-F238E27FC236}">
                  <a16:creationId xmlns:a16="http://schemas.microsoft.com/office/drawing/2014/main" id="{00000000-0008-0000-0100-000016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1549</xdr:row>
          <xdr:rowOff>0</xdr:rowOff>
        </xdr:from>
        <xdr:to>
          <xdr:col>7</xdr:col>
          <xdr:colOff>0</xdr:colOff>
          <xdr:row>1549</xdr:row>
          <xdr:rowOff>165100</xdr:rowOff>
        </xdr:to>
        <xdr:sp macro="" textlink="">
          <xdr:nvSpPr>
            <xdr:cNvPr id="13845" name="Button 2581" hidden="1">
              <a:extLst>
                <a:ext uri="{63B3BB69-23CF-44E3-9099-C40C66FF867C}">
                  <a14:compatExt spid="_x0000_s13845"/>
                </a:ext>
                <a:ext uri="{FF2B5EF4-FFF2-40B4-BE49-F238E27FC236}">
                  <a16:creationId xmlns:a16="http://schemas.microsoft.com/office/drawing/2014/main" id="{00000000-0008-0000-0100-000015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1550</xdr:row>
          <xdr:rowOff>0</xdr:rowOff>
        </xdr:from>
        <xdr:to>
          <xdr:col>7</xdr:col>
          <xdr:colOff>0</xdr:colOff>
          <xdr:row>1550</xdr:row>
          <xdr:rowOff>165100</xdr:rowOff>
        </xdr:to>
        <xdr:sp macro="" textlink="">
          <xdr:nvSpPr>
            <xdr:cNvPr id="13844" name="Button 2580" hidden="1">
              <a:extLst>
                <a:ext uri="{63B3BB69-23CF-44E3-9099-C40C66FF867C}">
                  <a14:compatExt spid="_x0000_s13844"/>
                </a:ext>
                <a:ext uri="{FF2B5EF4-FFF2-40B4-BE49-F238E27FC236}">
                  <a16:creationId xmlns:a16="http://schemas.microsoft.com/office/drawing/2014/main" id="{00000000-0008-0000-0100-000014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1551</xdr:row>
          <xdr:rowOff>0</xdr:rowOff>
        </xdr:from>
        <xdr:to>
          <xdr:col>7</xdr:col>
          <xdr:colOff>0</xdr:colOff>
          <xdr:row>1551</xdr:row>
          <xdr:rowOff>165100</xdr:rowOff>
        </xdr:to>
        <xdr:sp macro="" textlink="">
          <xdr:nvSpPr>
            <xdr:cNvPr id="13843" name="Button 2579" hidden="1">
              <a:extLst>
                <a:ext uri="{63B3BB69-23CF-44E3-9099-C40C66FF867C}">
                  <a14:compatExt spid="_x0000_s13843"/>
                </a:ext>
                <a:ext uri="{FF2B5EF4-FFF2-40B4-BE49-F238E27FC236}">
                  <a16:creationId xmlns:a16="http://schemas.microsoft.com/office/drawing/2014/main" id="{00000000-0008-0000-0100-000013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1552</xdr:row>
          <xdr:rowOff>0</xdr:rowOff>
        </xdr:from>
        <xdr:to>
          <xdr:col>7</xdr:col>
          <xdr:colOff>0</xdr:colOff>
          <xdr:row>1552</xdr:row>
          <xdr:rowOff>165100</xdr:rowOff>
        </xdr:to>
        <xdr:sp macro="" textlink="">
          <xdr:nvSpPr>
            <xdr:cNvPr id="13842" name="Button 2578" hidden="1">
              <a:extLst>
                <a:ext uri="{63B3BB69-23CF-44E3-9099-C40C66FF867C}">
                  <a14:compatExt spid="_x0000_s13842"/>
                </a:ext>
                <a:ext uri="{FF2B5EF4-FFF2-40B4-BE49-F238E27FC236}">
                  <a16:creationId xmlns:a16="http://schemas.microsoft.com/office/drawing/2014/main" id="{00000000-0008-0000-0100-000012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1553</xdr:row>
          <xdr:rowOff>0</xdr:rowOff>
        </xdr:from>
        <xdr:to>
          <xdr:col>7</xdr:col>
          <xdr:colOff>0</xdr:colOff>
          <xdr:row>1553</xdr:row>
          <xdr:rowOff>165100</xdr:rowOff>
        </xdr:to>
        <xdr:sp macro="" textlink="">
          <xdr:nvSpPr>
            <xdr:cNvPr id="13841" name="Button 2577" hidden="1">
              <a:extLst>
                <a:ext uri="{63B3BB69-23CF-44E3-9099-C40C66FF867C}">
                  <a14:compatExt spid="_x0000_s13841"/>
                </a:ext>
                <a:ext uri="{FF2B5EF4-FFF2-40B4-BE49-F238E27FC236}">
                  <a16:creationId xmlns:a16="http://schemas.microsoft.com/office/drawing/2014/main" id="{00000000-0008-0000-0100-000011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1554</xdr:row>
          <xdr:rowOff>0</xdr:rowOff>
        </xdr:from>
        <xdr:to>
          <xdr:col>7</xdr:col>
          <xdr:colOff>0</xdr:colOff>
          <xdr:row>1554</xdr:row>
          <xdr:rowOff>165100</xdr:rowOff>
        </xdr:to>
        <xdr:sp macro="" textlink="">
          <xdr:nvSpPr>
            <xdr:cNvPr id="13840" name="Button 2576" hidden="1">
              <a:extLst>
                <a:ext uri="{63B3BB69-23CF-44E3-9099-C40C66FF867C}">
                  <a14:compatExt spid="_x0000_s13840"/>
                </a:ext>
                <a:ext uri="{FF2B5EF4-FFF2-40B4-BE49-F238E27FC236}">
                  <a16:creationId xmlns:a16="http://schemas.microsoft.com/office/drawing/2014/main" id="{00000000-0008-0000-0100-000010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1555</xdr:row>
          <xdr:rowOff>0</xdr:rowOff>
        </xdr:from>
        <xdr:to>
          <xdr:col>7</xdr:col>
          <xdr:colOff>0</xdr:colOff>
          <xdr:row>1555</xdr:row>
          <xdr:rowOff>165100</xdr:rowOff>
        </xdr:to>
        <xdr:sp macro="" textlink="">
          <xdr:nvSpPr>
            <xdr:cNvPr id="13839" name="Button 2575" hidden="1">
              <a:extLst>
                <a:ext uri="{63B3BB69-23CF-44E3-9099-C40C66FF867C}">
                  <a14:compatExt spid="_x0000_s13839"/>
                </a:ext>
                <a:ext uri="{FF2B5EF4-FFF2-40B4-BE49-F238E27FC236}">
                  <a16:creationId xmlns:a16="http://schemas.microsoft.com/office/drawing/2014/main" id="{00000000-0008-0000-0100-00000F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1556</xdr:row>
          <xdr:rowOff>0</xdr:rowOff>
        </xdr:from>
        <xdr:to>
          <xdr:col>7</xdr:col>
          <xdr:colOff>0</xdr:colOff>
          <xdr:row>1556</xdr:row>
          <xdr:rowOff>165100</xdr:rowOff>
        </xdr:to>
        <xdr:sp macro="" textlink="">
          <xdr:nvSpPr>
            <xdr:cNvPr id="13838" name="Button 2574" hidden="1">
              <a:extLst>
                <a:ext uri="{63B3BB69-23CF-44E3-9099-C40C66FF867C}">
                  <a14:compatExt spid="_x0000_s13838"/>
                </a:ext>
                <a:ext uri="{FF2B5EF4-FFF2-40B4-BE49-F238E27FC236}">
                  <a16:creationId xmlns:a16="http://schemas.microsoft.com/office/drawing/2014/main" id="{00000000-0008-0000-0100-00000E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1557</xdr:row>
          <xdr:rowOff>0</xdr:rowOff>
        </xdr:from>
        <xdr:to>
          <xdr:col>7</xdr:col>
          <xdr:colOff>0</xdr:colOff>
          <xdr:row>1557</xdr:row>
          <xdr:rowOff>165100</xdr:rowOff>
        </xdr:to>
        <xdr:sp macro="" textlink="">
          <xdr:nvSpPr>
            <xdr:cNvPr id="13837" name="Button 2573" hidden="1">
              <a:extLst>
                <a:ext uri="{63B3BB69-23CF-44E3-9099-C40C66FF867C}">
                  <a14:compatExt spid="_x0000_s13837"/>
                </a:ext>
                <a:ext uri="{FF2B5EF4-FFF2-40B4-BE49-F238E27FC236}">
                  <a16:creationId xmlns:a16="http://schemas.microsoft.com/office/drawing/2014/main" id="{00000000-0008-0000-0100-00000D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1558</xdr:row>
          <xdr:rowOff>0</xdr:rowOff>
        </xdr:from>
        <xdr:to>
          <xdr:col>7</xdr:col>
          <xdr:colOff>0</xdr:colOff>
          <xdr:row>1558</xdr:row>
          <xdr:rowOff>165100</xdr:rowOff>
        </xdr:to>
        <xdr:sp macro="" textlink="">
          <xdr:nvSpPr>
            <xdr:cNvPr id="13836" name="Button 2572" hidden="1">
              <a:extLst>
                <a:ext uri="{63B3BB69-23CF-44E3-9099-C40C66FF867C}">
                  <a14:compatExt spid="_x0000_s13836"/>
                </a:ext>
                <a:ext uri="{FF2B5EF4-FFF2-40B4-BE49-F238E27FC236}">
                  <a16:creationId xmlns:a16="http://schemas.microsoft.com/office/drawing/2014/main" id="{00000000-0008-0000-0100-00000C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1559</xdr:row>
          <xdr:rowOff>0</xdr:rowOff>
        </xdr:from>
        <xdr:to>
          <xdr:col>7</xdr:col>
          <xdr:colOff>0</xdr:colOff>
          <xdr:row>1559</xdr:row>
          <xdr:rowOff>165100</xdr:rowOff>
        </xdr:to>
        <xdr:sp macro="" textlink="">
          <xdr:nvSpPr>
            <xdr:cNvPr id="13835" name="Button 2571" hidden="1">
              <a:extLst>
                <a:ext uri="{63B3BB69-23CF-44E3-9099-C40C66FF867C}">
                  <a14:compatExt spid="_x0000_s13835"/>
                </a:ext>
                <a:ext uri="{FF2B5EF4-FFF2-40B4-BE49-F238E27FC236}">
                  <a16:creationId xmlns:a16="http://schemas.microsoft.com/office/drawing/2014/main" id="{00000000-0008-0000-0100-00000B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1560</xdr:row>
          <xdr:rowOff>0</xdr:rowOff>
        </xdr:from>
        <xdr:to>
          <xdr:col>7</xdr:col>
          <xdr:colOff>0</xdr:colOff>
          <xdr:row>1560</xdr:row>
          <xdr:rowOff>165100</xdr:rowOff>
        </xdr:to>
        <xdr:sp macro="" textlink="">
          <xdr:nvSpPr>
            <xdr:cNvPr id="13834" name="Button 2570" hidden="1">
              <a:extLst>
                <a:ext uri="{63B3BB69-23CF-44E3-9099-C40C66FF867C}">
                  <a14:compatExt spid="_x0000_s13834"/>
                </a:ext>
                <a:ext uri="{FF2B5EF4-FFF2-40B4-BE49-F238E27FC236}">
                  <a16:creationId xmlns:a16="http://schemas.microsoft.com/office/drawing/2014/main" id="{00000000-0008-0000-0100-00000A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1561</xdr:row>
          <xdr:rowOff>0</xdr:rowOff>
        </xdr:from>
        <xdr:to>
          <xdr:col>7</xdr:col>
          <xdr:colOff>0</xdr:colOff>
          <xdr:row>1561</xdr:row>
          <xdr:rowOff>165100</xdr:rowOff>
        </xdr:to>
        <xdr:sp macro="" textlink="">
          <xdr:nvSpPr>
            <xdr:cNvPr id="13833" name="Button 2569" hidden="1">
              <a:extLst>
                <a:ext uri="{63B3BB69-23CF-44E3-9099-C40C66FF867C}">
                  <a14:compatExt spid="_x0000_s13833"/>
                </a:ext>
                <a:ext uri="{FF2B5EF4-FFF2-40B4-BE49-F238E27FC236}">
                  <a16:creationId xmlns:a16="http://schemas.microsoft.com/office/drawing/2014/main" id="{00000000-0008-0000-0100-000009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1562</xdr:row>
          <xdr:rowOff>0</xdr:rowOff>
        </xdr:from>
        <xdr:to>
          <xdr:col>7</xdr:col>
          <xdr:colOff>0</xdr:colOff>
          <xdr:row>1562</xdr:row>
          <xdr:rowOff>165100</xdr:rowOff>
        </xdr:to>
        <xdr:sp macro="" textlink="">
          <xdr:nvSpPr>
            <xdr:cNvPr id="13832" name="Button 2568" hidden="1">
              <a:extLst>
                <a:ext uri="{63B3BB69-23CF-44E3-9099-C40C66FF867C}">
                  <a14:compatExt spid="_x0000_s13832"/>
                </a:ext>
                <a:ext uri="{FF2B5EF4-FFF2-40B4-BE49-F238E27FC236}">
                  <a16:creationId xmlns:a16="http://schemas.microsoft.com/office/drawing/2014/main" id="{00000000-0008-0000-0100-000008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1563</xdr:row>
          <xdr:rowOff>0</xdr:rowOff>
        </xdr:from>
        <xdr:to>
          <xdr:col>7</xdr:col>
          <xdr:colOff>0</xdr:colOff>
          <xdr:row>1563</xdr:row>
          <xdr:rowOff>165100</xdr:rowOff>
        </xdr:to>
        <xdr:sp macro="" textlink="">
          <xdr:nvSpPr>
            <xdr:cNvPr id="13831" name="Button 2567" hidden="1">
              <a:extLst>
                <a:ext uri="{63B3BB69-23CF-44E3-9099-C40C66FF867C}">
                  <a14:compatExt spid="_x0000_s13831"/>
                </a:ext>
                <a:ext uri="{FF2B5EF4-FFF2-40B4-BE49-F238E27FC236}">
                  <a16:creationId xmlns:a16="http://schemas.microsoft.com/office/drawing/2014/main" id="{00000000-0008-0000-0100-000007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1564</xdr:row>
          <xdr:rowOff>0</xdr:rowOff>
        </xdr:from>
        <xdr:to>
          <xdr:col>7</xdr:col>
          <xdr:colOff>0</xdr:colOff>
          <xdr:row>1564</xdr:row>
          <xdr:rowOff>165100</xdr:rowOff>
        </xdr:to>
        <xdr:sp macro="" textlink="">
          <xdr:nvSpPr>
            <xdr:cNvPr id="13830" name="Button 2566" hidden="1">
              <a:extLst>
                <a:ext uri="{63B3BB69-23CF-44E3-9099-C40C66FF867C}">
                  <a14:compatExt spid="_x0000_s13830"/>
                </a:ext>
                <a:ext uri="{FF2B5EF4-FFF2-40B4-BE49-F238E27FC236}">
                  <a16:creationId xmlns:a16="http://schemas.microsoft.com/office/drawing/2014/main" id="{00000000-0008-0000-0100-000006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1565</xdr:row>
          <xdr:rowOff>0</xdr:rowOff>
        </xdr:from>
        <xdr:to>
          <xdr:col>7</xdr:col>
          <xdr:colOff>0</xdr:colOff>
          <xdr:row>1565</xdr:row>
          <xdr:rowOff>165100</xdr:rowOff>
        </xdr:to>
        <xdr:sp macro="" textlink="">
          <xdr:nvSpPr>
            <xdr:cNvPr id="13829" name="Button 2565" hidden="1">
              <a:extLst>
                <a:ext uri="{63B3BB69-23CF-44E3-9099-C40C66FF867C}">
                  <a14:compatExt spid="_x0000_s13829"/>
                </a:ext>
                <a:ext uri="{FF2B5EF4-FFF2-40B4-BE49-F238E27FC236}">
                  <a16:creationId xmlns:a16="http://schemas.microsoft.com/office/drawing/2014/main" id="{00000000-0008-0000-0100-000005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1566</xdr:row>
          <xdr:rowOff>0</xdr:rowOff>
        </xdr:from>
        <xdr:to>
          <xdr:col>7</xdr:col>
          <xdr:colOff>0</xdr:colOff>
          <xdr:row>1566</xdr:row>
          <xdr:rowOff>165100</xdr:rowOff>
        </xdr:to>
        <xdr:sp macro="" textlink="">
          <xdr:nvSpPr>
            <xdr:cNvPr id="13828" name="Button 2564" hidden="1">
              <a:extLst>
                <a:ext uri="{63B3BB69-23CF-44E3-9099-C40C66FF867C}">
                  <a14:compatExt spid="_x0000_s13828"/>
                </a:ext>
                <a:ext uri="{FF2B5EF4-FFF2-40B4-BE49-F238E27FC236}">
                  <a16:creationId xmlns:a16="http://schemas.microsoft.com/office/drawing/2014/main" id="{00000000-0008-0000-0100-000004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1569</xdr:row>
          <xdr:rowOff>0</xdr:rowOff>
        </xdr:from>
        <xdr:to>
          <xdr:col>7</xdr:col>
          <xdr:colOff>0</xdr:colOff>
          <xdr:row>1570</xdr:row>
          <xdr:rowOff>0</xdr:rowOff>
        </xdr:to>
        <xdr:sp macro="" textlink="">
          <xdr:nvSpPr>
            <xdr:cNvPr id="13827" name="Button 2563" hidden="1">
              <a:extLst>
                <a:ext uri="{63B3BB69-23CF-44E3-9099-C40C66FF867C}">
                  <a14:compatExt spid="_x0000_s13827"/>
                </a:ext>
                <a:ext uri="{FF2B5EF4-FFF2-40B4-BE49-F238E27FC236}">
                  <a16:creationId xmlns:a16="http://schemas.microsoft.com/office/drawing/2014/main" id="{00000000-0008-0000-0100-000003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1576</xdr:row>
          <xdr:rowOff>0</xdr:rowOff>
        </xdr:from>
        <xdr:to>
          <xdr:col>7</xdr:col>
          <xdr:colOff>0</xdr:colOff>
          <xdr:row>1576</xdr:row>
          <xdr:rowOff>171450</xdr:rowOff>
        </xdr:to>
        <xdr:sp macro="" textlink="">
          <xdr:nvSpPr>
            <xdr:cNvPr id="13826" name="Button 2562" hidden="1">
              <a:extLst>
                <a:ext uri="{63B3BB69-23CF-44E3-9099-C40C66FF867C}">
                  <a14:compatExt spid="_x0000_s13826"/>
                </a:ext>
                <a:ext uri="{FF2B5EF4-FFF2-40B4-BE49-F238E27FC236}">
                  <a16:creationId xmlns:a16="http://schemas.microsoft.com/office/drawing/2014/main" id="{00000000-0008-0000-0100-000002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1577</xdr:row>
          <xdr:rowOff>0</xdr:rowOff>
        </xdr:from>
        <xdr:to>
          <xdr:col>7</xdr:col>
          <xdr:colOff>0</xdr:colOff>
          <xdr:row>1577</xdr:row>
          <xdr:rowOff>165100</xdr:rowOff>
        </xdr:to>
        <xdr:sp macro="" textlink="">
          <xdr:nvSpPr>
            <xdr:cNvPr id="13825" name="Button 2561" hidden="1">
              <a:extLst>
                <a:ext uri="{63B3BB69-23CF-44E3-9099-C40C66FF867C}">
                  <a14:compatExt spid="_x0000_s13825"/>
                </a:ext>
                <a:ext uri="{FF2B5EF4-FFF2-40B4-BE49-F238E27FC236}">
                  <a16:creationId xmlns:a16="http://schemas.microsoft.com/office/drawing/2014/main" id="{00000000-0008-0000-0100-000001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1578</xdr:row>
          <xdr:rowOff>0</xdr:rowOff>
        </xdr:from>
        <xdr:to>
          <xdr:col>7</xdr:col>
          <xdr:colOff>0</xdr:colOff>
          <xdr:row>1578</xdr:row>
          <xdr:rowOff>165100</xdr:rowOff>
        </xdr:to>
        <xdr:sp macro="" textlink="">
          <xdr:nvSpPr>
            <xdr:cNvPr id="13824" name="Button 2560" hidden="1">
              <a:extLst>
                <a:ext uri="{63B3BB69-23CF-44E3-9099-C40C66FF867C}">
                  <a14:compatExt spid="_x0000_s13824"/>
                </a:ext>
                <a:ext uri="{FF2B5EF4-FFF2-40B4-BE49-F238E27FC236}">
                  <a16:creationId xmlns:a16="http://schemas.microsoft.com/office/drawing/2014/main" id="{00000000-0008-0000-0100-0000003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1579</xdr:row>
          <xdr:rowOff>0</xdr:rowOff>
        </xdr:from>
        <xdr:to>
          <xdr:col>7</xdr:col>
          <xdr:colOff>0</xdr:colOff>
          <xdr:row>1579</xdr:row>
          <xdr:rowOff>165100</xdr:rowOff>
        </xdr:to>
        <xdr:sp macro="" textlink="">
          <xdr:nvSpPr>
            <xdr:cNvPr id="13823" name="Button 2559" hidden="1">
              <a:extLst>
                <a:ext uri="{63B3BB69-23CF-44E3-9099-C40C66FF867C}">
                  <a14:compatExt spid="_x0000_s13823"/>
                </a:ext>
                <a:ext uri="{FF2B5EF4-FFF2-40B4-BE49-F238E27FC236}">
                  <a16:creationId xmlns:a16="http://schemas.microsoft.com/office/drawing/2014/main" id="{00000000-0008-0000-0100-0000F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1580</xdr:row>
          <xdr:rowOff>0</xdr:rowOff>
        </xdr:from>
        <xdr:to>
          <xdr:col>7</xdr:col>
          <xdr:colOff>0</xdr:colOff>
          <xdr:row>1580</xdr:row>
          <xdr:rowOff>165100</xdr:rowOff>
        </xdr:to>
        <xdr:sp macro="" textlink="">
          <xdr:nvSpPr>
            <xdr:cNvPr id="13822" name="Button 2558" hidden="1">
              <a:extLst>
                <a:ext uri="{63B3BB69-23CF-44E3-9099-C40C66FF867C}">
                  <a14:compatExt spid="_x0000_s13822"/>
                </a:ext>
                <a:ext uri="{FF2B5EF4-FFF2-40B4-BE49-F238E27FC236}">
                  <a16:creationId xmlns:a16="http://schemas.microsoft.com/office/drawing/2014/main" id="{00000000-0008-0000-0100-0000F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1581</xdr:row>
          <xdr:rowOff>0</xdr:rowOff>
        </xdr:from>
        <xdr:to>
          <xdr:col>7</xdr:col>
          <xdr:colOff>0</xdr:colOff>
          <xdr:row>1581</xdr:row>
          <xdr:rowOff>165100</xdr:rowOff>
        </xdr:to>
        <xdr:sp macro="" textlink="">
          <xdr:nvSpPr>
            <xdr:cNvPr id="13821" name="Button 2557" hidden="1">
              <a:extLst>
                <a:ext uri="{63B3BB69-23CF-44E3-9099-C40C66FF867C}">
                  <a14:compatExt spid="_x0000_s13821"/>
                </a:ext>
                <a:ext uri="{FF2B5EF4-FFF2-40B4-BE49-F238E27FC236}">
                  <a16:creationId xmlns:a16="http://schemas.microsoft.com/office/drawing/2014/main" id="{00000000-0008-0000-0100-0000F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1582</xdr:row>
          <xdr:rowOff>0</xdr:rowOff>
        </xdr:from>
        <xdr:to>
          <xdr:col>7</xdr:col>
          <xdr:colOff>0</xdr:colOff>
          <xdr:row>1582</xdr:row>
          <xdr:rowOff>165100</xdr:rowOff>
        </xdr:to>
        <xdr:sp macro="" textlink="">
          <xdr:nvSpPr>
            <xdr:cNvPr id="13820" name="Button 2556" hidden="1">
              <a:extLst>
                <a:ext uri="{63B3BB69-23CF-44E3-9099-C40C66FF867C}">
                  <a14:compatExt spid="_x0000_s13820"/>
                </a:ext>
                <a:ext uri="{FF2B5EF4-FFF2-40B4-BE49-F238E27FC236}">
                  <a16:creationId xmlns:a16="http://schemas.microsoft.com/office/drawing/2014/main" id="{00000000-0008-0000-0100-0000F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1583</xdr:row>
          <xdr:rowOff>0</xdr:rowOff>
        </xdr:from>
        <xdr:to>
          <xdr:col>7</xdr:col>
          <xdr:colOff>0</xdr:colOff>
          <xdr:row>1583</xdr:row>
          <xdr:rowOff>165100</xdr:rowOff>
        </xdr:to>
        <xdr:sp macro="" textlink="">
          <xdr:nvSpPr>
            <xdr:cNvPr id="13819" name="Button 2555" hidden="1">
              <a:extLst>
                <a:ext uri="{63B3BB69-23CF-44E3-9099-C40C66FF867C}">
                  <a14:compatExt spid="_x0000_s13819"/>
                </a:ext>
                <a:ext uri="{FF2B5EF4-FFF2-40B4-BE49-F238E27FC236}">
                  <a16:creationId xmlns:a16="http://schemas.microsoft.com/office/drawing/2014/main" id="{00000000-0008-0000-0100-0000F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1584</xdr:row>
          <xdr:rowOff>0</xdr:rowOff>
        </xdr:from>
        <xdr:to>
          <xdr:col>7</xdr:col>
          <xdr:colOff>0</xdr:colOff>
          <xdr:row>1584</xdr:row>
          <xdr:rowOff>165100</xdr:rowOff>
        </xdr:to>
        <xdr:sp macro="" textlink="">
          <xdr:nvSpPr>
            <xdr:cNvPr id="13818" name="Button 2554" hidden="1">
              <a:extLst>
                <a:ext uri="{63B3BB69-23CF-44E3-9099-C40C66FF867C}">
                  <a14:compatExt spid="_x0000_s13818"/>
                </a:ext>
                <a:ext uri="{FF2B5EF4-FFF2-40B4-BE49-F238E27FC236}">
                  <a16:creationId xmlns:a16="http://schemas.microsoft.com/office/drawing/2014/main" id="{00000000-0008-0000-0100-0000F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1585</xdr:row>
          <xdr:rowOff>0</xdr:rowOff>
        </xdr:from>
        <xdr:to>
          <xdr:col>7</xdr:col>
          <xdr:colOff>0</xdr:colOff>
          <xdr:row>1585</xdr:row>
          <xdr:rowOff>165100</xdr:rowOff>
        </xdr:to>
        <xdr:sp macro="" textlink="">
          <xdr:nvSpPr>
            <xdr:cNvPr id="13817" name="Button 2553" hidden="1">
              <a:extLst>
                <a:ext uri="{63B3BB69-23CF-44E3-9099-C40C66FF867C}">
                  <a14:compatExt spid="_x0000_s13817"/>
                </a:ext>
                <a:ext uri="{FF2B5EF4-FFF2-40B4-BE49-F238E27FC236}">
                  <a16:creationId xmlns:a16="http://schemas.microsoft.com/office/drawing/2014/main" id="{00000000-0008-0000-0100-0000F9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1586</xdr:row>
          <xdr:rowOff>0</xdr:rowOff>
        </xdr:from>
        <xdr:to>
          <xdr:col>7</xdr:col>
          <xdr:colOff>0</xdr:colOff>
          <xdr:row>1586</xdr:row>
          <xdr:rowOff>165100</xdr:rowOff>
        </xdr:to>
        <xdr:sp macro="" textlink="">
          <xdr:nvSpPr>
            <xdr:cNvPr id="13816" name="Button 2552" hidden="1">
              <a:extLst>
                <a:ext uri="{63B3BB69-23CF-44E3-9099-C40C66FF867C}">
                  <a14:compatExt spid="_x0000_s13816"/>
                </a:ext>
                <a:ext uri="{FF2B5EF4-FFF2-40B4-BE49-F238E27FC236}">
                  <a16:creationId xmlns:a16="http://schemas.microsoft.com/office/drawing/2014/main" id="{00000000-0008-0000-0100-0000F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1587</xdr:row>
          <xdr:rowOff>0</xdr:rowOff>
        </xdr:from>
        <xdr:to>
          <xdr:col>7</xdr:col>
          <xdr:colOff>0</xdr:colOff>
          <xdr:row>1587</xdr:row>
          <xdr:rowOff>165100</xdr:rowOff>
        </xdr:to>
        <xdr:sp macro="" textlink="">
          <xdr:nvSpPr>
            <xdr:cNvPr id="13815" name="Button 2551" hidden="1">
              <a:extLst>
                <a:ext uri="{63B3BB69-23CF-44E3-9099-C40C66FF867C}">
                  <a14:compatExt spid="_x0000_s13815"/>
                </a:ext>
                <a:ext uri="{FF2B5EF4-FFF2-40B4-BE49-F238E27FC236}">
                  <a16:creationId xmlns:a16="http://schemas.microsoft.com/office/drawing/2014/main" id="{00000000-0008-0000-0100-0000F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1588</xdr:row>
          <xdr:rowOff>0</xdr:rowOff>
        </xdr:from>
        <xdr:to>
          <xdr:col>7</xdr:col>
          <xdr:colOff>0</xdr:colOff>
          <xdr:row>1588</xdr:row>
          <xdr:rowOff>165100</xdr:rowOff>
        </xdr:to>
        <xdr:sp macro="" textlink="">
          <xdr:nvSpPr>
            <xdr:cNvPr id="13814" name="Button 2550" hidden="1">
              <a:extLst>
                <a:ext uri="{63B3BB69-23CF-44E3-9099-C40C66FF867C}">
                  <a14:compatExt spid="_x0000_s13814"/>
                </a:ext>
                <a:ext uri="{FF2B5EF4-FFF2-40B4-BE49-F238E27FC236}">
                  <a16:creationId xmlns:a16="http://schemas.microsoft.com/office/drawing/2014/main" id="{00000000-0008-0000-0100-0000F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1589</xdr:row>
          <xdr:rowOff>0</xdr:rowOff>
        </xdr:from>
        <xdr:to>
          <xdr:col>7</xdr:col>
          <xdr:colOff>0</xdr:colOff>
          <xdr:row>1589</xdr:row>
          <xdr:rowOff>165100</xdr:rowOff>
        </xdr:to>
        <xdr:sp macro="" textlink="">
          <xdr:nvSpPr>
            <xdr:cNvPr id="13813" name="Button 2549" hidden="1">
              <a:extLst>
                <a:ext uri="{63B3BB69-23CF-44E3-9099-C40C66FF867C}">
                  <a14:compatExt spid="_x0000_s13813"/>
                </a:ext>
                <a:ext uri="{FF2B5EF4-FFF2-40B4-BE49-F238E27FC236}">
                  <a16:creationId xmlns:a16="http://schemas.microsoft.com/office/drawing/2014/main" id="{00000000-0008-0000-0100-0000F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1590</xdr:row>
          <xdr:rowOff>0</xdr:rowOff>
        </xdr:from>
        <xdr:to>
          <xdr:col>7</xdr:col>
          <xdr:colOff>0</xdr:colOff>
          <xdr:row>1590</xdr:row>
          <xdr:rowOff>165100</xdr:rowOff>
        </xdr:to>
        <xdr:sp macro="" textlink="">
          <xdr:nvSpPr>
            <xdr:cNvPr id="13812" name="Button 2548" hidden="1">
              <a:extLst>
                <a:ext uri="{63B3BB69-23CF-44E3-9099-C40C66FF867C}">
                  <a14:compatExt spid="_x0000_s13812"/>
                </a:ext>
                <a:ext uri="{FF2B5EF4-FFF2-40B4-BE49-F238E27FC236}">
                  <a16:creationId xmlns:a16="http://schemas.microsoft.com/office/drawing/2014/main" id="{00000000-0008-0000-0100-0000F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1591</xdr:row>
          <xdr:rowOff>0</xdr:rowOff>
        </xdr:from>
        <xdr:to>
          <xdr:col>7</xdr:col>
          <xdr:colOff>0</xdr:colOff>
          <xdr:row>1591</xdr:row>
          <xdr:rowOff>165100</xdr:rowOff>
        </xdr:to>
        <xdr:sp macro="" textlink="">
          <xdr:nvSpPr>
            <xdr:cNvPr id="13811" name="Button 2547" hidden="1">
              <a:extLst>
                <a:ext uri="{63B3BB69-23CF-44E3-9099-C40C66FF867C}">
                  <a14:compatExt spid="_x0000_s13811"/>
                </a:ext>
                <a:ext uri="{FF2B5EF4-FFF2-40B4-BE49-F238E27FC236}">
                  <a16:creationId xmlns:a16="http://schemas.microsoft.com/office/drawing/2014/main" id="{00000000-0008-0000-0100-0000F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1592</xdr:row>
          <xdr:rowOff>0</xdr:rowOff>
        </xdr:from>
        <xdr:to>
          <xdr:col>7</xdr:col>
          <xdr:colOff>0</xdr:colOff>
          <xdr:row>1592</xdr:row>
          <xdr:rowOff>165100</xdr:rowOff>
        </xdr:to>
        <xdr:sp macro="" textlink="">
          <xdr:nvSpPr>
            <xdr:cNvPr id="13810" name="Button 2546" hidden="1">
              <a:extLst>
                <a:ext uri="{63B3BB69-23CF-44E3-9099-C40C66FF867C}">
                  <a14:compatExt spid="_x0000_s13810"/>
                </a:ext>
                <a:ext uri="{FF2B5EF4-FFF2-40B4-BE49-F238E27FC236}">
                  <a16:creationId xmlns:a16="http://schemas.microsoft.com/office/drawing/2014/main" id="{00000000-0008-0000-0100-0000F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1593</xdr:row>
          <xdr:rowOff>0</xdr:rowOff>
        </xdr:from>
        <xdr:to>
          <xdr:col>7</xdr:col>
          <xdr:colOff>0</xdr:colOff>
          <xdr:row>1593</xdr:row>
          <xdr:rowOff>165100</xdr:rowOff>
        </xdr:to>
        <xdr:sp macro="" textlink="">
          <xdr:nvSpPr>
            <xdr:cNvPr id="13809" name="Button 2545" hidden="1">
              <a:extLst>
                <a:ext uri="{63B3BB69-23CF-44E3-9099-C40C66FF867C}">
                  <a14:compatExt spid="_x0000_s13809"/>
                </a:ext>
                <a:ext uri="{FF2B5EF4-FFF2-40B4-BE49-F238E27FC236}">
                  <a16:creationId xmlns:a16="http://schemas.microsoft.com/office/drawing/2014/main" id="{00000000-0008-0000-0100-0000F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1594</xdr:row>
          <xdr:rowOff>0</xdr:rowOff>
        </xdr:from>
        <xdr:to>
          <xdr:col>7</xdr:col>
          <xdr:colOff>0</xdr:colOff>
          <xdr:row>1594</xdr:row>
          <xdr:rowOff>165100</xdr:rowOff>
        </xdr:to>
        <xdr:sp macro="" textlink="">
          <xdr:nvSpPr>
            <xdr:cNvPr id="13808" name="Button 2544" hidden="1">
              <a:extLst>
                <a:ext uri="{63B3BB69-23CF-44E3-9099-C40C66FF867C}">
                  <a14:compatExt spid="_x0000_s13808"/>
                </a:ext>
                <a:ext uri="{FF2B5EF4-FFF2-40B4-BE49-F238E27FC236}">
                  <a16:creationId xmlns:a16="http://schemas.microsoft.com/office/drawing/2014/main" id="{00000000-0008-0000-0100-0000F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1595</xdr:row>
          <xdr:rowOff>0</xdr:rowOff>
        </xdr:from>
        <xdr:to>
          <xdr:col>7</xdr:col>
          <xdr:colOff>0</xdr:colOff>
          <xdr:row>1595</xdr:row>
          <xdr:rowOff>165100</xdr:rowOff>
        </xdr:to>
        <xdr:sp macro="" textlink="">
          <xdr:nvSpPr>
            <xdr:cNvPr id="13807" name="Button 2543" hidden="1">
              <a:extLst>
                <a:ext uri="{63B3BB69-23CF-44E3-9099-C40C66FF867C}">
                  <a14:compatExt spid="_x0000_s13807"/>
                </a:ext>
                <a:ext uri="{FF2B5EF4-FFF2-40B4-BE49-F238E27FC236}">
                  <a16:creationId xmlns:a16="http://schemas.microsoft.com/office/drawing/2014/main" id="{00000000-0008-0000-0100-0000E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1596</xdr:row>
          <xdr:rowOff>0</xdr:rowOff>
        </xdr:from>
        <xdr:to>
          <xdr:col>7</xdr:col>
          <xdr:colOff>0</xdr:colOff>
          <xdr:row>1596</xdr:row>
          <xdr:rowOff>165100</xdr:rowOff>
        </xdr:to>
        <xdr:sp macro="" textlink="">
          <xdr:nvSpPr>
            <xdr:cNvPr id="13806" name="Button 2542" hidden="1">
              <a:extLst>
                <a:ext uri="{63B3BB69-23CF-44E3-9099-C40C66FF867C}">
                  <a14:compatExt spid="_x0000_s13806"/>
                </a:ext>
                <a:ext uri="{FF2B5EF4-FFF2-40B4-BE49-F238E27FC236}">
                  <a16:creationId xmlns:a16="http://schemas.microsoft.com/office/drawing/2014/main" id="{00000000-0008-0000-0100-0000E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1597</xdr:row>
          <xdr:rowOff>0</xdr:rowOff>
        </xdr:from>
        <xdr:to>
          <xdr:col>7</xdr:col>
          <xdr:colOff>0</xdr:colOff>
          <xdr:row>1597</xdr:row>
          <xdr:rowOff>165100</xdr:rowOff>
        </xdr:to>
        <xdr:sp macro="" textlink="">
          <xdr:nvSpPr>
            <xdr:cNvPr id="13805" name="Button 2541" hidden="1">
              <a:extLst>
                <a:ext uri="{63B3BB69-23CF-44E3-9099-C40C66FF867C}">
                  <a14:compatExt spid="_x0000_s13805"/>
                </a:ext>
                <a:ext uri="{FF2B5EF4-FFF2-40B4-BE49-F238E27FC236}">
                  <a16:creationId xmlns:a16="http://schemas.microsoft.com/office/drawing/2014/main" id="{00000000-0008-0000-0100-0000E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1598</xdr:row>
          <xdr:rowOff>0</xdr:rowOff>
        </xdr:from>
        <xdr:to>
          <xdr:col>7</xdr:col>
          <xdr:colOff>0</xdr:colOff>
          <xdr:row>1598</xdr:row>
          <xdr:rowOff>165100</xdr:rowOff>
        </xdr:to>
        <xdr:sp macro="" textlink="">
          <xdr:nvSpPr>
            <xdr:cNvPr id="13804" name="Button 2540" hidden="1">
              <a:extLst>
                <a:ext uri="{63B3BB69-23CF-44E3-9099-C40C66FF867C}">
                  <a14:compatExt spid="_x0000_s13804"/>
                </a:ext>
                <a:ext uri="{FF2B5EF4-FFF2-40B4-BE49-F238E27FC236}">
                  <a16:creationId xmlns:a16="http://schemas.microsoft.com/office/drawing/2014/main" id="{00000000-0008-0000-0100-0000E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1599</xdr:row>
          <xdr:rowOff>0</xdr:rowOff>
        </xdr:from>
        <xdr:to>
          <xdr:col>7</xdr:col>
          <xdr:colOff>0</xdr:colOff>
          <xdr:row>1599</xdr:row>
          <xdr:rowOff>165100</xdr:rowOff>
        </xdr:to>
        <xdr:sp macro="" textlink="">
          <xdr:nvSpPr>
            <xdr:cNvPr id="13803" name="Button 2539" hidden="1">
              <a:extLst>
                <a:ext uri="{63B3BB69-23CF-44E3-9099-C40C66FF867C}">
                  <a14:compatExt spid="_x0000_s13803"/>
                </a:ext>
                <a:ext uri="{FF2B5EF4-FFF2-40B4-BE49-F238E27FC236}">
                  <a16:creationId xmlns:a16="http://schemas.microsoft.com/office/drawing/2014/main" id="{00000000-0008-0000-0100-0000E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1600</xdr:row>
          <xdr:rowOff>0</xdr:rowOff>
        </xdr:from>
        <xdr:to>
          <xdr:col>7</xdr:col>
          <xdr:colOff>0</xdr:colOff>
          <xdr:row>1600</xdr:row>
          <xdr:rowOff>165100</xdr:rowOff>
        </xdr:to>
        <xdr:sp macro="" textlink="">
          <xdr:nvSpPr>
            <xdr:cNvPr id="13802" name="Button 2538" hidden="1">
              <a:extLst>
                <a:ext uri="{63B3BB69-23CF-44E3-9099-C40C66FF867C}">
                  <a14:compatExt spid="_x0000_s13802"/>
                </a:ext>
                <a:ext uri="{FF2B5EF4-FFF2-40B4-BE49-F238E27FC236}">
                  <a16:creationId xmlns:a16="http://schemas.microsoft.com/office/drawing/2014/main" id="{00000000-0008-0000-0100-0000E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1601</xdr:row>
          <xdr:rowOff>0</xdr:rowOff>
        </xdr:from>
        <xdr:to>
          <xdr:col>7</xdr:col>
          <xdr:colOff>0</xdr:colOff>
          <xdr:row>1601</xdr:row>
          <xdr:rowOff>165100</xdr:rowOff>
        </xdr:to>
        <xdr:sp macro="" textlink="">
          <xdr:nvSpPr>
            <xdr:cNvPr id="13801" name="Button 2537" hidden="1">
              <a:extLst>
                <a:ext uri="{63B3BB69-23CF-44E3-9099-C40C66FF867C}">
                  <a14:compatExt spid="_x0000_s13801"/>
                </a:ext>
                <a:ext uri="{FF2B5EF4-FFF2-40B4-BE49-F238E27FC236}">
                  <a16:creationId xmlns:a16="http://schemas.microsoft.com/office/drawing/2014/main" id="{00000000-0008-0000-0100-0000E9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1602</xdr:row>
          <xdr:rowOff>0</xdr:rowOff>
        </xdr:from>
        <xdr:to>
          <xdr:col>7</xdr:col>
          <xdr:colOff>0</xdr:colOff>
          <xdr:row>1602</xdr:row>
          <xdr:rowOff>165100</xdr:rowOff>
        </xdr:to>
        <xdr:sp macro="" textlink="">
          <xdr:nvSpPr>
            <xdr:cNvPr id="13800" name="Button 2536" hidden="1">
              <a:extLst>
                <a:ext uri="{63B3BB69-23CF-44E3-9099-C40C66FF867C}">
                  <a14:compatExt spid="_x0000_s13800"/>
                </a:ext>
                <a:ext uri="{FF2B5EF4-FFF2-40B4-BE49-F238E27FC236}">
                  <a16:creationId xmlns:a16="http://schemas.microsoft.com/office/drawing/2014/main" id="{00000000-0008-0000-0100-0000E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1603</xdr:row>
          <xdr:rowOff>0</xdr:rowOff>
        </xdr:from>
        <xdr:to>
          <xdr:col>7</xdr:col>
          <xdr:colOff>0</xdr:colOff>
          <xdr:row>1603</xdr:row>
          <xdr:rowOff>165100</xdr:rowOff>
        </xdr:to>
        <xdr:sp macro="" textlink="">
          <xdr:nvSpPr>
            <xdr:cNvPr id="13799" name="Button 2535" hidden="1">
              <a:extLst>
                <a:ext uri="{63B3BB69-23CF-44E3-9099-C40C66FF867C}">
                  <a14:compatExt spid="_x0000_s13799"/>
                </a:ext>
                <a:ext uri="{FF2B5EF4-FFF2-40B4-BE49-F238E27FC236}">
                  <a16:creationId xmlns:a16="http://schemas.microsoft.com/office/drawing/2014/main" id="{00000000-0008-0000-0100-0000E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1604</xdr:row>
          <xdr:rowOff>0</xdr:rowOff>
        </xdr:from>
        <xdr:to>
          <xdr:col>7</xdr:col>
          <xdr:colOff>0</xdr:colOff>
          <xdr:row>1604</xdr:row>
          <xdr:rowOff>165100</xdr:rowOff>
        </xdr:to>
        <xdr:sp macro="" textlink="">
          <xdr:nvSpPr>
            <xdr:cNvPr id="13798" name="Button 2534" hidden="1">
              <a:extLst>
                <a:ext uri="{63B3BB69-23CF-44E3-9099-C40C66FF867C}">
                  <a14:compatExt spid="_x0000_s13798"/>
                </a:ext>
                <a:ext uri="{FF2B5EF4-FFF2-40B4-BE49-F238E27FC236}">
                  <a16:creationId xmlns:a16="http://schemas.microsoft.com/office/drawing/2014/main" id="{00000000-0008-0000-0100-0000E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1605</xdr:row>
          <xdr:rowOff>0</xdr:rowOff>
        </xdr:from>
        <xdr:to>
          <xdr:col>7</xdr:col>
          <xdr:colOff>0</xdr:colOff>
          <xdr:row>1605</xdr:row>
          <xdr:rowOff>165100</xdr:rowOff>
        </xdr:to>
        <xdr:sp macro="" textlink="">
          <xdr:nvSpPr>
            <xdr:cNvPr id="13797" name="Button 2533" hidden="1">
              <a:extLst>
                <a:ext uri="{63B3BB69-23CF-44E3-9099-C40C66FF867C}">
                  <a14:compatExt spid="_x0000_s13797"/>
                </a:ext>
                <a:ext uri="{FF2B5EF4-FFF2-40B4-BE49-F238E27FC236}">
                  <a16:creationId xmlns:a16="http://schemas.microsoft.com/office/drawing/2014/main" id="{00000000-0008-0000-0100-0000E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1606</xdr:row>
          <xdr:rowOff>0</xdr:rowOff>
        </xdr:from>
        <xdr:to>
          <xdr:col>7</xdr:col>
          <xdr:colOff>0</xdr:colOff>
          <xdr:row>1606</xdr:row>
          <xdr:rowOff>165100</xdr:rowOff>
        </xdr:to>
        <xdr:sp macro="" textlink="">
          <xdr:nvSpPr>
            <xdr:cNvPr id="13796" name="Button 2532" hidden="1">
              <a:extLst>
                <a:ext uri="{63B3BB69-23CF-44E3-9099-C40C66FF867C}">
                  <a14:compatExt spid="_x0000_s13796"/>
                </a:ext>
                <a:ext uri="{FF2B5EF4-FFF2-40B4-BE49-F238E27FC236}">
                  <a16:creationId xmlns:a16="http://schemas.microsoft.com/office/drawing/2014/main" id="{00000000-0008-0000-0100-0000E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1607</xdr:row>
          <xdr:rowOff>0</xdr:rowOff>
        </xdr:from>
        <xdr:to>
          <xdr:col>7</xdr:col>
          <xdr:colOff>0</xdr:colOff>
          <xdr:row>1607</xdr:row>
          <xdr:rowOff>165100</xdr:rowOff>
        </xdr:to>
        <xdr:sp macro="" textlink="">
          <xdr:nvSpPr>
            <xdr:cNvPr id="13795" name="Button 2531" hidden="1">
              <a:extLst>
                <a:ext uri="{63B3BB69-23CF-44E3-9099-C40C66FF867C}">
                  <a14:compatExt spid="_x0000_s13795"/>
                </a:ext>
                <a:ext uri="{FF2B5EF4-FFF2-40B4-BE49-F238E27FC236}">
                  <a16:creationId xmlns:a16="http://schemas.microsoft.com/office/drawing/2014/main" id="{00000000-0008-0000-0100-0000E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1608</xdr:row>
          <xdr:rowOff>0</xdr:rowOff>
        </xdr:from>
        <xdr:to>
          <xdr:col>7</xdr:col>
          <xdr:colOff>0</xdr:colOff>
          <xdr:row>1608</xdr:row>
          <xdr:rowOff>165100</xdr:rowOff>
        </xdr:to>
        <xdr:sp macro="" textlink="">
          <xdr:nvSpPr>
            <xdr:cNvPr id="13794" name="Button 2530" hidden="1">
              <a:extLst>
                <a:ext uri="{63B3BB69-23CF-44E3-9099-C40C66FF867C}">
                  <a14:compatExt spid="_x0000_s13794"/>
                </a:ext>
                <a:ext uri="{FF2B5EF4-FFF2-40B4-BE49-F238E27FC236}">
                  <a16:creationId xmlns:a16="http://schemas.microsoft.com/office/drawing/2014/main" id="{00000000-0008-0000-0100-0000E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1609</xdr:row>
          <xdr:rowOff>0</xdr:rowOff>
        </xdr:from>
        <xdr:to>
          <xdr:col>7</xdr:col>
          <xdr:colOff>0</xdr:colOff>
          <xdr:row>1609</xdr:row>
          <xdr:rowOff>165100</xdr:rowOff>
        </xdr:to>
        <xdr:sp macro="" textlink="">
          <xdr:nvSpPr>
            <xdr:cNvPr id="13793" name="Button 2529" hidden="1">
              <a:extLst>
                <a:ext uri="{63B3BB69-23CF-44E3-9099-C40C66FF867C}">
                  <a14:compatExt spid="_x0000_s13793"/>
                </a:ext>
                <a:ext uri="{FF2B5EF4-FFF2-40B4-BE49-F238E27FC236}">
                  <a16:creationId xmlns:a16="http://schemas.microsoft.com/office/drawing/2014/main" id="{00000000-0008-0000-0100-0000E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1610</xdr:row>
          <xdr:rowOff>0</xdr:rowOff>
        </xdr:from>
        <xdr:to>
          <xdr:col>7</xdr:col>
          <xdr:colOff>0</xdr:colOff>
          <xdr:row>1610</xdr:row>
          <xdr:rowOff>165100</xdr:rowOff>
        </xdr:to>
        <xdr:sp macro="" textlink="">
          <xdr:nvSpPr>
            <xdr:cNvPr id="13792" name="Button 2528" hidden="1">
              <a:extLst>
                <a:ext uri="{63B3BB69-23CF-44E3-9099-C40C66FF867C}">
                  <a14:compatExt spid="_x0000_s13792"/>
                </a:ext>
                <a:ext uri="{FF2B5EF4-FFF2-40B4-BE49-F238E27FC236}">
                  <a16:creationId xmlns:a16="http://schemas.microsoft.com/office/drawing/2014/main" id="{00000000-0008-0000-0100-0000E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1611</xdr:row>
          <xdr:rowOff>0</xdr:rowOff>
        </xdr:from>
        <xdr:to>
          <xdr:col>7</xdr:col>
          <xdr:colOff>0</xdr:colOff>
          <xdr:row>1611</xdr:row>
          <xdr:rowOff>165100</xdr:rowOff>
        </xdr:to>
        <xdr:sp macro="" textlink="">
          <xdr:nvSpPr>
            <xdr:cNvPr id="13791" name="Button 2527" hidden="1">
              <a:extLst>
                <a:ext uri="{63B3BB69-23CF-44E3-9099-C40C66FF867C}">
                  <a14:compatExt spid="_x0000_s13791"/>
                </a:ext>
                <a:ext uri="{FF2B5EF4-FFF2-40B4-BE49-F238E27FC236}">
                  <a16:creationId xmlns:a16="http://schemas.microsoft.com/office/drawing/2014/main" id="{00000000-0008-0000-0100-0000D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1612</xdr:row>
          <xdr:rowOff>0</xdr:rowOff>
        </xdr:from>
        <xdr:to>
          <xdr:col>7</xdr:col>
          <xdr:colOff>0</xdr:colOff>
          <xdr:row>1612</xdr:row>
          <xdr:rowOff>165100</xdr:rowOff>
        </xdr:to>
        <xdr:sp macro="" textlink="">
          <xdr:nvSpPr>
            <xdr:cNvPr id="13790" name="Button 2526" hidden="1">
              <a:extLst>
                <a:ext uri="{63B3BB69-23CF-44E3-9099-C40C66FF867C}">
                  <a14:compatExt spid="_x0000_s13790"/>
                </a:ext>
                <a:ext uri="{FF2B5EF4-FFF2-40B4-BE49-F238E27FC236}">
                  <a16:creationId xmlns:a16="http://schemas.microsoft.com/office/drawing/2014/main" id="{00000000-0008-0000-0100-0000D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1613</xdr:row>
          <xdr:rowOff>0</xdr:rowOff>
        </xdr:from>
        <xdr:to>
          <xdr:col>7</xdr:col>
          <xdr:colOff>0</xdr:colOff>
          <xdr:row>1613</xdr:row>
          <xdr:rowOff>165100</xdr:rowOff>
        </xdr:to>
        <xdr:sp macro="" textlink="">
          <xdr:nvSpPr>
            <xdr:cNvPr id="13789" name="Button 2525" hidden="1">
              <a:extLst>
                <a:ext uri="{63B3BB69-23CF-44E3-9099-C40C66FF867C}">
                  <a14:compatExt spid="_x0000_s13789"/>
                </a:ext>
                <a:ext uri="{FF2B5EF4-FFF2-40B4-BE49-F238E27FC236}">
                  <a16:creationId xmlns:a16="http://schemas.microsoft.com/office/drawing/2014/main" id="{00000000-0008-0000-0100-0000D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1614</xdr:row>
          <xdr:rowOff>0</xdr:rowOff>
        </xdr:from>
        <xdr:to>
          <xdr:col>7</xdr:col>
          <xdr:colOff>0</xdr:colOff>
          <xdr:row>1614</xdr:row>
          <xdr:rowOff>165100</xdr:rowOff>
        </xdr:to>
        <xdr:sp macro="" textlink="">
          <xdr:nvSpPr>
            <xdr:cNvPr id="13788" name="Button 2524" hidden="1">
              <a:extLst>
                <a:ext uri="{63B3BB69-23CF-44E3-9099-C40C66FF867C}">
                  <a14:compatExt spid="_x0000_s13788"/>
                </a:ext>
                <a:ext uri="{FF2B5EF4-FFF2-40B4-BE49-F238E27FC236}">
                  <a16:creationId xmlns:a16="http://schemas.microsoft.com/office/drawing/2014/main" id="{00000000-0008-0000-0100-0000D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1615</xdr:row>
          <xdr:rowOff>0</xdr:rowOff>
        </xdr:from>
        <xdr:to>
          <xdr:col>7</xdr:col>
          <xdr:colOff>0</xdr:colOff>
          <xdr:row>1615</xdr:row>
          <xdr:rowOff>165100</xdr:rowOff>
        </xdr:to>
        <xdr:sp macro="" textlink="">
          <xdr:nvSpPr>
            <xdr:cNvPr id="13787" name="Button 2523" hidden="1">
              <a:extLst>
                <a:ext uri="{63B3BB69-23CF-44E3-9099-C40C66FF867C}">
                  <a14:compatExt spid="_x0000_s13787"/>
                </a:ext>
                <a:ext uri="{FF2B5EF4-FFF2-40B4-BE49-F238E27FC236}">
                  <a16:creationId xmlns:a16="http://schemas.microsoft.com/office/drawing/2014/main" id="{00000000-0008-0000-0100-0000D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1616</xdr:row>
          <xdr:rowOff>0</xdr:rowOff>
        </xdr:from>
        <xdr:to>
          <xdr:col>7</xdr:col>
          <xdr:colOff>0</xdr:colOff>
          <xdr:row>1616</xdr:row>
          <xdr:rowOff>165100</xdr:rowOff>
        </xdr:to>
        <xdr:sp macro="" textlink="">
          <xdr:nvSpPr>
            <xdr:cNvPr id="13786" name="Button 2522" hidden="1">
              <a:extLst>
                <a:ext uri="{63B3BB69-23CF-44E3-9099-C40C66FF867C}">
                  <a14:compatExt spid="_x0000_s13786"/>
                </a:ext>
                <a:ext uri="{FF2B5EF4-FFF2-40B4-BE49-F238E27FC236}">
                  <a16:creationId xmlns:a16="http://schemas.microsoft.com/office/drawing/2014/main" id="{00000000-0008-0000-0100-0000D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1617</xdr:row>
          <xdr:rowOff>0</xdr:rowOff>
        </xdr:from>
        <xdr:to>
          <xdr:col>7</xdr:col>
          <xdr:colOff>0</xdr:colOff>
          <xdr:row>1617</xdr:row>
          <xdr:rowOff>165100</xdr:rowOff>
        </xdr:to>
        <xdr:sp macro="" textlink="">
          <xdr:nvSpPr>
            <xdr:cNvPr id="13785" name="Button 2521" hidden="1">
              <a:extLst>
                <a:ext uri="{63B3BB69-23CF-44E3-9099-C40C66FF867C}">
                  <a14:compatExt spid="_x0000_s13785"/>
                </a:ext>
                <a:ext uri="{FF2B5EF4-FFF2-40B4-BE49-F238E27FC236}">
                  <a16:creationId xmlns:a16="http://schemas.microsoft.com/office/drawing/2014/main" id="{00000000-0008-0000-0100-0000D9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1618</xdr:row>
          <xdr:rowOff>0</xdr:rowOff>
        </xdr:from>
        <xdr:to>
          <xdr:col>7</xdr:col>
          <xdr:colOff>0</xdr:colOff>
          <xdr:row>1618</xdr:row>
          <xdr:rowOff>165100</xdr:rowOff>
        </xdr:to>
        <xdr:sp macro="" textlink="">
          <xdr:nvSpPr>
            <xdr:cNvPr id="13784" name="Button 2520" hidden="1">
              <a:extLst>
                <a:ext uri="{63B3BB69-23CF-44E3-9099-C40C66FF867C}">
                  <a14:compatExt spid="_x0000_s13784"/>
                </a:ext>
                <a:ext uri="{FF2B5EF4-FFF2-40B4-BE49-F238E27FC236}">
                  <a16:creationId xmlns:a16="http://schemas.microsoft.com/office/drawing/2014/main" id="{00000000-0008-0000-0100-0000D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1619</xdr:row>
          <xdr:rowOff>0</xdr:rowOff>
        </xdr:from>
        <xdr:to>
          <xdr:col>7</xdr:col>
          <xdr:colOff>0</xdr:colOff>
          <xdr:row>1619</xdr:row>
          <xdr:rowOff>165100</xdr:rowOff>
        </xdr:to>
        <xdr:sp macro="" textlink="">
          <xdr:nvSpPr>
            <xdr:cNvPr id="13783" name="Button 2519" hidden="1">
              <a:extLst>
                <a:ext uri="{63B3BB69-23CF-44E3-9099-C40C66FF867C}">
                  <a14:compatExt spid="_x0000_s13783"/>
                </a:ext>
                <a:ext uri="{FF2B5EF4-FFF2-40B4-BE49-F238E27FC236}">
                  <a16:creationId xmlns:a16="http://schemas.microsoft.com/office/drawing/2014/main" id="{00000000-0008-0000-0100-0000D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1620</xdr:row>
          <xdr:rowOff>0</xdr:rowOff>
        </xdr:from>
        <xdr:to>
          <xdr:col>7</xdr:col>
          <xdr:colOff>0</xdr:colOff>
          <xdr:row>1620</xdr:row>
          <xdr:rowOff>165100</xdr:rowOff>
        </xdr:to>
        <xdr:sp macro="" textlink="">
          <xdr:nvSpPr>
            <xdr:cNvPr id="13782" name="Button 2518" hidden="1">
              <a:extLst>
                <a:ext uri="{63B3BB69-23CF-44E3-9099-C40C66FF867C}">
                  <a14:compatExt spid="_x0000_s13782"/>
                </a:ext>
                <a:ext uri="{FF2B5EF4-FFF2-40B4-BE49-F238E27FC236}">
                  <a16:creationId xmlns:a16="http://schemas.microsoft.com/office/drawing/2014/main" id="{00000000-0008-0000-0100-0000D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1621</xdr:row>
          <xdr:rowOff>0</xdr:rowOff>
        </xdr:from>
        <xdr:to>
          <xdr:col>7</xdr:col>
          <xdr:colOff>0</xdr:colOff>
          <xdr:row>1621</xdr:row>
          <xdr:rowOff>165100</xdr:rowOff>
        </xdr:to>
        <xdr:sp macro="" textlink="">
          <xdr:nvSpPr>
            <xdr:cNvPr id="13781" name="Button 2517" hidden="1">
              <a:extLst>
                <a:ext uri="{63B3BB69-23CF-44E3-9099-C40C66FF867C}">
                  <a14:compatExt spid="_x0000_s13781"/>
                </a:ext>
                <a:ext uri="{FF2B5EF4-FFF2-40B4-BE49-F238E27FC236}">
                  <a16:creationId xmlns:a16="http://schemas.microsoft.com/office/drawing/2014/main" id="{00000000-0008-0000-0100-0000D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1622</xdr:row>
          <xdr:rowOff>0</xdr:rowOff>
        </xdr:from>
        <xdr:to>
          <xdr:col>7</xdr:col>
          <xdr:colOff>0</xdr:colOff>
          <xdr:row>1622</xdr:row>
          <xdr:rowOff>165100</xdr:rowOff>
        </xdr:to>
        <xdr:sp macro="" textlink="">
          <xdr:nvSpPr>
            <xdr:cNvPr id="13780" name="Button 2516" hidden="1">
              <a:extLst>
                <a:ext uri="{63B3BB69-23CF-44E3-9099-C40C66FF867C}">
                  <a14:compatExt spid="_x0000_s13780"/>
                </a:ext>
                <a:ext uri="{FF2B5EF4-FFF2-40B4-BE49-F238E27FC236}">
                  <a16:creationId xmlns:a16="http://schemas.microsoft.com/office/drawing/2014/main" id="{00000000-0008-0000-0100-0000D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1623</xdr:row>
          <xdr:rowOff>0</xdr:rowOff>
        </xdr:from>
        <xdr:to>
          <xdr:col>7</xdr:col>
          <xdr:colOff>0</xdr:colOff>
          <xdr:row>1623</xdr:row>
          <xdr:rowOff>165100</xdr:rowOff>
        </xdr:to>
        <xdr:sp macro="" textlink="">
          <xdr:nvSpPr>
            <xdr:cNvPr id="13779" name="Button 2515" hidden="1">
              <a:extLst>
                <a:ext uri="{63B3BB69-23CF-44E3-9099-C40C66FF867C}">
                  <a14:compatExt spid="_x0000_s13779"/>
                </a:ext>
                <a:ext uri="{FF2B5EF4-FFF2-40B4-BE49-F238E27FC236}">
                  <a16:creationId xmlns:a16="http://schemas.microsoft.com/office/drawing/2014/main" id="{00000000-0008-0000-0100-0000D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1624</xdr:row>
          <xdr:rowOff>0</xdr:rowOff>
        </xdr:from>
        <xdr:to>
          <xdr:col>7</xdr:col>
          <xdr:colOff>0</xdr:colOff>
          <xdr:row>1624</xdr:row>
          <xdr:rowOff>165100</xdr:rowOff>
        </xdr:to>
        <xdr:sp macro="" textlink="">
          <xdr:nvSpPr>
            <xdr:cNvPr id="13778" name="Button 2514" hidden="1">
              <a:extLst>
                <a:ext uri="{63B3BB69-23CF-44E3-9099-C40C66FF867C}">
                  <a14:compatExt spid="_x0000_s13778"/>
                </a:ext>
                <a:ext uri="{FF2B5EF4-FFF2-40B4-BE49-F238E27FC236}">
                  <a16:creationId xmlns:a16="http://schemas.microsoft.com/office/drawing/2014/main" id="{00000000-0008-0000-0100-0000D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1625</xdr:row>
          <xdr:rowOff>0</xdr:rowOff>
        </xdr:from>
        <xdr:to>
          <xdr:col>7</xdr:col>
          <xdr:colOff>0</xdr:colOff>
          <xdr:row>1625</xdr:row>
          <xdr:rowOff>165100</xdr:rowOff>
        </xdr:to>
        <xdr:sp macro="" textlink="">
          <xdr:nvSpPr>
            <xdr:cNvPr id="13777" name="Button 2513" hidden="1">
              <a:extLst>
                <a:ext uri="{63B3BB69-23CF-44E3-9099-C40C66FF867C}">
                  <a14:compatExt spid="_x0000_s13777"/>
                </a:ext>
                <a:ext uri="{FF2B5EF4-FFF2-40B4-BE49-F238E27FC236}">
                  <a16:creationId xmlns:a16="http://schemas.microsoft.com/office/drawing/2014/main" id="{00000000-0008-0000-0100-0000D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1626</xdr:row>
          <xdr:rowOff>0</xdr:rowOff>
        </xdr:from>
        <xdr:to>
          <xdr:col>7</xdr:col>
          <xdr:colOff>0</xdr:colOff>
          <xdr:row>1626</xdr:row>
          <xdr:rowOff>165100</xdr:rowOff>
        </xdr:to>
        <xdr:sp macro="" textlink="">
          <xdr:nvSpPr>
            <xdr:cNvPr id="13776" name="Button 2512" hidden="1">
              <a:extLst>
                <a:ext uri="{63B3BB69-23CF-44E3-9099-C40C66FF867C}">
                  <a14:compatExt spid="_x0000_s13776"/>
                </a:ext>
                <a:ext uri="{FF2B5EF4-FFF2-40B4-BE49-F238E27FC236}">
                  <a16:creationId xmlns:a16="http://schemas.microsoft.com/office/drawing/2014/main" id="{00000000-0008-0000-0100-0000D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1627</xdr:row>
          <xdr:rowOff>0</xdr:rowOff>
        </xdr:from>
        <xdr:to>
          <xdr:col>7</xdr:col>
          <xdr:colOff>0</xdr:colOff>
          <xdr:row>1627</xdr:row>
          <xdr:rowOff>165100</xdr:rowOff>
        </xdr:to>
        <xdr:sp macro="" textlink="">
          <xdr:nvSpPr>
            <xdr:cNvPr id="13775" name="Button 2511" hidden="1">
              <a:extLst>
                <a:ext uri="{63B3BB69-23CF-44E3-9099-C40C66FF867C}">
                  <a14:compatExt spid="_x0000_s13775"/>
                </a:ext>
                <a:ext uri="{FF2B5EF4-FFF2-40B4-BE49-F238E27FC236}">
                  <a16:creationId xmlns:a16="http://schemas.microsoft.com/office/drawing/2014/main" id="{00000000-0008-0000-0100-0000C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1628</xdr:row>
          <xdr:rowOff>0</xdr:rowOff>
        </xdr:from>
        <xdr:to>
          <xdr:col>7</xdr:col>
          <xdr:colOff>0</xdr:colOff>
          <xdr:row>1628</xdr:row>
          <xdr:rowOff>165100</xdr:rowOff>
        </xdr:to>
        <xdr:sp macro="" textlink="">
          <xdr:nvSpPr>
            <xdr:cNvPr id="13774" name="Button 2510" hidden="1">
              <a:extLst>
                <a:ext uri="{63B3BB69-23CF-44E3-9099-C40C66FF867C}">
                  <a14:compatExt spid="_x0000_s13774"/>
                </a:ext>
                <a:ext uri="{FF2B5EF4-FFF2-40B4-BE49-F238E27FC236}">
                  <a16:creationId xmlns:a16="http://schemas.microsoft.com/office/drawing/2014/main" id="{00000000-0008-0000-0100-0000C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1631</xdr:row>
          <xdr:rowOff>0</xdr:rowOff>
        </xdr:from>
        <xdr:to>
          <xdr:col>7</xdr:col>
          <xdr:colOff>0</xdr:colOff>
          <xdr:row>1632</xdr:row>
          <xdr:rowOff>0</xdr:rowOff>
        </xdr:to>
        <xdr:sp macro="" textlink="">
          <xdr:nvSpPr>
            <xdr:cNvPr id="13773" name="Button 2509" hidden="1">
              <a:extLst>
                <a:ext uri="{63B3BB69-23CF-44E3-9099-C40C66FF867C}">
                  <a14:compatExt spid="_x0000_s13773"/>
                </a:ext>
                <a:ext uri="{FF2B5EF4-FFF2-40B4-BE49-F238E27FC236}">
                  <a16:creationId xmlns:a16="http://schemas.microsoft.com/office/drawing/2014/main" id="{00000000-0008-0000-0100-0000C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1638</xdr:row>
          <xdr:rowOff>0</xdr:rowOff>
        </xdr:from>
        <xdr:to>
          <xdr:col>7</xdr:col>
          <xdr:colOff>0</xdr:colOff>
          <xdr:row>1638</xdr:row>
          <xdr:rowOff>171450</xdr:rowOff>
        </xdr:to>
        <xdr:sp macro="" textlink="">
          <xdr:nvSpPr>
            <xdr:cNvPr id="13772" name="Button 2508" hidden="1">
              <a:extLst>
                <a:ext uri="{63B3BB69-23CF-44E3-9099-C40C66FF867C}">
                  <a14:compatExt spid="_x0000_s13772"/>
                </a:ext>
                <a:ext uri="{FF2B5EF4-FFF2-40B4-BE49-F238E27FC236}">
                  <a16:creationId xmlns:a16="http://schemas.microsoft.com/office/drawing/2014/main" id="{00000000-0008-0000-0100-0000C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1639</xdr:row>
          <xdr:rowOff>0</xdr:rowOff>
        </xdr:from>
        <xdr:to>
          <xdr:col>7</xdr:col>
          <xdr:colOff>0</xdr:colOff>
          <xdr:row>1639</xdr:row>
          <xdr:rowOff>165100</xdr:rowOff>
        </xdr:to>
        <xdr:sp macro="" textlink="">
          <xdr:nvSpPr>
            <xdr:cNvPr id="13771" name="Button 2507" hidden="1">
              <a:extLst>
                <a:ext uri="{63B3BB69-23CF-44E3-9099-C40C66FF867C}">
                  <a14:compatExt spid="_x0000_s13771"/>
                </a:ext>
                <a:ext uri="{FF2B5EF4-FFF2-40B4-BE49-F238E27FC236}">
                  <a16:creationId xmlns:a16="http://schemas.microsoft.com/office/drawing/2014/main" id="{00000000-0008-0000-0100-0000C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1640</xdr:row>
          <xdr:rowOff>0</xdr:rowOff>
        </xdr:from>
        <xdr:to>
          <xdr:col>7</xdr:col>
          <xdr:colOff>0</xdr:colOff>
          <xdr:row>1640</xdr:row>
          <xdr:rowOff>165100</xdr:rowOff>
        </xdr:to>
        <xdr:sp macro="" textlink="">
          <xdr:nvSpPr>
            <xdr:cNvPr id="13770" name="Button 2506" hidden="1">
              <a:extLst>
                <a:ext uri="{63B3BB69-23CF-44E3-9099-C40C66FF867C}">
                  <a14:compatExt spid="_x0000_s13770"/>
                </a:ext>
                <a:ext uri="{FF2B5EF4-FFF2-40B4-BE49-F238E27FC236}">
                  <a16:creationId xmlns:a16="http://schemas.microsoft.com/office/drawing/2014/main" id="{00000000-0008-0000-0100-0000C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1641</xdr:row>
          <xdr:rowOff>0</xdr:rowOff>
        </xdr:from>
        <xdr:to>
          <xdr:col>7</xdr:col>
          <xdr:colOff>0</xdr:colOff>
          <xdr:row>1641</xdr:row>
          <xdr:rowOff>165100</xdr:rowOff>
        </xdr:to>
        <xdr:sp macro="" textlink="">
          <xdr:nvSpPr>
            <xdr:cNvPr id="13769" name="Button 2505" hidden="1">
              <a:extLst>
                <a:ext uri="{63B3BB69-23CF-44E3-9099-C40C66FF867C}">
                  <a14:compatExt spid="_x0000_s13769"/>
                </a:ext>
                <a:ext uri="{FF2B5EF4-FFF2-40B4-BE49-F238E27FC236}">
                  <a16:creationId xmlns:a16="http://schemas.microsoft.com/office/drawing/2014/main" id="{00000000-0008-0000-0100-0000C9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1642</xdr:row>
          <xdr:rowOff>0</xdr:rowOff>
        </xdr:from>
        <xdr:to>
          <xdr:col>7</xdr:col>
          <xdr:colOff>0</xdr:colOff>
          <xdr:row>1642</xdr:row>
          <xdr:rowOff>165100</xdr:rowOff>
        </xdr:to>
        <xdr:sp macro="" textlink="">
          <xdr:nvSpPr>
            <xdr:cNvPr id="13768" name="Button 2504" hidden="1">
              <a:extLst>
                <a:ext uri="{63B3BB69-23CF-44E3-9099-C40C66FF867C}">
                  <a14:compatExt spid="_x0000_s13768"/>
                </a:ext>
                <a:ext uri="{FF2B5EF4-FFF2-40B4-BE49-F238E27FC236}">
                  <a16:creationId xmlns:a16="http://schemas.microsoft.com/office/drawing/2014/main" id="{00000000-0008-0000-0100-0000C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1643</xdr:row>
          <xdr:rowOff>0</xdr:rowOff>
        </xdr:from>
        <xdr:to>
          <xdr:col>7</xdr:col>
          <xdr:colOff>0</xdr:colOff>
          <xdr:row>1643</xdr:row>
          <xdr:rowOff>165100</xdr:rowOff>
        </xdr:to>
        <xdr:sp macro="" textlink="">
          <xdr:nvSpPr>
            <xdr:cNvPr id="13767" name="Button 2503" hidden="1">
              <a:extLst>
                <a:ext uri="{63B3BB69-23CF-44E3-9099-C40C66FF867C}">
                  <a14:compatExt spid="_x0000_s13767"/>
                </a:ext>
                <a:ext uri="{FF2B5EF4-FFF2-40B4-BE49-F238E27FC236}">
                  <a16:creationId xmlns:a16="http://schemas.microsoft.com/office/drawing/2014/main" id="{00000000-0008-0000-0100-0000C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1644</xdr:row>
          <xdr:rowOff>0</xdr:rowOff>
        </xdr:from>
        <xdr:to>
          <xdr:col>7</xdr:col>
          <xdr:colOff>0</xdr:colOff>
          <xdr:row>1644</xdr:row>
          <xdr:rowOff>165100</xdr:rowOff>
        </xdr:to>
        <xdr:sp macro="" textlink="">
          <xdr:nvSpPr>
            <xdr:cNvPr id="13766" name="Button 2502" hidden="1">
              <a:extLst>
                <a:ext uri="{63B3BB69-23CF-44E3-9099-C40C66FF867C}">
                  <a14:compatExt spid="_x0000_s13766"/>
                </a:ext>
                <a:ext uri="{FF2B5EF4-FFF2-40B4-BE49-F238E27FC236}">
                  <a16:creationId xmlns:a16="http://schemas.microsoft.com/office/drawing/2014/main" id="{00000000-0008-0000-0100-0000C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1645</xdr:row>
          <xdr:rowOff>0</xdr:rowOff>
        </xdr:from>
        <xdr:to>
          <xdr:col>7</xdr:col>
          <xdr:colOff>0</xdr:colOff>
          <xdr:row>1645</xdr:row>
          <xdr:rowOff>165100</xdr:rowOff>
        </xdr:to>
        <xdr:sp macro="" textlink="">
          <xdr:nvSpPr>
            <xdr:cNvPr id="13765" name="Button 2501" hidden="1">
              <a:extLst>
                <a:ext uri="{63B3BB69-23CF-44E3-9099-C40C66FF867C}">
                  <a14:compatExt spid="_x0000_s13765"/>
                </a:ext>
                <a:ext uri="{FF2B5EF4-FFF2-40B4-BE49-F238E27FC236}">
                  <a16:creationId xmlns:a16="http://schemas.microsoft.com/office/drawing/2014/main" id="{00000000-0008-0000-0100-0000C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1646</xdr:row>
          <xdr:rowOff>0</xdr:rowOff>
        </xdr:from>
        <xdr:to>
          <xdr:col>7</xdr:col>
          <xdr:colOff>0</xdr:colOff>
          <xdr:row>1646</xdr:row>
          <xdr:rowOff>165100</xdr:rowOff>
        </xdr:to>
        <xdr:sp macro="" textlink="">
          <xdr:nvSpPr>
            <xdr:cNvPr id="13764" name="Button 2500" hidden="1">
              <a:extLst>
                <a:ext uri="{63B3BB69-23CF-44E3-9099-C40C66FF867C}">
                  <a14:compatExt spid="_x0000_s13764"/>
                </a:ext>
                <a:ext uri="{FF2B5EF4-FFF2-40B4-BE49-F238E27FC236}">
                  <a16:creationId xmlns:a16="http://schemas.microsoft.com/office/drawing/2014/main" id="{00000000-0008-0000-0100-0000C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1647</xdr:row>
          <xdr:rowOff>0</xdr:rowOff>
        </xdr:from>
        <xdr:to>
          <xdr:col>7</xdr:col>
          <xdr:colOff>0</xdr:colOff>
          <xdr:row>1647</xdr:row>
          <xdr:rowOff>165100</xdr:rowOff>
        </xdr:to>
        <xdr:sp macro="" textlink="">
          <xdr:nvSpPr>
            <xdr:cNvPr id="13763" name="Button 2499" hidden="1">
              <a:extLst>
                <a:ext uri="{63B3BB69-23CF-44E3-9099-C40C66FF867C}">
                  <a14:compatExt spid="_x0000_s13763"/>
                </a:ext>
                <a:ext uri="{FF2B5EF4-FFF2-40B4-BE49-F238E27FC236}">
                  <a16:creationId xmlns:a16="http://schemas.microsoft.com/office/drawing/2014/main" id="{00000000-0008-0000-0100-0000C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1648</xdr:row>
          <xdr:rowOff>0</xdr:rowOff>
        </xdr:from>
        <xdr:to>
          <xdr:col>7</xdr:col>
          <xdr:colOff>0</xdr:colOff>
          <xdr:row>1648</xdr:row>
          <xdr:rowOff>165100</xdr:rowOff>
        </xdr:to>
        <xdr:sp macro="" textlink="">
          <xdr:nvSpPr>
            <xdr:cNvPr id="13762" name="Button 2498" hidden="1">
              <a:extLst>
                <a:ext uri="{63B3BB69-23CF-44E3-9099-C40C66FF867C}">
                  <a14:compatExt spid="_x0000_s13762"/>
                </a:ext>
                <a:ext uri="{FF2B5EF4-FFF2-40B4-BE49-F238E27FC236}">
                  <a16:creationId xmlns:a16="http://schemas.microsoft.com/office/drawing/2014/main" id="{00000000-0008-0000-0100-0000C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1649</xdr:row>
          <xdr:rowOff>0</xdr:rowOff>
        </xdr:from>
        <xdr:to>
          <xdr:col>7</xdr:col>
          <xdr:colOff>0</xdr:colOff>
          <xdr:row>1649</xdr:row>
          <xdr:rowOff>165100</xdr:rowOff>
        </xdr:to>
        <xdr:sp macro="" textlink="">
          <xdr:nvSpPr>
            <xdr:cNvPr id="13761" name="Button 2497" hidden="1">
              <a:extLst>
                <a:ext uri="{63B3BB69-23CF-44E3-9099-C40C66FF867C}">
                  <a14:compatExt spid="_x0000_s13761"/>
                </a:ext>
                <a:ext uri="{FF2B5EF4-FFF2-40B4-BE49-F238E27FC236}">
                  <a16:creationId xmlns:a16="http://schemas.microsoft.com/office/drawing/2014/main" id="{00000000-0008-0000-0100-0000C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1650</xdr:row>
          <xdr:rowOff>0</xdr:rowOff>
        </xdr:from>
        <xdr:to>
          <xdr:col>7</xdr:col>
          <xdr:colOff>0</xdr:colOff>
          <xdr:row>1650</xdr:row>
          <xdr:rowOff>165100</xdr:rowOff>
        </xdr:to>
        <xdr:sp macro="" textlink="">
          <xdr:nvSpPr>
            <xdr:cNvPr id="13760" name="Button 2496" hidden="1">
              <a:extLst>
                <a:ext uri="{63B3BB69-23CF-44E3-9099-C40C66FF867C}">
                  <a14:compatExt spid="_x0000_s13760"/>
                </a:ext>
                <a:ext uri="{FF2B5EF4-FFF2-40B4-BE49-F238E27FC236}">
                  <a16:creationId xmlns:a16="http://schemas.microsoft.com/office/drawing/2014/main" id="{00000000-0008-0000-0100-0000C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1651</xdr:row>
          <xdr:rowOff>0</xdr:rowOff>
        </xdr:from>
        <xdr:to>
          <xdr:col>7</xdr:col>
          <xdr:colOff>0</xdr:colOff>
          <xdr:row>1651</xdr:row>
          <xdr:rowOff>165100</xdr:rowOff>
        </xdr:to>
        <xdr:sp macro="" textlink="">
          <xdr:nvSpPr>
            <xdr:cNvPr id="13759" name="Button 2495" hidden="1">
              <a:extLst>
                <a:ext uri="{63B3BB69-23CF-44E3-9099-C40C66FF867C}">
                  <a14:compatExt spid="_x0000_s13759"/>
                </a:ext>
                <a:ext uri="{FF2B5EF4-FFF2-40B4-BE49-F238E27FC236}">
                  <a16:creationId xmlns:a16="http://schemas.microsoft.com/office/drawing/2014/main" id="{00000000-0008-0000-0100-0000B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1652</xdr:row>
          <xdr:rowOff>0</xdr:rowOff>
        </xdr:from>
        <xdr:to>
          <xdr:col>7</xdr:col>
          <xdr:colOff>0</xdr:colOff>
          <xdr:row>1652</xdr:row>
          <xdr:rowOff>165100</xdr:rowOff>
        </xdr:to>
        <xdr:sp macro="" textlink="">
          <xdr:nvSpPr>
            <xdr:cNvPr id="13758" name="Button 2494" hidden="1">
              <a:extLst>
                <a:ext uri="{63B3BB69-23CF-44E3-9099-C40C66FF867C}">
                  <a14:compatExt spid="_x0000_s13758"/>
                </a:ext>
                <a:ext uri="{FF2B5EF4-FFF2-40B4-BE49-F238E27FC236}">
                  <a16:creationId xmlns:a16="http://schemas.microsoft.com/office/drawing/2014/main" id="{00000000-0008-0000-0100-0000B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1653</xdr:row>
          <xdr:rowOff>0</xdr:rowOff>
        </xdr:from>
        <xdr:to>
          <xdr:col>7</xdr:col>
          <xdr:colOff>0</xdr:colOff>
          <xdr:row>1653</xdr:row>
          <xdr:rowOff>165100</xdr:rowOff>
        </xdr:to>
        <xdr:sp macro="" textlink="">
          <xdr:nvSpPr>
            <xdr:cNvPr id="13757" name="Button 2493" hidden="1">
              <a:extLst>
                <a:ext uri="{63B3BB69-23CF-44E3-9099-C40C66FF867C}">
                  <a14:compatExt spid="_x0000_s13757"/>
                </a:ext>
                <a:ext uri="{FF2B5EF4-FFF2-40B4-BE49-F238E27FC236}">
                  <a16:creationId xmlns:a16="http://schemas.microsoft.com/office/drawing/2014/main" id="{00000000-0008-0000-0100-0000B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1654</xdr:row>
          <xdr:rowOff>0</xdr:rowOff>
        </xdr:from>
        <xdr:to>
          <xdr:col>7</xdr:col>
          <xdr:colOff>0</xdr:colOff>
          <xdr:row>1654</xdr:row>
          <xdr:rowOff>165100</xdr:rowOff>
        </xdr:to>
        <xdr:sp macro="" textlink="">
          <xdr:nvSpPr>
            <xdr:cNvPr id="13756" name="Button 2492" hidden="1">
              <a:extLst>
                <a:ext uri="{63B3BB69-23CF-44E3-9099-C40C66FF867C}">
                  <a14:compatExt spid="_x0000_s13756"/>
                </a:ext>
                <a:ext uri="{FF2B5EF4-FFF2-40B4-BE49-F238E27FC236}">
                  <a16:creationId xmlns:a16="http://schemas.microsoft.com/office/drawing/2014/main" id="{00000000-0008-0000-0100-0000B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1655</xdr:row>
          <xdr:rowOff>0</xdr:rowOff>
        </xdr:from>
        <xdr:to>
          <xdr:col>7</xdr:col>
          <xdr:colOff>0</xdr:colOff>
          <xdr:row>1655</xdr:row>
          <xdr:rowOff>165100</xdr:rowOff>
        </xdr:to>
        <xdr:sp macro="" textlink="">
          <xdr:nvSpPr>
            <xdr:cNvPr id="13755" name="Button 2491" hidden="1">
              <a:extLst>
                <a:ext uri="{63B3BB69-23CF-44E3-9099-C40C66FF867C}">
                  <a14:compatExt spid="_x0000_s13755"/>
                </a:ext>
                <a:ext uri="{FF2B5EF4-FFF2-40B4-BE49-F238E27FC236}">
                  <a16:creationId xmlns:a16="http://schemas.microsoft.com/office/drawing/2014/main" id="{00000000-0008-0000-0100-0000B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1656</xdr:row>
          <xdr:rowOff>0</xdr:rowOff>
        </xdr:from>
        <xdr:to>
          <xdr:col>7</xdr:col>
          <xdr:colOff>0</xdr:colOff>
          <xdr:row>1656</xdr:row>
          <xdr:rowOff>165100</xdr:rowOff>
        </xdr:to>
        <xdr:sp macro="" textlink="">
          <xdr:nvSpPr>
            <xdr:cNvPr id="13754" name="Button 2490" hidden="1">
              <a:extLst>
                <a:ext uri="{63B3BB69-23CF-44E3-9099-C40C66FF867C}">
                  <a14:compatExt spid="_x0000_s13754"/>
                </a:ext>
                <a:ext uri="{FF2B5EF4-FFF2-40B4-BE49-F238E27FC236}">
                  <a16:creationId xmlns:a16="http://schemas.microsoft.com/office/drawing/2014/main" id="{00000000-0008-0000-0100-0000B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1657</xdr:row>
          <xdr:rowOff>0</xdr:rowOff>
        </xdr:from>
        <xdr:to>
          <xdr:col>7</xdr:col>
          <xdr:colOff>0</xdr:colOff>
          <xdr:row>1657</xdr:row>
          <xdr:rowOff>165100</xdr:rowOff>
        </xdr:to>
        <xdr:sp macro="" textlink="">
          <xdr:nvSpPr>
            <xdr:cNvPr id="13753" name="Button 2489" hidden="1">
              <a:extLst>
                <a:ext uri="{63B3BB69-23CF-44E3-9099-C40C66FF867C}">
                  <a14:compatExt spid="_x0000_s13753"/>
                </a:ext>
                <a:ext uri="{FF2B5EF4-FFF2-40B4-BE49-F238E27FC236}">
                  <a16:creationId xmlns:a16="http://schemas.microsoft.com/office/drawing/2014/main" id="{00000000-0008-0000-0100-0000B9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1658</xdr:row>
          <xdr:rowOff>0</xdr:rowOff>
        </xdr:from>
        <xdr:to>
          <xdr:col>7</xdr:col>
          <xdr:colOff>0</xdr:colOff>
          <xdr:row>1658</xdr:row>
          <xdr:rowOff>165100</xdr:rowOff>
        </xdr:to>
        <xdr:sp macro="" textlink="">
          <xdr:nvSpPr>
            <xdr:cNvPr id="13752" name="Button 2488" hidden="1">
              <a:extLst>
                <a:ext uri="{63B3BB69-23CF-44E3-9099-C40C66FF867C}">
                  <a14:compatExt spid="_x0000_s13752"/>
                </a:ext>
                <a:ext uri="{FF2B5EF4-FFF2-40B4-BE49-F238E27FC236}">
                  <a16:creationId xmlns:a16="http://schemas.microsoft.com/office/drawing/2014/main" id="{00000000-0008-0000-0100-0000B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1659</xdr:row>
          <xdr:rowOff>0</xdr:rowOff>
        </xdr:from>
        <xdr:to>
          <xdr:col>7</xdr:col>
          <xdr:colOff>0</xdr:colOff>
          <xdr:row>1659</xdr:row>
          <xdr:rowOff>165100</xdr:rowOff>
        </xdr:to>
        <xdr:sp macro="" textlink="">
          <xdr:nvSpPr>
            <xdr:cNvPr id="13751" name="Button 2487" hidden="1">
              <a:extLst>
                <a:ext uri="{63B3BB69-23CF-44E3-9099-C40C66FF867C}">
                  <a14:compatExt spid="_x0000_s13751"/>
                </a:ext>
                <a:ext uri="{FF2B5EF4-FFF2-40B4-BE49-F238E27FC236}">
                  <a16:creationId xmlns:a16="http://schemas.microsoft.com/office/drawing/2014/main" id="{00000000-0008-0000-0100-0000B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1660</xdr:row>
          <xdr:rowOff>0</xdr:rowOff>
        </xdr:from>
        <xdr:to>
          <xdr:col>7</xdr:col>
          <xdr:colOff>0</xdr:colOff>
          <xdr:row>1660</xdr:row>
          <xdr:rowOff>165100</xdr:rowOff>
        </xdr:to>
        <xdr:sp macro="" textlink="">
          <xdr:nvSpPr>
            <xdr:cNvPr id="13750" name="Button 2486" hidden="1">
              <a:extLst>
                <a:ext uri="{63B3BB69-23CF-44E3-9099-C40C66FF867C}">
                  <a14:compatExt spid="_x0000_s13750"/>
                </a:ext>
                <a:ext uri="{FF2B5EF4-FFF2-40B4-BE49-F238E27FC236}">
                  <a16:creationId xmlns:a16="http://schemas.microsoft.com/office/drawing/2014/main" id="{00000000-0008-0000-0100-0000B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1661</xdr:row>
          <xdr:rowOff>0</xdr:rowOff>
        </xdr:from>
        <xdr:to>
          <xdr:col>7</xdr:col>
          <xdr:colOff>0</xdr:colOff>
          <xdr:row>1661</xdr:row>
          <xdr:rowOff>165100</xdr:rowOff>
        </xdr:to>
        <xdr:sp macro="" textlink="">
          <xdr:nvSpPr>
            <xdr:cNvPr id="13749" name="Button 2485" hidden="1">
              <a:extLst>
                <a:ext uri="{63B3BB69-23CF-44E3-9099-C40C66FF867C}">
                  <a14:compatExt spid="_x0000_s13749"/>
                </a:ext>
                <a:ext uri="{FF2B5EF4-FFF2-40B4-BE49-F238E27FC236}">
                  <a16:creationId xmlns:a16="http://schemas.microsoft.com/office/drawing/2014/main" id="{00000000-0008-0000-0100-0000B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1662</xdr:row>
          <xdr:rowOff>0</xdr:rowOff>
        </xdr:from>
        <xdr:to>
          <xdr:col>7</xdr:col>
          <xdr:colOff>0</xdr:colOff>
          <xdr:row>1662</xdr:row>
          <xdr:rowOff>165100</xdr:rowOff>
        </xdr:to>
        <xdr:sp macro="" textlink="">
          <xdr:nvSpPr>
            <xdr:cNvPr id="13748" name="Button 2484" hidden="1">
              <a:extLst>
                <a:ext uri="{63B3BB69-23CF-44E3-9099-C40C66FF867C}">
                  <a14:compatExt spid="_x0000_s13748"/>
                </a:ext>
                <a:ext uri="{FF2B5EF4-FFF2-40B4-BE49-F238E27FC236}">
                  <a16:creationId xmlns:a16="http://schemas.microsoft.com/office/drawing/2014/main" id="{00000000-0008-0000-0100-0000B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1663</xdr:row>
          <xdr:rowOff>0</xdr:rowOff>
        </xdr:from>
        <xdr:to>
          <xdr:col>7</xdr:col>
          <xdr:colOff>0</xdr:colOff>
          <xdr:row>1663</xdr:row>
          <xdr:rowOff>165100</xdr:rowOff>
        </xdr:to>
        <xdr:sp macro="" textlink="">
          <xdr:nvSpPr>
            <xdr:cNvPr id="13747" name="Button 2483" hidden="1">
              <a:extLst>
                <a:ext uri="{63B3BB69-23CF-44E3-9099-C40C66FF867C}">
                  <a14:compatExt spid="_x0000_s13747"/>
                </a:ext>
                <a:ext uri="{FF2B5EF4-FFF2-40B4-BE49-F238E27FC236}">
                  <a16:creationId xmlns:a16="http://schemas.microsoft.com/office/drawing/2014/main" id="{00000000-0008-0000-0100-0000B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1664</xdr:row>
          <xdr:rowOff>0</xdr:rowOff>
        </xdr:from>
        <xdr:to>
          <xdr:col>7</xdr:col>
          <xdr:colOff>0</xdr:colOff>
          <xdr:row>1664</xdr:row>
          <xdr:rowOff>165100</xdr:rowOff>
        </xdr:to>
        <xdr:sp macro="" textlink="">
          <xdr:nvSpPr>
            <xdr:cNvPr id="13746" name="Button 2482" hidden="1">
              <a:extLst>
                <a:ext uri="{63B3BB69-23CF-44E3-9099-C40C66FF867C}">
                  <a14:compatExt spid="_x0000_s13746"/>
                </a:ext>
                <a:ext uri="{FF2B5EF4-FFF2-40B4-BE49-F238E27FC236}">
                  <a16:creationId xmlns:a16="http://schemas.microsoft.com/office/drawing/2014/main" id="{00000000-0008-0000-0100-0000B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1665</xdr:row>
          <xdr:rowOff>0</xdr:rowOff>
        </xdr:from>
        <xdr:to>
          <xdr:col>7</xdr:col>
          <xdr:colOff>0</xdr:colOff>
          <xdr:row>1665</xdr:row>
          <xdr:rowOff>165100</xdr:rowOff>
        </xdr:to>
        <xdr:sp macro="" textlink="">
          <xdr:nvSpPr>
            <xdr:cNvPr id="13745" name="Button 2481" hidden="1">
              <a:extLst>
                <a:ext uri="{63B3BB69-23CF-44E3-9099-C40C66FF867C}">
                  <a14:compatExt spid="_x0000_s13745"/>
                </a:ext>
                <a:ext uri="{FF2B5EF4-FFF2-40B4-BE49-F238E27FC236}">
                  <a16:creationId xmlns:a16="http://schemas.microsoft.com/office/drawing/2014/main" id="{00000000-0008-0000-0100-0000B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1666</xdr:row>
          <xdr:rowOff>0</xdr:rowOff>
        </xdr:from>
        <xdr:to>
          <xdr:col>7</xdr:col>
          <xdr:colOff>0</xdr:colOff>
          <xdr:row>1666</xdr:row>
          <xdr:rowOff>165100</xdr:rowOff>
        </xdr:to>
        <xdr:sp macro="" textlink="">
          <xdr:nvSpPr>
            <xdr:cNvPr id="13744" name="Button 2480" hidden="1">
              <a:extLst>
                <a:ext uri="{63B3BB69-23CF-44E3-9099-C40C66FF867C}">
                  <a14:compatExt spid="_x0000_s13744"/>
                </a:ext>
                <a:ext uri="{FF2B5EF4-FFF2-40B4-BE49-F238E27FC236}">
                  <a16:creationId xmlns:a16="http://schemas.microsoft.com/office/drawing/2014/main" id="{00000000-0008-0000-0100-0000B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1667</xdr:row>
          <xdr:rowOff>0</xdr:rowOff>
        </xdr:from>
        <xdr:to>
          <xdr:col>7</xdr:col>
          <xdr:colOff>0</xdr:colOff>
          <xdr:row>1667</xdr:row>
          <xdr:rowOff>165100</xdr:rowOff>
        </xdr:to>
        <xdr:sp macro="" textlink="">
          <xdr:nvSpPr>
            <xdr:cNvPr id="13743" name="Button 2479" hidden="1">
              <a:extLst>
                <a:ext uri="{63B3BB69-23CF-44E3-9099-C40C66FF867C}">
                  <a14:compatExt spid="_x0000_s13743"/>
                </a:ext>
                <a:ext uri="{FF2B5EF4-FFF2-40B4-BE49-F238E27FC236}">
                  <a16:creationId xmlns:a16="http://schemas.microsoft.com/office/drawing/2014/main" id="{00000000-0008-0000-0100-0000A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1668</xdr:row>
          <xdr:rowOff>0</xdr:rowOff>
        </xdr:from>
        <xdr:to>
          <xdr:col>7</xdr:col>
          <xdr:colOff>0</xdr:colOff>
          <xdr:row>1668</xdr:row>
          <xdr:rowOff>165100</xdr:rowOff>
        </xdr:to>
        <xdr:sp macro="" textlink="">
          <xdr:nvSpPr>
            <xdr:cNvPr id="13742" name="Button 2478" hidden="1">
              <a:extLst>
                <a:ext uri="{63B3BB69-23CF-44E3-9099-C40C66FF867C}">
                  <a14:compatExt spid="_x0000_s13742"/>
                </a:ext>
                <a:ext uri="{FF2B5EF4-FFF2-40B4-BE49-F238E27FC236}">
                  <a16:creationId xmlns:a16="http://schemas.microsoft.com/office/drawing/2014/main" id="{00000000-0008-0000-0100-0000A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1669</xdr:row>
          <xdr:rowOff>0</xdr:rowOff>
        </xdr:from>
        <xdr:to>
          <xdr:col>7</xdr:col>
          <xdr:colOff>0</xdr:colOff>
          <xdr:row>1669</xdr:row>
          <xdr:rowOff>165100</xdr:rowOff>
        </xdr:to>
        <xdr:sp macro="" textlink="">
          <xdr:nvSpPr>
            <xdr:cNvPr id="13741" name="Button 2477" hidden="1">
              <a:extLst>
                <a:ext uri="{63B3BB69-23CF-44E3-9099-C40C66FF867C}">
                  <a14:compatExt spid="_x0000_s13741"/>
                </a:ext>
                <a:ext uri="{FF2B5EF4-FFF2-40B4-BE49-F238E27FC236}">
                  <a16:creationId xmlns:a16="http://schemas.microsoft.com/office/drawing/2014/main" id="{00000000-0008-0000-0100-0000A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1670</xdr:row>
          <xdr:rowOff>0</xdr:rowOff>
        </xdr:from>
        <xdr:to>
          <xdr:col>7</xdr:col>
          <xdr:colOff>0</xdr:colOff>
          <xdr:row>1670</xdr:row>
          <xdr:rowOff>165100</xdr:rowOff>
        </xdr:to>
        <xdr:sp macro="" textlink="">
          <xdr:nvSpPr>
            <xdr:cNvPr id="13740" name="Button 2476" hidden="1">
              <a:extLst>
                <a:ext uri="{63B3BB69-23CF-44E3-9099-C40C66FF867C}">
                  <a14:compatExt spid="_x0000_s13740"/>
                </a:ext>
                <a:ext uri="{FF2B5EF4-FFF2-40B4-BE49-F238E27FC236}">
                  <a16:creationId xmlns:a16="http://schemas.microsoft.com/office/drawing/2014/main" id="{00000000-0008-0000-0100-0000A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1671</xdr:row>
          <xdr:rowOff>0</xdr:rowOff>
        </xdr:from>
        <xdr:to>
          <xdr:col>7</xdr:col>
          <xdr:colOff>0</xdr:colOff>
          <xdr:row>1671</xdr:row>
          <xdr:rowOff>165100</xdr:rowOff>
        </xdr:to>
        <xdr:sp macro="" textlink="">
          <xdr:nvSpPr>
            <xdr:cNvPr id="13739" name="Button 2475" hidden="1">
              <a:extLst>
                <a:ext uri="{63B3BB69-23CF-44E3-9099-C40C66FF867C}">
                  <a14:compatExt spid="_x0000_s13739"/>
                </a:ext>
                <a:ext uri="{FF2B5EF4-FFF2-40B4-BE49-F238E27FC236}">
                  <a16:creationId xmlns:a16="http://schemas.microsoft.com/office/drawing/2014/main" id="{00000000-0008-0000-0100-0000A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1672</xdr:row>
          <xdr:rowOff>0</xdr:rowOff>
        </xdr:from>
        <xdr:to>
          <xdr:col>7</xdr:col>
          <xdr:colOff>0</xdr:colOff>
          <xdr:row>1672</xdr:row>
          <xdr:rowOff>165100</xdr:rowOff>
        </xdr:to>
        <xdr:sp macro="" textlink="">
          <xdr:nvSpPr>
            <xdr:cNvPr id="13738" name="Button 2474" hidden="1">
              <a:extLst>
                <a:ext uri="{63B3BB69-23CF-44E3-9099-C40C66FF867C}">
                  <a14:compatExt spid="_x0000_s13738"/>
                </a:ext>
                <a:ext uri="{FF2B5EF4-FFF2-40B4-BE49-F238E27FC236}">
                  <a16:creationId xmlns:a16="http://schemas.microsoft.com/office/drawing/2014/main" id="{00000000-0008-0000-0100-0000A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1673</xdr:row>
          <xdr:rowOff>0</xdr:rowOff>
        </xdr:from>
        <xdr:to>
          <xdr:col>7</xdr:col>
          <xdr:colOff>0</xdr:colOff>
          <xdr:row>1673</xdr:row>
          <xdr:rowOff>165100</xdr:rowOff>
        </xdr:to>
        <xdr:sp macro="" textlink="">
          <xdr:nvSpPr>
            <xdr:cNvPr id="13737" name="Button 2473" hidden="1">
              <a:extLst>
                <a:ext uri="{63B3BB69-23CF-44E3-9099-C40C66FF867C}">
                  <a14:compatExt spid="_x0000_s13737"/>
                </a:ext>
                <a:ext uri="{FF2B5EF4-FFF2-40B4-BE49-F238E27FC236}">
                  <a16:creationId xmlns:a16="http://schemas.microsoft.com/office/drawing/2014/main" id="{00000000-0008-0000-0100-0000A9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1674</xdr:row>
          <xdr:rowOff>0</xdr:rowOff>
        </xdr:from>
        <xdr:to>
          <xdr:col>7</xdr:col>
          <xdr:colOff>0</xdr:colOff>
          <xdr:row>1674</xdr:row>
          <xdr:rowOff>165100</xdr:rowOff>
        </xdr:to>
        <xdr:sp macro="" textlink="">
          <xdr:nvSpPr>
            <xdr:cNvPr id="13736" name="Button 2472" hidden="1">
              <a:extLst>
                <a:ext uri="{63B3BB69-23CF-44E3-9099-C40C66FF867C}">
                  <a14:compatExt spid="_x0000_s13736"/>
                </a:ext>
                <a:ext uri="{FF2B5EF4-FFF2-40B4-BE49-F238E27FC236}">
                  <a16:creationId xmlns:a16="http://schemas.microsoft.com/office/drawing/2014/main" id="{00000000-0008-0000-0100-0000A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1675</xdr:row>
          <xdr:rowOff>0</xdr:rowOff>
        </xdr:from>
        <xdr:to>
          <xdr:col>7</xdr:col>
          <xdr:colOff>0</xdr:colOff>
          <xdr:row>1675</xdr:row>
          <xdr:rowOff>165100</xdr:rowOff>
        </xdr:to>
        <xdr:sp macro="" textlink="">
          <xdr:nvSpPr>
            <xdr:cNvPr id="13735" name="Button 2471" hidden="1">
              <a:extLst>
                <a:ext uri="{63B3BB69-23CF-44E3-9099-C40C66FF867C}">
                  <a14:compatExt spid="_x0000_s13735"/>
                </a:ext>
                <a:ext uri="{FF2B5EF4-FFF2-40B4-BE49-F238E27FC236}">
                  <a16:creationId xmlns:a16="http://schemas.microsoft.com/office/drawing/2014/main" id="{00000000-0008-0000-0100-0000A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1676</xdr:row>
          <xdr:rowOff>0</xdr:rowOff>
        </xdr:from>
        <xdr:to>
          <xdr:col>7</xdr:col>
          <xdr:colOff>0</xdr:colOff>
          <xdr:row>1676</xdr:row>
          <xdr:rowOff>165100</xdr:rowOff>
        </xdr:to>
        <xdr:sp macro="" textlink="">
          <xdr:nvSpPr>
            <xdr:cNvPr id="13734" name="Button 2470" hidden="1">
              <a:extLst>
                <a:ext uri="{63B3BB69-23CF-44E3-9099-C40C66FF867C}">
                  <a14:compatExt spid="_x0000_s13734"/>
                </a:ext>
                <a:ext uri="{FF2B5EF4-FFF2-40B4-BE49-F238E27FC236}">
                  <a16:creationId xmlns:a16="http://schemas.microsoft.com/office/drawing/2014/main" id="{00000000-0008-0000-0100-0000A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1677</xdr:row>
          <xdr:rowOff>0</xdr:rowOff>
        </xdr:from>
        <xdr:to>
          <xdr:col>7</xdr:col>
          <xdr:colOff>0</xdr:colOff>
          <xdr:row>1677</xdr:row>
          <xdr:rowOff>165100</xdr:rowOff>
        </xdr:to>
        <xdr:sp macro="" textlink="">
          <xdr:nvSpPr>
            <xdr:cNvPr id="13733" name="Button 2469" hidden="1">
              <a:extLst>
                <a:ext uri="{63B3BB69-23CF-44E3-9099-C40C66FF867C}">
                  <a14:compatExt spid="_x0000_s13733"/>
                </a:ext>
                <a:ext uri="{FF2B5EF4-FFF2-40B4-BE49-F238E27FC236}">
                  <a16:creationId xmlns:a16="http://schemas.microsoft.com/office/drawing/2014/main" id="{00000000-0008-0000-0100-0000A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1678</xdr:row>
          <xdr:rowOff>0</xdr:rowOff>
        </xdr:from>
        <xdr:to>
          <xdr:col>7</xdr:col>
          <xdr:colOff>0</xdr:colOff>
          <xdr:row>1678</xdr:row>
          <xdr:rowOff>165100</xdr:rowOff>
        </xdr:to>
        <xdr:sp macro="" textlink="">
          <xdr:nvSpPr>
            <xdr:cNvPr id="13732" name="Button 2468" hidden="1">
              <a:extLst>
                <a:ext uri="{63B3BB69-23CF-44E3-9099-C40C66FF867C}">
                  <a14:compatExt spid="_x0000_s13732"/>
                </a:ext>
                <a:ext uri="{FF2B5EF4-FFF2-40B4-BE49-F238E27FC236}">
                  <a16:creationId xmlns:a16="http://schemas.microsoft.com/office/drawing/2014/main" id="{00000000-0008-0000-0100-0000A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1679</xdr:row>
          <xdr:rowOff>0</xdr:rowOff>
        </xdr:from>
        <xdr:to>
          <xdr:col>7</xdr:col>
          <xdr:colOff>0</xdr:colOff>
          <xdr:row>1679</xdr:row>
          <xdr:rowOff>165100</xdr:rowOff>
        </xdr:to>
        <xdr:sp macro="" textlink="">
          <xdr:nvSpPr>
            <xdr:cNvPr id="13731" name="Button 2467" hidden="1">
              <a:extLst>
                <a:ext uri="{63B3BB69-23CF-44E3-9099-C40C66FF867C}">
                  <a14:compatExt spid="_x0000_s13731"/>
                </a:ext>
                <a:ext uri="{FF2B5EF4-FFF2-40B4-BE49-F238E27FC236}">
                  <a16:creationId xmlns:a16="http://schemas.microsoft.com/office/drawing/2014/main" id="{00000000-0008-0000-0100-0000A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1680</xdr:row>
          <xdr:rowOff>0</xdr:rowOff>
        </xdr:from>
        <xdr:to>
          <xdr:col>7</xdr:col>
          <xdr:colOff>0</xdr:colOff>
          <xdr:row>1680</xdr:row>
          <xdr:rowOff>165100</xdr:rowOff>
        </xdr:to>
        <xdr:sp macro="" textlink="">
          <xdr:nvSpPr>
            <xdr:cNvPr id="13730" name="Button 2466" hidden="1">
              <a:extLst>
                <a:ext uri="{63B3BB69-23CF-44E3-9099-C40C66FF867C}">
                  <a14:compatExt spid="_x0000_s13730"/>
                </a:ext>
                <a:ext uri="{FF2B5EF4-FFF2-40B4-BE49-F238E27FC236}">
                  <a16:creationId xmlns:a16="http://schemas.microsoft.com/office/drawing/2014/main" id="{00000000-0008-0000-0100-0000A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1681</xdr:row>
          <xdr:rowOff>0</xdr:rowOff>
        </xdr:from>
        <xdr:to>
          <xdr:col>7</xdr:col>
          <xdr:colOff>0</xdr:colOff>
          <xdr:row>1681</xdr:row>
          <xdr:rowOff>165100</xdr:rowOff>
        </xdr:to>
        <xdr:sp macro="" textlink="">
          <xdr:nvSpPr>
            <xdr:cNvPr id="13729" name="Button 2465" hidden="1">
              <a:extLst>
                <a:ext uri="{63B3BB69-23CF-44E3-9099-C40C66FF867C}">
                  <a14:compatExt spid="_x0000_s13729"/>
                </a:ext>
                <a:ext uri="{FF2B5EF4-FFF2-40B4-BE49-F238E27FC236}">
                  <a16:creationId xmlns:a16="http://schemas.microsoft.com/office/drawing/2014/main" id="{00000000-0008-0000-0100-0000A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1682</xdr:row>
          <xdr:rowOff>0</xdr:rowOff>
        </xdr:from>
        <xdr:to>
          <xdr:col>7</xdr:col>
          <xdr:colOff>0</xdr:colOff>
          <xdr:row>1682</xdr:row>
          <xdr:rowOff>165100</xdr:rowOff>
        </xdr:to>
        <xdr:sp macro="" textlink="">
          <xdr:nvSpPr>
            <xdr:cNvPr id="13728" name="Button 2464" hidden="1">
              <a:extLst>
                <a:ext uri="{63B3BB69-23CF-44E3-9099-C40C66FF867C}">
                  <a14:compatExt spid="_x0000_s13728"/>
                </a:ext>
                <a:ext uri="{FF2B5EF4-FFF2-40B4-BE49-F238E27FC236}">
                  <a16:creationId xmlns:a16="http://schemas.microsoft.com/office/drawing/2014/main" id="{00000000-0008-0000-0100-0000A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1683</xdr:row>
          <xdr:rowOff>0</xdr:rowOff>
        </xdr:from>
        <xdr:to>
          <xdr:col>7</xdr:col>
          <xdr:colOff>0</xdr:colOff>
          <xdr:row>1683</xdr:row>
          <xdr:rowOff>165100</xdr:rowOff>
        </xdr:to>
        <xdr:sp macro="" textlink="">
          <xdr:nvSpPr>
            <xdr:cNvPr id="13727" name="Button 2463" hidden="1">
              <a:extLst>
                <a:ext uri="{63B3BB69-23CF-44E3-9099-C40C66FF867C}">
                  <a14:compatExt spid="_x0000_s13727"/>
                </a:ext>
                <a:ext uri="{FF2B5EF4-FFF2-40B4-BE49-F238E27FC236}">
                  <a16:creationId xmlns:a16="http://schemas.microsoft.com/office/drawing/2014/main" id="{00000000-0008-0000-0100-00009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1684</xdr:row>
          <xdr:rowOff>0</xdr:rowOff>
        </xdr:from>
        <xdr:to>
          <xdr:col>7</xdr:col>
          <xdr:colOff>0</xdr:colOff>
          <xdr:row>1684</xdr:row>
          <xdr:rowOff>165100</xdr:rowOff>
        </xdr:to>
        <xdr:sp macro="" textlink="">
          <xdr:nvSpPr>
            <xdr:cNvPr id="13726" name="Button 2462" hidden="1">
              <a:extLst>
                <a:ext uri="{63B3BB69-23CF-44E3-9099-C40C66FF867C}">
                  <a14:compatExt spid="_x0000_s13726"/>
                </a:ext>
                <a:ext uri="{FF2B5EF4-FFF2-40B4-BE49-F238E27FC236}">
                  <a16:creationId xmlns:a16="http://schemas.microsoft.com/office/drawing/2014/main" id="{00000000-0008-0000-0100-00009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1685</xdr:row>
          <xdr:rowOff>0</xdr:rowOff>
        </xdr:from>
        <xdr:to>
          <xdr:col>7</xdr:col>
          <xdr:colOff>0</xdr:colOff>
          <xdr:row>1685</xdr:row>
          <xdr:rowOff>165100</xdr:rowOff>
        </xdr:to>
        <xdr:sp macro="" textlink="">
          <xdr:nvSpPr>
            <xdr:cNvPr id="13725" name="Button 2461" hidden="1">
              <a:extLst>
                <a:ext uri="{63B3BB69-23CF-44E3-9099-C40C66FF867C}">
                  <a14:compatExt spid="_x0000_s13725"/>
                </a:ext>
                <a:ext uri="{FF2B5EF4-FFF2-40B4-BE49-F238E27FC236}">
                  <a16:creationId xmlns:a16="http://schemas.microsoft.com/office/drawing/2014/main" id="{00000000-0008-0000-0100-00009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1686</xdr:row>
          <xdr:rowOff>0</xdr:rowOff>
        </xdr:from>
        <xdr:to>
          <xdr:col>7</xdr:col>
          <xdr:colOff>0</xdr:colOff>
          <xdr:row>1686</xdr:row>
          <xdr:rowOff>165100</xdr:rowOff>
        </xdr:to>
        <xdr:sp macro="" textlink="">
          <xdr:nvSpPr>
            <xdr:cNvPr id="13724" name="Button 2460" hidden="1">
              <a:extLst>
                <a:ext uri="{63B3BB69-23CF-44E3-9099-C40C66FF867C}">
                  <a14:compatExt spid="_x0000_s13724"/>
                </a:ext>
                <a:ext uri="{FF2B5EF4-FFF2-40B4-BE49-F238E27FC236}">
                  <a16:creationId xmlns:a16="http://schemas.microsoft.com/office/drawing/2014/main" id="{00000000-0008-0000-0100-00009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1689</xdr:row>
          <xdr:rowOff>0</xdr:rowOff>
        </xdr:from>
        <xdr:to>
          <xdr:col>7</xdr:col>
          <xdr:colOff>0</xdr:colOff>
          <xdr:row>1690</xdr:row>
          <xdr:rowOff>0</xdr:rowOff>
        </xdr:to>
        <xdr:sp macro="" textlink="">
          <xdr:nvSpPr>
            <xdr:cNvPr id="13723" name="Button 2459" hidden="1">
              <a:extLst>
                <a:ext uri="{63B3BB69-23CF-44E3-9099-C40C66FF867C}">
                  <a14:compatExt spid="_x0000_s13723"/>
                </a:ext>
                <a:ext uri="{FF2B5EF4-FFF2-40B4-BE49-F238E27FC236}">
                  <a16:creationId xmlns:a16="http://schemas.microsoft.com/office/drawing/2014/main" id="{00000000-0008-0000-0100-00009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1696</xdr:row>
          <xdr:rowOff>0</xdr:rowOff>
        </xdr:from>
        <xdr:to>
          <xdr:col>7</xdr:col>
          <xdr:colOff>0</xdr:colOff>
          <xdr:row>1696</xdr:row>
          <xdr:rowOff>171450</xdr:rowOff>
        </xdr:to>
        <xdr:sp macro="" textlink="">
          <xdr:nvSpPr>
            <xdr:cNvPr id="13722" name="Button 2458" hidden="1">
              <a:extLst>
                <a:ext uri="{63B3BB69-23CF-44E3-9099-C40C66FF867C}">
                  <a14:compatExt spid="_x0000_s13722"/>
                </a:ext>
                <a:ext uri="{FF2B5EF4-FFF2-40B4-BE49-F238E27FC236}">
                  <a16:creationId xmlns:a16="http://schemas.microsoft.com/office/drawing/2014/main" id="{00000000-0008-0000-0100-00009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1697</xdr:row>
          <xdr:rowOff>0</xdr:rowOff>
        </xdr:from>
        <xdr:to>
          <xdr:col>7</xdr:col>
          <xdr:colOff>0</xdr:colOff>
          <xdr:row>1697</xdr:row>
          <xdr:rowOff>165100</xdr:rowOff>
        </xdr:to>
        <xdr:sp macro="" textlink="">
          <xdr:nvSpPr>
            <xdr:cNvPr id="13721" name="Button 2457" hidden="1">
              <a:extLst>
                <a:ext uri="{63B3BB69-23CF-44E3-9099-C40C66FF867C}">
                  <a14:compatExt spid="_x0000_s13721"/>
                </a:ext>
                <a:ext uri="{FF2B5EF4-FFF2-40B4-BE49-F238E27FC236}">
                  <a16:creationId xmlns:a16="http://schemas.microsoft.com/office/drawing/2014/main" id="{00000000-0008-0000-0100-000099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1698</xdr:row>
          <xdr:rowOff>0</xdr:rowOff>
        </xdr:from>
        <xdr:to>
          <xdr:col>7</xdr:col>
          <xdr:colOff>0</xdr:colOff>
          <xdr:row>1698</xdr:row>
          <xdr:rowOff>165100</xdr:rowOff>
        </xdr:to>
        <xdr:sp macro="" textlink="">
          <xdr:nvSpPr>
            <xdr:cNvPr id="13720" name="Button 2456" hidden="1">
              <a:extLst>
                <a:ext uri="{63B3BB69-23CF-44E3-9099-C40C66FF867C}">
                  <a14:compatExt spid="_x0000_s13720"/>
                </a:ext>
                <a:ext uri="{FF2B5EF4-FFF2-40B4-BE49-F238E27FC236}">
                  <a16:creationId xmlns:a16="http://schemas.microsoft.com/office/drawing/2014/main" id="{00000000-0008-0000-0100-00009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1699</xdr:row>
          <xdr:rowOff>0</xdr:rowOff>
        </xdr:from>
        <xdr:to>
          <xdr:col>7</xdr:col>
          <xdr:colOff>0</xdr:colOff>
          <xdr:row>1699</xdr:row>
          <xdr:rowOff>165100</xdr:rowOff>
        </xdr:to>
        <xdr:sp macro="" textlink="">
          <xdr:nvSpPr>
            <xdr:cNvPr id="13719" name="Button 2455" hidden="1">
              <a:extLst>
                <a:ext uri="{63B3BB69-23CF-44E3-9099-C40C66FF867C}">
                  <a14:compatExt spid="_x0000_s13719"/>
                </a:ext>
                <a:ext uri="{FF2B5EF4-FFF2-40B4-BE49-F238E27FC236}">
                  <a16:creationId xmlns:a16="http://schemas.microsoft.com/office/drawing/2014/main" id="{00000000-0008-0000-0100-00009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1700</xdr:row>
          <xdr:rowOff>0</xdr:rowOff>
        </xdr:from>
        <xdr:to>
          <xdr:col>7</xdr:col>
          <xdr:colOff>0</xdr:colOff>
          <xdr:row>1700</xdr:row>
          <xdr:rowOff>165100</xdr:rowOff>
        </xdr:to>
        <xdr:sp macro="" textlink="">
          <xdr:nvSpPr>
            <xdr:cNvPr id="13718" name="Button 2454" hidden="1">
              <a:extLst>
                <a:ext uri="{63B3BB69-23CF-44E3-9099-C40C66FF867C}">
                  <a14:compatExt spid="_x0000_s13718"/>
                </a:ext>
                <a:ext uri="{FF2B5EF4-FFF2-40B4-BE49-F238E27FC236}">
                  <a16:creationId xmlns:a16="http://schemas.microsoft.com/office/drawing/2014/main" id="{00000000-0008-0000-0100-00009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1701</xdr:row>
          <xdr:rowOff>0</xdr:rowOff>
        </xdr:from>
        <xdr:to>
          <xdr:col>7</xdr:col>
          <xdr:colOff>0</xdr:colOff>
          <xdr:row>1701</xdr:row>
          <xdr:rowOff>165100</xdr:rowOff>
        </xdr:to>
        <xdr:sp macro="" textlink="">
          <xdr:nvSpPr>
            <xdr:cNvPr id="13717" name="Button 2453" hidden="1">
              <a:extLst>
                <a:ext uri="{63B3BB69-23CF-44E3-9099-C40C66FF867C}">
                  <a14:compatExt spid="_x0000_s13717"/>
                </a:ext>
                <a:ext uri="{FF2B5EF4-FFF2-40B4-BE49-F238E27FC236}">
                  <a16:creationId xmlns:a16="http://schemas.microsoft.com/office/drawing/2014/main" id="{00000000-0008-0000-0100-00009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1702</xdr:row>
          <xdr:rowOff>0</xdr:rowOff>
        </xdr:from>
        <xdr:to>
          <xdr:col>7</xdr:col>
          <xdr:colOff>0</xdr:colOff>
          <xdr:row>1702</xdr:row>
          <xdr:rowOff>165100</xdr:rowOff>
        </xdr:to>
        <xdr:sp macro="" textlink="">
          <xdr:nvSpPr>
            <xdr:cNvPr id="13716" name="Button 2452" hidden="1">
              <a:extLst>
                <a:ext uri="{63B3BB69-23CF-44E3-9099-C40C66FF867C}">
                  <a14:compatExt spid="_x0000_s13716"/>
                </a:ext>
                <a:ext uri="{FF2B5EF4-FFF2-40B4-BE49-F238E27FC236}">
                  <a16:creationId xmlns:a16="http://schemas.microsoft.com/office/drawing/2014/main" id="{00000000-0008-0000-0100-00009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1703</xdr:row>
          <xdr:rowOff>0</xdr:rowOff>
        </xdr:from>
        <xdr:to>
          <xdr:col>7</xdr:col>
          <xdr:colOff>0</xdr:colOff>
          <xdr:row>1703</xdr:row>
          <xdr:rowOff>165100</xdr:rowOff>
        </xdr:to>
        <xdr:sp macro="" textlink="">
          <xdr:nvSpPr>
            <xdr:cNvPr id="13715" name="Button 2451" hidden="1">
              <a:extLst>
                <a:ext uri="{63B3BB69-23CF-44E3-9099-C40C66FF867C}">
                  <a14:compatExt spid="_x0000_s13715"/>
                </a:ext>
                <a:ext uri="{FF2B5EF4-FFF2-40B4-BE49-F238E27FC236}">
                  <a16:creationId xmlns:a16="http://schemas.microsoft.com/office/drawing/2014/main" id="{00000000-0008-0000-0100-00009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1704</xdr:row>
          <xdr:rowOff>0</xdr:rowOff>
        </xdr:from>
        <xdr:to>
          <xdr:col>7</xdr:col>
          <xdr:colOff>0</xdr:colOff>
          <xdr:row>1704</xdr:row>
          <xdr:rowOff>165100</xdr:rowOff>
        </xdr:to>
        <xdr:sp macro="" textlink="">
          <xdr:nvSpPr>
            <xdr:cNvPr id="13714" name="Button 2450" hidden="1">
              <a:extLst>
                <a:ext uri="{63B3BB69-23CF-44E3-9099-C40C66FF867C}">
                  <a14:compatExt spid="_x0000_s13714"/>
                </a:ext>
                <a:ext uri="{FF2B5EF4-FFF2-40B4-BE49-F238E27FC236}">
                  <a16:creationId xmlns:a16="http://schemas.microsoft.com/office/drawing/2014/main" id="{00000000-0008-0000-0100-00009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1705</xdr:row>
          <xdr:rowOff>0</xdr:rowOff>
        </xdr:from>
        <xdr:to>
          <xdr:col>7</xdr:col>
          <xdr:colOff>0</xdr:colOff>
          <xdr:row>1705</xdr:row>
          <xdr:rowOff>165100</xdr:rowOff>
        </xdr:to>
        <xdr:sp macro="" textlink="">
          <xdr:nvSpPr>
            <xdr:cNvPr id="13713" name="Button 2449" hidden="1">
              <a:extLst>
                <a:ext uri="{63B3BB69-23CF-44E3-9099-C40C66FF867C}">
                  <a14:compatExt spid="_x0000_s13713"/>
                </a:ext>
                <a:ext uri="{FF2B5EF4-FFF2-40B4-BE49-F238E27FC236}">
                  <a16:creationId xmlns:a16="http://schemas.microsoft.com/office/drawing/2014/main" id="{00000000-0008-0000-0100-00009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1706</xdr:row>
          <xdr:rowOff>0</xdr:rowOff>
        </xdr:from>
        <xdr:to>
          <xdr:col>7</xdr:col>
          <xdr:colOff>0</xdr:colOff>
          <xdr:row>1706</xdr:row>
          <xdr:rowOff>165100</xdr:rowOff>
        </xdr:to>
        <xdr:sp macro="" textlink="">
          <xdr:nvSpPr>
            <xdr:cNvPr id="13712" name="Button 2448" hidden="1">
              <a:extLst>
                <a:ext uri="{63B3BB69-23CF-44E3-9099-C40C66FF867C}">
                  <a14:compatExt spid="_x0000_s13712"/>
                </a:ext>
                <a:ext uri="{FF2B5EF4-FFF2-40B4-BE49-F238E27FC236}">
                  <a16:creationId xmlns:a16="http://schemas.microsoft.com/office/drawing/2014/main" id="{00000000-0008-0000-0100-00009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1707</xdr:row>
          <xdr:rowOff>0</xdr:rowOff>
        </xdr:from>
        <xdr:to>
          <xdr:col>7</xdr:col>
          <xdr:colOff>0</xdr:colOff>
          <xdr:row>1707</xdr:row>
          <xdr:rowOff>165100</xdr:rowOff>
        </xdr:to>
        <xdr:sp macro="" textlink="">
          <xdr:nvSpPr>
            <xdr:cNvPr id="13711" name="Button 2447" hidden="1">
              <a:extLst>
                <a:ext uri="{63B3BB69-23CF-44E3-9099-C40C66FF867C}">
                  <a14:compatExt spid="_x0000_s13711"/>
                </a:ext>
                <a:ext uri="{FF2B5EF4-FFF2-40B4-BE49-F238E27FC236}">
                  <a16:creationId xmlns:a16="http://schemas.microsoft.com/office/drawing/2014/main" id="{00000000-0008-0000-0100-00008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1708</xdr:row>
          <xdr:rowOff>0</xdr:rowOff>
        </xdr:from>
        <xdr:to>
          <xdr:col>7</xdr:col>
          <xdr:colOff>0</xdr:colOff>
          <xdr:row>1708</xdr:row>
          <xdr:rowOff>165100</xdr:rowOff>
        </xdr:to>
        <xdr:sp macro="" textlink="">
          <xdr:nvSpPr>
            <xdr:cNvPr id="13710" name="Button 2446" hidden="1">
              <a:extLst>
                <a:ext uri="{63B3BB69-23CF-44E3-9099-C40C66FF867C}">
                  <a14:compatExt spid="_x0000_s13710"/>
                </a:ext>
                <a:ext uri="{FF2B5EF4-FFF2-40B4-BE49-F238E27FC236}">
                  <a16:creationId xmlns:a16="http://schemas.microsoft.com/office/drawing/2014/main" id="{00000000-0008-0000-0100-00008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1709</xdr:row>
          <xdr:rowOff>0</xdr:rowOff>
        </xdr:from>
        <xdr:to>
          <xdr:col>7</xdr:col>
          <xdr:colOff>0</xdr:colOff>
          <xdr:row>1709</xdr:row>
          <xdr:rowOff>165100</xdr:rowOff>
        </xdr:to>
        <xdr:sp macro="" textlink="">
          <xdr:nvSpPr>
            <xdr:cNvPr id="13709" name="Button 2445" hidden="1">
              <a:extLst>
                <a:ext uri="{63B3BB69-23CF-44E3-9099-C40C66FF867C}">
                  <a14:compatExt spid="_x0000_s13709"/>
                </a:ext>
                <a:ext uri="{FF2B5EF4-FFF2-40B4-BE49-F238E27FC236}">
                  <a16:creationId xmlns:a16="http://schemas.microsoft.com/office/drawing/2014/main" id="{00000000-0008-0000-0100-00008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1710</xdr:row>
          <xdr:rowOff>0</xdr:rowOff>
        </xdr:from>
        <xdr:to>
          <xdr:col>7</xdr:col>
          <xdr:colOff>0</xdr:colOff>
          <xdr:row>1710</xdr:row>
          <xdr:rowOff>165100</xdr:rowOff>
        </xdr:to>
        <xdr:sp macro="" textlink="">
          <xdr:nvSpPr>
            <xdr:cNvPr id="13708" name="Button 2444" hidden="1">
              <a:extLst>
                <a:ext uri="{63B3BB69-23CF-44E3-9099-C40C66FF867C}">
                  <a14:compatExt spid="_x0000_s13708"/>
                </a:ext>
                <a:ext uri="{FF2B5EF4-FFF2-40B4-BE49-F238E27FC236}">
                  <a16:creationId xmlns:a16="http://schemas.microsoft.com/office/drawing/2014/main" id="{00000000-0008-0000-0100-00008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1711</xdr:row>
          <xdr:rowOff>0</xdr:rowOff>
        </xdr:from>
        <xdr:to>
          <xdr:col>7</xdr:col>
          <xdr:colOff>0</xdr:colOff>
          <xdr:row>1711</xdr:row>
          <xdr:rowOff>165100</xdr:rowOff>
        </xdr:to>
        <xdr:sp macro="" textlink="">
          <xdr:nvSpPr>
            <xdr:cNvPr id="13707" name="Button 2443" hidden="1">
              <a:extLst>
                <a:ext uri="{63B3BB69-23CF-44E3-9099-C40C66FF867C}">
                  <a14:compatExt spid="_x0000_s13707"/>
                </a:ext>
                <a:ext uri="{FF2B5EF4-FFF2-40B4-BE49-F238E27FC236}">
                  <a16:creationId xmlns:a16="http://schemas.microsoft.com/office/drawing/2014/main" id="{00000000-0008-0000-0100-00008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1712</xdr:row>
          <xdr:rowOff>0</xdr:rowOff>
        </xdr:from>
        <xdr:to>
          <xdr:col>7</xdr:col>
          <xdr:colOff>0</xdr:colOff>
          <xdr:row>1712</xdr:row>
          <xdr:rowOff>165100</xdr:rowOff>
        </xdr:to>
        <xdr:sp macro="" textlink="">
          <xdr:nvSpPr>
            <xdr:cNvPr id="13706" name="Button 2442" hidden="1">
              <a:extLst>
                <a:ext uri="{63B3BB69-23CF-44E3-9099-C40C66FF867C}">
                  <a14:compatExt spid="_x0000_s13706"/>
                </a:ext>
                <a:ext uri="{FF2B5EF4-FFF2-40B4-BE49-F238E27FC236}">
                  <a16:creationId xmlns:a16="http://schemas.microsoft.com/office/drawing/2014/main" id="{00000000-0008-0000-0100-00008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1713</xdr:row>
          <xdr:rowOff>0</xdr:rowOff>
        </xdr:from>
        <xdr:to>
          <xdr:col>7</xdr:col>
          <xdr:colOff>0</xdr:colOff>
          <xdr:row>1713</xdr:row>
          <xdr:rowOff>165100</xdr:rowOff>
        </xdr:to>
        <xdr:sp macro="" textlink="">
          <xdr:nvSpPr>
            <xdr:cNvPr id="13705" name="Button 2441" hidden="1">
              <a:extLst>
                <a:ext uri="{63B3BB69-23CF-44E3-9099-C40C66FF867C}">
                  <a14:compatExt spid="_x0000_s13705"/>
                </a:ext>
                <a:ext uri="{FF2B5EF4-FFF2-40B4-BE49-F238E27FC236}">
                  <a16:creationId xmlns:a16="http://schemas.microsoft.com/office/drawing/2014/main" id="{00000000-0008-0000-0100-000089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1714</xdr:row>
          <xdr:rowOff>0</xdr:rowOff>
        </xdr:from>
        <xdr:to>
          <xdr:col>7</xdr:col>
          <xdr:colOff>0</xdr:colOff>
          <xdr:row>1714</xdr:row>
          <xdr:rowOff>165100</xdr:rowOff>
        </xdr:to>
        <xdr:sp macro="" textlink="">
          <xdr:nvSpPr>
            <xdr:cNvPr id="13704" name="Button 2440" hidden="1">
              <a:extLst>
                <a:ext uri="{63B3BB69-23CF-44E3-9099-C40C66FF867C}">
                  <a14:compatExt spid="_x0000_s13704"/>
                </a:ext>
                <a:ext uri="{FF2B5EF4-FFF2-40B4-BE49-F238E27FC236}">
                  <a16:creationId xmlns:a16="http://schemas.microsoft.com/office/drawing/2014/main" id="{00000000-0008-0000-0100-00008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1715</xdr:row>
          <xdr:rowOff>0</xdr:rowOff>
        </xdr:from>
        <xdr:to>
          <xdr:col>7</xdr:col>
          <xdr:colOff>0</xdr:colOff>
          <xdr:row>1715</xdr:row>
          <xdr:rowOff>165100</xdr:rowOff>
        </xdr:to>
        <xdr:sp macro="" textlink="">
          <xdr:nvSpPr>
            <xdr:cNvPr id="13703" name="Button 2439" hidden="1">
              <a:extLst>
                <a:ext uri="{63B3BB69-23CF-44E3-9099-C40C66FF867C}">
                  <a14:compatExt spid="_x0000_s13703"/>
                </a:ext>
                <a:ext uri="{FF2B5EF4-FFF2-40B4-BE49-F238E27FC236}">
                  <a16:creationId xmlns:a16="http://schemas.microsoft.com/office/drawing/2014/main" id="{00000000-0008-0000-0100-00008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1716</xdr:row>
          <xdr:rowOff>0</xdr:rowOff>
        </xdr:from>
        <xdr:to>
          <xdr:col>7</xdr:col>
          <xdr:colOff>0</xdr:colOff>
          <xdr:row>1716</xdr:row>
          <xdr:rowOff>165100</xdr:rowOff>
        </xdr:to>
        <xdr:sp macro="" textlink="">
          <xdr:nvSpPr>
            <xdr:cNvPr id="13702" name="Button 2438" hidden="1">
              <a:extLst>
                <a:ext uri="{63B3BB69-23CF-44E3-9099-C40C66FF867C}">
                  <a14:compatExt spid="_x0000_s13702"/>
                </a:ext>
                <a:ext uri="{FF2B5EF4-FFF2-40B4-BE49-F238E27FC236}">
                  <a16:creationId xmlns:a16="http://schemas.microsoft.com/office/drawing/2014/main" id="{00000000-0008-0000-0100-00008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1717</xdr:row>
          <xdr:rowOff>0</xdr:rowOff>
        </xdr:from>
        <xdr:to>
          <xdr:col>7</xdr:col>
          <xdr:colOff>0</xdr:colOff>
          <xdr:row>1717</xdr:row>
          <xdr:rowOff>165100</xdr:rowOff>
        </xdr:to>
        <xdr:sp macro="" textlink="">
          <xdr:nvSpPr>
            <xdr:cNvPr id="13701" name="Button 2437" hidden="1">
              <a:extLst>
                <a:ext uri="{63B3BB69-23CF-44E3-9099-C40C66FF867C}">
                  <a14:compatExt spid="_x0000_s13701"/>
                </a:ext>
                <a:ext uri="{FF2B5EF4-FFF2-40B4-BE49-F238E27FC236}">
                  <a16:creationId xmlns:a16="http://schemas.microsoft.com/office/drawing/2014/main" id="{00000000-0008-0000-0100-00008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1718</xdr:row>
          <xdr:rowOff>0</xdr:rowOff>
        </xdr:from>
        <xdr:to>
          <xdr:col>7</xdr:col>
          <xdr:colOff>0</xdr:colOff>
          <xdr:row>1718</xdr:row>
          <xdr:rowOff>165100</xdr:rowOff>
        </xdr:to>
        <xdr:sp macro="" textlink="">
          <xdr:nvSpPr>
            <xdr:cNvPr id="13700" name="Button 2436" hidden="1">
              <a:extLst>
                <a:ext uri="{63B3BB69-23CF-44E3-9099-C40C66FF867C}">
                  <a14:compatExt spid="_x0000_s13700"/>
                </a:ext>
                <a:ext uri="{FF2B5EF4-FFF2-40B4-BE49-F238E27FC236}">
                  <a16:creationId xmlns:a16="http://schemas.microsoft.com/office/drawing/2014/main" id="{00000000-0008-0000-0100-00008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1719</xdr:row>
          <xdr:rowOff>0</xdr:rowOff>
        </xdr:from>
        <xdr:to>
          <xdr:col>7</xdr:col>
          <xdr:colOff>0</xdr:colOff>
          <xdr:row>1719</xdr:row>
          <xdr:rowOff>165100</xdr:rowOff>
        </xdr:to>
        <xdr:sp macro="" textlink="">
          <xdr:nvSpPr>
            <xdr:cNvPr id="13699" name="Button 2435" hidden="1">
              <a:extLst>
                <a:ext uri="{63B3BB69-23CF-44E3-9099-C40C66FF867C}">
                  <a14:compatExt spid="_x0000_s13699"/>
                </a:ext>
                <a:ext uri="{FF2B5EF4-FFF2-40B4-BE49-F238E27FC236}">
                  <a16:creationId xmlns:a16="http://schemas.microsoft.com/office/drawing/2014/main" id="{00000000-0008-0000-0100-00008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1720</xdr:row>
          <xdr:rowOff>0</xdr:rowOff>
        </xdr:from>
        <xdr:to>
          <xdr:col>7</xdr:col>
          <xdr:colOff>0</xdr:colOff>
          <xdr:row>1720</xdr:row>
          <xdr:rowOff>165100</xdr:rowOff>
        </xdr:to>
        <xdr:sp macro="" textlink="">
          <xdr:nvSpPr>
            <xdr:cNvPr id="13698" name="Button 2434" hidden="1">
              <a:extLst>
                <a:ext uri="{63B3BB69-23CF-44E3-9099-C40C66FF867C}">
                  <a14:compatExt spid="_x0000_s13698"/>
                </a:ext>
                <a:ext uri="{FF2B5EF4-FFF2-40B4-BE49-F238E27FC236}">
                  <a16:creationId xmlns:a16="http://schemas.microsoft.com/office/drawing/2014/main" id="{00000000-0008-0000-0100-00008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1721</xdr:row>
          <xdr:rowOff>0</xdr:rowOff>
        </xdr:from>
        <xdr:to>
          <xdr:col>7</xdr:col>
          <xdr:colOff>0</xdr:colOff>
          <xdr:row>1721</xdr:row>
          <xdr:rowOff>165100</xdr:rowOff>
        </xdr:to>
        <xdr:sp macro="" textlink="">
          <xdr:nvSpPr>
            <xdr:cNvPr id="13697" name="Button 2433" hidden="1">
              <a:extLst>
                <a:ext uri="{63B3BB69-23CF-44E3-9099-C40C66FF867C}">
                  <a14:compatExt spid="_x0000_s13697"/>
                </a:ext>
                <a:ext uri="{FF2B5EF4-FFF2-40B4-BE49-F238E27FC236}">
                  <a16:creationId xmlns:a16="http://schemas.microsoft.com/office/drawing/2014/main" id="{00000000-0008-0000-0100-00008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1722</xdr:row>
          <xdr:rowOff>0</xdr:rowOff>
        </xdr:from>
        <xdr:to>
          <xdr:col>7</xdr:col>
          <xdr:colOff>0</xdr:colOff>
          <xdr:row>1722</xdr:row>
          <xdr:rowOff>165100</xdr:rowOff>
        </xdr:to>
        <xdr:sp macro="" textlink="">
          <xdr:nvSpPr>
            <xdr:cNvPr id="13696" name="Button 2432" hidden="1">
              <a:extLst>
                <a:ext uri="{63B3BB69-23CF-44E3-9099-C40C66FF867C}">
                  <a14:compatExt spid="_x0000_s13696"/>
                </a:ext>
                <a:ext uri="{FF2B5EF4-FFF2-40B4-BE49-F238E27FC236}">
                  <a16:creationId xmlns:a16="http://schemas.microsoft.com/office/drawing/2014/main" id="{00000000-0008-0000-0100-00008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1723</xdr:row>
          <xdr:rowOff>0</xdr:rowOff>
        </xdr:from>
        <xdr:to>
          <xdr:col>7</xdr:col>
          <xdr:colOff>0</xdr:colOff>
          <xdr:row>1723</xdr:row>
          <xdr:rowOff>165100</xdr:rowOff>
        </xdr:to>
        <xdr:sp macro="" textlink="">
          <xdr:nvSpPr>
            <xdr:cNvPr id="13695" name="Button 2431" hidden="1">
              <a:extLst>
                <a:ext uri="{63B3BB69-23CF-44E3-9099-C40C66FF867C}">
                  <a14:compatExt spid="_x0000_s13695"/>
                </a:ext>
                <a:ext uri="{FF2B5EF4-FFF2-40B4-BE49-F238E27FC236}">
                  <a16:creationId xmlns:a16="http://schemas.microsoft.com/office/drawing/2014/main" id="{00000000-0008-0000-0100-00007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1724</xdr:row>
          <xdr:rowOff>0</xdr:rowOff>
        </xdr:from>
        <xdr:to>
          <xdr:col>7</xdr:col>
          <xdr:colOff>0</xdr:colOff>
          <xdr:row>1724</xdr:row>
          <xdr:rowOff>165100</xdr:rowOff>
        </xdr:to>
        <xdr:sp macro="" textlink="">
          <xdr:nvSpPr>
            <xdr:cNvPr id="13694" name="Button 2430" hidden="1">
              <a:extLst>
                <a:ext uri="{63B3BB69-23CF-44E3-9099-C40C66FF867C}">
                  <a14:compatExt spid="_x0000_s13694"/>
                </a:ext>
                <a:ext uri="{FF2B5EF4-FFF2-40B4-BE49-F238E27FC236}">
                  <a16:creationId xmlns:a16="http://schemas.microsoft.com/office/drawing/2014/main" id="{00000000-0008-0000-0100-00007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1725</xdr:row>
          <xdr:rowOff>0</xdr:rowOff>
        </xdr:from>
        <xdr:to>
          <xdr:col>7</xdr:col>
          <xdr:colOff>0</xdr:colOff>
          <xdr:row>1725</xdr:row>
          <xdr:rowOff>165100</xdr:rowOff>
        </xdr:to>
        <xdr:sp macro="" textlink="">
          <xdr:nvSpPr>
            <xdr:cNvPr id="13693" name="Button 2429" hidden="1">
              <a:extLst>
                <a:ext uri="{63B3BB69-23CF-44E3-9099-C40C66FF867C}">
                  <a14:compatExt spid="_x0000_s13693"/>
                </a:ext>
                <a:ext uri="{FF2B5EF4-FFF2-40B4-BE49-F238E27FC236}">
                  <a16:creationId xmlns:a16="http://schemas.microsoft.com/office/drawing/2014/main" id="{00000000-0008-0000-0100-00007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1726</xdr:row>
          <xdr:rowOff>0</xdr:rowOff>
        </xdr:from>
        <xdr:to>
          <xdr:col>7</xdr:col>
          <xdr:colOff>0</xdr:colOff>
          <xdr:row>1726</xdr:row>
          <xdr:rowOff>165100</xdr:rowOff>
        </xdr:to>
        <xdr:sp macro="" textlink="">
          <xdr:nvSpPr>
            <xdr:cNvPr id="13692" name="Button 2428" hidden="1">
              <a:extLst>
                <a:ext uri="{63B3BB69-23CF-44E3-9099-C40C66FF867C}">
                  <a14:compatExt spid="_x0000_s13692"/>
                </a:ext>
                <a:ext uri="{FF2B5EF4-FFF2-40B4-BE49-F238E27FC236}">
                  <a16:creationId xmlns:a16="http://schemas.microsoft.com/office/drawing/2014/main" id="{00000000-0008-0000-0100-00007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1727</xdr:row>
          <xdr:rowOff>0</xdr:rowOff>
        </xdr:from>
        <xdr:to>
          <xdr:col>7</xdr:col>
          <xdr:colOff>0</xdr:colOff>
          <xdr:row>1727</xdr:row>
          <xdr:rowOff>165100</xdr:rowOff>
        </xdr:to>
        <xdr:sp macro="" textlink="">
          <xdr:nvSpPr>
            <xdr:cNvPr id="13691" name="Button 2427" hidden="1">
              <a:extLst>
                <a:ext uri="{63B3BB69-23CF-44E3-9099-C40C66FF867C}">
                  <a14:compatExt spid="_x0000_s13691"/>
                </a:ext>
                <a:ext uri="{FF2B5EF4-FFF2-40B4-BE49-F238E27FC236}">
                  <a16:creationId xmlns:a16="http://schemas.microsoft.com/office/drawing/2014/main" id="{00000000-0008-0000-0100-00007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1728</xdr:row>
          <xdr:rowOff>0</xdr:rowOff>
        </xdr:from>
        <xdr:to>
          <xdr:col>7</xdr:col>
          <xdr:colOff>0</xdr:colOff>
          <xdr:row>1728</xdr:row>
          <xdr:rowOff>165100</xdr:rowOff>
        </xdr:to>
        <xdr:sp macro="" textlink="">
          <xdr:nvSpPr>
            <xdr:cNvPr id="13690" name="Button 2426" hidden="1">
              <a:extLst>
                <a:ext uri="{63B3BB69-23CF-44E3-9099-C40C66FF867C}">
                  <a14:compatExt spid="_x0000_s13690"/>
                </a:ext>
                <a:ext uri="{FF2B5EF4-FFF2-40B4-BE49-F238E27FC236}">
                  <a16:creationId xmlns:a16="http://schemas.microsoft.com/office/drawing/2014/main" id="{00000000-0008-0000-0100-00007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1729</xdr:row>
          <xdr:rowOff>0</xdr:rowOff>
        </xdr:from>
        <xdr:to>
          <xdr:col>7</xdr:col>
          <xdr:colOff>0</xdr:colOff>
          <xdr:row>1729</xdr:row>
          <xdr:rowOff>165100</xdr:rowOff>
        </xdr:to>
        <xdr:sp macro="" textlink="">
          <xdr:nvSpPr>
            <xdr:cNvPr id="13689" name="Button 2425" hidden="1">
              <a:extLst>
                <a:ext uri="{63B3BB69-23CF-44E3-9099-C40C66FF867C}">
                  <a14:compatExt spid="_x0000_s13689"/>
                </a:ext>
                <a:ext uri="{FF2B5EF4-FFF2-40B4-BE49-F238E27FC236}">
                  <a16:creationId xmlns:a16="http://schemas.microsoft.com/office/drawing/2014/main" id="{00000000-0008-0000-0100-000079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1730</xdr:row>
          <xdr:rowOff>0</xdr:rowOff>
        </xdr:from>
        <xdr:to>
          <xdr:col>7</xdr:col>
          <xdr:colOff>0</xdr:colOff>
          <xdr:row>1730</xdr:row>
          <xdr:rowOff>165100</xdr:rowOff>
        </xdr:to>
        <xdr:sp macro="" textlink="">
          <xdr:nvSpPr>
            <xdr:cNvPr id="13688" name="Button 2424" hidden="1">
              <a:extLst>
                <a:ext uri="{63B3BB69-23CF-44E3-9099-C40C66FF867C}">
                  <a14:compatExt spid="_x0000_s13688"/>
                </a:ext>
                <a:ext uri="{FF2B5EF4-FFF2-40B4-BE49-F238E27FC236}">
                  <a16:creationId xmlns:a16="http://schemas.microsoft.com/office/drawing/2014/main" id="{00000000-0008-0000-0100-00007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1731</xdr:row>
          <xdr:rowOff>0</xdr:rowOff>
        </xdr:from>
        <xdr:to>
          <xdr:col>7</xdr:col>
          <xdr:colOff>0</xdr:colOff>
          <xdr:row>1731</xdr:row>
          <xdr:rowOff>165100</xdr:rowOff>
        </xdr:to>
        <xdr:sp macro="" textlink="">
          <xdr:nvSpPr>
            <xdr:cNvPr id="13687" name="Button 2423" hidden="1">
              <a:extLst>
                <a:ext uri="{63B3BB69-23CF-44E3-9099-C40C66FF867C}">
                  <a14:compatExt spid="_x0000_s13687"/>
                </a:ext>
                <a:ext uri="{FF2B5EF4-FFF2-40B4-BE49-F238E27FC236}">
                  <a16:creationId xmlns:a16="http://schemas.microsoft.com/office/drawing/2014/main" id="{00000000-0008-0000-0100-00007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1732</xdr:row>
          <xdr:rowOff>0</xdr:rowOff>
        </xdr:from>
        <xdr:to>
          <xdr:col>7</xdr:col>
          <xdr:colOff>0</xdr:colOff>
          <xdr:row>1732</xdr:row>
          <xdr:rowOff>165100</xdr:rowOff>
        </xdr:to>
        <xdr:sp macro="" textlink="">
          <xdr:nvSpPr>
            <xdr:cNvPr id="13686" name="Button 2422" hidden="1">
              <a:extLst>
                <a:ext uri="{63B3BB69-23CF-44E3-9099-C40C66FF867C}">
                  <a14:compatExt spid="_x0000_s13686"/>
                </a:ext>
                <a:ext uri="{FF2B5EF4-FFF2-40B4-BE49-F238E27FC236}">
                  <a16:creationId xmlns:a16="http://schemas.microsoft.com/office/drawing/2014/main" id="{00000000-0008-0000-0100-00007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1733</xdr:row>
          <xdr:rowOff>0</xdr:rowOff>
        </xdr:from>
        <xdr:to>
          <xdr:col>7</xdr:col>
          <xdr:colOff>0</xdr:colOff>
          <xdr:row>1733</xdr:row>
          <xdr:rowOff>165100</xdr:rowOff>
        </xdr:to>
        <xdr:sp macro="" textlink="">
          <xdr:nvSpPr>
            <xdr:cNvPr id="13685" name="Button 2421" hidden="1">
              <a:extLst>
                <a:ext uri="{63B3BB69-23CF-44E3-9099-C40C66FF867C}">
                  <a14:compatExt spid="_x0000_s13685"/>
                </a:ext>
                <a:ext uri="{FF2B5EF4-FFF2-40B4-BE49-F238E27FC236}">
                  <a16:creationId xmlns:a16="http://schemas.microsoft.com/office/drawing/2014/main" id="{00000000-0008-0000-0100-00007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1734</xdr:row>
          <xdr:rowOff>0</xdr:rowOff>
        </xdr:from>
        <xdr:to>
          <xdr:col>7</xdr:col>
          <xdr:colOff>0</xdr:colOff>
          <xdr:row>1734</xdr:row>
          <xdr:rowOff>165100</xdr:rowOff>
        </xdr:to>
        <xdr:sp macro="" textlink="">
          <xdr:nvSpPr>
            <xdr:cNvPr id="13684" name="Button 2420" hidden="1">
              <a:extLst>
                <a:ext uri="{63B3BB69-23CF-44E3-9099-C40C66FF867C}">
                  <a14:compatExt spid="_x0000_s13684"/>
                </a:ext>
                <a:ext uri="{FF2B5EF4-FFF2-40B4-BE49-F238E27FC236}">
                  <a16:creationId xmlns:a16="http://schemas.microsoft.com/office/drawing/2014/main" id="{00000000-0008-0000-0100-00007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1735</xdr:row>
          <xdr:rowOff>0</xdr:rowOff>
        </xdr:from>
        <xdr:to>
          <xdr:col>7</xdr:col>
          <xdr:colOff>0</xdr:colOff>
          <xdr:row>1735</xdr:row>
          <xdr:rowOff>165100</xdr:rowOff>
        </xdr:to>
        <xdr:sp macro="" textlink="">
          <xdr:nvSpPr>
            <xdr:cNvPr id="13683" name="Button 2419" hidden="1">
              <a:extLst>
                <a:ext uri="{63B3BB69-23CF-44E3-9099-C40C66FF867C}">
                  <a14:compatExt spid="_x0000_s13683"/>
                </a:ext>
                <a:ext uri="{FF2B5EF4-FFF2-40B4-BE49-F238E27FC236}">
                  <a16:creationId xmlns:a16="http://schemas.microsoft.com/office/drawing/2014/main" id="{00000000-0008-0000-0100-00007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1736</xdr:row>
          <xdr:rowOff>0</xdr:rowOff>
        </xdr:from>
        <xdr:to>
          <xdr:col>7</xdr:col>
          <xdr:colOff>0</xdr:colOff>
          <xdr:row>1736</xdr:row>
          <xdr:rowOff>165100</xdr:rowOff>
        </xdr:to>
        <xdr:sp macro="" textlink="">
          <xdr:nvSpPr>
            <xdr:cNvPr id="13682" name="Button 2418" hidden="1">
              <a:extLst>
                <a:ext uri="{63B3BB69-23CF-44E3-9099-C40C66FF867C}">
                  <a14:compatExt spid="_x0000_s13682"/>
                </a:ext>
                <a:ext uri="{FF2B5EF4-FFF2-40B4-BE49-F238E27FC236}">
                  <a16:creationId xmlns:a16="http://schemas.microsoft.com/office/drawing/2014/main" id="{00000000-0008-0000-0100-00007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1737</xdr:row>
          <xdr:rowOff>0</xdr:rowOff>
        </xdr:from>
        <xdr:to>
          <xdr:col>7</xdr:col>
          <xdr:colOff>0</xdr:colOff>
          <xdr:row>1737</xdr:row>
          <xdr:rowOff>165100</xdr:rowOff>
        </xdr:to>
        <xdr:sp macro="" textlink="">
          <xdr:nvSpPr>
            <xdr:cNvPr id="13681" name="Button 2417" hidden="1">
              <a:extLst>
                <a:ext uri="{63B3BB69-23CF-44E3-9099-C40C66FF867C}">
                  <a14:compatExt spid="_x0000_s13681"/>
                </a:ext>
                <a:ext uri="{FF2B5EF4-FFF2-40B4-BE49-F238E27FC236}">
                  <a16:creationId xmlns:a16="http://schemas.microsoft.com/office/drawing/2014/main" id="{00000000-0008-0000-0100-00007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1738</xdr:row>
          <xdr:rowOff>0</xdr:rowOff>
        </xdr:from>
        <xdr:to>
          <xdr:col>7</xdr:col>
          <xdr:colOff>0</xdr:colOff>
          <xdr:row>1738</xdr:row>
          <xdr:rowOff>165100</xdr:rowOff>
        </xdr:to>
        <xdr:sp macro="" textlink="">
          <xdr:nvSpPr>
            <xdr:cNvPr id="13680" name="Button 2416" hidden="1">
              <a:extLst>
                <a:ext uri="{63B3BB69-23CF-44E3-9099-C40C66FF867C}">
                  <a14:compatExt spid="_x0000_s13680"/>
                </a:ext>
                <a:ext uri="{FF2B5EF4-FFF2-40B4-BE49-F238E27FC236}">
                  <a16:creationId xmlns:a16="http://schemas.microsoft.com/office/drawing/2014/main" id="{00000000-0008-0000-0100-00007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1739</xdr:row>
          <xdr:rowOff>0</xdr:rowOff>
        </xdr:from>
        <xdr:to>
          <xdr:col>7</xdr:col>
          <xdr:colOff>0</xdr:colOff>
          <xdr:row>1739</xdr:row>
          <xdr:rowOff>165100</xdr:rowOff>
        </xdr:to>
        <xdr:sp macro="" textlink="">
          <xdr:nvSpPr>
            <xdr:cNvPr id="13679" name="Button 2415" hidden="1">
              <a:extLst>
                <a:ext uri="{63B3BB69-23CF-44E3-9099-C40C66FF867C}">
                  <a14:compatExt spid="_x0000_s13679"/>
                </a:ext>
                <a:ext uri="{FF2B5EF4-FFF2-40B4-BE49-F238E27FC236}">
                  <a16:creationId xmlns:a16="http://schemas.microsoft.com/office/drawing/2014/main" id="{00000000-0008-0000-0100-00006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1740</xdr:row>
          <xdr:rowOff>0</xdr:rowOff>
        </xdr:from>
        <xdr:to>
          <xdr:col>7</xdr:col>
          <xdr:colOff>0</xdr:colOff>
          <xdr:row>1740</xdr:row>
          <xdr:rowOff>165100</xdr:rowOff>
        </xdr:to>
        <xdr:sp macro="" textlink="">
          <xdr:nvSpPr>
            <xdr:cNvPr id="13678" name="Button 2414" hidden="1">
              <a:extLst>
                <a:ext uri="{63B3BB69-23CF-44E3-9099-C40C66FF867C}">
                  <a14:compatExt spid="_x0000_s13678"/>
                </a:ext>
                <a:ext uri="{FF2B5EF4-FFF2-40B4-BE49-F238E27FC236}">
                  <a16:creationId xmlns:a16="http://schemas.microsoft.com/office/drawing/2014/main" id="{00000000-0008-0000-0100-00006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1741</xdr:row>
          <xdr:rowOff>0</xdr:rowOff>
        </xdr:from>
        <xdr:to>
          <xdr:col>7</xdr:col>
          <xdr:colOff>0</xdr:colOff>
          <xdr:row>1741</xdr:row>
          <xdr:rowOff>165100</xdr:rowOff>
        </xdr:to>
        <xdr:sp macro="" textlink="">
          <xdr:nvSpPr>
            <xdr:cNvPr id="13677" name="Button 2413" hidden="1">
              <a:extLst>
                <a:ext uri="{63B3BB69-23CF-44E3-9099-C40C66FF867C}">
                  <a14:compatExt spid="_x0000_s13677"/>
                </a:ext>
                <a:ext uri="{FF2B5EF4-FFF2-40B4-BE49-F238E27FC236}">
                  <a16:creationId xmlns:a16="http://schemas.microsoft.com/office/drawing/2014/main" id="{00000000-0008-0000-0100-00006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1742</xdr:row>
          <xdr:rowOff>0</xdr:rowOff>
        </xdr:from>
        <xdr:to>
          <xdr:col>7</xdr:col>
          <xdr:colOff>0</xdr:colOff>
          <xdr:row>1742</xdr:row>
          <xdr:rowOff>165100</xdr:rowOff>
        </xdr:to>
        <xdr:sp macro="" textlink="">
          <xdr:nvSpPr>
            <xdr:cNvPr id="13676" name="Button 2412" hidden="1">
              <a:extLst>
                <a:ext uri="{63B3BB69-23CF-44E3-9099-C40C66FF867C}">
                  <a14:compatExt spid="_x0000_s13676"/>
                </a:ext>
                <a:ext uri="{FF2B5EF4-FFF2-40B4-BE49-F238E27FC236}">
                  <a16:creationId xmlns:a16="http://schemas.microsoft.com/office/drawing/2014/main" id="{00000000-0008-0000-0100-00006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1743</xdr:row>
          <xdr:rowOff>0</xdr:rowOff>
        </xdr:from>
        <xdr:to>
          <xdr:col>7</xdr:col>
          <xdr:colOff>0</xdr:colOff>
          <xdr:row>1743</xdr:row>
          <xdr:rowOff>165100</xdr:rowOff>
        </xdr:to>
        <xdr:sp macro="" textlink="">
          <xdr:nvSpPr>
            <xdr:cNvPr id="13675" name="Button 2411" hidden="1">
              <a:extLst>
                <a:ext uri="{63B3BB69-23CF-44E3-9099-C40C66FF867C}">
                  <a14:compatExt spid="_x0000_s13675"/>
                </a:ext>
                <a:ext uri="{FF2B5EF4-FFF2-40B4-BE49-F238E27FC236}">
                  <a16:creationId xmlns:a16="http://schemas.microsoft.com/office/drawing/2014/main" id="{00000000-0008-0000-0100-00006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1744</xdr:row>
          <xdr:rowOff>0</xdr:rowOff>
        </xdr:from>
        <xdr:to>
          <xdr:col>7</xdr:col>
          <xdr:colOff>0</xdr:colOff>
          <xdr:row>1744</xdr:row>
          <xdr:rowOff>165100</xdr:rowOff>
        </xdr:to>
        <xdr:sp macro="" textlink="">
          <xdr:nvSpPr>
            <xdr:cNvPr id="13674" name="Button 2410" hidden="1">
              <a:extLst>
                <a:ext uri="{63B3BB69-23CF-44E3-9099-C40C66FF867C}">
                  <a14:compatExt spid="_x0000_s13674"/>
                </a:ext>
                <a:ext uri="{FF2B5EF4-FFF2-40B4-BE49-F238E27FC236}">
                  <a16:creationId xmlns:a16="http://schemas.microsoft.com/office/drawing/2014/main" id="{00000000-0008-0000-0100-00006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1747</xdr:row>
          <xdr:rowOff>0</xdr:rowOff>
        </xdr:from>
        <xdr:to>
          <xdr:col>7</xdr:col>
          <xdr:colOff>0</xdr:colOff>
          <xdr:row>1748</xdr:row>
          <xdr:rowOff>0</xdr:rowOff>
        </xdr:to>
        <xdr:sp macro="" textlink="">
          <xdr:nvSpPr>
            <xdr:cNvPr id="13673" name="Button 2409" hidden="1">
              <a:extLst>
                <a:ext uri="{63B3BB69-23CF-44E3-9099-C40C66FF867C}">
                  <a14:compatExt spid="_x0000_s13673"/>
                </a:ext>
                <a:ext uri="{FF2B5EF4-FFF2-40B4-BE49-F238E27FC236}">
                  <a16:creationId xmlns:a16="http://schemas.microsoft.com/office/drawing/2014/main" id="{00000000-0008-0000-0100-000069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1754</xdr:row>
          <xdr:rowOff>0</xdr:rowOff>
        </xdr:from>
        <xdr:to>
          <xdr:col>7</xdr:col>
          <xdr:colOff>0</xdr:colOff>
          <xdr:row>1754</xdr:row>
          <xdr:rowOff>171450</xdr:rowOff>
        </xdr:to>
        <xdr:sp macro="" textlink="">
          <xdr:nvSpPr>
            <xdr:cNvPr id="13672" name="Button 2408" hidden="1">
              <a:extLst>
                <a:ext uri="{63B3BB69-23CF-44E3-9099-C40C66FF867C}">
                  <a14:compatExt spid="_x0000_s13672"/>
                </a:ext>
                <a:ext uri="{FF2B5EF4-FFF2-40B4-BE49-F238E27FC236}">
                  <a16:creationId xmlns:a16="http://schemas.microsoft.com/office/drawing/2014/main" id="{00000000-0008-0000-0100-00006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1755</xdr:row>
          <xdr:rowOff>0</xdr:rowOff>
        </xdr:from>
        <xdr:to>
          <xdr:col>7</xdr:col>
          <xdr:colOff>0</xdr:colOff>
          <xdr:row>1755</xdr:row>
          <xdr:rowOff>165100</xdr:rowOff>
        </xdr:to>
        <xdr:sp macro="" textlink="">
          <xdr:nvSpPr>
            <xdr:cNvPr id="13671" name="Button 2407" hidden="1">
              <a:extLst>
                <a:ext uri="{63B3BB69-23CF-44E3-9099-C40C66FF867C}">
                  <a14:compatExt spid="_x0000_s13671"/>
                </a:ext>
                <a:ext uri="{FF2B5EF4-FFF2-40B4-BE49-F238E27FC236}">
                  <a16:creationId xmlns:a16="http://schemas.microsoft.com/office/drawing/2014/main" id="{00000000-0008-0000-0100-00006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1756</xdr:row>
          <xdr:rowOff>0</xdr:rowOff>
        </xdr:from>
        <xdr:to>
          <xdr:col>7</xdr:col>
          <xdr:colOff>0</xdr:colOff>
          <xdr:row>1756</xdr:row>
          <xdr:rowOff>165100</xdr:rowOff>
        </xdr:to>
        <xdr:sp macro="" textlink="">
          <xdr:nvSpPr>
            <xdr:cNvPr id="13670" name="Button 2406" hidden="1">
              <a:extLst>
                <a:ext uri="{63B3BB69-23CF-44E3-9099-C40C66FF867C}">
                  <a14:compatExt spid="_x0000_s13670"/>
                </a:ext>
                <a:ext uri="{FF2B5EF4-FFF2-40B4-BE49-F238E27FC236}">
                  <a16:creationId xmlns:a16="http://schemas.microsoft.com/office/drawing/2014/main" id="{00000000-0008-0000-0100-00006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1757</xdr:row>
          <xdr:rowOff>0</xdr:rowOff>
        </xdr:from>
        <xdr:to>
          <xdr:col>7</xdr:col>
          <xdr:colOff>0</xdr:colOff>
          <xdr:row>1757</xdr:row>
          <xdr:rowOff>165100</xdr:rowOff>
        </xdr:to>
        <xdr:sp macro="" textlink="">
          <xdr:nvSpPr>
            <xdr:cNvPr id="13669" name="Button 2405" hidden="1">
              <a:extLst>
                <a:ext uri="{63B3BB69-23CF-44E3-9099-C40C66FF867C}">
                  <a14:compatExt spid="_x0000_s13669"/>
                </a:ext>
                <a:ext uri="{FF2B5EF4-FFF2-40B4-BE49-F238E27FC236}">
                  <a16:creationId xmlns:a16="http://schemas.microsoft.com/office/drawing/2014/main" id="{00000000-0008-0000-0100-00006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1758</xdr:row>
          <xdr:rowOff>0</xdr:rowOff>
        </xdr:from>
        <xdr:to>
          <xdr:col>7</xdr:col>
          <xdr:colOff>0</xdr:colOff>
          <xdr:row>1758</xdr:row>
          <xdr:rowOff>165100</xdr:rowOff>
        </xdr:to>
        <xdr:sp macro="" textlink="">
          <xdr:nvSpPr>
            <xdr:cNvPr id="13668" name="Button 2404" hidden="1">
              <a:extLst>
                <a:ext uri="{63B3BB69-23CF-44E3-9099-C40C66FF867C}">
                  <a14:compatExt spid="_x0000_s13668"/>
                </a:ext>
                <a:ext uri="{FF2B5EF4-FFF2-40B4-BE49-F238E27FC236}">
                  <a16:creationId xmlns:a16="http://schemas.microsoft.com/office/drawing/2014/main" id="{00000000-0008-0000-0100-00006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1761</xdr:row>
          <xdr:rowOff>0</xdr:rowOff>
        </xdr:from>
        <xdr:to>
          <xdr:col>7</xdr:col>
          <xdr:colOff>0</xdr:colOff>
          <xdr:row>1762</xdr:row>
          <xdr:rowOff>0</xdr:rowOff>
        </xdr:to>
        <xdr:sp macro="" textlink="">
          <xdr:nvSpPr>
            <xdr:cNvPr id="13667" name="Button 2403" hidden="1">
              <a:extLst>
                <a:ext uri="{63B3BB69-23CF-44E3-9099-C40C66FF867C}">
                  <a14:compatExt spid="_x0000_s13667"/>
                </a:ext>
                <a:ext uri="{FF2B5EF4-FFF2-40B4-BE49-F238E27FC236}">
                  <a16:creationId xmlns:a16="http://schemas.microsoft.com/office/drawing/2014/main" id="{00000000-0008-0000-0100-00006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1768</xdr:row>
          <xdr:rowOff>0</xdr:rowOff>
        </xdr:from>
        <xdr:to>
          <xdr:col>7</xdr:col>
          <xdr:colOff>0</xdr:colOff>
          <xdr:row>1768</xdr:row>
          <xdr:rowOff>171450</xdr:rowOff>
        </xdr:to>
        <xdr:sp macro="" textlink="">
          <xdr:nvSpPr>
            <xdr:cNvPr id="13666" name="Button 2402" hidden="1">
              <a:extLst>
                <a:ext uri="{63B3BB69-23CF-44E3-9099-C40C66FF867C}">
                  <a14:compatExt spid="_x0000_s13666"/>
                </a:ext>
                <a:ext uri="{FF2B5EF4-FFF2-40B4-BE49-F238E27FC236}">
                  <a16:creationId xmlns:a16="http://schemas.microsoft.com/office/drawing/2014/main" id="{00000000-0008-0000-0100-00006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1769</xdr:row>
          <xdr:rowOff>0</xdr:rowOff>
        </xdr:from>
        <xdr:to>
          <xdr:col>7</xdr:col>
          <xdr:colOff>0</xdr:colOff>
          <xdr:row>1769</xdr:row>
          <xdr:rowOff>165100</xdr:rowOff>
        </xdr:to>
        <xdr:sp macro="" textlink="">
          <xdr:nvSpPr>
            <xdr:cNvPr id="13665" name="Button 2401" hidden="1">
              <a:extLst>
                <a:ext uri="{63B3BB69-23CF-44E3-9099-C40C66FF867C}">
                  <a14:compatExt spid="_x0000_s13665"/>
                </a:ext>
                <a:ext uri="{FF2B5EF4-FFF2-40B4-BE49-F238E27FC236}">
                  <a16:creationId xmlns:a16="http://schemas.microsoft.com/office/drawing/2014/main" id="{00000000-0008-0000-0100-00006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1770</xdr:row>
          <xdr:rowOff>0</xdr:rowOff>
        </xdr:from>
        <xdr:to>
          <xdr:col>7</xdr:col>
          <xdr:colOff>0</xdr:colOff>
          <xdr:row>1770</xdr:row>
          <xdr:rowOff>165100</xdr:rowOff>
        </xdr:to>
        <xdr:sp macro="" textlink="">
          <xdr:nvSpPr>
            <xdr:cNvPr id="13664" name="Button 2400" hidden="1">
              <a:extLst>
                <a:ext uri="{63B3BB69-23CF-44E3-9099-C40C66FF867C}">
                  <a14:compatExt spid="_x0000_s13664"/>
                </a:ext>
                <a:ext uri="{FF2B5EF4-FFF2-40B4-BE49-F238E27FC236}">
                  <a16:creationId xmlns:a16="http://schemas.microsoft.com/office/drawing/2014/main" id="{00000000-0008-0000-0100-00006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1773</xdr:row>
          <xdr:rowOff>0</xdr:rowOff>
        </xdr:from>
        <xdr:to>
          <xdr:col>7</xdr:col>
          <xdr:colOff>0</xdr:colOff>
          <xdr:row>1774</xdr:row>
          <xdr:rowOff>0</xdr:rowOff>
        </xdr:to>
        <xdr:sp macro="" textlink="">
          <xdr:nvSpPr>
            <xdr:cNvPr id="13663" name="Button 2399" hidden="1">
              <a:extLst>
                <a:ext uri="{63B3BB69-23CF-44E3-9099-C40C66FF867C}">
                  <a14:compatExt spid="_x0000_s13663"/>
                </a:ext>
                <a:ext uri="{FF2B5EF4-FFF2-40B4-BE49-F238E27FC236}">
                  <a16:creationId xmlns:a16="http://schemas.microsoft.com/office/drawing/2014/main" id="{00000000-0008-0000-0100-00005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1780</xdr:row>
          <xdr:rowOff>0</xdr:rowOff>
        </xdr:from>
        <xdr:to>
          <xdr:col>7</xdr:col>
          <xdr:colOff>0</xdr:colOff>
          <xdr:row>1780</xdr:row>
          <xdr:rowOff>171450</xdr:rowOff>
        </xdr:to>
        <xdr:sp macro="" textlink="">
          <xdr:nvSpPr>
            <xdr:cNvPr id="13662" name="Button 2398" hidden="1">
              <a:extLst>
                <a:ext uri="{63B3BB69-23CF-44E3-9099-C40C66FF867C}">
                  <a14:compatExt spid="_x0000_s13662"/>
                </a:ext>
                <a:ext uri="{FF2B5EF4-FFF2-40B4-BE49-F238E27FC236}">
                  <a16:creationId xmlns:a16="http://schemas.microsoft.com/office/drawing/2014/main" id="{00000000-0008-0000-0100-00005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1781</xdr:row>
          <xdr:rowOff>0</xdr:rowOff>
        </xdr:from>
        <xdr:to>
          <xdr:col>7</xdr:col>
          <xdr:colOff>0</xdr:colOff>
          <xdr:row>1781</xdr:row>
          <xdr:rowOff>165100</xdr:rowOff>
        </xdr:to>
        <xdr:sp macro="" textlink="">
          <xdr:nvSpPr>
            <xdr:cNvPr id="13661" name="Button 2397" hidden="1">
              <a:extLst>
                <a:ext uri="{63B3BB69-23CF-44E3-9099-C40C66FF867C}">
                  <a14:compatExt spid="_x0000_s13661"/>
                </a:ext>
                <a:ext uri="{FF2B5EF4-FFF2-40B4-BE49-F238E27FC236}">
                  <a16:creationId xmlns:a16="http://schemas.microsoft.com/office/drawing/2014/main" id="{00000000-0008-0000-0100-00005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1782</xdr:row>
          <xdr:rowOff>0</xdr:rowOff>
        </xdr:from>
        <xdr:to>
          <xdr:col>7</xdr:col>
          <xdr:colOff>0</xdr:colOff>
          <xdr:row>1782</xdr:row>
          <xdr:rowOff>165100</xdr:rowOff>
        </xdr:to>
        <xdr:sp macro="" textlink="">
          <xdr:nvSpPr>
            <xdr:cNvPr id="13660" name="Button 2396" hidden="1">
              <a:extLst>
                <a:ext uri="{63B3BB69-23CF-44E3-9099-C40C66FF867C}">
                  <a14:compatExt spid="_x0000_s13660"/>
                </a:ext>
                <a:ext uri="{FF2B5EF4-FFF2-40B4-BE49-F238E27FC236}">
                  <a16:creationId xmlns:a16="http://schemas.microsoft.com/office/drawing/2014/main" id="{00000000-0008-0000-0100-00005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1783</xdr:row>
          <xdr:rowOff>0</xdr:rowOff>
        </xdr:from>
        <xdr:to>
          <xdr:col>7</xdr:col>
          <xdr:colOff>0</xdr:colOff>
          <xdr:row>1783</xdr:row>
          <xdr:rowOff>165100</xdr:rowOff>
        </xdr:to>
        <xdr:sp macro="" textlink="">
          <xdr:nvSpPr>
            <xdr:cNvPr id="13659" name="Button 2395" hidden="1">
              <a:extLst>
                <a:ext uri="{63B3BB69-23CF-44E3-9099-C40C66FF867C}">
                  <a14:compatExt spid="_x0000_s13659"/>
                </a:ext>
                <a:ext uri="{FF2B5EF4-FFF2-40B4-BE49-F238E27FC236}">
                  <a16:creationId xmlns:a16="http://schemas.microsoft.com/office/drawing/2014/main" id="{00000000-0008-0000-0100-00005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1784</xdr:row>
          <xdr:rowOff>0</xdr:rowOff>
        </xdr:from>
        <xdr:to>
          <xdr:col>7</xdr:col>
          <xdr:colOff>0</xdr:colOff>
          <xdr:row>1784</xdr:row>
          <xdr:rowOff>165100</xdr:rowOff>
        </xdr:to>
        <xdr:sp macro="" textlink="">
          <xdr:nvSpPr>
            <xdr:cNvPr id="13658" name="Button 2394" hidden="1">
              <a:extLst>
                <a:ext uri="{63B3BB69-23CF-44E3-9099-C40C66FF867C}">
                  <a14:compatExt spid="_x0000_s13658"/>
                </a:ext>
                <a:ext uri="{FF2B5EF4-FFF2-40B4-BE49-F238E27FC236}">
                  <a16:creationId xmlns:a16="http://schemas.microsoft.com/office/drawing/2014/main" id="{00000000-0008-0000-0100-00005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1785</xdr:row>
          <xdr:rowOff>0</xdr:rowOff>
        </xdr:from>
        <xdr:to>
          <xdr:col>7</xdr:col>
          <xdr:colOff>0</xdr:colOff>
          <xdr:row>1785</xdr:row>
          <xdr:rowOff>165100</xdr:rowOff>
        </xdr:to>
        <xdr:sp macro="" textlink="">
          <xdr:nvSpPr>
            <xdr:cNvPr id="13657" name="Button 2393" hidden="1">
              <a:extLst>
                <a:ext uri="{63B3BB69-23CF-44E3-9099-C40C66FF867C}">
                  <a14:compatExt spid="_x0000_s13657"/>
                </a:ext>
                <a:ext uri="{FF2B5EF4-FFF2-40B4-BE49-F238E27FC236}">
                  <a16:creationId xmlns:a16="http://schemas.microsoft.com/office/drawing/2014/main" id="{00000000-0008-0000-0100-000059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1786</xdr:row>
          <xdr:rowOff>0</xdr:rowOff>
        </xdr:from>
        <xdr:to>
          <xdr:col>7</xdr:col>
          <xdr:colOff>0</xdr:colOff>
          <xdr:row>1786</xdr:row>
          <xdr:rowOff>165100</xdr:rowOff>
        </xdr:to>
        <xdr:sp macro="" textlink="">
          <xdr:nvSpPr>
            <xdr:cNvPr id="13656" name="Button 2392" hidden="1">
              <a:extLst>
                <a:ext uri="{63B3BB69-23CF-44E3-9099-C40C66FF867C}">
                  <a14:compatExt spid="_x0000_s13656"/>
                </a:ext>
                <a:ext uri="{FF2B5EF4-FFF2-40B4-BE49-F238E27FC236}">
                  <a16:creationId xmlns:a16="http://schemas.microsoft.com/office/drawing/2014/main" id="{00000000-0008-0000-0100-00005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1787</xdr:row>
          <xdr:rowOff>0</xdr:rowOff>
        </xdr:from>
        <xdr:to>
          <xdr:col>7</xdr:col>
          <xdr:colOff>0</xdr:colOff>
          <xdr:row>1787</xdr:row>
          <xdr:rowOff>165100</xdr:rowOff>
        </xdr:to>
        <xdr:sp macro="" textlink="">
          <xdr:nvSpPr>
            <xdr:cNvPr id="13655" name="Button 2391" hidden="1">
              <a:extLst>
                <a:ext uri="{63B3BB69-23CF-44E3-9099-C40C66FF867C}">
                  <a14:compatExt spid="_x0000_s13655"/>
                </a:ext>
                <a:ext uri="{FF2B5EF4-FFF2-40B4-BE49-F238E27FC236}">
                  <a16:creationId xmlns:a16="http://schemas.microsoft.com/office/drawing/2014/main" id="{00000000-0008-0000-0100-00005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1788</xdr:row>
          <xdr:rowOff>0</xdr:rowOff>
        </xdr:from>
        <xdr:to>
          <xdr:col>7</xdr:col>
          <xdr:colOff>0</xdr:colOff>
          <xdr:row>1788</xdr:row>
          <xdr:rowOff>165100</xdr:rowOff>
        </xdr:to>
        <xdr:sp macro="" textlink="">
          <xdr:nvSpPr>
            <xdr:cNvPr id="13654" name="Button 2390" hidden="1">
              <a:extLst>
                <a:ext uri="{63B3BB69-23CF-44E3-9099-C40C66FF867C}">
                  <a14:compatExt spid="_x0000_s13654"/>
                </a:ext>
                <a:ext uri="{FF2B5EF4-FFF2-40B4-BE49-F238E27FC236}">
                  <a16:creationId xmlns:a16="http://schemas.microsoft.com/office/drawing/2014/main" id="{00000000-0008-0000-0100-00005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1789</xdr:row>
          <xdr:rowOff>0</xdr:rowOff>
        </xdr:from>
        <xdr:to>
          <xdr:col>7</xdr:col>
          <xdr:colOff>0</xdr:colOff>
          <xdr:row>1789</xdr:row>
          <xdr:rowOff>165100</xdr:rowOff>
        </xdr:to>
        <xdr:sp macro="" textlink="">
          <xdr:nvSpPr>
            <xdr:cNvPr id="13653" name="Button 2389" hidden="1">
              <a:extLst>
                <a:ext uri="{63B3BB69-23CF-44E3-9099-C40C66FF867C}">
                  <a14:compatExt spid="_x0000_s13653"/>
                </a:ext>
                <a:ext uri="{FF2B5EF4-FFF2-40B4-BE49-F238E27FC236}">
                  <a16:creationId xmlns:a16="http://schemas.microsoft.com/office/drawing/2014/main" id="{00000000-0008-0000-0100-00005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1790</xdr:row>
          <xdr:rowOff>0</xdr:rowOff>
        </xdr:from>
        <xdr:to>
          <xdr:col>7</xdr:col>
          <xdr:colOff>0</xdr:colOff>
          <xdr:row>1790</xdr:row>
          <xdr:rowOff>165100</xdr:rowOff>
        </xdr:to>
        <xdr:sp macro="" textlink="">
          <xdr:nvSpPr>
            <xdr:cNvPr id="13652" name="Button 2388" hidden="1">
              <a:extLst>
                <a:ext uri="{63B3BB69-23CF-44E3-9099-C40C66FF867C}">
                  <a14:compatExt spid="_x0000_s13652"/>
                </a:ext>
                <a:ext uri="{FF2B5EF4-FFF2-40B4-BE49-F238E27FC236}">
                  <a16:creationId xmlns:a16="http://schemas.microsoft.com/office/drawing/2014/main" id="{00000000-0008-0000-0100-00005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1791</xdr:row>
          <xdr:rowOff>0</xdr:rowOff>
        </xdr:from>
        <xdr:to>
          <xdr:col>7</xdr:col>
          <xdr:colOff>0</xdr:colOff>
          <xdr:row>1791</xdr:row>
          <xdr:rowOff>165100</xdr:rowOff>
        </xdr:to>
        <xdr:sp macro="" textlink="">
          <xdr:nvSpPr>
            <xdr:cNvPr id="13651" name="Button 2387" hidden="1">
              <a:extLst>
                <a:ext uri="{63B3BB69-23CF-44E3-9099-C40C66FF867C}">
                  <a14:compatExt spid="_x0000_s13651"/>
                </a:ext>
                <a:ext uri="{FF2B5EF4-FFF2-40B4-BE49-F238E27FC236}">
                  <a16:creationId xmlns:a16="http://schemas.microsoft.com/office/drawing/2014/main" id="{00000000-0008-0000-0100-00005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1792</xdr:row>
          <xdr:rowOff>0</xdr:rowOff>
        </xdr:from>
        <xdr:to>
          <xdr:col>7</xdr:col>
          <xdr:colOff>0</xdr:colOff>
          <xdr:row>1792</xdr:row>
          <xdr:rowOff>165100</xdr:rowOff>
        </xdr:to>
        <xdr:sp macro="" textlink="">
          <xdr:nvSpPr>
            <xdr:cNvPr id="13650" name="Button 2386" hidden="1">
              <a:extLst>
                <a:ext uri="{63B3BB69-23CF-44E3-9099-C40C66FF867C}">
                  <a14:compatExt spid="_x0000_s13650"/>
                </a:ext>
                <a:ext uri="{FF2B5EF4-FFF2-40B4-BE49-F238E27FC236}">
                  <a16:creationId xmlns:a16="http://schemas.microsoft.com/office/drawing/2014/main" id="{00000000-0008-0000-0100-00005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1793</xdr:row>
          <xdr:rowOff>0</xdr:rowOff>
        </xdr:from>
        <xdr:to>
          <xdr:col>7</xdr:col>
          <xdr:colOff>0</xdr:colOff>
          <xdr:row>1793</xdr:row>
          <xdr:rowOff>165100</xdr:rowOff>
        </xdr:to>
        <xdr:sp macro="" textlink="">
          <xdr:nvSpPr>
            <xdr:cNvPr id="13649" name="Button 2385" hidden="1">
              <a:extLst>
                <a:ext uri="{63B3BB69-23CF-44E3-9099-C40C66FF867C}">
                  <a14:compatExt spid="_x0000_s13649"/>
                </a:ext>
                <a:ext uri="{FF2B5EF4-FFF2-40B4-BE49-F238E27FC236}">
                  <a16:creationId xmlns:a16="http://schemas.microsoft.com/office/drawing/2014/main" id="{00000000-0008-0000-0100-00005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1794</xdr:row>
          <xdr:rowOff>0</xdr:rowOff>
        </xdr:from>
        <xdr:to>
          <xdr:col>7</xdr:col>
          <xdr:colOff>0</xdr:colOff>
          <xdr:row>1794</xdr:row>
          <xdr:rowOff>165100</xdr:rowOff>
        </xdr:to>
        <xdr:sp macro="" textlink="">
          <xdr:nvSpPr>
            <xdr:cNvPr id="13648" name="Button 2384" hidden="1">
              <a:extLst>
                <a:ext uri="{63B3BB69-23CF-44E3-9099-C40C66FF867C}">
                  <a14:compatExt spid="_x0000_s13648"/>
                </a:ext>
                <a:ext uri="{FF2B5EF4-FFF2-40B4-BE49-F238E27FC236}">
                  <a16:creationId xmlns:a16="http://schemas.microsoft.com/office/drawing/2014/main" id="{00000000-0008-0000-0100-00005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1795</xdr:row>
          <xdr:rowOff>0</xdr:rowOff>
        </xdr:from>
        <xdr:to>
          <xdr:col>7</xdr:col>
          <xdr:colOff>0</xdr:colOff>
          <xdr:row>1795</xdr:row>
          <xdr:rowOff>165100</xdr:rowOff>
        </xdr:to>
        <xdr:sp macro="" textlink="">
          <xdr:nvSpPr>
            <xdr:cNvPr id="13647" name="Button 2383" hidden="1">
              <a:extLst>
                <a:ext uri="{63B3BB69-23CF-44E3-9099-C40C66FF867C}">
                  <a14:compatExt spid="_x0000_s13647"/>
                </a:ext>
                <a:ext uri="{FF2B5EF4-FFF2-40B4-BE49-F238E27FC236}">
                  <a16:creationId xmlns:a16="http://schemas.microsoft.com/office/drawing/2014/main" id="{00000000-0008-0000-0100-00004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1796</xdr:row>
          <xdr:rowOff>0</xdr:rowOff>
        </xdr:from>
        <xdr:to>
          <xdr:col>7</xdr:col>
          <xdr:colOff>0</xdr:colOff>
          <xdr:row>1796</xdr:row>
          <xdr:rowOff>165100</xdr:rowOff>
        </xdr:to>
        <xdr:sp macro="" textlink="">
          <xdr:nvSpPr>
            <xdr:cNvPr id="13646" name="Button 2382" hidden="1">
              <a:extLst>
                <a:ext uri="{63B3BB69-23CF-44E3-9099-C40C66FF867C}">
                  <a14:compatExt spid="_x0000_s13646"/>
                </a:ext>
                <a:ext uri="{FF2B5EF4-FFF2-40B4-BE49-F238E27FC236}">
                  <a16:creationId xmlns:a16="http://schemas.microsoft.com/office/drawing/2014/main" id="{00000000-0008-0000-0100-00004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1797</xdr:row>
          <xdr:rowOff>0</xdr:rowOff>
        </xdr:from>
        <xdr:to>
          <xdr:col>7</xdr:col>
          <xdr:colOff>0</xdr:colOff>
          <xdr:row>1797</xdr:row>
          <xdr:rowOff>165100</xdr:rowOff>
        </xdr:to>
        <xdr:sp macro="" textlink="">
          <xdr:nvSpPr>
            <xdr:cNvPr id="13645" name="Button 2381" hidden="1">
              <a:extLst>
                <a:ext uri="{63B3BB69-23CF-44E3-9099-C40C66FF867C}">
                  <a14:compatExt spid="_x0000_s13645"/>
                </a:ext>
                <a:ext uri="{FF2B5EF4-FFF2-40B4-BE49-F238E27FC236}">
                  <a16:creationId xmlns:a16="http://schemas.microsoft.com/office/drawing/2014/main" id="{00000000-0008-0000-0100-00004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1798</xdr:row>
          <xdr:rowOff>0</xdr:rowOff>
        </xdr:from>
        <xdr:to>
          <xdr:col>7</xdr:col>
          <xdr:colOff>0</xdr:colOff>
          <xdr:row>1798</xdr:row>
          <xdr:rowOff>165100</xdr:rowOff>
        </xdr:to>
        <xdr:sp macro="" textlink="">
          <xdr:nvSpPr>
            <xdr:cNvPr id="13644" name="Button 2380" hidden="1">
              <a:extLst>
                <a:ext uri="{63B3BB69-23CF-44E3-9099-C40C66FF867C}">
                  <a14:compatExt spid="_x0000_s13644"/>
                </a:ext>
                <a:ext uri="{FF2B5EF4-FFF2-40B4-BE49-F238E27FC236}">
                  <a16:creationId xmlns:a16="http://schemas.microsoft.com/office/drawing/2014/main" id="{00000000-0008-0000-0100-00004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1799</xdr:row>
          <xdr:rowOff>0</xdr:rowOff>
        </xdr:from>
        <xdr:to>
          <xdr:col>7</xdr:col>
          <xdr:colOff>0</xdr:colOff>
          <xdr:row>1799</xdr:row>
          <xdr:rowOff>165100</xdr:rowOff>
        </xdr:to>
        <xdr:sp macro="" textlink="">
          <xdr:nvSpPr>
            <xdr:cNvPr id="13643" name="Button 2379" hidden="1">
              <a:extLst>
                <a:ext uri="{63B3BB69-23CF-44E3-9099-C40C66FF867C}">
                  <a14:compatExt spid="_x0000_s13643"/>
                </a:ext>
                <a:ext uri="{FF2B5EF4-FFF2-40B4-BE49-F238E27FC236}">
                  <a16:creationId xmlns:a16="http://schemas.microsoft.com/office/drawing/2014/main" id="{00000000-0008-0000-0100-00004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1800</xdr:row>
          <xdr:rowOff>0</xdr:rowOff>
        </xdr:from>
        <xdr:to>
          <xdr:col>7</xdr:col>
          <xdr:colOff>0</xdr:colOff>
          <xdr:row>1800</xdr:row>
          <xdr:rowOff>165100</xdr:rowOff>
        </xdr:to>
        <xdr:sp macro="" textlink="">
          <xdr:nvSpPr>
            <xdr:cNvPr id="13642" name="Button 2378" hidden="1">
              <a:extLst>
                <a:ext uri="{63B3BB69-23CF-44E3-9099-C40C66FF867C}">
                  <a14:compatExt spid="_x0000_s13642"/>
                </a:ext>
                <a:ext uri="{FF2B5EF4-FFF2-40B4-BE49-F238E27FC236}">
                  <a16:creationId xmlns:a16="http://schemas.microsoft.com/office/drawing/2014/main" id="{00000000-0008-0000-0100-00004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1801</xdr:row>
          <xdr:rowOff>0</xdr:rowOff>
        </xdr:from>
        <xdr:to>
          <xdr:col>7</xdr:col>
          <xdr:colOff>0</xdr:colOff>
          <xdr:row>1801</xdr:row>
          <xdr:rowOff>165100</xdr:rowOff>
        </xdr:to>
        <xdr:sp macro="" textlink="">
          <xdr:nvSpPr>
            <xdr:cNvPr id="13641" name="Button 2377" hidden="1">
              <a:extLst>
                <a:ext uri="{63B3BB69-23CF-44E3-9099-C40C66FF867C}">
                  <a14:compatExt spid="_x0000_s13641"/>
                </a:ext>
                <a:ext uri="{FF2B5EF4-FFF2-40B4-BE49-F238E27FC236}">
                  <a16:creationId xmlns:a16="http://schemas.microsoft.com/office/drawing/2014/main" id="{00000000-0008-0000-0100-000049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1802</xdr:row>
          <xdr:rowOff>0</xdr:rowOff>
        </xdr:from>
        <xdr:to>
          <xdr:col>7</xdr:col>
          <xdr:colOff>0</xdr:colOff>
          <xdr:row>1802</xdr:row>
          <xdr:rowOff>165100</xdr:rowOff>
        </xdr:to>
        <xdr:sp macro="" textlink="">
          <xdr:nvSpPr>
            <xdr:cNvPr id="13640" name="Button 2376" hidden="1">
              <a:extLst>
                <a:ext uri="{63B3BB69-23CF-44E3-9099-C40C66FF867C}">
                  <a14:compatExt spid="_x0000_s13640"/>
                </a:ext>
                <a:ext uri="{FF2B5EF4-FFF2-40B4-BE49-F238E27FC236}">
                  <a16:creationId xmlns:a16="http://schemas.microsoft.com/office/drawing/2014/main" id="{00000000-0008-0000-0100-00004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1803</xdr:row>
          <xdr:rowOff>0</xdr:rowOff>
        </xdr:from>
        <xdr:to>
          <xdr:col>7</xdr:col>
          <xdr:colOff>0</xdr:colOff>
          <xdr:row>1803</xdr:row>
          <xdr:rowOff>165100</xdr:rowOff>
        </xdr:to>
        <xdr:sp macro="" textlink="">
          <xdr:nvSpPr>
            <xdr:cNvPr id="13639" name="Button 2375" hidden="1">
              <a:extLst>
                <a:ext uri="{63B3BB69-23CF-44E3-9099-C40C66FF867C}">
                  <a14:compatExt spid="_x0000_s13639"/>
                </a:ext>
                <a:ext uri="{FF2B5EF4-FFF2-40B4-BE49-F238E27FC236}">
                  <a16:creationId xmlns:a16="http://schemas.microsoft.com/office/drawing/2014/main" id="{00000000-0008-0000-0100-00004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1804</xdr:row>
          <xdr:rowOff>0</xdr:rowOff>
        </xdr:from>
        <xdr:to>
          <xdr:col>7</xdr:col>
          <xdr:colOff>0</xdr:colOff>
          <xdr:row>1804</xdr:row>
          <xdr:rowOff>165100</xdr:rowOff>
        </xdr:to>
        <xdr:sp macro="" textlink="">
          <xdr:nvSpPr>
            <xdr:cNvPr id="13638" name="Button 2374" hidden="1">
              <a:extLst>
                <a:ext uri="{63B3BB69-23CF-44E3-9099-C40C66FF867C}">
                  <a14:compatExt spid="_x0000_s13638"/>
                </a:ext>
                <a:ext uri="{FF2B5EF4-FFF2-40B4-BE49-F238E27FC236}">
                  <a16:creationId xmlns:a16="http://schemas.microsoft.com/office/drawing/2014/main" id="{00000000-0008-0000-0100-00004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1805</xdr:row>
          <xdr:rowOff>0</xdr:rowOff>
        </xdr:from>
        <xdr:to>
          <xdr:col>7</xdr:col>
          <xdr:colOff>0</xdr:colOff>
          <xdr:row>1805</xdr:row>
          <xdr:rowOff>165100</xdr:rowOff>
        </xdr:to>
        <xdr:sp macro="" textlink="">
          <xdr:nvSpPr>
            <xdr:cNvPr id="13637" name="Button 2373" hidden="1">
              <a:extLst>
                <a:ext uri="{63B3BB69-23CF-44E3-9099-C40C66FF867C}">
                  <a14:compatExt spid="_x0000_s13637"/>
                </a:ext>
                <a:ext uri="{FF2B5EF4-FFF2-40B4-BE49-F238E27FC236}">
                  <a16:creationId xmlns:a16="http://schemas.microsoft.com/office/drawing/2014/main" id="{00000000-0008-0000-0100-00004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1806</xdr:row>
          <xdr:rowOff>0</xdr:rowOff>
        </xdr:from>
        <xdr:to>
          <xdr:col>7</xdr:col>
          <xdr:colOff>0</xdr:colOff>
          <xdr:row>1806</xdr:row>
          <xdr:rowOff>165100</xdr:rowOff>
        </xdr:to>
        <xdr:sp macro="" textlink="">
          <xdr:nvSpPr>
            <xdr:cNvPr id="13636" name="Button 2372" hidden="1">
              <a:extLst>
                <a:ext uri="{63B3BB69-23CF-44E3-9099-C40C66FF867C}">
                  <a14:compatExt spid="_x0000_s13636"/>
                </a:ext>
                <a:ext uri="{FF2B5EF4-FFF2-40B4-BE49-F238E27FC236}">
                  <a16:creationId xmlns:a16="http://schemas.microsoft.com/office/drawing/2014/main" id="{00000000-0008-0000-0100-00004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1807</xdr:row>
          <xdr:rowOff>0</xdr:rowOff>
        </xdr:from>
        <xdr:to>
          <xdr:col>7</xdr:col>
          <xdr:colOff>0</xdr:colOff>
          <xdr:row>1807</xdr:row>
          <xdr:rowOff>165100</xdr:rowOff>
        </xdr:to>
        <xdr:sp macro="" textlink="">
          <xdr:nvSpPr>
            <xdr:cNvPr id="13635" name="Button 2371" hidden="1">
              <a:extLst>
                <a:ext uri="{63B3BB69-23CF-44E3-9099-C40C66FF867C}">
                  <a14:compatExt spid="_x0000_s13635"/>
                </a:ext>
                <a:ext uri="{FF2B5EF4-FFF2-40B4-BE49-F238E27FC236}">
                  <a16:creationId xmlns:a16="http://schemas.microsoft.com/office/drawing/2014/main" id="{00000000-0008-0000-0100-00004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1808</xdr:row>
          <xdr:rowOff>0</xdr:rowOff>
        </xdr:from>
        <xdr:to>
          <xdr:col>7</xdr:col>
          <xdr:colOff>0</xdr:colOff>
          <xdr:row>1808</xdr:row>
          <xdr:rowOff>165100</xdr:rowOff>
        </xdr:to>
        <xdr:sp macro="" textlink="">
          <xdr:nvSpPr>
            <xdr:cNvPr id="13634" name="Button 2370" hidden="1">
              <a:extLst>
                <a:ext uri="{63B3BB69-23CF-44E3-9099-C40C66FF867C}">
                  <a14:compatExt spid="_x0000_s13634"/>
                </a:ext>
                <a:ext uri="{FF2B5EF4-FFF2-40B4-BE49-F238E27FC236}">
                  <a16:creationId xmlns:a16="http://schemas.microsoft.com/office/drawing/2014/main" id="{00000000-0008-0000-0100-00004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1809</xdr:row>
          <xdr:rowOff>0</xdr:rowOff>
        </xdr:from>
        <xdr:to>
          <xdr:col>7</xdr:col>
          <xdr:colOff>0</xdr:colOff>
          <xdr:row>1809</xdr:row>
          <xdr:rowOff>165100</xdr:rowOff>
        </xdr:to>
        <xdr:sp macro="" textlink="">
          <xdr:nvSpPr>
            <xdr:cNvPr id="13633" name="Button 2369" hidden="1">
              <a:extLst>
                <a:ext uri="{63B3BB69-23CF-44E3-9099-C40C66FF867C}">
                  <a14:compatExt spid="_x0000_s13633"/>
                </a:ext>
                <a:ext uri="{FF2B5EF4-FFF2-40B4-BE49-F238E27FC236}">
                  <a16:creationId xmlns:a16="http://schemas.microsoft.com/office/drawing/2014/main" id="{00000000-0008-0000-0100-00004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1810</xdr:row>
          <xdr:rowOff>0</xdr:rowOff>
        </xdr:from>
        <xdr:to>
          <xdr:col>7</xdr:col>
          <xdr:colOff>0</xdr:colOff>
          <xdr:row>1810</xdr:row>
          <xdr:rowOff>165100</xdr:rowOff>
        </xdr:to>
        <xdr:sp macro="" textlink="">
          <xdr:nvSpPr>
            <xdr:cNvPr id="13632" name="Button 2368" hidden="1">
              <a:extLst>
                <a:ext uri="{63B3BB69-23CF-44E3-9099-C40C66FF867C}">
                  <a14:compatExt spid="_x0000_s13632"/>
                </a:ext>
                <a:ext uri="{FF2B5EF4-FFF2-40B4-BE49-F238E27FC236}">
                  <a16:creationId xmlns:a16="http://schemas.microsoft.com/office/drawing/2014/main" id="{00000000-0008-0000-0100-00004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1811</xdr:row>
          <xdr:rowOff>0</xdr:rowOff>
        </xdr:from>
        <xdr:to>
          <xdr:col>7</xdr:col>
          <xdr:colOff>0</xdr:colOff>
          <xdr:row>1811</xdr:row>
          <xdr:rowOff>165100</xdr:rowOff>
        </xdr:to>
        <xdr:sp macro="" textlink="">
          <xdr:nvSpPr>
            <xdr:cNvPr id="13631" name="Button 2367" hidden="1">
              <a:extLst>
                <a:ext uri="{63B3BB69-23CF-44E3-9099-C40C66FF867C}">
                  <a14:compatExt spid="_x0000_s13631"/>
                </a:ext>
                <a:ext uri="{FF2B5EF4-FFF2-40B4-BE49-F238E27FC236}">
                  <a16:creationId xmlns:a16="http://schemas.microsoft.com/office/drawing/2014/main" id="{00000000-0008-0000-0100-00003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1812</xdr:row>
          <xdr:rowOff>0</xdr:rowOff>
        </xdr:from>
        <xdr:to>
          <xdr:col>7</xdr:col>
          <xdr:colOff>0</xdr:colOff>
          <xdr:row>1812</xdr:row>
          <xdr:rowOff>165100</xdr:rowOff>
        </xdr:to>
        <xdr:sp macro="" textlink="">
          <xdr:nvSpPr>
            <xdr:cNvPr id="13630" name="Button 2366" hidden="1">
              <a:extLst>
                <a:ext uri="{63B3BB69-23CF-44E3-9099-C40C66FF867C}">
                  <a14:compatExt spid="_x0000_s13630"/>
                </a:ext>
                <a:ext uri="{FF2B5EF4-FFF2-40B4-BE49-F238E27FC236}">
                  <a16:creationId xmlns:a16="http://schemas.microsoft.com/office/drawing/2014/main" id="{00000000-0008-0000-0100-00003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1813</xdr:row>
          <xdr:rowOff>0</xdr:rowOff>
        </xdr:from>
        <xdr:to>
          <xdr:col>7</xdr:col>
          <xdr:colOff>0</xdr:colOff>
          <xdr:row>1813</xdr:row>
          <xdr:rowOff>165100</xdr:rowOff>
        </xdr:to>
        <xdr:sp macro="" textlink="">
          <xdr:nvSpPr>
            <xdr:cNvPr id="13629" name="Button 2365" hidden="1">
              <a:extLst>
                <a:ext uri="{63B3BB69-23CF-44E3-9099-C40C66FF867C}">
                  <a14:compatExt spid="_x0000_s13629"/>
                </a:ext>
                <a:ext uri="{FF2B5EF4-FFF2-40B4-BE49-F238E27FC236}">
                  <a16:creationId xmlns:a16="http://schemas.microsoft.com/office/drawing/2014/main" id="{00000000-0008-0000-0100-00003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1814</xdr:row>
          <xdr:rowOff>0</xdr:rowOff>
        </xdr:from>
        <xdr:to>
          <xdr:col>7</xdr:col>
          <xdr:colOff>0</xdr:colOff>
          <xdr:row>1814</xdr:row>
          <xdr:rowOff>165100</xdr:rowOff>
        </xdr:to>
        <xdr:sp macro="" textlink="">
          <xdr:nvSpPr>
            <xdr:cNvPr id="13628" name="Button 2364" hidden="1">
              <a:extLst>
                <a:ext uri="{63B3BB69-23CF-44E3-9099-C40C66FF867C}">
                  <a14:compatExt spid="_x0000_s13628"/>
                </a:ext>
                <a:ext uri="{FF2B5EF4-FFF2-40B4-BE49-F238E27FC236}">
                  <a16:creationId xmlns:a16="http://schemas.microsoft.com/office/drawing/2014/main" id="{00000000-0008-0000-0100-00003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1815</xdr:row>
          <xdr:rowOff>0</xdr:rowOff>
        </xdr:from>
        <xdr:to>
          <xdr:col>7</xdr:col>
          <xdr:colOff>0</xdr:colOff>
          <xdr:row>1815</xdr:row>
          <xdr:rowOff>165100</xdr:rowOff>
        </xdr:to>
        <xdr:sp macro="" textlink="">
          <xdr:nvSpPr>
            <xdr:cNvPr id="13627" name="Button 2363" hidden="1">
              <a:extLst>
                <a:ext uri="{63B3BB69-23CF-44E3-9099-C40C66FF867C}">
                  <a14:compatExt spid="_x0000_s13627"/>
                </a:ext>
                <a:ext uri="{FF2B5EF4-FFF2-40B4-BE49-F238E27FC236}">
                  <a16:creationId xmlns:a16="http://schemas.microsoft.com/office/drawing/2014/main" id="{00000000-0008-0000-0100-00003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1816</xdr:row>
          <xdr:rowOff>0</xdr:rowOff>
        </xdr:from>
        <xdr:to>
          <xdr:col>7</xdr:col>
          <xdr:colOff>0</xdr:colOff>
          <xdr:row>1816</xdr:row>
          <xdr:rowOff>165100</xdr:rowOff>
        </xdr:to>
        <xdr:sp macro="" textlink="">
          <xdr:nvSpPr>
            <xdr:cNvPr id="13626" name="Button 2362" hidden="1">
              <a:extLst>
                <a:ext uri="{63B3BB69-23CF-44E3-9099-C40C66FF867C}">
                  <a14:compatExt spid="_x0000_s13626"/>
                </a:ext>
                <a:ext uri="{FF2B5EF4-FFF2-40B4-BE49-F238E27FC236}">
                  <a16:creationId xmlns:a16="http://schemas.microsoft.com/office/drawing/2014/main" id="{00000000-0008-0000-0100-00003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1817</xdr:row>
          <xdr:rowOff>0</xdr:rowOff>
        </xdr:from>
        <xdr:to>
          <xdr:col>7</xdr:col>
          <xdr:colOff>0</xdr:colOff>
          <xdr:row>1817</xdr:row>
          <xdr:rowOff>165100</xdr:rowOff>
        </xdr:to>
        <xdr:sp macro="" textlink="">
          <xdr:nvSpPr>
            <xdr:cNvPr id="13625" name="Button 2361" hidden="1">
              <a:extLst>
                <a:ext uri="{63B3BB69-23CF-44E3-9099-C40C66FF867C}">
                  <a14:compatExt spid="_x0000_s13625"/>
                </a:ext>
                <a:ext uri="{FF2B5EF4-FFF2-40B4-BE49-F238E27FC236}">
                  <a16:creationId xmlns:a16="http://schemas.microsoft.com/office/drawing/2014/main" id="{00000000-0008-0000-0100-000039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1818</xdr:row>
          <xdr:rowOff>0</xdr:rowOff>
        </xdr:from>
        <xdr:to>
          <xdr:col>7</xdr:col>
          <xdr:colOff>0</xdr:colOff>
          <xdr:row>1818</xdr:row>
          <xdr:rowOff>165100</xdr:rowOff>
        </xdr:to>
        <xdr:sp macro="" textlink="">
          <xdr:nvSpPr>
            <xdr:cNvPr id="13624" name="Button 2360" hidden="1">
              <a:extLst>
                <a:ext uri="{63B3BB69-23CF-44E3-9099-C40C66FF867C}">
                  <a14:compatExt spid="_x0000_s13624"/>
                </a:ext>
                <a:ext uri="{FF2B5EF4-FFF2-40B4-BE49-F238E27FC236}">
                  <a16:creationId xmlns:a16="http://schemas.microsoft.com/office/drawing/2014/main" id="{00000000-0008-0000-0100-00003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1819</xdr:row>
          <xdr:rowOff>0</xdr:rowOff>
        </xdr:from>
        <xdr:to>
          <xdr:col>7</xdr:col>
          <xdr:colOff>0</xdr:colOff>
          <xdr:row>1819</xdr:row>
          <xdr:rowOff>165100</xdr:rowOff>
        </xdr:to>
        <xdr:sp macro="" textlink="">
          <xdr:nvSpPr>
            <xdr:cNvPr id="13623" name="Button 2359" hidden="1">
              <a:extLst>
                <a:ext uri="{63B3BB69-23CF-44E3-9099-C40C66FF867C}">
                  <a14:compatExt spid="_x0000_s13623"/>
                </a:ext>
                <a:ext uri="{FF2B5EF4-FFF2-40B4-BE49-F238E27FC236}">
                  <a16:creationId xmlns:a16="http://schemas.microsoft.com/office/drawing/2014/main" id="{00000000-0008-0000-0100-00003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1820</xdr:row>
          <xdr:rowOff>0</xdr:rowOff>
        </xdr:from>
        <xdr:to>
          <xdr:col>7</xdr:col>
          <xdr:colOff>0</xdr:colOff>
          <xdr:row>1820</xdr:row>
          <xdr:rowOff>165100</xdr:rowOff>
        </xdr:to>
        <xdr:sp macro="" textlink="">
          <xdr:nvSpPr>
            <xdr:cNvPr id="13622" name="Button 2358" hidden="1">
              <a:extLst>
                <a:ext uri="{63B3BB69-23CF-44E3-9099-C40C66FF867C}">
                  <a14:compatExt spid="_x0000_s13622"/>
                </a:ext>
                <a:ext uri="{FF2B5EF4-FFF2-40B4-BE49-F238E27FC236}">
                  <a16:creationId xmlns:a16="http://schemas.microsoft.com/office/drawing/2014/main" id="{00000000-0008-0000-0100-00003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1821</xdr:row>
          <xdr:rowOff>0</xdr:rowOff>
        </xdr:from>
        <xdr:to>
          <xdr:col>7</xdr:col>
          <xdr:colOff>0</xdr:colOff>
          <xdr:row>1821</xdr:row>
          <xdr:rowOff>165100</xdr:rowOff>
        </xdr:to>
        <xdr:sp macro="" textlink="">
          <xdr:nvSpPr>
            <xdr:cNvPr id="13621" name="Button 2357" hidden="1">
              <a:extLst>
                <a:ext uri="{63B3BB69-23CF-44E3-9099-C40C66FF867C}">
                  <a14:compatExt spid="_x0000_s13621"/>
                </a:ext>
                <a:ext uri="{FF2B5EF4-FFF2-40B4-BE49-F238E27FC236}">
                  <a16:creationId xmlns:a16="http://schemas.microsoft.com/office/drawing/2014/main" id="{00000000-0008-0000-0100-00003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1822</xdr:row>
          <xdr:rowOff>0</xdr:rowOff>
        </xdr:from>
        <xdr:to>
          <xdr:col>7</xdr:col>
          <xdr:colOff>0</xdr:colOff>
          <xdr:row>1822</xdr:row>
          <xdr:rowOff>165100</xdr:rowOff>
        </xdr:to>
        <xdr:sp macro="" textlink="">
          <xdr:nvSpPr>
            <xdr:cNvPr id="13620" name="Button 2356" hidden="1">
              <a:extLst>
                <a:ext uri="{63B3BB69-23CF-44E3-9099-C40C66FF867C}">
                  <a14:compatExt spid="_x0000_s13620"/>
                </a:ext>
                <a:ext uri="{FF2B5EF4-FFF2-40B4-BE49-F238E27FC236}">
                  <a16:creationId xmlns:a16="http://schemas.microsoft.com/office/drawing/2014/main" id="{00000000-0008-0000-0100-00003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1823</xdr:row>
          <xdr:rowOff>0</xdr:rowOff>
        </xdr:from>
        <xdr:to>
          <xdr:col>7</xdr:col>
          <xdr:colOff>0</xdr:colOff>
          <xdr:row>1823</xdr:row>
          <xdr:rowOff>165100</xdr:rowOff>
        </xdr:to>
        <xdr:sp macro="" textlink="">
          <xdr:nvSpPr>
            <xdr:cNvPr id="13619" name="Button 2355" hidden="1">
              <a:extLst>
                <a:ext uri="{63B3BB69-23CF-44E3-9099-C40C66FF867C}">
                  <a14:compatExt spid="_x0000_s13619"/>
                </a:ext>
                <a:ext uri="{FF2B5EF4-FFF2-40B4-BE49-F238E27FC236}">
                  <a16:creationId xmlns:a16="http://schemas.microsoft.com/office/drawing/2014/main" id="{00000000-0008-0000-0100-00003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1824</xdr:row>
          <xdr:rowOff>0</xdr:rowOff>
        </xdr:from>
        <xdr:to>
          <xdr:col>7</xdr:col>
          <xdr:colOff>0</xdr:colOff>
          <xdr:row>1824</xdr:row>
          <xdr:rowOff>165100</xdr:rowOff>
        </xdr:to>
        <xdr:sp macro="" textlink="">
          <xdr:nvSpPr>
            <xdr:cNvPr id="13618" name="Button 2354" hidden="1">
              <a:extLst>
                <a:ext uri="{63B3BB69-23CF-44E3-9099-C40C66FF867C}">
                  <a14:compatExt spid="_x0000_s13618"/>
                </a:ext>
                <a:ext uri="{FF2B5EF4-FFF2-40B4-BE49-F238E27FC236}">
                  <a16:creationId xmlns:a16="http://schemas.microsoft.com/office/drawing/2014/main" id="{00000000-0008-0000-0100-00003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1827</xdr:row>
          <xdr:rowOff>0</xdr:rowOff>
        </xdr:from>
        <xdr:to>
          <xdr:col>7</xdr:col>
          <xdr:colOff>0</xdr:colOff>
          <xdr:row>1828</xdr:row>
          <xdr:rowOff>0</xdr:rowOff>
        </xdr:to>
        <xdr:sp macro="" textlink="">
          <xdr:nvSpPr>
            <xdr:cNvPr id="13617" name="Button 2353" hidden="1">
              <a:extLst>
                <a:ext uri="{63B3BB69-23CF-44E3-9099-C40C66FF867C}">
                  <a14:compatExt spid="_x0000_s13617"/>
                </a:ext>
                <a:ext uri="{FF2B5EF4-FFF2-40B4-BE49-F238E27FC236}">
                  <a16:creationId xmlns:a16="http://schemas.microsoft.com/office/drawing/2014/main" id="{00000000-0008-0000-0100-00003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1834</xdr:row>
          <xdr:rowOff>0</xdr:rowOff>
        </xdr:from>
        <xdr:to>
          <xdr:col>7</xdr:col>
          <xdr:colOff>0</xdr:colOff>
          <xdr:row>1834</xdr:row>
          <xdr:rowOff>171450</xdr:rowOff>
        </xdr:to>
        <xdr:sp macro="" textlink="">
          <xdr:nvSpPr>
            <xdr:cNvPr id="13616" name="Button 2352" hidden="1">
              <a:extLst>
                <a:ext uri="{63B3BB69-23CF-44E3-9099-C40C66FF867C}">
                  <a14:compatExt spid="_x0000_s13616"/>
                </a:ext>
                <a:ext uri="{FF2B5EF4-FFF2-40B4-BE49-F238E27FC236}">
                  <a16:creationId xmlns:a16="http://schemas.microsoft.com/office/drawing/2014/main" id="{00000000-0008-0000-0100-00003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1835</xdr:row>
          <xdr:rowOff>0</xdr:rowOff>
        </xdr:from>
        <xdr:to>
          <xdr:col>7</xdr:col>
          <xdr:colOff>0</xdr:colOff>
          <xdr:row>1835</xdr:row>
          <xdr:rowOff>165100</xdr:rowOff>
        </xdr:to>
        <xdr:sp macro="" textlink="">
          <xdr:nvSpPr>
            <xdr:cNvPr id="13615" name="Button 2351" hidden="1">
              <a:extLst>
                <a:ext uri="{63B3BB69-23CF-44E3-9099-C40C66FF867C}">
                  <a14:compatExt spid="_x0000_s13615"/>
                </a:ext>
                <a:ext uri="{FF2B5EF4-FFF2-40B4-BE49-F238E27FC236}">
                  <a16:creationId xmlns:a16="http://schemas.microsoft.com/office/drawing/2014/main" id="{00000000-0008-0000-0100-00002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1836</xdr:row>
          <xdr:rowOff>0</xdr:rowOff>
        </xdr:from>
        <xdr:to>
          <xdr:col>7</xdr:col>
          <xdr:colOff>0</xdr:colOff>
          <xdr:row>1836</xdr:row>
          <xdr:rowOff>165100</xdr:rowOff>
        </xdr:to>
        <xdr:sp macro="" textlink="">
          <xdr:nvSpPr>
            <xdr:cNvPr id="13614" name="Button 2350" hidden="1">
              <a:extLst>
                <a:ext uri="{63B3BB69-23CF-44E3-9099-C40C66FF867C}">
                  <a14:compatExt spid="_x0000_s13614"/>
                </a:ext>
                <a:ext uri="{FF2B5EF4-FFF2-40B4-BE49-F238E27FC236}">
                  <a16:creationId xmlns:a16="http://schemas.microsoft.com/office/drawing/2014/main" id="{00000000-0008-0000-0100-00002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1837</xdr:row>
          <xdr:rowOff>0</xdr:rowOff>
        </xdr:from>
        <xdr:to>
          <xdr:col>7</xdr:col>
          <xdr:colOff>0</xdr:colOff>
          <xdr:row>1837</xdr:row>
          <xdr:rowOff>165100</xdr:rowOff>
        </xdr:to>
        <xdr:sp macro="" textlink="">
          <xdr:nvSpPr>
            <xdr:cNvPr id="13613" name="Button 2349" hidden="1">
              <a:extLst>
                <a:ext uri="{63B3BB69-23CF-44E3-9099-C40C66FF867C}">
                  <a14:compatExt spid="_x0000_s13613"/>
                </a:ext>
                <a:ext uri="{FF2B5EF4-FFF2-40B4-BE49-F238E27FC236}">
                  <a16:creationId xmlns:a16="http://schemas.microsoft.com/office/drawing/2014/main" id="{00000000-0008-0000-0100-00002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1838</xdr:row>
          <xdr:rowOff>0</xdr:rowOff>
        </xdr:from>
        <xdr:to>
          <xdr:col>7</xdr:col>
          <xdr:colOff>0</xdr:colOff>
          <xdr:row>1838</xdr:row>
          <xdr:rowOff>165100</xdr:rowOff>
        </xdr:to>
        <xdr:sp macro="" textlink="">
          <xdr:nvSpPr>
            <xdr:cNvPr id="13612" name="Button 2348" hidden="1">
              <a:extLst>
                <a:ext uri="{63B3BB69-23CF-44E3-9099-C40C66FF867C}">
                  <a14:compatExt spid="_x0000_s13612"/>
                </a:ext>
                <a:ext uri="{FF2B5EF4-FFF2-40B4-BE49-F238E27FC236}">
                  <a16:creationId xmlns:a16="http://schemas.microsoft.com/office/drawing/2014/main" id="{00000000-0008-0000-0100-00002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1839</xdr:row>
          <xdr:rowOff>0</xdr:rowOff>
        </xdr:from>
        <xdr:to>
          <xdr:col>7</xdr:col>
          <xdr:colOff>0</xdr:colOff>
          <xdr:row>1839</xdr:row>
          <xdr:rowOff>165100</xdr:rowOff>
        </xdr:to>
        <xdr:sp macro="" textlink="">
          <xdr:nvSpPr>
            <xdr:cNvPr id="13611" name="Button 2347" hidden="1">
              <a:extLst>
                <a:ext uri="{63B3BB69-23CF-44E3-9099-C40C66FF867C}">
                  <a14:compatExt spid="_x0000_s13611"/>
                </a:ext>
                <a:ext uri="{FF2B5EF4-FFF2-40B4-BE49-F238E27FC236}">
                  <a16:creationId xmlns:a16="http://schemas.microsoft.com/office/drawing/2014/main" id="{00000000-0008-0000-0100-00002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1840</xdr:row>
          <xdr:rowOff>0</xdr:rowOff>
        </xdr:from>
        <xdr:to>
          <xdr:col>7</xdr:col>
          <xdr:colOff>0</xdr:colOff>
          <xdr:row>1840</xdr:row>
          <xdr:rowOff>165100</xdr:rowOff>
        </xdr:to>
        <xdr:sp macro="" textlink="">
          <xdr:nvSpPr>
            <xdr:cNvPr id="13610" name="Button 2346" hidden="1">
              <a:extLst>
                <a:ext uri="{63B3BB69-23CF-44E3-9099-C40C66FF867C}">
                  <a14:compatExt spid="_x0000_s13610"/>
                </a:ext>
                <a:ext uri="{FF2B5EF4-FFF2-40B4-BE49-F238E27FC236}">
                  <a16:creationId xmlns:a16="http://schemas.microsoft.com/office/drawing/2014/main" id="{00000000-0008-0000-0100-00002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1841</xdr:row>
          <xdr:rowOff>0</xdr:rowOff>
        </xdr:from>
        <xdr:to>
          <xdr:col>7</xdr:col>
          <xdr:colOff>0</xdr:colOff>
          <xdr:row>1841</xdr:row>
          <xdr:rowOff>165100</xdr:rowOff>
        </xdr:to>
        <xdr:sp macro="" textlink="">
          <xdr:nvSpPr>
            <xdr:cNvPr id="13609" name="Button 2345" hidden="1">
              <a:extLst>
                <a:ext uri="{63B3BB69-23CF-44E3-9099-C40C66FF867C}">
                  <a14:compatExt spid="_x0000_s13609"/>
                </a:ext>
                <a:ext uri="{FF2B5EF4-FFF2-40B4-BE49-F238E27FC236}">
                  <a16:creationId xmlns:a16="http://schemas.microsoft.com/office/drawing/2014/main" id="{00000000-0008-0000-0100-000029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1842</xdr:row>
          <xdr:rowOff>0</xdr:rowOff>
        </xdr:from>
        <xdr:to>
          <xdr:col>7</xdr:col>
          <xdr:colOff>0</xdr:colOff>
          <xdr:row>1842</xdr:row>
          <xdr:rowOff>165100</xdr:rowOff>
        </xdr:to>
        <xdr:sp macro="" textlink="">
          <xdr:nvSpPr>
            <xdr:cNvPr id="13608" name="Button 2344" hidden="1">
              <a:extLst>
                <a:ext uri="{63B3BB69-23CF-44E3-9099-C40C66FF867C}">
                  <a14:compatExt spid="_x0000_s13608"/>
                </a:ext>
                <a:ext uri="{FF2B5EF4-FFF2-40B4-BE49-F238E27FC236}">
                  <a16:creationId xmlns:a16="http://schemas.microsoft.com/office/drawing/2014/main" id="{00000000-0008-0000-0100-00002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1843</xdr:row>
          <xdr:rowOff>0</xdr:rowOff>
        </xdr:from>
        <xdr:to>
          <xdr:col>7</xdr:col>
          <xdr:colOff>0</xdr:colOff>
          <xdr:row>1843</xdr:row>
          <xdr:rowOff>165100</xdr:rowOff>
        </xdr:to>
        <xdr:sp macro="" textlink="">
          <xdr:nvSpPr>
            <xdr:cNvPr id="13607" name="Button 2343" hidden="1">
              <a:extLst>
                <a:ext uri="{63B3BB69-23CF-44E3-9099-C40C66FF867C}">
                  <a14:compatExt spid="_x0000_s13607"/>
                </a:ext>
                <a:ext uri="{FF2B5EF4-FFF2-40B4-BE49-F238E27FC236}">
                  <a16:creationId xmlns:a16="http://schemas.microsoft.com/office/drawing/2014/main" id="{00000000-0008-0000-0100-00002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1844</xdr:row>
          <xdr:rowOff>0</xdr:rowOff>
        </xdr:from>
        <xdr:to>
          <xdr:col>7</xdr:col>
          <xdr:colOff>0</xdr:colOff>
          <xdr:row>1844</xdr:row>
          <xdr:rowOff>165100</xdr:rowOff>
        </xdr:to>
        <xdr:sp macro="" textlink="">
          <xdr:nvSpPr>
            <xdr:cNvPr id="13606" name="Button 2342" hidden="1">
              <a:extLst>
                <a:ext uri="{63B3BB69-23CF-44E3-9099-C40C66FF867C}">
                  <a14:compatExt spid="_x0000_s13606"/>
                </a:ext>
                <a:ext uri="{FF2B5EF4-FFF2-40B4-BE49-F238E27FC236}">
                  <a16:creationId xmlns:a16="http://schemas.microsoft.com/office/drawing/2014/main" id="{00000000-0008-0000-0100-00002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1845</xdr:row>
          <xdr:rowOff>0</xdr:rowOff>
        </xdr:from>
        <xdr:to>
          <xdr:col>7</xdr:col>
          <xdr:colOff>0</xdr:colOff>
          <xdr:row>1845</xdr:row>
          <xdr:rowOff>165100</xdr:rowOff>
        </xdr:to>
        <xdr:sp macro="" textlink="">
          <xdr:nvSpPr>
            <xdr:cNvPr id="13605" name="Button 2341" hidden="1">
              <a:extLst>
                <a:ext uri="{63B3BB69-23CF-44E3-9099-C40C66FF867C}">
                  <a14:compatExt spid="_x0000_s13605"/>
                </a:ext>
                <a:ext uri="{FF2B5EF4-FFF2-40B4-BE49-F238E27FC236}">
                  <a16:creationId xmlns:a16="http://schemas.microsoft.com/office/drawing/2014/main" id="{00000000-0008-0000-0100-00002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1846</xdr:row>
          <xdr:rowOff>0</xdr:rowOff>
        </xdr:from>
        <xdr:to>
          <xdr:col>7</xdr:col>
          <xdr:colOff>0</xdr:colOff>
          <xdr:row>1846</xdr:row>
          <xdr:rowOff>165100</xdr:rowOff>
        </xdr:to>
        <xdr:sp macro="" textlink="">
          <xdr:nvSpPr>
            <xdr:cNvPr id="13604" name="Button 2340" hidden="1">
              <a:extLst>
                <a:ext uri="{63B3BB69-23CF-44E3-9099-C40C66FF867C}">
                  <a14:compatExt spid="_x0000_s13604"/>
                </a:ext>
                <a:ext uri="{FF2B5EF4-FFF2-40B4-BE49-F238E27FC236}">
                  <a16:creationId xmlns:a16="http://schemas.microsoft.com/office/drawing/2014/main" id="{00000000-0008-0000-0100-00002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1847</xdr:row>
          <xdr:rowOff>0</xdr:rowOff>
        </xdr:from>
        <xdr:to>
          <xdr:col>7</xdr:col>
          <xdr:colOff>0</xdr:colOff>
          <xdr:row>1847</xdr:row>
          <xdr:rowOff>165100</xdr:rowOff>
        </xdr:to>
        <xdr:sp macro="" textlink="">
          <xdr:nvSpPr>
            <xdr:cNvPr id="13603" name="Button 2339" hidden="1">
              <a:extLst>
                <a:ext uri="{63B3BB69-23CF-44E3-9099-C40C66FF867C}">
                  <a14:compatExt spid="_x0000_s13603"/>
                </a:ext>
                <a:ext uri="{FF2B5EF4-FFF2-40B4-BE49-F238E27FC236}">
                  <a16:creationId xmlns:a16="http://schemas.microsoft.com/office/drawing/2014/main" id="{00000000-0008-0000-0100-00002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1848</xdr:row>
          <xdr:rowOff>0</xdr:rowOff>
        </xdr:from>
        <xdr:to>
          <xdr:col>7</xdr:col>
          <xdr:colOff>0</xdr:colOff>
          <xdr:row>1848</xdr:row>
          <xdr:rowOff>165100</xdr:rowOff>
        </xdr:to>
        <xdr:sp macro="" textlink="">
          <xdr:nvSpPr>
            <xdr:cNvPr id="13602" name="Button 2338" hidden="1">
              <a:extLst>
                <a:ext uri="{63B3BB69-23CF-44E3-9099-C40C66FF867C}">
                  <a14:compatExt spid="_x0000_s13602"/>
                </a:ext>
                <a:ext uri="{FF2B5EF4-FFF2-40B4-BE49-F238E27FC236}">
                  <a16:creationId xmlns:a16="http://schemas.microsoft.com/office/drawing/2014/main" id="{00000000-0008-0000-0100-00002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1849</xdr:row>
          <xdr:rowOff>0</xdr:rowOff>
        </xdr:from>
        <xdr:to>
          <xdr:col>7</xdr:col>
          <xdr:colOff>0</xdr:colOff>
          <xdr:row>1849</xdr:row>
          <xdr:rowOff>165100</xdr:rowOff>
        </xdr:to>
        <xdr:sp macro="" textlink="">
          <xdr:nvSpPr>
            <xdr:cNvPr id="13601" name="Button 2337" hidden="1">
              <a:extLst>
                <a:ext uri="{63B3BB69-23CF-44E3-9099-C40C66FF867C}">
                  <a14:compatExt spid="_x0000_s13601"/>
                </a:ext>
                <a:ext uri="{FF2B5EF4-FFF2-40B4-BE49-F238E27FC236}">
                  <a16:creationId xmlns:a16="http://schemas.microsoft.com/office/drawing/2014/main" id="{00000000-0008-0000-0100-00002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1850</xdr:row>
          <xdr:rowOff>0</xdr:rowOff>
        </xdr:from>
        <xdr:to>
          <xdr:col>7</xdr:col>
          <xdr:colOff>0</xdr:colOff>
          <xdr:row>1850</xdr:row>
          <xdr:rowOff>165100</xdr:rowOff>
        </xdr:to>
        <xdr:sp macro="" textlink="">
          <xdr:nvSpPr>
            <xdr:cNvPr id="13600" name="Button 2336" hidden="1">
              <a:extLst>
                <a:ext uri="{63B3BB69-23CF-44E3-9099-C40C66FF867C}">
                  <a14:compatExt spid="_x0000_s13600"/>
                </a:ext>
                <a:ext uri="{FF2B5EF4-FFF2-40B4-BE49-F238E27FC236}">
                  <a16:creationId xmlns:a16="http://schemas.microsoft.com/office/drawing/2014/main" id="{00000000-0008-0000-0100-00002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1851</xdr:row>
          <xdr:rowOff>0</xdr:rowOff>
        </xdr:from>
        <xdr:to>
          <xdr:col>7</xdr:col>
          <xdr:colOff>0</xdr:colOff>
          <xdr:row>1851</xdr:row>
          <xdr:rowOff>165100</xdr:rowOff>
        </xdr:to>
        <xdr:sp macro="" textlink="">
          <xdr:nvSpPr>
            <xdr:cNvPr id="13599" name="Button 2335" hidden="1">
              <a:extLst>
                <a:ext uri="{63B3BB69-23CF-44E3-9099-C40C66FF867C}">
                  <a14:compatExt spid="_x0000_s13599"/>
                </a:ext>
                <a:ext uri="{FF2B5EF4-FFF2-40B4-BE49-F238E27FC236}">
                  <a16:creationId xmlns:a16="http://schemas.microsoft.com/office/drawing/2014/main" id="{00000000-0008-0000-0100-00001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1852</xdr:row>
          <xdr:rowOff>0</xdr:rowOff>
        </xdr:from>
        <xdr:to>
          <xdr:col>7</xdr:col>
          <xdr:colOff>0</xdr:colOff>
          <xdr:row>1852</xdr:row>
          <xdr:rowOff>165100</xdr:rowOff>
        </xdr:to>
        <xdr:sp macro="" textlink="">
          <xdr:nvSpPr>
            <xdr:cNvPr id="13598" name="Button 2334" hidden="1">
              <a:extLst>
                <a:ext uri="{63B3BB69-23CF-44E3-9099-C40C66FF867C}">
                  <a14:compatExt spid="_x0000_s13598"/>
                </a:ext>
                <a:ext uri="{FF2B5EF4-FFF2-40B4-BE49-F238E27FC236}">
                  <a16:creationId xmlns:a16="http://schemas.microsoft.com/office/drawing/2014/main" id="{00000000-0008-0000-0100-00001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1853</xdr:row>
          <xdr:rowOff>0</xdr:rowOff>
        </xdr:from>
        <xdr:to>
          <xdr:col>7</xdr:col>
          <xdr:colOff>0</xdr:colOff>
          <xdr:row>1853</xdr:row>
          <xdr:rowOff>165100</xdr:rowOff>
        </xdr:to>
        <xdr:sp macro="" textlink="">
          <xdr:nvSpPr>
            <xdr:cNvPr id="13597" name="Button 2333" hidden="1">
              <a:extLst>
                <a:ext uri="{63B3BB69-23CF-44E3-9099-C40C66FF867C}">
                  <a14:compatExt spid="_x0000_s13597"/>
                </a:ext>
                <a:ext uri="{FF2B5EF4-FFF2-40B4-BE49-F238E27FC236}">
                  <a16:creationId xmlns:a16="http://schemas.microsoft.com/office/drawing/2014/main" id="{00000000-0008-0000-0100-00001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1854</xdr:row>
          <xdr:rowOff>0</xdr:rowOff>
        </xdr:from>
        <xdr:to>
          <xdr:col>7</xdr:col>
          <xdr:colOff>0</xdr:colOff>
          <xdr:row>1854</xdr:row>
          <xdr:rowOff>165100</xdr:rowOff>
        </xdr:to>
        <xdr:sp macro="" textlink="">
          <xdr:nvSpPr>
            <xdr:cNvPr id="13596" name="Button 2332" hidden="1">
              <a:extLst>
                <a:ext uri="{63B3BB69-23CF-44E3-9099-C40C66FF867C}">
                  <a14:compatExt spid="_x0000_s13596"/>
                </a:ext>
                <a:ext uri="{FF2B5EF4-FFF2-40B4-BE49-F238E27FC236}">
                  <a16:creationId xmlns:a16="http://schemas.microsoft.com/office/drawing/2014/main" id="{00000000-0008-0000-0100-00001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1855</xdr:row>
          <xdr:rowOff>0</xdr:rowOff>
        </xdr:from>
        <xdr:to>
          <xdr:col>7</xdr:col>
          <xdr:colOff>0</xdr:colOff>
          <xdr:row>1855</xdr:row>
          <xdr:rowOff>165100</xdr:rowOff>
        </xdr:to>
        <xdr:sp macro="" textlink="">
          <xdr:nvSpPr>
            <xdr:cNvPr id="13595" name="Button 2331" hidden="1">
              <a:extLst>
                <a:ext uri="{63B3BB69-23CF-44E3-9099-C40C66FF867C}">
                  <a14:compatExt spid="_x0000_s13595"/>
                </a:ext>
                <a:ext uri="{FF2B5EF4-FFF2-40B4-BE49-F238E27FC236}">
                  <a16:creationId xmlns:a16="http://schemas.microsoft.com/office/drawing/2014/main" id="{00000000-0008-0000-0100-00001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1856</xdr:row>
          <xdr:rowOff>0</xdr:rowOff>
        </xdr:from>
        <xdr:to>
          <xdr:col>7</xdr:col>
          <xdr:colOff>0</xdr:colOff>
          <xdr:row>1856</xdr:row>
          <xdr:rowOff>165100</xdr:rowOff>
        </xdr:to>
        <xdr:sp macro="" textlink="">
          <xdr:nvSpPr>
            <xdr:cNvPr id="13594" name="Button 2330" hidden="1">
              <a:extLst>
                <a:ext uri="{63B3BB69-23CF-44E3-9099-C40C66FF867C}">
                  <a14:compatExt spid="_x0000_s13594"/>
                </a:ext>
                <a:ext uri="{FF2B5EF4-FFF2-40B4-BE49-F238E27FC236}">
                  <a16:creationId xmlns:a16="http://schemas.microsoft.com/office/drawing/2014/main" id="{00000000-0008-0000-0100-00001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1857</xdr:row>
          <xdr:rowOff>0</xdr:rowOff>
        </xdr:from>
        <xdr:to>
          <xdr:col>7</xdr:col>
          <xdr:colOff>0</xdr:colOff>
          <xdr:row>1857</xdr:row>
          <xdr:rowOff>165100</xdr:rowOff>
        </xdr:to>
        <xdr:sp macro="" textlink="">
          <xdr:nvSpPr>
            <xdr:cNvPr id="13593" name="Button 2329" hidden="1">
              <a:extLst>
                <a:ext uri="{63B3BB69-23CF-44E3-9099-C40C66FF867C}">
                  <a14:compatExt spid="_x0000_s13593"/>
                </a:ext>
                <a:ext uri="{FF2B5EF4-FFF2-40B4-BE49-F238E27FC236}">
                  <a16:creationId xmlns:a16="http://schemas.microsoft.com/office/drawing/2014/main" id="{00000000-0008-0000-0100-000019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1858</xdr:row>
          <xdr:rowOff>0</xdr:rowOff>
        </xdr:from>
        <xdr:to>
          <xdr:col>7</xdr:col>
          <xdr:colOff>0</xdr:colOff>
          <xdr:row>1858</xdr:row>
          <xdr:rowOff>165100</xdr:rowOff>
        </xdr:to>
        <xdr:sp macro="" textlink="">
          <xdr:nvSpPr>
            <xdr:cNvPr id="13592" name="Button 2328" hidden="1">
              <a:extLst>
                <a:ext uri="{63B3BB69-23CF-44E3-9099-C40C66FF867C}">
                  <a14:compatExt spid="_x0000_s13592"/>
                </a:ext>
                <a:ext uri="{FF2B5EF4-FFF2-40B4-BE49-F238E27FC236}">
                  <a16:creationId xmlns:a16="http://schemas.microsoft.com/office/drawing/2014/main" id="{00000000-0008-0000-0100-00001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1859</xdr:row>
          <xdr:rowOff>0</xdr:rowOff>
        </xdr:from>
        <xdr:to>
          <xdr:col>7</xdr:col>
          <xdr:colOff>0</xdr:colOff>
          <xdr:row>1859</xdr:row>
          <xdr:rowOff>165100</xdr:rowOff>
        </xdr:to>
        <xdr:sp macro="" textlink="">
          <xdr:nvSpPr>
            <xdr:cNvPr id="13591" name="Button 2327" hidden="1">
              <a:extLst>
                <a:ext uri="{63B3BB69-23CF-44E3-9099-C40C66FF867C}">
                  <a14:compatExt spid="_x0000_s13591"/>
                </a:ext>
                <a:ext uri="{FF2B5EF4-FFF2-40B4-BE49-F238E27FC236}">
                  <a16:creationId xmlns:a16="http://schemas.microsoft.com/office/drawing/2014/main" id="{00000000-0008-0000-0100-00001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1860</xdr:row>
          <xdr:rowOff>0</xdr:rowOff>
        </xdr:from>
        <xdr:to>
          <xdr:col>7</xdr:col>
          <xdr:colOff>0</xdr:colOff>
          <xdr:row>1860</xdr:row>
          <xdr:rowOff>165100</xdr:rowOff>
        </xdr:to>
        <xdr:sp macro="" textlink="">
          <xdr:nvSpPr>
            <xdr:cNvPr id="13590" name="Button 2326" hidden="1">
              <a:extLst>
                <a:ext uri="{63B3BB69-23CF-44E3-9099-C40C66FF867C}">
                  <a14:compatExt spid="_x0000_s13590"/>
                </a:ext>
                <a:ext uri="{FF2B5EF4-FFF2-40B4-BE49-F238E27FC236}">
                  <a16:creationId xmlns:a16="http://schemas.microsoft.com/office/drawing/2014/main" id="{00000000-0008-0000-0100-00001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1861</xdr:row>
          <xdr:rowOff>0</xdr:rowOff>
        </xdr:from>
        <xdr:to>
          <xdr:col>7</xdr:col>
          <xdr:colOff>0</xdr:colOff>
          <xdr:row>1861</xdr:row>
          <xdr:rowOff>165100</xdr:rowOff>
        </xdr:to>
        <xdr:sp macro="" textlink="">
          <xdr:nvSpPr>
            <xdr:cNvPr id="13589" name="Button 2325" hidden="1">
              <a:extLst>
                <a:ext uri="{63B3BB69-23CF-44E3-9099-C40C66FF867C}">
                  <a14:compatExt spid="_x0000_s13589"/>
                </a:ext>
                <a:ext uri="{FF2B5EF4-FFF2-40B4-BE49-F238E27FC236}">
                  <a16:creationId xmlns:a16="http://schemas.microsoft.com/office/drawing/2014/main" id="{00000000-0008-0000-0100-00001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1862</xdr:row>
          <xdr:rowOff>0</xdr:rowOff>
        </xdr:from>
        <xdr:to>
          <xdr:col>7</xdr:col>
          <xdr:colOff>0</xdr:colOff>
          <xdr:row>1862</xdr:row>
          <xdr:rowOff>165100</xdr:rowOff>
        </xdr:to>
        <xdr:sp macro="" textlink="">
          <xdr:nvSpPr>
            <xdr:cNvPr id="13588" name="Button 2324" hidden="1">
              <a:extLst>
                <a:ext uri="{63B3BB69-23CF-44E3-9099-C40C66FF867C}">
                  <a14:compatExt spid="_x0000_s13588"/>
                </a:ext>
                <a:ext uri="{FF2B5EF4-FFF2-40B4-BE49-F238E27FC236}">
                  <a16:creationId xmlns:a16="http://schemas.microsoft.com/office/drawing/2014/main" id="{00000000-0008-0000-0100-00001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1863</xdr:row>
          <xdr:rowOff>0</xdr:rowOff>
        </xdr:from>
        <xdr:to>
          <xdr:col>7</xdr:col>
          <xdr:colOff>0</xdr:colOff>
          <xdr:row>1863</xdr:row>
          <xdr:rowOff>165100</xdr:rowOff>
        </xdr:to>
        <xdr:sp macro="" textlink="">
          <xdr:nvSpPr>
            <xdr:cNvPr id="13587" name="Button 2323" hidden="1">
              <a:extLst>
                <a:ext uri="{63B3BB69-23CF-44E3-9099-C40C66FF867C}">
                  <a14:compatExt spid="_x0000_s13587"/>
                </a:ext>
                <a:ext uri="{FF2B5EF4-FFF2-40B4-BE49-F238E27FC236}">
                  <a16:creationId xmlns:a16="http://schemas.microsoft.com/office/drawing/2014/main" id="{00000000-0008-0000-0100-00001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1864</xdr:row>
          <xdr:rowOff>0</xdr:rowOff>
        </xdr:from>
        <xdr:to>
          <xdr:col>7</xdr:col>
          <xdr:colOff>0</xdr:colOff>
          <xdr:row>1864</xdr:row>
          <xdr:rowOff>165100</xdr:rowOff>
        </xdr:to>
        <xdr:sp macro="" textlink="">
          <xdr:nvSpPr>
            <xdr:cNvPr id="13586" name="Button 2322" hidden="1">
              <a:extLst>
                <a:ext uri="{63B3BB69-23CF-44E3-9099-C40C66FF867C}">
                  <a14:compatExt spid="_x0000_s13586"/>
                </a:ext>
                <a:ext uri="{FF2B5EF4-FFF2-40B4-BE49-F238E27FC236}">
                  <a16:creationId xmlns:a16="http://schemas.microsoft.com/office/drawing/2014/main" id="{00000000-0008-0000-0100-00001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1865</xdr:row>
          <xdr:rowOff>0</xdr:rowOff>
        </xdr:from>
        <xdr:to>
          <xdr:col>7</xdr:col>
          <xdr:colOff>0</xdr:colOff>
          <xdr:row>1865</xdr:row>
          <xdr:rowOff>165100</xdr:rowOff>
        </xdr:to>
        <xdr:sp macro="" textlink="">
          <xdr:nvSpPr>
            <xdr:cNvPr id="13585" name="Button 2321" hidden="1">
              <a:extLst>
                <a:ext uri="{63B3BB69-23CF-44E3-9099-C40C66FF867C}">
                  <a14:compatExt spid="_x0000_s13585"/>
                </a:ext>
                <a:ext uri="{FF2B5EF4-FFF2-40B4-BE49-F238E27FC236}">
                  <a16:creationId xmlns:a16="http://schemas.microsoft.com/office/drawing/2014/main" id="{00000000-0008-0000-0100-00001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1866</xdr:row>
          <xdr:rowOff>0</xdr:rowOff>
        </xdr:from>
        <xdr:to>
          <xdr:col>7</xdr:col>
          <xdr:colOff>0</xdr:colOff>
          <xdr:row>1866</xdr:row>
          <xdr:rowOff>165100</xdr:rowOff>
        </xdr:to>
        <xdr:sp macro="" textlink="">
          <xdr:nvSpPr>
            <xdr:cNvPr id="13584" name="Button 2320" hidden="1">
              <a:extLst>
                <a:ext uri="{63B3BB69-23CF-44E3-9099-C40C66FF867C}">
                  <a14:compatExt spid="_x0000_s13584"/>
                </a:ext>
                <a:ext uri="{FF2B5EF4-FFF2-40B4-BE49-F238E27FC236}">
                  <a16:creationId xmlns:a16="http://schemas.microsoft.com/office/drawing/2014/main" id="{00000000-0008-0000-0100-00001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1867</xdr:row>
          <xdr:rowOff>0</xdr:rowOff>
        </xdr:from>
        <xdr:to>
          <xdr:col>7</xdr:col>
          <xdr:colOff>0</xdr:colOff>
          <xdr:row>1867</xdr:row>
          <xdr:rowOff>165100</xdr:rowOff>
        </xdr:to>
        <xdr:sp macro="" textlink="">
          <xdr:nvSpPr>
            <xdr:cNvPr id="13583" name="Button 2319" hidden="1">
              <a:extLst>
                <a:ext uri="{63B3BB69-23CF-44E3-9099-C40C66FF867C}">
                  <a14:compatExt spid="_x0000_s13583"/>
                </a:ext>
                <a:ext uri="{FF2B5EF4-FFF2-40B4-BE49-F238E27FC236}">
                  <a16:creationId xmlns:a16="http://schemas.microsoft.com/office/drawing/2014/main" id="{00000000-0008-0000-0100-00000F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1868</xdr:row>
          <xdr:rowOff>0</xdr:rowOff>
        </xdr:from>
        <xdr:to>
          <xdr:col>7</xdr:col>
          <xdr:colOff>0</xdr:colOff>
          <xdr:row>1868</xdr:row>
          <xdr:rowOff>165100</xdr:rowOff>
        </xdr:to>
        <xdr:sp macro="" textlink="">
          <xdr:nvSpPr>
            <xdr:cNvPr id="13582" name="Button 2318" hidden="1">
              <a:extLst>
                <a:ext uri="{63B3BB69-23CF-44E3-9099-C40C66FF867C}">
                  <a14:compatExt spid="_x0000_s13582"/>
                </a:ext>
                <a:ext uri="{FF2B5EF4-FFF2-40B4-BE49-F238E27FC236}">
                  <a16:creationId xmlns:a16="http://schemas.microsoft.com/office/drawing/2014/main" id="{00000000-0008-0000-0100-00000E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1869</xdr:row>
          <xdr:rowOff>0</xdr:rowOff>
        </xdr:from>
        <xdr:to>
          <xdr:col>7</xdr:col>
          <xdr:colOff>0</xdr:colOff>
          <xdr:row>1869</xdr:row>
          <xdr:rowOff>165100</xdr:rowOff>
        </xdr:to>
        <xdr:sp macro="" textlink="">
          <xdr:nvSpPr>
            <xdr:cNvPr id="13581" name="Button 2317" hidden="1">
              <a:extLst>
                <a:ext uri="{63B3BB69-23CF-44E3-9099-C40C66FF867C}">
                  <a14:compatExt spid="_x0000_s13581"/>
                </a:ext>
                <a:ext uri="{FF2B5EF4-FFF2-40B4-BE49-F238E27FC236}">
                  <a16:creationId xmlns:a16="http://schemas.microsoft.com/office/drawing/2014/main" id="{00000000-0008-0000-0100-00000D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1870</xdr:row>
          <xdr:rowOff>0</xdr:rowOff>
        </xdr:from>
        <xdr:to>
          <xdr:col>7</xdr:col>
          <xdr:colOff>0</xdr:colOff>
          <xdr:row>1870</xdr:row>
          <xdr:rowOff>165100</xdr:rowOff>
        </xdr:to>
        <xdr:sp macro="" textlink="">
          <xdr:nvSpPr>
            <xdr:cNvPr id="13580" name="Button 2316" hidden="1">
              <a:extLst>
                <a:ext uri="{63B3BB69-23CF-44E3-9099-C40C66FF867C}">
                  <a14:compatExt spid="_x0000_s13580"/>
                </a:ext>
                <a:ext uri="{FF2B5EF4-FFF2-40B4-BE49-F238E27FC236}">
                  <a16:creationId xmlns:a16="http://schemas.microsoft.com/office/drawing/2014/main" id="{00000000-0008-0000-0100-00000C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1871</xdr:row>
          <xdr:rowOff>0</xdr:rowOff>
        </xdr:from>
        <xdr:to>
          <xdr:col>7</xdr:col>
          <xdr:colOff>0</xdr:colOff>
          <xdr:row>1871</xdr:row>
          <xdr:rowOff>165100</xdr:rowOff>
        </xdr:to>
        <xdr:sp macro="" textlink="">
          <xdr:nvSpPr>
            <xdr:cNvPr id="13579" name="Button 2315" hidden="1">
              <a:extLst>
                <a:ext uri="{63B3BB69-23CF-44E3-9099-C40C66FF867C}">
                  <a14:compatExt spid="_x0000_s13579"/>
                </a:ext>
                <a:ext uri="{FF2B5EF4-FFF2-40B4-BE49-F238E27FC236}">
                  <a16:creationId xmlns:a16="http://schemas.microsoft.com/office/drawing/2014/main" id="{00000000-0008-0000-0100-00000B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1874</xdr:row>
          <xdr:rowOff>0</xdr:rowOff>
        </xdr:from>
        <xdr:to>
          <xdr:col>7</xdr:col>
          <xdr:colOff>0</xdr:colOff>
          <xdr:row>1875</xdr:row>
          <xdr:rowOff>0</xdr:rowOff>
        </xdr:to>
        <xdr:sp macro="" textlink="">
          <xdr:nvSpPr>
            <xdr:cNvPr id="13578" name="Button 2314" hidden="1">
              <a:extLst>
                <a:ext uri="{63B3BB69-23CF-44E3-9099-C40C66FF867C}">
                  <a14:compatExt spid="_x0000_s13578"/>
                </a:ext>
                <a:ext uri="{FF2B5EF4-FFF2-40B4-BE49-F238E27FC236}">
                  <a16:creationId xmlns:a16="http://schemas.microsoft.com/office/drawing/2014/main" id="{00000000-0008-0000-0100-00000A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1881</xdr:row>
          <xdr:rowOff>0</xdr:rowOff>
        </xdr:from>
        <xdr:to>
          <xdr:col>7</xdr:col>
          <xdr:colOff>0</xdr:colOff>
          <xdr:row>1881</xdr:row>
          <xdr:rowOff>171450</xdr:rowOff>
        </xdr:to>
        <xdr:sp macro="" textlink="">
          <xdr:nvSpPr>
            <xdr:cNvPr id="13577" name="Button 2313" hidden="1">
              <a:extLst>
                <a:ext uri="{63B3BB69-23CF-44E3-9099-C40C66FF867C}">
                  <a14:compatExt spid="_x0000_s13577"/>
                </a:ext>
                <a:ext uri="{FF2B5EF4-FFF2-40B4-BE49-F238E27FC236}">
                  <a16:creationId xmlns:a16="http://schemas.microsoft.com/office/drawing/2014/main" id="{00000000-0008-0000-0100-000009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1882</xdr:row>
          <xdr:rowOff>0</xdr:rowOff>
        </xdr:from>
        <xdr:to>
          <xdr:col>7</xdr:col>
          <xdr:colOff>0</xdr:colOff>
          <xdr:row>1882</xdr:row>
          <xdr:rowOff>165100</xdr:rowOff>
        </xdr:to>
        <xdr:sp macro="" textlink="">
          <xdr:nvSpPr>
            <xdr:cNvPr id="13576" name="Button 2312" hidden="1">
              <a:extLst>
                <a:ext uri="{63B3BB69-23CF-44E3-9099-C40C66FF867C}">
                  <a14:compatExt spid="_x0000_s13576"/>
                </a:ext>
                <a:ext uri="{FF2B5EF4-FFF2-40B4-BE49-F238E27FC236}">
                  <a16:creationId xmlns:a16="http://schemas.microsoft.com/office/drawing/2014/main" id="{00000000-0008-0000-0100-000008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1883</xdr:row>
          <xdr:rowOff>0</xdr:rowOff>
        </xdr:from>
        <xdr:to>
          <xdr:col>7</xdr:col>
          <xdr:colOff>0</xdr:colOff>
          <xdr:row>1883</xdr:row>
          <xdr:rowOff>165100</xdr:rowOff>
        </xdr:to>
        <xdr:sp macro="" textlink="">
          <xdr:nvSpPr>
            <xdr:cNvPr id="13575" name="Button 2311" hidden="1">
              <a:extLst>
                <a:ext uri="{63B3BB69-23CF-44E3-9099-C40C66FF867C}">
                  <a14:compatExt spid="_x0000_s13575"/>
                </a:ext>
                <a:ext uri="{FF2B5EF4-FFF2-40B4-BE49-F238E27FC236}">
                  <a16:creationId xmlns:a16="http://schemas.microsoft.com/office/drawing/2014/main" id="{00000000-0008-0000-0100-000007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1884</xdr:row>
          <xdr:rowOff>0</xdr:rowOff>
        </xdr:from>
        <xdr:to>
          <xdr:col>7</xdr:col>
          <xdr:colOff>0</xdr:colOff>
          <xdr:row>1884</xdr:row>
          <xdr:rowOff>165100</xdr:rowOff>
        </xdr:to>
        <xdr:sp macro="" textlink="">
          <xdr:nvSpPr>
            <xdr:cNvPr id="13574" name="Button 2310" hidden="1">
              <a:extLst>
                <a:ext uri="{63B3BB69-23CF-44E3-9099-C40C66FF867C}">
                  <a14:compatExt spid="_x0000_s13574"/>
                </a:ext>
                <a:ext uri="{FF2B5EF4-FFF2-40B4-BE49-F238E27FC236}">
                  <a16:creationId xmlns:a16="http://schemas.microsoft.com/office/drawing/2014/main" id="{00000000-0008-0000-0100-000006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1885</xdr:row>
          <xdr:rowOff>0</xdr:rowOff>
        </xdr:from>
        <xdr:to>
          <xdr:col>7</xdr:col>
          <xdr:colOff>0</xdr:colOff>
          <xdr:row>1885</xdr:row>
          <xdr:rowOff>165100</xdr:rowOff>
        </xdr:to>
        <xdr:sp macro="" textlink="">
          <xdr:nvSpPr>
            <xdr:cNvPr id="13573" name="Button 2309" hidden="1">
              <a:extLst>
                <a:ext uri="{63B3BB69-23CF-44E3-9099-C40C66FF867C}">
                  <a14:compatExt spid="_x0000_s13573"/>
                </a:ext>
                <a:ext uri="{FF2B5EF4-FFF2-40B4-BE49-F238E27FC236}">
                  <a16:creationId xmlns:a16="http://schemas.microsoft.com/office/drawing/2014/main" id="{00000000-0008-0000-0100-000005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1888</xdr:row>
          <xdr:rowOff>0</xdr:rowOff>
        </xdr:from>
        <xdr:to>
          <xdr:col>7</xdr:col>
          <xdr:colOff>0</xdr:colOff>
          <xdr:row>1889</xdr:row>
          <xdr:rowOff>0</xdr:rowOff>
        </xdr:to>
        <xdr:sp macro="" textlink="">
          <xdr:nvSpPr>
            <xdr:cNvPr id="13572" name="Button 2308" hidden="1">
              <a:extLst>
                <a:ext uri="{63B3BB69-23CF-44E3-9099-C40C66FF867C}">
                  <a14:compatExt spid="_x0000_s13572"/>
                </a:ext>
                <a:ext uri="{FF2B5EF4-FFF2-40B4-BE49-F238E27FC236}">
                  <a16:creationId xmlns:a16="http://schemas.microsoft.com/office/drawing/2014/main" id="{00000000-0008-0000-0100-000004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1895</xdr:row>
          <xdr:rowOff>0</xdr:rowOff>
        </xdr:from>
        <xdr:to>
          <xdr:col>7</xdr:col>
          <xdr:colOff>0</xdr:colOff>
          <xdr:row>1895</xdr:row>
          <xdr:rowOff>171450</xdr:rowOff>
        </xdr:to>
        <xdr:sp macro="" textlink="">
          <xdr:nvSpPr>
            <xdr:cNvPr id="13571" name="Button 2307" hidden="1">
              <a:extLst>
                <a:ext uri="{63B3BB69-23CF-44E3-9099-C40C66FF867C}">
                  <a14:compatExt spid="_x0000_s13571"/>
                </a:ext>
                <a:ext uri="{FF2B5EF4-FFF2-40B4-BE49-F238E27FC236}">
                  <a16:creationId xmlns:a16="http://schemas.microsoft.com/office/drawing/2014/main" id="{00000000-0008-0000-0100-000003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1896</xdr:row>
          <xdr:rowOff>0</xdr:rowOff>
        </xdr:from>
        <xdr:to>
          <xdr:col>7</xdr:col>
          <xdr:colOff>0</xdr:colOff>
          <xdr:row>1896</xdr:row>
          <xdr:rowOff>165100</xdr:rowOff>
        </xdr:to>
        <xdr:sp macro="" textlink="">
          <xdr:nvSpPr>
            <xdr:cNvPr id="13570" name="Button 2306" hidden="1">
              <a:extLst>
                <a:ext uri="{63B3BB69-23CF-44E3-9099-C40C66FF867C}">
                  <a14:compatExt spid="_x0000_s13570"/>
                </a:ext>
                <a:ext uri="{FF2B5EF4-FFF2-40B4-BE49-F238E27FC236}">
                  <a16:creationId xmlns:a16="http://schemas.microsoft.com/office/drawing/2014/main" id="{00000000-0008-0000-0100-000002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1899</xdr:row>
          <xdr:rowOff>0</xdr:rowOff>
        </xdr:from>
        <xdr:to>
          <xdr:col>7</xdr:col>
          <xdr:colOff>0</xdr:colOff>
          <xdr:row>1900</xdr:row>
          <xdr:rowOff>0</xdr:rowOff>
        </xdr:to>
        <xdr:sp macro="" textlink="">
          <xdr:nvSpPr>
            <xdr:cNvPr id="13569" name="Button 2305" hidden="1">
              <a:extLst>
                <a:ext uri="{63B3BB69-23CF-44E3-9099-C40C66FF867C}">
                  <a14:compatExt spid="_x0000_s13569"/>
                </a:ext>
                <a:ext uri="{FF2B5EF4-FFF2-40B4-BE49-F238E27FC236}">
                  <a16:creationId xmlns:a16="http://schemas.microsoft.com/office/drawing/2014/main" id="{00000000-0008-0000-0100-000001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1906</xdr:row>
          <xdr:rowOff>0</xdr:rowOff>
        </xdr:from>
        <xdr:to>
          <xdr:col>7</xdr:col>
          <xdr:colOff>0</xdr:colOff>
          <xdr:row>1906</xdr:row>
          <xdr:rowOff>171450</xdr:rowOff>
        </xdr:to>
        <xdr:sp macro="" textlink="">
          <xdr:nvSpPr>
            <xdr:cNvPr id="13568" name="Button 2304" hidden="1">
              <a:extLst>
                <a:ext uri="{63B3BB69-23CF-44E3-9099-C40C66FF867C}">
                  <a14:compatExt spid="_x0000_s13568"/>
                </a:ext>
                <a:ext uri="{FF2B5EF4-FFF2-40B4-BE49-F238E27FC236}">
                  <a16:creationId xmlns:a16="http://schemas.microsoft.com/office/drawing/2014/main" id="{00000000-0008-0000-0100-0000003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1907</xdr:row>
          <xdr:rowOff>0</xdr:rowOff>
        </xdr:from>
        <xdr:to>
          <xdr:col>7</xdr:col>
          <xdr:colOff>0</xdr:colOff>
          <xdr:row>1907</xdr:row>
          <xdr:rowOff>165100</xdr:rowOff>
        </xdr:to>
        <xdr:sp macro="" textlink="">
          <xdr:nvSpPr>
            <xdr:cNvPr id="13567" name="Button 2303" hidden="1">
              <a:extLst>
                <a:ext uri="{63B3BB69-23CF-44E3-9099-C40C66FF867C}">
                  <a14:compatExt spid="_x0000_s13567"/>
                </a:ext>
                <a:ext uri="{FF2B5EF4-FFF2-40B4-BE49-F238E27FC236}">
                  <a16:creationId xmlns:a16="http://schemas.microsoft.com/office/drawing/2014/main" id="{00000000-0008-0000-0100-0000F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1908</xdr:row>
          <xdr:rowOff>0</xdr:rowOff>
        </xdr:from>
        <xdr:to>
          <xdr:col>7</xdr:col>
          <xdr:colOff>0</xdr:colOff>
          <xdr:row>1908</xdr:row>
          <xdr:rowOff>165100</xdr:rowOff>
        </xdr:to>
        <xdr:sp macro="" textlink="">
          <xdr:nvSpPr>
            <xdr:cNvPr id="13566" name="Button 2302" hidden="1">
              <a:extLst>
                <a:ext uri="{63B3BB69-23CF-44E3-9099-C40C66FF867C}">
                  <a14:compatExt spid="_x0000_s13566"/>
                </a:ext>
                <a:ext uri="{FF2B5EF4-FFF2-40B4-BE49-F238E27FC236}">
                  <a16:creationId xmlns:a16="http://schemas.microsoft.com/office/drawing/2014/main" id="{00000000-0008-0000-0100-0000F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1909</xdr:row>
          <xdr:rowOff>0</xdr:rowOff>
        </xdr:from>
        <xdr:to>
          <xdr:col>7</xdr:col>
          <xdr:colOff>0</xdr:colOff>
          <xdr:row>1909</xdr:row>
          <xdr:rowOff>165100</xdr:rowOff>
        </xdr:to>
        <xdr:sp macro="" textlink="">
          <xdr:nvSpPr>
            <xdr:cNvPr id="13565" name="Button 2301" hidden="1">
              <a:extLst>
                <a:ext uri="{63B3BB69-23CF-44E3-9099-C40C66FF867C}">
                  <a14:compatExt spid="_x0000_s13565"/>
                </a:ext>
                <a:ext uri="{FF2B5EF4-FFF2-40B4-BE49-F238E27FC236}">
                  <a16:creationId xmlns:a16="http://schemas.microsoft.com/office/drawing/2014/main" id="{00000000-0008-0000-0100-0000F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1910</xdr:row>
          <xdr:rowOff>0</xdr:rowOff>
        </xdr:from>
        <xdr:to>
          <xdr:col>7</xdr:col>
          <xdr:colOff>0</xdr:colOff>
          <xdr:row>1910</xdr:row>
          <xdr:rowOff>165100</xdr:rowOff>
        </xdr:to>
        <xdr:sp macro="" textlink="">
          <xdr:nvSpPr>
            <xdr:cNvPr id="13564" name="Button 2300" hidden="1">
              <a:extLst>
                <a:ext uri="{63B3BB69-23CF-44E3-9099-C40C66FF867C}">
                  <a14:compatExt spid="_x0000_s13564"/>
                </a:ext>
                <a:ext uri="{FF2B5EF4-FFF2-40B4-BE49-F238E27FC236}">
                  <a16:creationId xmlns:a16="http://schemas.microsoft.com/office/drawing/2014/main" id="{00000000-0008-0000-0100-0000F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1913</xdr:row>
          <xdr:rowOff>0</xdr:rowOff>
        </xdr:from>
        <xdr:to>
          <xdr:col>7</xdr:col>
          <xdr:colOff>0</xdr:colOff>
          <xdr:row>1914</xdr:row>
          <xdr:rowOff>0</xdr:rowOff>
        </xdr:to>
        <xdr:sp macro="" textlink="">
          <xdr:nvSpPr>
            <xdr:cNvPr id="13563" name="Button 2299" hidden="1">
              <a:extLst>
                <a:ext uri="{63B3BB69-23CF-44E3-9099-C40C66FF867C}">
                  <a14:compatExt spid="_x0000_s13563"/>
                </a:ext>
                <a:ext uri="{FF2B5EF4-FFF2-40B4-BE49-F238E27FC236}">
                  <a16:creationId xmlns:a16="http://schemas.microsoft.com/office/drawing/2014/main" id="{00000000-0008-0000-0100-0000F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1920</xdr:row>
          <xdr:rowOff>0</xdr:rowOff>
        </xdr:from>
        <xdr:to>
          <xdr:col>7</xdr:col>
          <xdr:colOff>0</xdr:colOff>
          <xdr:row>1920</xdr:row>
          <xdr:rowOff>171450</xdr:rowOff>
        </xdr:to>
        <xdr:sp macro="" textlink="">
          <xdr:nvSpPr>
            <xdr:cNvPr id="13562" name="Button 2298" hidden="1">
              <a:extLst>
                <a:ext uri="{63B3BB69-23CF-44E3-9099-C40C66FF867C}">
                  <a14:compatExt spid="_x0000_s13562"/>
                </a:ext>
                <a:ext uri="{FF2B5EF4-FFF2-40B4-BE49-F238E27FC236}">
                  <a16:creationId xmlns:a16="http://schemas.microsoft.com/office/drawing/2014/main" id="{00000000-0008-0000-0100-0000F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1921</xdr:row>
          <xdr:rowOff>0</xdr:rowOff>
        </xdr:from>
        <xdr:to>
          <xdr:col>7</xdr:col>
          <xdr:colOff>0</xdr:colOff>
          <xdr:row>1921</xdr:row>
          <xdr:rowOff>165100</xdr:rowOff>
        </xdr:to>
        <xdr:sp macro="" textlink="">
          <xdr:nvSpPr>
            <xdr:cNvPr id="13561" name="Button 2297" hidden="1">
              <a:extLst>
                <a:ext uri="{63B3BB69-23CF-44E3-9099-C40C66FF867C}">
                  <a14:compatExt spid="_x0000_s13561"/>
                </a:ext>
                <a:ext uri="{FF2B5EF4-FFF2-40B4-BE49-F238E27FC236}">
                  <a16:creationId xmlns:a16="http://schemas.microsoft.com/office/drawing/2014/main" id="{00000000-0008-0000-0100-0000F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1924</xdr:row>
          <xdr:rowOff>0</xdr:rowOff>
        </xdr:from>
        <xdr:to>
          <xdr:col>7</xdr:col>
          <xdr:colOff>0</xdr:colOff>
          <xdr:row>1925</xdr:row>
          <xdr:rowOff>0</xdr:rowOff>
        </xdr:to>
        <xdr:sp macro="" textlink="">
          <xdr:nvSpPr>
            <xdr:cNvPr id="13560" name="Button 2296" hidden="1">
              <a:extLst>
                <a:ext uri="{63B3BB69-23CF-44E3-9099-C40C66FF867C}">
                  <a14:compatExt spid="_x0000_s13560"/>
                </a:ext>
                <a:ext uri="{FF2B5EF4-FFF2-40B4-BE49-F238E27FC236}">
                  <a16:creationId xmlns:a16="http://schemas.microsoft.com/office/drawing/2014/main" id="{00000000-0008-0000-0100-0000F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1931</xdr:row>
          <xdr:rowOff>0</xdr:rowOff>
        </xdr:from>
        <xdr:to>
          <xdr:col>7</xdr:col>
          <xdr:colOff>0</xdr:colOff>
          <xdr:row>1931</xdr:row>
          <xdr:rowOff>171450</xdr:rowOff>
        </xdr:to>
        <xdr:sp macro="" textlink="">
          <xdr:nvSpPr>
            <xdr:cNvPr id="13559" name="Button 2295" hidden="1">
              <a:extLst>
                <a:ext uri="{63B3BB69-23CF-44E3-9099-C40C66FF867C}">
                  <a14:compatExt spid="_x0000_s13559"/>
                </a:ext>
                <a:ext uri="{FF2B5EF4-FFF2-40B4-BE49-F238E27FC236}">
                  <a16:creationId xmlns:a16="http://schemas.microsoft.com/office/drawing/2014/main" id="{00000000-0008-0000-0100-0000F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1932</xdr:row>
          <xdr:rowOff>0</xdr:rowOff>
        </xdr:from>
        <xdr:to>
          <xdr:col>7</xdr:col>
          <xdr:colOff>0</xdr:colOff>
          <xdr:row>1932</xdr:row>
          <xdr:rowOff>165100</xdr:rowOff>
        </xdr:to>
        <xdr:sp macro="" textlink="">
          <xdr:nvSpPr>
            <xdr:cNvPr id="13558" name="Button 2294" hidden="1">
              <a:extLst>
                <a:ext uri="{63B3BB69-23CF-44E3-9099-C40C66FF867C}">
                  <a14:compatExt spid="_x0000_s13558"/>
                </a:ext>
                <a:ext uri="{FF2B5EF4-FFF2-40B4-BE49-F238E27FC236}">
                  <a16:creationId xmlns:a16="http://schemas.microsoft.com/office/drawing/2014/main" id="{00000000-0008-0000-0100-0000F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1933</xdr:row>
          <xdr:rowOff>0</xdr:rowOff>
        </xdr:from>
        <xdr:to>
          <xdr:col>7</xdr:col>
          <xdr:colOff>0</xdr:colOff>
          <xdr:row>1933</xdr:row>
          <xdr:rowOff>165100</xdr:rowOff>
        </xdr:to>
        <xdr:sp macro="" textlink="">
          <xdr:nvSpPr>
            <xdr:cNvPr id="13557" name="Button 2293" hidden="1">
              <a:extLst>
                <a:ext uri="{63B3BB69-23CF-44E3-9099-C40C66FF867C}">
                  <a14:compatExt spid="_x0000_s13557"/>
                </a:ext>
                <a:ext uri="{FF2B5EF4-FFF2-40B4-BE49-F238E27FC236}">
                  <a16:creationId xmlns:a16="http://schemas.microsoft.com/office/drawing/2014/main" id="{00000000-0008-0000-0100-0000F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1934</xdr:row>
          <xdr:rowOff>0</xdr:rowOff>
        </xdr:from>
        <xdr:to>
          <xdr:col>7</xdr:col>
          <xdr:colOff>0</xdr:colOff>
          <xdr:row>1934</xdr:row>
          <xdr:rowOff>165100</xdr:rowOff>
        </xdr:to>
        <xdr:sp macro="" textlink="">
          <xdr:nvSpPr>
            <xdr:cNvPr id="13556" name="Button 2292" hidden="1">
              <a:extLst>
                <a:ext uri="{63B3BB69-23CF-44E3-9099-C40C66FF867C}">
                  <a14:compatExt spid="_x0000_s13556"/>
                </a:ext>
                <a:ext uri="{FF2B5EF4-FFF2-40B4-BE49-F238E27FC236}">
                  <a16:creationId xmlns:a16="http://schemas.microsoft.com/office/drawing/2014/main" id="{00000000-0008-0000-0100-0000F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1935</xdr:row>
          <xdr:rowOff>0</xdr:rowOff>
        </xdr:from>
        <xdr:to>
          <xdr:col>7</xdr:col>
          <xdr:colOff>0</xdr:colOff>
          <xdr:row>1935</xdr:row>
          <xdr:rowOff>165100</xdr:rowOff>
        </xdr:to>
        <xdr:sp macro="" textlink="">
          <xdr:nvSpPr>
            <xdr:cNvPr id="13555" name="Button 2291" hidden="1">
              <a:extLst>
                <a:ext uri="{63B3BB69-23CF-44E3-9099-C40C66FF867C}">
                  <a14:compatExt spid="_x0000_s13555"/>
                </a:ext>
                <a:ext uri="{FF2B5EF4-FFF2-40B4-BE49-F238E27FC236}">
                  <a16:creationId xmlns:a16="http://schemas.microsoft.com/office/drawing/2014/main" id="{00000000-0008-0000-0100-0000F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1936</xdr:row>
          <xdr:rowOff>0</xdr:rowOff>
        </xdr:from>
        <xdr:to>
          <xdr:col>7</xdr:col>
          <xdr:colOff>0</xdr:colOff>
          <xdr:row>1936</xdr:row>
          <xdr:rowOff>165100</xdr:rowOff>
        </xdr:to>
        <xdr:sp macro="" textlink="">
          <xdr:nvSpPr>
            <xdr:cNvPr id="13554" name="Button 2290" hidden="1">
              <a:extLst>
                <a:ext uri="{63B3BB69-23CF-44E3-9099-C40C66FF867C}">
                  <a14:compatExt spid="_x0000_s13554"/>
                </a:ext>
                <a:ext uri="{FF2B5EF4-FFF2-40B4-BE49-F238E27FC236}">
                  <a16:creationId xmlns:a16="http://schemas.microsoft.com/office/drawing/2014/main" id="{00000000-0008-0000-0100-0000F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1937</xdr:row>
          <xdr:rowOff>0</xdr:rowOff>
        </xdr:from>
        <xdr:to>
          <xdr:col>7</xdr:col>
          <xdr:colOff>0</xdr:colOff>
          <xdr:row>1937</xdr:row>
          <xdr:rowOff>165100</xdr:rowOff>
        </xdr:to>
        <xdr:sp macro="" textlink="">
          <xdr:nvSpPr>
            <xdr:cNvPr id="13553" name="Button 2289" hidden="1">
              <a:extLst>
                <a:ext uri="{63B3BB69-23CF-44E3-9099-C40C66FF867C}">
                  <a14:compatExt spid="_x0000_s13553"/>
                </a:ext>
                <a:ext uri="{FF2B5EF4-FFF2-40B4-BE49-F238E27FC236}">
                  <a16:creationId xmlns:a16="http://schemas.microsoft.com/office/drawing/2014/main" id="{00000000-0008-0000-0100-0000F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1938</xdr:row>
          <xdr:rowOff>0</xdr:rowOff>
        </xdr:from>
        <xdr:to>
          <xdr:col>7</xdr:col>
          <xdr:colOff>0</xdr:colOff>
          <xdr:row>1938</xdr:row>
          <xdr:rowOff>165100</xdr:rowOff>
        </xdr:to>
        <xdr:sp macro="" textlink="">
          <xdr:nvSpPr>
            <xdr:cNvPr id="13552" name="Button 2288" hidden="1">
              <a:extLst>
                <a:ext uri="{63B3BB69-23CF-44E3-9099-C40C66FF867C}">
                  <a14:compatExt spid="_x0000_s13552"/>
                </a:ext>
                <a:ext uri="{FF2B5EF4-FFF2-40B4-BE49-F238E27FC236}">
                  <a16:creationId xmlns:a16="http://schemas.microsoft.com/office/drawing/2014/main" id="{00000000-0008-0000-0100-0000F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1939</xdr:row>
          <xdr:rowOff>0</xdr:rowOff>
        </xdr:from>
        <xdr:to>
          <xdr:col>7</xdr:col>
          <xdr:colOff>0</xdr:colOff>
          <xdr:row>1939</xdr:row>
          <xdr:rowOff>165100</xdr:rowOff>
        </xdr:to>
        <xdr:sp macro="" textlink="">
          <xdr:nvSpPr>
            <xdr:cNvPr id="13551" name="Button 2287" hidden="1">
              <a:extLst>
                <a:ext uri="{63B3BB69-23CF-44E3-9099-C40C66FF867C}">
                  <a14:compatExt spid="_x0000_s13551"/>
                </a:ext>
                <a:ext uri="{FF2B5EF4-FFF2-40B4-BE49-F238E27FC236}">
                  <a16:creationId xmlns:a16="http://schemas.microsoft.com/office/drawing/2014/main" id="{00000000-0008-0000-0100-0000E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1940</xdr:row>
          <xdr:rowOff>0</xdr:rowOff>
        </xdr:from>
        <xdr:to>
          <xdr:col>7</xdr:col>
          <xdr:colOff>0</xdr:colOff>
          <xdr:row>1940</xdr:row>
          <xdr:rowOff>165100</xdr:rowOff>
        </xdr:to>
        <xdr:sp macro="" textlink="">
          <xdr:nvSpPr>
            <xdr:cNvPr id="13550" name="Button 2286" hidden="1">
              <a:extLst>
                <a:ext uri="{63B3BB69-23CF-44E3-9099-C40C66FF867C}">
                  <a14:compatExt spid="_x0000_s13550"/>
                </a:ext>
                <a:ext uri="{FF2B5EF4-FFF2-40B4-BE49-F238E27FC236}">
                  <a16:creationId xmlns:a16="http://schemas.microsoft.com/office/drawing/2014/main" id="{00000000-0008-0000-0100-0000E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1941</xdr:row>
          <xdr:rowOff>0</xdr:rowOff>
        </xdr:from>
        <xdr:to>
          <xdr:col>7</xdr:col>
          <xdr:colOff>0</xdr:colOff>
          <xdr:row>1941</xdr:row>
          <xdr:rowOff>165100</xdr:rowOff>
        </xdr:to>
        <xdr:sp macro="" textlink="">
          <xdr:nvSpPr>
            <xdr:cNvPr id="13549" name="Button 2285" hidden="1">
              <a:extLst>
                <a:ext uri="{63B3BB69-23CF-44E3-9099-C40C66FF867C}">
                  <a14:compatExt spid="_x0000_s13549"/>
                </a:ext>
                <a:ext uri="{FF2B5EF4-FFF2-40B4-BE49-F238E27FC236}">
                  <a16:creationId xmlns:a16="http://schemas.microsoft.com/office/drawing/2014/main" id="{00000000-0008-0000-0100-0000E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1942</xdr:row>
          <xdr:rowOff>0</xdr:rowOff>
        </xdr:from>
        <xdr:to>
          <xdr:col>7</xdr:col>
          <xdr:colOff>0</xdr:colOff>
          <xdr:row>1942</xdr:row>
          <xdr:rowOff>165100</xdr:rowOff>
        </xdr:to>
        <xdr:sp macro="" textlink="">
          <xdr:nvSpPr>
            <xdr:cNvPr id="13548" name="Button 2284" hidden="1">
              <a:extLst>
                <a:ext uri="{63B3BB69-23CF-44E3-9099-C40C66FF867C}">
                  <a14:compatExt spid="_x0000_s13548"/>
                </a:ext>
                <a:ext uri="{FF2B5EF4-FFF2-40B4-BE49-F238E27FC236}">
                  <a16:creationId xmlns:a16="http://schemas.microsoft.com/office/drawing/2014/main" id="{00000000-0008-0000-0100-0000E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1943</xdr:row>
          <xdr:rowOff>0</xdr:rowOff>
        </xdr:from>
        <xdr:to>
          <xdr:col>7</xdr:col>
          <xdr:colOff>0</xdr:colOff>
          <xdr:row>1943</xdr:row>
          <xdr:rowOff>165100</xdr:rowOff>
        </xdr:to>
        <xdr:sp macro="" textlink="">
          <xdr:nvSpPr>
            <xdr:cNvPr id="13547" name="Button 2283" hidden="1">
              <a:extLst>
                <a:ext uri="{63B3BB69-23CF-44E3-9099-C40C66FF867C}">
                  <a14:compatExt spid="_x0000_s13547"/>
                </a:ext>
                <a:ext uri="{FF2B5EF4-FFF2-40B4-BE49-F238E27FC236}">
                  <a16:creationId xmlns:a16="http://schemas.microsoft.com/office/drawing/2014/main" id="{00000000-0008-0000-0100-0000E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1944</xdr:row>
          <xdr:rowOff>0</xdr:rowOff>
        </xdr:from>
        <xdr:to>
          <xdr:col>7</xdr:col>
          <xdr:colOff>0</xdr:colOff>
          <xdr:row>1944</xdr:row>
          <xdr:rowOff>165100</xdr:rowOff>
        </xdr:to>
        <xdr:sp macro="" textlink="">
          <xdr:nvSpPr>
            <xdr:cNvPr id="13546" name="Button 2282" hidden="1">
              <a:extLst>
                <a:ext uri="{63B3BB69-23CF-44E3-9099-C40C66FF867C}">
                  <a14:compatExt spid="_x0000_s13546"/>
                </a:ext>
                <a:ext uri="{FF2B5EF4-FFF2-40B4-BE49-F238E27FC236}">
                  <a16:creationId xmlns:a16="http://schemas.microsoft.com/office/drawing/2014/main" id="{00000000-0008-0000-0100-0000E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1945</xdr:row>
          <xdr:rowOff>0</xdr:rowOff>
        </xdr:from>
        <xdr:to>
          <xdr:col>7</xdr:col>
          <xdr:colOff>0</xdr:colOff>
          <xdr:row>1945</xdr:row>
          <xdr:rowOff>165100</xdr:rowOff>
        </xdr:to>
        <xdr:sp macro="" textlink="">
          <xdr:nvSpPr>
            <xdr:cNvPr id="13545" name="Button 2281" hidden="1">
              <a:extLst>
                <a:ext uri="{63B3BB69-23CF-44E3-9099-C40C66FF867C}">
                  <a14:compatExt spid="_x0000_s13545"/>
                </a:ext>
                <a:ext uri="{FF2B5EF4-FFF2-40B4-BE49-F238E27FC236}">
                  <a16:creationId xmlns:a16="http://schemas.microsoft.com/office/drawing/2014/main" id="{00000000-0008-0000-0100-0000E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1946</xdr:row>
          <xdr:rowOff>0</xdr:rowOff>
        </xdr:from>
        <xdr:to>
          <xdr:col>7</xdr:col>
          <xdr:colOff>0</xdr:colOff>
          <xdr:row>1946</xdr:row>
          <xdr:rowOff>165100</xdr:rowOff>
        </xdr:to>
        <xdr:sp macro="" textlink="">
          <xdr:nvSpPr>
            <xdr:cNvPr id="13544" name="Button 2280" hidden="1">
              <a:extLst>
                <a:ext uri="{63B3BB69-23CF-44E3-9099-C40C66FF867C}">
                  <a14:compatExt spid="_x0000_s13544"/>
                </a:ext>
                <a:ext uri="{FF2B5EF4-FFF2-40B4-BE49-F238E27FC236}">
                  <a16:creationId xmlns:a16="http://schemas.microsoft.com/office/drawing/2014/main" id="{00000000-0008-0000-0100-0000E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1947</xdr:row>
          <xdr:rowOff>0</xdr:rowOff>
        </xdr:from>
        <xdr:to>
          <xdr:col>7</xdr:col>
          <xdr:colOff>0</xdr:colOff>
          <xdr:row>1947</xdr:row>
          <xdr:rowOff>165100</xdr:rowOff>
        </xdr:to>
        <xdr:sp macro="" textlink="">
          <xdr:nvSpPr>
            <xdr:cNvPr id="13543" name="Button 2279" hidden="1">
              <a:extLst>
                <a:ext uri="{63B3BB69-23CF-44E3-9099-C40C66FF867C}">
                  <a14:compatExt spid="_x0000_s13543"/>
                </a:ext>
                <a:ext uri="{FF2B5EF4-FFF2-40B4-BE49-F238E27FC236}">
                  <a16:creationId xmlns:a16="http://schemas.microsoft.com/office/drawing/2014/main" id="{00000000-0008-0000-0100-0000E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1948</xdr:row>
          <xdr:rowOff>0</xdr:rowOff>
        </xdr:from>
        <xdr:to>
          <xdr:col>7</xdr:col>
          <xdr:colOff>0</xdr:colOff>
          <xdr:row>1948</xdr:row>
          <xdr:rowOff>165100</xdr:rowOff>
        </xdr:to>
        <xdr:sp macro="" textlink="">
          <xdr:nvSpPr>
            <xdr:cNvPr id="13542" name="Button 2278" hidden="1">
              <a:extLst>
                <a:ext uri="{63B3BB69-23CF-44E3-9099-C40C66FF867C}">
                  <a14:compatExt spid="_x0000_s13542"/>
                </a:ext>
                <a:ext uri="{FF2B5EF4-FFF2-40B4-BE49-F238E27FC236}">
                  <a16:creationId xmlns:a16="http://schemas.microsoft.com/office/drawing/2014/main" id="{00000000-0008-0000-0100-0000E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1949</xdr:row>
          <xdr:rowOff>0</xdr:rowOff>
        </xdr:from>
        <xdr:to>
          <xdr:col>7</xdr:col>
          <xdr:colOff>0</xdr:colOff>
          <xdr:row>1949</xdr:row>
          <xdr:rowOff>165100</xdr:rowOff>
        </xdr:to>
        <xdr:sp macro="" textlink="">
          <xdr:nvSpPr>
            <xdr:cNvPr id="13541" name="Button 2277" hidden="1">
              <a:extLst>
                <a:ext uri="{63B3BB69-23CF-44E3-9099-C40C66FF867C}">
                  <a14:compatExt spid="_x0000_s13541"/>
                </a:ext>
                <a:ext uri="{FF2B5EF4-FFF2-40B4-BE49-F238E27FC236}">
                  <a16:creationId xmlns:a16="http://schemas.microsoft.com/office/drawing/2014/main" id="{00000000-0008-0000-0100-0000E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1950</xdr:row>
          <xdr:rowOff>0</xdr:rowOff>
        </xdr:from>
        <xdr:to>
          <xdr:col>7</xdr:col>
          <xdr:colOff>0</xdr:colOff>
          <xdr:row>1950</xdr:row>
          <xdr:rowOff>165100</xdr:rowOff>
        </xdr:to>
        <xdr:sp macro="" textlink="">
          <xdr:nvSpPr>
            <xdr:cNvPr id="13540" name="Button 2276" hidden="1">
              <a:extLst>
                <a:ext uri="{63B3BB69-23CF-44E3-9099-C40C66FF867C}">
                  <a14:compatExt spid="_x0000_s13540"/>
                </a:ext>
                <a:ext uri="{FF2B5EF4-FFF2-40B4-BE49-F238E27FC236}">
                  <a16:creationId xmlns:a16="http://schemas.microsoft.com/office/drawing/2014/main" id="{00000000-0008-0000-0100-0000E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1951</xdr:row>
          <xdr:rowOff>0</xdr:rowOff>
        </xdr:from>
        <xdr:to>
          <xdr:col>7</xdr:col>
          <xdr:colOff>0</xdr:colOff>
          <xdr:row>1951</xdr:row>
          <xdr:rowOff>165100</xdr:rowOff>
        </xdr:to>
        <xdr:sp macro="" textlink="">
          <xdr:nvSpPr>
            <xdr:cNvPr id="13539" name="Button 2275" hidden="1">
              <a:extLst>
                <a:ext uri="{63B3BB69-23CF-44E3-9099-C40C66FF867C}">
                  <a14:compatExt spid="_x0000_s13539"/>
                </a:ext>
                <a:ext uri="{FF2B5EF4-FFF2-40B4-BE49-F238E27FC236}">
                  <a16:creationId xmlns:a16="http://schemas.microsoft.com/office/drawing/2014/main" id="{00000000-0008-0000-0100-0000E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1954</xdr:row>
          <xdr:rowOff>0</xdr:rowOff>
        </xdr:from>
        <xdr:to>
          <xdr:col>7</xdr:col>
          <xdr:colOff>0</xdr:colOff>
          <xdr:row>1955</xdr:row>
          <xdr:rowOff>0</xdr:rowOff>
        </xdr:to>
        <xdr:sp macro="" textlink="">
          <xdr:nvSpPr>
            <xdr:cNvPr id="13538" name="Button 2274" hidden="1">
              <a:extLst>
                <a:ext uri="{63B3BB69-23CF-44E3-9099-C40C66FF867C}">
                  <a14:compatExt spid="_x0000_s13538"/>
                </a:ext>
                <a:ext uri="{FF2B5EF4-FFF2-40B4-BE49-F238E27FC236}">
                  <a16:creationId xmlns:a16="http://schemas.microsoft.com/office/drawing/2014/main" id="{00000000-0008-0000-0100-0000E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1961</xdr:row>
          <xdr:rowOff>0</xdr:rowOff>
        </xdr:from>
        <xdr:to>
          <xdr:col>7</xdr:col>
          <xdr:colOff>0</xdr:colOff>
          <xdr:row>1961</xdr:row>
          <xdr:rowOff>171450</xdr:rowOff>
        </xdr:to>
        <xdr:sp macro="" textlink="">
          <xdr:nvSpPr>
            <xdr:cNvPr id="13537" name="Button 2273" hidden="1">
              <a:extLst>
                <a:ext uri="{63B3BB69-23CF-44E3-9099-C40C66FF867C}">
                  <a14:compatExt spid="_x0000_s13537"/>
                </a:ext>
                <a:ext uri="{FF2B5EF4-FFF2-40B4-BE49-F238E27FC236}">
                  <a16:creationId xmlns:a16="http://schemas.microsoft.com/office/drawing/2014/main" id="{00000000-0008-0000-0100-0000E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1962</xdr:row>
          <xdr:rowOff>0</xdr:rowOff>
        </xdr:from>
        <xdr:to>
          <xdr:col>7</xdr:col>
          <xdr:colOff>0</xdr:colOff>
          <xdr:row>1962</xdr:row>
          <xdr:rowOff>165100</xdr:rowOff>
        </xdr:to>
        <xdr:sp macro="" textlink="">
          <xdr:nvSpPr>
            <xdr:cNvPr id="13536" name="Button 2272" hidden="1">
              <a:extLst>
                <a:ext uri="{63B3BB69-23CF-44E3-9099-C40C66FF867C}">
                  <a14:compatExt spid="_x0000_s13536"/>
                </a:ext>
                <a:ext uri="{FF2B5EF4-FFF2-40B4-BE49-F238E27FC236}">
                  <a16:creationId xmlns:a16="http://schemas.microsoft.com/office/drawing/2014/main" id="{00000000-0008-0000-0100-0000E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1963</xdr:row>
          <xdr:rowOff>0</xdr:rowOff>
        </xdr:from>
        <xdr:to>
          <xdr:col>7</xdr:col>
          <xdr:colOff>0</xdr:colOff>
          <xdr:row>1963</xdr:row>
          <xdr:rowOff>165100</xdr:rowOff>
        </xdr:to>
        <xdr:sp macro="" textlink="">
          <xdr:nvSpPr>
            <xdr:cNvPr id="13535" name="Button 2271" hidden="1">
              <a:extLst>
                <a:ext uri="{63B3BB69-23CF-44E3-9099-C40C66FF867C}">
                  <a14:compatExt spid="_x0000_s13535"/>
                </a:ext>
                <a:ext uri="{FF2B5EF4-FFF2-40B4-BE49-F238E27FC236}">
                  <a16:creationId xmlns:a16="http://schemas.microsoft.com/office/drawing/2014/main" id="{00000000-0008-0000-0100-0000D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1964</xdr:row>
          <xdr:rowOff>0</xdr:rowOff>
        </xdr:from>
        <xdr:to>
          <xdr:col>7</xdr:col>
          <xdr:colOff>0</xdr:colOff>
          <xdr:row>1964</xdr:row>
          <xdr:rowOff>165100</xdr:rowOff>
        </xdr:to>
        <xdr:sp macro="" textlink="">
          <xdr:nvSpPr>
            <xdr:cNvPr id="13534" name="Button 2270" hidden="1">
              <a:extLst>
                <a:ext uri="{63B3BB69-23CF-44E3-9099-C40C66FF867C}">
                  <a14:compatExt spid="_x0000_s13534"/>
                </a:ext>
                <a:ext uri="{FF2B5EF4-FFF2-40B4-BE49-F238E27FC236}">
                  <a16:creationId xmlns:a16="http://schemas.microsoft.com/office/drawing/2014/main" id="{00000000-0008-0000-0100-0000D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1965</xdr:row>
          <xdr:rowOff>0</xdr:rowOff>
        </xdr:from>
        <xdr:to>
          <xdr:col>7</xdr:col>
          <xdr:colOff>0</xdr:colOff>
          <xdr:row>1965</xdr:row>
          <xdr:rowOff>165100</xdr:rowOff>
        </xdr:to>
        <xdr:sp macro="" textlink="">
          <xdr:nvSpPr>
            <xdr:cNvPr id="13533" name="Button 2269" hidden="1">
              <a:extLst>
                <a:ext uri="{63B3BB69-23CF-44E3-9099-C40C66FF867C}">
                  <a14:compatExt spid="_x0000_s13533"/>
                </a:ext>
                <a:ext uri="{FF2B5EF4-FFF2-40B4-BE49-F238E27FC236}">
                  <a16:creationId xmlns:a16="http://schemas.microsoft.com/office/drawing/2014/main" id="{00000000-0008-0000-0100-0000D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1966</xdr:row>
          <xdr:rowOff>0</xdr:rowOff>
        </xdr:from>
        <xdr:to>
          <xdr:col>7</xdr:col>
          <xdr:colOff>0</xdr:colOff>
          <xdr:row>1966</xdr:row>
          <xdr:rowOff>165100</xdr:rowOff>
        </xdr:to>
        <xdr:sp macro="" textlink="">
          <xdr:nvSpPr>
            <xdr:cNvPr id="13532" name="Button 2268" hidden="1">
              <a:extLst>
                <a:ext uri="{63B3BB69-23CF-44E3-9099-C40C66FF867C}">
                  <a14:compatExt spid="_x0000_s13532"/>
                </a:ext>
                <a:ext uri="{FF2B5EF4-FFF2-40B4-BE49-F238E27FC236}">
                  <a16:creationId xmlns:a16="http://schemas.microsoft.com/office/drawing/2014/main" id="{00000000-0008-0000-0100-0000D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1967</xdr:row>
          <xdr:rowOff>0</xdr:rowOff>
        </xdr:from>
        <xdr:to>
          <xdr:col>7</xdr:col>
          <xdr:colOff>0</xdr:colOff>
          <xdr:row>1967</xdr:row>
          <xdr:rowOff>165100</xdr:rowOff>
        </xdr:to>
        <xdr:sp macro="" textlink="">
          <xdr:nvSpPr>
            <xdr:cNvPr id="13531" name="Button 2267" hidden="1">
              <a:extLst>
                <a:ext uri="{63B3BB69-23CF-44E3-9099-C40C66FF867C}">
                  <a14:compatExt spid="_x0000_s13531"/>
                </a:ext>
                <a:ext uri="{FF2B5EF4-FFF2-40B4-BE49-F238E27FC236}">
                  <a16:creationId xmlns:a16="http://schemas.microsoft.com/office/drawing/2014/main" id="{00000000-0008-0000-0100-0000D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1970</xdr:row>
          <xdr:rowOff>0</xdr:rowOff>
        </xdr:from>
        <xdr:to>
          <xdr:col>7</xdr:col>
          <xdr:colOff>0</xdr:colOff>
          <xdr:row>1971</xdr:row>
          <xdr:rowOff>0</xdr:rowOff>
        </xdr:to>
        <xdr:sp macro="" textlink="">
          <xdr:nvSpPr>
            <xdr:cNvPr id="13530" name="Button 2266" hidden="1">
              <a:extLst>
                <a:ext uri="{63B3BB69-23CF-44E3-9099-C40C66FF867C}">
                  <a14:compatExt spid="_x0000_s13530"/>
                </a:ext>
                <a:ext uri="{FF2B5EF4-FFF2-40B4-BE49-F238E27FC236}">
                  <a16:creationId xmlns:a16="http://schemas.microsoft.com/office/drawing/2014/main" id="{00000000-0008-0000-0100-0000D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1977</xdr:row>
          <xdr:rowOff>0</xdr:rowOff>
        </xdr:from>
        <xdr:to>
          <xdr:col>7</xdr:col>
          <xdr:colOff>0</xdr:colOff>
          <xdr:row>1977</xdr:row>
          <xdr:rowOff>171450</xdr:rowOff>
        </xdr:to>
        <xdr:sp macro="" textlink="">
          <xdr:nvSpPr>
            <xdr:cNvPr id="13529" name="Button 2265" hidden="1">
              <a:extLst>
                <a:ext uri="{63B3BB69-23CF-44E3-9099-C40C66FF867C}">
                  <a14:compatExt spid="_x0000_s13529"/>
                </a:ext>
                <a:ext uri="{FF2B5EF4-FFF2-40B4-BE49-F238E27FC236}">
                  <a16:creationId xmlns:a16="http://schemas.microsoft.com/office/drawing/2014/main" id="{00000000-0008-0000-0100-0000D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1978</xdr:row>
          <xdr:rowOff>0</xdr:rowOff>
        </xdr:from>
        <xdr:to>
          <xdr:col>7</xdr:col>
          <xdr:colOff>0</xdr:colOff>
          <xdr:row>1978</xdr:row>
          <xdr:rowOff>165100</xdr:rowOff>
        </xdr:to>
        <xdr:sp macro="" textlink="">
          <xdr:nvSpPr>
            <xdr:cNvPr id="13528" name="Button 2264" hidden="1">
              <a:extLst>
                <a:ext uri="{63B3BB69-23CF-44E3-9099-C40C66FF867C}">
                  <a14:compatExt spid="_x0000_s13528"/>
                </a:ext>
                <a:ext uri="{FF2B5EF4-FFF2-40B4-BE49-F238E27FC236}">
                  <a16:creationId xmlns:a16="http://schemas.microsoft.com/office/drawing/2014/main" id="{00000000-0008-0000-0100-0000D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1979</xdr:row>
          <xdr:rowOff>0</xdr:rowOff>
        </xdr:from>
        <xdr:to>
          <xdr:col>7</xdr:col>
          <xdr:colOff>0</xdr:colOff>
          <xdr:row>1979</xdr:row>
          <xdr:rowOff>165100</xdr:rowOff>
        </xdr:to>
        <xdr:sp macro="" textlink="">
          <xdr:nvSpPr>
            <xdr:cNvPr id="13527" name="Button 2263" hidden="1">
              <a:extLst>
                <a:ext uri="{63B3BB69-23CF-44E3-9099-C40C66FF867C}">
                  <a14:compatExt spid="_x0000_s13527"/>
                </a:ext>
                <a:ext uri="{FF2B5EF4-FFF2-40B4-BE49-F238E27FC236}">
                  <a16:creationId xmlns:a16="http://schemas.microsoft.com/office/drawing/2014/main" id="{00000000-0008-0000-0100-0000D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1980</xdr:row>
          <xdr:rowOff>0</xdr:rowOff>
        </xdr:from>
        <xdr:to>
          <xdr:col>7</xdr:col>
          <xdr:colOff>0</xdr:colOff>
          <xdr:row>1980</xdr:row>
          <xdr:rowOff>165100</xdr:rowOff>
        </xdr:to>
        <xdr:sp macro="" textlink="">
          <xdr:nvSpPr>
            <xdr:cNvPr id="13526" name="Button 2262" hidden="1">
              <a:extLst>
                <a:ext uri="{63B3BB69-23CF-44E3-9099-C40C66FF867C}">
                  <a14:compatExt spid="_x0000_s13526"/>
                </a:ext>
                <a:ext uri="{FF2B5EF4-FFF2-40B4-BE49-F238E27FC236}">
                  <a16:creationId xmlns:a16="http://schemas.microsoft.com/office/drawing/2014/main" id="{00000000-0008-0000-0100-0000D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1981</xdr:row>
          <xdr:rowOff>0</xdr:rowOff>
        </xdr:from>
        <xdr:to>
          <xdr:col>7</xdr:col>
          <xdr:colOff>0</xdr:colOff>
          <xdr:row>1981</xdr:row>
          <xdr:rowOff>165100</xdr:rowOff>
        </xdr:to>
        <xdr:sp macro="" textlink="">
          <xdr:nvSpPr>
            <xdr:cNvPr id="13525" name="Button 2261" hidden="1">
              <a:extLst>
                <a:ext uri="{63B3BB69-23CF-44E3-9099-C40C66FF867C}">
                  <a14:compatExt spid="_x0000_s13525"/>
                </a:ext>
                <a:ext uri="{FF2B5EF4-FFF2-40B4-BE49-F238E27FC236}">
                  <a16:creationId xmlns:a16="http://schemas.microsoft.com/office/drawing/2014/main" id="{00000000-0008-0000-0100-0000D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1982</xdr:row>
          <xdr:rowOff>0</xdr:rowOff>
        </xdr:from>
        <xdr:to>
          <xdr:col>7</xdr:col>
          <xdr:colOff>0</xdr:colOff>
          <xdr:row>1982</xdr:row>
          <xdr:rowOff>165100</xdr:rowOff>
        </xdr:to>
        <xdr:sp macro="" textlink="">
          <xdr:nvSpPr>
            <xdr:cNvPr id="13524" name="Button 2260" hidden="1">
              <a:extLst>
                <a:ext uri="{63B3BB69-23CF-44E3-9099-C40C66FF867C}">
                  <a14:compatExt spid="_x0000_s13524"/>
                </a:ext>
                <a:ext uri="{FF2B5EF4-FFF2-40B4-BE49-F238E27FC236}">
                  <a16:creationId xmlns:a16="http://schemas.microsoft.com/office/drawing/2014/main" id="{00000000-0008-0000-0100-0000D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1983</xdr:row>
          <xdr:rowOff>0</xdr:rowOff>
        </xdr:from>
        <xdr:to>
          <xdr:col>7</xdr:col>
          <xdr:colOff>0</xdr:colOff>
          <xdr:row>1983</xdr:row>
          <xdr:rowOff>165100</xdr:rowOff>
        </xdr:to>
        <xdr:sp macro="" textlink="">
          <xdr:nvSpPr>
            <xdr:cNvPr id="13523" name="Button 2259" hidden="1">
              <a:extLst>
                <a:ext uri="{63B3BB69-23CF-44E3-9099-C40C66FF867C}">
                  <a14:compatExt spid="_x0000_s13523"/>
                </a:ext>
                <a:ext uri="{FF2B5EF4-FFF2-40B4-BE49-F238E27FC236}">
                  <a16:creationId xmlns:a16="http://schemas.microsoft.com/office/drawing/2014/main" id="{00000000-0008-0000-0100-0000D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1986</xdr:row>
          <xdr:rowOff>0</xdr:rowOff>
        </xdr:from>
        <xdr:to>
          <xdr:col>7</xdr:col>
          <xdr:colOff>0</xdr:colOff>
          <xdr:row>1987</xdr:row>
          <xdr:rowOff>0</xdr:rowOff>
        </xdr:to>
        <xdr:sp macro="" textlink="">
          <xdr:nvSpPr>
            <xdr:cNvPr id="13522" name="Button 2258" hidden="1">
              <a:extLst>
                <a:ext uri="{63B3BB69-23CF-44E3-9099-C40C66FF867C}">
                  <a14:compatExt spid="_x0000_s13522"/>
                </a:ext>
                <a:ext uri="{FF2B5EF4-FFF2-40B4-BE49-F238E27FC236}">
                  <a16:creationId xmlns:a16="http://schemas.microsoft.com/office/drawing/2014/main" id="{00000000-0008-0000-0100-0000D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1993</xdr:row>
          <xdr:rowOff>0</xdr:rowOff>
        </xdr:from>
        <xdr:to>
          <xdr:col>7</xdr:col>
          <xdr:colOff>0</xdr:colOff>
          <xdr:row>1993</xdr:row>
          <xdr:rowOff>171450</xdr:rowOff>
        </xdr:to>
        <xdr:sp macro="" textlink="">
          <xdr:nvSpPr>
            <xdr:cNvPr id="13521" name="Button 2257" hidden="1">
              <a:extLst>
                <a:ext uri="{63B3BB69-23CF-44E3-9099-C40C66FF867C}">
                  <a14:compatExt spid="_x0000_s13521"/>
                </a:ext>
                <a:ext uri="{FF2B5EF4-FFF2-40B4-BE49-F238E27FC236}">
                  <a16:creationId xmlns:a16="http://schemas.microsoft.com/office/drawing/2014/main" id="{00000000-0008-0000-0100-0000D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1994</xdr:row>
          <xdr:rowOff>0</xdr:rowOff>
        </xdr:from>
        <xdr:to>
          <xdr:col>7</xdr:col>
          <xdr:colOff>0</xdr:colOff>
          <xdr:row>1994</xdr:row>
          <xdr:rowOff>165100</xdr:rowOff>
        </xdr:to>
        <xdr:sp macro="" textlink="">
          <xdr:nvSpPr>
            <xdr:cNvPr id="13520" name="Button 2256" hidden="1">
              <a:extLst>
                <a:ext uri="{63B3BB69-23CF-44E3-9099-C40C66FF867C}">
                  <a14:compatExt spid="_x0000_s13520"/>
                </a:ext>
                <a:ext uri="{FF2B5EF4-FFF2-40B4-BE49-F238E27FC236}">
                  <a16:creationId xmlns:a16="http://schemas.microsoft.com/office/drawing/2014/main" id="{00000000-0008-0000-0100-0000D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1995</xdr:row>
          <xdr:rowOff>0</xdr:rowOff>
        </xdr:from>
        <xdr:to>
          <xdr:col>7</xdr:col>
          <xdr:colOff>0</xdr:colOff>
          <xdr:row>1995</xdr:row>
          <xdr:rowOff>165100</xdr:rowOff>
        </xdr:to>
        <xdr:sp macro="" textlink="">
          <xdr:nvSpPr>
            <xdr:cNvPr id="13519" name="Button 2255" hidden="1">
              <a:extLst>
                <a:ext uri="{63B3BB69-23CF-44E3-9099-C40C66FF867C}">
                  <a14:compatExt spid="_x0000_s13519"/>
                </a:ext>
                <a:ext uri="{FF2B5EF4-FFF2-40B4-BE49-F238E27FC236}">
                  <a16:creationId xmlns:a16="http://schemas.microsoft.com/office/drawing/2014/main" id="{00000000-0008-0000-0100-0000C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1996</xdr:row>
          <xdr:rowOff>0</xdr:rowOff>
        </xdr:from>
        <xdr:to>
          <xdr:col>7</xdr:col>
          <xdr:colOff>0</xdr:colOff>
          <xdr:row>1996</xdr:row>
          <xdr:rowOff>165100</xdr:rowOff>
        </xdr:to>
        <xdr:sp macro="" textlink="">
          <xdr:nvSpPr>
            <xdr:cNvPr id="13518" name="Button 2254" hidden="1">
              <a:extLst>
                <a:ext uri="{63B3BB69-23CF-44E3-9099-C40C66FF867C}">
                  <a14:compatExt spid="_x0000_s13518"/>
                </a:ext>
                <a:ext uri="{FF2B5EF4-FFF2-40B4-BE49-F238E27FC236}">
                  <a16:creationId xmlns:a16="http://schemas.microsoft.com/office/drawing/2014/main" id="{00000000-0008-0000-0100-0000C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1997</xdr:row>
          <xdr:rowOff>0</xdr:rowOff>
        </xdr:from>
        <xdr:to>
          <xdr:col>7</xdr:col>
          <xdr:colOff>0</xdr:colOff>
          <xdr:row>1997</xdr:row>
          <xdr:rowOff>165100</xdr:rowOff>
        </xdr:to>
        <xdr:sp macro="" textlink="">
          <xdr:nvSpPr>
            <xdr:cNvPr id="13517" name="Button 2253" hidden="1">
              <a:extLst>
                <a:ext uri="{63B3BB69-23CF-44E3-9099-C40C66FF867C}">
                  <a14:compatExt spid="_x0000_s13517"/>
                </a:ext>
                <a:ext uri="{FF2B5EF4-FFF2-40B4-BE49-F238E27FC236}">
                  <a16:creationId xmlns:a16="http://schemas.microsoft.com/office/drawing/2014/main" id="{00000000-0008-0000-0100-0000C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1998</xdr:row>
          <xdr:rowOff>0</xdr:rowOff>
        </xdr:from>
        <xdr:to>
          <xdr:col>7</xdr:col>
          <xdr:colOff>0</xdr:colOff>
          <xdr:row>1998</xdr:row>
          <xdr:rowOff>165100</xdr:rowOff>
        </xdr:to>
        <xdr:sp macro="" textlink="">
          <xdr:nvSpPr>
            <xdr:cNvPr id="13516" name="Button 2252" hidden="1">
              <a:extLst>
                <a:ext uri="{63B3BB69-23CF-44E3-9099-C40C66FF867C}">
                  <a14:compatExt spid="_x0000_s13516"/>
                </a:ext>
                <a:ext uri="{FF2B5EF4-FFF2-40B4-BE49-F238E27FC236}">
                  <a16:creationId xmlns:a16="http://schemas.microsoft.com/office/drawing/2014/main" id="{00000000-0008-0000-0100-0000C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2001</xdr:row>
          <xdr:rowOff>0</xdr:rowOff>
        </xdr:from>
        <xdr:to>
          <xdr:col>7</xdr:col>
          <xdr:colOff>0</xdr:colOff>
          <xdr:row>2002</xdr:row>
          <xdr:rowOff>0</xdr:rowOff>
        </xdr:to>
        <xdr:sp macro="" textlink="">
          <xdr:nvSpPr>
            <xdr:cNvPr id="13515" name="Button 2251" hidden="1">
              <a:extLst>
                <a:ext uri="{63B3BB69-23CF-44E3-9099-C40C66FF867C}">
                  <a14:compatExt spid="_x0000_s13515"/>
                </a:ext>
                <a:ext uri="{FF2B5EF4-FFF2-40B4-BE49-F238E27FC236}">
                  <a16:creationId xmlns:a16="http://schemas.microsoft.com/office/drawing/2014/main" id="{00000000-0008-0000-0100-0000C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2008</xdr:row>
          <xdr:rowOff>0</xdr:rowOff>
        </xdr:from>
        <xdr:to>
          <xdr:col>7</xdr:col>
          <xdr:colOff>0</xdr:colOff>
          <xdr:row>2008</xdr:row>
          <xdr:rowOff>171450</xdr:rowOff>
        </xdr:to>
        <xdr:sp macro="" textlink="">
          <xdr:nvSpPr>
            <xdr:cNvPr id="13514" name="Button 2250" hidden="1">
              <a:extLst>
                <a:ext uri="{63B3BB69-23CF-44E3-9099-C40C66FF867C}">
                  <a14:compatExt spid="_x0000_s13514"/>
                </a:ext>
                <a:ext uri="{FF2B5EF4-FFF2-40B4-BE49-F238E27FC236}">
                  <a16:creationId xmlns:a16="http://schemas.microsoft.com/office/drawing/2014/main" id="{00000000-0008-0000-0100-0000C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2009</xdr:row>
          <xdr:rowOff>0</xdr:rowOff>
        </xdr:from>
        <xdr:to>
          <xdr:col>7</xdr:col>
          <xdr:colOff>0</xdr:colOff>
          <xdr:row>2009</xdr:row>
          <xdr:rowOff>165100</xdr:rowOff>
        </xdr:to>
        <xdr:sp macro="" textlink="">
          <xdr:nvSpPr>
            <xdr:cNvPr id="13513" name="Button 2249" hidden="1">
              <a:extLst>
                <a:ext uri="{63B3BB69-23CF-44E3-9099-C40C66FF867C}">
                  <a14:compatExt spid="_x0000_s13513"/>
                </a:ext>
                <a:ext uri="{FF2B5EF4-FFF2-40B4-BE49-F238E27FC236}">
                  <a16:creationId xmlns:a16="http://schemas.microsoft.com/office/drawing/2014/main" id="{00000000-0008-0000-0100-0000C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2010</xdr:row>
          <xdr:rowOff>0</xdr:rowOff>
        </xdr:from>
        <xdr:to>
          <xdr:col>7</xdr:col>
          <xdr:colOff>0</xdr:colOff>
          <xdr:row>2010</xdr:row>
          <xdr:rowOff>165100</xdr:rowOff>
        </xdr:to>
        <xdr:sp macro="" textlink="">
          <xdr:nvSpPr>
            <xdr:cNvPr id="13512" name="Button 2248" hidden="1">
              <a:extLst>
                <a:ext uri="{63B3BB69-23CF-44E3-9099-C40C66FF867C}">
                  <a14:compatExt spid="_x0000_s13512"/>
                </a:ext>
                <a:ext uri="{FF2B5EF4-FFF2-40B4-BE49-F238E27FC236}">
                  <a16:creationId xmlns:a16="http://schemas.microsoft.com/office/drawing/2014/main" id="{00000000-0008-0000-0100-0000C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2011</xdr:row>
          <xdr:rowOff>0</xdr:rowOff>
        </xdr:from>
        <xdr:to>
          <xdr:col>7</xdr:col>
          <xdr:colOff>0</xdr:colOff>
          <xdr:row>2011</xdr:row>
          <xdr:rowOff>165100</xdr:rowOff>
        </xdr:to>
        <xdr:sp macro="" textlink="">
          <xdr:nvSpPr>
            <xdr:cNvPr id="13511" name="Button 2247" hidden="1">
              <a:extLst>
                <a:ext uri="{63B3BB69-23CF-44E3-9099-C40C66FF867C}">
                  <a14:compatExt spid="_x0000_s13511"/>
                </a:ext>
                <a:ext uri="{FF2B5EF4-FFF2-40B4-BE49-F238E27FC236}">
                  <a16:creationId xmlns:a16="http://schemas.microsoft.com/office/drawing/2014/main" id="{00000000-0008-0000-0100-0000C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2012</xdr:row>
          <xdr:rowOff>0</xdr:rowOff>
        </xdr:from>
        <xdr:to>
          <xdr:col>7</xdr:col>
          <xdr:colOff>0</xdr:colOff>
          <xdr:row>2012</xdr:row>
          <xdr:rowOff>165100</xdr:rowOff>
        </xdr:to>
        <xdr:sp macro="" textlink="">
          <xdr:nvSpPr>
            <xdr:cNvPr id="13510" name="Button 2246" hidden="1">
              <a:extLst>
                <a:ext uri="{63B3BB69-23CF-44E3-9099-C40C66FF867C}">
                  <a14:compatExt spid="_x0000_s13510"/>
                </a:ext>
                <a:ext uri="{FF2B5EF4-FFF2-40B4-BE49-F238E27FC236}">
                  <a16:creationId xmlns:a16="http://schemas.microsoft.com/office/drawing/2014/main" id="{00000000-0008-0000-0100-0000C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2013</xdr:row>
          <xdr:rowOff>0</xdr:rowOff>
        </xdr:from>
        <xdr:to>
          <xdr:col>7</xdr:col>
          <xdr:colOff>0</xdr:colOff>
          <xdr:row>2013</xdr:row>
          <xdr:rowOff>165100</xdr:rowOff>
        </xdr:to>
        <xdr:sp macro="" textlink="">
          <xdr:nvSpPr>
            <xdr:cNvPr id="13509" name="Button 2245" hidden="1">
              <a:extLst>
                <a:ext uri="{63B3BB69-23CF-44E3-9099-C40C66FF867C}">
                  <a14:compatExt spid="_x0000_s13509"/>
                </a:ext>
                <a:ext uri="{FF2B5EF4-FFF2-40B4-BE49-F238E27FC236}">
                  <a16:creationId xmlns:a16="http://schemas.microsoft.com/office/drawing/2014/main" id="{00000000-0008-0000-0100-0000C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2014</xdr:row>
          <xdr:rowOff>0</xdr:rowOff>
        </xdr:from>
        <xdr:to>
          <xdr:col>7</xdr:col>
          <xdr:colOff>0</xdr:colOff>
          <xdr:row>2014</xdr:row>
          <xdr:rowOff>165100</xdr:rowOff>
        </xdr:to>
        <xdr:sp macro="" textlink="">
          <xdr:nvSpPr>
            <xdr:cNvPr id="13508" name="Button 2244" hidden="1">
              <a:extLst>
                <a:ext uri="{63B3BB69-23CF-44E3-9099-C40C66FF867C}">
                  <a14:compatExt spid="_x0000_s13508"/>
                </a:ext>
                <a:ext uri="{FF2B5EF4-FFF2-40B4-BE49-F238E27FC236}">
                  <a16:creationId xmlns:a16="http://schemas.microsoft.com/office/drawing/2014/main" id="{00000000-0008-0000-0100-0000C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2015</xdr:row>
          <xdr:rowOff>0</xdr:rowOff>
        </xdr:from>
        <xdr:to>
          <xdr:col>7</xdr:col>
          <xdr:colOff>0</xdr:colOff>
          <xdr:row>2015</xdr:row>
          <xdr:rowOff>165100</xdr:rowOff>
        </xdr:to>
        <xdr:sp macro="" textlink="">
          <xdr:nvSpPr>
            <xdr:cNvPr id="13507" name="Button 2243" hidden="1">
              <a:extLst>
                <a:ext uri="{63B3BB69-23CF-44E3-9099-C40C66FF867C}">
                  <a14:compatExt spid="_x0000_s13507"/>
                </a:ext>
                <a:ext uri="{FF2B5EF4-FFF2-40B4-BE49-F238E27FC236}">
                  <a16:creationId xmlns:a16="http://schemas.microsoft.com/office/drawing/2014/main" id="{00000000-0008-0000-0100-0000C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2016</xdr:row>
          <xdr:rowOff>0</xdr:rowOff>
        </xdr:from>
        <xdr:to>
          <xdr:col>7</xdr:col>
          <xdr:colOff>0</xdr:colOff>
          <xdr:row>2016</xdr:row>
          <xdr:rowOff>165100</xdr:rowOff>
        </xdr:to>
        <xdr:sp macro="" textlink="">
          <xdr:nvSpPr>
            <xdr:cNvPr id="13506" name="Button 2242" hidden="1">
              <a:extLst>
                <a:ext uri="{63B3BB69-23CF-44E3-9099-C40C66FF867C}">
                  <a14:compatExt spid="_x0000_s13506"/>
                </a:ext>
                <a:ext uri="{FF2B5EF4-FFF2-40B4-BE49-F238E27FC236}">
                  <a16:creationId xmlns:a16="http://schemas.microsoft.com/office/drawing/2014/main" id="{00000000-0008-0000-0100-0000C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2017</xdr:row>
          <xdr:rowOff>0</xdr:rowOff>
        </xdr:from>
        <xdr:to>
          <xdr:col>7</xdr:col>
          <xdr:colOff>0</xdr:colOff>
          <xdr:row>2017</xdr:row>
          <xdr:rowOff>165100</xdr:rowOff>
        </xdr:to>
        <xdr:sp macro="" textlink="">
          <xdr:nvSpPr>
            <xdr:cNvPr id="13505" name="Button 2241" hidden="1">
              <a:extLst>
                <a:ext uri="{63B3BB69-23CF-44E3-9099-C40C66FF867C}">
                  <a14:compatExt spid="_x0000_s13505"/>
                </a:ext>
                <a:ext uri="{FF2B5EF4-FFF2-40B4-BE49-F238E27FC236}">
                  <a16:creationId xmlns:a16="http://schemas.microsoft.com/office/drawing/2014/main" id="{00000000-0008-0000-0100-0000C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2018</xdr:row>
          <xdr:rowOff>0</xdr:rowOff>
        </xdr:from>
        <xdr:to>
          <xdr:col>7</xdr:col>
          <xdr:colOff>0</xdr:colOff>
          <xdr:row>2018</xdr:row>
          <xdr:rowOff>165100</xdr:rowOff>
        </xdr:to>
        <xdr:sp macro="" textlink="">
          <xdr:nvSpPr>
            <xdr:cNvPr id="13504" name="Button 2240" hidden="1">
              <a:extLst>
                <a:ext uri="{63B3BB69-23CF-44E3-9099-C40C66FF867C}">
                  <a14:compatExt spid="_x0000_s13504"/>
                </a:ext>
                <a:ext uri="{FF2B5EF4-FFF2-40B4-BE49-F238E27FC236}">
                  <a16:creationId xmlns:a16="http://schemas.microsoft.com/office/drawing/2014/main" id="{00000000-0008-0000-0100-0000C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2019</xdr:row>
          <xdr:rowOff>0</xdr:rowOff>
        </xdr:from>
        <xdr:to>
          <xdr:col>7</xdr:col>
          <xdr:colOff>0</xdr:colOff>
          <xdr:row>2019</xdr:row>
          <xdr:rowOff>165100</xdr:rowOff>
        </xdr:to>
        <xdr:sp macro="" textlink="">
          <xdr:nvSpPr>
            <xdr:cNvPr id="13503" name="Button 2239" hidden="1">
              <a:extLst>
                <a:ext uri="{63B3BB69-23CF-44E3-9099-C40C66FF867C}">
                  <a14:compatExt spid="_x0000_s13503"/>
                </a:ext>
                <a:ext uri="{FF2B5EF4-FFF2-40B4-BE49-F238E27FC236}">
                  <a16:creationId xmlns:a16="http://schemas.microsoft.com/office/drawing/2014/main" id="{00000000-0008-0000-0100-0000B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2020</xdr:row>
          <xdr:rowOff>0</xdr:rowOff>
        </xdr:from>
        <xdr:to>
          <xdr:col>7</xdr:col>
          <xdr:colOff>0</xdr:colOff>
          <xdr:row>2020</xdr:row>
          <xdr:rowOff>165100</xdr:rowOff>
        </xdr:to>
        <xdr:sp macro="" textlink="">
          <xdr:nvSpPr>
            <xdr:cNvPr id="13502" name="Button 2238" hidden="1">
              <a:extLst>
                <a:ext uri="{63B3BB69-23CF-44E3-9099-C40C66FF867C}">
                  <a14:compatExt spid="_x0000_s13502"/>
                </a:ext>
                <a:ext uri="{FF2B5EF4-FFF2-40B4-BE49-F238E27FC236}">
                  <a16:creationId xmlns:a16="http://schemas.microsoft.com/office/drawing/2014/main" id="{00000000-0008-0000-0100-0000B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2021</xdr:row>
          <xdr:rowOff>0</xdr:rowOff>
        </xdr:from>
        <xdr:to>
          <xdr:col>7</xdr:col>
          <xdr:colOff>0</xdr:colOff>
          <xdr:row>2021</xdr:row>
          <xdr:rowOff>165100</xdr:rowOff>
        </xdr:to>
        <xdr:sp macro="" textlink="">
          <xdr:nvSpPr>
            <xdr:cNvPr id="13501" name="Button 2237" hidden="1">
              <a:extLst>
                <a:ext uri="{63B3BB69-23CF-44E3-9099-C40C66FF867C}">
                  <a14:compatExt spid="_x0000_s13501"/>
                </a:ext>
                <a:ext uri="{FF2B5EF4-FFF2-40B4-BE49-F238E27FC236}">
                  <a16:creationId xmlns:a16="http://schemas.microsoft.com/office/drawing/2014/main" id="{00000000-0008-0000-0100-0000B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2022</xdr:row>
          <xdr:rowOff>0</xdr:rowOff>
        </xdr:from>
        <xdr:to>
          <xdr:col>7</xdr:col>
          <xdr:colOff>0</xdr:colOff>
          <xdr:row>2022</xdr:row>
          <xdr:rowOff>165100</xdr:rowOff>
        </xdr:to>
        <xdr:sp macro="" textlink="">
          <xdr:nvSpPr>
            <xdr:cNvPr id="13500" name="Button 2236" hidden="1">
              <a:extLst>
                <a:ext uri="{63B3BB69-23CF-44E3-9099-C40C66FF867C}">
                  <a14:compatExt spid="_x0000_s13500"/>
                </a:ext>
                <a:ext uri="{FF2B5EF4-FFF2-40B4-BE49-F238E27FC236}">
                  <a16:creationId xmlns:a16="http://schemas.microsoft.com/office/drawing/2014/main" id="{00000000-0008-0000-0100-0000B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2023</xdr:row>
          <xdr:rowOff>0</xdr:rowOff>
        </xdr:from>
        <xdr:to>
          <xdr:col>7</xdr:col>
          <xdr:colOff>0</xdr:colOff>
          <xdr:row>2023</xdr:row>
          <xdr:rowOff>165100</xdr:rowOff>
        </xdr:to>
        <xdr:sp macro="" textlink="">
          <xdr:nvSpPr>
            <xdr:cNvPr id="13499" name="Button 2235" hidden="1">
              <a:extLst>
                <a:ext uri="{63B3BB69-23CF-44E3-9099-C40C66FF867C}">
                  <a14:compatExt spid="_x0000_s13499"/>
                </a:ext>
                <a:ext uri="{FF2B5EF4-FFF2-40B4-BE49-F238E27FC236}">
                  <a16:creationId xmlns:a16="http://schemas.microsoft.com/office/drawing/2014/main" id="{00000000-0008-0000-0100-0000B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2024</xdr:row>
          <xdr:rowOff>0</xdr:rowOff>
        </xdr:from>
        <xdr:to>
          <xdr:col>7</xdr:col>
          <xdr:colOff>0</xdr:colOff>
          <xdr:row>2024</xdr:row>
          <xdr:rowOff>165100</xdr:rowOff>
        </xdr:to>
        <xdr:sp macro="" textlink="">
          <xdr:nvSpPr>
            <xdr:cNvPr id="13498" name="Button 2234" hidden="1">
              <a:extLst>
                <a:ext uri="{63B3BB69-23CF-44E3-9099-C40C66FF867C}">
                  <a14:compatExt spid="_x0000_s13498"/>
                </a:ext>
                <a:ext uri="{FF2B5EF4-FFF2-40B4-BE49-F238E27FC236}">
                  <a16:creationId xmlns:a16="http://schemas.microsoft.com/office/drawing/2014/main" id="{00000000-0008-0000-0100-0000B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2025</xdr:row>
          <xdr:rowOff>0</xdr:rowOff>
        </xdr:from>
        <xdr:to>
          <xdr:col>7</xdr:col>
          <xdr:colOff>0</xdr:colOff>
          <xdr:row>2025</xdr:row>
          <xdr:rowOff>165100</xdr:rowOff>
        </xdr:to>
        <xdr:sp macro="" textlink="">
          <xdr:nvSpPr>
            <xdr:cNvPr id="13497" name="Button 2233" hidden="1">
              <a:extLst>
                <a:ext uri="{63B3BB69-23CF-44E3-9099-C40C66FF867C}">
                  <a14:compatExt spid="_x0000_s13497"/>
                </a:ext>
                <a:ext uri="{FF2B5EF4-FFF2-40B4-BE49-F238E27FC236}">
                  <a16:creationId xmlns:a16="http://schemas.microsoft.com/office/drawing/2014/main" id="{00000000-0008-0000-0100-0000B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2026</xdr:row>
          <xdr:rowOff>0</xdr:rowOff>
        </xdr:from>
        <xdr:to>
          <xdr:col>7</xdr:col>
          <xdr:colOff>0</xdr:colOff>
          <xdr:row>2026</xdr:row>
          <xdr:rowOff>165100</xdr:rowOff>
        </xdr:to>
        <xdr:sp macro="" textlink="">
          <xdr:nvSpPr>
            <xdr:cNvPr id="13496" name="Button 2232" hidden="1">
              <a:extLst>
                <a:ext uri="{63B3BB69-23CF-44E3-9099-C40C66FF867C}">
                  <a14:compatExt spid="_x0000_s13496"/>
                </a:ext>
                <a:ext uri="{FF2B5EF4-FFF2-40B4-BE49-F238E27FC236}">
                  <a16:creationId xmlns:a16="http://schemas.microsoft.com/office/drawing/2014/main" id="{00000000-0008-0000-0100-0000B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2027</xdr:row>
          <xdr:rowOff>0</xdr:rowOff>
        </xdr:from>
        <xdr:to>
          <xdr:col>7</xdr:col>
          <xdr:colOff>0</xdr:colOff>
          <xdr:row>2027</xdr:row>
          <xdr:rowOff>165100</xdr:rowOff>
        </xdr:to>
        <xdr:sp macro="" textlink="">
          <xdr:nvSpPr>
            <xdr:cNvPr id="13495" name="Button 2231" hidden="1">
              <a:extLst>
                <a:ext uri="{63B3BB69-23CF-44E3-9099-C40C66FF867C}">
                  <a14:compatExt spid="_x0000_s13495"/>
                </a:ext>
                <a:ext uri="{FF2B5EF4-FFF2-40B4-BE49-F238E27FC236}">
                  <a16:creationId xmlns:a16="http://schemas.microsoft.com/office/drawing/2014/main" id="{00000000-0008-0000-0100-0000B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2028</xdr:row>
          <xdr:rowOff>0</xdr:rowOff>
        </xdr:from>
        <xdr:to>
          <xdr:col>7</xdr:col>
          <xdr:colOff>0</xdr:colOff>
          <xdr:row>2028</xdr:row>
          <xdr:rowOff>165100</xdr:rowOff>
        </xdr:to>
        <xdr:sp macro="" textlink="">
          <xdr:nvSpPr>
            <xdr:cNvPr id="13494" name="Button 2230" hidden="1">
              <a:extLst>
                <a:ext uri="{63B3BB69-23CF-44E3-9099-C40C66FF867C}">
                  <a14:compatExt spid="_x0000_s13494"/>
                </a:ext>
                <a:ext uri="{FF2B5EF4-FFF2-40B4-BE49-F238E27FC236}">
                  <a16:creationId xmlns:a16="http://schemas.microsoft.com/office/drawing/2014/main" id="{00000000-0008-0000-0100-0000B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2029</xdr:row>
          <xdr:rowOff>0</xdr:rowOff>
        </xdr:from>
        <xdr:to>
          <xdr:col>7</xdr:col>
          <xdr:colOff>0</xdr:colOff>
          <xdr:row>2029</xdr:row>
          <xdr:rowOff>165100</xdr:rowOff>
        </xdr:to>
        <xdr:sp macro="" textlink="">
          <xdr:nvSpPr>
            <xdr:cNvPr id="13493" name="Button 2229" hidden="1">
              <a:extLst>
                <a:ext uri="{63B3BB69-23CF-44E3-9099-C40C66FF867C}">
                  <a14:compatExt spid="_x0000_s13493"/>
                </a:ext>
                <a:ext uri="{FF2B5EF4-FFF2-40B4-BE49-F238E27FC236}">
                  <a16:creationId xmlns:a16="http://schemas.microsoft.com/office/drawing/2014/main" id="{00000000-0008-0000-0100-0000B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2030</xdr:row>
          <xdr:rowOff>0</xdr:rowOff>
        </xdr:from>
        <xdr:to>
          <xdr:col>7</xdr:col>
          <xdr:colOff>0</xdr:colOff>
          <xdr:row>2030</xdr:row>
          <xdr:rowOff>165100</xdr:rowOff>
        </xdr:to>
        <xdr:sp macro="" textlink="">
          <xdr:nvSpPr>
            <xdr:cNvPr id="13492" name="Button 2228" hidden="1">
              <a:extLst>
                <a:ext uri="{63B3BB69-23CF-44E3-9099-C40C66FF867C}">
                  <a14:compatExt spid="_x0000_s13492"/>
                </a:ext>
                <a:ext uri="{FF2B5EF4-FFF2-40B4-BE49-F238E27FC236}">
                  <a16:creationId xmlns:a16="http://schemas.microsoft.com/office/drawing/2014/main" id="{00000000-0008-0000-0100-0000B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2031</xdr:row>
          <xdr:rowOff>0</xdr:rowOff>
        </xdr:from>
        <xdr:to>
          <xdr:col>7</xdr:col>
          <xdr:colOff>0</xdr:colOff>
          <xdr:row>2031</xdr:row>
          <xdr:rowOff>165100</xdr:rowOff>
        </xdr:to>
        <xdr:sp macro="" textlink="">
          <xdr:nvSpPr>
            <xdr:cNvPr id="13491" name="Button 2227" hidden="1">
              <a:extLst>
                <a:ext uri="{63B3BB69-23CF-44E3-9099-C40C66FF867C}">
                  <a14:compatExt spid="_x0000_s13491"/>
                </a:ext>
                <a:ext uri="{FF2B5EF4-FFF2-40B4-BE49-F238E27FC236}">
                  <a16:creationId xmlns:a16="http://schemas.microsoft.com/office/drawing/2014/main" id="{00000000-0008-0000-0100-0000B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2032</xdr:row>
          <xdr:rowOff>0</xdr:rowOff>
        </xdr:from>
        <xdr:to>
          <xdr:col>7</xdr:col>
          <xdr:colOff>0</xdr:colOff>
          <xdr:row>2032</xdr:row>
          <xdr:rowOff>165100</xdr:rowOff>
        </xdr:to>
        <xdr:sp macro="" textlink="">
          <xdr:nvSpPr>
            <xdr:cNvPr id="13490" name="Button 2226" hidden="1">
              <a:extLst>
                <a:ext uri="{63B3BB69-23CF-44E3-9099-C40C66FF867C}">
                  <a14:compatExt spid="_x0000_s13490"/>
                </a:ext>
                <a:ext uri="{FF2B5EF4-FFF2-40B4-BE49-F238E27FC236}">
                  <a16:creationId xmlns:a16="http://schemas.microsoft.com/office/drawing/2014/main" id="{00000000-0008-0000-0100-0000B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2033</xdr:row>
          <xdr:rowOff>0</xdr:rowOff>
        </xdr:from>
        <xdr:to>
          <xdr:col>7</xdr:col>
          <xdr:colOff>0</xdr:colOff>
          <xdr:row>2033</xdr:row>
          <xdr:rowOff>165100</xdr:rowOff>
        </xdr:to>
        <xdr:sp macro="" textlink="">
          <xdr:nvSpPr>
            <xdr:cNvPr id="13489" name="Button 2225" hidden="1">
              <a:extLst>
                <a:ext uri="{63B3BB69-23CF-44E3-9099-C40C66FF867C}">
                  <a14:compatExt spid="_x0000_s13489"/>
                </a:ext>
                <a:ext uri="{FF2B5EF4-FFF2-40B4-BE49-F238E27FC236}">
                  <a16:creationId xmlns:a16="http://schemas.microsoft.com/office/drawing/2014/main" id="{00000000-0008-0000-0100-0000B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2034</xdr:row>
          <xdr:rowOff>0</xdr:rowOff>
        </xdr:from>
        <xdr:to>
          <xdr:col>7</xdr:col>
          <xdr:colOff>0</xdr:colOff>
          <xdr:row>2034</xdr:row>
          <xdr:rowOff>165100</xdr:rowOff>
        </xdr:to>
        <xdr:sp macro="" textlink="">
          <xdr:nvSpPr>
            <xdr:cNvPr id="13488" name="Button 2224" hidden="1">
              <a:extLst>
                <a:ext uri="{63B3BB69-23CF-44E3-9099-C40C66FF867C}">
                  <a14:compatExt spid="_x0000_s13488"/>
                </a:ext>
                <a:ext uri="{FF2B5EF4-FFF2-40B4-BE49-F238E27FC236}">
                  <a16:creationId xmlns:a16="http://schemas.microsoft.com/office/drawing/2014/main" id="{00000000-0008-0000-0100-0000B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2037</xdr:row>
          <xdr:rowOff>0</xdr:rowOff>
        </xdr:from>
        <xdr:to>
          <xdr:col>7</xdr:col>
          <xdr:colOff>0</xdr:colOff>
          <xdr:row>2038</xdr:row>
          <xdr:rowOff>0</xdr:rowOff>
        </xdr:to>
        <xdr:sp macro="" textlink="">
          <xdr:nvSpPr>
            <xdr:cNvPr id="13487" name="Button 2223" hidden="1">
              <a:extLst>
                <a:ext uri="{63B3BB69-23CF-44E3-9099-C40C66FF867C}">
                  <a14:compatExt spid="_x0000_s13487"/>
                </a:ext>
                <a:ext uri="{FF2B5EF4-FFF2-40B4-BE49-F238E27FC236}">
                  <a16:creationId xmlns:a16="http://schemas.microsoft.com/office/drawing/2014/main" id="{00000000-0008-0000-0100-0000A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2044</xdr:row>
          <xdr:rowOff>0</xdr:rowOff>
        </xdr:from>
        <xdr:to>
          <xdr:col>7</xdr:col>
          <xdr:colOff>0</xdr:colOff>
          <xdr:row>2044</xdr:row>
          <xdr:rowOff>171450</xdr:rowOff>
        </xdr:to>
        <xdr:sp macro="" textlink="">
          <xdr:nvSpPr>
            <xdr:cNvPr id="13486" name="Button 2222" hidden="1">
              <a:extLst>
                <a:ext uri="{63B3BB69-23CF-44E3-9099-C40C66FF867C}">
                  <a14:compatExt spid="_x0000_s13486"/>
                </a:ext>
                <a:ext uri="{FF2B5EF4-FFF2-40B4-BE49-F238E27FC236}">
                  <a16:creationId xmlns:a16="http://schemas.microsoft.com/office/drawing/2014/main" id="{00000000-0008-0000-0100-0000A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2045</xdr:row>
          <xdr:rowOff>0</xdr:rowOff>
        </xdr:from>
        <xdr:to>
          <xdr:col>7</xdr:col>
          <xdr:colOff>0</xdr:colOff>
          <xdr:row>2045</xdr:row>
          <xdr:rowOff>165100</xdr:rowOff>
        </xdr:to>
        <xdr:sp macro="" textlink="">
          <xdr:nvSpPr>
            <xdr:cNvPr id="13485" name="Button 2221" hidden="1">
              <a:extLst>
                <a:ext uri="{63B3BB69-23CF-44E3-9099-C40C66FF867C}">
                  <a14:compatExt spid="_x0000_s13485"/>
                </a:ext>
                <a:ext uri="{FF2B5EF4-FFF2-40B4-BE49-F238E27FC236}">
                  <a16:creationId xmlns:a16="http://schemas.microsoft.com/office/drawing/2014/main" id="{00000000-0008-0000-0100-0000A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2046</xdr:row>
          <xdr:rowOff>0</xdr:rowOff>
        </xdr:from>
        <xdr:to>
          <xdr:col>7</xdr:col>
          <xdr:colOff>0</xdr:colOff>
          <xdr:row>2046</xdr:row>
          <xdr:rowOff>165100</xdr:rowOff>
        </xdr:to>
        <xdr:sp macro="" textlink="">
          <xdr:nvSpPr>
            <xdr:cNvPr id="13484" name="Button 2220" hidden="1">
              <a:extLst>
                <a:ext uri="{63B3BB69-23CF-44E3-9099-C40C66FF867C}">
                  <a14:compatExt spid="_x0000_s13484"/>
                </a:ext>
                <a:ext uri="{FF2B5EF4-FFF2-40B4-BE49-F238E27FC236}">
                  <a16:creationId xmlns:a16="http://schemas.microsoft.com/office/drawing/2014/main" id="{00000000-0008-0000-0100-0000A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2047</xdr:row>
          <xdr:rowOff>0</xdr:rowOff>
        </xdr:from>
        <xdr:to>
          <xdr:col>7</xdr:col>
          <xdr:colOff>0</xdr:colOff>
          <xdr:row>2047</xdr:row>
          <xdr:rowOff>165100</xdr:rowOff>
        </xdr:to>
        <xdr:sp macro="" textlink="">
          <xdr:nvSpPr>
            <xdr:cNvPr id="13483" name="Button 2219" hidden="1">
              <a:extLst>
                <a:ext uri="{63B3BB69-23CF-44E3-9099-C40C66FF867C}">
                  <a14:compatExt spid="_x0000_s13483"/>
                </a:ext>
                <a:ext uri="{FF2B5EF4-FFF2-40B4-BE49-F238E27FC236}">
                  <a16:creationId xmlns:a16="http://schemas.microsoft.com/office/drawing/2014/main" id="{00000000-0008-0000-0100-0000A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2048</xdr:row>
          <xdr:rowOff>0</xdr:rowOff>
        </xdr:from>
        <xdr:to>
          <xdr:col>7</xdr:col>
          <xdr:colOff>0</xdr:colOff>
          <xdr:row>2048</xdr:row>
          <xdr:rowOff>165100</xdr:rowOff>
        </xdr:to>
        <xdr:sp macro="" textlink="">
          <xdr:nvSpPr>
            <xdr:cNvPr id="13482" name="Button 2218" hidden="1">
              <a:extLst>
                <a:ext uri="{63B3BB69-23CF-44E3-9099-C40C66FF867C}">
                  <a14:compatExt spid="_x0000_s13482"/>
                </a:ext>
                <a:ext uri="{FF2B5EF4-FFF2-40B4-BE49-F238E27FC236}">
                  <a16:creationId xmlns:a16="http://schemas.microsoft.com/office/drawing/2014/main" id="{00000000-0008-0000-0100-0000A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2049</xdr:row>
          <xdr:rowOff>0</xdr:rowOff>
        </xdr:from>
        <xdr:to>
          <xdr:col>7</xdr:col>
          <xdr:colOff>0</xdr:colOff>
          <xdr:row>2049</xdr:row>
          <xdr:rowOff>165100</xdr:rowOff>
        </xdr:to>
        <xdr:sp macro="" textlink="">
          <xdr:nvSpPr>
            <xdr:cNvPr id="13481" name="Button 2217" hidden="1">
              <a:extLst>
                <a:ext uri="{63B3BB69-23CF-44E3-9099-C40C66FF867C}">
                  <a14:compatExt spid="_x0000_s13481"/>
                </a:ext>
                <a:ext uri="{FF2B5EF4-FFF2-40B4-BE49-F238E27FC236}">
                  <a16:creationId xmlns:a16="http://schemas.microsoft.com/office/drawing/2014/main" id="{00000000-0008-0000-0100-0000A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2050</xdr:row>
          <xdr:rowOff>0</xdr:rowOff>
        </xdr:from>
        <xdr:to>
          <xdr:col>7</xdr:col>
          <xdr:colOff>0</xdr:colOff>
          <xdr:row>2050</xdr:row>
          <xdr:rowOff>165100</xdr:rowOff>
        </xdr:to>
        <xdr:sp macro="" textlink="">
          <xdr:nvSpPr>
            <xdr:cNvPr id="13480" name="Button 2216" hidden="1">
              <a:extLst>
                <a:ext uri="{63B3BB69-23CF-44E3-9099-C40C66FF867C}">
                  <a14:compatExt spid="_x0000_s13480"/>
                </a:ext>
                <a:ext uri="{FF2B5EF4-FFF2-40B4-BE49-F238E27FC236}">
                  <a16:creationId xmlns:a16="http://schemas.microsoft.com/office/drawing/2014/main" id="{00000000-0008-0000-0100-0000A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2053</xdr:row>
          <xdr:rowOff>0</xdr:rowOff>
        </xdr:from>
        <xdr:to>
          <xdr:col>7</xdr:col>
          <xdr:colOff>0</xdr:colOff>
          <xdr:row>2054</xdr:row>
          <xdr:rowOff>0</xdr:rowOff>
        </xdr:to>
        <xdr:sp macro="" textlink="">
          <xdr:nvSpPr>
            <xdr:cNvPr id="13479" name="Button 2215" hidden="1">
              <a:extLst>
                <a:ext uri="{63B3BB69-23CF-44E3-9099-C40C66FF867C}">
                  <a14:compatExt spid="_x0000_s13479"/>
                </a:ext>
                <a:ext uri="{FF2B5EF4-FFF2-40B4-BE49-F238E27FC236}">
                  <a16:creationId xmlns:a16="http://schemas.microsoft.com/office/drawing/2014/main" id="{00000000-0008-0000-0100-0000A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2060</xdr:row>
          <xdr:rowOff>0</xdr:rowOff>
        </xdr:from>
        <xdr:to>
          <xdr:col>7</xdr:col>
          <xdr:colOff>0</xdr:colOff>
          <xdr:row>2060</xdr:row>
          <xdr:rowOff>171450</xdr:rowOff>
        </xdr:to>
        <xdr:sp macro="" textlink="">
          <xdr:nvSpPr>
            <xdr:cNvPr id="13478" name="Button 2214" hidden="1">
              <a:extLst>
                <a:ext uri="{63B3BB69-23CF-44E3-9099-C40C66FF867C}">
                  <a14:compatExt spid="_x0000_s13478"/>
                </a:ext>
                <a:ext uri="{FF2B5EF4-FFF2-40B4-BE49-F238E27FC236}">
                  <a16:creationId xmlns:a16="http://schemas.microsoft.com/office/drawing/2014/main" id="{00000000-0008-0000-0100-0000A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2061</xdr:row>
          <xdr:rowOff>0</xdr:rowOff>
        </xdr:from>
        <xdr:to>
          <xdr:col>7</xdr:col>
          <xdr:colOff>0</xdr:colOff>
          <xdr:row>2061</xdr:row>
          <xdr:rowOff>165100</xdr:rowOff>
        </xdr:to>
        <xdr:sp macro="" textlink="">
          <xdr:nvSpPr>
            <xdr:cNvPr id="13477" name="Button 2213" hidden="1">
              <a:extLst>
                <a:ext uri="{63B3BB69-23CF-44E3-9099-C40C66FF867C}">
                  <a14:compatExt spid="_x0000_s13477"/>
                </a:ext>
                <a:ext uri="{FF2B5EF4-FFF2-40B4-BE49-F238E27FC236}">
                  <a16:creationId xmlns:a16="http://schemas.microsoft.com/office/drawing/2014/main" id="{00000000-0008-0000-0100-0000A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2062</xdr:row>
          <xdr:rowOff>0</xdr:rowOff>
        </xdr:from>
        <xdr:to>
          <xdr:col>7</xdr:col>
          <xdr:colOff>0</xdr:colOff>
          <xdr:row>2062</xdr:row>
          <xdr:rowOff>165100</xdr:rowOff>
        </xdr:to>
        <xdr:sp macro="" textlink="">
          <xdr:nvSpPr>
            <xdr:cNvPr id="13476" name="Button 2212" hidden="1">
              <a:extLst>
                <a:ext uri="{63B3BB69-23CF-44E3-9099-C40C66FF867C}">
                  <a14:compatExt spid="_x0000_s13476"/>
                </a:ext>
                <a:ext uri="{FF2B5EF4-FFF2-40B4-BE49-F238E27FC236}">
                  <a16:creationId xmlns:a16="http://schemas.microsoft.com/office/drawing/2014/main" id="{00000000-0008-0000-0100-0000A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2065</xdr:row>
          <xdr:rowOff>0</xdr:rowOff>
        </xdr:from>
        <xdr:to>
          <xdr:col>7</xdr:col>
          <xdr:colOff>0</xdr:colOff>
          <xdr:row>2066</xdr:row>
          <xdr:rowOff>0</xdr:rowOff>
        </xdr:to>
        <xdr:sp macro="" textlink="">
          <xdr:nvSpPr>
            <xdr:cNvPr id="13475" name="Button 2211" hidden="1">
              <a:extLst>
                <a:ext uri="{63B3BB69-23CF-44E3-9099-C40C66FF867C}">
                  <a14:compatExt spid="_x0000_s13475"/>
                </a:ext>
                <a:ext uri="{FF2B5EF4-FFF2-40B4-BE49-F238E27FC236}">
                  <a16:creationId xmlns:a16="http://schemas.microsoft.com/office/drawing/2014/main" id="{00000000-0008-0000-0100-0000A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2072</xdr:row>
          <xdr:rowOff>0</xdr:rowOff>
        </xdr:from>
        <xdr:to>
          <xdr:col>7</xdr:col>
          <xdr:colOff>0</xdr:colOff>
          <xdr:row>2072</xdr:row>
          <xdr:rowOff>171450</xdr:rowOff>
        </xdr:to>
        <xdr:sp macro="" textlink="">
          <xdr:nvSpPr>
            <xdr:cNvPr id="13474" name="Button 2210" hidden="1">
              <a:extLst>
                <a:ext uri="{63B3BB69-23CF-44E3-9099-C40C66FF867C}">
                  <a14:compatExt spid="_x0000_s13474"/>
                </a:ext>
                <a:ext uri="{FF2B5EF4-FFF2-40B4-BE49-F238E27FC236}">
                  <a16:creationId xmlns:a16="http://schemas.microsoft.com/office/drawing/2014/main" id="{00000000-0008-0000-0100-0000A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2073</xdr:row>
          <xdr:rowOff>0</xdr:rowOff>
        </xdr:from>
        <xdr:to>
          <xdr:col>7</xdr:col>
          <xdr:colOff>0</xdr:colOff>
          <xdr:row>2073</xdr:row>
          <xdr:rowOff>165100</xdr:rowOff>
        </xdr:to>
        <xdr:sp macro="" textlink="">
          <xdr:nvSpPr>
            <xdr:cNvPr id="13473" name="Button 2209" hidden="1">
              <a:extLst>
                <a:ext uri="{63B3BB69-23CF-44E3-9099-C40C66FF867C}">
                  <a14:compatExt spid="_x0000_s13473"/>
                </a:ext>
                <a:ext uri="{FF2B5EF4-FFF2-40B4-BE49-F238E27FC236}">
                  <a16:creationId xmlns:a16="http://schemas.microsoft.com/office/drawing/2014/main" id="{00000000-0008-0000-0100-0000A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2074</xdr:row>
          <xdr:rowOff>0</xdr:rowOff>
        </xdr:from>
        <xdr:to>
          <xdr:col>7</xdr:col>
          <xdr:colOff>0</xdr:colOff>
          <xdr:row>2074</xdr:row>
          <xdr:rowOff>165100</xdr:rowOff>
        </xdr:to>
        <xdr:sp macro="" textlink="">
          <xdr:nvSpPr>
            <xdr:cNvPr id="13472" name="Button 2208" hidden="1">
              <a:extLst>
                <a:ext uri="{63B3BB69-23CF-44E3-9099-C40C66FF867C}">
                  <a14:compatExt spid="_x0000_s13472"/>
                </a:ext>
                <a:ext uri="{FF2B5EF4-FFF2-40B4-BE49-F238E27FC236}">
                  <a16:creationId xmlns:a16="http://schemas.microsoft.com/office/drawing/2014/main" id="{00000000-0008-0000-0100-0000A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2075</xdr:row>
          <xdr:rowOff>0</xdr:rowOff>
        </xdr:from>
        <xdr:to>
          <xdr:col>7</xdr:col>
          <xdr:colOff>0</xdr:colOff>
          <xdr:row>2075</xdr:row>
          <xdr:rowOff>165100</xdr:rowOff>
        </xdr:to>
        <xdr:sp macro="" textlink="">
          <xdr:nvSpPr>
            <xdr:cNvPr id="13471" name="Button 2207" hidden="1">
              <a:extLst>
                <a:ext uri="{63B3BB69-23CF-44E3-9099-C40C66FF867C}">
                  <a14:compatExt spid="_x0000_s13471"/>
                </a:ext>
                <a:ext uri="{FF2B5EF4-FFF2-40B4-BE49-F238E27FC236}">
                  <a16:creationId xmlns:a16="http://schemas.microsoft.com/office/drawing/2014/main" id="{00000000-0008-0000-0100-00009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2076</xdr:row>
          <xdr:rowOff>0</xdr:rowOff>
        </xdr:from>
        <xdr:to>
          <xdr:col>7</xdr:col>
          <xdr:colOff>0</xdr:colOff>
          <xdr:row>2076</xdr:row>
          <xdr:rowOff>165100</xdr:rowOff>
        </xdr:to>
        <xdr:sp macro="" textlink="">
          <xdr:nvSpPr>
            <xdr:cNvPr id="13470" name="Button 2206" hidden="1">
              <a:extLst>
                <a:ext uri="{63B3BB69-23CF-44E3-9099-C40C66FF867C}">
                  <a14:compatExt spid="_x0000_s13470"/>
                </a:ext>
                <a:ext uri="{FF2B5EF4-FFF2-40B4-BE49-F238E27FC236}">
                  <a16:creationId xmlns:a16="http://schemas.microsoft.com/office/drawing/2014/main" id="{00000000-0008-0000-0100-00009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2079</xdr:row>
          <xdr:rowOff>0</xdr:rowOff>
        </xdr:from>
        <xdr:to>
          <xdr:col>7</xdr:col>
          <xdr:colOff>0</xdr:colOff>
          <xdr:row>2080</xdr:row>
          <xdr:rowOff>0</xdr:rowOff>
        </xdr:to>
        <xdr:sp macro="" textlink="">
          <xdr:nvSpPr>
            <xdr:cNvPr id="13469" name="Button 2205" hidden="1">
              <a:extLst>
                <a:ext uri="{63B3BB69-23CF-44E3-9099-C40C66FF867C}">
                  <a14:compatExt spid="_x0000_s13469"/>
                </a:ext>
                <a:ext uri="{FF2B5EF4-FFF2-40B4-BE49-F238E27FC236}">
                  <a16:creationId xmlns:a16="http://schemas.microsoft.com/office/drawing/2014/main" id="{00000000-0008-0000-0100-00009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2086</xdr:row>
          <xdr:rowOff>0</xdr:rowOff>
        </xdr:from>
        <xdr:to>
          <xdr:col>7</xdr:col>
          <xdr:colOff>0</xdr:colOff>
          <xdr:row>2086</xdr:row>
          <xdr:rowOff>171450</xdr:rowOff>
        </xdr:to>
        <xdr:sp macro="" textlink="">
          <xdr:nvSpPr>
            <xdr:cNvPr id="13468" name="Button 2204" hidden="1">
              <a:extLst>
                <a:ext uri="{63B3BB69-23CF-44E3-9099-C40C66FF867C}">
                  <a14:compatExt spid="_x0000_s13468"/>
                </a:ext>
                <a:ext uri="{FF2B5EF4-FFF2-40B4-BE49-F238E27FC236}">
                  <a16:creationId xmlns:a16="http://schemas.microsoft.com/office/drawing/2014/main" id="{00000000-0008-0000-0100-00009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2087</xdr:row>
          <xdr:rowOff>0</xdr:rowOff>
        </xdr:from>
        <xdr:to>
          <xdr:col>7</xdr:col>
          <xdr:colOff>0</xdr:colOff>
          <xdr:row>2087</xdr:row>
          <xdr:rowOff>165100</xdr:rowOff>
        </xdr:to>
        <xdr:sp macro="" textlink="">
          <xdr:nvSpPr>
            <xdr:cNvPr id="13467" name="Button 2203" hidden="1">
              <a:extLst>
                <a:ext uri="{63B3BB69-23CF-44E3-9099-C40C66FF867C}">
                  <a14:compatExt spid="_x0000_s13467"/>
                </a:ext>
                <a:ext uri="{FF2B5EF4-FFF2-40B4-BE49-F238E27FC236}">
                  <a16:creationId xmlns:a16="http://schemas.microsoft.com/office/drawing/2014/main" id="{00000000-0008-0000-0100-00009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2088</xdr:row>
          <xdr:rowOff>0</xdr:rowOff>
        </xdr:from>
        <xdr:to>
          <xdr:col>7</xdr:col>
          <xdr:colOff>0</xdr:colOff>
          <xdr:row>2088</xdr:row>
          <xdr:rowOff>165100</xdr:rowOff>
        </xdr:to>
        <xdr:sp macro="" textlink="">
          <xdr:nvSpPr>
            <xdr:cNvPr id="13466" name="Button 2202" hidden="1">
              <a:extLst>
                <a:ext uri="{63B3BB69-23CF-44E3-9099-C40C66FF867C}">
                  <a14:compatExt spid="_x0000_s13466"/>
                </a:ext>
                <a:ext uri="{FF2B5EF4-FFF2-40B4-BE49-F238E27FC236}">
                  <a16:creationId xmlns:a16="http://schemas.microsoft.com/office/drawing/2014/main" id="{00000000-0008-0000-0100-00009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2089</xdr:row>
          <xdr:rowOff>0</xdr:rowOff>
        </xdr:from>
        <xdr:to>
          <xdr:col>7</xdr:col>
          <xdr:colOff>0</xdr:colOff>
          <xdr:row>2089</xdr:row>
          <xdr:rowOff>165100</xdr:rowOff>
        </xdr:to>
        <xdr:sp macro="" textlink="">
          <xdr:nvSpPr>
            <xdr:cNvPr id="13465" name="Button 2201" hidden="1">
              <a:extLst>
                <a:ext uri="{63B3BB69-23CF-44E3-9099-C40C66FF867C}">
                  <a14:compatExt spid="_x0000_s13465"/>
                </a:ext>
                <a:ext uri="{FF2B5EF4-FFF2-40B4-BE49-F238E27FC236}">
                  <a16:creationId xmlns:a16="http://schemas.microsoft.com/office/drawing/2014/main" id="{00000000-0008-0000-0100-00009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2090</xdr:row>
          <xdr:rowOff>0</xdr:rowOff>
        </xdr:from>
        <xdr:to>
          <xdr:col>7</xdr:col>
          <xdr:colOff>0</xdr:colOff>
          <xdr:row>2090</xdr:row>
          <xdr:rowOff>165100</xdr:rowOff>
        </xdr:to>
        <xdr:sp macro="" textlink="">
          <xdr:nvSpPr>
            <xdr:cNvPr id="13464" name="Button 2200" hidden="1">
              <a:extLst>
                <a:ext uri="{63B3BB69-23CF-44E3-9099-C40C66FF867C}">
                  <a14:compatExt spid="_x0000_s13464"/>
                </a:ext>
                <a:ext uri="{FF2B5EF4-FFF2-40B4-BE49-F238E27FC236}">
                  <a16:creationId xmlns:a16="http://schemas.microsoft.com/office/drawing/2014/main" id="{00000000-0008-0000-0100-00009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2091</xdr:row>
          <xdr:rowOff>0</xdr:rowOff>
        </xdr:from>
        <xdr:to>
          <xdr:col>7</xdr:col>
          <xdr:colOff>0</xdr:colOff>
          <xdr:row>2091</xdr:row>
          <xdr:rowOff>165100</xdr:rowOff>
        </xdr:to>
        <xdr:sp macro="" textlink="">
          <xdr:nvSpPr>
            <xdr:cNvPr id="13463" name="Button 2199" hidden="1">
              <a:extLst>
                <a:ext uri="{63B3BB69-23CF-44E3-9099-C40C66FF867C}">
                  <a14:compatExt spid="_x0000_s13463"/>
                </a:ext>
                <a:ext uri="{FF2B5EF4-FFF2-40B4-BE49-F238E27FC236}">
                  <a16:creationId xmlns:a16="http://schemas.microsoft.com/office/drawing/2014/main" id="{00000000-0008-0000-0100-00009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2094</xdr:row>
          <xdr:rowOff>0</xdr:rowOff>
        </xdr:from>
        <xdr:to>
          <xdr:col>7</xdr:col>
          <xdr:colOff>0</xdr:colOff>
          <xdr:row>2095</xdr:row>
          <xdr:rowOff>0</xdr:rowOff>
        </xdr:to>
        <xdr:sp macro="" textlink="">
          <xdr:nvSpPr>
            <xdr:cNvPr id="13462" name="Button 2198" hidden="1">
              <a:extLst>
                <a:ext uri="{63B3BB69-23CF-44E3-9099-C40C66FF867C}">
                  <a14:compatExt spid="_x0000_s13462"/>
                </a:ext>
                <a:ext uri="{FF2B5EF4-FFF2-40B4-BE49-F238E27FC236}">
                  <a16:creationId xmlns:a16="http://schemas.microsoft.com/office/drawing/2014/main" id="{00000000-0008-0000-0100-00009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2101</xdr:row>
          <xdr:rowOff>0</xdr:rowOff>
        </xdr:from>
        <xdr:to>
          <xdr:col>7</xdr:col>
          <xdr:colOff>0</xdr:colOff>
          <xdr:row>2101</xdr:row>
          <xdr:rowOff>171450</xdr:rowOff>
        </xdr:to>
        <xdr:sp macro="" textlink="">
          <xdr:nvSpPr>
            <xdr:cNvPr id="13461" name="Button 2197" hidden="1">
              <a:extLst>
                <a:ext uri="{63B3BB69-23CF-44E3-9099-C40C66FF867C}">
                  <a14:compatExt spid="_x0000_s13461"/>
                </a:ext>
                <a:ext uri="{FF2B5EF4-FFF2-40B4-BE49-F238E27FC236}">
                  <a16:creationId xmlns:a16="http://schemas.microsoft.com/office/drawing/2014/main" id="{00000000-0008-0000-0100-00009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2102</xdr:row>
          <xdr:rowOff>0</xdr:rowOff>
        </xdr:from>
        <xdr:to>
          <xdr:col>7</xdr:col>
          <xdr:colOff>0</xdr:colOff>
          <xdr:row>2102</xdr:row>
          <xdr:rowOff>165100</xdr:rowOff>
        </xdr:to>
        <xdr:sp macro="" textlink="">
          <xdr:nvSpPr>
            <xdr:cNvPr id="13460" name="Button 2196" hidden="1">
              <a:extLst>
                <a:ext uri="{63B3BB69-23CF-44E3-9099-C40C66FF867C}">
                  <a14:compatExt spid="_x0000_s13460"/>
                </a:ext>
                <a:ext uri="{FF2B5EF4-FFF2-40B4-BE49-F238E27FC236}">
                  <a16:creationId xmlns:a16="http://schemas.microsoft.com/office/drawing/2014/main" id="{00000000-0008-0000-0100-00009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2103</xdr:row>
          <xdr:rowOff>0</xdr:rowOff>
        </xdr:from>
        <xdr:to>
          <xdr:col>7</xdr:col>
          <xdr:colOff>0</xdr:colOff>
          <xdr:row>2103</xdr:row>
          <xdr:rowOff>165100</xdr:rowOff>
        </xdr:to>
        <xdr:sp macro="" textlink="">
          <xdr:nvSpPr>
            <xdr:cNvPr id="13459" name="Button 2195" hidden="1">
              <a:extLst>
                <a:ext uri="{63B3BB69-23CF-44E3-9099-C40C66FF867C}">
                  <a14:compatExt spid="_x0000_s13459"/>
                </a:ext>
                <a:ext uri="{FF2B5EF4-FFF2-40B4-BE49-F238E27FC236}">
                  <a16:creationId xmlns:a16="http://schemas.microsoft.com/office/drawing/2014/main" id="{00000000-0008-0000-0100-00009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2104</xdr:row>
          <xdr:rowOff>0</xdr:rowOff>
        </xdr:from>
        <xdr:to>
          <xdr:col>7</xdr:col>
          <xdr:colOff>0</xdr:colOff>
          <xdr:row>2104</xdr:row>
          <xdr:rowOff>165100</xdr:rowOff>
        </xdr:to>
        <xdr:sp macro="" textlink="">
          <xdr:nvSpPr>
            <xdr:cNvPr id="13458" name="Button 2194" hidden="1">
              <a:extLst>
                <a:ext uri="{63B3BB69-23CF-44E3-9099-C40C66FF867C}">
                  <a14:compatExt spid="_x0000_s13458"/>
                </a:ext>
                <a:ext uri="{FF2B5EF4-FFF2-40B4-BE49-F238E27FC236}">
                  <a16:creationId xmlns:a16="http://schemas.microsoft.com/office/drawing/2014/main" id="{00000000-0008-0000-0100-00009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2105</xdr:row>
          <xdr:rowOff>0</xdr:rowOff>
        </xdr:from>
        <xdr:to>
          <xdr:col>7</xdr:col>
          <xdr:colOff>0</xdr:colOff>
          <xdr:row>2105</xdr:row>
          <xdr:rowOff>165100</xdr:rowOff>
        </xdr:to>
        <xdr:sp macro="" textlink="">
          <xdr:nvSpPr>
            <xdr:cNvPr id="13457" name="Button 2193" hidden="1">
              <a:extLst>
                <a:ext uri="{63B3BB69-23CF-44E3-9099-C40C66FF867C}">
                  <a14:compatExt spid="_x0000_s13457"/>
                </a:ext>
                <a:ext uri="{FF2B5EF4-FFF2-40B4-BE49-F238E27FC236}">
                  <a16:creationId xmlns:a16="http://schemas.microsoft.com/office/drawing/2014/main" id="{00000000-0008-0000-0100-00009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2108</xdr:row>
          <xdr:rowOff>0</xdr:rowOff>
        </xdr:from>
        <xdr:to>
          <xdr:col>7</xdr:col>
          <xdr:colOff>0</xdr:colOff>
          <xdr:row>2109</xdr:row>
          <xdr:rowOff>0</xdr:rowOff>
        </xdr:to>
        <xdr:sp macro="" textlink="">
          <xdr:nvSpPr>
            <xdr:cNvPr id="13456" name="Button 2192" hidden="1">
              <a:extLst>
                <a:ext uri="{63B3BB69-23CF-44E3-9099-C40C66FF867C}">
                  <a14:compatExt spid="_x0000_s13456"/>
                </a:ext>
                <a:ext uri="{FF2B5EF4-FFF2-40B4-BE49-F238E27FC236}">
                  <a16:creationId xmlns:a16="http://schemas.microsoft.com/office/drawing/2014/main" id="{00000000-0008-0000-0100-00009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2115</xdr:row>
          <xdr:rowOff>0</xdr:rowOff>
        </xdr:from>
        <xdr:to>
          <xdr:col>7</xdr:col>
          <xdr:colOff>0</xdr:colOff>
          <xdr:row>2115</xdr:row>
          <xdr:rowOff>171450</xdr:rowOff>
        </xdr:to>
        <xdr:sp macro="" textlink="">
          <xdr:nvSpPr>
            <xdr:cNvPr id="13455" name="Button 2191" hidden="1">
              <a:extLst>
                <a:ext uri="{63B3BB69-23CF-44E3-9099-C40C66FF867C}">
                  <a14:compatExt spid="_x0000_s13455"/>
                </a:ext>
                <a:ext uri="{FF2B5EF4-FFF2-40B4-BE49-F238E27FC236}">
                  <a16:creationId xmlns:a16="http://schemas.microsoft.com/office/drawing/2014/main" id="{00000000-0008-0000-0100-00008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2116</xdr:row>
          <xdr:rowOff>0</xdr:rowOff>
        </xdr:from>
        <xdr:to>
          <xdr:col>7</xdr:col>
          <xdr:colOff>0</xdr:colOff>
          <xdr:row>2116</xdr:row>
          <xdr:rowOff>165100</xdr:rowOff>
        </xdr:to>
        <xdr:sp macro="" textlink="">
          <xdr:nvSpPr>
            <xdr:cNvPr id="13454" name="Button 2190" hidden="1">
              <a:extLst>
                <a:ext uri="{63B3BB69-23CF-44E3-9099-C40C66FF867C}">
                  <a14:compatExt spid="_x0000_s13454"/>
                </a:ext>
                <a:ext uri="{FF2B5EF4-FFF2-40B4-BE49-F238E27FC236}">
                  <a16:creationId xmlns:a16="http://schemas.microsoft.com/office/drawing/2014/main" id="{00000000-0008-0000-0100-00008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2117</xdr:row>
          <xdr:rowOff>0</xdr:rowOff>
        </xdr:from>
        <xdr:to>
          <xdr:col>7</xdr:col>
          <xdr:colOff>0</xdr:colOff>
          <xdr:row>2117</xdr:row>
          <xdr:rowOff>165100</xdr:rowOff>
        </xdr:to>
        <xdr:sp macro="" textlink="">
          <xdr:nvSpPr>
            <xdr:cNvPr id="13453" name="Button 2189" hidden="1">
              <a:extLst>
                <a:ext uri="{63B3BB69-23CF-44E3-9099-C40C66FF867C}">
                  <a14:compatExt spid="_x0000_s13453"/>
                </a:ext>
                <a:ext uri="{FF2B5EF4-FFF2-40B4-BE49-F238E27FC236}">
                  <a16:creationId xmlns:a16="http://schemas.microsoft.com/office/drawing/2014/main" id="{00000000-0008-0000-0100-00008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2118</xdr:row>
          <xdr:rowOff>0</xdr:rowOff>
        </xdr:from>
        <xdr:to>
          <xdr:col>7</xdr:col>
          <xdr:colOff>0</xdr:colOff>
          <xdr:row>2118</xdr:row>
          <xdr:rowOff>165100</xdr:rowOff>
        </xdr:to>
        <xdr:sp macro="" textlink="">
          <xdr:nvSpPr>
            <xdr:cNvPr id="13452" name="Button 2188" hidden="1">
              <a:extLst>
                <a:ext uri="{63B3BB69-23CF-44E3-9099-C40C66FF867C}">
                  <a14:compatExt spid="_x0000_s13452"/>
                </a:ext>
                <a:ext uri="{FF2B5EF4-FFF2-40B4-BE49-F238E27FC236}">
                  <a16:creationId xmlns:a16="http://schemas.microsoft.com/office/drawing/2014/main" id="{00000000-0008-0000-0100-00008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2119</xdr:row>
          <xdr:rowOff>0</xdr:rowOff>
        </xdr:from>
        <xdr:to>
          <xdr:col>7</xdr:col>
          <xdr:colOff>0</xdr:colOff>
          <xdr:row>2119</xdr:row>
          <xdr:rowOff>165100</xdr:rowOff>
        </xdr:to>
        <xdr:sp macro="" textlink="">
          <xdr:nvSpPr>
            <xdr:cNvPr id="13451" name="Button 2187" hidden="1">
              <a:extLst>
                <a:ext uri="{63B3BB69-23CF-44E3-9099-C40C66FF867C}">
                  <a14:compatExt spid="_x0000_s13451"/>
                </a:ext>
                <a:ext uri="{FF2B5EF4-FFF2-40B4-BE49-F238E27FC236}">
                  <a16:creationId xmlns:a16="http://schemas.microsoft.com/office/drawing/2014/main" id="{00000000-0008-0000-0100-00008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2122</xdr:row>
          <xdr:rowOff>0</xdr:rowOff>
        </xdr:from>
        <xdr:to>
          <xdr:col>7</xdr:col>
          <xdr:colOff>0</xdr:colOff>
          <xdr:row>2123</xdr:row>
          <xdr:rowOff>0</xdr:rowOff>
        </xdr:to>
        <xdr:sp macro="" textlink="">
          <xdr:nvSpPr>
            <xdr:cNvPr id="13450" name="Button 2186" hidden="1">
              <a:extLst>
                <a:ext uri="{63B3BB69-23CF-44E3-9099-C40C66FF867C}">
                  <a14:compatExt spid="_x0000_s13450"/>
                </a:ext>
                <a:ext uri="{FF2B5EF4-FFF2-40B4-BE49-F238E27FC236}">
                  <a16:creationId xmlns:a16="http://schemas.microsoft.com/office/drawing/2014/main" id="{00000000-0008-0000-0100-00008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2129</xdr:row>
          <xdr:rowOff>0</xdr:rowOff>
        </xdr:from>
        <xdr:to>
          <xdr:col>7</xdr:col>
          <xdr:colOff>0</xdr:colOff>
          <xdr:row>2129</xdr:row>
          <xdr:rowOff>171450</xdr:rowOff>
        </xdr:to>
        <xdr:sp macro="" textlink="">
          <xdr:nvSpPr>
            <xdr:cNvPr id="13449" name="Button 2185" hidden="1">
              <a:extLst>
                <a:ext uri="{63B3BB69-23CF-44E3-9099-C40C66FF867C}">
                  <a14:compatExt spid="_x0000_s13449"/>
                </a:ext>
                <a:ext uri="{FF2B5EF4-FFF2-40B4-BE49-F238E27FC236}">
                  <a16:creationId xmlns:a16="http://schemas.microsoft.com/office/drawing/2014/main" id="{00000000-0008-0000-0100-00008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2130</xdr:row>
          <xdr:rowOff>0</xdr:rowOff>
        </xdr:from>
        <xdr:to>
          <xdr:col>7</xdr:col>
          <xdr:colOff>0</xdr:colOff>
          <xdr:row>2130</xdr:row>
          <xdr:rowOff>165100</xdr:rowOff>
        </xdr:to>
        <xdr:sp macro="" textlink="">
          <xdr:nvSpPr>
            <xdr:cNvPr id="13448" name="Button 2184" hidden="1">
              <a:extLst>
                <a:ext uri="{63B3BB69-23CF-44E3-9099-C40C66FF867C}">
                  <a14:compatExt spid="_x0000_s13448"/>
                </a:ext>
                <a:ext uri="{FF2B5EF4-FFF2-40B4-BE49-F238E27FC236}">
                  <a16:creationId xmlns:a16="http://schemas.microsoft.com/office/drawing/2014/main" id="{00000000-0008-0000-0100-00008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2131</xdr:row>
          <xdr:rowOff>0</xdr:rowOff>
        </xdr:from>
        <xdr:to>
          <xdr:col>7</xdr:col>
          <xdr:colOff>0</xdr:colOff>
          <xdr:row>2131</xdr:row>
          <xdr:rowOff>165100</xdr:rowOff>
        </xdr:to>
        <xdr:sp macro="" textlink="">
          <xdr:nvSpPr>
            <xdr:cNvPr id="13447" name="Button 2183" hidden="1">
              <a:extLst>
                <a:ext uri="{63B3BB69-23CF-44E3-9099-C40C66FF867C}">
                  <a14:compatExt spid="_x0000_s13447"/>
                </a:ext>
                <a:ext uri="{FF2B5EF4-FFF2-40B4-BE49-F238E27FC236}">
                  <a16:creationId xmlns:a16="http://schemas.microsoft.com/office/drawing/2014/main" id="{00000000-0008-0000-0100-00008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2132</xdr:row>
          <xdr:rowOff>0</xdr:rowOff>
        </xdr:from>
        <xdr:to>
          <xdr:col>7</xdr:col>
          <xdr:colOff>0</xdr:colOff>
          <xdr:row>2132</xdr:row>
          <xdr:rowOff>165100</xdr:rowOff>
        </xdr:to>
        <xdr:sp macro="" textlink="">
          <xdr:nvSpPr>
            <xdr:cNvPr id="13446" name="Button 2182" hidden="1">
              <a:extLst>
                <a:ext uri="{63B3BB69-23CF-44E3-9099-C40C66FF867C}">
                  <a14:compatExt spid="_x0000_s13446"/>
                </a:ext>
                <a:ext uri="{FF2B5EF4-FFF2-40B4-BE49-F238E27FC236}">
                  <a16:creationId xmlns:a16="http://schemas.microsoft.com/office/drawing/2014/main" id="{00000000-0008-0000-0100-00008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2133</xdr:row>
          <xdr:rowOff>0</xdr:rowOff>
        </xdr:from>
        <xdr:to>
          <xdr:col>7</xdr:col>
          <xdr:colOff>0</xdr:colOff>
          <xdr:row>2133</xdr:row>
          <xdr:rowOff>165100</xdr:rowOff>
        </xdr:to>
        <xdr:sp macro="" textlink="">
          <xdr:nvSpPr>
            <xdr:cNvPr id="13445" name="Button 2181" hidden="1">
              <a:extLst>
                <a:ext uri="{63B3BB69-23CF-44E3-9099-C40C66FF867C}">
                  <a14:compatExt spid="_x0000_s13445"/>
                </a:ext>
                <a:ext uri="{FF2B5EF4-FFF2-40B4-BE49-F238E27FC236}">
                  <a16:creationId xmlns:a16="http://schemas.microsoft.com/office/drawing/2014/main" id="{00000000-0008-0000-0100-00008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2134</xdr:row>
          <xdr:rowOff>0</xdr:rowOff>
        </xdr:from>
        <xdr:to>
          <xdr:col>7</xdr:col>
          <xdr:colOff>0</xdr:colOff>
          <xdr:row>2134</xdr:row>
          <xdr:rowOff>165100</xdr:rowOff>
        </xdr:to>
        <xdr:sp macro="" textlink="">
          <xdr:nvSpPr>
            <xdr:cNvPr id="13444" name="Button 2180" hidden="1">
              <a:extLst>
                <a:ext uri="{63B3BB69-23CF-44E3-9099-C40C66FF867C}">
                  <a14:compatExt spid="_x0000_s13444"/>
                </a:ext>
                <a:ext uri="{FF2B5EF4-FFF2-40B4-BE49-F238E27FC236}">
                  <a16:creationId xmlns:a16="http://schemas.microsoft.com/office/drawing/2014/main" id="{00000000-0008-0000-0100-00008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2135</xdr:row>
          <xdr:rowOff>0</xdr:rowOff>
        </xdr:from>
        <xdr:to>
          <xdr:col>7</xdr:col>
          <xdr:colOff>0</xdr:colOff>
          <xdr:row>2135</xdr:row>
          <xdr:rowOff>165100</xdr:rowOff>
        </xdr:to>
        <xdr:sp macro="" textlink="">
          <xdr:nvSpPr>
            <xdr:cNvPr id="13443" name="Button 2179" hidden="1">
              <a:extLst>
                <a:ext uri="{63B3BB69-23CF-44E3-9099-C40C66FF867C}">
                  <a14:compatExt spid="_x0000_s13443"/>
                </a:ext>
                <a:ext uri="{FF2B5EF4-FFF2-40B4-BE49-F238E27FC236}">
                  <a16:creationId xmlns:a16="http://schemas.microsoft.com/office/drawing/2014/main" id="{00000000-0008-0000-0100-00008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2136</xdr:row>
          <xdr:rowOff>0</xdr:rowOff>
        </xdr:from>
        <xdr:to>
          <xdr:col>7</xdr:col>
          <xdr:colOff>0</xdr:colOff>
          <xdr:row>2136</xdr:row>
          <xdr:rowOff>165100</xdr:rowOff>
        </xdr:to>
        <xdr:sp macro="" textlink="">
          <xdr:nvSpPr>
            <xdr:cNvPr id="13442" name="Button 2178" hidden="1">
              <a:extLst>
                <a:ext uri="{63B3BB69-23CF-44E3-9099-C40C66FF867C}">
                  <a14:compatExt spid="_x0000_s13442"/>
                </a:ext>
                <a:ext uri="{FF2B5EF4-FFF2-40B4-BE49-F238E27FC236}">
                  <a16:creationId xmlns:a16="http://schemas.microsoft.com/office/drawing/2014/main" id="{00000000-0008-0000-0100-00008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2137</xdr:row>
          <xdr:rowOff>0</xdr:rowOff>
        </xdr:from>
        <xdr:to>
          <xdr:col>7</xdr:col>
          <xdr:colOff>0</xdr:colOff>
          <xdr:row>2137</xdr:row>
          <xdr:rowOff>165100</xdr:rowOff>
        </xdr:to>
        <xdr:sp macro="" textlink="">
          <xdr:nvSpPr>
            <xdr:cNvPr id="13441" name="Button 2177" hidden="1">
              <a:extLst>
                <a:ext uri="{63B3BB69-23CF-44E3-9099-C40C66FF867C}">
                  <a14:compatExt spid="_x0000_s13441"/>
                </a:ext>
                <a:ext uri="{FF2B5EF4-FFF2-40B4-BE49-F238E27FC236}">
                  <a16:creationId xmlns:a16="http://schemas.microsoft.com/office/drawing/2014/main" id="{00000000-0008-0000-0100-00008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2138</xdr:row>
          <xdr:rowOff>0</xdr:rowOff>
        </xdr:from>
        <xdr:to>
          <xdr:col>7</xdr:col>
          <xdr:colOff>0</xdr:colOff>
          <xdr:row>2138</xdr:row>
          <xdr:rowOff>165100</xdr:rowOff>
        </xdr:to>
        <xdr:sp macro="" textlink="">
          <xdr:nvSpPr>
            <xdr:cNvPr id="13440" name="Button 2176" hidden="1">
              <a:extLst>
                <a:ext uri="{63B3BB69-23CF-44E3-9099-C40C66FF867C}">
                  <a14:compatExt spid="_x0000_s13440"/>
                </a:ext>
                <a:ext uri="{FF2B5EF4-FFF2-40B4-BE49-F238E27FC236}">
                  <a16:creationId xmlns:a16="http://schemas.microsoft.com/office/drawing/2014/main" id="{00000000-0008-0000-0100-00008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2139</xdr:row>
          <xdr:rowOff>0</xdr:rowOff>
        </xdr:from>
        <xdr:to>
          <xdr:col>7</xdr:col>
          <xdr:colOff>0</xdr:colOff>
          <xdr:row>2139</xdr:row>
          <xdr:rowOff>165100</xdr:rowOff>
        </xdr:to>
        <xdr:sp macro="" textlink="">
          <xdr:nvSpPr>
            <xdr:cNvPr id="13439" name="Button 2175" hidden="1">
              <a:extLst>
                <a:ext uri="{63B3BB69-23CF-44E3-9099-C40C66FF867C}">
                  <a14:compatExt spid="_x0000_s13439"/>
                </a:ext>
                <a:ext uri="{FF2B5EF4-FFF2-40B4-BE49-F238E27FC236}">
                  <a16:creationId xmlns:a16="http://schemas.microsoft.com/office/drawing/2014/main" id="{00000000-0008-0000-0100-00007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2142</xdr:row>
          <xdr:rowOff>0</xdr:rowOff>
        </xdr:from>
        <xdr:to>
          <xdr:col>7</xdr:col>
          <xdr:colOff>0</xdr:colOff>
          <xdr:row>2143</xdr:row>
          <xdr:rowOff>0</xdr:rowOff>
        </xdr:to>
        <xdr:sp macro="" textlink="">
          <xdr:nvSpPr>
            <xdr:cNvPr id="13438" name="Button 2174" hidden="1">
              <a:extLst>
                <a:ext uri="{63B3BB69-23CF-44E3-9099-C40C66FF867C}">
                  <a14:compatExt spid="_x0000_s13438"/>
                </a:ext>
                <a:ext uri="{FF2B5EF4-FFF2-40B4-BE49-F238E27FC236}">
                  <a16:creationId xmlns:a16="http://schemas.microsoft.com/office/drawing/2014/main" id="{00000000-0008-0000-0100-00007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2149</xdr:row>
          <xdr:rowOff>0</xdr:rowOff>
        </xdr:from>
        <xdr:to>
          <xdr:col>7</xdr:col>
          <xdr:colOff>0</xdr:colOff>
          <xdr:row>2149</xdr:row>
          <xdr:rowOff>171450</xdr:rowOff>
        </xdr:to>
        <xdr:sp macro="" textlink="">
          <xdr:nvSpPr>
            <xdr:cNvPr id="13437" name="Button 2173" hidden="1">
              <a:extLst>
                <a:ext uri="{63B3BB69-23CF-44E3-9099-C40C66FF867C}">
                  <a14:compatExt spid="_x0000_s13437"/>
                </a:ext>
                <a:ext uri="{FF2B5EF4-FFF2-40B4-BE49-F238E27FC236}">
                  <a16:creationId xmlns:a16="http://schemas.microsoft.com/office/drawing/2014/main" id="{00000000-0008-0000-0100-00007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2150</xdr:row>
          <xdr:rowOff>0</xdr:rowOff>
        </xdr:from>
        <xdr:to>
          <xdr:col>7</xdr:col>
          <xdr:colOff>0</xdr:colOff>
          <xdr:row>2150</xdr:row>
          <xdr:rowOff>165100</xdr:rowOff>
        </xdr:to>
        <xdr:sp macro="" textlink="">
          <xdr:nvSpPr>
            <xdr:cNvPr id="13436" name="Button 2172" hidden="1">
              <a:extLst>
                <a:ext uri="{63B3BB69-23CF-44E3-9099-C40C66FF867C}">
                  <a14:compatExt spid="_x0000_s13436"/>
                </a:ext>
                <a:ext uri="{FF2B5EF4-FFF2-40B4-BE49-F238E27FC236}">
                  <a16:creationId xmlns:a16="http://schemas.microsoft.com/office/drawing/2014/main" id="{00000000-0008-0000-0100-00007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2151</xdr:row>
          <xdr:rowOff>0</xdr:rowOff>
        </xdr:from>
        <xdr:to>
          <xdr:col>7</xdr:col>
          <xdr:colOff>0</xdr:colOff>
          <xdr:row>2151</xdr:row>
          <xdr:rowOff>165100</xdr:rowOff>
        </xdr:to>
        <xdr:sp macro="" textlink="">
          <xdr:nvSpPr>
            <xdr:cNvPr id="13435" name="Button 2171" hidden="1">
              <a:extLst>
                <a:ext uri="{63B3BB69-23CF-44E3-9099-C40C66FF867C}">
                  <a14:compatExt spid="_x0000_s13435"/>
                </a:ext>
                <a:ext uri="{FF2B5EF4-FFF2-40B4-BE49-F238E27FC236}">
                  <a16:creationId xmlns:a16="http://schemas.microsoft.com/office/drawing/2014/main" id="{00000000-0008-0000-0100-00007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2152</xdr:row>
          <xdr:rowOff>0</xdr:rowOff>
        </xdr:from>
        <xdr:to>
          <xdr:col>7</xdr:col>
          <xdr:colOff>0</xdr:colOff>
          <xdr:row>2152</xdr:row>
          <xdr:rowOff>165100</xdr:rowOff>
        </xdr:to>
        <xdr:sp macro="" textlink="">
          <xdr:nvSpPr>
            <xdr:cNvPr id="13434" name="Button 2170" hidden="1">
              <a:extLst>
                <a:ext uri="{63B3BB69-23CF-44E3-9099-C40C66FF867C}">
                  <a14:compatExt spid="_x0000_s13434"/>
                </a:ext>
                <a:ext uri="{FF2B5EF4-FFF2-40B4-BE49-F238E27FC236}">
                  <a16:creationId xmlns:a16="http://schemas.microsoft.com/office/drawing/2014/main" id="{00000000-0008-0000-0100-00007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2155</xdr:row>
          <xdr:rowOff>0</xdr:rowOff>
        </xdr:from>
        <xdr:to>
          <xdr:col>7</xdr:col>
          <xdr:colOff>0</xdr:colOff>
          <xdr:row>2156</xdr:row>
          <xdr:rowOff>0</xdr:rowOff>
        </xdr:to>
        <xdr:sp macro="" textlink="">
          <xdr:nvSpPr>
            <xdr:cNvPr id="13433" name="Button 2169" hidden="1">
              <a:extLst>
                <a:ext uri="{63B3BB69-23CF-44E3-9099-C40C66FF867C}">
                  <a14:compatExt spid="_x0000_s13433"/>
                </a:ext>
                <a:ext uri="{FF2B5EF4-FFF2-40B4-BE49-F238E27FC236}">
                  <a16:creationId xmlns:a16="http://schemas.microsoft.com/office/drawing/2014/main" id="{00000000-0008-0000-0100-00007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2162</xdr:row>
          <xdr:rowOff>0</xdr:rowOff>
        </xdr:from>
        <xdr:to>
          <xdr:col>7</xdr:col>
          <xdr:colOff>0</xdr:colOff>
          <xdr:row>2162</xdr:row>
          <xdr:rowOff>171450</xdr:rowOff>
        </xdr:to>
        <xdr:sp macro="" textlink="">
          <xdr:nvSpPr>
            <xdr:cNvPr id="13432" name="Button 2168" hidden="1">
              <a:extLst>
                <a:ext uri="{63B3BB69-23CF-44E3-9099-C40C66FF867C}">
                  <a14:compatExt spid="_x0000_s13432"/>
                </a:ext>
                <a:ext uri="{FF2B5EF4-FFF2-40B4-BE49-F238E27FC236}">
                  <a16:creationId xmlns:a16="http://schemas.microsoft.com/office/drawing/2014/main" id="{00000000-0008-0000-0100-00007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2163</xdr:row>
          <xdr:rowOff>0</xdr:rowOff>
        </xdr:from>
        <xdr:to>
          <xdr:col>7</xdr:col>
          <xdr:colOff>0</xdr:colOff>
          <xdr:row>2163</xdr:row>
          <xdr:rowOff>165100</xdr:rowOff>
        </xdr:to>
        <xdr:sp macro="" textlink="">
          <xdr:nvSpPr>
            <xdr:cNvPr id="13431" name="Button 2167" hidden="1">
              <a:extLst>
                <a:ext uri="{63B3BB69-23CF-44E3-9099-C40C66FF867C}">
                  <a14:compatExt spid="_x0000_s13431"/>
                </a:ext>
                <a:ext uri="{FF2B5EF4-FFF2-40B4-BE49-F238E27FC236}">
                  <a16:creationId xmlns:a16="http://schemas.microsoft.com/office/drawing/2014/main" id="{00000000-0008-0000-0100-00007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2166</xdr:row>
          <xdr:rowOff>0</xdr:rowOff>
        </xdr:from>
        <xdr:to>
          <xdr:col>7</xdr:col>
          <xdr:colOff>0</xdr:colOff>
          <xdr:row>2167</xdr:row>
          <xdr:rowOff>0</xdr:rowOff>
        </xdr:to>
        <xdr:sp macro="" textlink="">
          <xdr:nvSpPr>
            <xdr:cNvPr id="13430" name="Button 2166" hidden="1">
              <a:extLst>
                <a:ext uri="{63B3BB69-23CF-44E3-9099-C40C66FF867C}">
                  <a14:compatExt spid="_x0000_s13430"/>
                </a:ext>
                <a:ext uri="{FF2B5EF4-FFF2-40B4-BE49-F238E27FC236}">
                  <a16:creationId xmlns:a16="http://schemas.microsoft.com/office/drawing/2014/main" id="{00000000-0008-0000-0100-00007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2173</xdr:row>
          <xdr:rowOff>0</xdr:rowOff>
        </xdr:from>
        <xdr:to>
          <xdr:col>7</xdr:col>
          <xdr:colOff>0</xdr:colOff>
          <xdr:row>2173</xdr:row>
          <xdr:rowOff>171450</xdr:rowOff>
        </xdr:to>
        <xdr:sp macro="" textlink="">
          <xdr:nvSpPr>
            <xdr:cNvPr id="13429" name="Button 2165" hidden="1">
              <a:extLst>
                <a:ext uri="{63B3BB69-23CF-44E3-9099-C40C66FF867C}">
                  <a14:compatExt spid="_x0000_s13429"/>
                </a:ext>
                <a:ext uri="{FF2B5EF4-FFF2-40B4-BE49-F238E27FC236}">
                  <a16:creationId xmlns:a16="http://schemas.microsoft.com/office/drawing/2014/main" id="{00000000-0008-0000-0100-00007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2174</xdr:row>
          <xdr:rowOff>0</xdr:rowOff>
        </xdr:from>
        <xdr:to>
          <xdr:col>7</xdr:col>
          <xdr:colOff>0</xdr:colOff>
          <xdr:row>2174</xdr:row>
          <xdr:rowOff>165100</xdr:rowOff>
        </xdr:to>
        <xdr:sp macro="" textlink="">
          <xdr:nvSpPr>
            <xdr:cNvPr id="13428" name="Button 2164" hidden="1">
              <a:extLst>
                <a:ext uri="{63B3BB69-23CF-44E3-9099-C40C66FF867C}">
                  <a14:compatExt spid="_x0000_s13428"/>
                </a:ext>
                <a:ext uri="{FF2B5EF4-FFF2-40B4-BE49-F238E27FC236}">
                  <a16:creationId xmlns:a16="http://schemas.microsoft.com/office/drawing/2014/main" id="{00000000-0008-0000-0100-00007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2177</xdr:row>
          <xdr:rowOff>0</xdr:rowOff>
        </xdr:from>
        <xdr:to>
          <xdr:col>7</xdr:col>
          <xdr:colOff>0</xdr:colOff>
          <xdr:row>2178</xdr:row>
          <xdr:rowOff>0</xdr:rowOff>
        </xdr:to>
        <xdr:sp macro="" textlink="">
          <xdr:nvSpPr>
            <xdr:cNvPr id="13427" name="Button 2163" hidden="1">
              <a:extLst>
                <a:ext uri="{63B3BB69-23CF-44E3-9099-C40C66FF867C}">
                  <a14:compatExt spid="_x0000_s13427"/>
                </a:ext>
                <a:ext uri="{FF2B5EF4-FFF2-40B4-BE49-F238E27FC236}">
                  <a16:creationId xmlns:a16="http://schemas.microsoft.com/office/drawing/2014/main" id="{00000000-0008-0000-0100-00007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2184</xdr:row>
          <xdr:rowOff>0</xdr:rowOff>
        </xdr:from>
        <xdr:to>
          <xdr:col>7</xdr:col>
          <xdr:colOff>0</xdr:colOff>
          <xdr:row>2184</xdr:row>
          <xdr:rowOff>171450</xdr:rowOff>
        </xdr:to>
        <xdr:sp macro="" textlink="">
          <xdr:nvSpPr>
            <xdr:cNvPr id="13426" name="Button 2162" hidden="1">
              <a:extLst>
                <a:ext uri="{63B3BB69-23CF-44E3-9099-C40C66FF867C}">
                  <a14:compatExt spid="_x0000_s13426"/>
                </a:ext>
                <a:ext uri="{FF2B5EF4-FFF2-40B4-BE49-F238E27FC236}">
                  <a16:creationId xmlns:a16="http://schemas.microsoft.com/office/drawing/2014/main" id="{00000000-0008-0000-0100-00007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2185</xdr:row>
          <xdr:rowOff>0</xdr:rowOff>
        </xdr:from>
        <xdr:to>
          <xdr:col>7</xdr:col>
          <xdr:colOff>0</xdr:colOff>
          <xdr:row>2185</xdr:row>
          <xdr:rowOff>165100</xdr:rowOff>
        </xdr:to>
        <xdr:sp macro="" textlink="">
          <xdr:nvSpPr>
            <xdr:cNvPr id="13425" name="Button 2161" hidden="1">
              <a:extLst>
                <a:ext uri="{63B3BB69-23CF-44E3-9099-C40C66FF867C}">
                  <a14:compatExt spid="_x0000_s13425"/>
                </a:ext>
                <a:ext uri="{FF2B5EF4-FFF2-40B4-BE49-F238E27FC236}">
                  <a16:creationId xmlns:a16="http://schemas.microsoft.com/office/drawing/2014/main" id="{00000000-0008-0000-0100-00007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2188</xdr:row>
          <xdr:rowOff>0</xdr:rowOff>
        </xdr:from>
        <xdr:to>
          <xdr:col>7</xdr:col>
          <xdr:colOff>0</xdr:colOff>
          <xdr:row>2189</xdr:row>
          <xdr:rowOff>0</xdr:rowOff>
        </xdr:to>
        <xdr:sp macro="" textlink="">
          <xdr:nvSpPr>
            <xdr:cNvPr id="13424" name="Button 2160" hidden="1">
              <a:extLst>
                <a:ext uri="{63B3BB69-23CF-44E3-9099-C40C66FF867C}">
                  <a14:compatExt spid="_x0000_s13424"/>
                </a:ext>
                <a:ext uri="{FF2B5EF4-FFF2-40B4-BE49-F238E27FC236}">
                  <a16:creationId xmlns:a16="http://schemas.microsoft.com/office/drawing/2014/main" id="{00000000-0008-0000-0100-00007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2195</xdr:row>
          <xdr:rowOff>0</xdr:rowOff>
        </xdr:from>
        <xdr:to>
          <xdr:col>7</xdr:col>
          <xdr:colOff>0</xdr:colOff>
          <xdr:row>2195</xdr:row>
          <xdr:rowOff>171450</xdr:rowOff>
        </xdr:to>
        <xdr:sp macro="" textlink="">
          <xdr:nvSpPr>
            <xdr:cNvPr id="13423" name="Button 2159" hidden="1">
              <a:extLst>
                <a:ext uri="{63B3BB69-23CF-44E3-9099-C40C66FF867C}">
                  <a14:compatExt spid="_x0000_s13423"/>
                </a:ext>
                <a:ext uri="{FF2B5EF4-FFF2-40B4-BE49-F238E27FC236}">
                  <a16:creationId xmlns:a16="http://schemas.microsoft.com/office/drawing/2014/main" id="{00000000-0008-0000-0100-00006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2196</xdr:row>
          <xdr:rowOff>0</xdr:rowOff>
        </xdr:from>
        <xdr:to>
          <xdr:col>7</xdr:col>
          <xdr:colOff>0</xdr:colOff>
          <xdr:row>2196</xdr:row>
          <xdr:rowOff>165100</xdr:rowOff>
        </xdr:to>
        <xdr:sp macro="" textlink="">
          <xdr:nvSpPr>
            <xdr:cNvPr id="13422" name="Button 2158" hidden="1">
              <a:extLst>
                <a:ext uri="{63B3BB69-23CF-44E3-9099-C40C66FF867C}">
                  <a14:compatExt spid="_x0000_s13422"/>
                </a:ext>
                <a:ext uri="{FF2B5EF4-FFF2-40B4-BE49-F238E27FC236}">
                  <a16:creationId xmlns:a16="http://schemas.microsoft.com/office/drawing/2014/main" id="{00000000-0008-0000-0100-00006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2197</xdr:row>
          <xdr:rowOff>0</xdr:rowOff>
        </xdr:from>
        <xdr:to>
          <xdr:col>7</xdr:col>
          <xdr:colOff>0</xdr:colOff>
          <xdr:row>2197</xdr:row>
          <xdr:rowOff>165100</xdr:rowOff>
        </xdr:to>
        <xdr:sp macro="" textlink="">
          <xdr:nvSpPr>
            <xdr:cNvPr id="13421" name="Button 2157" hidden="1">
              <a:extLst>
                <a:ext uri="{63B3BB69-23CF-44E3-9099-C40C66FF867C}">
                  <a14:compatExt spid="_x0000_s13421"/>
                </a:ext>
                <a:ext uri="{FF2B5EF4-FFF2-40B4-BE49-F238E27FC236}">
                  <a16:creationId xmlns:a16="http://schemas.microsoft.com/office/drawing/2014/main" id="{00000000-0008-0000-0100-00006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2198</xdr:row>
          <xdr:rowOff>0</xdr:rowOff>
        </xdr:from>
        <xdr:to>
          <xdr:col>7</xdr:col>
          <xdr:colOff>0</xdr:colOff>
          <xdr:row>2198</xdr:row>
          <xdr:rowOff>165100</xdr:rowOff>
        </xdr:to>
        <xdr:sp macro="" textlink="">
          <xdr:nvSpPr>
            <xdr:cNvPr id="13420" name="Button 2156" hidden="1">
              <a:extLst>
                <a:ext uri="{63B3BB69-23CF-44E3-9099-C40C66FF867C}">
                  <a14:compatExt spid="_x0000_s13420"/>
                </a:ext>
                <a:ext uri="{FF2B5EF4-FFF2-40B4-BE49-F238E27FC236}">
                  <a16:creationId xmlns:a16="http://schemas.microsoft.com/office/drawing/2014/main" id="{00000000-0008-0000-0100-00006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2199</xdr:row>
          <xdr:rowOff>0</xdr:rowOff>
        </xdr:from>
        <xdr:to>
          <xdr:col>7</xdr:col>
          <xdr:colOff>0</xdr:colOff>
          <xdr:row>2199</xdr:row>
          <xdr:rowOff>165100</xdr:rowOff>
        </xdr:to>
        <xdr:sp macro="" textlink="">
          <xdr:nvSpPr>
            <xdr:cNvPr id="13419" name="Button 2155" hidden="1">
              <a:extLst>
                <a:ext uri="{63B3BB69-23CF-44E3-9099-C40C66FF867C}">
                  <a14:compatExt spid="_x0000_s13419"/>
                </a:ext>
                <a:ext uri="{FF2B5EF4-FFF2-40B4-BE49-F238E27FC236}">
                  <a16:creationId xmlns:a16="http://schemas.microsoft.com/office/drawing/2014/main" id="{00000000-0008-0000-0100-00006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2200</xdr:row>
          <xdr:rowOff>0</xdr:rowOff>
        </xdr:from>
        <xdr:to>
          <xdr:col>7</xdr:col>
          <xdr:colOff>0</xdr:colOff>
          <xdr:row>2200</xdr:row>
          <xdr:rowOff>165100</xdr:rowOff>
        </xdr:to>
        <xdr:sp macro="" textlink="">
          <xdr:nvSpPr>
            <xdr:cNvPr id="13418" name="Button 2154" hidden="1">
              <a:extLst>
                <a:ext uri="{63B3BB69-23CF-44E3-9099-C40C66FF867C}">
                  <a14:compatExt spid="_x0000_s13418"/>
                </a:ext>
                <a:ext uri="{FF2B5EF4-FFF2-40B4-BE49-F238E27FC236}">
                  <a16:creationId xmlns:a16="http://schemas.microsoft.com/office/drawing/2014/main" id="{00000000-0008-0000-0100-00006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2201</xdr:row>
          <xdr:rowOff>0</xdr:rowOff>
        </xdr:from>
        <xdr:to>
          <xdr:col>7</xdr:col>
          <xdr:colOff>0</xdr:colOff>
          <xdr:row>2201</xdr:row>
          <xdr:rowOff>165100</xdr:rowOff>
        </xdr:to>
        <xdr:sp macro="" textlink="">
          <xdr:nvSpPr>
            <xdr:cNvPr id="13417" name="Button 2153" hidden="1">
              <a:extLst>
                <a:ext uri="{63B3BB69-23CF-44E3-9099-C40C66FF867C}">
                  <a14:compatExt spid="_x0000_s13417"/>
                </a:ext>
                <a:ext uri="{FF2B5EF4-FFF2-40B4-BE49-F238E27FC236}">
                  <a16:creationId xmlns:a16="http://schemas.microsoft.com/office/drawing/2014/main" id="{00000000-0008-0000-0100-00006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2202</xdr:row>
          <xdr:rowOff>0</xdr:rowOff>
        </xdr:from>
        <xdr:to>
          <xdr:col>7</xdr:col>
          <xdr:colOff>0</xdr:colOff>
          <xdr:row>2202</xdr:row>
          <xdr:rowOff>165100</xdr:rowOff>
        </xdr:to>
        <xdr:sp macro="" textlink="">
          <xdr:nvSpPr>
            <xdr:cNvPr id="13416" name="Button 2152" hidden="1">
              <a:extLst>
                <a:ext uri="{63B3BB69-23CF-44E3-9099-C40C66FF867C}">
                  <a14:compatExt spid="_x0000_s13416"/>
                </a:ext>
                <a:ext uri="{FF2B5EF4-FFF2-40B4-BE49-F238E27FC236}">
                  <a16:creationId xmlns:a16="http://schemas.microsoft.com/office/drawing/2014/main" id="{00000000-0008-0000-0100-00006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2203</xdr:row>
          <xdr:rowOff>0</xdr:rowOff>
        </xdr:from>
        <xdr:to>
          <xdr:col>7</xdr:col>
          <xdr:colOff>0</xdr:colOff>
          <xdr:row>2203</xdr:row>
          <xdr:rowOff>165100</xdr:rowOff>
        </xdr:to>
        <xdr:sp macro="" textlink="">
          <xdr:nvSpPr>
            <xdr:cNvPr id="13415" name="Button 2151" hidden="1">
              <a:extLst>
                <a:ext uri="{63B3BB69-23CF-44E3-9099-C40C66FF867C}">
                  <a14:compatExt spid="_x0000_s13415"/>
                </a:ext>
                <a:ext uri="{FF2B5EF4-FFF2-40B4-BE49-F238E27FC236}">
                  <a16:creationId xmlns:a16="http://schemas.microsoft.com/office/drawing/2014/main" id="{00000000-0008-0000-0100-00006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2204</xdr:row>
          <xdr:rowOff>0</xdr:rowOff>
        </xdr:from>
        <xdr:to>
          <xdr:col>7</xdr:col>
          <xdr:colOff>0</xdr:colOff>
          <xdr:row>2204</xdr:row>
          <xdr:rowOff>165100</xdr:rowOff>
        </xdr:to>
        <xdr:sp macro="" textlink="">
          <xdr:nvSpPr>
            <xdr:cNvPr id="13414" name="Button 2150" hidden="1">
              <a:extLst>
                <a:ext uri="{63B3BB69-23CF-44E3-9099-C40C66FF867C}">
                  <a14:compatExt spid="_x0000_s13414"/>
                </a:ext>
                <a:ext uri="{FF2B5EF4-FFF2-40B4-BE49-F238E27FC236}">
                  <a16:creationId xmlns:a16="http://schemas.microsoft.com/office/drawing/2014/main" id="{00000000-0008-0000-0100-00006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2205</xdr:row>
          <xdr:rowOff>0</xdr:rowOff>
        </xdr:from>
        <xdr:to>
          <xdr:col>7</xdr:col>
          <xdr:colOff>0</xdr:colOff>
          <xdr:row>2205</xdr:row>
          <xdr:rowOff>165100</xdr:rowOff>
        </xdr:to>
        <xdr:sp macro="" textlink="">
          <xdr:nvSpPr>
            <xdr:cNvPr id="13413" name="Button 2149" hidden="1">
              <a:extLst>
                <a:ext uri="{63B3BB69-23CF-44E3-9099-C40C66FF867C}">
                  <a14:compatExt spid="_x0000_s13413"/>
                </a:ext>
                <a:ext uri="{FF2B5EF4-FFF2-40B4-BE49-F238E27FC236}">
                  <a16:creationId xmlns:a16="http://schemas.microsoft.com/office/drawing/2014/main" id="{00000000-0008-0000-0100-00006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2208</xdr:row>
          <xdr:rowOff>0</xdr:rowOff>
        </xdr:from>
        <xdr:to>
          <xdr:col>7</xdr:col>
          <xdr:colOff>0</xdr:colOff>
          <xdr:row>2209</xdr:row>
          <xdr:rowOff>0</xdr:rowOff>
        </xdr:to>
        <xdr:sp macro="" textlink="">
          <xdr:nvSpPr>
            <xdr:cNvPr id="13412" name="Button 2148" hidden="1">
              <a:extLst>
                <a:ext uri="{63B3BB69-23CF-44E3-9099-C40C66FF867C}">
                  <a14:compatExt spid="_x0000_s13412"/>
                </a:ext>
                <a:ext uri="{FF2B5EF4-FFF2-40B4-BE49-F238E27FC236}">
                  <a16:creationId xmlns:a16="http://schemas.microsoft.com/office/drawing/2014/main" id="{00000000-0008-0000-0100-00006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2215</xdr:row>
          <xdr:rowOff>0</xdr:rowOff>
        </xdr:from>
        <xdr:to>
          <xdr:col>7</xdr:col>
          <xdr:colOff>0</xdr:colOff>
          <xdr:row>2215</xdr:row>
          <xdr:rowOff>171450</xdr:rowOff>
        </xdr:to>
        <xdr:sp macro="" textlink="">
          <xdr:nvSpPr>
            <xdr:cNvPr id="13411" name="Button 2147" hidden="1">
              <a:extLst>
                <a:ext uri="{63B3BB69-23CF-44E3-9099-C40C66FF867C}">
                  <a14:compatExt spid="_x0000_s13411"/>
                </a:ext>
                <a:ext uri="{FF2B5EF4-FFF2-40B4-BE49-F238E27FC236}">
                  <a16:creationId xmlns:a16="http://schemas.microsoft.com/office/drawing/2014/main" id="{00000000-0008-0000-0100-00006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2216</xdr:row>
          <xdr:rowOff>0</xdr:rowOff>
        </xdr:from>
        <xdr:to>
          <xdr:col>7</xdr:col>
          <xdr:colOff>0</xdr:colOff>
          <xdr:row>2216</xdr:row>
          <xdr:rowOff>165100</xdr:rowOff>
        </xdr:to>
        <xdr:sp macro="" textlink="">
          <xdr:nvSpPr>
            <xdr:cNvPr id="13410" name="Button 2146" hidden="1">
              <a:extLst>
                <a:ext uri="{63B3BB69-23CF-44E3-9099-C40C66FF867C}">
                  <a14:compatExt spid="_x0000_s13410"/>
                </a:ext>
                <a:ext uri="{FF2B5EF4-FFF2-40B4-BE49-F238E27FC236}">
                  <a16:creationId xmlns:a16="http://schemas.microsoft.com/office/drawing/2014/main" id="{00000000-0008-0000-0100-00006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2217</xdr:row>
          <xdr:rowOff>0</xdr:rowOff>
        </xdr:from>
        <xdr:to>
          <xdr:col>7</xdr:col>
          <xdr:colOff>0</xdr:colOff>
          <xdr:row>2217</xdr:row>
          <xdr:rowOff>165100</xdr:rowOff>
        </xdr:to>
        <xdr:sp macro="" textlink="">
          <xdr:nvSpPr>
            <xdr:cNvPr id="13409" name="Button 2145" hidden="1">
              <a:extLst>
                <a:ext uri="{63B3BB69-23CF-44E3-9099-C40C66FF867C}">
                  <a14:compatExt spid="_x0000_s13409"/>
                </a:ext>
                <a:ext uri="{FF2B5EF4-FFF2-40B4-BE49-F238E27FC236}">
                  <a16:creationId xmlns:a16="http://schemas.microsoft.com/office/drawing/2014/main" id="{00000000-0008-0000-0100-00006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2218</xdr:row>
          <xdr:rowOff>0</xdr:rowOff>
        </xdr:from>
        <xdr:to>
          <xdr:col>7</xdr:col>
          <xdr:colOff>0</xdr:colOff>
          <xdr:row>2218</xdr:row>
          <xdr:rowOff>165100</xdr:rowOff>
        </xdr:to>
        <xdr:sp macro="" textlink="">
          <xdr:nvSpPr>
            <xdr:cNvPr id="13408" name="Button 2144" hidden="1">
              <a:extLst>
                <a:ext uri="{63B3BB69-23CF-44E3-9099-C40C66FF867C}">
                  <a14:compatExt spid="_x0000_s13408"/>
                </a:ext>
                <a:ext uri="{FF2B5EF4-FFF2-40B4-BE49-F238E27FC236}">
                  <a16:creationId xmlns:a16="http://schemas.microsoft.com/office/drawing/2014/main" id="{00000000-0008-0000-0100-00006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2221</xdr:row>
          <xdr:rowOff>0</xdr:rowOff>
        </xdr:from>
        <xdr:to>
          <xdr:col>7</xdr:col>
          <xdr:colOff>0</xdr:colOff>
          <xdr:row>2222</xdr:row>
          <xdr:rowOff>0</xdr:rowOff>
        </xdr:to>
        <xdr:sp macro="" textlink="">
          <xdr:nvSpPr>
            <xdr:cNvPr id="13407" name="Button 2143" hidden="1">
              <a:extLst>
                <a:ext uri="{63B3BB69-23CF-44E3-9099-C40C66FF867C}">
                  <a14:compatExt spid="_x0000_s13407"/>
                </a:ext>
                <a:ext uri="{FF2B5EF4-FFF2-40B4-BE49-F238E27FC236}">
                  <a16:creationId xmlns:a16="http://schemas.microsoft.com/office/drawing/2014/main" id="{00000000-0008-0000-0100-00005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2228</xdr:row>
          <xdr:rowOff>0</xdr:rowOff>
        </xdr:from>
        <xdr:to>
          <xdr:col>7</xdr:col>
          <xdr:colOff>0</xdr:colOff>
          <xdr:row>2228</xdr:row>
          <xdr:rowOff>171450</xdr:rowOff>
        </xdr:to>
        <xdr:sp macro="" textlink="">
          <xdr:nvSpPr>
            <xdr:cNvPr id="13406" name="Button 2142" hidden="1">
              <a:extLst>
                <a:ext uri="{63B3BB69-23CF-44E3-9099-C40C66FF867C}">
                  <a14:compatExt spid="_x0000_s13406"/>
                </a:ext>
                <a:ext uri="{FF2B5EF4-FFF2-40B4-BE49-F238E27FC236}">
                  <a16:creationId xmlns:a16="http://schemas.microsoft.com/office/drawing/2014/main" id="{00000000-0008-0000-0100-00005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2229</xdr:row>
          <xdr:rowOff>0</xdr:rowOff>
        </xdr:from>
        <xdr:to>
          <xdr:col>7</xdr:col>
          <xdr:colOff>0</xdr:colOff>
          <xdr:row>2229</xdr:row>
          <xdr:rowOff>165100</xdr:rowOff>
        </xdr:to>
        <xdr:sp macro="" textlink="">
          <xdr:nvSpPr>
            <xdr:cNvPr id="13405" name="Button 2141" hidden="1">
              <a:extLst>
                <a:ext uri="{63B3BB69-23CF-44E3-9099-C40C66FF867C}">
                  <a14:compatExt spid="_x0000_s13405"/>
                </a:ext>
                <a:ext uri="{FF2B5EF4-FFF2-40B4-BE49-F238E27FC236}">
                  <a16:creationId xmlns:a16="http://schemas.microsoft.com/office/drawing/2014/main" id="{00000000-0008-0000-0100-00005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2230</xdr:row>
          <xdr:rowOff>0</xdr:rowOff>
        </xdr:from>
        <xdr:to>
          <xdr:col>7</xdr:col>
          <xdr:colOff>0</xdr:colOff>
          <xdr:row>2230</xdr:row>
          <xdr:rowOff>165100</xdr:rowOff>
        </xdr:to>
        <xdr:sp macro="" textlink="">
          <xdr:nvSpPr>
            <xdr:cNvPr id="13404" name="Button 2140" hidden="1">
              <a:extLst>
                <a:ext uri="{63B3BB69-23CF-44E3-9099-C40C66FF867C}">
                  <a14:compatExt spid="_x0000_s13404"/>
                </a:ext>
                <a:ext uri="{FF2B5EF4-FFF2-40B4-BE49-F238E27FC236}">
                  <a16:creationId xmlns:a16="http://schemas.microsoft.com/office/drawing/2014/main" id="{00000000-0008-0000-0100-00005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2233</xdr:row>
          <xdr:rowOff>0</xdr:rowOff>
        </xdr:from>
        <xdr:to>
          <xdr:col>7</xdr:col>
          <xdr:colOff>0</xdr:colOff>
          <xdr:row>2234</xdr:row>
          <xdr:rowOff>0</xdr:rowOff>
        </xdr:to>
        <xdr:sp macro="" textlink="">
          <xdr:nvSpPr>
            <xdr:cNvPr id="13403" name="Button 2139" hidden="1">
              <a:extLst>
                <a:ext uri="{63B3BB69-23CF-44E3-9099-C40C66FF867C}">
                  <a14:compatExt spid="_x0000_s13403"/>
                </a:ext>
                <a:ext uri="{FF2B5EF4-FFF2-40B4-BE49-F238E27FC236}">
                  <a16:creationId xmlns:a16="http://schemas.microsoft.com/office/drawing/2014/main" id="{00000000-0008-0000-0100-00005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2240</xdr:row>
          <xdr:rowOff>0</xdr:rowOff>
        </xdr:from>
        <xdr:to>
          <xdr:col>7</xdr:col>
          <xdr:colOff>0</xdr:colOff>
          <xdr:row>2240</xdr:row>
          <xdr:rowOff>171450</xdr:rowOff>
        </xdr:to>
        <xdr:sp macro="" textlink="">
          <xdr:nvSpPr>
            <xdr:cNvPr id="13402" name="Button 2138" hidden="1">
              <a:extLst>
                <a:ext uri="{63B3BB69-23CF-44E3-9099-C40C66FF867C}">
                  <a14:compatExt spid="_x0000_s13402"/>
                </a:ext>
                <a:ext uri="{FF2B5EF4-FFF2-40B4-BE49-F238E27FC236}">
                  <a16:creationId xmlns:a16="http://schemas.microsoft.com/office/drawing/2014/main" id="{00000000-0008-0000-0100-00005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2241</xdr:row>
          <xdr:rowOff>0</xdr:rowOff>
        </xdr:from>
        <xdr:to>
          <xdr:col>7</xdr:col>
          <xdr:colOff>0</xdr:colOff>
          <xdr:row>2241</xdr:row>
          <xdr:rowOff>165100</xdr:rowOff>
        </xdr:to>
        <xdr:sp macro="" textlink="">
          <xdr:nvSpPr>
            <xdr:cNvPr id="13401" name="Button 2137" hidden="1">
              <a:extLst>
                <a:ext uri="{63B3BB69-23CF-44E3-9099-C40C66FF867C}">
                  <a14:compatExt spid="_x0000_s13401"/>
                </a:ext>
                <a:ext uri="{FF2B5EF4-FFF2-40B4-BE49-F238E27FC236}">
                  <a16:creationId xmlns:a16="http://schemas.microsoft.com/office/drawing/2014/main" id="{00000000-0008-0000-0100-00005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2244</xdr:row>
          <xdr:rowOff>0</xdr:rowOff>
        </xdr:from>
        <xdr:to>
          <xdr:col>7</xdr:col>
          <xdr:colOff>0</xdr:colOff>
          <xdr:row>2245</xdr:row>
          <xdr:rowOff>0</xdr:rowOff>
        </xdr:to>
        <xdr:sp macro="" textlink="">
          <xdr:nvSpPr>
            <xdr:cNvPr id="13400" name="Button 2136" hidden="1">
              <a:extLst>
                <a:ext uri="{63B3BB69-23CF-44E3-9099-C40C66FF867C}">
                  <a14:compatExt spid="_x0000_s13400"/>
                </a:ext>
                <a:ext uri="{FF2B5EF4-FFF2-40B4-BE49-F238E27FC236}">
                  <a16:creationId xmlns:a16="http://schemas.microsoft.com/office/drawing/2014/main" id="{00000000-0008-0000-0100-00005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2251</xdr:row>
          <xdr:rowOff>0</xdr:rowOff>
        </xdr:from>
        <xdr:to>
          <xdr:col>7</xdr:col>
          <xdr:colOff>0</xdr:colOff>
          <xdr:row>2251</xdr:row>
          <xdr:rowOff>171450</xdr:rowOff>
        </xdr:to>
        <xdr:sp macro="" textlink="">
          <xdr:nvSpPr>
            <xdr:cNvPr id="13399" name="Button 2135" hidden="1">
              <a:extLst>
                <a:ext uri="{63B3BB69-23CF-44E3-9099-C40C66FF867C}">
                  <a14:compatExt spid="_x0000_s13399"/>
                </a:ext>
                <a:ext uri="{FF2B5EF4-FFF2-40B4-BE49-F238E27FC236}">
                  <a16:creationId xmlns:a16="http://schemas.microsoft.com/office/drawing/2014/main" id="{00000000-0008-0000-0100-00005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2252</xdr:row>
          <xdr:rowOff>0</xdr:rowOff>
        </xdr:from>
        <xdr:to>
          <xdr:col>7</xdr:col>
          <xdr:colOff>0</xdr:colOff>
          <xdr:row>2252</xdr:row>
          <xdr:rowOff>165100</xdr:rowOff>
        </xdr:to>
        <xdr:sp macro="" textlink="">
          <xdr:nvSpPr>
            <xdr:cNvPr id="13398" name="Button 2134" hidden="1">
              <a:extLst>
                <a:ext uri="{63B3BB69-23CF-44E3-9099-C40C66FF867C}">
                  <a14:compatExt spid="_x0000_s13398"/>
                </a:ext>
                <a:ext uri="{FF2B5EF4-FFF2-40B4-BE49-F238E27FC236}">
                  <a16:creationId xmlns:a16="http://schemas.microsoft.com/office/drawing/2014/main" id="{00000000-0008-0000-0100-00005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2253</xdr:row>
          <xdr:rowOff>0</xdr:rowOff>
        </xdr:from>
        <xdr:to>
          <xdr:col>7</xdr:col>
          <xdr:colOff>0</xdr:colOff>
          <xdr:row>2253</xdr:row>
          <xdr:rowOff>165100</xdr:rowOff>
        </xdr:to>
        <xdr:sp macro="" textlink="">
          <xdr:nvSpPr>
            <xdr:cNvPr id="13397" name="Button 2133" hidden="1">
              <a:extLst>
                <a:ext uri="{63B3BB69-23CF-44E3-9099-C40C66FF867C}">
                  <a14:compatExt spid="_x0000_s13397"/>
                </a:ext>
                <a:ext uri="{FF2B5EF4-FFF2-40B4-BE49-F238E27FC236}">
                  <a16:creationId xmlns:a16="http://schemas.microsoft.com/office/drawing/2014/main" id="{00000000-0008-0000-0100-00005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2256</xdr:row>
          <xdr:rowOff>0</xdr:rowOff>
        </xdr:from>
        <xdr:to>
          <xdr:col>7</xdr:col>
          <xdr:colOff>0</xdr:colOff>
          <xdr:row>2257</xdr:row>
          <xdr:rowOff>0</xdr:rowOff>
        </xdr:to>
        <xdr:sp macro="" textlink="">
          <xdr:nvSpPr>
            <xdr:cNvPr id="13396" name="Button 2132" hidden="1">
              <a:extLst>
                <a:ext uri="{63B3BB69-23CF-44E3-9099-C40C66FF867C}">
                  <a14:compatExt spid="_x0000_s13396"/>
                </a:ext>
                <a:ext uri="{FF2B5EF4-FFF2-40B4-BE49-F238E27FC236}">
                  <a16:creationId xmlns:a16="http://schemas.microsoft.com/office/drawing/2014/main" id="{00000000-0008-0000-0100-00005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2263</xdr:row>
          <xdr:rowOff>0</xdr:rowOff>
        </xdr:from>
        <xdr:to>
          <xdr:col>7</xdr:col>
          <xdr:colOff>0</xdr:colOff>
          <xdr:row>2263</xdr:row>
          <xdr:rowOff>171450</xdr:rowOff>
        </xdr:to>
        <xdr:sp macro="" textlink="">
          <xdr:nvSpPr>
            <xdr:cNvPr id="13395" name="Button 2131" hidden="1">
              <a:extLst>
                <a:ext uri="{63B3BB69-23CF-44E3-9099-C40C66FF867C}">
                  <a14:compatExt spid="_x0000_s13395"/>
                </a:ext>
                <a:ext uri="{FF2B5EF4-FFF2-40B4-BE49-F238E27FC236}">
                  <a16:creationId xmlns:a16="http://schemas.microsoft.com/office/drawing/2014/main" id="{00000000-0008-0000-0100-00005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2264</xdr:row>
          <xdr:rowOff>0</xdr:rowOff>
        </xdr:from>
        <xdr:to>
          <xdr:col>7</xdr:col>
          <xdr:colOff>0</xdr:colOff>
          <xdr:row>2264</xdr:row>
          <xdr:rowOff>165100</xdr:rowOff>
        </xdr:to>
        <xdr:sp macro="" textlink="">
          <xdr:nvSpPr>
            <xdr:cNvPr id="13394" name="Button 2130" hidden="1">
              <a:extLst>
                <a:ext uri="{63B3BB69-23CF-44E3-9099-C40C66FF867C}">
                  <a14:compatExt spid="_x0000_s13394"/>
                </a:ext>
                <a:ext uri="{FF2B5EF4-FFF2-40B4-BE49-F238E27FC236}">
                  <a16:creationId xmlns:a16="http://schemas.microsoft.com/office/drawing/2014/main" id="{00000000-0008-0000-0100-00005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2265</xdr:row>
          <xdr:rowOff>0</xdr:rowOff>
        </xdr:from>
        <xdr:to>
          <xdr:col>7</xdr:col>
          <xdr:colOff>0</xdr:colOff>
          <xdr:row>2265</xdr:row>
          <xdr:rowOff>165100</xdr:rowOff>
        </xdr:to>
        <xdr:sp macro="" textlink="">
          <xdr:nvSpPr>
            <xdr:cNvPr id="13393" name="Button 2129" hidden="1">
              <a:extLst>
                <a:ext uri="{63B3BB69-23CF-44E3-9099-C40C66FF867C}">
                  <a14:compatExt spid="_x0000_s13393"/>
                </a:ext>
                <a:ext uri="{FF2B5EF4-FFF2-40B4-BE49-F238E27FC236}">
                  <a16:creationId xmlns:a16="http://schemas.microsoft.com/office/drawing/2014/main" id="{00000000-0008-0000-0100-00005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2266</xdr:row>
          <xdr:rowOff>0</xdr:rowOff>
        </xdr:from>
        <xdr:to>
          <xdr:col>7</xdr:col>
          <xdr:colOff>0</xdr:colOff>
          <xdr:row>2266</xdr:row>
          <xdr:rowOff>165100</xdr:rowOff>
        </xdr:to>
        <xdr:sp macro="" textlink="">
          <xdr:nvSpPr>
            <xdr:cNvPr id="13392" name="Button 2128" hidden="1">
              <a:extLst>
                <a:ext uri="{63B3BB69-23CF-44E3-9099-C40C66FF867C}">
                  <a14:compatExt spid="_x0000_s13392"/>
                </a:ext>
                <a:ext uri="{FF2B5EF4-FFF2-40B4-BE49-F238E27FC236}">
                  <a16:creationId xmlns:a16="http://schemas.microsoft.com/office/drawing/2014/main" id="{00000000-0008-0000-0100-00005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2267</xdr:row>
          <xdr:rowOff>0</xdr:rowOff>
        </xdr:from>
        <xdr:to>
          <xdr:col>7</xdr:col>
          <xdr:colOff>0</xdr:colOff>
          <xdr:row>2267</xdr:row>
          <xdr:rowOff>165100</xdr:rowOff>
        </xdr:to>
        <xdr:sp macro="" textlink="">
          <xdr:nvSpPr>
            <xdr:cNvPr id="13391" name="Button 2127" hidden="1">
              <a:extLst>
                <a:ext uri="{63B3BB69-23CF-44E3-9099-C40C66FF867C}">
                  <a14:compatExt spid="_x0000_s13391"/>
                </a:ext>
                <a:ext uri="{FF2B5EF4-FFF2-40B4-BE49-F238E27FC236}">
                  <a16:creationId xmlns:a16="http://schemas.microsoft.com/office/drawing/2014/main" id="{00000000-0008-0000-0100-00004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2268</xdr:row>
          <xdr:rowOff>0</xdr:rowOff>
        </xdr:from>
        <xdr:to>
          <xdr:col>7</xdr:col>
          <xdr:colOff>0</xdr:colOff>
          <xdr:row>2268</xdr:row>
          <xdr:rowOff>165100</xdr:rowOff>
        </xdr:to>
        <xdr:sp macro="" textlink="">
          <xdr:nvSpPr>
            <xdr:cNvPr id="13390" name="Button 2126" hidden="1">
              <a:extLst>
                <a:ext uri="{63B3BB69-23CF-44E3-9099-C40C66FF867C}">
                  <a14:compatExt spid="_x0000_s13390"/>
                </a:ext>
                <a:ext uri="{FF2B5EF4-FFF2-40B4-BE49-F238E27FC236}">
                  <a16:creationId xmlns:a16="http://schemas.microsoft.com/office/drawing/2014/main" id="{00000000-0008-0000-0100-00004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2271</xdr:row>
          <xdr:rowOff>0</xdr:rowOff>
        </xdr:from>
        <xdr:to>
          <xdr:col>7</xdr:col>
          <xdr:colOff>0</xdr:colOff>
          <xdr:row>2272</xdr:row>
          <xdr:rowOff>0</xdr:rowOff>
        </xdr:to>
        <xdr:sp macro="" textlink="">
          <xdr:nvSpPr>
            <xdr:cNvPr id="13389" name="Button 2125" hidden="1">
              <a:extLst>
                <a:ext uri="{63B3BB69-23CF-44E3-9099-C40C66FF867C}">
                  <a14:compatExt spid="_x0000_s13389"/>
                </a:ext>
                <a:ext uri="{FF2B5EF4-FFF2-40B4-BE49-F238E27FC236}">
                  <a16:creationId xmlns:a16="http://schemas.microsoft.com/office/drawing/2014/main" id="{00000000-0008-0000-0100-00004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2278</xdr:row>
          <xdr:rowOff>0</xdr:rowOff>
        </xdr:from>
        <xdr:to>
          <xdr:col>7</xdr:col>
          <xdr:colOff>0</xdr:colOff>
          <xdr:row>2278</xdr:row>
          <xdr:rowOff>171450</xdr:rowOff>
        </xdr:to>
        <xdr:sp macro="" textlink="">
          <xdr:nvSpPr>
            <xdr:cNvPr id="13388" name="Button 2124" hidden="1">
              <a:extLst>
                <a:ext uri="{63B3BB69-23CF-44E3-9099-C40C66FF867C}">
                  <a14:compatExt spid="_x0000_s13388"/>
                </a:ext>
                <a:ext uri="{FF2B5EF4-FFF2-40B4-BE49-F238E27FC236}">
                  <a16:creationId xmlns:a16="http://schemas.microsoft.com/office/drawing/2014/main" id="{00000000-0008-0000-0100-00004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2279</xdr:row>
          <xdr:rowOff>0</xdr:rowOff>
        </xdr:from>
        <xdr:to>
          <xdr:col>7</xdr:col>
          <xdr:colOff>0</xdr:colOff>
          <xdr:row>2279</xdr:row>
          <xdr:rowOff>165100</xdr:rowOff>
        </xdr:to>
        <xdr:sp macro="" textlink="">
          <xdr:nvSpPr>
            <xdr:cNvPr id="13387" name="Button 2123" hidden="1">
              <a:extLst>
                <a:ext uri="{63B3BB69-23CF-44E3-9099-C40C66FF867C}">
                  <a14:compatExt spid="_x0000_s13387"/>
                </a:ext>
                <a:ext uri="{FF2B5EF4-FFF2-40B4-BE49-F238E27FC236}">
                  <a16:creationId xmlns:a16="http://schemas.microsoft.com/office/drawing/2014/main" id="{00000000-0008-0000-0100-00004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2280</xdr:row>
          <xdr:rowOff>0</xdr:rowOff>
        </xdr:from>
        <xdr:to>
          <xdr:col>7</xdr:col>
          <xdr:colOff>0</xdr:colOff>
          <xdr:row>2280</xdr:row>
          <xdr:rowOff>165100</xdr:rowOff>
        </xdr:to>
        <xdr:sp macro="" textlink="">
          <xdr:nvSpPr>
            <xdr:cNvPr id="13386" name="Button 2122" hidden="1">
              <a:extLst>
                <a:ext uri="{63B3BB69-23CF-44E3-9099-C40C66FF867C}">
                  <a14:compatExt spid="_x0000_s13386"/>
                </a:ext>
                <a:ext uri="{FF2B5EF4-FFF2-40B4-BE49-F238E27FC236}">
                  <a16:creationId xmlns:a16="http://schemas.microsoft.com/office/drawing/2014/main" id="{00000000-0008-0000-0100-00004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2281</xdr:row>
          <xdr:rowOff>0</xdr:rowOff>
        </xdr:from>
        <xdr:to>
          <xdr:col>7</xdr:col>
          <xdr:colOff>0</xdr:colOff>
          <xdr:row>2281</xdr:row>
          <xdr:rowOff>165100</xdr:rowOff>
        </xdr:to>
        <xdr:sp macro="" textlink="">
          <xdr:nvSpPr>
            <xdr:cNvPr id="13385" name="Button 2121" hidden="1">
              <a:extLst>
                <a:ext uri="{63B3BB69-23CF-44E3-9099-C40C66FF867C}">
                  <a14:compatExt spid="_x0000_s13385"/>
                </a:ext>
                <a:ext uri="{FF2B5EF4-FFF2-40B4-BE49-F238E27FC236}">
                  <a16:creationId xmlns:a16="http://schemas.microsoft.com/office/drawing/2014/main" id="{00000000-0008-0000-0100-00004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2282</xdr:row>
          <xdr:rowOff>0</xdr:rowOff>
        </xdr:from>
        <xdr:to>
          <xdr:col>7</xdr:col>
          <xdr:colOff>0</xdr:colOff>
          <xdr:row>2282</xdr:row>
          <xdr:rowOff>165100</xdr:rowOff>
        </xdr:to>
        <xdr:sp macro="" textlink="">
          <xdr:nvSpPr>
            <xdr:cNvPr id="13384" name="Button 2120" hidden="1">
              <a:extLst>
                <a:ext uri="{63B3BB69-23CF-44E3-9099-C40C66FF867C}">
                  <a14:compatExt spid="_x0000_s13384"/>
                </a:ext>
                <a:ext uri="{FF2B5EF4-FFF2-40B4-BE49-F238E27FC236}">
                  <a16:creationId xmlns:a16="http://schemas.microsoft.com/office/drawing/2014/main" id="{00000000-0008-0000-0100-00004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2283</xdr:row>
          <xdr:rowOff>0</xdr:rowOff>
        </xdr:from>
        <xdr:to>
          <xdr:col>7</xdr:col>
          <xdr:colOff>0</xdr:colOff>
          <xdr:row>2283</xdr:row>
          <xdr:rowOff>165100</xdr:rowOff>
        </xdr:to>
        <xdr:sp macro="" textlink="">
          <xdr:nvSpPr>
            <xdr:cNvPr id="13383" name="Button 2119" hidden="1">
              <a:extLst>
                <a:ext uri="{63B3BB69-23CF-44E3-9099-C40C66FF867C}">
                  <a14:compatExt spid="_x0000_s13383"/>
                </a:ext>
                <a:ext uri="{FF2B5EF4-FFF2-40B4-BE49-F238E27FC236}">
                  <a16:creationId xmlns:a16="http://schemas.microsoft.com/office/drawing/2014/main" id="{00000000-0008-0000-0100-00004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2284</xdr:row>
          <xdr:rowOff>0</xdr:rowOff>
        </xdr:from>
        <xdr:to>
          <xdr:col>7</xdr:col>
          <xdr:colOff>0</xdr:colOff>
          <xdr:row>2284</xdr:row>
          <xdr:rowOff>165100</xdr:rowOff>
        </xdr:to>
        <xdr:sp macro="" textlink="">
          <xdr:nvSpPr>
            <xdr:cNvPr id="13382" name="Button 2118" hidden="1">
              <a:extLst>
                <a:ext uri="{63B3BB69-23CF-44E3-9099-C40C66FF867C}">
                  <a14:compatExt spid="_x0000_s13382"/>
                </a:ext>
                <a:ext uri="{FF2B5EF4-FFF2-40B4-BE49-F238E27FC236}">
                  <a16:creationId xmlns:a16="http://schemas.microsoft.com/office/drawing/2014/main" id="{00000000-0008-0000-0100-00004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2285</xdr:row>
          <xdr:rowOff>0</xdr:rowOff>
        </xdr:from>
        <xdr:to>
          <xdr:col>7</xdr:col>
          <xdr:colOff>0</xdr:colOff>
          <xdr:row>2285</xdr:row>
          <xdr:rowOff>165100</xdr:rowOff>
        </xdr:to>
        <xdr:sp macro="" textlink="">
          <xdr:nvSpPr>
            <xdr:cNvPr id="13381" name="Button 2117" hidden="1">
              <a:extLst>
                <a:ext uri="{63B3BB69-23CF-44E3-9099-C40C66FF867C}">
                  <a14:compatExt spid="_x0000_s13381"/>
                </a:ext>
                <a:ext uri="{FF2B5EF4-FFF2-40B4-BE49-F238E27FC236}">
                  <a16:creationId xmlns:a16="http://schemas.microsoft.com/office/drawing/2014/main" id="{00000000-0008-0000-0100-00004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2286</xdr:row>
          <xdr:rowOff>0</xdr:rowOff>
        </xdr:from>
        <xdr:to>
          <xdr:col>7</xdr:col>
          <xdr:colOff>0</xdr:colOff>
          <xdr:row>2286</xdr:row>
          <xdr:rowOff>165100</xdr:rowOff>
        </xdr:to>
        <xdr:sp macro="" textlink="">
          <xdr:nvSpPr>
            <xdr:cNvPr id="13380" name="Button 2116" hidden="1">
              <a:extLst>
                <a:ext uri="{63B3BB69-23CF-44E3-9099-C40C66FF867C}">
                  <a14:compatExt spid="_x0000_s13380"/>
                </a:ext>
                <a:ext uri="{FF2B5EF4-FFF2-40B4-BE49-F238E27FC236}">
                  <a16:creationId xmlns:a16="http://schemas.microsoft.com/office/drawing/2014/main" id="{00000000-0008-0000-0100-00004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2287</xdr:row>
          <xdr:rowOff>0</xdr:rowOff>
        </xdr:from>
        <xdr:to>
          <xdr:col>7</xdr:col>
          <xdr:colOff>0</xdr:colOff>
          <xdr:row>2287</xdr:row>
          <xdr:rowOff>165100</xdr:rowOff>
        </xdr:to>
        <xdr:sp macro="" textlink="">
          <xdr:nvSpPr>
            <xdr:cNvPr id="13379" name="Button 2115" hidden="1">
              <a:extLst>
                <a:ext uri="{63B3BB69-23CF-44E3-9099-C40C66FF867C}">
                  <a14:compatExt spid="_x0000_s13379"/>
                </a:ext>
                <a:ext uri="{FF2B5EF4-FFF2-40B4-BE49-F238E27FC236}">
                  <a16:creationId xmlns:a16="http://schemas.microsoft.com/office/drawing/2014/main" id="{00000000-0008-0000-0100-00004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2288</xdr:row>
          <xdr:rowOff>0</xdr:rowOff>
        </xdr:from>
        <xdr:to>
          <xdr:col>7</xdr:col>
          <xdr:colOff>0</xdr:colOff>
          <xdr:row>2288</xdr:row>
          <xdr:rowOff>165100</xdr:rowOff>
        </xdr:to>
        <xdr:sp macro="" textlink="">
          <xdr:nvSpPr>
            <xdr:cNvPr id="13378" name="Button 2114" hidden="1">
              <a:extLst>
                <a:ext uri="{63B3BB69-23CF-44E3-9099-C40C66FF867C}">
                  <a14:compatExt spid="_x0000_s13378"/>
                </a:ext>
                <a:ext uri="{FF2B5EF4-FFF2-40B4-BE49-F238E27FC236}">
                  <a16:creationId xmlns:a16="http://schemas.microsoft.com/office/drawing/2014/main" id="{00000000-0008-0000-0100-00004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2289</xdr:row>
          <xdr:rowOff>0</xdr:rowOff>
        </xdr:from>
        <xdr:to>
          <xdr:col>7</xdr:col>
          <xdr:colOff>0</xdr:colOff>
          <xdr:row>2289</xdr:row>
          <xdr:rowOff>165100</xdr:rowOff>
        </xdr:to>
        <xdr:sp macro="" textlink="">
          <xdr:nvSpPr>
            <xdr:cNvPr id="13377" name="Button 2113" hidden="1">
              <a:extLst>
                <a:ext uri="{63B3BB69-23CF-44E3-9099-C40C66FF867C}">
                  <a14:compatExt spid="_x0000_s13377"/>
                </a:ext>
                <a:ext uri="{FF2B5EF4-FFF2-40B4-BE49-F238E27FC236}">
                  <a16:creationId xmlns:a16="http://schemas.microsoft.com/office/drawing/2014/main" id="{00000000-0008-0000-0100-00004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2290</xdr:row>
          <xdr:rowOff>0</xdr:rowOff>
        </xdr:from>
        <xdr:to>
          <xdr:col>7</xdr:col>
          <xdr:colOff>0</xdr:colOff>
          <xdr:row>2290</xdr:row>
          <xdr:rowOff>165100</xdr:rowOff>
        </xdr:to>
        <xdr:sp macro="" textlink="">
          <xdr:nvSpPr>
            <xdr:cNvPr id="13376" name="Button 2112" hidden="1">
              <a:extLst>
                <a:ext uri="{63B3BB69-23CF-44E3-9099-C40C66FF867C}">
                  <a14:compatExt spid="_x0000_s13376"/>
                </a:ext>
                <a:ext uri="{FF2B5EF4-FFF2-40B4-BE49-F238E27FC236}">
                  <a16:creationId xmlns:a16="http://schemas.microsoft.com/office/drawing/2014/main" id="{00000000-0008-0000-0100-00004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2291</xdr:row>
          <xdr:rowOff>0</xdr:rowOff>
        </xdr:from>
        <xdr:to>
          <xdr:col>7</xdr:col>
          <xdr:colOff>0</xdr:colOff>
          <xdr:row>2291</xdr:row>
          <xdr:rowOff>165100</xdr:rowOff>
        </xdr:to>
        <xdr:sp macro="" textlink="">
          <xdr:nvSpPr>
            <xdr:cNvPr id="13375" name="Button 2111" hidden="1">
              <a:extLst>
                <a:ext uri="{63B3BB69-23CF-44E3-9099-C40C66FF867C}">
                  <a14:compatExt spid="_x0000_s13375"/>
                </a:ext>
                <a:ext uri="{FF2B5EF4-FFF2-40B4-BE49-F238E27FC236}">
                  <a16:creationId xmlns:a16="http://schemas.microsoft.com/office/drawing/2014/main" id="{00000000-0008-0000-0100-00003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2292</xdr:row>
          <xdr:rowOff>0</xdr:rowOff>
        </xdr:from>
        <xdr:to>
          <xdr:col>7</xdr:col>
          <xdr:colOff>0</xdr:colOff>
          <xdr:row>2292</xdr:row>
          <xdr:rowOff>165100</xdr:rowOff>
        </xdr:to>
        <xdr:sp macro="" textlink="">
          <xdr:nvSpPr>
            <xdr:cNvPr id="13374" name="Button 2110" hidden="1">
              <a:extLst>
                <a:ext uri="{63B3BB69-23CF-44E3-9099-C40C66FF867C}">
                  <a14:compatExt spid="_x0000_s13374"/>
                </a:ext>
                <a:ext uri="{FF2B5EF4-FFF2-40B4-BE49-F238E27FC236}">
                  <a16:creationId xmlns:a16="http://schemas.microsoft.com/office/drawing/2014/main" id="{00000000-0008-0000-0100-00003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2293</xdr:row>
          <xdr:rowOff>0</xdr:rowOff>
        </xdr:from>
        <xdr:to>
          <xdr:col>7</xdr:col>
          <xdr:colOff>0</xdr:colOff>
          <xdr:row>2293</xdr:row>
          <xdr:rowOff>165100</xdr:rowOff>
        </xdr:to>
        <xdr:sp macro="" textlink="">
          <xdr:nvSpPr>
            <xdr:cNvPr id="13373" name="Button 2109" hidden="1">
              <a:extLst>
                <a:ext uri="{63B3BB69-23CF-44E3-9099-C40C66FF867C}">
                  <a14:compatExt spid="_x0000_s13373"/>
                </a:ext>
                <a:ext uri="{FF2B5EF4-FFF2-40B4-BE49-F238E27FC236}">
                  <a16:creationId xmlns:a16="http://schemas.microsoft.com/office/drawing/2014/main" id="{00000000-0008-0000-0100-00003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2294</xdr:row>
          <xdr:rowOff>0</xdr:rowOff>
        </xdr:from>
        <xdr:to>
          <xdr:col>7</xdr:col>
          <xdr:colOff>0</xdr:colOff>
          <xdr:row>2294</xdr:row>
          <xdr:rowOff>165100</xdr:rowOff>
        </xdr:to>
        <xdr:sp macro="" textlink="">
          <xdr:nvSpPr>
            <xdr:cNvPr id="13372" name="Button 2108" hidden="1">
              <a:extLst>
                <a:ext uri="{63B3BB69-23CF-44E3-9099-C40C66FF867C}">
                  <a14:compatExt spid="_x0000_s13372"/>
                </a:ext>
                <a:ext uri="{FF2B5EF4-FFF2-40B4-BE49-F238E27FC236}">
                  <a16:creationId xmlns:a16="http://schemas.microsoft.com/office/drawing/2014/main" id="{00000000-0008-0000-0100-00003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2295</xdr:row>
          <xdr:rowOff>0</xdr:rowOff>
        </xdr:from>
        <xdr:to>
          <xdr:col>7</xdr:col>
          <xdr:colOff>0</xdr:colOff>
          <xdr:row>2295</xdr:row>
          <xdr:rowOff>165100</xdr:rowOff>
        </xdr:to>
        <xdr:sp macro="" textlink="">
          <xdr:nvSpPr>
            <xdr:cNvPr id="13371" name="Button 2107" hidden="1">
              <a:extLst>
                <a:ext uri="{63B3BB69-23CF-44E3-9099-C40C66FF867C}">
                  <a14:compatExt spid="_x0000_s13371"/>
                </a:ext>
                <a:ext uri="{FF2B5EF4-FFF2-40B4-BE49-F238E27FC236}">
                  <a16:creationId xmlns:a16="http://schemas.microsoft.com/office/drawing/2014/main" id="{00000000-0008-0000-0100-00003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2298</xdr:row>
          <xdr:rowOff>0</xdr:rowOff>
        </xdr:from>
        <xdr:to>
          <xdr:col>7</xdr:col>
          <xdr:colOff>0</xdr:colOff>
          <xdr:row>2299</xdr:row>
          <xdr:rowOff>0</xdr:rowOff>
        </xdr:to>
        <xdr:sp macro="" textlink="">
          <xdr:nvSpPr>
            <xdr:cNvPr id="13370" name="Button 2106" hidden="1">
              <a:extLst>
                <a:ext uri="{63B3BB69-23CF-44E3-9099-C40C66FF867C}">
                  <a14:compatExt spid="_x0000_s13370"/>
                </a:ext>
                <a:ext uri="{FF2B5EF4-FFF2-40B4-BE49-F238E27FC236}">
                  <a16:creationId xmlns:a16="http://schemas.microsoft.com/office/drawing/2014/main" id="{00000000-0008-0000-0100-00003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2305</xdr:row>
          <xdr:rowOff>0</xdr:rowOff>
        </xdr:from>
        <xdr:to>
          <xdr:col>7</xdr:col>
          <xdr:colOff>0</xdr:colOff>
          <xdr:row>2305</xdr:row>
          <xdr:rowOff>171450</xdr:rowOff>
        </xdr:to>
        <xdr:sp macro="" textlink="">
          <xdr:nvSpPr>
            <xdr:cNvPr id="13369" name="Button 2105" hidden="1">
              <a:extLst>
                <a:ext uri="{63B3BB69-23CF-44E3-9099-C40C66FF867C}">
                  <a14:compatExt spid="_x0000_s13369"/>
                </a:ext>
                <a:ext uri="{FF2B5EF4-FFF2-40B4-BE49-F238E27FC236}">
                  <a16:creationId xmlns:a16="http://schemas.microsoft.com/office/drawing/2014/main" id="{00000000-0008-0000-0100-00003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2306</xdr:row>
          <xdr:rowOff>0</xdr:rowOff>
        </xdr:from>
        <xdr:to>
          <xdr:col>7</xdr:col>
          <xdr:colOff>0</xdr:colOff>
          <xdr:row>2306</xdr:row>
          <xdr:rowOff>165100</xdr:rowOff>
        </xdr:to>
        <xdr:sp macro="" textlink="">
          <xdr:nvSpPr>
            <xdr:cNvPr id="13368" name="Button 2104" hidden="1">
              <a:extLst>
                <a:ext uri="{63B3BB69-23CF-44E3-9099-C40C66FF867C}">
                  <a14:compatExt spid="_x0000_s13368"/>
                </a:ext>
                <a:ext uri="{FF2B5EF4-FFF2-40B4-BE49-F238E27FC236}">
                  <a16:creationId xmlns:a16="http://schemas.microsoft.com/office/drawing/2014/main" id="{00000000-0008-0000-0100-00003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2307</xdr:row>
          <xdr:rowOff>0</xdr:rowOff>
        </xdr:from>
        <xdr:to>
          <xdr:col>7</xdr:col>
          <xdr:colOff>0</xdr:colOff>
          <xdr:row>2307</xdr:row>
          <xdr:rowOff>165100</xdr:rowOff>
        </xdr:to>
        <xdr:sp macro="" textlink="">
          <xdr:nvSpPr>
            <xdr:cNvPr id="13367" name="Button 2103" hidden="1">
              <a:extLst>
                <a:ext uri="{63B3BB69-23CF-44E3-9099-C40C66FF867C}">
                  <a14:compatExt spid="_x0000_s13367"/>
                </a:ext>
                <a:ext uri="{FF2B5EF4-FFF2-40B4-BE49-F238E27FC236}">
                  <a16:creationId xmlns:a16="http://schemas.microsoft.com/office/drawing/2014/main" id="{00000000-0008-0000-0100-00003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2308</xdr:row>
          <xdr:rowOff>0</xdr:rowOff>
        </xdr:from>
        <xdr:to>
          <xdr:col>7</xdr:col>
          <xdr:colOff>0</xdr:colOff>
          <xdr:row>2308</xdr:row>
          <xdr:rowOff>165100</xdr:rowOff>
        </xdr:to>
        <xdr:sp macro="" textlink="">
          <xdr:nvSpPr>
            <xdr:cNvPr id="13366" name="Button 2102" hidden="1">
              <a:extLst>
                <a:ext uri="{63B3BB69-23CF-44E3-9099-C40C66FF867C}">
                  <a14:compatExt spid="_x0000_s13366"/>
                </a:ext>
                <a:ext uri="{FF2B5EF4-FFF2-40B4-BE49-F238E27FC236}">
                  <a16:creationId xmlns:a16="http://schemas.microsoft.com/office/drawing/2014/main" id="{00000000-0008-0000-0100-00003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2309</xdr:row>
          <xdr:rowOff>0</xdr:rowOff>
        </xdr:from>
        <xdr:to>
          <xdr:col>7</xdr:col>
          <xdr:colOff>0</xdr:colOff>
          <xdr:row>2309</xdr:row>
          <xdr:rowOff>165100</xdr:rowOff>
        </xdr:to>
        <xdr:sp macro="" textlink="">
          <xdr:nvSpPr>
            <xdr:cNvPr id="13365" name="Button 2101" hidden="1">
              <a:extLst>
                <a:ext uri="{63B3BB69-23CF-44E3-9099-C40C66FF867C}">
                  <a14:compatExt spid="_x0000_s13365"/>
                </a:ext>
                <a:ext uri="{FF2B5EF4-FFF2-40B4-BE49-F238E27FC236}">
                  <a16:creationId xmlns:a16="http://schemas.microsoft.com/office/drawing/2014/main" id="{00000000-0008-0000-0100-00003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2310</xdr:row>
          <xdr:rowOff>0</xdr:rowOff>
        </xdr:from>
        <xdr:to>
          <xdr:col>7</xdr:col>
          <xdr:colOff>0</xdr:colOff>
          <xdr:row>2310</xdr:row>
          <xdr:rowOff>165100</xdr:rowOff>
        </xdr:to>
        <xdr:sp macro="" textlink="">
          <xdr:nvSpPr>
            <xdr:cNvPr id="13364" name="Button 2100" hidden="1">
              <a:extLst>
                <a:ext uri="{63B3BB69-23CF-44E3-9099-C40C66FF867C}">
                  <a14:compatExt spid="_x0000_s13364"/>
                </a:ext>
                <a:ext uri="{FF2B5EF4-FFF2-40B4-BE49-F238E27FC236}">
                  <a16:creationId xmlns:a16="http://schemas.microsoft.com/office/drawing/2014/main" id="{00000000-0008-0000-0100-00003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2313</xdr:row>
          <xdr:rowOff>0</xdr:rowOff>
        </xdr:from>
        <xdr:to>
          <xdr:col>7</xdr:col>
          <xdr:colOff>0</xdr:colOff>
          <xdr:row>2314</xdr:row>
          <xdr:rowOff>0</xdr:rowOff>
        </xdr:to>
        <xdr:sp macro="" textlink="">
          <xdr:nvSpPr>
            <xdr:cNvPr id="13363" name="Button 2099" hidden="1">
              <a:extLst>
                <a:ext uri="{63B3BB69-23CF-44E3-9099-C40C66FF867C}">
                  <a14:compatExt spid="_x0000_s13363"/>
                </a:ext>
                <a:ext uri="{FF2B5EF4-FFF2-40B4-BE49-F238E27FC236}">
                  <a16:creationId xmlns:a16="http://schemas.microsoft.com/office/drawing/2014/main" id="{00000000-0008-0000-0100-00003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2320</xdr:row>
          <xdr:rowOff>0</xdr:rowOff>
        </xdr:from>
        <xdr:to>
          <xdr:col>7</xdr:col>
          <xdr:colOff>0</xdr:colOff>
          <xdr:row>2320</xdr:row>
          <xdr:rowOff>171450</xdr:rowOff>
        </xdr:to>
        <xdr:sp macro="" textlink="">
          <xdr:nvSpPr>
            <xdr:cNvPr id="13362" name="Button 2098" hidden="1">
              <a:extLst>
                <a:ext uri="{63B3BB69-23CF-44E3-9099-C40C66FF867C}">
                  <a14:compatExt spid="_x0000_s13362"/>
                </a:ext>
                <a:ext uri="{FF2B5EF4-FFF2-40B4-BE49-F238E27FC236}">
                  <a16:creationId xmlns:a16="http://schemas.microsoft.com/office/drawing/2014/main" id="{00000000-0008-0000-0100-00003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2321</xdr:row>
          <xdr:rowOff>0</xdr:rowOff>
        </xdr:from>
        <xdr:to>
          <xdr:col>7</xdr:col>
          <xdr:colOff>0</xdr:colOff>
          <xdr:row>2321</xdr:row>
          <xdr:rowOff>165100</xdr:rowOff>
        </xdr:to>
        <xdr:sp macro="" textlink="">
          <xdr:nvSpPr>
            <xdr:cNvPr id="13361" name="Button 2097" hidden="1">
              <a:extLst>
                <a:ext uri="{63B3BB69-23CF-44E3-9099-C40C66FF867C}">
                  <a14:compatExt spid="_x0000_s13361"/>
                </a:ext>
                <a:ext uri="{FF2B5EF4-FFF2-40B4-BE49-F238E27FC236}">
                  <a16:creationId xmlns:a16="http://schemas.microsoft.com/office/drawing/2014/main" id="{00000000-0008-0000-0100-00003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2322</xdr:row>
          <xdr:rowOff>0</xdr:rowOff>
        </xdr:from>
        <xdr:to>
          <xdr:col>7</xdr:col>
          <xdr:colOff>0</xdr:colOff>
          <xdr:row>2322</xdr:row>
          <xdr:rowOff>165100</xdr:rowOff>
        </xdr:to>
        <xdr:sp macro="" textlink="">
          <xdr:nvSpPr>
            <xdr:cNvPr id="13360" name="Button 2096" hidden="1">
              <a:extLst>
                <a:ext uri="{63B3BB69-23CF-44E3-9099-C40C66FF867C}">
                  <a14:compatExt spid="_x0000_s13360"/>
                </a:ext>
                <a:ext uri="{FF2B5EF4-FFF2-40B4-BE49-F238E27FC236}">
                  <a16:creationId xmlns:a16="http://schemas.microsoft.com/office/drawing/2014/main" id="{00000000-0008-0000-0100-00003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2323</xdr:row>
          <xdr:rowOff>0</xdr:rowOff>
        </xdr:from>
        <xdr:to>
          <xdr:col>7</xdr:col>
          <xdr:colOff>0</xdr:colOff>
          <xdr:row>2323</xdr:row>
          <xdr:rowOff>165100</xdr:rowOff>
        </xdr:to>
        <xdr:sp macro="" textlink="">
          <xdr:nvSpPr>
            <xdr:cNvPr id="13359" name="Button 2095" hidden="1">
              <a:extLst>
                <a:ext uri="{63B3BB69-23CF-44E3-9099-C40C66FF867C}">
                  <a14:compatExt spid="_x0000_s13359"/>
                </a:ext>
                <a:ext uri="{FF2B5EF4-FFF2-40B4-BE49-F238E27FC236}">
                  <a16:creationId xmlns:a16="http://schemas.microsoft.com/office/drawing/2014/main" id="{00000000-0008-0000-0100-00002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2324</xdr:row>
          <xdr:rowOff>0</xdr:rowOff>
        </xdr:from>
        <xdr:to>
          <xdr:col>7</xdr:col>
          <xdr:colOff>0</xdr:colOff>
          <xdr:row>2324</xdr:row>
          <xdr:rowOff>165100</xdr:rowOff>
        </xdr:to>
        <xdr:sp macro="" textlink="">
          <xdr:nvSpPr>
            <xdr:cNvPr id="13358" name="Button 2094" hidden="1">
              <a:extLst>
                <a:ext uri="{63B3BB69-23CF-44E3-9099-C40C66FF867C}">
                  <a14:compatExt spid="_x0000_s13358"/>
                </a:ext>
                <a:ext uri="{FF2B5EF4-FFF2-40B4-BE49-F238E27FC236}">
                  <a16:creationId xmlns:a16="http://schemas.microsoft.com/office/drawing/2014/main" id="{00000000-0008-0000-0100-00002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2325</xdr:row>
          <xdr:rowOff>0</xdr:rowOff>
        </xdr:from>
        <xdr:to>
          <xdr:col>7</xdr:col>
          <xdr:colOff>0</xdr:colOff>
          <xdr:row>2325</xdr:row>
          <xdr:rowOff>165100</xdr:rowOff>
        </xdr:to>
        <xdr:sp macro="" textlink="">
          <xdr:nvSpPr>
            <xdr:cNvPr id="13357" name="Button 2093" hidden="1">
              <a:extLst>
                <a:ext uri="{63B3BB69-23CF-44E3-9099-C40C66FF867C}">
                  <a14:compatExt spid="_x0000_s13357"/>
                </a:ext>
                <a:ext uri="{FF2B5EF4-FFF2-40B4-BE49-F238E27FC236}">
                  <a16:creationId xmlns:a16="http://schemas.microsoft.com/office/drawing/2014/main" id="{00000000-0008-0000-0100-00002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2326</xdr:row>
          <xdr:rowOff>0</xdr:rowOff>
        </xdr:from>
        <xdr:to>
          <xdr:col>7</xdr:col>
          <xdr:colOff>0</xdr:colOff>
          <xdr:row>2326</xdr:row>
          <xdr:rowOff>165100</xdr:rowOff>
        </xdr:to>
        <xdr:sp macro="" textlink="">
          <xdr:nvSpPr>
            <xdr:cNvPr id="13356" name="Button 2092" hidden="1">
              <a:extLst>
                <a:ext uri="{63B3BB69-23CF-44E3-9099-C40C66FF867C}">
                  <a14:compatExt spid="_x0000_s13356"/>
                </a:ext>
                <a:ext uri="{FF2B5EF4-FFF2-40B4-BE49-F238E27FC236}">
                  <a16:creationId xmlns:a16="http://schemas.microsoft.com/office/drawing/2014/main" id="{00000000-0008-0000-0100-00002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2327</xdr:row>
          <xdr:rowOff>0</xdr:rowOff>
        </xdr:from>
        <xdr:to>
          <xdr:col>7</xdr:col>
          <xdr:colOff>0</xdr:colOff>
          <xdr:row>2327</xdr:row>
          <xdr:rowOff>165100</xdr:rowOff>
        </xdr:to>
        <xdr:sp macro="" textlink="">
          <xdr:nvSpPr>
            <xdr:cNvPr id="13355" name="Button 2091" hidden="1">
              <a:extLst>
                <a:ext uri="{63B3BB69-23CF-44E3-9099-C40C66FF867C}">
                  <a14:compatExt spid="_x0000_s13355"/>
                </a:ext>
                <a:ext uri="{FF2B5EF4-FFF2-40B4-BE49-F238E27FC236}">
                  <a16:creationId xmlns:a16="http://schemas.microsoft.com/office/drawing/2014/main" id="{00000000-0008-0000-0100-00002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2330</xdr:row>
          <xdr:rowOff>0</xdr:rowOff>
        </xdr:from>
        <xdr:to>
          <xdr:col>7</xdr:col>
          <xdr:colOff>0</xdr:colOff>
          <xdr:row>2331</xdr:row>
          <xdr:rowOff>0</xdr:rowOff>
        </xdr:to>
        <xdr:sp macro="" textlink="">
          <xdr:nvSpPr>
            <xdr:cNvPr id="13354" name="Button 2090" hidden="1">
              <a:extLst>
                <a:ext uri="{63B3BB69-23CF-44E3-9099-C40C66FF867C}">
                  <a14:compatExt spid="_x0000_s13354"/>
                </a:ext>
                <a:ext uri="{FF2B5EF4-FFF2-40B4-BE49-F238E27FC236}">
                  <a16:creationId xmlns:a16="http://schemas.microsoft.com/office/drawing/2014/main" id="{00000000-0008-0000-0100-00002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2337</xdr:row>
          <xdr:rowOff>0</xdr:rowOff>
        </xdr:from>
        <xdr:to>
          <xdr:col>7</xdr:col>
          <xdr:colOff>0</xdr:colOff>
          <xdr:row>2337</xdr:row>
          <xdr:rowOff>171450</xdr:rowOff>
        </xdr:to>
        <xdr:sp macro="" textlink="">
          <xdr:nvSpPr>
            <xdr:cNvPr id="13353" name="Button 2089" hidden="1">
              <a:extLst>
                <a:ext uri="{63B3BB69-23CF-44E3-9099-C40C66FF867C}">
                  <a14:compatExt spid="_x0000_s13353"/>
                </a:ext>
                <a:ext uri="{FF2B5EF4-FFF2-40B4-BE49-F238E27FC236}">
                  <a16:creationId xmlns:a16="http://schemas.microsoft.com/office/drawing/2014/main" id="{00000000-0008-0000-0100-00002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2338</xdr:row>
          <xdr:rowOff>0</xdr:rowOff>
        </xdr:from>
        <xdr:to>
          <xdr:col>7</xdr:col>
          <xdr:colOff>0</xdr:colOff>
          <xdr:row>2338</xdr:row>
          <xdr:rowOff>165100</xdr:rowOff>
        </xdr:to>
        <xdr:sp macro="" textlink="">
          <xdr:nvSpPr>
            <xdr:cNvPr id="13352" name="Button 2088" hidden="1">
              <a:extLst>
                <a:ext uri="{63B3BB69-23CF-44E3-9099-C40C66FF867C}">
                  <a14:compatExt spid="_x0000_s13352"/>
                </a:ext>
                <a:ext uri="{FF2B5EF4-FFF2-40B4-BE49-F238E27FC236}">
                  <a16:creationId xmlns:a16="http://schemas.microsoft.com/office/drawing/2014/main" id="{00000000-0008-0000-0100-00002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2339</xdr:row>
          <xdr:rowOff>0</xdr:rowOff>
        </xdr:from>
        <xdr:to>
          <xdr:col>7</xdr:col>
          <xdr:colOff>0</xdr:colOff>
          <xdr:row>2339</xdr:row>
          <xdr:rowOff>165100</xdr:rowOff>
        </xdr:to>
        <xdr:sp macro="" textlink="">
          <xdr:nvSpPr>
            <xdr:cNvPr id="13351" name="Button 2087" hidden="1">
              <a:extLst>
                <a:ext uri="{63B3BB69-23CF-44E3-9099-C40C66FF867C}">
                  <a14:compatExt spid="_x0000_s13351"/>
                </a:ext>
                <a:ext uri="{FF2B5EF4-FFF2-40B4-BE49-F238E27FC236}">
                  <a16:creationId xmlns:a16="http://schemas.microsoft.com/office/drawing/2014/main" id="{00000000-0008-0000-0100-00002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2340</xdr:row>
          <xdr:rowOff>0</xdr:rowOff>
        </xdr:from>
        <xdr:to>
          <xdr:col>7</xdr:col>
          <xdr:colOff>0</xdr:colOff>
          <xdr:row>2340</xdr:row>
          <xdr:rowOff>165100</xdr:rowOff>
        </xdr:to>
        <xdr:sp macro="" textlink="">
          <xdr:nvSpPr>
            <xdr:cNvPr id="13350" name="Button 2086" hidden="1">
              <a:extLst>
                <a:ext uri="{63B3BB69-23CF-44E3-9099-C40C66FF867C}">
                  <a14:compatExt spid="_x0000_s13350"/>
                </a:ext>
                <a:ext uri="{FF2B5EF4-FFF2-40B4-BE49-F238E27FC236}">
                  <a16:creationId xmlns:a16="http://schemas.microsoft.com/office/drawing/2014/main" id="{00000000-0008-0000-0100-00002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2341</xdr:row>
          <xdr:rowOff>0</xdr:rowOff>
        </xdr:from>
        <xdr:to>
          <xdr:col>7</xdr:col>
          <xdr:colOff>0</xdr:colOff>
          <xdr:row>2341</xdr:row>
          <xdr:rowOff>165100</xdr:rowOff>
        </xdr:to>
        <xdr:sp macro="" textlink="">
          <xdr:nvSpPr>
            <xdr:cNvPr id="13349" name="Button 2085" hidden="1">
              <a:extLst>
                <a:ext uri="{63B3BB69-23CF-44E3-9099-C40C66FF867C}">
                  <a14:compatExt spid="_x0000_s13349"/>
                </a:ext>
                <a:ext uri="{FF2B5EF4-FFF2-40B4-BE49-F238E27FC236}">
                  <a16:creationId xmlns:a16="http://schemas.microsoft.com/office/drawing/2014/main" id="{00000000-0008-0000-0100-00002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2342</xdr:row>
          <xdr:rowOff>0</xdr:rowOff>
        </xdr:from>
        <xdr:to>
          <xdr:col>7</xdr:col>
          <xdr:colOff>0</xdr:colOff>
          <xdr:row>2342</xdr:row>
          <xdr:rowOff>165100</xdr:rowOff>
        </xdr:to>
        <xdr:sp macro="" textlink="">
          <xdr:nvSpPr>
            <xdr:cNvPr id="13348" name="Button 2084" hidden="1">
              <a:extLst>
                <a:ext uri="{63B3BB69-23CF-44E3-9099-C40C66FF867C}">
                  <a14:compatExt spid="_x0000_s13348"/>
                </a:ext>
                <a:ext uri="{FF2B5EF4-FFF2-40B4-BE49-F238E27FC236}">
                  <a16:creationId xmlns:a16="http://schemas.microsoft.com/office/drawing/2014/main" id="{00000000-0008-0000-0100-00002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2343</xdr:row>
          <xdr:rowOff>0</xdr:rowOff>
        </xdr:from>
        <xdr:to>
          <xdr:col>7</xdr:col>
          <xdr:colOff>0</xdr:colOff>
          <xdr:row>2343</xdr:row>
          <xdr:rowOff>165100</xdr:rowOff>
        </xdr:to>
        <xdr:sp macro="" textlink="">
          <xdr:nvSpPr>
            <xdr:cNvPr id="13347" name="Button 2083" hidden="1">
              <a:extLst>
                <a:ext uri="{63B3BB69-23CF-44E3-9099-C40C66FF867C}">
                  <a14:compatExt spid="_x0000_s13347"/>
                </a:ext>
                <a:ext uri="{FF2B5EF4-FFF2-40B4-BE49-F238E27FC236}">
                  <a16:creationId xmlns:a16="http://schemas.microsoft.com/office/drawing/2014/main" id="{00000000-0008-0000-0100-00002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2344</xdr:row>
          <xdr:rowOff>0</xdr:rowOff>
        </xdr:from>
        <xdr:to>
          <xdr:col>7</xdr:col>
          <xdr:colOff>0</xdr:colOff>
          <xdr:row>2344</xdr:row>
          <xdr:rowOff>165100</xdr:rowOff>
        </xdr:to>
        <xdr:sp macro="" textlink="">
          <xdr:nvSpPr>
            <xdr:cNvPr id="13346" name="Button 2082" hidden="1">
              <a:extLst>
                <a:ext uri="{63B3BB69-23CF-44E3-9099-C40C66FF867C}">
                  <a14:compatExt spid="_x0000_s13346"/>
                </a:ext>
                <a:ext uri="{FF2B5EF4-FFF2-40B4-BE49-F238E27FC236}">
                  <a16:creationId xmlns:a16="http://schemas.microsoft.com/office/drawing/2014/main" id="{00000000-0008-0000-0100-00002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2345</xdr:row>
          <xdr:rowOff>0</xdr:rowOff>
        </xdr:from>
        <xdr:to>
          <xdr:col>7</xdr:col>
          <xdr:colOff>0</xdr:colOff>
          <xdr:row>2345</xdr:row>
          <xdr:rowOff>165100</xdr:rowOff>
        </xdr:to>
        <xdr:sp macro="" textlink="">
          <xdr:nvSpPr>
            <xdr:cNvPr id="13345" name="Button 2081" hidden="1">
              <a:extLst>
                <a:ext uri="{63B3BB69-23CF-44E3-9099-C40C66FF867C}">
                  <a14:compatExt spid="_x0000_s13345"/>
                </a:ext>
                <a:ext uri="{FF2B5EF4-FFF2-40B4-BE49-F238E27FC236}">
                  <a16:creationId xmlns:a16="http://schemas.microsoft.com/office/drawing/2014/main" id="{00000000-0008-0000-0100-00002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2346</xdr:row>
          <xdr:rowOff>0</xdr:rowOff>
        </xdr:from>
        <xdr:to>
          <xdr:col>7</xdr:col>
          <xdr:colOff>0</xdr:colOff>
          <xdr:row>2346</xdr:row>
          <xdr:rowOff>165100</xdr:rowOff>
        </xdr:to>
        <xdr:sp macro="" textlink="">
          <xdr:nvSpPr>
            <xdr:cNvPr id="13344" name="Button 2080" hidden="1">
              <a:extLst>
                <a:ext uri="{63B3BB69-23CF-44E3-9099-C40C66FF867C}">
                  <a14:compatExt spid="_x0000_s13344"/>
                </a:ext>
                <a:ext uri="{FF2B5EF4-FFF2-40B4-BE49-F238E27FC236}">
                  <a16:creationId xmlns:a16="http://schemas.microsoft.com/office/drawing/2014/main" id="{00000000-0008-0000-0100-00002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2347</xdr:row>
          <xdr:rowOff>0</xdr:rowOff>
        </xdr:from>
        <xdr:to>
          <xdr:col>7</xdr:col>
          <xdr:colOff>0</xdr:colOff>
          <xdr:row>2347</xdr:row>
          <xdr:rowOff>165100</xdr:rowOff>
        </xdr:to>
        <xdr:sp macro="" textlink="">
          <xdr:nvSpPr>
            <xdr:cNvPr id="13343" name="Button 2079" hidden="1">
              <a:extLst>
                <a:ext uri="{63B3BB69-23CF-44E3-9099-C40C66FF867C}">
                  <a14:compatExt spid="_x0000_s13343"/>
                </a:ext>
                <a:ext uri="{FF2B5EF4-FFF2-40B4-BE49-F238E27FC236}">
                  <a16:creationId xmlns:a16="http://schemas.microsoft.com/office/drawing/2014/main" id="{00000000-0008-0000-0100-00001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2348</xdr:row>
          <xdr:rowOff>0</xdr:rowOff>
        </xdr:from>
        <xdr:to>
          <xdr:col>7</xdr:col>
          <xdr:colOff>0</xdr:colOff>
          <xdr:row>2348</xdr:row>
          <xdr:rowOff>165100</xdr:rowOff>
        </xdr:to>
        <xdr:sp macro="" textlink="">
          <xdr:nvSpPr>
            <xdr:cNvPr id="13342" name="Button 2078" hidden="1">
              <a:extLst>
                <a:ext uri="{63B3BB69-23CF-44E3-9099-C40C66FF867C}">
                  <a14:compatExt spid="_x0000_s13342"/>
                </a:ext>
                <a:ext uri="{FF2B5EF4-FFF2-40B4-BE49-F238E27FC236}">
                  <a16:creationId xmlns:a16="http://schemas.microsoft.com/office/drawing/2014/main" id="{00000000-0008-0000-0100-00001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2349</xdr:row>
          <xdr:rowOff>0</xdr:rowOff>
        </xdr:from>
        <xdr:to>
          <xdr:col>7</xdr:col>
          <xdr:colOff>0</xdr:colOff>
          <xdr:row>2349</xdr:row>
          <xdr:rowOff>165100</xdr:rowOff>
        </xdr:to>
        <xdr:sp macro="" textlink="">
          <xdr:nvSpPr>
            <xdr:cNvPr id="13341" name="Button 2077" hidden="1">
              <a:extLst>
                <a:ext uri="{63B3BB69-23CF-44E3-9099-C40C66FF867C}">
                  <a14:compatExt spid="_x0000_s13341"/>
                </a:ext>
                <a:ext uri="{FF2B5EF4-FFF2-40B4-BE49-F238E27FC236}">
                  <a16:creationId xmlns:a16="http://schemas.microsoft.com/office/drawing/2014/main" id="{00000000-0008-0000-0100-00001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2350</xdr:row>
          <xdr:rowOff>0</xdr:rowOff>
        </xdr:from>
        <xdr:to>
          <xdr:col>7</xdr:col>
          <xdr:colOff>0</xdr:colOff>
          <xdr:row>2350</xdr:row>
          <xdr:rowOff>165100</xdr:rowOff>
        </xdr:to>
        <xdr:sp macro="" textlink="">
          <xdr:nvSpPr>
            <xdr:cNvPr id="13340" name="Button 2076" hidden="1">
              <a:extLst>
                <a:ext uri="{63B3BB69-23CF-44E3-9099-C40C66FF867C}">
                  <a14:compatExt spid="_x0000_s13340"/>
                </a:ext>
                <a:ext uri="{FF2B5EF4-FFF2-40B4-BE49-F238E27FC236}">
                  <a16:creationId xmlns:a16="http://schemas.microsoft.com/office/drawing/2014/main" id="{00000000-0008-0000-0100-00001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2351</xdr:row>
          <xdr:rowOff>0</xdr:rowOff>
        </xdr:from>
        <xdr:to>
          <xdr:col>7</xdr:col>
          <xdr:colOff>0</xdr:colOff>
          <xdr:row>2351</xdr:row>
          <xdr:rowOff>165100</xdr:rowOff>
        </xdr:to>
        <xdr:sp macro="" textlink="">
          <xdr:nvSpPr>
            <xdr:cNvPr id="13339" name="Button 2075" hidden="1">
              <a:extLst>
                <a:ext uri="{63B3BB69-23CF-44E3-9099-C40C66FF867C}">
                  <a14:compatExt spid="_x0000_s13339"/>
                </a:ext>
                <a:ext uri="{FF2B5EF4-FFF2-40B4-BE49-F238E27FC236}">
                  <a16:creationId xmlns:a16="http://schemas.microsoft.com/office/drawing/2014/main" id="{00000000-0008-0000-0100-00001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2352</xdr:row>
          <xdr:rowOff>0</xdr:rowOff>
        </xdr:from>
        <xdr:to>
          <xdr:col>7</xdr:col>
          <xdr:colOff>0</xdr:colOff>
          <xdr:row>2352</xdr:row>
          <xdr:rowOff>165100</xdr:rowOff>
        </xdr:to>
        <xdr:sp macro="" textlink="">
          <xdr:nvSpPr>
            <xdr:cNvPr id="13338" name="Button 2074" hidden="1">
              <a:extLst>
                <a:ext uri="{63B3BB69-23CF-44E3-9099-C40C66FF867C}">
                  <a14:compatExt spid="_x0000_s13338"/>
                </a:ext>
                <a:ext uri="{FF2B5EF4-FFF2-40B4-BE49-F238E27FC236}">
                  <a16:creationId xmlns:a16="http://schemas.microsoft.com/office/drawing/2014/main" id="{00000000-0008-0000-0100-00001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2353</xdr:row>
          <xdr:rowOff>0</xdr:rowOff>
        </xdr:from>
        <xdr:to>
          <xdr:col>7</xdr:col>
          <xdr:colOff>0</xdr:colOff>
          <xdr:row>2353</xdr:row>
          <xdr:rowOff>165100</xdr:rowOff>
        </xdr:to>
        <xdr:sp macro="" textlink="">
          <xdr:nvSpPr>
            <xdr:cNvPr id="13337" name="Button 2073" hidden="1">
              <a:extLst>
                <a:ext uri="{63B3BB69-23CF-44E3-9099-C40C66FF867C}">
                  <a14:compatExt spid="_x0000_s13337"/>
                </a:ext>
                <a:ext uri="{FF2B5EF4-FFF2-40B4-BE49-F238E27FC236}">
                  <a16:creationId xmlns:a16="http://schemas.microsoft.com/office/drawing/2014/main" id="{00000000-0008-0000-0100-00001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2354</xdr:row>
          <xdr:rowOff>0</xdr:rowOff>
        </xdr:from>
        <xdr:to>
          <xdr:col>7</xdr:col>
          <xdr:colOff>0</xdr:colOff>
          <xdr:row>2354</xdr:row>
          <xdr:rowOff>165100</xdr:rowOff>
        </xdr:to>
        <xdr:sp macro="" textlink="">
          <xdr:nvSpPr>
            <xdr:cNvPr id="13336" name="Button 2072" hidden="1">
              <a:extLst>
                <a:ext uri="{63B3BB69-23CF-44E3-9099-C40C66FF867C}">
                  <a14:compatExt spid="_x0000_s13336"/>
                </a:ext>
                <a:ext uri="{FF2B5EF4-FFF2-40B4-BE49-F238E27FC236}">
                  <a16:creationId xmlns:a16="http://schemas.microsoft.com/office/drawing/2014/main" id="{00000000-0008-0000-0100-00001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2355</xdr:row>
          <xdr:rowOff>0</xdr:rowOff>
        </xdr:from>
        <xdr:to>
          <xdr:col>7</xdr:col>
          <xdr:colOff>0</xdr:colOff>
          <xdr:row>2355</xdr:row>
          <xdr:rowOff>165100</xdr:rowOff>
        </xdr:to>
        <xdr:sp macro="" textlink="">
          <xdr:nvSpPr>
            <xdr:cNvPr id="13335" name="Button 2071" hidden="1">
              <a:extLst>
                <a:ext uri="{63B3BB69-23CF-44E3-9099-C40C66FF867C}">
                  <a14:compatExt spid="_x0000_s13335"/>
                </a:ext>
                <a:ext uri="{FF2B5EF4-FFF2-40B4-BE49-F238E27FC236}">
                  <a16:creationId xmlns:a16="http://schemas.microsoft.com/office/drawing/2014/main" id="{00000000-0008-0000-0100-00001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2356</xdr:row>
          <xdr:rowOff>0</xdr:rowOff>
        </xdr:from>
        <xdr:to>
          <xdr:col>7</xdr:col>
          <xdr:colOff>0</xdr:colOff>
          <xdr:row>2356</xdr:row>
          <xdr:rowOff>165100</xdr:rowOff>
        </xdr:to>
        <xdr:sp macro="" textlink="">
          <xdr:nvSpPr>
            <xdr:cNvPr id="13334" name="Button 2070" hidden="1">
              <a:extLst>
                <a:ext uri="{63B3BB69-23CF-44E3-9099-C40C66FF867C}">
                  <a14:compatExt spid="_x0000_s13334"/>
                </a:ext>
                <a:ext uri="{FF2B5EF4-FFF2-40B4-BE49-F238E27FC236}">
                  <a16:creationId xmlns:a16="http://schemas.microsoft.com/office/drawing/2014/main" id="{00000000-0008-0000-0100-00001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2357</xdr:row>
          <xdr:rowOff>0</xdr:rowOff>
        </xdr:from>
        <xdr:to>
          <xdr:col>7</xdr:col>
          <xdr:colOff>0</xdr:colOff>
          <xdr:row>2357</xdr:row>
          <xdr:rowOff>165100</xdr:rowOff>
        </xdr:to>
        <xdr:sp macro="" textlink="">
          <xdr:nvSpPr>
            <xdr:cNvPr id="13333" name="Button 2069" hidden="1">
              <a:extLst>
                <a:ext uri="{63B3BB69-23CF-44E3-9099-C40C66FF867C}">
                  <a14:compatExt spid="_x0000_s13333"/>
                </a:ext>
                <a:ext uri="{FF2B5EF4-FFF2-40B4-BE49-F238E27FC236}">
                  <a16:creationId xmlns:a16="http://schemas.microsoft.com/office/drawing/2014/main" id="{00000000-0008-0000-0100-00001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2358</xdr:row>
          <xdr:rowOff>0</xdr:rowOff>
        </xdr:from>
        <xdr:to>
          <xdr:col>7</xdr:col>
          <xdr:colOff>0</xdr:colOff>
          <xdr:row>2358</xdr:row>
          <xdr:rowOff>165100</xdr:rowOff>
        </xdr:to>
        <xdr:sp macro="" textlink="">
          <xdr:nvSpPr>
            <xdr:cNvPr id="13332" name="Button 2068" hidden="1">
              <a:extLst>
                <a:ext uri="{63B3BB69-23CF-44E3-9099-C40C66FF867C}">
                  <a14:compatExt spid="_x0000_s13332"/>
                </a:ext>
                <a:ext uri="{FF2B5EF4-FFF2-40B4-BE49-F238E27FC236}">
                  <a16:creationId xmlns:a16="http://schemas.microsoft.com/office/drawing/2014/main" id="{00000000-0008-0000-0100-00001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2359</xdr:row>
          <xdr:rowOff>0</xdr:rowOff>
        </xdr:from>
        <xdr:to>
          <xdr:col>7</xdr:col>
          <xdr:colOff>0</xdr:colOff>
          <xdr:row>2359</xdr:row>
          <xdr:rowOff>165100</xdr:rowOff>
        </xdr:to>
        <xdr:sp macro="" textlink="">
          <xdr:nvSpPr>
            <xdr:cNvPr id="13331" name="Button 2067" hidden="1">
              <a:extLst>
                <a:ext uri="{63B3BB69-23CF-44E3-9099-C40C66FF867C}">
                  <a14:compatExt spid="_x0000_s13331"/>
                </a:ext>
                <a:ext uri="{FF2B5EF4-FFF2-40B4-BE49-F238E27FC236}">
                  <a16:creationId xmlns:a16="http://schemas.microsoft.com/office/drawing/2014/main" id="{00000000-0008-0000-0100-00001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2360</xdr:row>
          <xdr:rowOff>0</xdr:rowOff>
        </xdr:from>
        <xdr:to>
          <xdr:col>7</xdr:col>
          <xdr:colOff>0</xdr:colOff>
          <xdr:row>2360</xdr:row>
          <xdr:rowOff>165100</xdr:rowOff>
        </xdr:to>
        <xdr:sp macro="" textlink="">
          <xdr:nvSpPr>
            <xdr:cNvPr id="13330" name="Button 2066" hidden="1">
              <a:extLst>
                <a:ext uri="{63B3BB69-23CF-44E3-9099-C40C66FF867C}">
                  <a14:compatExt spid="_x0000_s13330"/>
                </a:ext>
                <a:ext uri="{FF2B5EF4-FFF2-40B4-BE49-F238E27FC236}">
                  <a16:creationId xmlns:a16="http://schemas.microsoft.com/office/drawing/2014/main" id="{00000000-0008-0000-0100-00001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2361</xdr:row>
          <xdr:rowOff>0</xdr:rowOff>
        </xdr:from>
        <xdr:to>
          <xdr:col>7</xdr:col>
          <xdr:colOff>0</xdr:colOff>
          <xdr:row>2361</xdr:row>
          <xdr:rowOff>165100</xdr:rowOff>
        </xdr:to>
        <xdr:sp macro="" textlink="">
          <xdr:nvSpPr>
            <xdr:cNvPr id="13329" name="Button 2065" hidden="1">
              <a:extLst>
                <a:ext uri="{63B3BB69-23CF-44E3-9099-C40C66FF867C}">
                  <a14:compatExt spid="_x0000_s13329"/>
                </a:ext>
                <a:ext uri="{FF2B5EF4-FFF2-40B4-BE49-F238E27FC236}">
                  <a16:creationId xmlns:a16="http://schemas.microsoft.com/office/drawing/2014/main" id="{00000000-0008-0000-0100-00001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2362</xdr:row>
          <xdr:rowOff>0</xdr:rowOff>
        </xdr:from>
        <xdr:to>
          <xdr:col>7</xdr:col>
          <xdr:colOff>0</xdr:colOff>
          <xdr:row>2362</xdr:row>
          <xdr:rowOff>165100</xdr:rowOff>
        </xdr:to>
        <xdr:sp macro="" textlink="">
          <xdr:nvSpPr>
            <xdr:cNvPr id="13328" name="Button 2064" hidden="1">
              <a:extLst>
                <a:ext uri="{63B3BB69-23CF-44E3-9099-C40C66FF867C}">
                  <a14:compatExt spid="_x0000_s13328"/>
                </a:ext>
                <a:ext uri="{FF2B5EF4-FFF2-40B4-BE49-F238E27FC236}">
                  <a16:creationId xmlns:a16="http://schemas.microsoft.com/office/drawing/2014/main" id="{00000000-0008-0000-0100-00001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2363</xdr:row>
          <xdr:rowOff>0</xdr:rowOff>
        </xdr:from>
        <xdr:to>
          <xdr:col>7</xdr:col>
          <xdr:colOff>0</xdr:colOff>
          <xdr:row>2363</xdr:row>
          <xdr:rowOff>165100</xdr:rowOff>
        </xdr:to>
        <xdr:sp macro="" textlink="">
          <xdr:nvSpPr>
            <xdr:cNvPr id="13327" name="Button 2063" hidden="1">
              <a:extLst>
                <a:ext uri="{63B3BB69-23CF-44E3-9099-C40C66FF867C}">
                  <a14:compatExt spid="_x0000_s13327"/>
                </a:ext>
                <a:ext uri="{FF2B5EF4-FFF2-40B4-BE49-F238E27FC236}">
                  <a16:creationId xmlns:a16="http://schemas.microsoft.com/office/drawing/2014/main" id="{00000000-0008-0000-0100-00000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2364</xdr:row>
          <xdr:rowOff>0</xdr:rowOff>
        </xdr:from>
        <xdr:to>
          <xdr:col>7</xdr:col>
          <xdr:colOff>0</xdr:colOff>
          <xdr:row>2364</xdr:row>
          <xdr:rowOff>165100</xdr:rowOff>
        </xdr:to>
        <xdr:sp macro="" textlink="">
          <xdr:nvSpPr>
            <xdr:cNvPr id="13326" name="Button 2062" hidden="1">
              <a:extLst>
                <a:ext uri="{63B3BB69-23CF-44E3-9099-C40C66FF867C}">
                  <a14:compatExt spid="_x0000_s13326"/>
                </a:ext>
                <a:ext uri="{FF2B5EF4-FFF2-40B4-BE49-F238E27FC236}">
                  <a16:creationId xmlns:a16="http://schemas.microsoft.com/office/drawing/2014/main" id="{00000000-0008-0000-0100-00000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2365</xdr:row>
          <xdr:rowOff>0</xdr:rowOff>
        </xdr:from>
        <xdr:to>
          <xdr:col>7</xdr:col>
          <xdr:colOff>0</xdr:colOff>
          <xdr:row>2365</xdr:row>
          <xdr:rowOff>165100</xdr:rowOff>
        </xdr:to>
        <xdr:sp macro="" textlink="">
          <xdr:nvSpPr>
            <xdr:cNvPr id="13325" name="Button 2061" hidden="1">
              <a:extLst>
                <a:ext uri="{63B3BB69-23CF-44E3-9099-C40C66FF867C}">
                  <a14:compatExt spid="_x0000_s13325"/>
                </a:ext>
                <a:ext uri="{FF2B5EF4-FFF2-40B4-BE49-F238E27FC236}">
                  <a16:creationId xmlns:a16="http://schemas.microsoft.com/office/drawing/2014/main" id="{00000000-0008-0000-0100-00000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2366</xdr:row>
          <xdr:rowOff>0</xdr:rowOff>
        </xdr:from>
        <xdr:to>
          <xdr:col>7</xdr:col>
          <xdr:colOff>0</xdr:colOff>
          <xdr:row>2366</xdr:row>
          <xdr:rowOff>165100</xdr:rowOff>
        </xdr:to>
        <xdr:sp macro="" textlink="">
          <xdr:nvSpPr>
            <xdr:cNvPr id="13324" name="Button 2060" hidden="1">
              <a:extLst>
                <a:ext uri="{63B3BB69-23CF-44E3-9099-C40C66FF867C}">
                  <a14:compatExt spid="_x0000_s13324"/>
                </a:ext>
                <a:ext uri="{FF2B5EF4-FFF2-40B4-BE49-F238E27FC236}">
                  <a16:creationId xmlns:a16="http://schemas.microsoft.com/office/drawing/2014/main" id="{00000000-0008-0000-0100-00000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2367</xdr:row>
          <xdr:rowOff>0</xdr:rowOff>
        </xdr:from>
        <xdr:to>
          <xdr:col>7</xdr:col>
          <xdr:colOff>0</xdr:colOff>
          <xdr:row>2367</xdr:row>
          <xdr:rowOff>165100</xdr:rowOff>
        </xdr:to>
        <xdr:sp macro="" textlink="">
          <xdr:nvSpPr>
            <xdr:cNvPr id="13323" name="Button 2059" hidden="1">
              <a:extLst>
                <a:ext uri="{63B3BB69-23CF-44E3-9099-C40C66FF867C}">
                  <a14:compatExt spid="_x0000_s13323"/>
                </a:ext>
                <a:ext uri="{FF2B5EF4-FFF2-40B4-BE49-F238E27FC236}">
                  <a16:creationId xmlns:a16="http://schemas.microsoft.com/office/drawing/2014/main" id="{00000000-0008-0000-0100-00000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2368</xdr:row>
          <xdr:rowOff>0</xdr:rowOff>
        </xdr:from>
        <xdr:to>
          <xdr:col>7</xdr:col>
          <xdr:colOff>0</xdr:colOff>
          <xdr:row>2368</xdr:row>
          <xdr:rowOff>165100</xdr:rowOff>
        </xdr:to>
        <xdr:sp macro="" textlink="">
          <xdr:nvSpPr>
            <xdr:cNvPr id="13322" name="Button 2058" hidden="1">
              <a:extLst>
                <a:ext uri="{63B3BB69-23CF-44E3-9099-C40C66FF867C}">
                  <a14:compatExt spid="_x0000_s13322"/>
                </a:ext>
                <a:ext uri="{FF2B5EF4-FFF2-40B4-BE49-F238E27FC236}">
                  <a16:creationId xmlns:a16="http://schemas.microsoft.com/office/drawing/2014/main" id="{00000000-0008-0000-0100-00000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2369</xdr:row>
          <xdr:rowOff>0</xdr:rowOff>
        </xdr:from>
        <xdr:to>
          <xdr:col>7</xdr:col>
          <xdr:colOff>0</xdr:colOff>
          <xdr:row>2369</xdr:row>
          <xdr:rowOff>165100</xdr:rowOff>
        </xdr:to>
        <xdr:sp macro="" textlink="">
          <xdr:nvSpPr>
            <xdr:cNvPr id="13321" name="Button 2057" hidden="1">
              <a:extLst>
                <a:ext uri="{63B3BB69-23CF-44E3-9099-C40C66FF867C}">
                  <a14:compatExt spid="_x0000_s13321"/>
                </a:ext>
                <a:ext uri="{FF2B5EF4-FFF2-40B4-BE49-F238E27FC236}">
                  <a16:creationId xmlns:a16="http://schemas.microsoft.com/office/drawing/2014/main" id="{00000000-0008-0000-0100-00000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2370</xdr:row>
          <xdr:rowOff>0</xdr:rowOff>
        </xdr:from>
        <xdr:to>
          <xdr:col>7</xdr:col>
          <xdr:colOff>0</xdr:colOff>
          <xdr:row>2370</xdr:row>
          <xdr:rowOff>165100</xdr:rowOff>
        </xdr:to>
        <xdr:sp macro="" textlink="">
          <xdr:nvSpPr>
            <xdr:cNvPr id="13320" name="Button 2056" hidden="1">
              <a:extLst>
                <a:ext uri="{63B3BB69-23CF-44E3-9099-C40C66FF867C}">
                  <a14:compatExt spid="_x0000_s13320"/>
                </a:ext>
                <a:ext uri="{FF2B5EF4-FFF2-40B4-BE49-F238E27FC236}">
                  <a16:creationId xmlns:a16="http://schemas.microsoft.com/office/drawing/2014/main" id="{00000000-0008-0000-0100-00000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2371</xdr:row>
          <xdr:rowOff>0</xdr:rowOff>
        </xdr:from>
        <xdr:to>
          <xdr:col>7</xdr:col>
          <xdr:colOff>0</xdr:colOff>
          <xdr:row>2371</xdr:row>
          <xdr:rowOff>165100</xdr:rowOff>
        </xdr:to>
        <xdr:sp macro="" textlink="">
          <xdr:nvSpPr>
            <xdr:cNvPr id="13319" name="Button 2055" hidden="1">
              <a:extLst>
                <a:ext uri="{63B3BB69-23CF-44E3-9099-C40C66FF867C}">
                  <a14:compatExt spid="_x0000_s13319"/>
                </a:ext>
                <a:ext uri="{FF2B5EF4-FFF2-40B4-BE49-F238E27FC236}">
                  <a16:creationId xmlns:a16="http://schemas.microsoft.com/office/drawing/2014/main" id="{00000000-0008-0000-0100-00000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2372</xdr:row>
          <xdr:rowOff>0</xdr:rowOff>
        </xdr:from>
        <xdr:to>
          <xdr:col>7</xdr:col>
          <xdr:colOff>0</xdr:colOff>
          <xdr:row>2372</xdr:row>
          <xdr:rowOff>165100</xdr:rowOff>
        </xdr:to>
        <xdr:sp macro="" textlink="">
          <xdr:nvSpPr>
            <xdr:cNvPr id="13318" name="Button 2054" hidden="1">
              <a:extLst>
                <a:ext uri="{63B3BB69-23CF-44E3-9099-C40C66FF867C}">
                  <a14:compatExt spid="_x0000_s13318"/>
                </a:ext>
                <a:ext uri="{FF2B5EF4-FFF2-40B4-BE49-F238E27FC236}">
                  <a16:creationId xmlns:a16="http://schemas.microsoft.com/office/drawing/2014/main" id="{00000000-0008-0000-0100-00000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2373</xdr:row>
          <xdr:rowOff>0</xdr:rowOff>
        </xdr:from>
        <xdr:to>
          <xdr:col>7</xdr:col>
          <xdr:colOff>0</xdr:colOff>
          <xdr:row>2373</xdr:row>
          <xdr:rowOff>165100</xdr:rowOff>
        </xdr:to>
        <xdr:sp macro="" textlink="">
          <xdr:nvSpPr>
            <xdr:cNvPr id="13317" name="Button 2053" hidden="1">
              <a:extLst>
                <a:ext uri="{63B3BB69-23CF-44E3-9099-C40C66FF867C}">
                  <a14:compatExt spid="_x0000_s13317"/>
                </a:ext>
                <a:ext uri="{FF2B5EF4-FFF2-40B4-BE49-F238E27FC236}">
                  <a16:creationId xmlns:a16="http://schemas.microsoft.com/office/drawing/2014/main" id="{00000000-0008-0000-0100-00000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2374</xdr:row>
          <xdr:rowOff>0</xdr:rowOff>
        </xdr:from>
        <xdr:to>
          <xdr:col>7</xdr:col>
          <xdr:colOff>0</xdr:colOff>
          <xdr:row>2374</xdr:row>
          <xdr:rowOff>165100</xdr:rowOff>
        </xdr:to>
        <xdr:sp macro="" textlink="">
          <xdr:nvSpPr>
            <xdr:cNvPr id="13316" name="Button 2052" hidden="1">
              <a:extLst>
                <a:ext uri="{63B3BB69-23CF-44E3-9099-C40C66FF867C}">
                  <a14:compatExt spid="_x0000_s13316"/>
                </a:ext>
                <a:ext uri="{FF2B5EF4-FFF2-40B4-BE49-F238E27FC236}">
                  <a16:creationId xmlns:a16="http://schemas.microsoft.com/office/drawing/2014/main" id="{00000000-0008-0000-0100-00000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2375</xdr:row>
          <xdr:rowOff>0</xdr:rowOff>
        </xdr:from>
        <xdr:to>
          <xdr:col>7</xdr:col>
          <xdr:colOff>0</xdr:colOff>
          <xdr:row>2375</xdr:row>
          <xdr:rowOff>165100</xdr:rowOff>
        </xdr:to>
        <xdr:sp macro="" textlink="">
          <xdr:nvSpPr>
            <xdr:cNvPr id="13315" name="Button 2051" hidden="1">
              <a:extLst>
                <a:ext uri="{63B3BB69-23CF-44E3-9099-C40C66FF867C}">
                  <a14:compatExt spid="_x0000_s13315"/>
                </a:ext>
                <a:ext uri="{FF2B5EF4-FFF2-40B4-BE49-F238E27FC236}">
                  <a16:creationId xmlns:a16="http://schemas.microsoft.com/office/drawing/2014/main" id="{00000000-0008-0000-0100-00000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2376</xdr:row>
          <xdr:rowOff>0</xdr:rowOff>
        </xdr:from>
        <xdr:to>
          <xdr:col>7</xdr:col>
          <xdr:colOff>0</xdr:colOff>
          <xdr:row>2376</xdr:row>
          <xdr:rowOff>165100</xdr:rowOff>
        </xdr:to>
        <xdr:sp macro="" textlink="">
          <xdr:nvSpPr>
            <xdr:cNvPr id="13314" name="Button 2050" hidden="1">
              <a:extLst>
                <a:ext uri="{63B3BB69-23CF-44E3-9099-C40C66FF867C}">
                  <a14:compatExt spid="_x0000_s13314"/>
                </a:ext>
                <a:ext uri="{FF2B5EF4-FFF2-40B4-BE49-F238E27FC236}">
                  <a16:creationId xmlns:a16="http://schemas.microsoft.com/office/drawing/2014/main" id="{00000000-0008-0000-0100-00000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2377</xdr:row>
          <xdr:rowOff>0</xdr:rowOff>
        </xdr:from>
        <xdr:to>
          <xdr:col>7</xdr:col>
          <xdr:colOff>0</xdr:colOff>
          <xdr:row>2377</xdr:row>
          <xdr:rowOff>165100</xdr:rowOff>
        </xdr:to>
        <xdr:sp macro="" textlink="">
          <xdr:nvSpPr>
            <xdr:cNvPr id="13313" name="Button 2049" hidden="1">
              <a:extLst>
                <a:ext uri="{63B3BB69-23CF-44E3-9099-C40C66FF867C}">
                  <a14:compatExt spid="_x0000_s13313"/>
                </a:ext>
                <a:ext uri="{FF2B5EF4-FFF2-40B4-BE49-F238E27FC236}">
                  <a16:creationId xmlns:a16="http://schemas.microsoft.com/office/drawing/2014/main" id="{00000000-0008-0000-0100-00000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2378</xdr:row>
          <xdr:rowOff>0</xdr:rowOff>
        </xdr:from>
        <xdr:to>
          <xdr:col>7</xdr:col>
          <xdr:colOff>0</xdr:colOff>
          <xdr:row>2378</xdr:row>
          <xdr:rowOff>165100</xdr:rowOff>
        </xdr:to>
        <xdr:sp macro="" textlink="">
          <xdr:nvSpPr>
            <xdr:cNvPr id="13312" name="Button 2048" hidden="1">
              <a:extLst>
                <a:ext uri="{63B3BB69-23CF-44E3-9099-C40C66FF867C}">
                  <a14:compatExt spid="_x0000_s13312"/>
                </a:ext>
                <a:ext uri="{FF2B5EF4-FFF2-40B4-BE49-F238E27FC236}">
                  <a16:creationId xmlns:a16="http://schemas.microsoft.com/office/drawing/2014/main" id="{00000000-0008-0000-0100-00000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2379</xdr:row>
          <xdr:rowOff>0</xdr:rowOff>
        </xdr:from>
        <xdr:to>
          <xdr:col>7</xdr:col>
          <xdr:colOff>0</xdr:colOff>
          <xdr:row>2379</xdr:row>
          <xdr:rowOff>165100</xdr:rowOff>
        </xdr:to>
        <xdr:sp macro="" textlink="">
          <xdr:nvSpPr>
            <xdr:cNvPr id="2047" name="Button 1023" hidden="1">
              <a:extLst>
                <a:ext uri="{63B3BB69-23CF-44E3-9099-C40C66FF867C}">
                  <a14:compatExt spid="_x0000_s2047"/>
                </a:ext>
                <a:ext uri="{FF2B5EF4-FFF2-40B4-BE49-F238E27FC236}">
                  <a16:creationId xmlns:a16="http://schemas.microsoft.com/office/drawing/2014/main" id="{00000000-0008-0000-0100-0000F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2380</xdr:row>
          <xdr:rowOff>0</xdr:rowOff>
        </xdr:from>
        <xdr:to>
          <xdr:col>7</xdr:col>
          <xdr:colOff>0</xdr:colOff>
          <xdr:row>2380</xdr:row>
          <xdr:rowOff>165100</xdr:rowOff>
        </xdr:to>
        <xdr:sp macro="" textlink="">
          <xdr:nvSpPr>
            <xdr:cNvPr id="2046" name="Button 1022" hidden="1">
              <a:extLst>
                <a:ext uri="{63B3BB69-23CF-44E3-9099-C40C66FF867C}">
                  <a14:compatExt spid="_x0000_s2046"/>
                </a:ext>
                <a:ext uri="{FF2B5EF4-FFF2-40B4-BE49-F238E27FC236}">
                  <a16:creationId xmlns:a16="http://schemas.microsoft.com/office/drawing/2014/main" id="{00000000-0008-0000-0100-0000F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2381</xdr:row>
          <xdr:rowOff>0</xdr:rowOff>
        </xdr:from>
        <xdr:to>
          <xdr:col>7</xdr:col>
          <xdr:colOff>0</xdr:colOff>
          <xdr:row>2381</xdr:row>
          <xdr:rowOff>165100</xdr:rowOff>
        </xdr:to>
        <xdr:sp macro="" textlink="">
          <xdr:nvSpPr>
            <xdr:cNvPr id="2045" name="Button 1021" hidden="1">
              <a:extLst>
                <a:ext uri="{63B3BB69-23CF-44E3-9099-C40C66FF867C}">
                  <a14:compatExt spid="_x0000_s2045"/>
                </a:ext>
                <a:ext uri="{FF2B5EF4-FFF2-40B4-BE49-F238E27FC236}">
                  <a16:creationId xmlns:a16="http://schemas.microsoft.com/office/drawing/2014/main" id="{00000000-0008-0000-0100-0000F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2382</xdr:row>
          <xdr:rowOff>0</xdr:rowOff>
        </xdr:from>
        <xdr:to>
          <xdr:col>7</xdr:col>
          <xdr:colOff>0</xdr:colOff>
          <xdr:row>2382</xdr:row>
          <xdr:rowOff>165100</xdr:rowOff>
        </xdr:to>
        <xdr:sp macro="" textlink="">
          <xdr:nvSpPr>
            <xdr:cNvPr id="2044" name="Button 1020" hidden="1">
              <a:extLst>
                <a:ext uri="{63B3BB69-23CF-44E3-9099-C40C66FF867C}">
                  <a14:compatExt spid="_x0000_s2044"/>
                </a:ext>
                <a:ext uri="{FF2B5EF4-FFF2-40B4-BE49-F238E27FC236}">
                  <a16:creationId xmlns:a16="http://schemas.microsoft.com/office/drawing/2014/main" id="{00000000-0008-0000-0100-0000F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2383</xdr:row>
          <xdr:rowOff>0</xdr:rowOff>
        </xdr:from>
        <xdr:to>
          <xdr:col>7</xdr:col>
          <xdr:colOff>0</xdr:colOff>
          <xdr:row>2383</xdr:row>
          <xdr:rowOff>165100</xdr:rowOff>
        </xdr:to>
        <xdr:sp macro="" textlink="">
          <xdr:nvSpPr>
            <xdr:cNvPr id="2043" name="Button 1019" hidden="1">
              <a:extLst>
                <a:ext uri="{63B3BB69-23CF-44E3-9099-C40C66FF867C}">
                  <a14:compatExt spid="_x0000_s2043"/>
                </a:ext>
                <a:ext uri="{FF2B5EF4-FFF2-40B4-BE49-F238E27FC236}">
                  <a16:creationId xmlns:a16="http://schemas.microsoft.com/office/drawing/2014/main" id="{00000000-0008-0000-0100-0000F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2384</xdr:row>
          <xdr:rowOff>0</xdr:rowOff>
        </xdr:from>
        <xdr:to>
          <xdr:col>7</xdr:col>
          <xdr:colOff>0</xdr:colOff>
          <xdr:row>2384</xdr:row>
          <xdr:rowOff>165100</xdr:rowOff>
        </xdr:to>
        <xdr:sp macro="" textlink="">
          <xdr:nvSpPr>
            <xdr:cNvPr id="2042" name="Button 1018" hidden="1">
              <a:extLst>
                <a:ext uri="{63B3BB69-23CF-44E3-9099-C40C66FF867C}">
                  <a14:compatExt spid="_x0000_s2042"/>
                </a:ext>
                <a:ext uri="{FF2B5EF4-FFF2-40B4-BE49-F238E27FC236}">
                  <a16:creationId xmlns:a16="http://schemas.microsoft.com/office/drawing/2014/main" id="{00000000-0008-0000-0100-0000F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2385</xdr:row>
          <xdr:rowOff>0</xdr:rowOff>
        </xdr:from>
        <xdr:to>
          <xdr:col>7</xdr:col>
          <xdr:colOff>0</xdr:colOff>
          <xdr:row>2385</xdr:row>
          <xdr:rowOff>165100</xdr:rowOff>
        </xdr:to>
        <xdr:sp macro="" textlink="">
          <xdr:nvSpPr>
            <xdr:cNvPr id="2041" name="Button 1017" hidden="1">
              <a:extLst>
                <a:ext uri="{63B3BB69-23CF-44E3-9099-C40C66FF867C}">
                  <a14:compatExt spid="_x0000_s2041"/>
                </a:ext>
                <a:ext uri="{FF2B5EF4-FFF2-40B4-BE49-F238E27FC236}">
                  <a16:creationId xmlns:a16="http://schemas.microsoft.com/office/drawing/2014/main" id="{00000000-0008-0000-0100-0000F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2386</xdr:row>
          <xdr:rowOff>0</xdr:rowOff>
        </xdr:from>
        <xdr:to>
          <xdr:col>7</xdr:col>
          <xdr:colOff>0</xdr:colOff>
          <xdr:row>2386</xdr:row>
          <xdr:rowOff>165100</xdr:rowOff>
        </xdr:to>
        <xdr:sp macro="" textlink="">
          <xdr:nvSpPr>
            <xdr:cNvPr id="2040" name="Button 1016" hidden="1">
              <a:extLst>
                <a:ext uri="{63B3BB69-23CF-44E3-9099-C40C66FF867C}">
                  <a14:compatExt spid="_x0000_s2040"/>
                </a:ext>
                <a:ext uri="{FF2B5EF4-FFF2-40B4-BE49-F238E27FC236}">
                  <a16:creationId xmlns:a16="http://schemas.microsoft.com/office/drawing/2014/main" id="{00000000-0008-0000-0100-0000F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2387</xdr:row>
          <xdr:rowOff>0</xdr:rowOff>
        </xdr:from>
        <xdr:to>
          <xdr:col>7</xdr:col>
          <xdr:colOff>0</xdr:colOff>
          <xdr:row>2387</xdr:row>
          <xdr:rowOff>165100</xdr:rowOff>
        </xdr:to>
        <xdr:sp macro="" textlink="">
          <xdr:nvSpPr>
            <xdr:cNvPr id="2039" name="Button 1015" hidden="1">
              <a:extLst>
                <a:ext uri="{63B3BB69-23CF-44E3-9099-C40C66FF867C}">
                  <a14:compatExt spid="_x0000_s2039"/>
                </a:ext>
                <a:ext uri="{FF2B5EF4-FFF2-40B4-BE49-F238E27FC236}">
                  <a16:creationId xmlns:a16="http://schemas.microsoft.com/office/drawing/2014/main" id="{00000000-0008-0000-0100-0000F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2388</xdr:row>
          <xdr:rowOff>0</xdr:rowOff>
        </xdr:from>
        <xdr:to>
          <xdr:col>7</xdr:col>
          <xdr:colOff>0</xdr:colOff>
          <xdr:row>2388</xdr:row>
          <xdr:rowOff>165100</xdr:rowOff>
        </xdr:to>
        <xdr:sp macro="" textlink="">
          <xdr:nvSpPr>
            <xdr:cNvPr id="2038" name="Button 1014" hidden="1">
              <a:extLst>
                <a:ext uri="{63B3BB69-23CF-44E3-9099-C40C66FF867C}">
                  <a14:compatExt spid="_x0000_s2038"/>
                </a:ext>
                <a:ext uri="{FF2B5EF4-FFF2-40B4-BE49-F238E27FC236}">
                  <a16:creationId xmlns:a16="http://schemas.microsoft.com/office/drawing/2014/main" id="{00000000-0008-0000-0100-0000F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2389</xdr:row>
          <xdr:rowOff>0</xdr:rowOff>
        </xdr:from>
        <xdr:to>
          <xdr:col>7</xdr:col>
          <xdr:colOff>0</xdr:colOff>
          <xdr:row>2389</xdr:row>
          <xdr:rowOff>165100</xdr:rowOff>
        </xdr:to>
        <xdr:sp macro="" textlink="">
          <xdr:nvSpPr>
            <xdr:cNvPr id="2037" name="Button 1013" hidden="1">
              <a:extLst>
                <a:ext uri="{63B3BB69-23CF-44E3-9099-C40C66FF867C}">
                  <a14:compatExt spid="_x0000_s2037"/>
                </a:ext>
                <a:ext uri="{FF2B5EF4-FFF2-40B4-BE49-F238E27FC236}">
                  <a16:creationId xmlns:a16="http://schemas.microsoft.com/office/drawing/2014/main" id="{00000000-0008-0000-0100-0000F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2390</xdr:row>
          <xdr:rowOff>0</xdr:rowOff>
        </xdr:from>
        <xdr:to>
          <xdr:col>7</xdr:col>
          <xdr:colOff>0</xdr:colOff>
          <xdr:row>2390</xdr:row>
          <xdr:rowOff>165100</xdr:rowOff>
        </xdr:to>
        <xdr:sp macro="" textlink="">
          <xdr:nvSpPr>
            <xdr:cNvPr id="2036" name="Button 1012" hidden="1">
              <a:extLst>
                <a:ext uri="{63B3BB69-23CF-44E3-9099-C40C66FF867C}">
                  <a14:compatExt spid="_x0000_s2036"/>
                </a:ext>
                <a:ext uri="{FF2B5EF4-FFF2-40B4-BE49-F238E27FC236}">
                  <a16:creationId xmlns:a16="http://schemas.microsoft.com/office/drawing/2014/main" id="{00000000-0008-0000-0100-0000F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2391</xdr:row>
          <xdr:rowOff>0</xdr:rowOff>
        </xdr:from>
        <xdr:to>
          <xdr:col>7</xdr:col>
          <xdr:colOff>0</xdr:colOff>
          <xdr:row>2391</xdr:row>
          <xdr:rowOff>165100</xdr:rowOff>
        </xdr:to>
        <xdr:sp macro="" textlink="">
          <xdr:nvSpPr>
            <xdr:cNvPr id="2035" name="Button 1011" hidden="1">
              <a:extLst>
                <a:ext uri="{63B3BB69-23CF-44E3-9099-C40C66FF867C}">
                  <a14:compatExt spid="_x0000_s2035"/>
                </a:ext>
                <a:ext uri="{FF2B5EF4-FFF2-40B4-BE49-F238E27FC236}">
                  <a16:creationId xmlns:a16="http://schemas.microsoft.com/office/drawing/2014/main" id="{00000000-0008-0000-0100-0000F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2392</xdr:row>
          <xdr:rowOff>0</xdr:rowOff>
        </xdr:from>
        <xdr:to>
          <xdr:col>7</xdr:col>
          <xdr:colOff>0</xdr:colOff>
          <xdr:row>2392</xdr:row>
          <xdr:rowOff>165100</xdr:rowOff>
        </xdr:to>
        <xdr:sp macro="" textlink="">
          <xdr:nvSpPr>
            <xdr:cNvPr id="2034" name="Button 1010" hidden="1">
              <a:extLst>
                <a:ext uri="{63B3BB69-23CF-44E3-9099-C40C66FF867C}">
                  <a14:compatExt spid="_x0000_s2034"/>
                </a:ext>
                <a:ext uri="{FF2B5EF4-FFF2-40B4-BE49-F238E27FC236}">
                  <a16:creationId xmlns:a16="http://schemas.microsoft.com/office/drawing/2014/main" id="{00000000-0008-0000-0100-0000F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2393</xdr:row>
          <xdr:rowOff>0</xdr:rowOff>
        </xdr:from>
        <xdr:to>
          <xdr:col>7</xdr:col>
          <xdr:colOff>0</xdr:colOff>
          <xdr:row>2393</xdr:row>
          <xdr:rowOff>165100</xdr:rowOff>
        </xdr:to>
        <xdr:sp macro="" textlink="">
          <xdr:nvSpPr>
            <xdr:cNvPr id="2033" name="Button 1009" hidden="1">
              <a:extLst>
                <a:ext uri="{63B3BB69-23CF-44E3-9099-C40C66FF867C}">
                  <a14:compatExt spid="_x0000_s2033"/>
                </a:ext>
                <a:ext uri="{FF2B5EF4-FFF2-40B4-BE49-F238E27FC236}">
                  <a16:creationId xmlns:a16="http://schemas.microsoft.com/office/drawing/2014/main" id="{00000000-0008-0000-0100-0000F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2394</xdr:row>
          <xdr:rowOff>0</xdr:rowOff>
        </xdr:from>
        <xdr:to>
          <xdr:col>7</xdr:col>
          <xdr:colOff>0</xdr:colOff>
          <xdr:row>2394</xdr:row>
          <xdr:rowOff>165100</xdr:rowOff>
        </xdr:to>
        <xdr:sp macro="" textlink="">
          <xdr:nvSpPr>
            <xdr:cNvPr id="2032" name="Button 1008" hidden="1">
              <a:extLst>
                <a:ext uri="{63B3BB69-23CF-44E3-9099-C40C66FF867C}">
                  <a14:compatExt spid="_x0000_s2032"/>
                </a:ext>
                <a:ext uri="{FF2B5EF4-FFF2-40B4-BE49-F238E27FC236}">
                  <a16:creationId xmlns:a16="http://schemas.microsoft.com/office/drawing/2014/main" id="{00000000-0008-0000-0100-0000F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2395</xdr:row>
          <xdr:rowOff>0</xdr:rowOff>
        </xdr:from>
        <xdr:to>
          <xdr:col>7</xdr:col>
          <xdr:colOff>0</xdr:colOff>
          <xdr:row>2395</xdr:row>
          <xdr:rowOff>165100</xdr:rowOff>
        </xdr:to>
        <xdr:sp macro="" textlink="">
          <xdr:nvSpPr>
            <xdr:cNvPr id="2031" name="Button 1007" hidden="1">
              <a:extLst>
                <a:ext uri="{63B3BB69-23CF-44E3-9099-C40C66FF867C}">
                  <a14:compatExt spid="_x0000_s2031"/>
                </a:ext>
                <a:ext uri="{FF2B5EF4-FFF2-40B4-BE49-F238E27FC236}">
                  <a16:creationId xmlns:a16="http://schemas.microsoft.com/office/drawing/2014/main" id="{00000000-0008-0000-0100-0000E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2396</xdr:row>
          <xdr:rowOff>0</xdr:rowOff>
        </xdr:from>
        <xdr:to>
          <xdr:col>7</xdr:col>
          <xdr:colOff>0</xdr:colOff>
          <xdr:row>2396</xdr:row>
          <xdr:rowOff>165100</xdr:rowOff>
        </xdr:to>
        <xdr:sp macro="" textlink="">
          <xdr:nvSpPr>
            <xdr:cNvPr id="2030" name="Button 1006" hidden="1">
              <a:extLst>
                <a:ext uri="{63B3BB69-23CF-44E3-9099-C40C66FF867C}">
                  <a14:compatExt spid="_x0000_s2030"/>
                </a:ext>
                <a:ext uri="{FF2B5EF4-FFF2-40B4-BE49-F238E27FC236}">
                  <a16:creationId xmlns:a16="http://schemas.microsoft.com/office/drawing/2014/main" id="{00000000-0008-0000-0100-0000E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2397</xdr:row>
          <xdr:rowOff>0</xdr:rowOff>
        </xdr:from>
        <xdr:to>
          <xdr:col>7</xdr:col>
          <xdr:colOff>0</xdr:colOff>
          <xdr:row>2397</xdr:row>
          <xdr:rowOff>165100</xdr:rowOff>
        </xdr:to>
        <xdr:sp macro="" textlink="">
          <xdr:nvSpPr>
            <xdr:cNvPr id="2029" name="Button 1005" hidden="1">
              <a:extLst>
                <a:ext uri="{63B3BB69-23CF-44E3-9099-C40C66FF867C}">
                  <a14:compatExt spid="_x0000_s2029"/>
                </a:ext>
                <a:ext uri="{FF2B5EF4-FFF2-40B4-BE49-F238E27FC236}">
                  <a16:creationId xmlns:a16="http://schemas.microsoft.com/office/drawing/2014/main" id="{00000000-0008-0000-0100-0000E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2398</xdr:row>
          <xdr:rowOff>0</xdr:rowOff>
        </xdr:from>
        <xdr:to>
          <xdr:col>7</xdr:col>
          <xdr:colOff>0</xdr:colOff>
          <xdr:row>2398</xdr:row>
          <xdr:rowOff>165100</xdr:rowOff>
        </xdr:to>
        <xdr:sp macro="" textlink="">
          <xdr:nvSpPr>
            <xdr:cNvPr id="2028" name="Button 1004" hidden="1">
              <a:extLst>
                <a:ext uri="{63B3BB69-23CF-44E3-9099-C40C66FF867C}">
                  <a14:compatExt spid="_x0000_s2028"/>
                </a:ext>
                <a:ext uri="{FF2B5EF4-FFF2-40B4-BE49-F238E27FC236}">
                  <a16:creationId xmlns:a16="http://schemas.microsoft.com/office/drawing/2014/main" id="{00000000-0008-0000-0100-0000E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2399</xdr:row>
          <xdr:rowOff>0</xdr:rowOff>
        </xdr:from>
        <xdr:to>
          <xdr:col>7</xdr:col>
          <xdr:colOff>0</xdr:colOff>
          <xdr:row>2399</xdr:row>
          <xdr:rowOff>165100</xdr:rowOff>
        </xdr:to>
        <xdr:sp macro="" textlink="">
          <xdr:nvSpPr>
            <xdr:cNvPr id="2027" name="Button 1003" hidden="1">
              <a:extLst>
                <a:ext uri="{63B3BB69-23CF-44E3-9099-C40C66FF867C}">
                  <a14:compatExt spid="_x0000_s2027"/>
                </a:ext>
                <a:ext uri="{FF2B5EF4-FFF2-40B4-BE49-F238E27FC236}">
                  <a16:creationId xmlns:a16="http://schemas.microsoft.com/office/drawing/2014/main" id="{00000000-0008-0000-0100-0000E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2400</xdr:row>
          <xdr:rowOff>0</xdr:rowOff>
        </xdr:from>
        <xdr:to>
          <xdr:col>7</xdr:col>
          <xdr:colOff>0</xdr:colOff>
          <xdr:row>2400</xdr:row>
          <xdr:rowOff>165100</xdr:rowOff>
        </xdr:to>
        <xdr:sp macro="" textlink="">
          <xdr:nvSpPr>
            <xdr:cNvPr id="2026" name="Button 1002" hidden="1">
              <a:extLst>
                <a:ext uri="{63B3BB69-23CF-44E3-9099-C40C66FF867C}">
                  <a14:compatExt spid="_x0000_s2026"/>
                </a:ext>
                <a:ext uri="{FF2B5EF4-FFF2-40B4-BE49-F238E27FC236}">
                  <a16:creationId xmlns:a16="http://schemas.microsoft.com/office/drawing/2014/main" id="{00000000-0008-0000-0100-0000E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2401</xdr:row>
          <xdr:rowOff>0</xdr:rowOff>
        </xdr:from>
        <xdr:to>
          <xdr:col>7</xdr:col>
          <xdr:colOff>0</xdr:colOff>
          <xdr:row>2401</xdr:row>
          <xdr:rowOff>165100</xdr:rowOff>
        </xdr:to>
        <xdr:sp macro="" textlink="">
          <xdr:nvSpPr>
            <xdr:cNvPr id="2025" name="Button 1001" hidden="1">
              <a:extLst>
                <a:ext uri="{63B3BB69-23CF-44E3-9099-C40C66FF867C}">
                  <a14:compatExt spid="_x0000_s2025"/>
                </a:ext>
                <a:ext uri="{FF2B5EF4-FFF2-40B4-BE49-F238E27FC236}">
                  <a16:creationId xmlns:a16="http://schemas.microsoft.com/office/drawing/2014/main" id="{00000000-0008-0000-0100-0000E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2402</xdr:row>
          <xdr:rowOff>0</xdr:rowOff>
        </xdr:from>
        <xdr:to>
          <xdr:col>7</xdr:col>
          <xdr:colOff>0</xdr:colOff>
          <xdr:row>2402</xdr:row>
          <xdr:rowOff>165100</xdr:rowOff>
        </xdr:to>
        <xdr:sp macro="" textlink="">
          <xdr:nvSpPr>
            <xdr:cNvPr id="2024" name="Button 1000" hidden="1">
              <a:extLst>
                <a:ext uri="{63B3BB69-23CF-44E3-9099-C40C66FF867C}">
                  <a14:compatExt spid="_x0000_s2024"/>
                </a:ext>
                <a:ext uri="{FF2B5EF4-FFF2-40B4-BE49-F238E27FC236}">
                  <a16:creationId xmlns:a16="http://schemas.microsoft.com/office/drawing/2014/main" id="{00000000-0008-0000-0100-0000E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2403</xdr:row>
          <xdr:rowOff>0</xdr:rowOff>
        </xdr:from>
        <xdr:to>
          <xdr:col>7</xdr:col>
          <xdr:colOff>0</xdr:colOff>
          <xdr:row>2403</xdr:row>
          <xdr:rowOff>165100</xdr:rowOff>
        </xdr:to>
        <xdr:sp macro="" textlink="">
          <xdr:nvSpPr>
            <xdr:cNvPr id="2023" name="Button 999" hidden="1">
              <a:extLst>
                <a:ext uri="{63B3BB69-23CF-44E3-9099-C40C66FF867C}">
                  <a14:compatExt spid="_x0000_s2023"/>
                </a:ext>
                <a:ext uri="{FF2B5EF4-FFF2-40B4-BE49-F238E27FC236}">
                  <a16:creationId xmlns:a16="http://schemas.microsoft.com/office/drawing/2014/main" id="{00000000-0008-0000-0100-0000E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2404</xdr:row>
          <xdr:rowOff>0</xdr:rowOff>
        </xdr:from>
        <xdr:to>
          <xdr:col>7</xdr:col>
          <xdr:colOff>0</xdr:colOff>
          <xdr:row>2404</xdr:row>
          <xdr:rowOff>165100</xdr:rowOff>
        </xdr:to>
        <xdr:sp macro="" textlink="">
          <xdr:nvSpPr>
            <xdr:cNvPr id="2022" name="Button 998" hidden="1">
              <a:extLst>
                <a:ext uri="{63B3BB69-23CF-44E3-9099-C40C66FF867C}">
                  <a14:compatExt spid="_x0000_s2022"/>
                </a:ext>
                <a:ext uri="{FF2B5EF4-FFF2-40B4-BE49-F238E27FC236}">
                  <a16:creationId xmlns:a16="http://schemas.microsoft.com/office/drawing/2014/main" id="{00000000-0008-0000-0100-0000E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2405</xdr:row>
          <xdr:rowOff>0</xdr:rowOff>
        </xdr:from>
        <xdr:to>
          <xdr:col>7</xdr:col>
          <xdr:colOff>0</xdr:colOff>
          <xdr:row>2405</xdr:row>
          <xdr:rowOff>165100</xdr:rowOff>
        </xdr:to>
        <xdr:sp macro="" textlink="">
          <xdr:nvSpPr>
            <xdr:cNvPr id="2021" name="Button 997" hidden="1">
              <a:extLst>
                <a:ext uri="{63B3BB69-23CF-44E3-9099-C40C66FF867C}">
                  <a14:compatExt spid="_x0000_s2021"/>
                </a:ext>
                <a:ext uri="{FF2B5EF4-FFF2-40B4-BE49-F238E27FC236}">
                  <a16:creationId xmlns:a16="http://schemas.microsoft.com/office/drawing/2014/main" id="{00000000-0008-0000-0100-0000E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2406</xdr:row>
          <xdr:rowOff>0</xdr:rowOff>
        </xdr:from>
        <xdr:to>
          <xdr:col>7</xdr:col>
          <xdr:colOff>0</xdr:colOff>
          <xdr:row>2406</xdr:row>
          <xdr:rowOff>165100</xdr:rowOff>
        </xdr:to>
        <xdr:sp macro="" textlink="">
          <xdr:nvSpPr>
            <xdr:cNvPr id="2020" name="Button 996" hidden="1">
              <a:extLst>
                <a:ext uri="{63B3BB69-23CF-44E3-9099-C40C66FF867C}">
                  <a14:compatExt spid="_x0000_s2020"/>
                </a:ext>
                <a:ext uri="{FF2B5EF4-FFF2-40B4-BE49-F238E27FC236}">
                  <a16:creationId xmlns:a16="http://schemas.microsoft.com/office/drawing/2014/main" id="{00000000-0008-0000-0100-0000E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2407</xdr:row>
          <xdr:rowOff>0</xdr:rowOff>
        </xdr:from>
        <xdr:to>
          <xdr:col>7</xdr:col>
          <xdr:colOff>0</xdr:colOff>
          <xdr:row>2407</xdr:row>
          <xdr:rowOff>165100</xdr:rowOff>
        </xdr:to>
        <xdr:sp macro="" textlink="">
          <xdr:nvSpPr>
            <xdr:cNvPr id="2019" name="Button 995" hidden="1">
              <a:extLst>
                <a:ext uri="{63B3BB69-23CF-44E3-9099-C40C66FF867C}">
                  <a14:compatExt spid="_x0000_s2019"/>
                </a:ext>
                <a:ext uri="{FF2B5EF4-FFF2-40B4-BE49-F238E27FC236}">
                  <a16:creationId xmlns:a16="http://schemas.microsoft.com/office/drawing/2014/main" id="{00000000-0008-0000-0100-0000E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2408</xdr:row>
          <xdr:rowOff>0</xdr:rowOff>
        </xdr:from>
        <xdr:to>
          <xdr:col>7</xdr:col>
          <xdr:colOff>0</xdr:colOff>
          <xdr:row>2408</xdr:row>
          <xdr:rowOff>165100</xdr:rowOff>
        </xdr:to>
        <xdr:sp macro="" textlink="">
          <xdr:nvSpPr>
            <xdr:cNvPr id="2018" name="Button 994" hidden="1">
              <a:extLst>
                <a:ext uri="{63B3BB69-23CF-44E3-9099-C40C66FF867C}">
                  <a14:compatExt spid="_x0000_s2018"/>
                </a:ext>
                <a:ext uri="{FF2B5EF4-FFF2-40B4-BE49-F238E27FC236}">
                  <a16:creationId xmlns:a16="http://schemas.microsoft.com/office/drawing/2014/main" id="{00000000-0008-0000-0100-0000E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2409</xdr:row>
          <xdr:rowOff>0</xdr:rowOff>
        </xdr:from>
        <xdr:to>
          <xdr:col>7</xdr:col>
          <xdr:colOff>0</xdr:colOff>
          <xdr:row>2409</xdr:row>
          <xdr:rowOff>165100</xdr:rowOff>
        </xdr:to>
        <xdr:sp macro="" textlink="">
          <xdr:nvSpPr>
            <xdr:cNvPr id="2017" name="Button 993" hidden="1">
              <a:extLst>
                <a:ext uri="{63B3BB69-23CF-44E3-9099-C40C66FF867C}">
                  <a14:compatExt spid="_x0000_s2017"/>
                </a:ext>
                <a:ext uri="{FF2B5EF4-FFF2-40B4-BE49-F238E27FC236}">
                  <a16:creationId xmlns:a16="http://schemas.microsoft.com/office/drawing/2014/main" id="{00000000-0008-0000-0100-0000E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2410</xdr:row>
          <xdr:rowOff>0</xdr:rowOff>
        </xdr:from>
        <xdr:to>
          <xdr:col>7</xdr:col>
          <xdr:colOff>0</xdr:colOff>
          <xdr:row>2410</xdr:row>
          <xdr:rowOff>165100</xdr:rowOff>
        </xdr:to>
        <xdr:sp macro="" textlink="">
          <xdr:nvSpPr>
            <xdr:cNvPr id="2016" name="Button 992" hidden="1">
              <a:extLst>
                <a:ext uri="{63B3BB69-23CF-44E3-9099-C40C66FF867C}">
                  <a14:compatExt spid="_x0000_s2016"/>
                </a:ext>
                <a:ext uri="{FF2B5EF4-FFF2-40B4-BE49-F238E27FC236}">
                  <a16:creationId xmlns:a16="http://schemas.microsoft.com/office/drawing/2014/main" id="{00000000-0008-0000-0100-0000E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2411</xdr:row>
          <xdr:rowOff>0</xdr:rowOff>
        </xdr:from>
        <xdr:to>
          <xdr:col>7</xdr:col>
          <xdr:colOff>0</xdr:colOff>
          <xdr:row>2411</xdr:row>
          <xdr:rowOff>165100</xdr:rowOff>
        </xdr:to>
        <xdr:sp macro="" textlink="">
          <xdr:nvSpPr>
            <xdr:cNvPr id="2015" name="Button 991" hidden="1">
              <a:extLst>
                <a:ext uri="{63B3BB69-23CF-44E3-9099-C40C66FF867C}">
                  <a14:compatExt spid="_x0000_s2015"/>
                </a:ext>
                <a:ext uri="{FF2B5EF4-FFF2-40B4-BE49-F238E27FC236}">
                  <a16:creationId xmlns:a16="http://schemas.microsoft.com/office/drawing/2014/main" id="{00000000-0008-0000-0100-0000D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2412</xdr:row>
          <xdr:rowOff>0</xdr:rowOff>
        </xdr:from>
        <xdr:to>
          <xdr:col>7</xdr:col>
          <xdr:colOff>0</xdr:colOff>
          <xdr:row>2412</xdr:row>
          <xdr:rowOff>165100</xdr:rowOff>
        </xdr:to>
        <xdr:sp macro="" textlink="">
          <xdr:nvSpPr>
            <xdr:cNvPr id="2014" name="Button 990" hidden="1">
              <a:extLst>
                <a:ext uri="{63B3BB69-23CF-44E3-9099-C40C66FF867C}">
                  <a14:compatExt spid="_x0000_s2014"/>
                </a:ext>
                <a:ext uri="{FF2B5EF4-FFF2-40B4-BE49-F238E27FC236}">
                  <a16:creationId xmlns:a16="http://schemas.microsoft.com/office/drawing/2014/main" id="{00000000-0008-0000-0100-0000D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2413</xdr:row>
          <xdr:rowOff>0</xdr:rowOff>
        </xdr:from>
        <xdr:to>
          <xdr:col>7</xdr:col>
          <xdr:colOff>0</xdr:colOff>
          <xdr:row>2413</xdr:row>
          <xdr:rowOff>165100</xdr:rowOff>
        </xdr:to>
        <xdr:sp macro="" textlink="">
          <xdr:nvSpPr>
            <xdr:cNvPr id="2013" name="Button 989" hidden="1">
              <a:extLst>
                <a:ext uri="{63B3BB69-23CF-44E3-9099-C40C66FF867C}">
                  <a14:compatExt spid="_x0000_s2013"/>
                </a:ext>
                <a:ext uri="{FF2B5EF4-FFF2-40B4-BE49-F238E27FC236}">
                  <a16:creationId xmlns:a16="http://schemas.microsoft.com/office/drawing/2014/main" id="{00000000-0008-0000-0100-0000D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2414</xdr:row>
          <xdr:rowOff>0</xdr:rowOff>
        </xdr:from>
        <xdr:to>
          <xdr:col>7</xdr:col>
          <xdr:colOff>0</xdr:colOff>
          <xdr:row>2414</xdr:row>
          <xdr:rowOff>165100</xdr:rowOff>
        </xdr:to>
        <xdr:sp macro="" textlink="">
          <xdr:nvSpPr>
            <xdr:cNvPr id="2012" name="Button 988" hidden="1">
              <a:extLst>
                <a:ext uri="{63B3BB69-23CF-44E3-9099-C40C66FF867C}">
                  <a14:compatExt spid="_x0000_s2012"/>
                </a:ext>
                <a:ext uri="{FF2B5EF4-FFF2-40B4-BE49-F238E27FC236}">
                  <a16:creationId xmlns:a16="http://schemas.microsoft.com/office/drawing/2014/main" id="{00000000-0008-0000-0100-0000D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2415</xdr:row>
          <xdr:rowOff>0</xdr:rowOff>
        </xdr:from>
        <xdr:to>
          <xdr:col>7</xdr:col>
          <xdr:colOff>0</xdr:colOff>
          <xdr:row>2415</xdr:row>
          <xdr:rowOff>165100</xdr:rowOff>
        </xdr:to>
        <xdr:sp macro="" textlink="">
          <xdr:nvSpPr>
            <xdr:cNvPr id="2011" name="Button 987" hidden="1">
              <a:extLst>
                <a:ext uri="{63B3BB69-23CF-44E3-9099-C40C66FF867C}">
                  <a14:compatExt spid="_x0000_s2011"/>
                </a:ext>
                <a:ext uri="{FF2B5EF4-FFF2-40B4-BE49-F238E27FC236}">
                  <a16:creationId xmlns:a16="http://schemas.microsoft.com/office/drawing/2014/main" id="{00000000-0008-0000-0100-0000D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2416</xdr:row>
          <xdr:rowOff>0</xdr:rowOff>
        </xdr:from>
        <xdr:to>
          <xdr:col>7</xdr:col>
          <xdr:colOff>0</xdr:colOff>
          <xdr:row>2416</xdr:row>
          <xdr:rowOff>165100</xdr:rowOff>
        </xdr:to>
        <xdr:sp macro="" textlink="">
          <xdr:nvSpPr>
            <xdr:cNvPr id="2010" name="Button 986" hidden="1">
              <a:extLst>
                <a:ext uri="{63B3BB69-23CF-44E3-9099-C40C66FF867C}">
                  <a14:compatExt spid="_x0000_s2010"/>
                </a:ext>
                <a:ext uri="{FF2B5EF4-FFF2-40B4-BE49-F238E27FC236}">
                  <a16:creationId xmlns:a16="http://schemas.microsoft.com/office/drawing/2014/main" id="{00000000-0008-0000-0100-0000D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2417</xdr:row>
          <xdr:rowOff>0</xdr:rowOff>
        </xdr:from>
        <xdr:to>
          <xdr:col>7</xdr:col>
          <xdr:colOff>0</xdr:colOff>
          <xdr:row>2417</xdr:row>
          <xdr:rowOff>165100</xdr:rowOff>
        </xdr:to>
        <xdr:sp macro="" textlink="">
          <xdr:nvSpPr>
            <xdr:cNvPr id="2009" name="Button 985" hidden="1">
              <a:extLst>
                <a:ext uri="{63B3BB69-23CF-44E3-9099-C40C66FF867C}">
                  <a14:compatExt spid="_x0000_s2009"/>
                </a:ext>
                <a:ext uri="{FF2B5EF4-FFF2-40B4-BE49-F238E27FC236}">
                  <a16:creationId xmlns:a16="http://schemas.microsoft.com/office/drawing/2014/main" id="{00000000-0008-0000-0100-0000D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2418</xdr:row>
          <xdr:rowOff>0</xdr:rowOff>
        </xdr:from>
        <xdr:to>
          <xdr:col>7</xdr:col>
          <xdr:colOff>0</xdr:colOff>
          <xdr:row>2418</xdr:row>
          <xdr:rowOff>165100</xdr:rowOff>
        </xdr:to>
        <xdr:sp macro="" textlink="">
          <xdr:nvSpPr>
            <xdr:cNvPr id="2008" name="Button 984" hidden="1">
              <a:extLst>
                <a:ext uri="{63B3BB69-23CF-44E3-9099-C40C66FF867C}">
                  <a14:compatExt spid="_x0000_s2008"/>
                </a:ext>
                <a:ext uri="{FF2B5EF4-FFF2-40B4-BE49-F238E27FC236}">
                  <a16:creationId xmlns:a16="http://schemas.microsoft.com/office/drawing/2014/main" id="{00000000-0008-0000-0100-0000D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2419</xdr:row>
          <xdr:rowOff>0</xdr:rowOff>
        </xdr:from>
        <xdr:to>
          <xdr:col>7</xdr:col>
          <xdr:colOff>0</xdr:colOff>
          <xdr:row>2419</xdr:row>
          <xdr:rowOff>165100</xdr:rowOff>
        </xdr:to>
        <xdr:sp macro="" textlink="">
          <xdr:nvSpPr>
            <xdr:cNvPr id="2007" name="Button 983" hidden="1">
              <a:extLst>
                <a:ext uri="{63B3BB69-23CF-44E3-9099-C40C66FF867C}">
                  <a14:compatExt spid="_x0000_s2007"/>
                </a:ext>
                <a:ext uri="{FF2B5EF4-FFF2-40B4-BE49-F238E27FC236}">
                  <a16:creationId xmlns:a16="http://schemas.microsoft.com/office/drawing/2014/main" id="{00000000-0008-0000-0100-0000D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2420</xdr:row>
          <xdr:rowOff>0</xdr:rowOff>
        </xdr:from>
        <xdr:to>
          <xdr:col>7</xdr:col>
          <xdr:colOff>0</xdr:colOff>
          <xdr:row>2420</xdr:row>
          <xdr:rowOff>165100</xdr:rowOff>
        </xdr:to>
        <xdr:sp macro="" textlink="">
          <xdr:nvSpPr>
            <xdr:cNvPr id="2006" name="Button 982" hidden="1">
              <a:extLst>
                <a:ext uri="{63B3BB69-23CF-44E3-9099-C40C66FF867C}">
                  <a14:compatExt spid="_x0000_s2006"/>
                </a:ext>
                <a:ext uri="{FF2B5EF4-FFF2-40B4-BE49-F238E27FC236}">
                  <a16:creationId xmlns:a16="http://schemas.microsoft.com/office/drawing/2014/main" id="{00000000-0008-0000-0100-0000D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2421</xdr:row>
          <xdr:rowOff>0</xdr:rowOff>
        </xdr:from>
        <xdr:to>
          <xdr:col>7</xdr:col>
          <xdr:colOff>0</xdr:colOff>
          <xdr:row>2421</xdr:row>
          <xdr:rowOff>165100</xdr:rowOff>
        </xdr:to>
        <xdr:sp macro="" textlink="">
          <xdr:nvSpPr>
            <xdr:cNvPr id="2005" name="Button 981" hidden="1">
              <a:extLst>
                <a:ext uri="{63B3BB69-23CF-44E3-9099-C40C66FF867C}">
                  <a14:compatExt spid="_x0000_s2005"/>
                </a:ext>
                <a:ext uri="{FF2B5EF4-FFF2-40B4-BE49-F238E27FC236}">
                  <a16:creationId xmlns:a16="http://schemas.microsoft.com/office/drawing/2014/main" id="{00000000-0008-0000-0100-0000D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2422</xdr:row>
          <xdr:rowOff>0</xdr:rowOff>
        </xdr:from>
        <xdr:to>
          <xdr:col>7</xdr:col>
          <xdr:colOff>0</xdr:colOff>
          <xdr:row>2422</xdr:row>
          <xdr:rowOff>165100</xdr:rowOff>
        </xdr:to>
        <xdr:sp macro="" textlink="">
          <xdr:nvSpPr>
            <xdr:cNvPr id="2004" name="Button 980" hidden="1">
              <a:extLst>
                <a:ext uri="{63B3BB69-23CF-44E3-9099-C40C66FF867C}">
                  <a14:compatExt spid="_x0000_s2004"/>
                </a:ext>
                <a:ext uri="{FF2B5EF4-FFF2-40B4-BE49-F238E27FC236}">
                  <a16:creationId xmlns:a16="http://schemas.microsoft.com/office/drawing/2014/main" id="{00000000-0008-0000-0100-0000D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2423</xdr:row>
          <xdr:rowOff>0</xdr:rowOff>
        </xdr:from>
        <xdr:to>
          <xdr:col>7</xdr:col>
          <xdr:colOff>0</xdr:colOff>
          <xdr:row>2423</xdr:row>
          <xdr:rowOff>165100</xdr:rowOff>
        </xdr:to>
        <xdr:sp macro="" textlink="">
          <xdr:nvSpPr>
            <xdr:cNvPr id="2003" name="Button 979" hidden="1">
              <a:extLst>
                <a:ext uri="{63B3BB69-23CF-44E3-9099-C40C66FF867C}">
                  <a14:compatExt spid="_x0000_s2003"/>
                </a:ext>
                <a:ext uri="{FF2B5EF4-FFF2-40B4-BE49-F238E27FC236}">
                  <a16:creationId xmlns:a16="http://schemas.microsoft.com/office/drawing/2014/main" id="{00000000-0008-0000-0100-0000D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2424</xdr:row>
          <xdr:rowOff>0</xdr:rowOff>
        </xdr:from>
        <xdr:to>
          <xdr:col>7</xdr:col>
          <xdr:colOff>0</xdr:colOff>
          <xdr:row>2424</xdr:row>
          <xdr:rowOff>165100</xdr:rowOff>
        </xdr:to>
        <xdr:sp macro="" textlink="">
          <xdr:nvSpPr>
            <xdr:cNvPr id="2002" name="Button 978" hidden="1">
              <a:extLst>
                <a:ext uri="{63B3BB69-23CF-44E3-9099-C40C66FF867C}">
                  <a14:compatExt spid="_x0000_s2002"/>
                </a:ext>
                <a:ext uri="{FF2B5EF4-FFF2-40B4-BE49-F238E27FC236}">
                  <a16:creationId xmlns:a16="http://schemas.microsoft.com/office/drawing/2014/main" id="{00000000-0008-0000-0100-0000D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2425</xdr:row>
          <xdr:rowOff>0</xdr:rowOff>
        </xdr:from>
        <xdr:to>
          <xdr:col>7</xdr:col>
          <xdr:colOff>0</xdr:colOff>
          <xdr:row>2425</xdr:row>
          <xdr:rowOff>165100</xdr:rowOff>
        </xdr:to>
        <xdr:sp macro="" textlink="">
          <xdr:nvSpPr>
            <xdr:cNvPr id="2001" name="Button 977" hidden="1">
              <a:extLst>
                <a:ext uri="{63B3BB69-23CF-44E3-9099-C40C66FF867C}">
                  <a14:compatExt spid="_x0000_s2001"/>
                </a:ext>
                <a:ext uri="{FF2B5EF4-FFF2-40B4-BE49-F238E27FC236}">
                  <a16:creationId xmlns:a16="http://schemas.microsoft.com/office/drawing/2014/main" id="{00000000-0008-0000-0100-0000D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2426</xdr:row>
          <xdr:rowOff>0</xdr:rowOff>
        </xdr:from>
        <xdr:to>
          <xdr:col>7</xdr:col>
          <xdr:colOff>0</xdr:colOff>
          <xdr:row>2426</xdr:row>
          <xdr:rowOff>165100</xdr:rowOff>
        </xdr:to>
        <xdr:sp macro="" textlink="">
          <xdr:nvSpPr>
            <xdr:cNvPr id="2000" name="Button 976" hidden="1">
              <a:extLst>
                <a:ext uri="{63B3BB69-23CF-44E3-9099-C40C66FF867C}">
                  <a14:compatExt spid="_x0000_s2000"/>
                </a:ext>
                <a:ext uri="{FF2B5EF4-FFF2-40B4-BE49-F238E27FC236}">
                  <a16:creationId xmlns:a16="http://schemas.microsoft.com/office/drawing/2014/main" id="{00000000-0008-0000-0100-0000D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2427</xdr:row>
          <xdr:rowOff>0</xdr:rowOff>
        </xdr:from>
        <xdr:to>
          <xdr:col>7</xdr:col>
          <xdr:colOff>0</xdr:colOff>
          <xdr:row>2427</xdr:row>
          <xdr:rowOff>165100</xdr:rowOff>
        </xdr:to>
        <xdr:sp macro="" textlink="">
          <xdr:nvSpPr>
            <xdr:cNvPr id="1999" name="Button 975" hidden="1">
              <a:extLst>
                <a:ext uri="{63B3BB69-23CF-44E3-9099-C40C66FF867C}">
                  <a14:compatExt spid="_x0000_s1999"/>
                </a:ext>
                <a:ext uri="{FF2B5EF4-FFF2-40B4-BE49-F238E27FC236}">
                  <a16:creationId xmlns:a16="http://schemas.microsoft.com/office/drawing/2014/main" id="{00000000-0008-0000-0100-0000C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2428</xdr:row>
          <xdr:rowOff>0</xdr:rowOff>
        </xdr:from>
        <xdr:to>
          <xdr:col>7</xdr:col>
          <xdr:colOff>0</xdr:colOff>
          <xdr:row>2428</xdr:row>
          <xdr:rowOff>165100</xdr:rowOff>
        </xdr:to>
        <xdr:sp macro="" textlink="">
          <xdr:nvSpPr>
            <xdr:cNvPr id="1998" name="Button 974" hidden="1">
              <a:extLst>
                <a:ext uri="{63B3BB69-23CF-44E3-9099-C40C66FF867C}">
                  <a14:compatExt spid="_x0000_s1998"/>
                </a:ext>
                <a:ext uri="{FF2B5EF4-FFF2-40B4-BE49-F238E27FC236}">
                  <a16:creationId xmlns:a16="http://schemas.microsoft.com/office/drawing/2014/main" id="{00000000-0008-0000-0100-0000C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2429</xdr:row>
          <xdr:rowOff>0</xdr:rowOff>
        </xdr:from>
        <xdr:to>
          <xdr:col>7</xdr:col>
          <xdr:colOff>0</xdr:colOff>
          <xdr:row>2429</xdr:row>
          <xdr:rowOff>165100</xdr:rowOff>
        </xdr:to>
        <xdr:sp macro="" textlink="">
          <xdr:nvSpPr>
            <xdr:cNvPr id="1997" name="Button 973" hidden="1">
              <a:extLst>
                <a:ext uri="{63B3BB69-23CF-44E3-9099-C40C66FF867C}">
                  <a14:compatExt spid="_x0000_s1997"/>
                </a:ext>
                <a:ext uri="{FF2B5EF4-FFF2-40B4-BE49-F238E27FC236}">
                  <a16:creationId xmlns:a16="http://schemas.microsoft.com/office/drawing/2014/main" id="{00000000-0008-0000-0100-0000C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2430</xdr:row>
          <xdr:rowOff>0</xdr:rowOff>
        </xdr:from>
        <xdr:to>
          <xdr:col>7</xdr:col>
          <xdr:colOff>0</xdr:colOff>
          <xdr:row>2430</xdr:row>
          <xdr:rowOff>165100</xdr:rowOff>
        </xdr:to>
        <xdr:sp macro="" textlink="">
          <xdr:nvSpPr>
            <xdr:cNvPr id="1996" name="Button 972" hidden="1">
              <a:extLst>
                <a:ext uri="{63B3BB69-23CF-44E3-9099-C40C66FF867C}">
                  <a14:compatExt spid="_x0000_s1996"/>
                </a:ext>
                <a:ext uri="{FF2B5EF4-FFF2-40B4-BE49-F238E27FC236}">
                  <a16:creationId xmlns:a16="http://schemas.microsoft.com/office/drawing/2014/main" id="{00000000-0008-0000-0100-0000C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2431</xdr:row>
          <xdr:rowOff>0</xdr:rowOff>
        </xdr:from>
        <xdr:to>
          <xdr:col>7</xdr:col>
          <xdr:colOff>0</xdr:colOff>
          <xdr:row>2431</xdr:row>
          <xdr:rowOff>165100</xdr:rowOff>
        </xdr:to>
        <xdr:sp macro="" textlink="">
          <xdr:nvSpPr>
            <xdr:cNvPr id="1995" name="Button 971" hidden="1">
              <a:extLst>
                <a:ext uri="{63B3BB69-23CF-44E3-9099-C40C66FF867C}">
                  <a14:compatExt spid="_x0000_s1995"/>
                </a:ext>
                <a:ext uri="{FF2B5EF4-FFF2-40B4-BE49-F238E27FC236}">
                  <a16:creationId xmlns:a16="http://schemas.microsoft.com/office/drawing/2014/main" id="{00000000-0008-0000-0100-0000C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2432</xdr:row>
          <xdr:rowOff>0</xdr:rowOff>
        </xdr:from>
        <xdr:to>
          <xdr:col>7</xdr:col>
          <xdr:colOff>0</xdr:colOff>
          <xdr:row>2432</xdr:row>
          <xdr:rowOff>165100</xdr:rowOff>
        </xdr:to>
        <xdr:sp macro="" textlink="">
          <xdr:nvSpPr>
            <xdr:cNvPr id="1994" name="Button 970" hidden="1">
              <a:extLst>
                <a:ext uri="{63B3BB69-23CF-44E3-9099-C40C66FF867C}">
                  <a14:compatExt spid="_x0000_s1994"/>
                </a:ext>
                <a:ext uri="{FF2B5EF4-FFF2-40B4-BE49-F238E27FC236}">
                  <a16:creationId xmlns:a16="http://schemas.microsoft.com/office/drawing/2014/main" id="{00000000-0008-0000-0100-0000C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2433</xdr:row>
          <xdr:rowOff>0</xdr:rowOff>
        </xdr:from>
        <xdr:to>
          <xdr:col>7</xdr:col>
          <xdr:colOff>0</xdr:colOff>
          <xdr:row>2433</xdr:row>
          <xdr:rowOff>165100</xdr:rowOff>
        </xdr:to>
        <xdr:sp macro="" textlink="">
          <xdr:nvSpPr>
            <xdr:cNvPr id="1993" name="Button 969" hidden="1">
              <a:extLst>
                <a:ext uri="{63B3BB69-23CF-44E3-9099-C40C66FF867C}">
                  <a14:compatExt spid="_x0000_s1993"/>
                </a:ext>
                <a:ext uri="{FF2B5EF4-FFF2-40B4-BE49-F238E27FC236}">
                  <a16:creationId xmlns:a16="http://schemas.microsoft.com/office/drawing/2014/main" id="{00000000-0008-0000-0100-0000C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2434</xdr:row>
          <xdr:rowOff>0</xdr:rowOff>
        </xdr:from>
        <xdr:to>
          <xdr:col>7</xdr:col>
          <xdr:colOff>0</xdr:colOff>
          <xdr:row>2434</xdr:row>
          <xdr:rowOff>165100</xdr:rowOff>
        </xdr:to>
        <xdr:sp macro="" textlink="">
          <xdr:nvSpPr>
            <xdr:cNvPr id="1992" name="Button 968" hidden="1">
              <a:extLst>
                <a:ext uri="{63B3BB69-23CF-44E3-9099-C40C66FF867C}">
                  <a14:compatExt spid="_x0000_s1992"/>
                </a:ext>
                <a:ext uri="{FF2B5EF4-FFF2-40B4-BE49-F238E27FC236}">
                  <a16:creationId xmlns:a16="http://schemas.microsoft.com/office/drawing/2014/main" id="{00000000-0008-0000-0100-0000C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2435</xdr:row>
          <xdr:rowOff>0</xdr:rowOff>
        </xdr:from>
        <xdr:to>
          <xdr:col>7</xdr:col>
          <xdr:colOff>0</xdr:colOff>
          <xdr:row>2435</xdr:row>
          <xdr:rowOff>165100</xdr:rowOff>
        </xdr:to>
        <xdr:sp macro="" textlink="">
          <xdr:nvSpPr>
            <xdr:cNvPr id="1991" name="Button 967" hidden="1">
              <a:extLst>
                <a:ext uri="{63B3BB69-23CF-44E3-9099-C40C66FF867C}">
                  <a14:compatExt spid="_x0000_s1991"/>
                </a:ext>
                <a:ext uri="{FF2B5EF4-FFF2-40B4-BE49-F238E27FC236}">
                  <a16:creationId xmlns:a16="http://schemas.microsoft.com/office/drawing/2014/main" id="{00000000-0008-0000-0100-0000C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2436</xdr:row>
          <xdr:rowOff>0</xdr:rowOff>
        </xdr:from>
        <xdr:to>
          <xdr:col>7</xdr:col>
          <xdr:colOff>0</xdr:colOff>
          <xdr:row>2436</xdr:row>
          <xdr:rowOff>165100</xdr:rowOff>
        </xdr:to>
        <xdr:sp macro="" textlink="">
          <xdr:nvSpPr>
            <xdr:cNvPr id="1990" name="Button 966" hidden="1">
              <a:extLst>
                <a:ext uri="{63B3BB69-23CF-44E3-9099-C40C66FF867C}">
                  <a14:compatExt spid="_x0000_s1990"/>
                </a:ext>
                <a:ext uri="{FF2B5EF4-FFF2-40B4-BE49-F238E27FC236}">
                  <a16:creationId xmlns:a16="http://schemas.microsoft.com/office/drawing/2014/main" id="{00000000-0008-0000-0100-0000C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2437</xdr:row>
          <xdr:rowOff>0</xdr:rowOff>
        </xdr:from>
        <xdr:to>
          <xdr:col>7</xdr:col>
          <xdr:colOff>0</xdr:colOff>
          <xdr:row>2437</xdr:row>
          <xdr:rowOff>165100</xdr:rowOff>
        </xdr:to>
        <xdr:sp macro="" textlink="">
          <xdr:nvSpPr>
            <xdr:cNvPr id="1989" name="Button 965" hidden="1">
              <a:extLst>
                <a:ext uri="{63B3BB69-23CF-44E3-9099-C40C66FF867C}">
                  <a14:compatExt spid="_x0000_s1989"/>
                </a:ext>
                <a:ext uri="{FF2B5EF4-FFF2-40B4-BE49-F238E27FC236}">
                  <a16:creationId xmlns:a16="http://schemas.microsoft.com/office/drawing/2014/main" id="{00000000-0008-0000-0100-0000C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2438</xdr:row>
          <xdr:rowOff>0</xdr:rowOff>
        </xdr:from>
        <xdr:to>
          <xdr:col>7</xdr:col>
          <xdr:colOff>0</xdr:colOff>
          <xdr:row>2438</xdr:row>
          <xdr:rowOff>165100</xdr:rowOff>
        </xdr:to>
        <xdr:sp macro="" textlink="">
          <xdr:nvSpPr>
            <xdr:cNvPr id="1988" name="Button 964" hidden="1">
              <a:extLst>
                <a:ext uri="{63B3BB69-23CF-44E3-9099-C40C66FF867C}">
                  <a14:compatExt spid="_x0000_s1988"/>
                </a:ext>
                <a:ext uri="{FF2B5EF4-FFF2-40B4-BE49-F238E27FC236}">
                  <a16:creationId xmlns:a16="http://schemas.microsoft.com/office/drawing/2014/main" id="{00000000-0008-0000-0100-0000C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2439</xdr:row>
          <xdr:rowOff>0</xdr:rowOff>
        </xdr:from>
        <xdr:to>
          <xdr:col>7</xdr:col>
          <xdr:colOff>0</xdr:colOff>
          <xdr:row>2439</xdr:row>
          <xdr:rowOff>165100</xdr:rowOff>
        </xdr:to>
        <xdr:sp macro="" textlink="">
          <xdr:nvSpPr>
            <xdr:cNvPr id="1987" name="Button 963" hidden="1">
              <a:extLst>
                <a:ext uri="{63B3BB69-23CF-44E3-9099-C40C66FF867C}">
                  <a14:compatExt spid="_x0000_s1987"/>
                </a:ext>
                <a:ext uri="{FF2B5EF4-FFF2-40B4-BE49-F238E27FC236}">
                  <a16:creationId xmlns:a16="http://schemas.microsoft.com/office/drawing/2014/main" id="{00000000-0008-0000-0100-0000C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2440</xdr:row>
          <xdr:rowOff>0</xdr:rowOff>
        </xdr:from>
        <xdr:to>
          <xdr:col>7</xdr:col>
          <xdr:colOff>0</xdr:colOff>
          <xdr:row>2440</xdr:row>
          <xdr:rowOff>165100</xdr:rowOff>
        </xdr:to>
        <xdr:sp macro="" textlink="">
          <xdr:nvSpPr>
            <xdr:cNvPr id="1986" name="Button 962" hidden="1">
              <a:extLst>
                <a:ext uri="{63B3BB69-23CF-44E3-9099-C40C66FF867C}">
                  <a14:compatExt spid="_x0000_s1986"/>
                </a:ext>
                <a:ext uri="{FF2B5EF4-FFF2-40B4-BE49-F238E27FC236}">
                  <a16:creationId xmlns:a16="http://schemas.microsoft.com/office/drawing/2014/main" id="{00000000-0008-0000-0100-0000C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2441</xdr:row>
          <xdr:rowOff>0</xdr:rowOff>
        </xdr:from>
        <xdr:to>
          <xdr:col>7</xdr:col>
          <xdr:colOff>0</xdr:colOff>
          <xdr:row>2441</xdr:row>
          <xdr:rowOff>165100</xdr:rowOff>
        </xdr:to>
        <xdr:sp macro="" textlink="">
          <xdr:nvSpPr>
            <xdr:cNvPr id="1985" name="Button 961" hidden="1">
              <a:extLst>
                <a:ext uri="{63B3BB69-23CF-44E3-9099-C40C66FF867C}">
                  <a14:compatExt spid="_x0000_s1985"/>
                </a:ext>
                <a:ext uri="{FF2B5EF4-FFF2-40B4-BE49-F238E27FC236}">
                  <a16:creationId xmlns:a16="http://schemas.microsoft.com/office/drawing/2014/main" id="{00000000-0008-0000-0100-0000C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2442</xdr:row>
          <xdr:rowOff>0</xdr:rowOff>
        </xdr:from>
        <xdr:to>
          <xdr:col>7</xdr:col>
          <xdr:colOff>0</xdr:colOff>
          <xdr:row>2442</xdr:row>
          <xdr:rowOff>165100</xdr:rowOff>
        </xdr:to>
        <xdr:sp macro="" textlink="">
          <xdr:nvSpPr>
            <xdr:cNvPr id="1984" name="Button 960" hidden="1">
              <a:extLst>
                <a:ext uri="{63B3BB69-23CF-44E3-9099-C40C66FF867C}">
                  <a14:compatExt spid="_x0000_s1984"/>
                </a:ext>
                <a:ext uri="{FF2B5EF4-FFF2-40B4-BE49-F238E27FC236}">
                  <a16:creationId xmlns:a16="http://schemas.microsoft.com/office/drawing/2014/main" id="{00000000-0008-0000-0100-0000C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2443</xdr:row>
          <xdr:rowOff>0</xdr:rowOff>
        </xdr:from>
        <xdr:to>
          <xdr:col>7</xdr:col>
          <xdr:colOff>0</xdr:colOff>
          <xdr:row>2443</xdr:row>
          <xdr:rowOff>165100</xdr:rowOff>
        </xdr:to>
        <xdr:sp macro="" textlink="">
          <xdr:nvSpPr>
            <xdr:cNvPr id="1983" name="Button 959" hidden="1">
              <a:extLst>
                <a:ext uri="{63B3BB69-23CF-44E3-9099-C40C66FF867C}">
                  <a14:compatExt spid="_x0000_s1983"/>
                </a:ext>
                <a:ext uri="{FF2B5EF4-FFF2-40B4-BE49-F238E27FC236}">
                  <a16:creationId xmlns:a16="http://schemas.microsoft.com/office/drawing/2014/main" id="{00000000-0008-0000-0100-0000B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2444</xdr:row>
          <xdr:rowOff>0</xdr:rowOff>
        </xdr:from>
        <xdr:to>
          <xdr:col>7</xdr:col>
          <xdr:colOff>0</xdr:colOff>
          <xdr:row>2444</xdr:row>
          <xdr:rowOff>165100</xdr:rowOff>
        </xdr:to>
        <xdr:sp macro="" textlink="">
          <xdr:nvSpPr>
            <xdr:cNvPr id="1982" name="Button 958" hidden="1">
              <a:extLst>
                <a:ext uri="{63B3BB69-23CF-44E3-9099-C40C66FF867C}">
                  <a14:compatExt spid="_x0000_s1982"/>
                </a:ext>
                <a:ext uri="{FF2B5EF4-FFF2-40B4-BE49-F238E27FC236}">
                  <a16:creationId xmlns:a16="http://schemas.microsoft.com/office/drawing/2014/main" id="{00000000-0008-0000-0100-0000B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2445</xdr:row>
          <xdr:rowOff>0</xdr:rowOff>
        </xdr:from>
        <xdr:to>
          <xdr:col>7</xdr:col>
          <xdr:colOff>0</xdr:colOff>
          <xdr:row>2445</xdr:row>
          <xdr:rowOff>165100</xdr:rowOff>
        </xdr:to>
        <xdr:sp macro="" textlink="">
          <xdr:nvSpPr>
            <xdr:cNvPr id="1981" name="Button 957" hidden="1">
              <a:extLst>
                <a:ext uri="{63B3BB69-23CF-44E3-9099-C40C66FF867C}">
                  <a14:compatExt spid="_x0000_s1981"/>
                </a:ext>
                <a:ext uri="{FF2B5EF4-FFF2-40B4-BE49-F238E27FC236}">
                  <a16:creationId xmlns:a16="http://schemas.microsoft.com/office/drawing/2014/main" id="{00000000-0008-0000-0100-0000B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2446</xdr:row>
          <xdr:rowOff>0</xdr:rowOff>
        </xdr:from>
        <xdr:to>
          <xdr:col>7</xdr:col>
          <xdr:colOff>0</xdr:colOff>
          <xdr:row>2446</xdr:row>
          <xdr:rowOff>165100</xdr:rowOff>
        </xdr:to>
        <xdr:sp macro="" textlink="">
          <xdr:nvSpPr>
            <xdr:cNvPr id="1980" name="Button 956" hidden="1">
              <a:extLst>
                <a:ext uri="{63B3BB69-23CF-44E3-9099-C40C66FF867C}">
                  <a14:compatExt spid="_x0000_s1980"/>
                </a:ext>
                <a:ext uri="{FF2B5EF4-FFF2-40B4-BE49-F238E27FC236}">
                  <a16:creationId xmlns:a16="http://schemas.microsoft.com/office/drawing/2014/main" id="{00000000-0008-0000-0100-0000B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2447</xdr:row>
          <xdr:rowOff>0</xdr:rowOff>
        </xdr:from>
        <xdr:to>
          <xdr:col>7</xdr:col>
          <xdr:colOff>0</xdr:colOff>
          <xdr:row>2447</xdr:row>
          <xdr:rowOff>165100</xdr:rowOff>
        </xdr:to>
        <xdr:sp macro="" textlink="">
          <xdr:nvSpPr>
            <xdr:cNvPr id="1979" name="Button 955" hidden="1">
              <a:extLst>
                <a:ext uri="{63B3BB69-23CF-44E3-9099-C40C66FF867C}">
                  <a14:compatExt spid="_x0000_s1979"/>
                </a:ext>
                <a:ext uri="{FF2B5EF4-FFF2-40B4-BE49-F238E27FC236}">
                  <a16:creationId xmlns:a16="http://schemas.microsoft.com/office/drawing/2014/main" id="{00000000-0008-0000-0100-0000B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2448</xdr:row>
          <xdr:rowOff>0</xdr:rowOff>
        </xdr:from>
        <xdr:to>
          <xdr:col>7</xdr:col>
          <xdr:colOff>0</xdr:colOff>
          <xdr:row>2448</xdr:row>
          <xdr:rowOff>165100</xdr:rowOff>
        </xdr:to>
        <xdr:sp macro="" textlink="">
          <xdr:nvSpPr>
            <xdr:cNvPr id="1978" name="Button 954" hidden="1">
              <a:extLst>
                <a:ext uri="{63B3BB69-23CF-44E3-9099-C40C66FF867C}">
                  <a14:compatExt spid="_x0000_s1978"/>
                </a:ext>
                <a:ext uri="{FF2B5EF4-FFF2-40B4-BE49-F238E27FC236}">
                  <a16:creationId xmlns:a16="http://schemas.microsoft.com/office/drawing/2014/main" id="{00000000-0008-0000-0100-0000B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2449</xdr:row>
          <xdr:rowOff>0</xdr:rowOff>
        </xdr:from>
        <xdr:to>
          <xdr:col>7</xdr:col>
          <xdr:colOff>0</xdr:colOff>
          <xdr:row>2449</xdr:row>
          <xdr:rowOff>165100</xdr:rowOff>
        </xdr:to>
        <xdr:sp macro="" textlink="">
          <xdr:nvSpPr>
            <xdr:cNvPr id="1977" name="Button 953" hidden="1">
              <a:extLst>
                <a:ext uri="{63B3BB69-23CF-44E3-9099-C40C66FF867C}">
                  <a14:compatExt spid="_x0000_s1977"/>
                </a:ext>
                <a:ext uri="{FF2B5EF4-FFF2-40B4-BE49-F238E27FC236}">
                  <a16:creationId xmlns:a16="http://schemas.microsoft.com/office/drawing/2014/main" id="{00000000-0008-0000-0100-0000B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2450</xdr:row>
          <xdr:rowOff>0</xdr:rowOff>
        </xdr:from>
        <xdr:to>
          <xdr:col>7</xdr:col>
          <xdr:colOff>0</xdr:colOff>
          <xdr:row>2450</xdr:row>
          <xdr:rowOff>165100</xdr:rowOff>
        </xdr:to>
        <xdr:sp macro="" textlink="">
          <xdr:nvSpPr>
            <xdr:cNvPr id="1976" name="Button 952" hidden="1">
              <a:extLst>
                <a:ext uri="{63B3BB69-23CF-44E3-9099-C40C66FF867C}">
                  <a14:compatExt spid="_x0000_s1976"/>
                </a:ext>
                <a:ext uri="{FF2B5EF4-FFF2-40B4-BE49-F238E27FC236}">
                  <a16:creationId xmlns:a16="http://schemas.microsoft.com/office/drawing/2014/main" id="{00000000-0008-0000-0100-0000B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2451</xdr:row>
          <xdr:rowOff>0</xdr:rowOff>
        </xdr:from>
        <xdr:to>
          <xdr:col>7</xdr:col>
          <xdr:colOff>0</xdr:colOff>
          <xdr:row>2451</xdr:row>
          <xdr:rowOff>165100</xdr:rowOff>
        </xdr:to>
        <xdr:sp macro="" textlink="">
          <xdr:nvSpPr>
            <xdr:cNvPr id="1975" name="Button 951" hidden="1">
              <a:extLst>
                <a:ext uri="{63B3BB69-23CF-44E3-9099-C40C66FF867C}">
                  <a14:compatExt spid="_x0000_s1975"/>
                </a:ext>
                <a:ext uri="{FF2B5EF4-FFF2-40B4-BE49-F238E27FC236}">
                  <a16:creationId xmlns:a16="http://schemas.microsoft.com/office/drawing/2014/main" id="{00000000-0008-0000-0100-0000B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2452</xdr:row>
          <xdr:rowOff>0</xdr:rowOff>
        </xdr:from>
        <xdr:to>
          <xdr:col>7</xdr:col>
          <xdr:colOff>0</xdr:colOff>
          <xdr:row>2452</xdr:row>
          <xdr:rowOff>165100</xdr:rowOff>
        </xdr:to>
        <xdr:sp macro="" textlink="">
          <xdr:nvSpPr>
            <xdr:cNvPr id="1974" name="Button 950" hidden="1">
              <a:extLst>
                <a:ext uri="{63B3BB69-23CF-44E3-9099-C40C66FF867C}">
                  <a14:compatExt spid="_x0000_s1974"/>
                </a:ext>
                <a:ext uri="{FF2B5EF4-FFF2-40B4-BE49-F238E27FC236}">
                  <a16:creationId xmlns:a16="http://schemas.microsoft.com/office/drawing/2014/main" id="{00000000-0008-0000-0100-0000B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2453</xdr:row>
          <xdr:rowOff>0</xdr:rowOff>
        </xdr:from>
        <xdr:to>
          <xdr:col>7</xdr:col>
          <xdr:colOff>0</xdr:colOff>
          <xdr:row>2453</xdr:row>
          <xdr:rowOff>165100</xdr:rowOff>
        </xdr:to>
        <xdr:sp macro="" textlink="">
          <xdr:nvSpPr>
            <xdr:cNvPr id="1973" name="Button 949" hidden="1">
              <a:extLst>
                <a:ext uri="{63B3BB69-23CF-44E3-9099-C40C66FF867C}">
                  <a14:compatExt spid="_x0000_s1973"/>
                </a:ext>
                <a:ext uri="{FF2B5EF4-FFF2-40B4-BE49-F238E27FC236}">
                  <a16:creationId xmlns:a16="http://schemas.microsoft.com/office/drawing/2014/main" id="{00000000-0008-0000-0100-0000B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2454</xdr:row>
          <xdr:rowOff>0</xdr:rowOff>
        </xdr:from>
        <xdr:to>
          <xdr:col>7</xdr:col>
          <xdr:colOff>0</xdr:colOff>
          <xdr:row>2454</xdr:row>
          <xdr:rowOff>165100</xdr:rowOff>
        </xdr:to>
        <xdr:sp macro="" textlink="">
          <xdr:nvSpPr>
            <xdr:cNvPr id="1972" name="Button 948" hidden="1">
              <a:extLst>
                <a:ext uri="{63B3BB69-23CF-44E3-9099-C40C66FF867C}">
                  <a14:compatExt spid="_x0000_s1972"/>
                </a:ext>
                <a:ext uri="{FF2B5EF4-FFF2-40B4-BE49-F238E27FC236}">
                  <a16:creationId xmlns:a16="http://schemas.microsoft.com/office/drawing/2014/main" id="{00000000-0008-0000-0100-0000B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2455</xdr:row>
          <xdr:rowOff>0</xdr:rowOff>
        </xdr:from>
        <xdr:to>
          <xdr:col>7</xdr:col>
          <xdr:colOff>0</xdr:colOff>
          <xdr:row>2455</xdr:row>
          <xdr:rowOff>165100</xdr:rowOff>
        </xdr:to>
        <xdr:sp macro="" textlink="">
          <xdr:nvSpPr>
            <xdr:cNvPr id="1971" name="Button 947" hidden="1">
              <a:extLst>
                <a:ext uri="{63B3BB69-23CF-44E3-9099-C40C66FF867C}">
                  <a14:compatExt spid="_x0000_s1971"/>
                </a:ext>
                <a:ext uri="{FF2B5EF4-FFF2-40B4-BE49-F238E27FC236}">
                  <a16:creationId xmlns:a16="http://schemas.microsoft.com/office/drawing/2014/main" id="{00000000-0008-0000-0100-0000B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2456</xdr:row>
          <xdr:rowOff>0</xdr:rowOff>
        </xdr:from>
        <xdr:to>
          <xdr:col>7</xdr:col>
          <xdr:colOff>0</xdr:colOff>
          <xdr:row>2456</xdr:row>
          <xdr:rowOff>165100</xdr:rowOff>
        </xdr:to>
        <xdr:sp macro="" textlink="">
          <xdr:nvSpPr>
            <xdr:cNvPr id="1970" name="Button 946" hidden="1">
              <a:extLst>
                <a:ext uri="{63B3BB69-23CF-44E3-9099-C40C66FF867C}">
                  <a14:compatExt spid="_x0000_s1970"/>
                </a:ext>
                <a:ext uri="{FF2B5EF4-FFF2-40B4-BE49-F238E27FC236}">
                  <a16:creationId xmlns:a16="http://schemas.microsoft.com/office/drawing/2014/main" id="{00000000-0008-0000-0100-0000B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2457</xdr:row>
          <xdr:rowOff>0</xdr:rowOff>
        </xdr:from>
        <xdr:to>
          <xdr:col>7</xdr:col>
          <xdr:colOff>0</xdr:colOff>
          <xdr:row>2457</xdr:row>
          <xdr:rowOff>165100</xdr:rowOff>
        </xdr:to>
        <xdr:sp macro="" textlink="">
          <xdr:nvSpPr>
            <xdr:cNvPr id="1969" name="Button 945" hidden="1">
              <a:extLst>
                <a:ext uri="{63B3BB69-23CF-44E3-9099-C40C66FF867C}">
                  <a14:compatExt spid="_x0000_s1969"/>
                </a:ext>
                <a:ext uri="{FF2B5EF4-FFF2-40B4-BE49-F238E27FC236}">
                  <a16:creationId xmlns:a16="http://schemas.microsoft.com/office/drawing/2014/main" id="{00000000-0008-0000-0100-0000B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2458</xdr:row>
          <xdr:rowOff>0</xdr:rowOff>
        </xdr:from>
        <xdr:to>
          <xdr:col>7</xdr:col>
          <xdr:colOff>0</xdr:colOff>
          <xdr:row>2458</xdr:row>
          <xdr:rowOff>165100</xdr:rowOff>
        </xdr:to>
        <xdr:sp macro="" textlink="">
          <xdr:nvSpPr>
            <xdr:cNvPr id="1968" name="Button 944" hidden="1">
              <a:extLst>
                <a:ext uri="{63B3BB69-23CF-44E3-9099-C40C66FF867C}">
                  <a14:compatExt spid="_x0000_s1968"/>
                </a:ext>
                <a:ext uri="{FF2B5EF4-FFF2-40B4-BE49-F238E27FC236}">
                  <a16:creationId xmlns:a16="http://schemas.microsoft.com/office/drawing/2014/main" id="{00000000-0008-0000-0100-0000B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2459</xdr:row>
          <xdr:rowOff>0</xdr:rowOff>
        </xdr:from>
        <xdr:to>
          <xdr:col>7</xdr:col>
          <xdr:colOff>0</xdr:colOff>
          <xdr:row>2459</xdr:row>
          <xdr:rowOff>165100</xdr:rowOff>
        </xdr:to>
        <xdr:sp macro="" textlink="">
          <xdr:nvSpPr>
            <xdr:cNvPr id="1967" name="Button 943" hidden="1">
              <a:extLst>
                <a:ext uri="{63B3BB69-23CF-44E3-9099-C40C66FF867C}">
                  <a14:compatExt spid="_x0000_s1967"/>
                </a:ext>
                <a:ext uri="{FF2B5EF4-FFF2-40B4-BE49-F238E27FC236}">
                  <a16:creationId xmlns:a16="http://schemas.microsoft.com/office/drawing/2014/main" id="{00000000-0008-0000-0100-0000A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2460</xdr:row>
          <xdr:rowOff>0</xdr:rowOff>
        </xdr:from>
        <xdr:to>
          <xdr:col>7</xdr:col>
          <xdr:colOff>0</xdr:colOff>
          <xdr:row>2460</xdr:row>
          <xdr:rowOff>165100</xdr:rowOff>
        </xdr:to>
        <xdr:sp macro="" textlink="">
          <xdr:nvSpPr>
            <xdr:cNvPr id="1966" name="Button 942" hidden="1">
              <a:extLst>
                <a:ext uri="{63B3BB69-23CF-44E3-9099-C40C66FF867C}">
                  <a14:compatExt spid="_x0000_s1966"/>
                </a:ext>
                <a:ext uri="{FF2B5EF4-FFF2-40B4-BE49-F238E27FC236}">
                  <a16:creationId xmlns:a16="http://schemas.microsoft.com/office/drawing/2014/main" id="{00000000-0008-0000-0100-0000A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2461</xdr:row>
          <xdr:rowOff>0</xdr:rowOff>
        </xdr:from>
        <xdr:to>
          <xdr:col>7</xdr:col>
          <xdr:colOff>0</xdr:colOff>
          <xdr:row>2461</xdr:row>
          <xdr:rowOff>165100</xdr:rowOff>
        </xdr:to>
        <xdr:sp macro="" textlink="">
          <xdr:nvSpPr>
            <xdr:cNvPr id="1965" name="Button 941" hidden="1">
              <a:extLst>
                <a:ext uri="{63B3BB69-23CF-44E3-9099-C40C66FF867C}">
                  <a14:compatExt spid="_x0000_s1965"/>
                </a:ext>
                <a:ext uri="{FF2B5EF4-FFF2-40B4-BE49-F238E27FC236}">
                  <a16:creationId xmlns:a16="http://schemas.microsoft.com/office/drawing/2014/main" id="{00000000-0008-0000-0100-0000A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2462</xdr:row>
          <xdr:rowOff>0</xdr:rowOff>
        </xdr:from>
        <xdr:to>
          <xdr:col>7</xdr:col>
          <xdr:colOff>0</xdr:colOff>
          <xdr:row>2462</xdr:row>
          <xdr:rowOff>165100</xdr:rowOff>
        </xdr:to>
        <xdr:sp macro="" textlink="">
          <xdr:nvSpPr>
            <xdr:cNvPr id="1964" name="Button 940" hidden="1">
              <a:extLst>
                <a:ext uri="{63B3BB69-23CF-44E3-9099-C40C66FF867C}">
                  <a14:compatExt spid="_x0000_s1964"/>
                </a:ext>
                <a:ext uri="{FF2B5EF4-FFF2-40B4-BE49-F238E27FC236}">
                  <a16:creationId xmlns:a16="http://schemas.microsoft.com/office/drawing/2014/main" id="{00000000-0008-0000-0100-0000A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2463</xdr:row>
          <xdr:rowOff>0</xdr:rowOff>
        </xdr:from>
        <xdr:to>
          <xdr:col>7</xdr:col>
          <xdr:colOff>0</xdr:colOff>
          <xdr:row>2463</xdr:row>
          <xdr:rowOff>165100</xdr:rowOff>
        </xdr:to>
        <xdr:sp macro="" textlink="">
          <xdr:nvSpPr>
            <xdr:cNvPr id="1963" name="Button 939" hidden="1">
              <a:extLst>
                <a:ext uri="{63B3BB69-23CF-44E3-9099-C40C66FF867C}">
                  <a14:compatExt spid="_x0000_s1963"/>
                </a:ext>
                <a:ext uri="{FF2B5EF4-FFF2-40B4-BE49-F238E27FC236}">
                  <a16:creationId xmlns:a16="http://schemas.microsoft.com/office/drawing/2014/main" id="{00000000-0008-0000-0100-0000A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2464</xdr:row>
          <xdr:rowOff>0</xdr:rowOff>
        </xdr:from>
        <xdr:to>
          <xdr:col>7</xdr:col>
          <xdr:colOff>0</xdr:colOff>
          <xdr:row>2464</xdr:row>
          <xdr:rowOff>165100</xdr:rowOff>
        </xdr:to>
        <xdr:sp macro="" textlink="">
          <xdr:nvSpPr>
            <xdr:cNvPr id="1962" name="Button 938" hidden="1">
              <a:extLst>
                <a:ext uri="{63B3BB69-23CF-44E3-9099-C40C66FF867C}">
                  <a14:compatExt spid="_x0000_s1962"/>
                </a:ext>
                <a:ext uri="{FF2B5EF4-FFF2-40B4-BE49-F238E27FC236}">
                  <a16:creationId xmlns:a16="http://schemas.microsoft.com/office/drawing/2014/main" id="{00000000-0008-0000-0100-0000A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2465</xdr:row>
          <xdr:rowOff>0</xdr:rowOff>
        </xdr:from>
        <xdr:to>
          <xdr:col>7</xdr:col>
          <xdr:colOff>0</xdr:colOff>
          <xdr:row>2465</xdr:row>
          <xdr:rowOff>165100</xdr:rowOff>
        </xdr:to>
        <xdr:sp macro="" textlink="">
          <xdr:nvSpPr>
            <xdr:cNvPr id="1961" name="Button 937" hidden="1">
              <a:extLst>
                <a:ext uri="{63B3BB69-23CF-44E3-9099-C40C66FF867C}">
                  <a14:compatExt spid="_x0000_s1961"/>
                </a:ext>
                <a:ext uri="{FF2B5EF4-FFF2-40B4-BE49-F238E27FC236}">
                  <a16:creationId xmlns:a16="http://schemas.microsoft.com/office/drawing/2014/main" id="{00000000-0008-0000-0100-0000A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2466</xdr:row>
          <xdr:rowOff>0</xdr:rowOff>
        </xdr:from>
        <xdr:to>
          <xdr:col>7</xdr:col>
          <xdr:colOff>0</xdr:colOff>
          <xdr:row>2466</xdr:row>
          <xdr:rowOff>165100</xdr:rowOff>
        </xdr:to>
        <xdr:sp macro="" textlink="">
          <xdr:nvSpPr>
            <xdr:cNvPr id="1960" name="Button 936" hidden="1">
              <a:extLst>
                <a:ext uri="{63B3BB69-23CF-44E3-9099-C40C66FF867C}">
                  <a14:compatExt spid="_x0000_s1960"/>
                </a:ext>
                <a:ext uri="{FF2B5EF4-FFF2-40B4-BE49-F238E27FC236}">
                  <a16:creationId xmlns:a16="http://schemas.microsoft.com/office/drawing/2014/main" id="{00000000-0008-0000-0100-0000A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2467</xdr:row>
          <xdr:rowOff>0</xdr:rowOff>
        </xdr:from>
        <xdr:to>
          <xdr:col>7</xdr:col>
          <xdr:colOff>0</xdr:colOff>
          <xdr:row>2467</xdr:row>
          <xdr:rowOff>165100</xdr:rowOff>
        </xdr:to>
        <xdr:sp macro="" textlink="">
          <xdr:nvSpPr>
            <xdr:cNvPr id="1959" name="Button 935" hidden="1">
              <a:extLst>
                <a:ext uri="{63B3BB69-23CF-44E3-9099-C40C66FF867C}">
                  <a14:compatExt spid="_x0000_s1959"/>
                </a:ext>
                <a:ext uri="{FF2B5EF4-FFF2-40B4-BE49-F238E27FC236}">
                  <a16:creationId xmlns:a16="http://schemas.microsoft.com/office/drawing/2014/main" id="{00000000-0008-0000-0100-0000A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2468</xdr:row>
          <xdr:rowOff>0</xdr:rowOff>
        </xdr:from>
        <xdr:to>
          <xdr:col>7</xdr:col>
          <xdr:colOff>0</xdr:colOff>
          <xdr:row>2468</xdr:row>
          <xdr:rowOff>165100</xdr:rowOff>
        </xdr:to>
        <xdr:sp macro="" textlink="">
          <xdr:nvSpPr>
            <xdr:cNvPr id="1958" name="Button 934" hidden="1">
              <a:extLst>
                <a:ext uri="{63B3BB69-23CF-44E3-9099-C40C66FF867C}">
                  <a14:compatExt spid="_x0000_s1958"/>
                </a:ext>
                <a:ext uri="{FF2B5EF4-FFF2-40B4-BE49-F238E27FC236}">
                  <a16:creationId xmlns:a16="http://schemas.microsoft.com/office/drawing/2014/main" id="{00000000-0008-0000-0100-0000A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2469</xdr:row>
          <xdr:rowOff>0</xdr:rowOff>
        </xdr:from>
        <xdr:to>
          <xdr:col>7</xdr:col>
          <xdr:colOff>0</xdr:colOff>
          <xdr:row>2469</xdr:row>
          <xdr:rowOff>165100</xdr:rowOff>
        </xdr:to>
        <xdr:sp macro="" textlink="">
          <xdr:nvSpPr>
            <xdr:cNvPr id="1957" name="Button 933" hidden="1">
              <a:extLst>
                <a:ext uri="{63B3BB69-23CF-44E3-9099-C40C66FF867C}">
                  <a14:compatExt spid="_x0000_s1957"/>
                </a:ext>
                <a:ext uri="{FF2B5EF4-FFF2-40B4-BE49-F238E27FC236}">
                  <a16:creationId xmlns:a16="http://schemas.microsoft.com/office/drawing/2014/main" id="{00000000-0008-0000-0100-0000A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2470</xdr:row>
          <xdr:rowOff>0</xdr:rowOff>
        </xdr:from>
        <xdr:to>
          <xdr:col>7</xdr:col>
          <xdr:colOff>0</xdr:colOff>
          <xdr:row>2470</xdr:row>
          <xdr:rowOff>165100</xdr:rowOff>
        </xdr:to>
        <xdr:sp macro="" textlink="">
          <xdr:nvSpPr>
            <xdr:cNvPr id="1956" name="Button 932" hidden="1">
              <a:extLst>
                <a:ext uri="{63B3BB69-23CF-44E3-9099-C40C66FF867C}">
                  <a14:compatExt spid="_x0000_s1956"/>
                </a:ext>
                <a:ext uri="{FF2B5EF4-FFF2-40B4-BE49-F238E27FC236}">
                  <a16:creationId xmlns:a16="http://schemas.microsoft.com/office/drawing/2014/main" id="{00000000-0008-0000-0100-0000A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2471</xdr:row>
          <xdr:rowOff>0</xdr:rowOff>
        </xdr:from>
        <xdr:to>
          <xdr:col>7</xdr:col>
          <xdr:colOff>0</xdr:colOff>
          <xdr:row>2471</xdr:row>
          <xdr:rowOff>165100</xdr:rowOff>
        </xdr:to>
        <xdr:sp macro="" textlink="">
          <xdr:nvSpPr>
            <xdr:cNvPr id="1955" name="Button 931" hidden="1">
              <a:extLst>
                <a:ext uri="{63B3BB69-23CF-44E3-9099-C40C66FF867C}">
                  <a14:compatExt spid="_x0000_s1955"/>
                </a:ext>
                <a:ext uri="{FF2B5EF4-FFF2-40B4-BE49-F238E27FC236}">
                  <a16:creationId xmlns:a16="http://schemas.microsoft.com/office/drawing/2014/main" id="{00000000-0008-0000-0100-0000A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2472</xdr:row>
          <xdr:rowOff>0</xdr:rowOff>
        </xdr:from>
        <xdr:to>
          <xdr:col>7</xdr:col>
          <xdr:colOff>0</xdr:colOff>
          <xdr:row>2472</xdr:row>
          <xdr:rowOff>165100</xdr:rowOff>
        </xdr:to>
        <xdr:sp macro="" textlink="">
          <xdr:nvSpPr>
            <xdr:cNvPr id="1954" name="Button 930" hidden="1">
              <a:extLst>
                <a:ext uri="{63B3BB69-23CF-44E3-9099-C40C66FF867C}">
                  <a14:compatExt spid="_x0000_s1954"/>
                </a:ext>
                <a:ext uri="{FF2B5EF4-FFF2-40B4-BE49-F238E27FC236}">
                  <a16:creationId xmlns:a16="http://schemas.microsoft.com/office/drawing/2014/main" id="{00000000-0008-0000-0100-0000A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2473</xdr:row>
          <xdr:rowOff>0</xdr:rowOff>
        </xdr:from>
        <xdr:to>
          <xdr:col>7</xdr:col>
          <xdr:colOff>0</xdr:colOff>
          <xdr:row>2473</xdr:row>
          <xdr:rowOff>165100</xdr:rowOff>
        </xdr:to>
        <xdr:sp macro="" textlink="">
          <xdr:nvSpPr>
            <xdr:cNvPr id="1953" name="Button 929" hidden="1">
              <a:extLst>
                <a:ext uri="{63B3BB69-23CF-44E3-9099-C40C66FF867C}">
                  <a14:compatExt spid="_x0000_s1953"/>
                </a:ext>
                <a:ext uri="{FF2B5EF4-FFF2-40B4-BE49-F238E27FC236}">
                  <a16:creationId xmlns:a16="http://schemas.microsoft.com/office/drawing/2014/main" id="{00000000-0008-0000-0100-0000A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2474</xdr:row>
          <xdr:rowOff>0</xdr:rowOff>
        </xdr:from>
        <xdr:to>
          <xdr:col>7</xdr:col>
          <xdr:colOff>0</xdr:colOff>
          <xdr:row>2474</xdr:row>
          <xdr:rowOff>165100</xdr:rowOff>
        </xdr:to>
        <xdr:sp macro="" textlink="">
          <xdr:nvSpPr>
            <xdr:cNvPr id="1952" name="Button 928" hidden="1">
              <a:extLst>
                <a:ext uri="{63B3BB69-23CF-44E3-9099-C40C66FF867C}">
                  <a14:compatExt spid="_x0000_s1952"/>
                </a:ext>
                <a:ext uri="{FF2B5EF4-FFF2-40B4-BE49-F238E27FC236}">
                  <a16:creationId xmlns:a16="http://schemas.microsoft.com/office/drawing/2014/main" id="{00000000-0008-0000-0100-0000A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2475</xdr:row>
          <xdr:rowOff>0</xdr:rowOff>
        </xdr:from>
        <xdr:to>
          <xdr:col>7</xdr:col>
          <xdr:colOff>0</xdr:colOff>
          <xdr:row>2475</xdr:row>
          <xdr:rowOff>165100</xdr:rowOff>
        </xdr:to>
        <xdr:sp macro="" textlink="">
          <xdr:nvSpPr>
            <xdr:cNvPr id="1951" name="Button 927" hidden="1">
              <a:extLst>
                <a:ext uri="{63B3BB69-23CF-44E3-9099-C40C66FF867C}">
                  <a14:compatExt spid="_x0000_s1951"/>
                </a:ext>
                <a:ext uri="{FF2B5EF4-FFF2-40B4-BE49-F238E27FC236}">
                  <a16:creationId xmlns:a16="http://schemas.microsoft.com/office/drawing/2014/main" id="{00000000-0008-0000-0100-00009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2476</xdr:row>
          <xdr:rowOff>0</xdr:rowOff>
        </xdr:from>
        <xdr:to>
          <xdr:col>7</xdr:col>
          <xdr:colOff>0</xdr:colOff>
          <xdr:row>2476</xdr:row>
          <xdr:rowOff>165100</xdr:rowOff>
        </xdr:to>
        <xdr:sp macro="" textlink="">
          <xdr:nvSpPr>
            <xdr:cNvPr id="1950" name="Button 926" hidden="1">
              <a:extLst>
                <a:ext uri="{63B3BB69-23CF-44E3-9099-C40C66FF867C}">
                  <a14:compatExt spid="_x0000_s1950"/>
                </a:ext>
                <a:ext uri="{FF2B5EF4-FFF2-40B4-BE49-F238E27FC236}">
                  <a16:creationId xmlns:a16="http://schemas.microsoft.com/office/drawing/2014/main" id="{00000000-0008-0000-0100-00009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2477</xdr:row>
          <xdr:rowOff>0</xdr:rowOff>
        </xdr:from>
        <xdr:to>
          <xdr:col>7</xdr:col>
          <xdr:colOff>0</xdr:colOff>
          <xdr:row>2477</xdr:row>
          <xdr:rowOff>165100</xdr:rowOff>
        </xdr:to>
        <xdr:sp macro="" textlink="">
          <xdr:nvSpPr>
            <xdr:cNvPr id="1949" name="Button 925" hidden="1">
              <a:extLst>
                <a:ext uri="{63B3BB69-23CF-44E3-9099-C40C66FF867C}">
                  <a14:compatExt spid="_x0000_s1949"/>
                </a:ext>
                <a:ext uri="{FF2B5EF4-FFF2-40B4-BE49-F238E27FC236}">
                  <a16:creationId xmlns:a16="http://schemas.microsoft.com/office/drawing/2014/main" id="{00000000-0008-0000-0100-00009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2478</xdr:row>
          <xdr:rowOff>0</xdr:rowOff>
        </xdr:from>
        <xdr:to>
          <xdr:col>7</xdr:col>
          <xdr:colOff>0</xdr:colOff>
          <xdr:row>2478</xdr:row>
          <xdr:rowOff>165100</xdr:rowOff>
        </xdr:to>
        <xdr:sp macro="" textlink="">
          <xdr:nvSpPr>
            <xdr:cNvPr id="1948" name="Button 924" hidden="1">
              <a:extLst>
                <a:ext uri="{63B3BB69-23CF-44E3-9099-C40C66FF867C}">
                  <a14:compatExt spid="_x0000_s1948"/>
                </a:ext>
                <a:ext uri="{FF2B5EF4-FFF2-40B4-BE49-F238E27FC236}">
                  <a16:creationId xmlns:a16="http://schemas.microsoft.com/office/drawing/2014/main" id="{00000000-0008-0000-0100-00009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2479</xdr:row>
          <xdr:rowOff>0</xdr:rowOff>
        </xdr:from>
        <xdr:to>
          <xdr:col>7</xdr:col>
          <xdr:colOff>0</xdr:colOff>
          <xdr:row>2479</xdr:row>
          <xdr:rowOff>165100</xdr:rowOff>
        </xdr:to>
        <xdr:sp macro="" textlink="">
          <xdr:nvSpPr>
            <xdr:cNvPr id="1947" name="Button 923" hidden="1">
              <a:extLst>
                <a:ext uri="{63B3BB69-23CF-44E3-9099-C40C66FF867C}">
                  <a14:compatExt spid="_x0000_s1947"/>
                </a:ext>
                <a:ext uri="{FF2B5EF4-FFF2-40B4-BE49-F238E27FC236}">
                  <a16:creationId xmlns:a16="http://schemas.microsoft.com/office/drawing/2014/main" id="{00000000-0008-0000-0100-00009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2480</xdr:row>
          <xdr:rowOff>0</xdr:rowOff>
        </xdr:from>
        <xdr:to>
          <xdr:col>7</xdr:col>
          <xdr:colOff>0</xdr:colOff>
          <xdr:row>2480</xdr:row>
          <xdr:rowOff>165100</xdr:rowOff>
        </xdr:to>
        <xdr:sp macro="" textlink="">
          <xdr:nvSpPr>
            <xdr:cNvPr id="1946" name="Button 922" hidden="1">
              <a:extLst>
                <a:ext uri="{63B3BB69-23CF-44E3-9099-C40C66FF867C}">
                  <a14:compatExt spid="_x0000_s1946"/>
                </a:ext>
                <a:ext uri="{FF2B5EF4-FFF2-40B4-BE49-F238E27FC236}">
                  <a16:creationId xmlns:a16="http://schemas.microsoft.com/office/drawing/2014/main" id="{00000000-0008-0000-0100-00009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2481</xdr:row>
          <xdr:rowOff>0</xdr:rowOff>
        </xdr:from>
        <xdr:to>
          <xdr:col>7</xdr:col>
          <xdr:colOff>0</xdr:colOff>
          <xdr:row>2481</xdr:row>
          <xdr:rowOff>165100</xdr:rowOff>
        </xdr:to>
        <xdr:sp macro="" textlink="">
          <xdr:nvSpPr>
            <xdr:cNvPr id="1945" name="Button 921" hidden="1">
              <a:extLst>
                <a:ext uri="{63B3BB69-23CF-44E3-9099-C40C66FF867C}">
                  <a14:compatExt spid="_x0000_s1945"/>
                </a:ext>
                <a:ext uri="{FF2B5EF4-FFF2-40B4-BE49-F238E27FC236}">
                  <a16:creationId xmlns:a16="http://schemas.microsoft.com/office/drawing/2014/main" id="{00000000-0008-0000-0100-00009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2482</xdr:row>
          <xdr:rowOff>0</xdr:rowOff>
        </xdr:from>
        <xdr:to>
          <xdr:col>7</xdr:col>
          <xdr:colOff>0</xdr:colOff>
          <xdr:row>2482</xdr:row>
          <xdr:rowOff>165100</xdr:rowOff>
        </xdr:to>
        <xdr:sp macro="" textlink="">
          <xdr:nvSpPr>
            <xdr:cNvPr id="1944" name="Button 920" hidden="1">
              <a:extLst>
                <a:ext uri="{63B3BB69-23CF-44E3-9099-C40C66FF867C}">
                  <a14:compatExt spid="_x0000_s1944"/>
                </a:ext>
                <a:ext uri="{FF2B5EF4-FFF2-40B4-BE49-F238E27FC236}">
                  <a16:creationId xmlns:a16="http://schemas.microsoft.com/office/drawing/2014/main" id="{00000000-0008-0000-0100-00009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2483</xdr:row>
          <xdr:rowOff>0</xdr:rowOff>
        </xdr:from>
        <xdr:to>
          <xdr:col>7</xdr:col>
          <xdr:colOff>0</xdr:colOff>
          <xdr:row>2483</xdr:row>
          <xdr:rowOff>165100</xdr:rowOff>
        </xdr:to>
        <xdr:sp macro="" textlink="">
          <xdr:nvSpPr>
            <xdr:cNvPr id="1943" name="Button 919" hidden="1">
              <a:extLst>
                <a:ext uri="{63B3BB69-23CF-44E3-9099-C40C66FF867C}">
                  <a14:compatExt spid="_x0000_s1943"/>
                </a:ext>
                <a:ext uri="{FF2B5EF4-FFF2-40B4-BE49-F238E27FC236}">
                  <a16:creationId xmlns:a16="http://schemas.microsoft.com/office/drawing/2014/main" id="{00000000-0008-0000-0100-00009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2484</xdr:row>
          <xdr:rowOff>0</xdr:rowOff>
        </xdr:from>
        <xdr:to>
          <xdr:col>7</xdr:col>
          <xdr:colOff>0</xdr:colOff>
          <xdr:row>2484</xdr:row>
          <xdr:rowOff>165100</xdr:rowOff>
        </xdr:to>
        <xdr:sp macro="" textlink="">
          <xdr:nvSpPr>
            <xdr:cNvPr id="1942" name="Button 918" hidden="1">
              <a:extLst>
                <a:ext uri="{63B3BB69-23CF-44E3-9099-C40C66FF867C}">
                  <a14:compatExt spid="_x0000_s1942"/>
                </a:ext>
                <a:ext uri="{FF2B5EF4-FFF2-40B4-BE49-F238E27FC236}">
                  <a16:creationId xmlns:a16="http://schemas.microsoft.com/office/drawing/2014/main" id="{00000000-0008-0000-0100-00009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2485</xdr:row>
          <xdr:rowOff>0</xdr:rowOff>
        </xdr:from>
        <xdr:to>
          <xdr:col>7</xdr:col>
          <xdr:colOff>0</xdr:colOff>
          <xdr:row>2485</xdr:row>
          <xdr:rowOff>165100</xdr:rowOff>
        </xdr:to>
        <xdr:sp macro="" textlink="">
          <xdr:nvSpPr>
            <xdr:cNvPr id="1941" name="Button 917" hidden="1">
              <a:extLst>
                <a:ext uri="{63B3BB69-23CF-44E3-9099-C40C66FF867C}">
                  <a14:compatExt spid="_x0000_s1941"/>
                </a:ext>
                <a:ext uri="{FF2B5EF4-FFF2-40B4-BE49-F238E27FC236}">
                  <a16:creationId xmlns:a16="http://schemas.microsoft.com/office/drawing/2014/main" id="{00000000-0008-0000-0100-00009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2486</xdr:row>
          <xdr:rowOff>0</xdr:rowOff>
        </xdr:from>
        <xdr:to>
          <xdr:col>7</xdr:col>
          <xdr:colOff>0</xdr:colOff>
          <xdr:row>2486</xdr:row>
          <xdr:rowOff>165100</xdr:rowOff>
        </xdr:to>
        <xdr:sp macro="" textlink="">
          <xdr:nvSpPr>
            <xdr:cNvPr id="1940" name="Button 916" hidden="1">
              <a:extLst>
                <a:ext uri="{63B3BB69-23CF-44E3-9099-C40C66FF867C}">
                  <a14:compatExt spid="_x0000_s1940"/>
                </a:ext>
                <a:ext uri="{FF2B5EF4-FFF2-40B4-BE49-F238E27FC236}">
                  <a16:creationId xmlns:a16="http://schemas.microsoft.com/office/drawing/2014/main" id="{00000000-0008-0000-0100-00009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2487</xdr:row>
          <xdr:rowOff>0</xdr:rowOff>
        </xdr:from>
        <xdr:to>
          <xdr:col>7</xdr:col>
          <xdr:colOff>0</xdr:colOff>
          <xdr:row>2487</xdr:row>
          <xdr:rowOff>165100</xdr:rowOff>
        </xdr:to>
        <xdr:sp macro="" textlink="">
          <xdr:nvSpPr>
            <xdr:cNvPr id="1939" name="Button 915" hidden="1">
              <a:extLst>
                <a:ext uri="{63B3BB69-23CF-44E3-9099-C40C66FF867C}">
                  <a14:compatExt spid="_x0000_s1939"/>
                </a:ext>
                <a:ext uri="{FF2B5EF4-FFF2-40B4-BE49-F238E27FC236}">
                  <a16:creationId xmlns:a16="http://schemas.microsoft.com/office/drawing/2014/main" id="{00000000-0008-0000-0100-00009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2488</xdr:row>
          <xdr:rowOff>0</xdr:rowOff>
        </xdr:from>
        <xdr:to>
          <xdr:col>7</xdr:col>
          <xdr:colOff>0</xdr:colOff>
          <xdr:row>2488</xdr:row>
          <xdr:rowOff>165100</xdr:rowOff>
        </xdr:to>
        <xdr:sp macro="" textlink="">
          <xdr:nvSpPr>
            <xdr:cNvPr id="1938" name="Button 914" hidden="1">
              <a:extLst>
                <a:ext uri="{63B3BB69-23CF-44E3-9099-C40C66FF867C}">
                  <a14:compatExt spid="_x0000_s1938"/>
                </a:ext>
                <a:ext uri="{FF2B5EF4-FFF2-40B4-BE49-F238E27FC236}">
                  <a16:creationId xmlns:a16="http://schemas.microsoft.com/office/drawing/2014/main" id="{00000000-0008-0000-0100-00009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2489</xdr:row>
          <xdr:rowOff>0</xdr:rowOff>
        </xdr:from>
        <xdr:to>
          <xdr:col>7</xdr:col>
          <xdr:colOff>0</xdr:colOff>
          <xdr:row>2489</xdr:row>
          <xdr:rowOff>165100</xdr:rowOff>
        </xdr:to>
        <xdr:sp macro="" textlink="">
          <xdr:nvSpPr>
            <xdr:cNvPr id="1937" name="Button 913" hidden="1">
              <a:extLst>
                <a:ext uri="{63B3BB69-23CF-44E3-9099-C40C66FF867C}">
                  <a14:compatExt spid="_x0000_s1937"/>
                </a:ext>
                <a:ext uri="{FF2B5EF4-FFF2-40B4-BE49-F238E27FC236}">
                  <a16:creationId xmlns:a16="http://schemas.microsoft.com/office/drawing/2014/main" id="{00000000-0008-0000-0100-00009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2490</xdr:row>
          <xdr:rowOff>0</xdr:rowOff>
        </xdr:from>
        <xdr:to>
          <xdr:col>7</xdr:col>
          <xdr:colOff>0</xdr:colOff>
          <xdr:row>2490</xdr:row>
          <xdr:rowOff>165100</xdr:rowOff>
        </xdr:to>
        <xdr:sp macro="" textlink="">
          <xdr:nvSpPr>
            <xdr:cNvPr id="1936" name="Button 912" hidden="1">
              <a:extLst>
                <a:ext uri="{63B3BB69-23CF-44E3-9099-C40C66FF867C}">
                  <a14:compatExt spid="_x0000_s1936"/>
                </a:ext>
                <a:ext uri="{FF2B5EF4-FFF2-40B4-BE49-F238E27FC236}">
                  <a16:creationId xmlns:a16="http://schemas.microsoft.com/office/drawing/2014/main" id="{00000000-0008-0000-0100-00009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2491</xdr:row>
          <xdr:rowOff>0</xdr:rowOff>
        </xdr:from>
        <xdr:to>
          <xdr:col>7</xdr:col>
          <xdr:colOff>0</xdr:colOff>
          <xdr:row>2491</xdr:row>
          <xdr:rowOff>165100</xdr:rowOff>
        </xdr:to>
        <xdr:sp macro="" textlink="">
          <xdr:nvSpPr>
            <xdr:cNvPr id="1935" name="Button 911" hidden="1">
              <a:extLst>
                <a:ext uri="{63B3BB69-23CF-44E3-9099-C40C66FF867C}">
                  <a14:compatExt spid="_x0000_s1935"/>
                </a:ext>
                <a:ext uri="{FF2B5EF4-FFF2-40B4-BE49-F238E27FC236}">
                  <a16:creationId xmlns:a16="http://schemas.microsoft.com/office/drawing/2014/main" id="{00000000-0008-0000-0100-00008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2492</xdr:row>
          <xdr:rowOff>0</xdr:rowOff>
        </xdr:from>
        <xdr:to>
          <xdr:col>7</xdr:col>
          <xdr:colOff>0</xdr:colOff>
          <xdr:row>2492</xdr:row>
          <xdr:rowOff>165100</xdr:rowOff>
        </xdr:to>
        <xdr:sp macro="" textlink="">
          <xdr:nvSpPr>
            <xdr:cNvPr id="1934" name="Button 910" hidden="1">
              <a:extLst>
                <a:ext uri="{63B3BB69-23CF-44E3-9099-C40C66FF867C}">
                  <a14:compatExt spid="_x0000_s1934"/>
                </a:ext>
                <a:ext uri="{FF2B5EF4-FFF2-40B4-BE49-F238E27FC236}">
                  <a16:creationId xmlns:a16="http://schemas.microsoft.com/office/drawing/2014/main" id="{00000000-0008-0000-0100-00008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2493</xdr:row>
          <xdr:rowOff>0</xdr:rowOff>
        </xdr:from>
        <xdr:to>
          <xdr:col>7</xdr:col>
          <xdr:colOff>0</xdr:colOff>
          <xdr:row>2493</xdr:row>
          <xdr:rowOff>165100</xdr:rowOff>
        </xdr:to>
        <xdr:sp macro="" textlink="">
          <xdr:nvSpPr>
            <xdr:cNvPr id="1933" name="Button 909" hidden="1">
              <a:extLst>
                <a:ext uri="{63B3BB69-23CF-44E3-9099-C40C66FF867C}">
                  <a14:compatExt spid="_x0000_s1933"/>
                </a:ext>
                <a:ext uri="{FF2B5EF4-FFF2-40B4-BE49-F238E27FC236}">
                  <a16:creationId xmlns:a16="http://schemas.microsoft.com/office/drawing/2014/main" id="{00000000-0008-0000-0100-00008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2494</xdr:row>
          <xdr:rowOff>0</xdr:rowOff>
        </xdr:from>
        <xdr:to>
          <xdr:col>7</xdr:col>
          <xdr:colOff>0</xdr:colOff>
          <xdr:row>2494</xdr:row>
          <xdr:rowOff>165100</xdr:rowOff>
        </xdr:to>
        <xdr:sp macro="" textlink="">
          <xdr:nvSpPr>
            <xdr:cNvPr id="1932" name="Button 908" hidden="1">
              <a:extLst>
                <a:ext uri="{63B3BB69-23CF-44E3-9099-C40C66FF867C}">
                  <a14:compatExt spid="_x0000_s1932"/>
                </a:ext>
                <a:ext uri="{FF2B5EF4-FFF2-40B4-BE49-F238E27FC236}">
                  <a16:creationId xmlns:a16="http://schemas.microsoft.com/office/drawing/2014/main" id="{00000000-0008-0000-0100-00008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2495</xdr:row>
          <xdr:rowOff>0</xdr:rowOff>
        </xdr:from>
        <xdr:to>
          <xdr:col>7</xdr:col>
          <xdr:colOff>0</xdr:colOff>
          <xdr:row>2495</xdr:row>
          <xdr:rowOff>165100</xdr:rowOff>
        </xdr:to>
        <xdr:sp macro="" textlink="">
          <xdr:nvSpPr>
            <xdr:cNvPr id="1931" name="Button 907" hidden="1">
              <a:extLst>
                <a:ext uri="{63B3BB69-23CF-44E3-9099-C40C66FF867C}">
                  <a14:compatExt spid="_x0000_s1931"/>
                </a:ext>
                <a:ext uri="{FF2B5EF4-FFF2-40B4-BE49-F238E27FC236}">
                  <a16:creationId xmlns:a16="http://schemas.microsoft.com/office/drawing/2014/main" id="{00000000-0008-0000-0100-00008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2496</xdr:row>
          <xdr:rowOff>0</xdr:rowOff>
        </xdr:from>
        <xdr:to>
          <xdr:col>7</xdr:col>
          <xdr:colOff>0</xdr:colOff>
          <xdr:row>2496</xdr:row>
          <xdr:rowOff>165100</xdr:rowOff>
        </xdr:to>
        <xdr:sp macro="" textlink="">
          <xdr:nvSpPr>
            <xdr:cNvPr id="1930" name="Button 906" hidden="1">
              <a:extLst>
                <a:ext uri="{63B3BB69-23CF-44E3-9099-C40C66FF867C}">
                  <a14:compatExt spid="_x0000_s1930"/>
                </a:ext>
                <a:ext uri="{FF2B5EF4-FFF2-40B4-BE49-F238E27FC236}">
                  <a16:creationId xmlns:a16="http://schemas.microsoft.com/office/drawing/2014/main" id="{00000000-0008-0000-0100-00008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2497</xdr:row>
          <xdr:rowOff>0</xdr:rowOff>
        </xdr:from>
        <xdr:to>
          <xdr:col>7</xdr:col>
          <xdr:colOff>0</xdr:colOff>
          <xdr:row>2497</xdr:row>
          <xdr:rowOff>165100</xdr:rowOff>
        </xdr:to>
        <xdr:sp macro="" textlink="">
          <xdr:nvSpPr>
            <xdr:cNvPr id="1929" name="Button 905" hidden="1">
              <a:extLst>
                <a:ext uri="{63B3BB69-23CF-44E3-9099-C40C66FF867C}">
                  <a14:compatExt spid="_x0000_s1929"/>
                </a:ext>
                <a:ext uri="{FF2B5EF4-FFF2-40B4-BE49-F238E27FC236}">
                  <a16:creationId xmlns:a16="http://schemas.microsoft.com/office/drawing/2014/main" id="{00000000-0008-0000-0100-00008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2498</xdr:row>
          <xdr:rowOff>0</xdr:rowOff>
        </xdr:from>
        <xdr:to>
          <xdr:col>7</xdr:col>
          <xdr:colOff>0</xdr:colOff>
          <xdr:row>2498</xdr:row>
          <xdr:rowOff>165100</xdr:rowOff>
        </xdr:to>
        <xdr:sp macro="" textlink="">
          <xdr:nvSpPr>
            <xdr:cNvPr id="1928" name="Button 904" hidden="1">
              <a:extLst>
                <a:ext uri="{63B3BB69-23CF-44E3-9099-C40C66FF867C}">
                  <a14:compatExt spid="_x0000_s1928"/>
                </a:ext>
                <a:ext uri="{FF2B5EF4-FFF2-40B4-BE49-F238E27FC236}">
                  <a16:creationId xmlns:a16="http://schemas.microsoft.com/office/drawing/2014/main" id="{00000000-0008-0000-0100-00008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2499</xdr:row>
          <xdr:rowOff>0</xdr:rowOff>
        </xdr:from>
        <xdr:to>
          <xdr:col>7</xdr:col>
          <xdr:colOff>0</xdr:colOff>
          <xdr:row>2499</xdr:row>
          <xdr:rowOff>165100</xdr:rowOff>
        </xdr:to>
        <xdr:sp macro="" textlink="">
          <xdr:nvSpPr>
            <xdr:cNvPr id="1927" name="Button 903" hidden="1">
              <a:extLst>
                <a:ext uri="{63B3BB69-23CF-44E3-9099-C40C66FF867C}">
                  <a14:compatExt spid="_x0000_s1927"/>
                </a:ext>
                <a:ext uri="{FF2B5EF4-FFF2-40B4-BE49-F238E27FC236}">
                  <a16:creationId xmlns:a16="http://schemas.microsoft.com/office/drawing/2014/main" id="{00000000-0008-0000-0100-00008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2500</xdr:row>
          <xdr:rowOff>0</xdr:rowOff>
        </xdr:from>
        <xdr:to>
          <xdr:col>7</xdr:col>
          <xdr:colOff>0</xdr:colOff>
          <xdr:row>2500</xdr:row>
          <xdr:rowOff>165100</xdr:rowOff>
        </xdr:to>
        <xdr:sp macro="" textlink="">
          <xdr:nvSpPr>
            <xdr:cNvPr id="1926" name="Button 902" hidden="1">
              <a:extLst>
                <a:ext uri="{63B3BB69-23CF-44E3-9099-C40C66FF867C}">
                  <a14:compatExt spid="_x0000_s1926"/>
                </a:ext>
                <a:ext uri="{FF2B5EF4-FFF2-40B4-BE49-F238E27FC236}">
                  <a16:creationId xmlns:a16="http://schemas.microsoft.com/office/drawing/2014/main" id="{00000000-0008-0000-0100-00008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2501</xdr:row>
          <xdr:rowOff>0</xdr:rowOff>
        </xdr:from>
        <xdr:to>
          <xdr:col>7</xdr:col>
          <xdr:colOff>0</xdr:colOff>
          <xdr:row>2501</xdr:row>
          <xdr:rowOff>165100</xdr:rowOff>
        </xdr:to>
        <xdr:sp macro="" textlink="">
          <xdr:nvSpPr>
            <xdr:cNvPr id="1925" name="Button 901" hidden="1">
              <a:extLst>
                <a:ext uri="{63B3BB69-23CF-44E3-9099-C40C66FF867C}">
                  <a14:compatExt spid="_x0000_s1925"/>
                </a:ext>
                <a:ext uri="{FF2B5EF4-FFF2-40B4-BE49-F238E27FC236}">
                  <a16:creationId xmlns:a16="http://schemas.microsoft.com/office/drawing/2014/main" id="{00000000-0008-0000-0100-00008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2502</xdr:row>
          <xdr:rowOff>0</xdr:rowOff>
        </xdr:from>
        <xdr:to>
          <xdr:col>7</xdr:col>
          <xdr:colOff>0</xdr:colOff>
          <xdr:row>2502</xdr:row>
          <xdr:rowOff>165100</xdr:rowOff>
        </xdr:to>
        <xdr:sp macro="" textlink="">
          <xdr:nvSpPr>
            <xdr:cNvPr id="1924" name="Button 900" hidden="1">
              <a:extLst>
                <a:ext uri="{63B3BB69-23CF-44E3-9099-C40C66FF867C}">
                  <a14:compatExt spid="_x0000_s1924"/>
                </a:ext>
                <a:ext uri="{FF2B5EF4-FFF2-40B4-BE49-F238E27FC236}">
                  <a16:creationId xmlns:a16="http://schemas.microsoft.com/office/drawing/2014/main" id="{00000000-0008-0000-0100-00008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2503</xdr:row>
          <xdr:rowOff>0</xdr:rowOff>
        </xdr:from>
        <xdr:to>
          <xdr:col>7</xdr:col>
          <xdr:colOff>0</xdr:colOff>
          <xdr:row>2503</xdr:row>
          <xdr:rowOff>165100</xdr:rowOff>
        </xdr:to>
        <xdr:sp macro="" textlink="">
          <xdr:nvSpPr>
            <xdr:cNvPr id="1923" name="Button 899" hidden="1">
              <a:extLst>
                <a:ext uri="{63B3BB69-23CF-44E3-9099-C40C66FF867C}">
                  <a14:compatExt spid="_x0000_s1923"/>
                </a:ext>
                <a:ext uri="{FF2B5EF4-FFF2-40B4-BE49-F238E27FC236}">
                  <a16:creationId xmlns:a16="http://schemas.microsoft.com/office/drawing/2014/main" id="{00000000-0008-0000-0100-00008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2504</xdr:row>
          <xdr:rowOff>0</xdr:rowOff>
        </xdr:from>
        <xdr:to>
          <xdr:col>7</xdr:col>
          <xdr:colOff>0</xdr:colOff>
          <xdr:row>2504</xdr:row>
          <xdr:rowOff>165100</xdr:rowOff>
        </xdr:to>
        <xdr:sp macro="" textlink="">
          <xdr:nvSpPr>
            <xdr:cNvPr id="1922" name="Button 898" hidden="1">
              <a:extLst>
                <a:ext uri="{63B3BB69-23CF-44E3-9099-C40C66FF867C}">
                  <a14:compatExt spid="_x0000_s1922"/>
                </a:ext>
                <a:ext uri="{FF2B5EF4-FFF2-40B4-BE49-F238E27FC236}">
                  <a16:creationId xmlns:a16="http://schemas.microsoft.com/office/drawing/2014/main" id="{00000000-0008-0000-0100-00008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2505</xdr:row>
          <xdr:rowOff>0</xdr:rowOff>
        </xdr:from>
        <xdr:to>
          <xdr:col>7</xdr:col>
          <xdr:colOff>0</xdr:colOff>
          <xdr:row>2505</xdr:row>
          <xdr:rowOff>165100</xdr:rowOff>
        </xdr:to>
        <xdr:sp macro="" textlink="">
          <xdr:nvSpPr>
            <xdr:cNvPr id="1921" name="Button 897" hidden="1">
              <a:extLst>
                <a:ext uri="{63B3BB69-23CF-44E3-9099-C40C66FF867C}">
                  <a14:compatExt spid="_x0000_s1921"/>
                </a:ext>
                <a:ext uri="{FF2B5EF4-FFF2-40B4-BE49-F238E27FC236}">
                  <a16:creationId xmlns:a16="http://schemas.microsoft.com/office/drawing/2014/main" id="{00000000-0008-0000-0100-00008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2506</xdr:row>
          <xdr:rowOff>0</xdr:rowOff>
        </xdr:from>
        <xdr:to>
          <xdr:col>7</xdr:col>
          <xdr:colOff>0</xdr:colOff>
          <xdr:row>2506</xdr:row>
          <xdr:rowOff>165100</xdr:rowOff>
        </xdr:to>
        <xdr:sp macro="" textlink="">
          <xdr:nvSpPr>
            <xdr:cNvPr id="1920" name="Button 896" hidden="1">
              <a:extLst>
                <a:ext uri="{63B3BB69-23CF-44E3-9099-C40C66FF867C}">
                  <a14:compatExt spid="_x0000_s1920"/>
                </a:ext>
                <a:ext uri="{FF2B5EF4-FFF2-40B4-BE49-F238E27FC236}">
                  <a16:creationId xmlns:a16="http://schemas.microsoft.com/office/drawing/2014/main" id="{00000000-0008-0000-0100-00008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2507</xdr:row>
          <xdr:rowOff>0</xdr:rowOff>
        </xdr:from>
        <xdr:to>
          <xdr:col>7</xdr:col>
          <xdr:colOff>0</xdr:colOff>
          <xdr:row>2507</xdr:row>
          <xdr:rowOff>165100</xdr:rowOff>
        </xdr:to>
        <xdr:sp macro="" textlink="">
          <xdr:nvSpPr>
            <xdr:cNvPr id="1919" name="Button 895" hidden="1">
              <a:extLst>
                <a:ext uri="{63B3BB69-23CF-44E3-9099-C40C66FF867C}">
                  <a14:compatExt spid="_x0000_s1919"/>
                </a:ext>
                <a:ext uri="{FF2B5EF4-FFF2-40B4-BE49-F238E27FC236}">
                  <a16:creationId xmlns:a16="http://schemas.microsoft.com/office/drawing/2014/main" id="{00000000-0008-0000-0100-00007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2508</xdr:row>
          <xdr:rowOff>0</xdr:rowOff>
        </xdr:from>
        <xdr:to>
          <xdr:col>7</xdr:col>
          <xdr:colOff>0</xdr:colOff>
          <xdr:row>2508</xdr:row>
          <xdr:rowOff>165100</xdr:rowOff>
        </xdr:to>
        <xdr:sp macro="" textlink="">
          <xdr:nvSpPr>
            <xdr:cNvPr id="1918" name="Button 894" hidden="1">
              <a:extLst>
                <a:ext uri="{63B3BB69-23CF-44E3-9099-C40C66FF867C}">
                  <a14:compatExt spid="_x0000_s1918"/>
                </a:ext>
                <a:ext uri="{FF2B5EF4-FFF2-40B4-BE49-F238E27FC236}">
                  <a16:creationId xmlns:a16="http://schemas.microsoft.com/office/drawing/2014/main" id="{00000000-0008-0000-0100-00007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2509</xdr:row>
          <xdr:rowOff>0</xdr:rowOff>
        </xdr:from>
        <xdr:to>
          <xdr:col>7</xdr:col>
          <xdr:colOff>0</xdr:colOff>
          <xdr:row>2509</xdr:row>
          <xdr:rowOff>165100</xdr:rowOff>
        </xdr:to>
        <xdr:sp macro="" textlink="">
          <xdr:nvSpPr>
            <xdr:cNvPr id="1917" name="Button 893" hidden="1">
              <a:extLst>
                <a:ext uri="{63B3BB69-23CF-44E3-9099-C40C66FF867C}">
                  <a14:compatExt spid="_x0000_s1917"/>
                </a:ext>
                <a:ext uri="{FF2B5EF4-FFF2-40B4-BE49-F238E27FC236}">
                  <a16:creationId xmlns:a16="http://schemas.microsoft.com/office/drawing/2014/main" id="{00000000-0008-0000-0100-00007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2510</xdr:row>
          <xdr:rowOff>0</xdr:rowOff>
        </xdr:from>
        <xdr:to>
          <xdr:col>7</xdr:col>
          <xdr:colOff>0</xdr:colOff>
          <xdr:row>2510</xdr:row>
          <xdr:rowOff>165100</xdr:rowOff>
        </xdr:to>
        <xdr:sp macro="" textlink="">
          <xdr:nvSpPr>
            <xdr:cNvPr id="1916" name="Button 892" hidden="1">
              <a:extLst>
                <a:ext uri="{63B3BB69-23CF-44E3-9099-C40C66FF867C}">
                  <a14:compatExt spid="_x0000_s1916"/>
                </a:ext>
                <a:ext uri="{FF2B5EF4-FFF2-40B4-BE49-F238E27FC236}">
                  <a16:creationId xmlns:a16="http://schemas.microsoft.com/office/drawing/2014/main" id="{00000000-0008-0000-0100-00007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2511</xdr:row>
          <xdr:rowOff>0</xdr:rowOff>
        </xdr:from>
        <xdr:to>
          <xdr:col>7</xdr:col>
          <xdr:colOff>0</xdr:colOff>
          <xdr:row>2511</xdr:row>
          <xdr:rowOff>165100</xdr:rowOff>
        </xdr:to>
        <xdr:sp macro="" textlink="">
          <xdr:nvSpPr>
            <xdr:cNvPr id="1915" name="Button 891" hidden="1">
              <a:extLst>
                <a:ext uri="{63B3BB69-23CF-44E3-9099-C40C66FF867C}">
                  <a14:compatExt spid="_x0000_s1915"/>
                </a:ext>
                <a:ext uri="{FF2B5EF4-FFF2-40B4-BE49-F238E27FC236}">
                  <a16:creationId xmlns:a16="http://schemas.microsoft.com/office/drawing/2014/main" id="{00000000-0008-0000-0100-00007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2512</xdr:row>
          <xdr:rowOff>0</xdr:rowOff>
        </xdr:from>
        <xdr:to>
          <xdr:col>7</xdr:col>
          <xdr:colOff>0</xdr:colOff>
          <xdr:row>2512</xdr:row>
          <xdr:rowOff>165100</xdr:rowOff>
        </xdr:to>
        <xdr:sp macro="" textlink="">
          <xdr:nvSpPr>
            <xdr:cNvPr id="1914" name="Button 890" hidden="1">
              <a:extLst>
                <a:ext uri="{63B3BB69-23CF-44E3-9099-C40C66FF867C}">
                  <a14:compatExt spid="_x0000_s1914"/>
                </a:ext>
                <a:ext uri="{FF2B5EF4-FFF2-40B4-BE49-F238E27FC236}">
                  <a16:creationId xmlns:a16="http://schemas.microsoft.com/office/drawing/2014/main" id="{00000000-0008-0000-0100-00007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2513</xdr:row>
          <xdr:rowOff>0</xdr:rowOff>
        </xdr:from>
        <xdr:to>
          <xdr:col>7</xdr:col>
          <xdr:colOff>0</xdr:colOff>
          <xdr:row>2513</xdr:row>
          <xdr:rowOff>165100</xdr:rowOff>
        </xdr:to>
        <xdr:sp macro="" textlink="">
          <xdr:nvSpPr>
            <xdr:cNvPr id="1913" name="Button 889" hidden="1">
              <a:extLst>
                <a:ext uri="{63B3BB69-23CF-44E3-9099-C40C66FF867C}">
                  <a14:compatExt spid="_x0000_s1913"/>
                </a:ext>
                <a:ext uri="{FF2B5EF4-FFF2-40B4-BE49-F238E27FC236}">
                  <a16:creationId xmlns:a16="http://schemas.microsoft.com/office/drawing/2014/main" id="{00000000-0008-0000-0100-00007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2514</xdr:row>
          <xdr:rowOff>0</xdr:rowOff>
        </xdr:from>
        <xdr:to>
          <xdr:col>7</xdr:col>
          <xdr:colOff>0</xdr:colOff>
          <xdr:row>2514</xdr:row>
          <xdr:rowOff>165100</xdr:rowOff>
        </xdr:to>
        <xdr:sp macro="" textlink="">
          <xdr:nvSpPr>
            <xdr:cNvPr id="1912" name="Button 888" hidden="1">
              <a:extLst>
                <a:ext uri="{63B3BB69-23CF-44E3-9099-C40C66FF867C}">
                  <a14:compatExt spid="_x0000_s1912"/>
                </a:ext>
                <a:ext uri="{FF2B5EF4-FFF2-40B4-BE49-F238E27FC236}">
                  <a16:creationId xmlns:a16="http://schemas.microsoft.com/office/drawing/2014/main" id="{00000000-0008-0000-0100-00007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2515</xdr:row>
          <xdr:rowOff>0</xdr:rowOff>
        </xdr:from>
        <xdr:to>
          <xdr:col>7</xdr:col>
          <xdr:colOff>0</xdr:colOff>
          <xdr:row>2515</xdr:row>
          <xdr:rowOff>165100</xdr:rowOff>
        </xdr:to>
        <xdr:sp macro="" textlink="">
          <xdr:nvSpPr>
            <xdr:cNvPr id="1911" name="Button 887" hidden="1">
              <a:extLst>
                <a:ext uri="{63B3BB69-23CF-44E3-9099-C40C66FF867C}">
                  <a14:compatExt spid="_x0000_s1911"/>
                </a:ext>
                <a:ext uri="{FF2B5EF4-FFF2-40B4-BE49-F238E27FC236}">
                  <a16:creationId xmlns:a16="http://schemas.microsoft.com/office/drawing/2014/main" id="{00000000-0008-0000-0100-00007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2516</xdr:row>
          <xdr:rowOff>0</xdr:rowOff>
        </xdr:from>
        <xdr:to>
          <xdr:col>7</xdr:col>
          <xdr:colOff>0</xdr:colOff>
          <xdr:row>2516</xdr:row>
          <xdr:rowOff>165100</xdr:rowOff>
        </xdr:to>
        <xdr:sp macro="" textlink="">
          <xdr:nvSpPr>
            <xdr:cNvPr id="1910" name="Button 886" hidden="1">
              <a:extLst>
                <a:ext uri="{63B3BB69-23CF-44E3-9099-C40C66FF867C}">
                  <a14:compatExt spid="_x0000_s1910"/>
                </a:ext>
                <a:ext uri="{FF2B5EF4-FFF2-40B4-BE49-F238E27FC236}">
                  <a16:creationId xmlns:a16="http://schemas.microsoft.com/office/drawing/2014/main" id="{00000000-0008-0000-0100-00007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2517</xdr:row>
          <xdr:rowOff>0</xdr:rowOff>
        </xdr:from>
        <xdr:to>
          <xdr:col>7</xdr:col>
          <xdr:colOff>0</xdr:colOff>
          <xdr:row>2517</xdr:row>
          <xdr:rowOff>165100</xdr:rowOff>
        </xdr:to>
        <xdr:sp macro="" textlink="">
          <xdr:nvSpPr>
            <xdr:cNvPr id="1909" name="Button 885" hidden="1">
              <a:extLst>
                <a:ext uri="{63B3BB69-23CF-44E3-9099-C40C66FF867C}">
                  <a14:compatExt spid="_x0000_s1909"/>
                </a:ext>
                <a:ext uri="{FF2B5EF4-FFF2-40B4-BE49-F238E27FC236}">
                  <a16:creationId xmlns:a16="http://schemas.microsoft.com/office/drawing/2014/main" id="{00000000-0008-0000-0100-00007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2518</xdr:row>
          <xdr:rowOff>0</xdr:rowOff>
        </xdr:from>
        <xdr:to>
          <xdr:col>7</xdr:col>
          <xdr:colOff>0</xdr:colOff>
          <xdr:row>2518</xdr:row>
          <xdr:rowOff>165100</xdr:rowOff>
        </xdr:to>
        <xdr:sp macro="" textlink="">
          <xdr:nvSpPr>
            <xdr:cNvPr id="1908" name="Button 884" hidden="1">
              <a:extLst>
                <a:ext uri="{63B3BB69-23CF-44E3-9099-C40C66FF867C}">
                  <a14:compatExt spid="_x0000_s1908"/>
                </a:ext>
                <a:ext uri="{FF2B5EF4-FFF2-40B4-BE49-F238E27FC236}">
                  <a16:creationId xmlns:a16="http://schemas.microsoft.com/office/drawing/2014/main" id="{00000000-0008-0000-0100-00007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2519</xdr:row>
          <xdr:rowOff>0</xdr:rowOff>
        </xdr:from>
        <xdr:to>
          <xdr:col>7</xdr:col>
          <xdr:colOff>0</xdr:colOff>
          <xdr:row>2519</xdr:row>
          <xdr:rowOff>165100</xdr:rowOff>
        </xdr:to>
        <xdr:sp macro="" textlink="">
          <xdr:nvSpPr>
            <xdr:cNvPr id="1907" name="Button 883" hidden="1">
              <a:extLst>
                <a:ext uri="{63B3BB69-23CF-44E3-9099-C40C66FF867C}">
                  <a14:compatExt spid="_x0000_s1907"/>
                </a:ext>
                <a:ext uri="{FF2B5EF4-FFF2-40B4-BE49-F238E27FC236}">
                  <a16:creationId xmlns:a16="http://schemas.microsoft.com/office/drawing/2014/main" id="{00000000-0008-0000-0100-00007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2520</xdr:row>
          <xdr:rowOff>0</xdr:rowOff>
        </xdr:from>
        <xdr:to>
          <xdr:col>7</xdr:col>
          <xdr:colOff>0</xdr:colOff>
          <xdr:row>2520</xdr:row>
          <xdr:rowOff>165100</xdr:rowOff>
        </xdr:to>
        <xdr:sp macro="" textlink="">
          <xdr:nvSpPr>
            <xdr:cNvPr id="1906" name="Button 882" hidden="1">
              <a:extLst>
                <a:ext uri="{63B3BB69-23CF-44E3-9099-C40C66FF867C}">
                  <a14:compatExt spid="_x0000_s1906"/>
                </a:ext>
                <a:ext uri="{FF2B5EF4-FFF2-40B4-BE49-F238E27FC236}">
                  <a16:creationId xmlns:a16="http://schemas.microsoft.com/office/drawing/2014/main" id="{00000000-0008-0000-0100-00007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2521</xdr:row>
          <xdr:rowOff>0</xdr:rowOff>
        </xdr:from>
        <xdr:to>
          <xdr:col>7</xdr:col>
          <xdr:colOff>0</xdr:colOff>
          <xdr:row>2521</xdr:row>
          <xdr:rowOff>165100</xdr:rowOff>
        </xdr:to>
        <xdr:sp macro="" textlink="">
          <xdr:nvSpPr>
            <xdr:cNvPr id="1905" name="Button 881" hidden="1">
              <a:extLst>
                <a:ext uri="{63B3BB69-23CF-44E3-9099-C40C66FF867C}">
                  <a14:compatExt spid="_x0000_s1905"/>
                </a:ext>
                <a:ext uri="{FF2B5EF4-FFF2-40B4-BE49-F238E27FC236}">
                  <a16:creationId xmlns:a16="http://schemas.microsoft.com/office/drawing/2014/main" id="{00000000-0008-0000-0100-00007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2522</xdr:row>
          <xdr:rowOff>0</xdr:rowOff>
        </xdr:from>
        <xdr:to>
          <xdr:col>7</xdr:col>
          <xdr:colOff>0</xdr:colOff>
          <xdr:row>2522</xdr:row>
          <xdr:rowOff>165100</xdr:rowOff>
        </xdr:to>
        <xdr:sp macro="" textlink="">
          <xdr:nvSpPr>
            <xdr:cNvPr id="1904" name="Button 880" hidden="1">
              <a:extLst>
                <a:ext uri="{63B3BB69-23CF-44E3-9099-C40C66FF867C}">
                  <a14:compatExt spid="_x0000_s1904"/>
                </a:ext>
                <a:ext uri="{FF2B5EF4-FFF2-40B4-BE49-F238E27FC236}">
                  <a16:creationId xmlns:a16="http://schemas.microsoft.com/office/drawing/2014/main" id="{00000000-0008-0000-0100-00007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2523</xdr:row>
          <xdr:rowOff>0</xdr:rowOff>
        </xdr:from>
        <xdr:to>
          <xdr:col>7</xdr:col>
          <xdr:colOff>0</xdr:colOff>
          <xdr:row>2523</xdr:row>
          <xdr:rowOff>165100</xdr:rowOff>
        </xdr:to>
        <xdr:sp macro="" textlink="">
          <xdr:nvSpPr>
            <xdr:cNvPr id="1903" name="Button 879" hidden="1">
              <a:extLst>
                <a:ext uri="{63B3BB69-23CF-44E3-9099-C40C66FF867C}">
                  <a14:compatExt spid="_x0000_s1903"/>
                </a:ext>
                <a:ext uri="{FF2B5EF4-FFF2-40B4-BE49-F238E27FC236}">
                  <a16:creationId xmlns:a16="http://schemas.microsoft.com/office/drawing/2014/main" id="{00000000-0008-0000-0100-00006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2524</xdr:row>
          <xdr:rowOff>0</xdr:rowOff>
        </xdr:from>
        <xdr:to>
          <xdr:col>7</xdr:col>
          <xdr:colOff>0</xdr:colOff>
          <xdr:row>2524</xdr:row>
          <xdr:rowOff>165100</xdr:rowOff>
        </xdr:to>
        <xdr:sp macro="" textlink="">
          <xdr:nvSpPr>
            <xdr:cNvPr id="1902" name="Button 878" hidden="1">
              <a:extLst>
                <a:ext uri="{63B3BB69-23CF-44E3-9099-C40C66FF867C}">
                  <a14:compatExt spid="_x0000_s1902"/>
                </a:ext>
                <a:ext uri="{FF2B5EF4-FFF2-40B4-BE49-F238E27FC236}">
                  <a16:creationId xmlns:a16="http://schemas.microsoft.com/office/drawing/2014/main" id="{00000000-0008-0000-0100-00006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2525</xdr:row>
          <xdr:rowOff>0</xdr:rowOff>
        </xdr:from>
        <xdr:to>
          <xdr:col>7</xdr:col>
          <xdr:colOff>0</xdr:colOff>
          <xdr:row>2525</xdr:row>
          <xdr:rowOff>165100</xdr:rowOff>
        </xdr:to>
        <xdr:sp macro="" textlink="">
          <xdr:nvSpPr>
            <xdr:cNvPr id="1901" name="Button 877" hidden="1">
              <a:extLst>
                <a:ext uri="{63B3BB69-23CF-44E3-9099-C40C66FF867C}">
                  <a14:compatExt spid="_x0000_s1901"/>
                </a:ext>
                <a:ext uri="{FF2B5EF4-FFF2-40B4-BE49-F238E27FC236}">
                  <a16:creationId xmlns:a16="http://schemas.microsoft.com/office/drawing/2014/main" id="{00000000-0008-0000-0100-00006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2526</xdr:row>
          <xdr:rowOff>0</xdr:rowOff>
        </xdr:from>
        <xdr:to>
          <xdr:col>7</xdr:col>
          <xdr:colOff>0</xdr:colOff>
          <xdr:row>2526</xdr:row>
          <xdr:rowOff>165100</xdr:rowOff>
        </xdr:to>
        <xdr:sp macro="" textlink="">
          <xdr:nvSpPr>
            <xdr:cNvPr id="1900" name="Button 876" hidden="1">
              <a:extLst>
                <a:ext uri="{63B3BB69-23CF-44E3-9099-C40C66FF867C}">
                  <a14:compatExt spid="_x0000_s1900"/>
                </a:ext>
                <a:ext uri="{FF2B5EF4-FFF2-40B4-BE49-F238E27FC236}">
                  <a16:creationId xmlns:a16="http://schemas.microsoft.com/office/drawing/2014/main" id="{00000000-0008-0000-0100-00006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2527</xdr:row>
          <xdr:rowOff>0</xdr:rowOff>
        </xdr:from>
        <xdr:to>
          <xdr:col>7</xdr:col>
          <xdr:colOff>0</xdr:colOff>
          <xdr:row>2527</xdr:row>
          <xdr:rowOff>165100</xdr:rowOff>
        </xdr:to>
        <xdr:sp macro="" textlink="">
          <xdr:nvSpPr>
            <xdr:cNvPr id="1899" name="Button 875" hidden="1">
              <a:extLst>
                <a:ext uri="{63B3BB69-23CF-44E3-9099-C40C66FF867C}">
                  <a14:compatExt spid="_x0000_s1899"/>
                </a:ext>
                <a:ext uri="{FF2B5EF4-FFF2-40B4-BE49-F238E27FC236}">
                  <a16:creationId xmlns:a16="http://schemas.microsoft.com/office/drawing/2014/main" id="{00000000-0008-0000-0100-00006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2528</xdr:row>
          <xdr:rowOff>0</xdr:rowOff>
        </xdr:from>
        <xdr:to>
          <xdr:col>7</xdr:col>
          <xdr:colOff>0</xdr:colOff>
          <xdr:row>2528</xdr:row>
          <xdr:rowOff>165100</xdr:rowOff>
        </xdr:to>
        <xdr:sp macro="" textlink="">
          <xdr:nvSpPr>
            <xdr:cNvPr id="1898" name="Button 874" hidden="1">
              <a:extLst>
                <a:ext uri="{63B3BB69-23CF-44E3-9099-C40C66FF867C}">
                  <a14:compatExt spid="_x0000_s1898"/>
                </a:ext>
                <a:ext uri="{FF2B5EF4-FFF2-40B4-BE49-F238E27FC236}">
                  <a16:creationId xmlns:a16="http://schemas.microsoft.com/office/drawing/2014/main" id="{00000000-0008-0000-0100-00006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2529</xdr:row>
          <xdr:rowOff>0</xdr:rowOff>
        </xdr:from>
        <xdr:to>
          <xdr:col>7</xdr:col>
          <xdr:colOff>0</xdr:colOff>
          <xdr:row>2529</xdr:row>
          <xdr:rowOff>165100</xdr:rowOff>
        </xdr:to>
        <xdr:sp macro="" textlink="">
          <xdr:nvSpPr>
            <xdr:cNvPr id="1897" name="Button 873" hidden="1">
              <a:extLst>
                <a:ext uri="{63B3BB69-23CF-44E3-9099-C40C66FF867C}">
                  <a14:compatExt spid="_x0000_s1897"/>
                </a:ext>
                <a:ext uri="{FF2B5EF4-FFF2-40B4-BE49-F238E27FC236}">
                  <a16:creationId xmlns:a16="http://schemas.microsoft.com/office/drawing/2014/main" id="{00000000-0008-0000-0100-00006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2530</xdr:row>
          <xdr:rowOff>0</xdr:rowOff>
        </xdr:from>
        <xdr:to>
          <xdr:col>7</xdr:col>
          <xdr:colOff>0</xdr:colOff>
          <xdr:row>2530</xdr:row>
          <xdr:rowOff>165100</xdr:rowOff>
        </xdr:to>
        <xdr:sp macro="" textlink="">
          <xdr:nvSpPr>
            <xdr:cNvPr id="1896" name="Button 872" hidden="1">
              <a:extLst>
                <a:ext uri="{63B3BB69-23CF-44E3-9099-C40C66FF867C}">
                  <a14:compatExt spid="_x0000_s1896"/>
                </a:ext>
                <a:ext uri="{FF2B5EF4-FFF2-40B4-BE49-F238E27FC236}">
                  <a16:creationId xmlns:a16="http://schemas.microsoft.com/office/drawing/2014/main" id="{00000000-0008-0000-0100-00006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2531</xdr:row>
          <xdr:rowOff>0</xdr:rowOff>
        </xdr:from>
        <xdr:to>
          <xdr:col>7</xdr:col>
          <xdr:colOff>0</xdr:colOff>
          <xdr:row>2531</xdr:row>
          <xdr:rowOff>165100</xdr:rowOff>
        </xdr:to>
        <xdr:sp macro="" textlink="">
          <xdr:nvSpPr>
            <xdr:cNvPr id="1895" name="Button 871" hidden="1">
              <a:extLst>
                <a:ext uri="{63B3BB69-23CF-44E3-9099-C40C66FF867C}">
                  <a14:compatExt spid="_x0000_s1895"/>
                </a:ext>
                <a:ext uri="{FF2B5EF4-FFF2-40B4-BE49-F238E27FC236}">
                  <a16:creationId xmlns:a16="http://schemas.microsoft.com/office/drawing/2014/main" id="{00000000-0008-0000-0100-00006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2532</xdr:row>
          <xdr:rowOff>0</xdr:rowOff>
        </xdr:from>
        <xdr:to>
          <xdr:col>7</xdr:col>
          <xdr:colOff>0</xdr:colOff>
          <xdr:row>2532</xdr:row>
          <xdr:rowOff>165100</xdr:rowOff>
        </xdr:to>
        <xdr:sp macro="" textlink="">
          <xdr:nvSpPr>
            <xdr:cNvPr id="1894" name="Button 870" hidden="1">
              <a:extLst>
                <a:ext uri="{63B3BB69-23CF-44E3-9099-C40C66FF867C}">
                  <a14:compatExt spid="_x0000_s1894"/>
                </a:ext>
                <a:ext uri="{FF2B5EF4-FFF2-40B4-BE49-F238E27FC236}">
                  <a16:creationId xmlns:a16="http://schemas.microsoft.com/office/drawing/2014/main" id="{00000000-0008-0000-0100-00006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2533</xdr:row>
          <xdr:rowOff>0</xdr:rowOff>
        </xdr:from>
        <xdr:to>
          <xdr:col>7</xdr:col>
          <xdr:colOff>0</xdr:colOff>
          <xdr:row>2533</xdr:row>
          <xdr:rowOff>165100</xdr:rowOff>
        </xdr:to>
        <xdr:sp macro="" textlink="">
          <xdr:nvSpPr>
            <xdr:cNvPr id="1893" name="Button 869" hidden="1">
              <a:extLst>
                <a:ext uri="{63B3BB69-23CF-44E3-9099-C40C66FF867C}">
                  <a14:compatExt spid="_x0000_s1893"/>
                </a:ext>
                <a:ext uri="{FF2B5EF4-FFF2-40B4-BE49-F238E27FC236}">
                  <a16:creationId xmlns:a16="http://schemas.microsoft.com/office/drawing/2014/main" id="{00000000-0008-0000-0100-00006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2534</xdr:row>
          <xdr:rowOff>0</xdr:rowOff>
        </xdr:from>
        <xdr:to>
          <xdr:col>7</xdr:col>
          <xdr:colOff>0</xdr:colOff>
          <xdr:row>2534</xdr:row>
          <xdr:rowOff>165100</xdr:rowOff>
        </xdr:to>
        <xdr:sp macro="" textlink="">
          <xdr:nvSpPr>
            <xdr:cNvPr id="1892" name="Button 868" hidden="1">
              <a:extLst>
                <a:ext uri="{63B3BB69-23CF-44E3-9099-C40C66FF867C}">
                  <a14:compatExt spid="_x0000_s1892"/>
                </a:ext>
                <a:ext uri="{FF2B5EF4-FFF2-40B4-BE49-F238E27FC236}">
                  <a16:creationId xmlns:a16="http://schemas.microsoft.com/office/drawing/2014/main" id="{00000000-0008-0000-0100-00006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2535</xdr:row>
          <xdr:rowOff>0</xdr:rowOff>
        </xdr:from>
        <xdr:to>
          <xdr:col>7</xdr:col>
          <xdr:colOff>0</xdr:colOff>
          <xdr:row>2535</xdr:row>
          <xdr:rowOff>165100</xdr:rowOff>
        </xdr:to>
        <xdr:sp macro="" textlink="">
          <xdr:nvSpPr>
            <xdr:cNvPr id="1891" name="Button 867" hidden="1">
              <a:extLst>
                <a:ext uri="{63B3BB69-23CF-44E3-9099-C40C66FF867C}">
                  <a14:compatExt spid="_x0000_s1891"/>
                </a:ext>
                <a:ext uri="{FF2B5EF4-FFF2-40B4-BE49-F238E27FC236}">
                  <a16:creationId xmlns:a16="http://schemas.microsoft.com/office/drawing/2014/main" id="{00000000-0008-0000-0100-00006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2536</xdr:row>
          <xdr:rowOff>0</xdr:rowOff>
        </xdr:from>
        <xdr:to>
          <xdr:col>7</xdr:col>
          <xdr:colOff>0</xdr:colOff>
          <xdr:row>2536</xdr:row>
          <xdr:rowOff>165100</xdr:rowOff>
        </xdr:to>
        <xdr:sp macro="" textlink="">
          <xdr:nvSpPr>
            <xdr:cNvPr id="1890" name="Button 866" hidden="1">
              <a:extLst>
                <a:ext uri="{63B3BB69-23CF-44E3-9099-C40C66FF867C}">
                  <a14:compatExt spid="_x0000_s1890"/>
                </a:ext>
                <a:ext uri="{FF2B5EF4-FFF2-40B4-BE49-F238E27FC236}">
                  <a16:creationId xmlns:a16="http://schemas.microsoft.com/office/drawing/2014/main" id="{00000000-0008-0000-0100-00006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2537</xdr:row>
          <xdr:rowOff>0</xdr:rowOff>
        </xdr:from>
        <xdr:to>
          <xdr:col>7</xdr:col>
          <xdr:colOff>0</xdr:colOff>
          <xdr:row>2537</xdr:row>
          <xdr:rowOff>165100</xdr:rowOff>
        </xdr:to>
        <xdr:sp macro="" textlink="">
          <xdr:nvSpPr>
            <xdr:cNvPr id="1889" name="Button 865" hidden="1">
              <a:extLst>
                <a:ext uri="{63B3BB69-23CF-44E3-9099-C40C66FF867C}">
                  <a14:compatExt spid="_x0000_s1889"/>
                </a:ext>
                <a:ext uri="{FF2B5EF4-FFF2-40B4-BE49-F238E27FC236}">
                  <a16:creationId xmlns:a16="http://schemas.microsoft.com/office/drawing/2014/main" id="{00000000-0008-0000-0100-00006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2538</xdr:row>
          <xdr:rowOff>0</xdr:rowOff>
        </xdr:from>
        <xdr:to>
          <xdr:col>7</xdr:col>
          <xdr:colOff>0</xdr:colOff>
          <xdr:row>2538</xdr:row>
          <xdr:rowOff>165100</xdr:rowOff>
        </xdr:to>
        <xdr:sp macro="" textlink="">
          <xdr:nvSpPr>
            <xdr:cNvPr id="1888" name="Button 864" hidden="1">
              <a:extLst>
                <a:ext uri="{63B3BB69-23CF-44E3-9099-C40C66FF867C}">
                  <a14:compatExt spid="_x0000_s1888"/>
                </a:ext>
                <a:ext uri="{FF2B5EF4-FFF2-40B4-BE49-F238E27FC236}">
                  <a16:creationId xmlns:a16="http://schemas.microsoft.com/office/drawing/2014/main" id="{00000000-0008-0000-0100-00006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2539</xdr:row>
          <xdr:rowOff>0</xdr:rowOff>
        </xdr:from>
        <xdr:to>
          <xdr:col>7</xdr:col>
          <xdr:colOff>0</xdr:colOff>
          <xdr:row>2539</xdr:row>
          <xdr:rowOff>165100</xdr:rowOff>
        </xdr:to>
        <xdr:sp macro="" textlink="">
          <xdr:nvSpPr>
            <xdr:cNvPr id="1887" name="Button 863" hidden="1">
              <a:extLst>
                <a:ext uri="{63B3BB69-23CF-44E3-9099-C40C66FF867C}">
                  <a14:compatExt spid="_x0000_s1887"/>
                </a:ext>
                <a:ext uri="{FF2B5EF4-FFF2-40B4-BE49-F238E27FC236}">
                  <a16:creationId xmlns:a16="http://schemas.microsoft.com/office/drawing/2014/main" id="{00000000-0008-0000-0100-00005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2540</xdr:row>
          <xdr:rowOff>0</xdr:rowOff>
        </xdr:from>
        <xdr:to>
          <xdr:col>7</xdr:col>
          <xdr:colOff>0</xdr:colOff>
          <xdr:row>2540</xdr:row>
          <xdr:rowOff>165100</xdr:rowOff>
        </xdr:to>
        <xdr:sp macro="" textlink="">
          <xdr:nvSpPr>
            <xdr:cNvPr id="1886" name="Button 862" hidden="1">
              <a:extLst>
                <a:ext uri="{63B3BB69-23CF-44E3-9099-C40C66FF867C}">
                  <a14:compatExt spid="_x0000_s1886"/>
                </a:ext>
                <a:ext uri="{FF2B5EF4-FFF2-40B4-BE49-F238E27FC236}">
                  <a16:creationId xmlns:a16="http://schemas.microsoft.com/office/drawing/2014/main" id="{00000000-0008-0000-0100-00005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2541</xdr:row>
          <xdr:rowOff>0</xdr:rowOff>
        </xdr:from>
        <xdr:to>
          <xdr:col>7</xdr:col>
          <xdr:colOff>0</xdr:colOff>
          <xdr:row>2541</xdr:row>
          <xdr:rowOff>165100</xdr:rowOff>
        </xdr:to>
        <xdr:sp macro="" textlink="">
          <xdr:nvSpPr>
            <xdr:cNvPr id="1885" name="Button 861" hidden="1">
              <a:extLst>
                <a:ext uri="{63B3BB69-23CF-44E3-9099-C40C66FF867C}">
                  <a14:compatExt spid="_x0000_s1885"/>
                </a:ext>
                <a:ext uri="{FF2B5EF4-FFF2-40B4-BE49-F238E27FC236}">
                  <a16:creationId xmlns:a16="http://schemas.microsoft.com/office/drawing/2014/main" id="{00000000-0008-0000-0100-00005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2542</xdr:row>
          <xdr:rowOff>0</xdr:rowOff>
        </xdr:from>
        <xdr:to>
          <xdr:col>7</xdr:col>
          <xdr:colOff>0</xdr:colOff>
          <xdr:row>2542</xdr:row>
          <xdr:rowOff>165100</xdr:rowOff>
        </xdr:to>
        <xdr:sp macro="" textlink="">
          <xdr:nvSpPr>
            <xdr:cNvPr id="1884" name="Button 860" hidden="1">
              <a:extLst>
                <a:ext uri="{63B3BB69-23CF-44E3-9099-C40C66FF867C}">
                  <a14:compatExt spid="_x0000_s1884"/>
                </a:ext>
                <a:ext uri="{FF2B5EF4-FFF2-40B4-BE49-F238E27FC236}">
                  <a16:creationId xmlns:a16="http://schemas.microsoft.com/office/drawing/2014/main" id="{00000000-0008-0000-0100-00005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2543</xdr:row>
          <xdr:rowOff>0</xdr:rowOff>
        </xdr:from>
        <xdr:to>
          <xdr:col>7</xdr:col>
          <xdr:colOff>0</xdr:colOff>
          <xdr:row>2543</xdr:row>
          <xdr:rowOff>165100</xdr:rowOff>
        </xdr:to>
        <xdr:sp macro="" textlink="">
          <xdr:nvSpPr>
            <xdr:cNvPr id="1883" name="Button 859" hidden="1">
              <a:extLst>
                <a:ext uri="{63B3BB69-23CF-44E3-9099-C40C66FF867C}">
                  <a14:compatExt spid="_x0000_s1883"/>
                </a:ext>
                <a:ext uri="{FF2B5EF4-FFF2-40B4-BE49-F238E27FC236}">
                  <a16:creationId xmlns:a16="http://schemas.microsoft.com/office/drawing/2014/main" id="{00000000-0008-0000-0100-00005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2544</xdr:row>
          <xdr:rowOff>0</xdr:rowOff>
        </xdr:from>
        <xdr:to>
          <xdr:col>7</xdr:col>
          <xdr:colOff>0</xdr:colOff>
          <xdr:row>2544</xdr:row>
          <xdr:rowOff>165100</xdr:rowOff>
        </xdr:to>
        <xdr:sp macro="" textlink="">
          <xdr:nvSpPr>
            <xdr:cNvPr id="1882" name="Button 858" hidden="1">
              <a:extLst>
                <a:ext uri="{63B3BB69-23CF-44E3-9099-C40C66FF867C}">
                  <a14:compatExt spid="_x0000_s1882"/>
                </a:ext>
                <a:ext uri="{FF2B5EF4-FFF2-40B4-BE49-F238E27FC236}">
                  <a16:creationId xmlns:a16="http://schemas.microsoft.com/office/drawing/2014/main" id="{00000000-0008-0000-0100-00005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2545</xdr:row>
          <xdr:rowOff>0</xdr:rowOff>
        </xdr:from>
        <xdr:to>
          <xdr:col>7</xdr:col>
          <xdr:colOff>0</xdr:colOff>
          <xdr:row>2545</xdr:row>
          <xdr:rowOff>165100</xdr:rowOff>
        </xdr:to>
        <xdr:sp macro="" textlink="">
          <xdr:nvSpPr>
            <xdr:cNvPr id="1881" name="Button 857" hidden="1">
              <a:extLst>
                <a:ext uri="{63B3BB69-23CF-44E3-9099-C40C66FF867C}">
                  <a14:compatExt spid="_x0000_s1881"/>
                </a:ext>
                <a:ext uri="{FF2B5EF4-FFF2-40B4-BE49-F238E27FC236}">
                  <a16:creationId xmlns:a16="http://schemas.microsoft.com/office/drawing/2014/main" id="{00000000-0008-0000-0100-00005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2546</xdr:row>
          <xdr:rowOff>0</xdr:rowOff>
        </xdr:from>
        <xdr:to>
          <xdr:col>7</xdr:col>
          <xdr:colOff>0</xdr:colOff>
          <xdr:row>2546</xdr:row>
          <xdr:rowOff>165100</xdr:rowOff>
        </xdr:to>
        <xdr:sp macro="" textlink="">
          <xdr:nvSpPr>
            <xdr:cNvPr id="1880" name="Button 856" hidden="1">
              <a:extLst>
                <a:ext uri="{63B3BB69-23CF-44E3-9099-C40C66FF867C}">
                  <a14:compatExt spid="_x0000_s1880"/>
                </a:ext>
                <a:ext uri="{FF2B5EF4-FFF2-40B4-BE49-F238E27FC236}">
                  <a16:creationId xmlns:a16="http://schemas.microsoft.com/office/drawing/2014/main" id="{00000000-0008-0000-0100-00005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2547</xdr:row>
          <xdr:rowOff>0</xdr:rowOff>
        </xdr:from>
        <xdr:to>
          <xdr:col>7</xdr:col>
          <xdr:colOff>0</xdr:colOff>
          <xdr:row>2547</xdr:row>
          <xdr:rowOff>165100</xdr:rowOff>
        </xdr:to>
        <xdr:sp macro="" textlink="">
          <xdr:nvSpPr>
            <xdr:cNvPr id="1879" name="Button 855" hidden="1">
              <a:extLst>
                <a:ext uri="{63B3BB69-23CF-44E3-9099-C40C66FF867C}">
                  <a14:compatExt spid="_x0000_s1879"/>
                </a:ext>
                <a:ext uri="{FF2B5EF4-FFF2-40B4-BE49-F238E27FC236}">
                  <a16:creationId xmlns:a16="http://schemas.microsoft.com/office/drawing/2014/main" id="{00000000-0008-0000-0100-00005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2548</xdr:row>
          <xdr:rowOff>0</xdr:rowOff>
        </xdr:from>
        <xdr:to>
          <xdr:col>7</xdr:col>
          <xdr:colOff>0</xdr:colOff>
          <xdr:row>2548</xdr:row>
          <xdr:rowOff>165100</xdr:rowOff>
        </xdr:to>
        <xdr:sp macro="" textlink="">
          <xdr:nvSpPr>
            <xdr:cNvPr id="1878" name="Button 854" hidden="1">
              <a:extLst>
                <a:ext uri="{63B3BB69-23CF-44E3-9099-C40C66FF867C}">
                  <a14:compatExt spid="_x0000_s1878"/>
                </a:ext>
                <a:ext uri="{FF2B5EF4-FFF2-40B4-BE49-F238E27FC236}">
                  <a16:creationId xmlns:a16="http://schemas.microsoft.com/office/drawing/2014/main" id="{00000000-0008-0000-0100-00005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2549</xdr:row>
          <xdr:rowOff>0</xdr:rowOff>
        </xdr:from>
        <xdr:to>
          <xdr:col>7</xdr:col>
          <xdr:colOff>0</xdr:colOff>
          <xdr:row>2549</xdr:row>
          <xdr:rowOff>165100</xdr:rowOff>
        </xdr:to>
        <xdr:sp macro="" textlink="">
          <xdr:nvSpPr>
            <xdr:cNvPr id="1877" name="Button 853" hidden="1">
              <a:extLst>
                <a:ext uri="{63B3BB69-23CF-44E3-9099-C40C66FF867C}">
                  <a14:compatExt spid="_x0000_s1877"/>
                </a:ext>
                <a:ext uri="{FF2B5EF4-FFF2-40B4-BE49-F238E27FC236}">
                  <a16:creationId xmlns:a16="http://schemas.microsoft.com/office/drawing/2014/main" id="{00000000-0008-0000-0100-00005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2550</xdr:row>
          <xdr:rowOff>0</xdr:rowOff>
        </xdr:from>
        <xdr:to>
          <xdr:col>7</xdr:col>
          <xdr:colOff>0</xdr:colOff>
          <xdr:row>2550</xdr:row>
          <xdr:rowOff>165100</xdr:rowOff>
        </xdr:to>
        <xdr:sp macro="" textlink="">
          <xdr:nvSpPr>
            <xdr:cNvPr id="1876" name="Button 852" hidden="1">
              <a:extLst>
                <a:ext uri="{63B3BB69-23CF-44E3-9099-C40C66FF867C}">
                  <a14:compatExt spid="_x0000_s1876"/>
                </a:ext>
                <a:ext uri="{FF2B5EF4-FFF2-40B4-BE49-F238E27FC236}">
                  <a16:creationId xmlns:a16="http://schemas.microsoft.com/office/drawing/2014/main" id="{00000000-0008-0000-0100-00005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2551</xdr:row>
          <xdr:rowOff>0</xdr:rowOff>
        </xdr:from>
        <xdr:to>
          <xdr:col>7</xdr:col>
          <xdr:colOff>0</xdr:colOff>
          <xdr:row>2551</xdr:row>
          <xdr:rowOff>165100</xdr:rowOff>
        </xdr:to>
        <xdr:sp macro="" textlink="">
          <xdr:nvSpPr>
            <xdr:cNvPr id="1875" name="Button 851" hidden="1">
              <a:extLst>
                <a:ext uri="{63B3BB69-23CF-44E3-9099-C40C66FF867C}">
                  <a14:compatExt spid="_x0000_s1875"/>
                </a:ext>
                <a:ext uri="{FF2B5EF4-FFF2-40B4-BE49-F238E27FC236}">
                  <a16:creationId xmlns:a16="http://schemas.microsoft.com/office/drawing/2014/main" id="{00000000-0008-0000-0100-00005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2552</xdr:row>
          <xdr:rowOff>0</xdr:rowOff>
        </xdr:from>
        <xdr:to>
          <xdr:col>7</xdr:col>
          <xdr:colOff>0</xdr:colOff>
          <xdr:row>2552</xdr:row>
          <xdr:rowOff>165100</xdr:rowOff>
        </xdr:to>
        <xdr:sp macro="" textlink="">
          <xdr:nvSpPr>
            <xdr:cNvPr id="1874" name="Button 850" hidden="1">
              <a:extLst>
                <a:ext uri="{63B3BB69-23CF-44E3-9099-C40C66FF867C}">
                  <a14:compatExt spid="_x0000_s1874"/>
                </a:ext>
                <a:ext uri="{FF2B5EF4-FFF2-40B4-BE49-F238E27FC236}">
                  <a16:creationId xmlns:a16="http://schemas.microsoft.com/office/drawing/2014/main" id="{00000000-0008-0000-0100-00005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2553</xdr:row>
          <xdr:rowOff>0</xdr:rowOff>
        </xdr:from>
        <xdr:to>
          <xdr:col>7</xdr:col>
          <xdr:colOff>0</xdr:colOff>
          <xdr:row>2553</xdr:row>
          <xdr:rowOff>165100</xdr:rowOff>
        </xdr:to>
        <xdr:sp macro="" textlink="">
          <xdr:nvSpPr>
            <xdr:cNvPr id="1873" name="Button 849" hidden="1">
              <a:extLst>
                <a:ext uri="{63B3BB69-23CF-44E3-9099-C40C66FF867C}">
                  <a14:compatExt spid="_x0000_s1873"/>
                </a:ext>
                <a:ext uri="{FF2B5EF4-FFF2-40B4-BE49-F238E27FC236}">
                  <a16:creationId xmlns:a16="http://schemas.microsoft.com/office/drawing/2014/main" id="{00000000-0008-0000-0100-00005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2554</xdr:row>
          <xdr:rowOff>0</xdr:rowOff>
        </xdr:from>
        <xdr:to>
          <xdr:col>7</xdr:col>
          <xdr:colOff>0</xdr:colOff>
          <xdr:row>2554</xdr:row>
          <xdr:rowOff>165100</xdr:rowOff>
        </xdr:to>
        <xdr:sp macro="" textlink="">
          <xdr:nvSpPr>
            <xdr:cNvPr id="1872" name="Button 848" hidden="1">
              <a:extLst>
                <a:ext uri="{63B3BB69-23CF-44E3-9099-C40C66FF867C}">
                  <a14:compatExt spid="_x0000_s1872"/>
                </a:ext>
                <a:ext uri="{FF2B5EF4-FFF2-40B4-BE49-F238E27FC236}">
                  <a16:creationId xmlns:a16="http://schemas.microsoft.com/office/drawing/2014/main" id="{00000000-0008-0000-0100-00005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2555</xdr:row>
          <xdr:rowOff>0</xdr:rowOff>
        </xdr:from>
        <xdr:to>
          <xdr:col>7</xdr:col>
          <xdr:colOff>0</xdr:colOff>
          <xdr:row>2555</xdr:row>
          <xdr:rowOff>165100</xdr:rowOff>
        </xdr:to>
        <xdr:sp macro="" textlink="">
          <xdr:nvSpPr>
            <xdr:cNvPr id="1871" name="Button 847" hidden="1">
              <a:extLst>
                <a:ext uri="{63B3BB69-23CF-44E3-9099-C40C66FF867C}">
                  <a14:compatExt spid="_x0000_s1871"/>
                </a:ext>
                <a:ext uri="{FF2B5EF4-FFF2-40B4-BE49-F238E27FC236}">
                  <a16:creationId xmlns:a16="http://schemas.microsoft.com/office/drawing/2014/main" id="{00000000-0008-0000-0100-00004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2556</xdr:row>
          <xdr:rowOff>0</xdr:rowOff>
        </xdr:from>
        <xdr:to>
          <xdr:col>7</xdr:col>
          <xdr:colOff>0</xdr:colOff>
          <xdr:row>2556</xdr:row>
          <xdr:rowOff>165100</xdr:rowOff>
        </xdr:to>
        <xdr:sp macro="" textlink="">
          <xdr:nvSpPr>
            <xdr:cNvPr id="1870" name="Button 846" hidden="1">
              <a:extLst>
                <a:ext uri="{63B3BB69-23CF-44E3-9099-C40C66FF867C}">
                  <a14:compatExt spid="_x0000_s1870"/>
                </a:ext>
                <a:ext uri="{FF2B5EF4-FFF2-40B4-BE49-F238E27FC236}">
                  <a16:creationId xmlns:a16="http://schemas.microsoft.com/office/drawing/2014/main" id="{00000000-0008-0000-0100-00004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2557</xdr:row>
          <xdr:rowOff>0</xdr:rowOff>
        </xdr:from>
        <xdr:to>
          <xdr:col>7</xdr:col>
          <xdr:colOff>0</xdr:colOff>
          <xdr:row>2557</xdr:row>
          <xdr:rowOff>165100</xdr:rowOff>
        </xdr:to>
        <xdr:sp macro="" textlink="">
          <xdr:nvSpPr>
            <xdr:cNvPr id="1869" name="Button 845" hidden="1">
              <a:extLst>
                <a:ext uri="{63B3BB69-23CF-44E3-9099-C40C66FF867C}">
                  <a14:compatExt spid="_x0000_s1869"/>
                </a:ext>
                <a:ext uri="{FF2B5EF4-FFF2-40B4-BE49-F238E27FC236}">
                  <a16:creationId xmlns:a16="http://schemas.microsoft.com/office/drawing/2014/main" id="{00000000-0008-0000-0100-00004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2558</xdr:row>
          <xdr:rowOff>0</xdr:rowOff>
        </xdr:from>
        <xdr:to>
          <xdr:col>7</xdr:col>
          <xdr:colOff>0</xdr:colOff>
          <xdr:row>2558</xdr:row>
          <xdr:rowOff>165100</xdr:rowOff>
        </xdr:to>
        <xdr:sp macro="" textlink="">
          <xdr:nvSpPr>
            <xdr:cNvPr id="1868" name="Button 844" hidden="1">
              <a:extLst>
                <a:ext uri="{63B3BB69-23CF-44E3-9099-C40C66FF867C}">
                  <a14:compatExt spid="_x0000_s1868"/>
                </a:ext>
                <a:ext uri="{FF2B5EF4-FFF2-40B4-BE49-F238E27FC236}">
                  <a16:creationId xmlns:a16="http://schemas.microsoft.com/office/drawing/2014/main" id="{00000000-0008-0000-0100-00004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2559</xdr:row>
          <xdr:rowOff>0</xdr:rowOff>
        </xdr:from>
        <xdr:to>
          <xdr:col>7</xdr:col>
          <xdr:colOff>0</xdr:colOff>
          <xdr:row>2559</xdr:row>
          <xdr:rowOff>165100</xdr:rowOff>
        </xdr:to>
        <xdr:sp macro="" textlink="">
          <xdr:nvSpPr>
            <xdr:cNvPr id="1867" name="Button 843" hidden="1">
              <a:extLst>
                <a:ext uri="{63B3BB69-23CF-44E3-9099-C40C66FF867C}">
                  <a14:compatExt spid="_x0000_s1867"/>
                </a:ext>
                <a:ext uri="{FF2B5EF4-FFF2-40B4-BE49-F238E27FC236}">
                  <a16:creationId xmlns:a16="http://schemas.microsoft.com/office/drawing/2014/main" id="{00000000-0008-0000-0100-00004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2560</xdr:row>
          <xdr:rowOff>0</xdr:rowOff>
        </xdr:from>
        <xdr:to>
          <xdr:col>7</xdr:col>
          <xdr:colOff>0</xdr:colOff>
          <xdr:row>2560</xdr:row>
          <xdr:rowOff>165100</xdr:rowOff>
        </xdr:to>
        <xdr:sp macro="" textlink="">
          <xdr:nvSpPr>
            <xdr:cNvPr id="1866" name="Button 842" hidden="1">
              <a:extLst>
                <a:ext uri="{63B3BB69-23CF-44E3-9099-C40C66FF867C}">
                  <a14:compatExt spid="_x0000_s1866"/>
                </a:ext>
                <a:ext uri="{FF2B5EF4-FFF2-40B4-BE49-F238E27FC236}">
                  <a16:creationId xmlns:a16="http://schemas.microsoft.com/office/drawing/2014/main" id="{00000000-0008-0000-0100-00004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2561</xdr:row>
          <xdr:rowOff>0</xdr:rowOff>
        </xdr:from>
        <xdr:to>
          <xdr:col>7</xdr:col>
          <xdr:colOff>0</xdr:colOff>
          <xdr:row>2561</xdr:row>
          <xdr:rowOff>165100</xdr:rowOff>
        </xdr:to>
        <xdr:sp macro="" textlink="">
          <xdr:nvSpPr>
            <xdr:cNvPr id="1865" name="Button 841" hidden="1">
              <a:extLst>
                <a:ext uri="{63B3BB69-23CF-44E3-9099-C40C66FF867C}">
                  <a14:compatExt spid="_x0000_s1865"/>
                </a:ext>
                <a:ext uri="{FF2B5EF4-FFF2-40B4-BE49-F238E27FC236}">
                  <a16:creationId xmlns:a16="http://schemas.microsoft.com/office/drawing/2014/main" id="{00000000-0008-0000-0100-00004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2562</xdr:row>
          <xdr:rowOff>0</xdr:rowOff>
        </xdr:from>
        <xdr:to>
          <xdr:col>7</xdr:col>
          <xdr:colOff>0</xdr:colOff>
          <xdr:row>2562</xdr:row>
          <xdr:rowOff>165100</xdr:rowOff>
        </xdr:to>
        <xdr:sp macro="" textlink="">
          <xdr:nvSpPr>
            <xdr:cNvPr id="1864" name="Button 840" hidden="1">
              <a:extLst>
                <a:ext uri="{63B3BB69-23CF-44E3-9099-C40C66FF867C}">
                  <a14:compatExt spid="_x0000_s1864"/>
                </a:ext>
                <a:ext uri="{FF2B5EF4-FFF2-40B4-BE49-F238E27FC236}">
                  <a16:creationId xmlns:a16="http://schemas.microsoft.com/office/drawing/2014/main" id="{00000000-0008-0000-0100-00004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2563</xdr:row>
          <xdr:rowOff>0</xdr:rowOff>
        </xdr:from>
        <xdr:to>
          <xdr:col>7</xdr:col>
          <xdr:colOff>0</xdr:colOff>
          <xdr:row>2563</xdr:row>
          <xdr:rowOff>165100</xdr:rowOff>
        </xdr:to>
        <xdr:sp macro="" textlink="">
          <xdr:nvSpPr>
            <xdr:cNvPr id="1863" name="Button 839" hidden="1">
              <a:extLst>
                <a:ext uri="{63B3BB69-23CF-44E3-9099-C40C66FF867C}">
                  <a14:compatExt spid="_x0000_s1863"/>
                </a:ext>
                <a:ext uri="{FF2B5EF4-FFF2-40B4-BE49-F238E27FC236}">
                  <a16:creationId xmlns:a16="http://schemas.microsoft.com/office/drawing/2014/main" id="{00000000-0008-0000-0100-00004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2564</xdr:row>
          <xdr:rowOff>0</xdr:rowOff>
        </xdr:from>
        <xdr:to>
          <xdr:col>7</xdr:col>
          <xdr:colOff>0</xdr:colOff>
          <xdr:row>2564</xdr:row>
          <xdr:rowOff>165100</xdr:rowOff>
        </xdr:to>
        <xdr:sp macro="" textlink="">
          <xdr:nvSpPr>
            <xdr:cNvPr id="1862" name="Button 838" hidden="1">
              <a:extLst>
                <a:ext uri="{63B3BB69-23CF-44E3-9099-C40C66FF867C}">
                  <a14:compatExt spid="_x0000_s1862"/>
                </a:ext>
                <a:ext uri="{FF2B5EF4-FFF2-40B4-BE49-F238E27FC236}">
                  <a16:creationId xmlns:a16="http://schemas.microsoft.com/office/drawing/2014/main" id="{00000000-0008-0000-0100-00004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2565</xdr:row>
          <xdr:rowOff>0</xdr:rowOff>
        </xdr:from>
        <xdr:to>
          <xdr:col>7</xdr:col>
          <xdr:colOff>0</xdr:colOff>
          <xdr:row>2565</xdr:row>
          <xdr:rowOff>165100</xdr:rowOff>
        </xdr:to>
        <xdr:sp macro="" textlink="">
          <xdr:nvSpPr>
            <xdr:cNvPr id="1861" name="Button 837" hidden="1">
              <a:extLst>
                <a:ext uri="{63B3BB69-23CF-44E3-9099-C40C66FF867C}">
                  <a14:compatExt spid="_x0000_s1861"/>
                </a:ext>
                <a:ext uri="{FF2B5EF4-FFF2-40B4-BE49-F238E27FC236}">
                  <a16:creationId xmlns:a16="http://schemas.microsoft.com/office/drawing/2014/main" id="{00000000-0008-0000-0100-00004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2566</xdr:row>
          <xdr:rowOff>0</xdr:rowOff>
        </xdr:from>
        <xdr:to>
          <xdr:col>7</xdr:col>
          <xdr:colOff>0</xdr:colOff>
          <xdr:row>2566</xdr:row>
          <xdr:rowOff>165100</xdr:rowOff>
        </xdr:to>
        <xdr:sp macro="" textlink="">
          <xdr:nvSpPr>
            <xdr:cNvPr id="1860" name="Button 836" hidden="1">
              <a:extLst>
                <a:ext uri="{63B3BB69-23CF-44E3-9099-C40C66FF867C}">
                  <a14:compatExt spid="_x0000_s1860"/>
                </a:ext>
                <a:ext uri="{FF2B5EF4-FFF2-40B4-BE49-F238E27FC236}">
                  <a16:creationId xmlns:a16="http://schemas.microsoft.com/office/drawing/2014/main" id="{00000000-0008-0000-0100-00004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2567</xdr:row>
          <xdr:rowOff>0</xdr:rowOff>
        </xdr:from>
        <xdr:to>
          <xdr:col>7</xdr:col>
          <xdr:colOff>0</xdr:colOff>
          <xdr:row>2567</xdr:row>
          <xdr:rowOff>165100</xdr:rowOff>
        </xdr:to>
        <xdr:sp macro="" textlink="">
          <xdr:nvSpPr>
            <xdr:cNvPr id="1859" name="Button 835" hidden="1">
              <a:extLst>
                <a:ext uri="{63B3BB69-23CF-44E3-9099-C40C66FF867C}">
                  <a14:compatExt spid="_x0000_s1859"/>
                </a:ext>
                <a:ext uri="{FF2B5EF4-FFF2-40B4-BE49-F238E27FC236}">
                  <a16:creationId xmlns:a16="http://schemas.microsoft.com/office/drawing/2014/main" id="{00000000-0008-0000-0100-00004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2568</xdr:row>
          <xdr:rowOff>0</xdr:rowOff>
        </xdr:from>
        <xdr:to>
          <xdr:col>7</xdr:col>
          <xdr:colOff>0</xdr:colOff>
          <xdr:row>2568</xdr:row>
          <xdr:rowOff>165100</xdr:rowOff>
        </xdr:to>
        <xdr:sp macro="" textlink="">
          <xdr:nvSpPr>
            <xdr:cNvPr id="1858" name="Button 834" hidden="1">
              <a:extLst>
                <a:ext uri="{63B3BB69-23CF-44E3-9099-C40C66FF867C}">
                  <a14:compatExt spid="_x0000_s1858"/>
                </a:ext>
                <a:ext uri="{FF2B5EF4-FFF2-40B4-BE49-F238E27FC236}">
                  <a16:creationId xmlns:a16="http://schemas.microsoft.com/office/drawing/2014/main" id="{00000000-0008-0000-0100-00004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2569</xdr:row>
          <xdr:rowOff>0</xdr:rowOff>
        </xdr:from>
        <xdr:to>
          <xdr:col>7</xdr:col>
          <xdr:colOff>0</xdr:colOff>
          <xdr:row>2569</xdr:row>
          <xdr:rowOff>165100</xdr:rowOff>
        </xdr:to>
        <xdr:sp macro="" textlink="">
          <xdr:nvSpPr>
            <xdr:cNvPr id="1857" name="Button 833" hidden="1">
              <a:extLst>
                <a:ext uri="{63B3BB69-23CF-44E3-9099-C40C66FF867C}">
                  <a14:compatExt spid="_x0000_s1857"/>
                </a:ext>
                <a:ext uri="{FF2B5EF4-FFF2-40B4-BE49-F238E27FC236}">
                  <a16:creationId xmlns:a16="http://schemas.microsoft.com/office/drawing/2014/main" id="{00000000-0008-0000-0100-00004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2570</xdr:row>
          <xdr:rowOff>0</xdr:rowOff>
        </xdr:from>
        <xdr:to>
          <xdr:col>7</xdr:col>
          <xdr:colOff>0</xdr:colOff>
          <xdr:row>2570</xdr:row>
          <xdr:rowOff>165100</xdr:rowOff>
        </xdr:to>
        <xdr:sp macro="" textlink="">
          <xdr:nvSpPr>
            <xdr:cNvPr id="1856" name="Button 832" hidden="1">
              <a:extLst>
                <a:ext uri="{63B3BB69-23CF-44E3-9099-C40C66FF867C}">
                  <a14:compatExt spid="_x0000_s1856"/>
                </a:ext>
                <a:ext uri="{FF2B5EF4-FFF2-40B4-BE49-F238E27FC236}">
                  <a16:creationId xmlns:a16="http://schemas.microsoft.com/office/drawing/2014/main" id="{00000000-0008-0000-0100-00004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2571</xdr:row>
          <xdr:rowOff>0</xdr:rowOff>
        </xdr:from>
        <xdr:to>
          <xdr:col>7</xdr:col>
          <xdr:colOff>0</xdr:colOff>
          <xdr:row>2571</xdr:row>
          <xdr:rowOff>165100</xdr:rowOff>
        </xdr:to>
        <xdr:sp macro="" textlink="">
          <xdr:nvSpPr>
            <xdr:cNvPr id="1855" name="Button 831" hidden="1">
              <a:extLst>
                <a:ext uri="{63B3BB69-23CF-44E3-9099-C40C66FF867C}">
                  <a14:compatExt spid="_x0000_s1855"/>
                </a:ext>
                <a:ext uri="{FF2B5EF4-FFF2-40B4-BE49-F238E27FC236}">
                  <a16:creationId xmlns:a16="http://schemas.microsoft.com/office/drawing/2014/main" id="{00000000-0008-0000-0100-00003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2572</xdr:row>
          <xdr:rowOff>0</xdr:rowOff>
        </xdr:from>
        <xdr:to>
          <xdr:col>7</xdr:col>
          <xdr:colOff>0</xdr:colOff>
          <xdr:row>2572</xdr:row>
          <xdr:rowOff>165100</xdr:rowOff>
        </xdr:to>
        <xdr:sp macro="" textlink="">
          <xdr:nvSpPr>
            <xdr:cNvPr id="1854" name="Button 830" hidden="1">
              <a:extLst>
                <a:ext uri="{63B3BB69-23CF-44E3-9099-C40C66FF867C}">
                  <a14:compatExt spid="_x0000_s1854"/>
                </a:ext>
                <a:ext uri="{FF2B5EF4-FFF2-40B4-BE49-F238E27FC236}">
                  <a16:creationId xmlns:a16="http://schemas.microsoft.com/office/drawing/2014/main" id="{00000000-0008-0000-0100-00003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2573</xdr:row>
          <xdr:rowOff>0</xdr:rowOff>
        </xdr:from>
        <xdr:to>
          <xdr:col>7</xdr:col>
          <xdr:colOff>0</xdr:colOff>
          <xdr:row>2573</xdr:row>
          <xdr:rowOff>165100</xdr:rowOff>
        </xdr:to>
        <xdr:sp macro="" textlink="">
          <xdr:nvSpPr>
            <xdr:cNvPr id="1853" name="Button 829" hidden="1">
              <a:extLst>
                <a:ext uri="{63B3BB69-23CF-44E3-9099-C40C66FF867C}">
                  <a14:compatExt spid="_x0000_s1853"/>
                </a:ext>
                <a:ext uri="{FF2B5EF4-FFF2-40B4-BE49-F238E27FC236}">
                  <a16:creationId xmlns:a16="http://schemas.microsoft.com/office/drawing/2014/main" id="{00000000-0008-0000-0100-00003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2574</xdr:row>
          <xdr:rowOff>0</xdr:rowOff>
        </xdr:from>
        <xdr:to>
          <xdr:col>7</xdr:col>
          <xdr:colOff>0</xdr:colOff>
          <xdr:row>2574</xdr:row>
          <xdr:rowOff>165100</xdr:rowOff>
        </xdr:to>
        <xdr:sp macro="" textlink="">
          <xdr:nvSpPr>
            <xdr:cNvPr id="1852" name="Button 828" hidden="1">
              <a:extLst>
                <a:ext uri="{63B3BB69-23CF-44E3-9099-C40C66FF867C}">
                  <a14:compatExt spid="_x0000_s1852"/>
                </a:ext>
                <a:ext uri="{FF2B5EF4-FFF2-40B4-BE49-F238E27FC236}">
                  <a16:creationId xmlns:a16="http://schemas.microsoft.com/office/drawing/2014/main" id="{00000000-0008-0000-0100-00003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2575</xdr:row>
          <xdr:rowOff>0</xdr:rowOff>
        </xdr:from>
        <xdr:to>
          <xdr:col>7</xdr:col>
          <xdr:colOff>0</xdr:colOff>
          <xdr:row>2575</xdr:row>
          <xdr:rowOff>165100</xdr:rowOff>
        </xdr:to>
        <xdr:sp macro="" textlink="">
          <xdr:nvSpPr>
            <xdr:cNvPr id="1851" name="Button 827" hidden="1">
              <a:extLst>
                <a:ext uri="{63B3BB69-23CF-44E3-9099-C40C66FF867C}">
                  <a14:compatExt spid="_x0000_s1851"/>
                </a:ext>
                <a:ext uri="{FF2B5EF4-FFF2-40B4-BE49-F238E27FC236}">
                  <a16:creationId xmlns:a16="http://schemas.microsoft.com/office/drawing/2014/main" id="{00000000-0008-0000-0100-00003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2576</xdr:row>
          <xdr:rowOff>0</xdr:rowOff>
        </xdr:from>
        <xdr:to>
          <xdr:col>7</xdr:col>
          <xdr:colOff>0</xdr:colOff>
          <xdr:row>2576</xdr:row>
          <xdr:rowOff>165100</xdr:rowOff>
        </xdr:to>
        <xdr:sp macro="" textlink="">
          <xdr:nvSpPr>
            <xdr:cNvPr id="1850" name="Button 826" hidden="1">
              <a:extLst>
                <a:ext uri="{63B3BB69-23CF-44E3-9099-C40C66FF867C}">
                  <a14:compatExt spid="_x0000_s1850"/>
                </a:ext>
                <a:ext uri="{FF2B5EF4-FFF2-40B4-BE49-F238E27FC236}">
                  <a16:creationId xmlns:a16="http://schemas.microsoft.com/office/drawing/2014/main" id="{00000000-0008-0000-0100-00003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2577</xdr:row>
          <xdr:rowOff>0</xdr:rowOff>
        </xdr:from>
        <xdr:to>
          <xdr:col>7</xdr:col>
          <xdr:colOff>0</xdr:colOff>
          <xdr:row>2577</xdr:row>
          <xdr:rowOff>165100</xdr:rowOff>
        </xdr:to>
        <xdr:sp macro="" textlink="">
          <xdr:nvSpPr>
            <xdr:cNvPr id="1849" name="Button 825" hidden="1">
              <a:extLst>
                <a:ext uri="{63B3BB69-23CF-44E3-9099-C40C66FF867C}">
                  <a14:compatExt spid="_x0000_s1849"/>
                </a:ext>
                <a:ext uri="{FF2B5EF4-FFF2-40B4-BE49-F238E27FC236}">
                  <a16:creationId xmlns:a16="http://schemas.microsoft.com/office/drawing/2014/main" id="{00000000-0008-0000-0100-00003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2578</xdr:row>
          <xdr:rowOff>0</xdr:rowOff>
        </xdr:from>
        <xdr:to>
          <xdr:col>7</xdr:col>
          <xdr:colOff>0</xdr:colOff>
          <xdr:row>2578</xdr:row>
          <xdr:rowOff>165100</xdr:rowOff>
        </xdr:to>
        <xdr:sp macro="" textlink="">
          <xdr:nvSpPr>
            <xdr:cNvPr id="1848" name="Button 824" hidden="1">
              <a:extLst>
                <a:ext uri="{63B3BB69-23CF-44E3-9099-C40C66FF867C}">
                  <a14:compatExt spid="_x0000_s1848"/>
                </a:ext>
                <a:ext uri="{FF2B5EF4-FFF2-40B4-BE49-F238E27FC236}">
                  <a16:creationId xmlns:a16="http://schemas.microsoft.com/office/drawing/2014/main" id="{00000000-0008-0000-0100-00003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2579</xdr:row>
          <xdr:rowOff>0</xdr:rowOff>
        </xdr:from>
        <xdr:to>
          <xdr:col>7</xdr:col>
          <xdr:colOff>0</xdr:colOff>
          <xdr:row>2579</xdr:row>
          <xdr:rowOff>165100</xdr:rowOff>
        </xdr:to>
        <xdr:sp macro="" textlink="">
          <xdr:nvSpPr>
            <xdr:cNvPr id="1847" name="Button 823" hidden="1">
              <a:extLst>
                <a:ext uri="{63B3BB69-23CF-44E3-9099-C40C66FF867C}">
                  <a14:compatExt spid="_x0000_s1847"/>
                </a:ext>
                <a:ext uri="{FF2B5EF4-FFF2-40B4-BE49-F238E27FC236}">
                  <a16:creationId xmlns:a16="http://schemas.microsoft.com/office/drawing/2014/main" id="{00000000-0008-0000-0100-00003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2580</xdr:row>
          <xdr:rowOff>0</xdr:rowOff>
        </xdr:from>
        <xdr:to>
          <xdr:col>7</xdr:col>
          <xdr:colOff>0</xdr:colOff>
          <xdr:row>2580</xdr:row>
          <xdr:rowOff>165100</xdr:rowOff>
        </xdr:to>
        <xdr:sp macro="" textlink="">
          <xdr:nvSpPr>
            <xdr:cNvPr id="1846" name="Button 822" hidden="1">
              <a:extLst>
                <a:ext uri="{63B3BB69-23CF-44E3-9099-C40C66FF867C}">
                  <a14:compatExt spid="_x0000_s1846"/>
                </a:ext>
                <a:ext uri="{FF2B5EF4-FFF2-40B4-BE49-F238E27FC236}">
                  <a16:creationId xmlns:a16="http://schemas.microsoft.com/office/drawing/2014/main" id="{00000000-0008-0000-0100-00003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2581</xdr:row>
          <xdr:rowOff>0</xdr:rowOff>
        </xdr:from>
        <xdr:to>
          <xdr:col>7</xdr:col>
          <xdr:colOff>0</xdr:colOff>
          <xdr:row>2581</xdr:row>
          <xdr:rowOff>165100</xdr:rowOff>
        </xdr:to>
        <xdr:sp macro="" textlink="">
          <xdr:nvSpPr>
            <xdr:cNvPr id="1845" name="Button 821" hidden="1">
              <a:extLst>
                <a:ext uri="{63B3BB69-23CF-44E3-9099-C40C66FF867C}">
                  <a14:compatExt spid="_x0000_s1845"/>
                </a:ext>
                <a:ext uri="{FF2B5EF4-FFF2-40B4-BE49-F238E27FC236}">
                  <a16:creationId xmlns:a16="http://schemas.microsoft.com/office/drawing/2014/main" id="{00000000-0008-0000-0100-00003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2582</xdr:row>
          <xdr:rowOff>0</xdr:rowOff>
        </xdr:from>
        <xdr:to>
          <xdr:col>7</xdr:col>
          <xdr:colOff>0</xdr:colOff>
          <xdr:row>2582</xdr:row>
          <xdr:rowOff>165100</xdr:rowOff>
        </xdr:to>
        <xdr:sp macro="" textlink="">
          <xdr:nvSpPr>
            <xdr:cNvPr id="1844" name="Button 820" hidden="1">
              <a:extLst>
                <a:ext uri="{63B3BB69-23CF-44E3-9099-C40C66FF867C}">
                  <a14:compatExt spid="_x0000_s1844"/>
                </a:ext>
                <a:ext uri="{FF2B5EF4-FFF2-40B4-BE49-F238E27FC236}">
                  <a16:creationId xmlns:a16="http://schemas.microsoft.com/office/drawing/2014/main" id="{00000000-0008-0000-0100-00003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2583</xdr:row>
          <xdr:rowOff>0</xdr:rowOff>
        </xdr:from>
        <xdr:to>
          <xdr:col>7</xdr:col>
          <xdr:colOff>0</xdr:colOff>
          <xdr:row>2583</xdr:row>
          <xdr:rowOff>165100</xdr:rowOff>
        </xdr:to>
        <xdr:sp macro="" textlink="">
          <xdr:nvSpPr>
            <xdr:cNvPr id="1843" name="Button 819" hidden="1">
              <a:extLst>
                <a:ext uri="{63B3BB69-23CF-44E3-9099-C40C66FF867C}">
                  <a14:compatExt spid="_x0000_s1843"/>
                </a:ext>
                <a:ext uri="{FF2B5EF4-FFF2-40B4-BE49-F238E27FC236}">
                  <a16:creationId xmlns:a16="http://schemas.microsoft.com/office/drawing/2014/main" id="{00000000-0008-0000-0100-00003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2584</xdr:row>
          <xdr:rowOff>0</xdr:rowOff>
        </xdr:from>
        <xdr:to>
          <xdr:col>7</xdr:col>
          <xdr:colOff>0</xdr:colOff>
          <xdr:row>2584</xdr:row>
          <xdr:rowOff>165100</xdr:rowOff>
        </xdr:to>
        <xdr:sp macro="" textlink="">
          <xdr:nvSpPr>
            <xdr:cNvPr id="1842" name="Button 818" hidden="1">
              <a:extLst>
                <a:ext uri="{63B3BB69-23CF-44E3-9099-C40C66FF867C}">
                  <a14:compatExt spid="_x0000_s1842"/>
                </a:ext>
                <a:ext uri="{FF2B5EF4-FFF2-40B4-BE49-F238E27FC236}">
                  <a16:creationId xmlns:a16="http://schemas.microsoft.com/office/drawing/2014/main" id="{00000000-0008-0000-0100-00003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2585</xdr:row>
          <xdr:rowOff>0</xdr:rowOff>
        </xdr:from>
        <xdr:to>
          <xdr:col>7</xdr:col>
          <xdr:colOff>0</xdr:colOff>
          <xdr:row>2585</xdr:row>
          <xdr:rowOff>165100</xdr:rowOff>
        </xdr:to>
        <xdr:sp macro="" textlink="">
          <xdr:nvSpPr>
            <xdr:cNvPr id="1841" name="Button 817" hidden="1">
              <a:extLst>
                <a:ext uri="{63B3BB69-23CF-44E3-9099-C40C66FF867C}">
                  <a14:compatExt spid="_x0000_s1841"/>
                </a:ext>
                <a:ext uri="{FF2B5EF4-FFF2-40B4-BE49-F238E27FC236}">
                  <a16:creationId xmlns:a16="http://schemas.microsoft.com/office/drawing/2014/main" id="{00000000-0008-0000-0100-00003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2586</xdr:row>
          <xdr:rowOff>0</xdr:rowOff>
        </xdr:from>
        <xdr:to>
          <xdr:col>7</xdr:col>
          <xdr:colOff>0</xdr:colOff>
          <xdr:row>2586</xdr:row>
          <xdr:rowOff>165100</xdr:rowOff>
        </xdr:to>
        <xdr:sp macro="" textlink="">
          <xdr:nvSpPr>
            <xdr:cNvPr id="1840" name="Button 816" hidden="1">
              <a:extLst>
                <a:ext uri="{63B3BB69-23CF-44E3-9099-C40C66FF867C}">
                  <a14:compatExt spid="_x0000_s1840"/>
                </a:ext>
                <a:ext uri="{FF2B5EF4-FFF2-40B4-BE49-F238E27FC236}">
                  <a16:creationId xmlns:a16="http://schemas.microsoft.com/office/drawing/2014/main" id="{00000000-0008-0000-0100-00003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2587</xdr:row>
          <xdr:rowOff>0</xdr:rowOff>
        </xdr:from>
        <xdr:to>
          <xdr:col>7</xdr:col>
          <xdr:colOff>0</xdr:colOff>
          <xdr:row>2587</xdr:row>
          <xdr:rowOff>165100</xdr:rowOff>
        </xdr:to>
        <xdr:sp macro="" textlink="">
          <xdr:nvSpPr>
            <xdr:cNvPr id="1839" name="Button 815" hidden="1">
              <a:extLst>
                <a:ext uri="{63B3BB69-23CF-44E3-9099-C40C66FF867C}">
                  <a14:compatExt spid="_x0000_s1839"/>
                </a:ext>
                <a:ext uri="{FF2B5EF4-FFF2-40B4-BE49-F238E27FC236}">
                  <a16:creationId xmlns:a16="http://schemas.microsoft.com/office/drawing/2014/main" id="{00000000-0008-0000-0100-00002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2588</xdr:row>
          <xdr:rowOff>0</xdr:rowOff>
        </xdr:from>
        <xdr:to>
          <xdr:col>7</xdr:col>
          <xdr:colOff>0</xdr:colOff>
          <xdr:row>2588</xdr:row>
          <xdr:rowOff>165100</xdr:rowOff>
        </xdr:to>
        <xdr:sp macro="" textlink="">
          <xdr:nvSpPr>
            <xdr:cNvPr id="1838" name="Button 814" hidden="1">
              <a:extLst>
                <a:ext uri="{63B3BB69-23CF-44E3-9099-C40C66FF867C}">
                  <a14:compatExt spid="_x0000_s1838"/>
                </a:ext>
                <a:ext uri="{FF2B5EF4-FFF2-40B4-BE49-F238E27FC236}">
                  <a16:creationId xmlns:a16="http://schemas.microsoft.com/office/drawing/2014/main" id="{00000000-0008-0000-0100-00002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2589</xdr:row>
          <xdr:rowOff>0</xdr:rowOff>
        </xdr:from>
        <xdr:to>
          <xdr:col>7</xdr:col>
          <xdr:colOff>0</xdr:colOff>
          <xdr:row>2589</xdr:row>
          <xdr:rowOff>165100</xdr:rowOff>
        </xdr:to>
        <xdr:sp macro="" textlink="">
          <xdr:nvSpPr>
            <xdr:cNvPr id="1837" name="Button 813" hidden="1">
              <a:extLst>
                <a:ext uri="{63B3BB69-23CF-44E3-9099-C40C66FF867C}">
                  <a14:compatExt spid="_x0000_s1837"/>
                </a:ext>
                <a:ext uri="{FF2B5EF4-FFF2-40B4-BE49-F238E27FC236}">
                  <a16:creationId xmlns:a16="http://schemas.microsoft.com/office/drawing/2014/main" id="{00000000-0008-0000-0100-00002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2590</xdr:row>
          <xdr:rowOff>0</xdr:rowOff>
        </xdr:from>
        <xdr:to>
          <xdr:col>7</xdr:col>
          <xdr:colOff>0</xdr:colOff>
          <xdr:row>2590</xdr:row>
          <xdr:rowOff>165100</xdr:rowOff>
        </xdr:to>
        <xdr:sp macro="" textlink="">
          <xdr:nvSpPr>
            <xdr:cNvPr id="1836" name="Button 812" hidden="1">
              <a:extLst>
                <a:ext uri="{63B3BB69-23CF-44E3-9099-C40C66FF867C}">
                  <a14:compatExt spid="_x0000_s1836"/>
                </a:ext>
                <a:ext uri="{FF2B5EF4-FFF2-40B4-BE49-F238E27FC236}">
                  <a16:creationId xmlns:a16="http://schemas.microsoft.com/office/drawing/2014/main" id="{00000000-0008-0000-0100-00002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2591</xdr:row>
          <xdr:rowOff>0</xdr:rowOff>
        </xdr:from>
        <xdr:to>
          <xdr:col>7</xdr:col>
          <xdr:colOff>0</xdr:colOff>
          <xdr:row>2591</xdr:row>
          <xdr:rowOff>165100</xdr:rowOff>
        </xdr:to>
        <xdr:sp macro="" textlink="">
          <xdr:nvSpPr>
            <xdr:cNvPr id="1835" name="Button 811" hidden="1">
              <a:extLst>
                <a:ext uri="{63B3BB69-23CF-44E3-9099-C40C66FF867C}">
                  <a14:compatExt spid="_x0000_s1835"/>
                </a:ext>
                <a:ext uri="{FF2B5EF4-FFF2-40B4-BE49-F238E27FC236}">
                  <a16:creationId xmlns:a16="http://schemas.microsoft.com/office/drawing/2014/main" id="{00000000-0008-0000-0100-00002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2592</xdr:row>
          <xdr:rowOff>0</xdr:rowOff>
        </xdr:from>
        <xdr:to>
          <xdr:col>7</xdr:col>
          <xdr:colOff>0</xdr:colOff>
          <xdr:row>2592</xdr:row>
          <xdr:rowOff>165100</xdr:rowOff>
        </xdr:to>
        <xdr:sp macro="" textlink="">
          <xdr:nvSpPr>
            <xdr:cNvPr id="1834" name="Button 810" hidden="1">
              <a:extLst>
                <a:ext uri="{63B3BB69-23CF-44E3-9099-C40C66FF867C}">
                  <a14:compatExt spid="_x0000_s1834"/>
                </a:ext>
                <a:ext uri="{FF2B5EF4-FFF2-40B4-BE49-F238E27FC236}">
                  <a16:creationId xmlns:a16="http://schemas.microsoft.com/office/drawing/2014/main" id="{00000000-0008-0000-0100-00002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2593</xdr:row>
          <xdr:rowOff>0</xdr:rowOff>
        </xdr:from>
        <xdr:to>
          <xdr:col>7</xdr:col>
          <xdr:colOff>0</xdr:colOff>
          <xdr:row>2593</xdr:row>
          <xdr:rowOff>165100</xdr:rowOff>
        </xdr:to>
        <xdr:sp macro="" textlink="">
          <xdr:nvSpPr>
            <xdr:cNvPr id="1833" name="Button 809" hidden="1">
              <a:extLst>
                <a:ext uri="{63B3BB69-23CF-44E3-9099-C40C66FF867C}">
                  <a14:compatExt spid="_x0000_s1833"/>
                </a:ext>
                <a:ext uri="{FF2B5EF4-FFF2-40B4-BE49-F238E27FC236}">
                  <a16:creationId xmlns:a16="http://schemas.microsoft.com/office/drawing/2014/main" id="{00000000-0008-0000-0100-00002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2594</xdr:row>
          <xdr:rowOff>0</xdr:rowOff>
        </xdr:from>
        <xdr:to>
          <xdr:col>7</xdr:col>
          <xdr:colOff>0</xdr:colOff>
          <xdr:row>2594</xdr:row>
          <xdr:rowOff>165100</xdr:rowOff>
        </xdr:to>
        <xdr:sp macro="" textlink="">
          <xdr:nvSpPr>
            <xdr:cNvPr id="1832" name="Button 808" hidden="1">
              <a:extLst>
                <a:ext uri="{63B3BB69-23CF-44E3-9099-C40C66FF867C}">
                  <a14:compatExt spid="_x0000_s1832"/>
                </a:ext>
                <a:ext uri="{FF2B5EF4-FFF2-40B4-BE49-F238E27FC236}">
                  <a16:creationId xmlns:a16="http://schemas.microsoft.com/office/drawing/2014/main" id="{00000000-0008-0000-0100-00002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2595</xdr:row>
          <xdr:rowOff>0</xdr:rowOff>
        </xdr:from>
        <xdr:to>
          <xdr:col>7</xdr:col>
          <xdr:colOff>0</xdr:colOff>
          <xdr:row>2595</xdr:row>
          <xdr:rowOff>165100</xdr:rowOff>
        </xdr:to>
        <xdr:sp macro="" textlink="">
          <xdr:nvSpPr>
            <xdr:cNvPr id="1831" name="Button 807" hidden="1">
              <a:extLst>
                <a:ext uri="{63B3BB69-23CF-44E3-9099-C40C66FF867C}">
                  <a14:compatExt spid="_x0000_s1831"/>
                </a:ext>
                <a:ext uri="{FF2B5EF4-FFF2-40B4-BE49-F238E27FC236}">
                  <a16:creationId xmlns:a16="http://schemas.microsoft.com/office/drawing/2014/main" id="{00000000-0008-0000-0100-00002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2596</xdr:row>
          <xdr:rowOff>0</xdr:rowOff>
        </xdr:from>
        <xdr:to>
          <xdr:col>7</xdr:col>
          <xdr:colOff>0</xdr:colOff>
          <xdr:row>2596</xdr:row>
          <xdr:rowOff>165100</xdr:rowOff>
        </xdr:to>
        <xdr:sp macro="" textlink="">
          <xdr:nvSpPr>
            <xdr:cNvPr id="1830" name="Button 806" hidden="1">
              <a:extLst>
                <a:ext uri="{63B3BB69-23CF-44E3-9099-C40C66FF867C}">
                  <a14:compatExt spid="_x0000_s1830"/>
                </a:ext>
                <a:ext uri="{FF2B5EF4-FFF2-40B4-BE49-F238E27FC236}">
                  <a16:creationId xmlns:a16="http://schemas.microsoft.com/office/drawing/2014/main" id="{00000000-0008-0000-0100-00002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2597</xdr:row>
          <xdr:rowOff>0</xdr:rowOff>
        </xdr:from>
        <xdr:to>
          <xdr:col>7</xdr:col>
          <xdr:colOff>0</xdr:colOff>
          <xdr:row>2597</xdr:row>
          <xdr:rowOff>165100</xdr:rowOff>
        </xdr:to>
        <xdr:sp macro="" textlink="">
          <xdr:nvSpPr>
            <xdr:cNvPr id="1829" name="Button 805" hidden="1">
              <a:extLst>
                <a:ext uri="{63B3BB69-23CF-44E3-9099-C40C66FF867C}">
                  <a14:compatExt spid="_x0000_s1829"/>
                </a:ext>
                <a:ext uri="{FF2B5EF4-FFF2-40B4-BE49-F238E27FC236}">
                  <a16:creationId xmlns:a16="http://schemas.microsoft.com/office/drawing/2014/main" id="{00000000-0008-0000-0100-00002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2598</xdr:row>
          <xdr:rowOff>0</xdr:rowOff>
        </xdr:from>
        <xdr:to>
          <xdr:col>7</xdr:col>
          <xdr:colOff>0</xdr:colOff>
          <xdr:row>2598</xdr:row>
          <xdr:rowOff>165100</xdr:rowOff>
        </xdr:to>
        <xdr:sp macro="" textlink="">
          <xdr:nvSpPr>
            <xdr:cNvPr id="1828" name="Button 804" hidden="1">
              <a:extLst>
                <a:ext uri="{63B3BB69-23CF-44E3-9099-C40C66FF867C}">
                  <a14:compatExt spid="_x0000_s1828"/>
                </a:ext>
                <a:ext uri="{FF2B5EF4-FFF2-40B4-BE49-F238E27FC236}">
                  <a16:creationId xmlns:a16="http://schemas.microsoft.com/office/drawing/2014/main" id="{00000000-0008-0000-0100-00002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2599</xdr:row>
          <xdr:rowOff>0</xdr:rowOff>
        </xdr:from>
        <xdr:to>
          <xdr:col>7</xdr:col>
          <xdr:colOff>0</xdr:colOff>
          <xdr:row>2599</xdr:row>
          <xdr:rowOff>165100</xdr:rowOff>
        </xdr:to>
        <xdr:sp macro="" textlink="">
          <xdr:nvSpPr>
            <xdr:cNvPr id="1827" name="Button 803" hidden="1">
              <a:extLst>
                <a:ext uri="{63B3BB69-23CF-44E3-9099-C40C66FF867C}">
                  <a14:compatExt spid="_x0000_s1827"/>
                </a:ext>
                <a:ext uri="{FF2B5EF4-FFF2-40B4-BE49-F238E27FC236}">
                  <a16:creationId xmlns:a16="http://schemas.microsoft.com/office/drawing/2014/main" id="{00000000-0008-0000-0100-00002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2600</xdr:row>
          <xdr:rowOff>0</xdr:rowOff>
        </xdr:from>
        <xdr:to>
          <xdr:col>7</xdr:col>
          <xdr:colOff>0</xdr:colOff>
          <xdr:row>2600</xdr:row>
          <xdr:rowOff>165100</xdr:rowOff>
        </xdr:to>
        <xdr:sp macro="" textlink="">
          <xdr:nvSpPr>
            <xdr:cNvPr id="1826" name="Button 802" hidden="1">
              <a:extLst>
                <a:ext uri="{63B3BB69-23CF-44E3-9099-C40C66FF867C}">
                  <a14:compatExt spid="_x0000_s1826"/>
                </a:ext>
                <a:ext uri="{FF2B5EF4-FFF2-40B4-BE49-F238E27FC236}">
                  <a16:creationId xmlns:a16="http://schemas.microsoft.com/office/drawing/2014/main" id="{00000000-0008-0000-0100-00002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2601</xdr:row>
          <xdr:rowOff>0</xdr:rowOff>
        </xdr:from>
        <xdr:to>
          <xdr:col>7</xdr:col>
          <xdr:colOff>0</xdr:colOff>
          <xdr:row>2601</xdr:row>
          <xdr:rowOff>165100</xdr:rowOff>
        </xdr:to>
        <xdr:sp macro="" textlink="">
          <xdr:nvSpPr>
            <xdr:cNvPr id="1825" name="Button 801" hidden="1">
              <a:extLst>
                <a:ext uri="{63B3BB69-23CF-44E3-9099-C40C66FF867C}">
                  <a14:compatExt spid="_x0000_s1825"/>
                </a:ext>
                <a:ext uri="{FF2B5EF4-FFF2-40B4-BE49-F238E27FC236}">
                  <a16:creationId xmlns:a16="http://schemas.microsoft.com/office/drawing/2014/main" id="{00000000-0008-0000-0100-00002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2602</xdr:row>
          <xdr:rowOff>0</xdr:rowOff>
        </xdr:from>
        <xdr:to>
          <xdr:col>7</xdr:col>
          <xdr:colOff>0</xdr:colOff>
          <xdr:row>2602</xdr:row>
          <xdr:rowOff>165100</xdr:rowOff>
        </xdr:to>
        <xdr:sp macro="" textlink="">
          <xdr:nvSpPr>
            <xdr:cNvPr id="1824" name="Button 800" hidden="1">
              <a:extLst>
                <a:ext uri="{63B3BB69-23CF-44E3-9099-C40C66FF867C}">
                  <a14:compatExt spid="_x0000_s1824"/>
                </a:ext>
                <a:ext uri="{FF2B5EF4-FFF2-40B4-BE49-F238E27FC236}">
                  <a16:creationId xmlns:a16="http://schemas.microsoft.com/office/drawing/2014/main" id="{00000000-0008-0000-0100-00002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2603</xdr:row>
          <xdr:rowOff>0</xdr:rowOff>
        </xdr:from>
        <xdr:to>
          <xdr:col>7</xdr:col>
          <xdr:colOff>0</xdr:colOff>
          <xdr:row>2603</xdr:row>
          <xdr:rowOff>165100</xdr:rowOff>
        </xdr:to>
        <xdr:sp macro="" textlink="">
          <xdr:nvSpPr>
            <xdr:cNvPr id="1823" name="Button 799" hidden="1">
              <a:extLst>
                <a:ext uri="{63B3BB69-23CF-44E3-9099-C40C66FF867C}">
                  <a14:compatExt spid="_x0000_s1823"/>
                </a:ext>
                <a:ext uri="{FF2B5EF4-FFF2-40B4-BE49-F238E27FC236}">
                  <a16:creationId xmlns:a16="http://schemas.microsoft.com/office/drawing/2014/main" id="{00000000-0008-0000-0100-00001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2604</xdr:row>
          <xdr:rowOff>0</xdr:rowOff>
        </xdr:from>
        <xdr:to>
          <xdr:col>7</xdr:col>
          <xdr:colOff>0</xdr:colOff>
          <xdr:row>2604</xdr:row>
          <xdr:rowOff>165100</xdr:rowOff>
        </xdr:to>
        <xdr:sp macro="" textlink="">
          <xdr:nvSpPr>
            <xdr:cNvPr id="1822" name="Button 798" hidden="1">
              <a:extLst>
                <a:ext uri="{63B3BB69-23CF-44E3-9099-C40C66FF867C}">
                  <a14:compatExt spid="_x0000_s1822"/>
                </a:ext>
                <a:ext uri="{FF2B5EF4-FFF2-40B4-BE49-F238E27FC236}">
                  <a16:creationId xmlns:a16="http://schemas.microsoft.com/office/drawing/2014/main" id="{00000000-0008-0000-0100-00001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2605</xdr:row>
          <xdr:rowOff>0</xdr:rowOff>
        </xdr:from>
        <xdr:to>
          <xdr:col>7</xdr:col>
          <xdr:colOff>0</xdr:colOff>
          <xdr:row>2605</xdr:row>
          <xdr:rowOff>165100</xdr:rowOff>
        </xdr:to>
        <xdr:sp macro="" textlink="">
          <xdr:nvSpPr>
            <xdr:cNvPr id="1821" name="Button 797" hidden="1">
              <a:extLst>
                <a:ext uri="{63B3BB69-23CF-44E3-9099-C40C66FF867C}">
                  <a14:compatExt spid="_x0000_s1821"/>
                </a:ext>
                <a:ext uri="{FF2B5EF4-FFF2-40B4-BE49-F238E27FC236}">
                  <a16:creationId xmlns:a16="http://schemas.microsoft.com/office/drawing/2014/main" id="{00000000-0008-0000-0100-00001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2606</xdr:row>
          <xdr:rowOff>0</xdr:rowOff>
        </xdr:from>
        <xdr:to>
          <xdr:col>7</xdr:col>
          <xdr:colOff>0</xdr:colOff>
          <xdr:row>2606</xdr:row>
          <xdr:rowOff>165100</xdr:rowOff>
        </xdr:to>
        <xdr:sp macro="" textlink="">
          <xdr:nvSpPr>
            <xdr:cNvPr id="1820" name="Button 796" hidden="1">
              <a:extLst>
                <a:ext uri="{63B3BB69-23CF-44E3-9099-C40C66FF867C}">
                  <a14:compatExt spid="_x0000_s1820"/>
                </a:ext>
                <a:ext uri="{FF2B5EF4-FFF2-40B4-BE49-F238E27FC236}">
                  <a16:creationId xmlns:a16="http://schemas.microsoft.com/office/drawing/2014/main" id="{00000000-0008-0000-0100-00001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2607</xdr:row>
          <xdr:rowOff>0</xdr:rowOff>
        </xdr:from>
        <xdr:to>
          <xdr:col>7</xdr:col>
          <xdr:colOff>0</xdr:colOff>
          <xdr:row>2607</xdr:row>
          <xdr:rowOff>165100</xdr:rowOff>
        </xdr:to>
        <xdr:sp macro="" textlink="">
          <xdr:nvSpPr>
            <xdr:cNvPr id="1819" name="Button 795" hidden="1">
              <a:extLst>
                <a:ext uri="{63B3BB69-23CF-44E3-9099-C40C66FF867C}">
                  <a14:compatExt spid="_x0000_s1819"/>
                </a:ext>
                <a:ext uri="{FF2B5EF4-FFF2-40B4-BE49-F238E27FC236}">
                  <a16:creationId xmlns:a16="http://schemas.microsoft.com/office/drawing/2014/main" id="{00000000-0008-0000-0100-00001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2608</xdr:row>
          <xdr:rowOff>0</xdr:rowOff>
        </xdr:from>
        <xdr:to>
          <xdr:col>7</xdr:col>
          <xdr:colOff>0</xdr:colOff>
          <xdr:row>2608</xdr:row>
          <xdr:rowOff>165100</xdr:rowOff>
        </xdr:to>
        <xdr:sp macro="" textlink="">
          <xdr:nvSpPr>
            <xdr:cNvPr id="1818" name="Button 794" hidden="1">
              <a:extLst>
                <a:ext uri="{63B3BB69-23CF-44E3-9099-C40C66FF867C}">
                  <a14:compatExt spid="_x0000_s1818"/>
                </a:ext>
                <a:ext uri="{FF2B5EF4-FFF2-40B4-BE49-F238E27FC236}">
                  <a16:creationId xmlns:a16="http://schemas.microsoft.com/office/drawing/2014/main" id="{00000000-0008-0000-0100-00001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2609</xdr:row>
          <xdr:rowOff>0</xdr:rowOff>
        </xdr:from>
        <xdr:to>
          <xdr:col>7</xdr:col>
          <xdr:colOff>0</xdr:colOff>
          <xdr:row>2609</xdr:row>
          <xdr:rowOff>165100</xdr:rowOff>
        </xdr:to>
        <xdr:sp macro="" textlink="">
          <xdr:nvSpPr>
            <xdr:cNvPr id="1817" name="Button 793" hidden="1">
              <a:extLst>
                <a:ext uri="{63B3BB69-23CF-44E3-9099-C40C66FF867C}">
                  <a14:compatExt spid="_x0000_s1817"/>
                </a:ext>
                <a:ext uri="{FF2B5EF4-FFF2-40B4-BE49-F238E27FC236}">
                  <a16:creationId xmlns:a16="http://schemas.microsoft.com/office/drawing/2014/main" id="{00000000-0008-0000-0100-00001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2610</xdr:row>
          <xdr:rowOff>0</xdr:rowOff>
        </xdr:from>
        <xdr:to>
          <xdr:col>7</xdr:col>
          <xdr:colOff>0</xdr:colOff>
          <xdr:row>2610</xdr:row>
          <xdr:rowOff>165100</xdr:rowOff>
        </xdr:to>
        <xdr:sp macro="" textlink="">
          <xdr:nvSpPr>
            <xdr:cNvPr id="1816" name="Button 792" hidden="1">
              <a:extLst>
                <a:ext uri="{63B3BB69-23CF-44E3-9099-C40C66FF867C}">
                  <a14:compatExt spid="_x0000_s1816"/>
                </a:ext>
                <a:ext uri="{FF2B5EF4-FFF2-40B4-BE49-F238E27FC236}">
                  <a16:creationId xmlns:a16="http://schemas.microsoft.com/office/drawing/2014/main" id="{00000000-0008-0000-0100-00001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2611</xdr:row>
          <xdr:rowOff>0</xdr:rowOff>
        </xdr:from>
        <xdr:to>
          <xdr:col>7</xdr:col>
          <xdr:colOff>0</xdr:colOff>
          <xdr:row>2611</xdr:row>
          <xdr:rowOff>165100</xdr:rowOff>
        </xdr:to>
        <xdr:sp macro="" textlink="">
          <xdr:nvSpPr>
            <xdr:cNvPr id="1815" name="Button 791" hidden="1">
              <a:extLst>
                <a:ext uri="{63B3BB69-23CF-44E3-9099-C40C66FF867C}">
                  <a14:compatExt spid="_x0000_s1815"/>
                </a:ext>
                <a:ext uri="{FF2B5EF4-FFF2-40B4-BE49-F238E27FC236}">
                  <a16:creationId xmlns:a16="http://schemas.microsoft.com/office/drawing/2014/main" id="{00000000-0008-0000-0100-00001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2612</xdr:row>
          <xdr:rowOff>0</xdr:rowOff>
        </xdr:from>
        <xdr:to>
          <xdr:col>7</xdr:col>
          <xdr:colOff>0</xdr:colOff>
          <xdr:row>2612</xdr:row>
          <xdr:rowOff>165100</xdr:rowOff>
        </xdr:to>
        <xdr:sp macro="" textlink="">
          <xdr:nvSpPr>
            <xdr:cNvPr id="1814" name="Button 790" hidden="1">
              <a:extLst>
                <a:ext uri="{63B3BB69-23CF-44E3-9099-C40C66FF867C}">
                  <a14:compatExt spid="_x0000_s1814"/>
                </a:ext>
                <a:ext uri="{FF2B5EF4-FFF2-40B4-BE49-F238E27FC236}">
                  <a16:creationId xmlns:a16="http://schemas.microsoft.com/office/drawing/2014/main" id="{00000000-0008-0000-0100-00001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2613</xdr:row>
          <xdr:rowOff>0</xdr:rowOff>
        </xdr:from>
        <xdr:to>
          <xdr:col>7</xdr:col>
          <xdr:colOff>0</xdr:colOff>
          <xdr:row>2613</xdr:row>
          <xdr:rowOff>165100</xdr:rowOff>
        </xdr:to>
        <xdr:sp macro="" textlink="">
          <xdr:nvSpPr>
            <xdr:cNvPr id="1813" name="Button 789" hidden="1">
              <a:extLst>
                <a:ext uri="{63B3BB69-23CF-44E3-9099-C40C66FF867C}">
                  <a14:compatExt spid="_x0000_s1813"/>
                </a:ext>
                <a:ext uri="{FF2B5EF4-FFF2-40B4-BE49-F238E27FC236}">
                  <a16:creationId xmlns:a16="http://schemas.microsoft.com/office/drawing/2014/main" id="{00000000-0008-0000-0100-00001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2614</xdr:row>
          <xdr:rowOff>0</xdr:rowOff>
        </xdr:from>
        <xdr:to>
          <xdr:col>7</xdr:col>
          <xdr:colOff>0</xdr:colOff>
          <xdr:row>2614</xdr:row>
          <xdr:rowOff>165100</xdr:rowOff>
        </xdr:to>
        <xdr:sp macro="" textlink="">
          <xdr:nvSpPr>
            <xdr:cNvPr id="1812" name="Button 788" hidden="1">
              <a:extLst>
                <a:ext uri="{63B3BB69-23CF-44E3-9099-C40C66FF867C}">
                  <a14:compatExt spid="_x0000_s1812"/>
                </a:ext>
                <a:ext uri="{FF2B5EF4-FFF2-40B4-BE49-F238E27FC236}">
                  <a16:creationId xmlns:a16="http://schemas.microsoft.com/office/drawing/2014/main" id="{00000000-0008-0000-0100-00001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2615</xdr:row>
          <xdr:rowOff>0</xdr:rowOff>
        </xdr:from>
        <xdr:to>
          <xdr:col>7</xdr:col>
          <xdr:colOff>0</xdr:colOff>
          <xdr:row>2615</xdr:row>
          <xdr:rowOff>165100</xdr:rowOff>
        </xdr:to>
        <xdr:sp macro="" textlink="">
          <xdr:nvSpPr>
            <xdr:cNvPr id="1811" name="Button 787" hidden="1">
              <a:extLst>
                <a:ext uri="{63B3BB69-23CF-44E3-9099-C40C66FF867C}">
                  <a14:compatExt spid="_x0000_s1811"/>
                </a:ext>
                <a:ext uri="{FF2B5EF4-FFF2-40B4-BE49-F238E27FC236}">
                  <a16:creationId xmlns:a16="http://schemas.microsoft.com/office/drawing/2014/main" id="{00000000-0008-0000-0100-00001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2616</xdr:row>
          <xdr:rowOff>0</xdr:rowOff>
        </xdr:from>
        <xdr:to>
          <xdr:col>7</xdr:col>
          <xdr:colOff>0</xdr:colOff>
          <xdr:row>2616</xdr:row>
          <xdr:rowOff>165100</xdr:rowOff>
        </xdr:to>
        <xdr:sp macro="" textlink="">
          <xdr:nvSpPr>
            <xdr:cNvPr id="1810" name="Button 786" hidden="1">
              <a:extLst>
                <a:ext uri="{63B3BB69-23CF-44E3-9099-C40C66FF867C}">
                  <a14:compatExt spid="_x0000_s1810"/>
                </a:ext>
                <a:ext uri="{FF2B5EF4-FFF2-40B4-BE49-F238E27FC236}">
                  <a16:creationId xmlns:a16="http://schemas.microsoft.com/office/drawing/2014/main" id="{00000000-0008-0000-0100-00001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2617</xdr:row>
          <xdr:rowOff>0</xdr:rowOff>
        </xdr:from>
        <xdr:to>
          <xdr:col>7</xdr:col>
          <xdr:colOff>0</xdr:colOff>
          <xdr:row>2617</xdr:row>
          <xdr:rowOff>165100</xdr:rowOff>
        </xdr:to>
        <xdr:sp macro="" textlink="">
          <xdr:nvSpPr>
            <xdr:cNvPr id="1809" name="Button 785" hidden="1">
              <a:extLst>
                <a:ext uri="{63B3BB69-23CF-44E3-9099-C40C66FF867C}">
                  <a14:compatExt spid="_x0000_s1809"/>
                </a:ext>
                <a:ext uri="{FF2B5EF4-FFF2-40B4-BE49-F238E27FC236}">
                  <a16:creationId xmlns:a16="http://schemas.microsoft.com/office/drawing/2014/main" id="{00000000-0008-0000-0100-00001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2618</xdr:row>
          <xdr:rowOff>0</xdr:rowOff>
        </xdr:from>
        <xdr:to>
          <xdr:col>7</xdr:col>
          <xdr:colOff>0</xdr:colOff>
          <xdr:row>2618</xdr:row>
          <xdr:rowOff>165100</xdr:rowOff>
        </xdr:to>
        <xdr:sp macro="" textlink="">
          <xdr:nvSpPr>
            <xdr:cNvPr id="1808" name="Button 784" hidden="1">
              <a:extLst>
                <a:ext uri="{63B3BB69-23CF-44E3-9099-C40C66FF867C}">
                  <a14:compatExt spid="_x0000_s1808"/>
                </a:ext>
                <a:ext uri="{FF2B5EF4-FFF2-40B4-BE49-F238E27FC236}">
                  <a16:creationId xmlns:a16="http://schemas.microsoft.com/office/drawing/2014/main" id="{00000000-0008-0000-0100-00001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2619</xdr:row>
          <xdr:rowOff>0</xdr:rowOff>
        </xdr:from>
        <xdr:to>
          <xdr:col>7</xdr:col>
          <xdr:colOff>0</xdr:colOff>
          <xdr:row>2619</xdr:row>
          <xdr:rowOff>165100</xdr:rowOff>
        </xdr:to>
        <xdr:sp macro="" textlink="">
          <xdr:nvSpPr>
            <xdr:cNvPr id="1807" name="Button 783" hidden="1">
              <a:extLst>
                <a:ext uri="{63B3BB69-23CF-44E3-9099-C40C66FF867C}">
                  <a14:compatExt spid="_x0000_s1807"/>
                </a:ext>
                <a:ext uri="{FF2B5EF4-FFF2-40B4-BE49-F238E27FC236}">
                  <a16:creationId xmlns:a16="http://schemas.microsoft.com/office/drawing/2014/main" id="{00000000-0008-0000-0100-00000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2620</xdr:row>
          <xdr:rowOff>0</xdr:rowOff>
        </xdr:from>
        <xdr:to>
          <xdr:col>7</xdr:col>
          <xdr:colOff>0</xdr:colOff>
          <xdr:row>2620</xdr:row>
          <xdr:rowOff>165100</xdr:rowOff>
        </xdr:to>
        <xdr:sp macro="" textlink="">
          <xdr:nvSpPr>
            <xdr:cNvPr id="1806" name="Button 782" hidden="1">
              <a:extLst>
                <a:ext uri="{63B3BB69-23CF-44E3-9099-C40C66FF867C}">
                  <a14:compatExt spid="_x0000_s1806"/>
                </a:ext>
                <a:ext uri="{FF2B5EF4-FFF2-40B4-BE49-F238E27FC236}">
                  <a16:creationId xmlns:a16="http://schemas.microsoft.com/office/drawing/2014/main" id="{00000000-0008-0000-0100-00000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2621</xdr:row>
          <xdr:rowOff>0</xdr:rowOff>
        </xdr:from>
        <xdr:to>
          <xdr:col>7</xdr:col>
          <xdr:colOff>0</xdr:colOff>
          <xdr:row>2621</xdr:row>
          <xdr:rowOff>165100</xdr:rowOff>
        </xdr:to>
        <xdr:sp macro="" textlink="">
          <xdr:nvSpPr>
            <xdr:cNvPr id="1805" name="Button 781" hidden="1">
              <a:extLst>
                <a:ext uri="{63B3BB69-23CF-44E3-9099-C40C66FF867C}">
                  <a14:compatExt spid="_x0000_s1805"/>
                </a:ext>
                <a:ext uri="{FF2B5EF4-FFF2-40B4-BE49-F238E27FC236}">
                  <a16:creationId xmlns:a16="http://schemas.microsoft.com/office/drawing/2014/main" id="{00000000-0008-0000-0100-00000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2622</xdr:row>
          <xdr:rowOff>0</xdr:rowOff>
        </xdr:from>
        <xdr:to>
          <xdr:col>7</xdr:col>
          <xdr:colOff>0</xdr:colOff>
          <xdr:row>2622</xdr:row>
          <xdr:rowOff>165100</xdr:rowOff>
        </xdr:to>
        <xdr:sp macro="" textlink="">
          <xdr:nvSpPr>
            <xdr:cNvPr id="1804" name="Button 780" hidden="1">
              <a:extLst>
                <a:ext uri="{63B3BB69-23CF-44E3-9099-C40C66FF867C}">
                  <a14:compatExt spid="_x0000_s1804"/>
                </a:ext>
                <a:ext uri="{FF2B5EF4-FFF2-40B4-BE49-F238E27FC236}">
                  <a16:creationId xmlns:a16="http://schemas.microsoft.com/office/drawing/2014/main" id="{00000000-0008-0000-0100-00000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2623</xdr:row>
          <xdr:rowOff>0</xdr:rowOff>
        </xdr:from>
        <xdr:to>
          <xdr:col>7</xdr:col>
          <xdr:colOff>0</xdr:colOff>
          <xdr:row>2623</xdr:row>
          <xdr:rowOff>165100</xdr:rowOff>
        </xdr:to>
        <xdr:sp macro="" textlink="">
          <xdr:nvSpPr>
            <xdr:cNvPr id="1803" name="Button 779" hidden="1">
              <a:extLst>
                <a:ext uri="{63B3BB69-23CF-44E3-9099-C40C66FF867C}">
                  <a14:compatExt spid="_x0000_s1803"/>
                </a:ext>
                <a:ext uri="{FF2B5EF4-FFF2-40B4-BE49-F238E27FC236}">
                  <a16:creationId xmlns:a16="http://schemas.microsoft.com/office/drawing/2014/main" id="{00000000-0008-0000-0100-00000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2624</xdr:row>
          <xdr:rowOff>0</xdr:rowOff>
        </xdr:from>
        <xdr:to>
          <xdr:col>7</xdr:col>
          <xdr:colOff>0</xdr:colOff>
          <xdr:row>2624</xdr:row>
          <xdr:rowOff>165100</xdr:rowOff>
        </xdr:to>
        <xdr:sp macro="" textlink="">
          <xdr:nvSpPr>
            <xdr:cNvPr id="1802" name="Button 778" hidden="1">
              <a:extLst>
                <a:ext uri="{63B3BB69-23CF-44E3-9099-C40C66FF867C}">
                  <a14:compatExt spid="_x0000_s1802"/>
                </a:ext>
                <a:ext uri="{FF2B5EF4-FFF2-40B4-BE49-F238E27FC236}">
                  <a16:creationId xmlns:a16="http://schemas.microsoft.com/office/drawing/2014/main" id="{00000000-0008-0000-0100-00000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2625</xdr:row>
          <xdr:rowOff>0</xdr:rowOff>
        </xdr:from>
        <xdr:to>
          <xdr:col>7</xdr:col>
          <xdr:colOff>0</xdr:colOff>
          <xdr:row>2625</xdr:row>
          <xdr:rowOff>165100</xdr:rowOff>
        </xdr:to>
        <xdr:sp macro="" textlink="">
          <xdr:nvSpPr>
            <xdr:cNvPr id="1801" name="Button 777" hidden="1">
              <a:extLst>
                <a:ext uri="{63B3BB69-23CF-44E3-9099-C40C66FF867C}">
                  <a14:compatExt spid="_x0000_s1801"/>
                </a:ext>
                <a:ext uri="{FF2B5EF4-FFF2-40B4-BE49-F238E27FC236}">
                  <a16:creationId xmlns:a16="http://schemas.microsoft.com/office/drawing/2014/main" id="{00000000-0008-0000-0100-00000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2626</xdr:row>
          <xdr:rowOff>0</xdr:rowOff>
        </xdr:from>
        <xdr:to>
          <xdr:col>7</xdr:col>
          <xdr:colOff>0</xdr:colOff>
          <xdr:row>2626</xdr:row>
          <xdr:rowOff>165100</xdr:rowOff>
        </xdr:to>
        <xdr:sp macro="" textlink="">
          <xdr:nvSpPr>
            <xdr:cNvPr id="1800" name="Button 776" hidden="1">
              <a:extLst>
                <a:ext uri="{63B3BB69-23CF-44E3-9099-C40C66FF867C}">
                  <a14:compatExt spid="_x0000_s1800"/>
                </a:ext>
                <a:ext uri="{FF2B5EF4-FFF2-40B4-BE49-F238E27FC236}">
                  <a16:creationId xmlns:a16="http://schemas.microsoft.com/office/drawing/2014/main" id="{00000000-0008-0000-0100-00000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2627</xdr:row>
          <xdr:rowOff>0</xdr:rowOff>
        </xdr:from>
        <xdr:to>
          <xdr:col>7</xdr:col>
          <xdr:colOff>0</xdr:colOff>
          <xdr:row>2627</xdr:row>
          <xdr:rowOff>165100</xdr:rowOff>
        </xdr:to>
        <xdr:sp macro="" textlink="">
          <xdr:nvSpPr>
            <xdr:cNvPr id="1799" name="Button 775" hidden="1">
              <a:extLst>
                <a:ext uri="{63B3BB69-23CF-44E3-9099-C40C66FF867C}">
                  <a14:compatExt spid="_x0000_s1799"/>
                </a:ext>
                <a:ext uri="{FF2B5EF4-FFF2-40B4-BE49-F238E27FC236}">
                  <a16:creationId xmlns:a16="http://schemas.microsoft.com/office/drawing/2014/main" id="{00000000-0008-0000-0100-00000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2628</xdr:row>
          <xdr:rowOff>0</xdr:rowOff>
        </xdr:from>
        <xdr:to>
          <xdr:col>7</xdr:col>
          <xdr:colOff>0</xdr:colOff>
          <xdr:row>2628</xdr:row>
          <xdr:rowOff>165100</xdr:rowOff>
        </xdr:to>
        <xdr:sp macro="" textlink="">
          <xdr:nvSpPr>
            <xdr:cNvPr id="1798" name="Button 774" hidden="1">
              <a:extLst>
                <a:ext uri="{63B3BB69-23CF-44E3-9099-C40C66FF867C}">
                  <a14:compatExt spid="_x0000_s1798"/>
                </a:ext>
                <a:ext uri="{FF2B5EF4-FFF2-40B4-BE49-F238E27FC236}">
                  <a16:creationId xmlns:a16="http://schemas.microsoft.com/office/drawing/2014/main" id="{00000000-0008-0000-0100-00000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2629</xdr:row>
          <xdr:rowOff>0</xdr:rowOff>
        </xdr:from>
        <xdr:to>
          <xdr:col>7</xdr:col>
          <xdr:colOff>0</xdr:colOff>
          <xdr:row>2629</xdr:row>
          <xdr:rowOff>165100</xdr:rowOff>
        </xdr:to>
        <xdr:sp macro="" textlink="">
          <xdr:nvSpPr>
            <xdr:cNvPr id="1797" name="Button 773" hidden="1">
              <a:extLst>
                <a:ext uri="{63B3BB69-23CF-44E3-9099-C40C66FF867C}">
                  <a14:compatExt spid="_x0000_s1797"/>
                </a:ext>
                <a:ext uri="{FF2B5EF4-FFF2-40B4-BE49-F238E27FC236}">
                  <a16:creationId xmlns:a16="http://schemas.microsoft.com/office/drawing/2014/main" id="{00000000-0008-0000-0100-00000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2630</xdr:row>
          <xdr:rowOff>0</xdr:rowOff>
        </xdr:from>
        <xdr:to>
          <xdr:col>7</xdr:col>
          <xdr:colOff>0</xdr:colOff>
          <xdr:row>2630</xdr:row>
          <xdr:rowOff>165100</xdr:rowOff>
        </xdr:to>
        <xdr:sp macro="" textlink="">
          <xdr:nvSpPr>
            <xdr:cNvPr id="1796" name="Button 772" hidden="1">
              <a:extLst>
                <a:ext uri="{63B3BB69-23CF-44E3-9099-C40C66FF867C}">
                  <a14:compatExt spid="_x0000_s1796"/>
                </a:ext>
                <a:ext uri="{FF2B5EF4-FFF2-40B4-BE49-F238E27FC236}">
                  <a16:creationId xmlns:a16="http://schemas.microsoft.com/office/drawing/2014/main" id="{00000000-0008-0000-0100-00000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2633</xdr:row>
          <xdr:rowOff>0</xdr:rowOff>
        </xdr:from>
        <xdr:to>
          <xdr:col>7</xdr:col>
          <xdr:colOff>0</xdr:colOff>
          <xdr:row>2634</xdr:row>
          <xdr:rowOff>0</xdr:rowOff>
        </xdr:to>
        <xdr:sp macro="" textlink="">
          <xdr:nvSpPr>
            <xdr:cNvPr id="1795" name="Button 771" hidden="1">
              <a:extLst>
                <a:ext uri="{63B3BB69-23CF-44E3-9099-C40C66FF867C}">
                  <a14:compatExt spid="_x0000_s1795"/>
                </a:ext>
                <a:ext uri="{FF2B5EF4-FFF2-40B4-BE49-F238E27FC236}">
                  <a16:creationId xmlns:a16="http://schemas.microsoft.com/office/drawing/2014/main" id="{00000000-0008-0000-0100-00000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2640</xdr:row>
          <xdr:rowOff>0</xdr:rowOff>
        </xdr:from>
        <xdr:to>
          <xdr:col>7</xdr:col>
          <xdr:colOff>0</xdr:colOff>
          <xdr:row>2640</xdr:row>
          <xdr:rowOff>171450</xdr:rowOff>
        </xdr:to>
        <xdr:sp macro="" textlink="">
          <xdr:nvSpPr>
            <xdr:cNvPr id="1794" name="Button 770" hidden="1">
              <a:extLst>
                <a:ext uri="{63B3BB69-23CF-44E3-9099-C40C66FF867C}">
                  <a14:compatExt spid="_x0000_s1794"/>
                </a:ext>
                <a:ext uri="{FF2B5EF4-FFF2-40B4-BE49-F238E27FC236}">
                  <a16:creationId xmlns:a16="http://schemas.microsoft.com/office/drawing/2014/main" id="{00000000-0008-0000-0100-00000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2641</xdr:row>
          <xdr:rowOff>0</xdr:rowOff>
        </xdr:from>
        <xdr:to>
          <xdr:col>7</xdr:col>
          <xdr:colOff>0</xdr:colOff>
          <xdr:row>2641</xdr:row>
          <xdr:rowOff>165100</xdr:rowOff>
        </xdr:to>
        <xdr:sp macro="" textlink="">
          <xdr:nvSpPr>
            <xdr:cNvPr id="1793" name="Button 769" hidden="1">
              <a:extLst>
                <a:ext uri="{63B3BB69-23CF-44E3-9099-C40C66FF867C}">
                  <a14:compatExt spid="_x0000_s1793"/>
                </a:ext>
                <a:ext uri="{FF2B5EF4-FFF2-40B4-BE49-F238E27FC236}">
                  <a16:creationId xmlns:a16="http://schemas.microsoft.com/office/drawing/2014/main" id="{00000000-0008-0000-0100-00000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2642</xdr:row>
          <xdr:rowOff>0</xdr:rowOff>
        </xdr:from>
        <xdr:to>
          <xdr:col>7</xdr:col>
          <xdr:colOff>0</xdr:colOff>
          <xdr:row>2642</xdr:row>
          <xdr:rowOff>165100</xdr:rowOff>
        </xdr:to>
        <xdr:sp macro="" textlink="">
          <xdr:nvSpPr>
            <xdr:cNvPr id="1792" name="Button 768" hidden="1">
              <a:extLst>
                <a:ext uri="{63B3BB69-23CF-44E3-9099-C40C66FF867C}">
                  <a14:compatExt spid="_x0000_s1792"/>
                </a:ext>
                <a:ext uri="{FF2B5EF4-FFF2-40B4-BE49-F238E27FC236}">
                  <a16:creationId xmlns:a16="http://schemas.microsoft.com/office/drawing/2014/main" id="{00000000-0008-0000-0100-00000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2645</xdr:row>
          <xdr:rowOff>0</xdr:rowOff>
        </xdr:from>
        <xdr:to>
          <xdr:col>7</xdr:col>
          <xdr:colOff>0</xdr:colOff>
          <xdr:row>2646</xdr:row>
          <xdr:rowOff>0</xdr:rowOff>
        </xdr:to>
        <xdr:sp macro="" textlink="">
          <xdr:nvSpPr>
            <xdr:cNvPr id="1791" name="Button 767" hidden="1">
              <a:extLst>
                <a:ext uri="{63B3BB69-23CF-44E3-9099-C40C66FF867C}">
                  <a14:compatExt spid="_x0000_s1791"/>
                </a:ext>
                <a:ext uri="{FF2B5EF4-FFF2-40B4-BE49-F238E27FC236}">
                  <a16:creationId xmlns:a16="http://schemas.microsoft.com/office/drawing/2014/main" id="{00000000-0008-0000-0100-0000F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2652</xdr:row>
          <xdr:rowOff>0</xdr:rowOff>
        </xdr:from>
        <xdr:to>
          <xdr:col>7</xdr:col>
          <xdr:colOff>0</xdr:colOff>
          <xdr:row>2652</xdr:row>
          <xdr:rowOff>171450</xdr:rowOff>
        </xdr:to>
        <xdr:sp macro="" textlink="">
          <xdr:nvSpPr>
            <xdr:cNvPr id="1790" name="Button 766" hidden="1">
              <a:extLst>
                <a:ext uri="{63B3BB69-23CF-44E3-9099-C40C66FF867C}">
                  <a14:compatExt spid="_x0000_s1790"/>
                </a:ext>
                <a:ext uri="{FF2B5EF4-FFF2-40B4-BE49-F238E27FC236}">
                  <a16:creationId xmlns:a16="http://schemas.microsoft.com/office/drawing/2014/main" id="{00000000-0008-0000-0100-0000F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2653</xdr:row>
          <xdr:rowOff>0</xdr:rowOff>
        </xdr:from>
        <xdr:to>
          <xdr:col>7</xdr:col>
          <xdr:colOff>0</xdr:colOff>
          <xdr:row>2653</xdr:row>
          <xdr:rowOff>165100</xdr:rowOff>
        </xdr:to>
        <xdr:sp macro="" textlink="">
          <xdr:nvSpPr>
            <xdr:cNvPr id="1789" name="Button 765" hidden="1">
              <a:extLst>
                <a:ext uri="{63B3BB69-23CF-44E3-9099-C40C66FF867C}">
                  <a14:compatExt spid="_x0000_s1789"/>
                </a:ext>
                <a:ext uri="{FF2B5EF4-FFF2-40B4-BE49-F238E27FC236}">
                  <a16:creationId xmlns:a16="http://schemas.microsoft.com/office/drawing/2014/main" id="{00000000-0008-0000-0100-0000F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2654</xdr:row>
          <xdr:rowOff>0</xdr:rowOff>
        </xdr:from>
        <xdr:to>
          <xdr:col>7</xdr:col>
          <xdr:colOff>0</xdr:colOff>
          <xdr:row>2654</xdr:row>
          <xdr:rowOff>165100</xdr:rowOff>
        </xdr:to>
        <xdr:sp macro="" textlink="">
          <xdr:nvSpPr>
            <xdr:cNvPr id="1788" name="Button 764" hidden="1">
              <a:extLst>
                <a:ext uri="{63B3BB69-23CF-44E3-9099-C40C66FF867C}">
                  <a14:compatExt spid="_x0000_s1788"/>
                </a:ext>
                <a:ext uri="{FF2B5EF4-FFF2-40B4-BE49-F238E27FC236}">
                  <a16:creationId xmlns:a16="http://schemas.microsoft.com/office/drawing/2014/main" id="{00000000-0008-0000-0100-0000F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2655</xdr:row>
          <xdr:rowOff>0</xdr:rowOff>
        </xdr:from>
        <xdr:to>
          <xdr:col>7</xdr:col>
          <xdr:colOff>0</xdr:colOff>
          <xdr:row>2655</xdr:row>
          <xdr:rowOff>165100</xdr:rowOff>
        </xdr:to>
        <xdr:sp macro="" textlink="">
          <xdr:nvSpPr>
            <xdr:cNvPr id="1787" name="Button 763" hidden="1">
              <a:extLst>
                <a:ext uri="{63B3BB69-23CF-44E3-9099-C40C66FF867C}">
                  <a14:compatExt spid="_x0000_s1787"/>
                </a:ext>
                <a:ext uri="{FF2B5EF4-FFF2-40B4-BE49-F238E27FC236}">
                  <a16:creationId xmlns:a16="http://schemas.microsoft.com/office/drawing/2014/main" id="{00000000-0008-0000-0100-0000F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2656</xdr:row>
          <xdr:rowOff>0</xdr:rowOff>
        </xdr:from>
        <xdr:to>
          <xdr:col>7</xdr:col>
          <xdr:colOff>0</xdr:colOff>
          <xdr:row>2656</xdr:row>
          <xdr:rowOff>165100</xdr:rowOff>
        </xdr:to>
        <xdr:sp macro="" textlink="">
          <xdr:nvSpPr>
            <xdr:cNvPr id="1786" name="Button 762" hidden="1">
              <a:extLst>
                <a:ext uri="{63B3BB69-23CF-44E3-9099-C40C66FF867C}">
                  <a14:compatExt spid="_x0000_s1786"/>
                </a:ext>
                <a:ext uri="{FF2B5EF4-FFF2-40B4-BE49-F238E27FC236}">
                  <a16:creationId xmlns:a16="http://schemas.microsoft.com/office/drawing/2014/main" id="{00000000-0008-0000-0100-0000F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2657</xdr:row>
          <xdr:rowOff>0</xdr:rowOff>
        </xdr:from>
        <xdr:to>
          <xdr:col>7</xdr:col>
          <xdr:colOff>0</xdr:colOff>
          <xdr:row>2657</xdr:row>
          <xdr:rowOff>165100</xdr:rowOff>
        </xdr:to>
        <xdr:sp macro="" textlink="">
          <xdr:nvSpPr>
            <xdr:cNvPr id="1785" name="Button 761" hidden="1">
              <a:extLst>
                <a:ext uri="{63B3BB69-23CF-44E3-9099-C40C66FF867C}">
                  <a14:compatExt spid="_x0000_s1785"/>
                </a:ext>
                <a:ext uri="{FF2B5EF4-FFF2-40B4-BE49-F238E27FC236}">
                  <a16:creationId xmlns:a16="http://schemas.microsoft.com/office/drawing/2014/main" id="{00000000-0008-0000-0100-0000F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2658</xdr:row>
          <xdr:rowOff>0</xdr:rowOff>
        </xdr:from>
        <xdr:to>
          <xdr:col>7</xdr:col>
          <xdr:colOff>0</xdr:colOff>
          <xdr:row>2658</xdr:row>
          <xdr:rowOff>165100</xdr:rowOff>
        </xdr:to>
        <xdr:sp macro="" textlink="">
          <xdr:nvSpPr>
            <xdr:cNvPr id="1784" name="Button 760" hidden="1">
              <a:extLst>
                <a:ext uri="{63B3BB69-23CF-44E3-9099-C40C66FF867C}">
                  <a14:compatExt spid="_x0000_s1784"/>
                </a:ext>
                <a:ext uri="{FF2B5EF4-FFF2-40B4-BE49-F238E27FC236}">
                  <a16:creationId xmlns:a16="http://schemas.microsoft.com/office/drawing/2014/main" id="{00000000-0008-0000-0100-0000F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2659</xdr:row>
          <xdr:rowOff>0</xdr:rowOff>
        </xdr:from>
        <xdr:to>
          <xdr:col>7</xdr:col>
          <xdr:colOff>0</xdr:colOff>
          <xdr:row>2659</xdr:row>
          <xdr:rowOff>165100</xdr:rowOff>
        </xdr:to>
        <xdr:sp macro="" textlink="">
          <xdr:nvSpPr>
            <xdr:cNvPr id="1783" name="Button 759" hidden="1">
              <a:extLst>
                <a:ext uri="{63B3BB69-23CF-44E3-9099-C40C66FF867C}">
                  <a14:compatExt spid="_x0000_s1783"/>
                </a:ext>
                <a:ext uri="{FF2B5EF4-FFF2-40B4-BE49-F238E27FC236}">
                  <a16:creationId xmlns:a16="http://schemas.microsoft.com/office/drawing/2014/main" id="{00000000-0008-0000-0100-0000F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2660</xdr:row>
          <xdr:rowOff>0</xdr:rowOff>
        </xdr:from>
        <xdr:to>
          <xdr:col>7</xdr:col>
          <xdr:colOff>0</xdr:colOff>
          <xdr:row>2660</xdr:row>
          <xdr:rowOff>165100</xdr:rowOff>
        </xdr:to>
        <xdr:sp macro="" textlink="">
          <xdr:nvSpPr>
            <xdr:cNvPr id="1782" name="Button 758" hidden="1">
              <a:extLst>
                <a:ext uri="{63B3BB69-23CF-44E3-9099-C40C66FF867C}">
                  <a14:compatExt spid="_x0000_s1782"/>
                </a:ext>
                <a:ext uri="{FF2B5EF4-FFF2-40B4-BE49-F238E27FC236}">
                  <a16:creationId xmlns:a16="http://schemas.microsoft.com/office/drawing/2014/main" id="{00000000-0008-0000-0100-0000F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2661</xdr:row>
          <xdr:rowOff>0</xdr:rowOff>
        </xdr:from>
        <xdr:to>
          <xdr:col>7</xdr:col>
          <xdr:colOff>0</xdr:colOff>
          <xdr:row>2661</xdr:row>
          <xdr:rowOff>165100</xdr:rowOff>
        </xdr:to>
        <xdr:sp macro="" textlink="">
          <xdr:nvSpPr>
            <xdr:cNvPr id="1781" name="Button 757" hidden="1">
              <a:extLst>
                <a:ext uri="{63B3BB69-23CF-44E3-9099-C40C66FF867C}">
                  <a14:compatExt spid="_x0000_s1781"/>
                </a:ext>
                <a:ext uri="{FF2B5EF4-FFF2-40B4-BE49-F238E27FC236}">
                  <a16:creationId xmlns:a16="http://schemas.microsoft.com/office/drawing/2014/main" id="{00000000-0008-0000-0100-0000F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2662</xdr:row>
          <xdr:rowOff>0</xdr:rowOff>
        </xdr:from>
        <xdr:to>
          <xdr:col>7</xdr:col>
          <xdr:colOff>0</xdr:colOff>
          <xdr:row>2662</xdr:row>
          <xdr:rowOff>165100</xdr:rowOff>
        </xdr:to>
        <xdr:sp macro="" textlink="">
          <xdr:nvSpPr>
            <xdr:cNvPr id="1780" name="Button 756" hidden="1">
              <a:extLst>
                <a:ext uri="{63B3BB69-23CF-44E3-9099-C40C66FF867C}">
                  <a14:compatExt spid="_x0000_s1780"/>
                </a:ext>
                <a:ext uri="{FF2B5EF4-FFF2-40B4-BE49-F238E27FC236}">
                  <a16:creationId xmlns:a16="http://schemas.microsoft.com/office/drawing/2014/main" id="{00000000-0008-0000-0100-0000F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2663</xdr:row>
          <xdr:rowOff>0</xdr:rowOff>
        </xdr:from>
        <xdr:to>
          <xdr:col>7</xdr:col>
          <xdr:colOff>0</xdr:colOff>
          <xdr:row>2663</xdr:row>
          <xdr:rowOff>165100</xdr:rowOff>
        </xdr:to>
        <xdr:sp macro="" textlink="">
          <xdr:nvSpPr>
            <xdr:cNvPr id="1779" name="Button 755" hidden="1">
              <a:extLst>
                <a:ext uri="{63B3BB69-23CF-44E3-9099-C40C66FF867C}">
                  <a14:compatExt spid="_x0000_s1779"/>
                </a:ext>
                <a:ext uri="{FF2B5EF4-FFF2-40B4-BE49-F238E27FC236}">
                  <a16:creationId xmlns:a16="http://schemas.microsoft.com/office/drawing/2014/main" id="{00000000-0008-0000-0100-0000F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2664</xdr:row>
          <xdr:rowOff>0</xdr:rowOff>
        </xdr:from>
        <xdr:to>
          <xdr:col>7</xdr:col>
          <xdr:colOff>0</xdr:colOff>
          <xdr:row>2664</xdr:row>
          <xdr:rowOff>165100</xdr:rowOff>
        </xdr:to>
        <xdr:sp macro="" textlink="">
          <xdr:nvSpPr>
            <xdr:cNvPr id="1778" name="Button 754" hidden="1">
              <a:extLst>
                <a:ext uri="{63B3BB69-23CF-44E3-9099-C40C66FF867C}">
                  <a14:compatExt spid="_x0000_s1778"/>
                </a:ext>
                <a:ext uri="{FF2B5EF4-FFF2-40B4-BE49-F238E27FC236}">
                  <a16:creationId xmlns:a16="http://schemas.microsoft.com/office/drawing/2014/main" id="{00000000-0008-0000-0100-0000F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2667</xdr:row>
          <xdr:rowOff>0</xdr:rowOff>
        </xdr:from>
        <xdr:to>
          <xdr:col>7</xdr:col>
          <xdr:colOff>0</xdr:colOff>
          <xdr:row>2668</xdr:row>
          <xdr:rowOff>0</xdr:rowOff>
        </xdr:to>
        <xdr:sp macro="" textlink="">
          <xdr:nvSpPr>
            <xdr:cNvPr id="1777" name="Button 753" hidden="1">
              <a:extLst>
                <a:ext uri="{63B3BB69-23CF-44E3-9099-C40C66FF867C}">
                  <a14:compatExt spid="_x0000_s1777"/>
                </a:ext>
                <a:ext uri="{FF2B5EF4-FFF2-40B4-BE49-F238E27FC236}">
                  <a16:creationId xmlns:a16="http://schemas.microsoft.com/office/drawing/2014/main" id="{00000000-0008-0000-0100-0000F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2674</xdr:row>
          <xdr:rowOff>0</xdr:rowOff>
        </xdr:from>
        <xdr:to>
          <xdr:col>7</xdr:col>
          <xdr:colOff>0</xdr:colOff>
          <xdr:row>2674</xdr:row>
          <xdr:rowOff>171450</xdr:rowOff>
        </xdr:to>
        <xdr:sp macro="" textlink="">
          <xdr:nvSpPr>
            <xdr:cNvPr id="1776" name="Button 752" hidden="1">
              <a:extLst>
                <a:ext uri="{63B3BB69-23CF-44E3-9099-C40C66FF867C}">
                  <a14:compatExt spid="_x0000_s1776"/>
                </a:ext>
                <a:ext uri="{FF2B5EF4-FFF2-40B4-BE49-F238E27FC236}">
                  <a16:creationId xmlns:a16="http://schemas.microsoft.com/office/drawing/2014/main" id="{00000000-0008-0000-0100-0000F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2675</xdr:row>
          <xdr:rowOff>0</xdr:rowOff>
        </xdr:from>
        <xdr:to>
          <xdr:col>7</xdr:col>
          <xdr:colOff>0</xdr:colOff>
          <xdr:row>2675</xdr:row>
          <xdr:rowOff>165100</xdr:rowOff>
        </xdr:to>
        <xdr:sp macro="" textlink="">
          <xdr:nvSpPr>
            <xdr:cNvPr id="1775" name="Button 751" hidden="1">
              <a:extLst>
                <a:ext uri="{63B3BB69-23CF-44E3-9099-C40C66FF867C}">
                  <a14:compatExt spid="_x0000_s1775"/>
                </a:ext>
                <a:ext uri="{FF2B5EF4-FFF2-40B4-BE49-F238E27FC236}">
                  <a16:creationId xmlns:a16="http://schemas.microsoft.com/office/drawing/2014/main" id="{00000000-0008-0000-0100-0000E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2676</xdr:row>
          <xdr:rowOff>0</xdr:rowOff>
        </xdr:from>
        <xdr:to>
          <xdr:col>7</xdr:col>
          <xdr:colOff>0</xdr:colOff>
          <xdr:row>2676</xdr:row>
          <xdr:rowOff>165100</xdr:rowOff>
        </xdr:to>
        <xdr:sp macro="" textlink="">
          <xdr:nvSpPr>
            <xdr:cNvPr id="1774" name="Button 750" hidden="1">
              <a:extLst>
                <a:ext uri="{63B3BB69-23CF-44E3-9099-C40C66FF867C}">
                  <a14:compatExt spid="_x0000_s1774"/>
                </a:ext>
                <a:ext uri="{FF2B5EF4-FFF2-40B4-BE49-F238E27FC236}">
                  <a16:creationId xmlns:a16="http://schemas.microsoft.com/office/drawing/2014/main" id="{00000000-0008-0000-0100-0000E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2677</xdr:row>
          <xdr:rowOff>0</xdr:rowOff>
        </xdr:from>
        <xdr:to>
          <xdr:col>7</xdr:col>
          <xdr:colOff>0</xdr:colOff>
          <xdr:row>2677</xdr:row>
          <xdr:rowOff>165100</xdr:rowOff>
        </xdr:to>
        <xdr:sp macro="" textlink="">
          <xdr:nvSpPr>
            <xdr:cNvPr id="1773" name="Button 749" hidden="1">
              <a:extLst>
                <a:ext uri="{63B3BB69-23CF-44E3-9099-C40C66FF867C}">
                  <a14:compatExt spid="_x0000_s1773"/>
                </a:ext>
                <a:ext uri="{FF2B5EF4-FFF2-40B4-BE49-F238E27FC236}">
                  <a16:creationId xmlns:a16="http://schemas.microsoft.com/office/drawing/2014/main" id="{00000000-0008-0000-0100-0000E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2678</xdr:row>
          <xdr:rowOff>0</xdr:rowOff>
        </xdr:from>
        <xdr:to>
          <xdr:col>7</xdr:col>
          <xdr:colOff>0</xdr:colOff>
          <xdr:row>2678</xdr:row>
          <xdr:rowOff>165100</xdr:rowOff>
        </xdr:to>
        <xdr:sp macro="" textlink="">
          <xdr:nvSpPr>
            <xdr:cNvPr id="1772" name="Button 748" hidden="1">
              <a:extLst>
                <a:ext uri="{63B3BB69-23CF-44E3-9099-C40C66FF867C}">
                  <a14:compatExt spid="_x0000_s1772"/>
                </a:ext>
                <a:ext uri="{FF2B5EF4-FFF2-40B4-BE49-F238E27FC236}">
                  <a16:creationId xmlns:a16="http://schemas.microsoft.com/office/drawing/2014/main" id="{00000000-0008-0000-0100-0000E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2679</xdr:row>
          <xdr:rowOff>0</xdr:rowOff>
        </xdr:from>
        <xdr:to>
          <xdr:col>7</xdr:col>
          <xdr:colOff>0</xdr:colOff>
          <xdr:row>2679</xdr:row>
          <xdr:rowOff>165100</xdr:rowOff>
        </xdr:to>
        <xdr:sp macro="" textlink="">
          <xdr:nvSpPr>
            <xdr:cNvPr id="1771" name="Button 747" hidden="1">
              <a:extLst>
                <a:ext uri="{63B3BB69-23CF-44E3-9099-C40C66FF867C}">
                  <a14:compatExt spid="_x0000_s1771"/>
                </a:ext>
                <a:ext uri="{FF2B5EF4-FFF2-40B4-BE49-F238E27FC236}">
                  <a16:creationId xmlns:a16="http://schemas.microsoft.com/office/drawing/2014/main" id="{00000000-0008-0000-0100-0000E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2680</xdr:row>
          <xdr:rowOff>0</xdr:rowOff>
        </xdr:from>
        <xdr:to>
          <xdr:col>7</xdr:col>
          <xdr:colOff>0</xdr:colOff>
          <xdr:row>2680</xdr:row>
          <xdr:rowOff>165100</xdr:rowOff>
        </xdr:to>
        <xdr:sp macro="" textlink="">
          <xdr:nvSpPr>
            <xdr:cNvPr id="1770" name="Button 746" hidden="1">
              <a:extLst>
                <a:ext uri="{63B3BB69-23CF-44E3-9099-C40C66FF867C}">
                  <a14:compatExt spid="_x0000_s1770"/>
                </a:ext>
                <a:ext uri="{FF2B5EF4-FFF2-40B4-BE49-F238E27FC236}">
                  <a16:creationId xmlns:a16="http://schemas.microsoft.com/office/drawing/2014/main" id="{00000000-0008-0000-0100-0000E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2681</xdr:row>
          <xdr:rowOff>0</xdr:rowOff>
        </xdr:from>
        <xdr:to>
          <xdr:col>7</xdr:col>
          <xdr:colOff>0</xdr:colOff>
          <xdr:row>2681</xdr:row>
          <xdr:rowOff>165100</xdr:rowOff>
        </xdr:to>
        <xdr:sp macro="" textlink="">
          <xdr:nvSpPr>
            <xdr:cNvPr id="1769" name="Button 745" hidden="1">
              <a:extLst>
                <a:ext uri="{63B3BB69-23CF-44E3-9099-C40C66FF867C}">
                  <a14:compatExt spid="_x0000_s1769"/>
                </a:ext>
                <a:ext uri="{FF2B5EF4-FFF2-40B4-BE49-F238E27FC236}">
                  <a16:creationId xmlns:a16="http://schemas.microsoft.com/office/drawing/2014/main" id="{00000000-0008-0000-0100-0000E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2682</xdr:row>
          <xdr:rowOff>0</xdr:rowOff>
        </xdr:from>
        <xdr:to>
          <xdr:col>7</xdr:col>
          <xdr:colOff>0</xdr:colOff>
          <xdr:row>2682</xdr:row>
          <xdr:rowOff>165100</xdr:rowOff>
        </xdr:to>
        <xdr:sp macro="" textlink="">
          <xdr:nvSpPr>
            <xdr:cNvPr id="1768" name="Button 744" hidden="1">
              <a:extLst>
                <a:ext uri="{63B3BB69-23CF-44E3-9099-C40C66FF867C}">
                  <a14:compatExt spid="_x0000_s1768"/>
                </a:ext>
                <a:ext uri="{FF2B5EF4-FFF2-40B4-BE49-F238E27FC236}">
                  <a16:creationId xmlns:a16="http://schemas.microsoft.com/office/drawing/2014/main" id="{00000000-0008-0000-0100-0000E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2683</xdr:row>
          <xdr:rowOff>0</xdr:rowOff>
        </xdr:from>
        <xdr:to>
          <xdr:col>7</xdr:col>
          <xdr:colOff>0</xdr:colOff>
          <xdr:row>2683</xdr:row>
          <xdr:rowOff>165100</xdr:rowOff>
        </xdr:to>
        <xdr:sp macro="" textlink="">
          <xdr:nvSpPr>
            <xdr:cNvPr id="1767" name="Button 743" hidden="1">
              <a:extLst>
                <a:ext uri="{63B3BB69-23CF-44E3-9099-C40C66FF867C}">
                  <a14:compatExt spid="_x0000_s1767"/>
                </a:ext>
                <a:ext uri="{FF2B5EF4-FFF2-40B4-BE49-F238E27FC236}">
                  <a16:creationId xmlns:a16="http://schemas.microsoft.com/office/drawing/2014/main" id="{00000000-0008-0000-0100-0000E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2684</xdr:row>
          <xdr:rowOff>0</xdr:rowOff>
        </xdr:from>
        <xdr:to>
          <xdr:col>7</xdr:col>
          <xdr:colOff>0</xdr:colOff>
          <xdr:row>2684</xdr:row>
          <xdr:rowOff>165100</xdr:rowOff>
        </xdr:to>
        <xdr:sp macro="" textlink="">
          <xdr:nvSpPr>
            <xdr:cNvPr id="1766" name="Button 742" hidden="1">
              <a:extLst>
                <a:ext uri="{63B3BB69-23CF-44E3-9099-C40C66FF867C}">
                  <a14:compatExt spid="_x0000_s1766"/>
                </a:ext>
                <a:ext uri="{FF2B5EF4-FFF2-40B4-BE49-F238E27FC236}">
                  <a16:creationId xmlns:a16="http://schemas.microsoft.com/office/drawing/2014/main" id="{00000000-0008-0000-0100-0000E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2685</xdr:row>
          <xdr:rowOff>0</xdr:rowOff>
        </xdr:from>
        <xdr:to>
          <xdr:col>7</xdr:col>
          <xdr:colOff>0</xdr:colOff>
          <xdr:row>2685</xdr:row>
          <xdr:rowOff>165100</xdr:rowOff>
        </xdr:to>
        <xdr:sp macro="" textlink="">
          <xdr:nvSpPr>
            <xdr:cNvPr id="1765" name="Button 741" hidden="1">
              <a:extLst>
                <a:ext uri="{63B3BB69-23CF-44E3-9099-C40C66FF867C}">
                  <a14:compatExt spid="_x0000_s1765"/>
                </a:ext>
                <a:ext uri="{FF2B5EF4-FFF2-40B4-BE49-F238E27FC236}">
                  <a16:creationId xmlns:a16="http://schemas.microsoft.com/office/drawing/2014/main" id="{00000000-0008-0000-0100-0000E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2686</xdr:row>
          <xdr:rowOff>0</xdr:rowOff>
        </xdr:from>
        <xdr:to>
          <xdr:col>7</xdr:col>
          <xdr:colOff>0</xdr:colOff>
          <xdr:row>2686</xdr:row>
          <xdr:rowOff>165100</xdr:rowOff>
        </xdr:to>
        <xdr:sp macro="" textlink="">
          <xdr:nvSpPr>
            <xdr:cNvPr id="1764" name="Button 740" hidden="1">
              <a:extLst>
                <a:ext uri="{63B3BB69-23CF-44E3-9099-C40C66FF867C}">
                  <a14:compatExt spid="_x0000_s1764"/>
                </a:ext>
                <a:ext uri="{FF2B5EF4-FFF2-40B4-BE49-F238E27FC236}">
                  <a16:creationId xmlns:a16="http://schemas.microsoft.com/office/drawing/2014/main" id="{00000000-0008-0000-0100-0000E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2687</xdr:row>
          <xdr:rowOff>0</xdr:rowOff>
        </xdr:from>
        <xdr:to>
          <xdr:col>7</xdr:col>
          <xdr:colOff>0</xdr:colOff>
          <xdr:row>2687</xdr:row>
          <xdr:rowOff>165100</xdr:rowOff>
        </xdr:to>
        <xdr:sp macro="" textlink="">
          <xdr:nvSpPr>
            <xdr:cNvPr id="1763" name="Button 739" hidden="1">
              <a:extLst>
                <a:ext uri="{63B3BB69-23CF-44E3-9099-C40C66FF867C}">
                  <a14:compatExt spid="_x0000_s1763"/>
                </a:ext>
                <a:ext uri="{FF2B5EF4-FFF2-40B4-BE49-F238E27FC236}">
                  <a16:creationId xmlns:a16="http://schemas.microsoft.com/office/drawing/2014/main" id="{00000000-0008-0000-0100-0000E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2688</xdr:row>
          <xdr:rowOff>0</xdr:rowOff>
        </xdr:from>
        <xdr:to>
          <xdr:col>7</xdr:col>
          <xdr:colOff>0</xdr:colOff>
          <xdr:row>2688</xdr:row>
          <xdr:rowOff>165100</xdr:rowOff>
        </xdr:to>
        <xdr:sp macro="" textlink="">
          <xdr:nvSpPr>
            <xdr:cNvPr id="1762" name="Button 738" hidden="1">
              <a:extLst>
                <a:ext uri="{63B3BB69-23CF-44E3-9099-C40C66FF867C}">
                  <a14:compatExt spid="_x0000_s1762"/>
                </a:ext>
                <a:ext uri="{FF2B5EF4-FFF2-40B4-BE49-F238E27FC236}">
                  <a16:creationId xmlns:a16="http://schemas.microsoft.com/office/drawing/2014/main" id="{00000000-0008-0000-0100-0000E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2689</xdr:row>
          <xdr:rowOff>0</xdr:rowOff>
        </xdr:from>
        <xdr:to>
          <xdr:col>7</xdr:col>
          <xdr:colOff>0</xdr:colOff>
          <xdr:row>2689</xdr:row>
          <xdr:rowOff>165100</xdr:rowOff>
        </xdr:to>
        <xdr:sp macro="" textlink="">
          <xdr:nvSpPr>
            <xdr:cNvPr id="1761" name="Button 737" hidden="1">
              <a:extLst>
                <a:ext uri="{63B3BB69-23CF-44E3-9099-C40C66FF867C}">
                  <a14:compatExt spid="_x0000_s1761"/>
                </a:ext>
                <a:ext uri="{FF2B5EF4-FFF2-40B4-BE49-F238E27FC236}">
                  <a16:creationId xmlns:a16="http://schemas.microsoft.com/office/drawing/2014/main" id="{00000000-0008-0000-0100-0000E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2690</xdr:row>
          <xdr:rowOff>0</xdr:rowOff>
        </xdr:from>
        <xdr:to>
          <xdr:col>7</xdr:col>
          <xdr:colOff>0</xdr:colOff>
          <xdr:row>2690</xdr:row>
          <xdr:rowOff>165100</xdr:rowOff>
        </xdr:to>
        <xdr:sp macro="" textlink="">
          <xdr:nvSpPr>
            <xdr:cNvPr id="1760" name="Button 736" hidden="1">
              <a:extLst>
                <a:ext uri="{63B3BB69-23CF-44E3-9099-C40C66FF867C}">
                  <a14:compatExt spid="_x0000_s1760"/>
                </a:ext>
                <a:ext uri="{FF2B5EF4-FFF2-40B4-BE49-F238E27FC236}">
                  <a16:creationId xmlns:a16="http://schemas.microsoft.com/office/drawing/2014/main" id="{00000000-0008-0000-0100-0000E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2691</xdr:row>
          <xdr:rowOff>0</xdr:rowOff>
        </xdr:from>
        <xdr:to>
          <xdr:col>7</xdr:col>
          <xdr:colOff>0</xdr:colOff>
          <xdr:row>2691</xdr:row>
          <xdr:rowOff>165100</xdr:rowOff>
        </xdr:to>
        <xdr:sp macro="" textlink="">
          <xdr:nvSpPr>
            <xdr:cNvPr id="1759" name="Button 735" hidden="1">
              <a:extLst>
                <a:ext uri="{63B3BB69-23CF-44E3-9099-C40C66FF867C}">
                  <a14:compatExt spid="_x0000_s1759"/>
                </a:ext>
                <a:ext uri="{FF2B5EF4-FFF2-40B4-BE49-F238E27FC236}">
                  <a16:creationId xmlns:a16="http://schemas.microsoft.com/office/drawing/2014/main" id="{00000000-0008-0000-0100-0000D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2692</xdr:row>
          <xdr:rowOff>0</xdr:rowOff>
        </xdr:from>
        <xdr:to>
          <xdr:col>7</xdr:col>
          <xdr:colOff>0</xdr:colOff>
          <xdr:row>2692</xdr:row>
          <xdr:rowOff>165100</xdr:rowOff>
        </xdr:to>
        <xdr:sp macro="" textlink="">
          <xdr:nvSpPr>
            <xdr:cNvPr id="1758" name="Button 734" hidden="1">
              <a:extLst>
                <a:ext uri="{63B3BB69-23CF-44E3-9099-C40C66FF867C}">
                  <a14:compatExt spid="_x0000_s1758"/>
                </a:ext>
                <a:ext uri="{FF2B5EF4-FFF2-40B4-BE49-F238E27FC236}">
                  <a16:creationId xmlns:a16="http://schemas.microsoft.com/office/drawing/2014/main" id="{00000000-0008-0000-0100-0000D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2693</xdr:row>
          <xdr:rowOff>0</xdr:rowOff>
        </xdr:from>
        <xdr:to>
          <xdr:col>7</xdr:col>
          <xdr:colOff>0</xdr:colOff>
          <xdr:row>2693</xdr:row>
          <xdr:rowOff>165100</xdr:rowOff>
        </xdr:to>
        <xdr:sp macro="" textlink="">
          <xdr:nvSpPr>
            <xdr:cNvPr id="1757" name="Button 733" hidden="1">
              <a:extLst>
                <a:ext uri="{63B3BB69-23CF-44E3-9099-C40C66FF867C}">
                  <a14:compatExt spid="_x0000_s1757"/>
                </a:ext>
                <a:ext uri="{FF2B5EF4-FFF2-40B4-BE49-F238E27FC236}">
                  <a16:creationId xmlns:a16="http://schemas.microsoft.com/office/drawing/2014/main" id="{00000000-0008-0000-0100-0000D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2694</xdr:row>
          <xdr:rowOff>0</xdr:rowOff>
        </xdr:from>
        <xdr:to>
          <xdr:col>7</xdr:col>
          <xdr:colOff>0</xdr:colOff>
          <xdr:row>2694</xdr:row>
          <xdr:rowOff>165100</xdr:rowOff>
        </xdr:to>
        <xdr:sp macro="" textlink="">
          <xdr:nvSpPr>
            <xdr:cNvPr id="1756" name="Button 732" hidden="1">
              <a:extLst>
                <a:ext uri="{63B3BB69-23CF-44E3-9099-C40C66FF867C}">
                  <a14:compatExt spid="_x0000_s1756"/>
                </a:ext>
                <a:ext uri="{FF2B5EF4-FFF2-40B4-BE49-F238E27FC236}">
                  <a16:creationId xmlns:a16="http://schemas.microsoft.com/office/drawing/2014/main" id="{00000000-0008-0000-0100-0000D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2695</xdr:row>
          <xdr:rowOff>0</xdr:rowOff>
        </xdr:from>
        <xdr:to>
          <xdr:col>7</xdr:col>
          <xdr:colOff>0</xdr:colOff>
          <xdr:row>2695</xdr:row>
          <xdr:rowOff>165100</xdr:rowOff>
        </xdr:to>
        <xdr:sp macro="" textlink="">
          <xdr:nvSpPr>
            <xdr:cNvPr id="1755" name="Button 731" hidden="1">
              <a:extLst>
                <a:ext uri="{63B3BB69-23CF-44E3-9099-C40C66FF867C}">
                  <a14:compatExt spid="_x0000_s1755"/>
                </a:ext>
                <a:ext uri="{FF2B5EF4-FFF2-40B4-BE49-F238E27FC236}">
                  <a16:creationId xmlns:a16="http://schemas.microsoft.com/office/drawing/2014/main" id="{00000000-0008-0000-0100-0000D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2696</xdr:row>
          <xdr:rowOff>0</xdr:rowOff>
        </xdr:from>
        <xdr:to>
          <xdr:col>7</xdr:col>
          <xdr:colOff>0</xdr:colOff>
          <xdr:row>2696</xdr:row>
          <xdr:rowOff>165100</xdr:rowOff>
        </xdr:to>
        <xdr:sp macro="" textlink="">
          <xdr:nvSpPr>
            <xdr:cNvPr id="1754" name="Button 730" hidden="1">
              <a:extLst>
                <a:ext uri="{63B3BB69-23CF-44E3-9099-C40C66FF867C}">
                  <a14:compatExt spid="_x0000_s1754"/>
                </a:ext>
                <a:ext uri="{FF2B5EF4-FFF2-40B4-BE49-F238E27FC236}">
                  <a16:creationId xmlns:a16="http://schemas.microsoft.com/office/drawing/2014/main" id="{00000000-0008-0000-0100-0000D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2697</xdr:row>
          <xdr:rowOff>0</xdr:rowOff>
        </xdr:from>
        <xdr:to>
          <xdr:col>7</xdr:col>
          <xdr:colOff>0</xdr:colOff>
          <xdr:row>2697</xdr:row>
          <xdr:rowOff>165100</xdr:rowOff>
        </xdr:to>
        <xdr:sp macro="" textlink="">
          <xdr:nvSpPr>
            <xdr:cNvPr id="1753" name="Button 729" hidden="1">
              <a:extLst>
                <a:ext uri="{63B3BB69-23CF-44E3-9099-C40C66FF867C}">
                  <a14:compatExt spid="_x0000_s1753"/>
                </a:ext>
                <a:ext uri="{FF2B5EF4-FFF2-40B4-BE49-F238E27FC236}">
                  <a16:creationId xmlns:a16="http://schemas.microsoft.com/office/drawing/2014/main" id="{00000000-0008-0000-0100-0000D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2698</xdr:row>
          <xdr:rowOff>0</xdr:rowOff>
        </xdr:from>
        <xdr:to>
          <xdr:col>7</xdr:col>
          <xdr:colOff>0</xdr:colOff>
          <xdr:row>2698</xdr:row>
          <xdr:rowOff>165100</xdr:rowOff>
        </xdr:to>
        <xdr:sp macro="" textlink="">
          <xdr:nvSpPr>
            <xdr:cNvPr id="1752" name="Button 728" hidden="1">
              <a:extLst>
                <a:ext uri="{63B3BB69-23CF-44E3-9099-C40C66FF867C}">
                  <a14:compatExt spid="_x0000_s1752"/>
                </a:ext>
                <a:ext uri="{FF2B5EF4-FFF2-40B4-BE49-F238E27FC236}">
                  <a16:creationId xmlns:a16="http://schemas.microsoft.com/office/drawing/2014/main" id="{00000000-0008-0000-0100-0000D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2699</xdr:row>
          <xdr:rowOff>0</xdr:rowOff>
        </xdr:from>
        <xdr:to>
          <xdr:col>7</xdr:col>
          <xdr:colOff>0</xdr:colOff>
          <xdr:row>2699</xdr:row>
          <xdr:rowOff>165100</xdr:rowOff>
        </xdr:to>
        <xdr:sp macro="" textlink="">
          <xdr:nvSpPr>
            <xdr:cNvPr id="1751" name="Button 727" hidden="1">
              <a:extLst>
                <a:ext uri="{63B3BB69-23CF-44E3-9099-C40C66FF867C}">
                  <a14:compatExt spid="_x0000_s1751"/>
                </a:ext>
                <a:ext uri="{FF2B5EF4-FFF2-40B4-BE49-F238E27FC236}">
                  <a16:creationId xmlns:a16="http://schemas.microsoft.com/office/drawing/2014/main" id="{00000000-0008-0000-0100-0000D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2700</xdr:row>
          <xdr:rowOff>0</xdr:rowOff>
        </xdr:from>
        <xdr:to>
          <xdr:col>7</xdr:col>
          <xdr:colOff>0</xdr:colOff>
          <xdr:row>2700</xdr:row>
          <xdr:rowOff>165100</xdr:rowOff>
        </xdr:to>
        <xdr:sp macro="" textlink="">
          <xdr:nvSpPr>
            <xdr:cNvPr id="1750" name="Button 726" hidden="1">
              <a:extLst>
                <a:ext uri="{63B3BB69-23CF-44E3-9099-C40C66FF867C}">
                  <a14:compatExt spid="_x0000_s1750"/>
                </a:ext>
                <a:ext uri="{FF2B5EF4-FFF2-40B4-BE49-F238E27FC236}">
                  <a16:creationId xmlns:a16="http://schemas.microsoft.com/office/drawing/2014/main" id="{00000000-0008-0000-0100-0000D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2701</xdr:row>
          <xdr:rowOff>0</xdr:rowOff>
        </xdr:from>
        <xdr:to>
          <xdr:col>7</xdr:col>
          <xdr:colOff>0</xdr:colOff>
          <xdr:row>2701</xdr:row>
          <xdr:rowOff>165100</xdr:rowOff>
        </xdr:to>
        <xdr:sp macro="" textlink="">
          <xdr:nvSpPr>
            <xdr:cNvPr id="1749" name="Button 725" hidden="1">
              <a:extLst>
                <a:ext uri="{63B3BB69-23CF-44E3-9099-C40C66FF867C}">
                  <a14:compatExt spid="_x0000_s1749"/>
                </a:ext>
                <a:ext uri="{FF2B5EF4-FFF2-40B4-BE49-F238E27FC236}">
                  <a16:creationId xmlns:a16="http://schemas.microsoft.com/office/drawing/2014/main" id="{00000000-0008-0000-0100-0000D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2702</xdr:row>
          <xdr:rowOff>0</xdr:rowOff>
        </xdr:from>
        <xdr:to>
          <xdr:col>7</xdr:col>
          <xdr:colOff>0</xdr:colOff>
          <xdr:row>2702</xdr:row>
          <xdr:rowOff>165100</xdr:rowOff>
        </xdr:to>
        <xdr:sp macro="" textlink="">
          <xdr:nvSpPr>
            <xdr:cNvPr id="1748" name="Button 724" hidden="1">
              <a:extLst>
                <a:ext uri="{63B3BB69-23CF-44E3-9099-C40C66FF867C}">
                  <a14:compatExt spid="_x0000_s1748"/>
                </a:ext>
                <a:ext uri="{FF2B5EF4-FFF2-40B4-BE49-F238E27FC236}">
                  <a16:creationId xmlns:a16="http://schemas.microsoft.com/office/drawing/2014/main" id="{00000000-0008-0000-0100-0000D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2703</xdr:row>
          <xdr:rowOff>0</xdr:rowOff>
        </xdr:from>
        <xdr:to>
          <xdr:col>7</xdr:col>
          <xdr:colOff>0</xdr:colOff>
          <xdr:row>2703</xdr:row>
          <xdr:rowOff>165100</xdr:rowOff>
        </xdr:to>
        <xdr:sp macro="" textlink="">
          <xdr:nvSpPr>
            <xdr:cNvPr id="1747" name="Button 723" hidden="1">
              <a:extLst>
                <a:ext uri="{63B3BB69-23CF-44E3-9099-C40C66FF867C}">
                  <a14:compatExt spid="_x0000_s1747"/>
                </a:ext>
                <a:ext uri="{FF2B5EF4-FFF2-40B4-BE49-F238E27FC236}">
                  <a16:creationId xmlns:a16="http://schemas.microsoft.com/office/drawing/2014/main" id="{00000000-0008-0000-0100-0000D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2704</xdr:row>
          <xdr:rowOff>0</xdr:rowOff>
        </xdr:from>
        <xdr:to>
          <xdr:col>7</xdr:col>
          <xdr:colOff>0</xdr:colOff>
          <xdr:row>2704</xdr:row>
          <xdr:rowOff>165100</xdr:rowOff>
        </xdr:to>
        <xdr:sp macro="" textlink="">
          <xdr:nvSpPr>
            <xdr:cNvPr id="1746" name="Button 722" hidden="1">
              <a:extLst>
                <a:ext uri="{63B3BB69-23CF-44E3-9099-C40C66FF867C}">
                  <a14:compatExt spid="_x0000_s1746"/>
                </a:ext>
                <a:ext uri="{FF2B5EF4-FFF2-40B4-BE49-F238E27FC236}">
                  <a16:creationId xmlns:a16="http://schemas.microsoft.com/office/drawing/2014/main" id="{00000000-0008-0000-0100-0000D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2705</xdr:row>
          <xdr:rowOff>0</xdr:rowOff>
        </xdr:from>
        <xdr:to>
          <xdr:col>7</xdr:col>
          <xdr:colOff>0</xdr:colOff>
          <xdr:row>2705</xdr:row>
          <xdr:rowOff>165100</xdr:rowOff>
        </xdr:to>
        <xdr:sp macro="" textlink="">
          <xdr:nvSpPr>
            <xdr:cNvPr id="1745" name="Button 721" hidden="1">
              <a:extLst>
                <a:ext uri="{63B3BB69-23CF-44E3-9099-C40C66FF867C}">
                  <a14:compatExt spid="_x0000_s1745"/>
                </a:ext>
                <a:ext uri="{FF2B5EF4-FFF2-40B4-BE49-F238E27FC236}">
                  <a16:creationId xmlns:a16="http://schemas.microsoft.com/office/drawing/2014/main" id="{00000000-0008-0000-0100-0000D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2706</xdr:row>
          <xdr:rowOff>0</xdr:rowOff>
        </xdr:from>
        <xdr:to>
          <xdr:col>7</xdr:col>
          <xdr:colOff>0</xdr:colOff>
          <xdr:row>2706</xdr:row>
          <xdr:rowOff>165100</xdr:rowOff>
        </xdr:to>
        <xdr:sp macro="" textlink="">
          <xdr:nvSpPr>
            <xdr:cNvPr id="1744" name="Button 720" hidden="1">
              <a:extLst>
                <a:ext uri="{63B3BB69-23CF-44E3-9099-C40C66FF867C}">
                  <a14:compatExt spid="_x0000_s1744"/>
                </a:ext>
                <a:ext uri="{FF2B5EF4-FFF2-40B4-BE49-F238E27FC236}">
                  <a16:creationId xmlns:a16="http://schemas.microsoft.com/office/drawing/2014/main" id="{00000000-0008-0000-0100-0000D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2707</xdr:row>
          <xdr:rowOff>0</xdr:rowOff>
        </xdr:from>
        <xdr:to>
          <xdr:col>7</xdr:col>
          <xdr:colOff>0</xdr:colOff>
          <xdr:row>2707</xdr:row>
          <xdr:rowOff>165100</xdr:rowOff>
        </xdr:to>
        <xdr:sp macro="" textlink="">
          <xdr:nvSpPr>
            <xdr:cNvPr id="1743" name="Button 719" hidden="1">
              <a:extLst>
                <a:ext uri="{63B3BB69-23CF-44E3-9099-C40C66FF867C}">
                  <a14:compatExt spid="_x0000_s1743"/>
                </a:ext>
                <a:ext uri="{FF2B5EF4-FFF2-40B4-BE49-F238E27FC236}">
                  <a16:creationId xmlns:a16="http://schemas.microsoft.com/office/drawing/2014/main" id="{00000000-0008-0000-0100-0000C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2708</xdr:row>
          <xdr:rowOff>0</xdr:rowOff>
        </xdr:from>
        <xdr:to>
          <xdr:col>7</xdr:col>
          <xdr:colOff>0</xdr:colOff>
          <xdr:row>2708</xdr:row>
          <xdr:rowOff>165100</xdr:rowOff>
        </xdr:to>
        <xdr:sp macro="" textlink="">
          <xdr:nvSpPr>
            <xdr:cNvPr id="1742" name="Button 718" hidden="1">
              <a:extLst>
                <a:ext uri="{63B3BB69-23CF-44E3-9099-C40C66FF867C}">
                  <a14:compatExt spid="_x0000_s1742"/>
                </a:ext>
                <a:ext uri="{FF2B5EF4-FFF2-40B4-BE49-F238E27FC236}">
                  <a16:creationId xmlns:a16="http://schemas.microsoft.com/office/drawing/2014/main" id="{00000000-0008-0000-0100-0000C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2709</xdr:row>
          <xdr:rowOff>0</xdr:rowOff>
        </xdr:from>
        <xdr:to>
          <xdr:col>7</xdr:col>
          <xdr:colOff>0</xdr:colOff>
          <xdr:row>2709</xdr:row>
          <xdr:rowOff>165100</xdr:rowOff>
        </xdr:to>
        <xdr:sp macro="" textlink="">
          <xdr:nvSpPr>
            <xdr:cNvPr id="1741" name="Button 717" hidden="1">
              <a:extLst>
                <a:ext uri="{63B3BB69-23CF-44E3-9099-C40C66FF867C}">
                  <a14:compatExt spid="_x0000_s1741"/>
                </a:ext>
                <a:ext uri="{FF2B5EF4-FFF2-40B4-BE49-F238E27FC236}">
                  <a16:creationId xmlns:a16="http://schemas.microsoft.com/office/drawing/2014/main" id="{00000000-0008-0000-0100-0000C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2710</xdr:row>
          <xdr:rowOff>0</xdr:rowOff>
        </xdr:from>
        <xdr:to>
          <xdr:col>7</xdr:col>
          <xdr:colOff>0</xdr:colOff>
          <xdr:row>2710</xdr:row>
          <xdr:rowOff>165100</xdr:rowOff>
        </xdr:to>
        <xdr:sp macro="" textlink="">
          <xdr:nvSpPr>
            <xdr:cNvPr id="1740" name="Button 716" hidden="1">
              <a:extLst>
                <a:ext uri="{63B3BB69-23CF-44E3-9099-C40C66FF867C}">
                  <a14:compatExt spid="_x0000_s1740"/>
                </a:ext>
                <a:ext uri="{FF2B5EF4-FFF2-40B4-BE49-F238E27FC236}">
                  <a16:creationId xmlns:a16="http://schemas.microsoft.com/office/drawing/2014/main" id="{00000000-0008-0000-0100-0000C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2711</xdr:row>
          <xdr:rowOff>0</xdr:rowOff>
        </xdr:from>
        <xdr:to>
          <xdr:col>7</xdr:col>
          <xdr:colOff>0</xdr:colOff>
          <xdr:row>2711</xdr:row>
          <xdr:rowOff>165100</xdr:rowOff>
        </xdr:to>
        <xdr:sp macro="" textlink="">
          <xdr:nvSpPr>
            <xdr:cNvPr id="1739" name="Button 715" hidden="1">
              <a:extLst>
                <a:ext uri="{63B3BB69-23CF-44E3-9099-C40C66FF867C}">
                  <a14:compatExt spid="_x0000_s1739"/>
                </a:ext>
                <a:ext uri="{FF2B5EF4-FFF2-40B4-BE49-F238E27FC236}">
                  <a16:creationId xmlns:a16="http://schemas.microsoft.com/office/drawing/2014/main" id="{00000000-0008-0000-0100-0000C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2712</xdr:row>
          <xdr:rowOff>0</xdr:rowOff>
        </xdr:from>
        <xdr:to>
          <xdr:col>7</xdr:col>
          <xdr:colOff>0</xdr:colOff>
          <xdr:row>2712</xdr:row>
          <xdr:rowOff>165100</xdr:rowOff>
        </xdr:to>
        <xdr:sp macro="" textlink="">
          <xdr:nvSpPr>
            <xdr:cNvPr id="1738" name="Button 714" hidden="1">
              <a:extLst>
                <a:ext uri="{63B3BB69-23CF-44E3-9099-C40C66FF867C}">
                  <a14:compatExt spid="_x0000_s1738"/>
                </a:ext>
                <a:ext uri="{FF2B5EF4-FFF2-40B4-BE49-F238E27FC236}">
                  <a16:creationId xmlns:a16="http://schemas.microsoft.com/office/drawing/2014/main" id="{00000000-0008-0000-0100-0000C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2713</xdr:row>
          <xdr:rowOff>0</xdr:rowOff>
        </xdr:from>
        <xdr:to>
          <xdr:col>7</xdr:col>
          <xdr:colOff>0</xdr:colOff>
          <xdr:row>2713</xdr:row>
          <xdr:rowOff>165100</xdr:rowOff>
        </xdr:to>
        <xdr:sp macro="" textlink="">
          <xdr:nvSpPr>
            <xdr:cNvPr id="1737" name="Button 713" hidden="1">
              <a:extLst>
                <a:ext uri="{63B3BB69-23CF-44E3-9099-C40C66FF867C}">
                  <a14:compatExt spid="_x0000_s1737"/>
                </a:ext>
                <a:ext uri="{FF2B5EF4-FFF2-40B4-BE49-F238E27FC236}">
                  <a16:creationId xmlns:a16="http://schemas.microsoft.com/office/drawing/2014/main" id="{00000000-0008-0000-0100-0000C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2714</xdr:row>
          <xdr:rowOff>0</xdr:rowOff>
        </xdr:from>
        <xdr:to>
          <xdr:col>7</xdr:col>
          <xdr:colOff>0</xdr:colOff>
          <xdr:row>2714</xdr:row>
          <xdr:rowOff>165100</xdr:rowOff>
        </xdr:to>
        <xdr:sp macro="" textlink="">
          <xdr:nvSpPr>
            <xdr:cNvPr id="1736" name="Button 712" hidden="1">
              <a:extLst>
                <a:ext uri="{63B3BB69-23CF-44E3-9099-C40C66FF867C}">
                  <a14:compatExt spid="_x0000_s1736"/>
                </a:ext>
                <a:ext uri="{FF2B5EF4-FFF2-40B4-BE49-F238E27FC236}">
                  <a16:creationId xmlns:a16="http://schemas.microsoft.com/office/drawing/2014/main" id="{00000000-0008-0000-0100-0000C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2715</xdr:row>
          <xdr:rowOff>0</xdr:rowOff>
        </xdr:from>
        <xdr:to>
          <xdr:col>7</xdr:col>
          <xdr:colOff>0</xdr:colOff>
          <xdr:row>2715</xdr:row>
          <xdr:rowOff>165100</xdr:rowOff>
        </xdr:to>
        <xdr:sp macro="" textlink="">
          <xdr:nvSpPr>
            <xdr:cNvPr id="1735" name="Button 711" hidden="1">
              <a:extLst>
                <a:ext uri="{63B3BB69-23CF-44E3-9099-C40C66FF867C}">
                  <a14:compatExt spid="_x0000_s1735"/>
                </a:ext>
                <a:ext uri="{FF2B5EF4-FFF2-40B4-BE49-F238E27FC236}">
                  <a16:creationId xmlns:a16="http://schemas.microsoft.com/office/drawing/2014/main" id="{00000000-0008-0000-0100-0000C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2716</xdr:row>
          <xdr:rowOff>0</xdr:rowOff>
        </xdr:from>
        <xdr:to>
          <xdr:col>7</xdr:col>
          <xdr:colOff>0</xdr:colOff>
          <xdr:row>2716</xdr:row>
          <xdr:rowOff>165100</xdr:rowOff>
        </xdr:to>
        <xdr:sp macro="" textlink="">
          <xdr:nvSpPr>
            <xdr:cNvPr id="1734" name="Button 710" hidden="1">
              <a:extLst>
                <a:ext uri="{63B3BB69-23CF-44E3-9099-C40C66FF867C}">
                  <a14:compatExt spid="_x0000_s1734"/>
                </a:ext>
                <a:ext uri="{FF2B5EF4-FFF2-40B4-BE49-F238E27FC236}">
                  <a16:creationId xmlns:a16="http://schemas.microsoft.com/office/drawing/2014/main" id="{00000000-0008-0000-0100-0000C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2717</xdr:row>
          <xdr:rowOff>0</xdr:rowOff>
        </xdr:from>
        <xdr:to>
          <xdr:col>7</xdr:col>
          <xdr:colOff>0</xdr:colOff>
          <xdr:row>2717</xdr:row>
          <xdr:rowOff>165100</xdr:rowOff>
        </xdr:to>
        <xdr:sp macro="" textlink="">
          <xdr:nvSpPr>
            <xdr:cNvPr id="1733" name="Button 709" hidden="1">
              <a:extLst>
                <a:ext uri="{63B3BB69-23CF-44E3-9099-C40C66FF867C}">
                  <a14:compatExt spid="_x0000_s1733"/>
                </a:ext>
                <a:ext uri="{FF2B5EF4-FFF2-40B4-BE49-F238E27FC236}">
                  <a16:creationId xmlns:a16="http://schemas.microsoft.com/office/drawing/2014/main" id="{00000000-0008-0000-0100-0000C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2718</xdr:row>
          <xdr:rowOff>0</xdr:rowOff>
        </xdr:from>
        <xdr:to>
          <xdr:col>7</xdr:col>
          <xdr:colOff>0</xdr:colOff>
          <xdr:row>2718</xdr:row>
          <xdr:rowOff>165100</xdr:rowOff>
        </xdr:to>
        <xdr:sp macro="" textlink="">
          <xdr:nvSpPr>
            <xdr:cNvPr id="1732" name="Button 708" hidden="1">
              <a:extLst>
                <a:ext uri="{63B3BB69-23CF-44E3-9099-C40C66FF867C}">
                  <a14:compatExt spid="_x0000_s1732"/>
                </a:ext>
                <a:ext uri="{FF2B5EF4-FFF2-40B4-BE49-F238E27FC236}">
                  <a16:creationId xmlns:a16="http://schemas.microsoft.com/office/drawing/2014/main" id="{00000000-0008-0000-0100-0000C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2721</xdr:row>
          <xdr:rowOff>0</xdr:rowOff>
        </xdr:from>
        <xdr:to>
          <xdr:col>7</xdr:col>
          <xdr:colOff>0</xdr:colOff>
          <xdr:row>2722</xdr:row>
          <xdr:rowOff>0</xdr:rowOff>
        </xdr:to>
        <xdr:sp macro="" textlink="">
          <xdr:nvSpPr>
            <xdr:cNvPr id="1731" name="Button 707" hidden="1">
              <a:extLst>
                <a:ext uri="{63B3BB69-23CF-44E3-9099-C40C66FF867C}">
                  <a14:compatExt spid="_x0000_s1731"/>
                </a:ext>
                <a:ext uri="{FF2B5EF4-FFF2-40B4-BE49-F238E27FC236}">
                  <a16:creationId xmlns:a16="http://schemas.microsoft.com/office/drawing/2014/main" id="{00000000-0008-0000-0100-0000C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2728</xdr:row>
          <xdr:rowOff>0</xdr:rowOff>
        </xdr:from>
        <xdr:to>
          <xdr:col>7</xdr:col>
          <xdr:colOff>0</xdr:colOff>
          <xdr:row>2728</xdr:row>
          <xdr:rowOff>171450</xdr:rowOff>
        </xdr:to>
        <xdr:sp macro="" textlink="">
          <xdr:nvSpPr>
            <xdr:cNvPr id="1730" name="Button 706" hidden="1">
              <a:extLst>
                <a:ext uri="{63B3BB69-23CF-44E3-9099-C40C66FF867C}">
                  <a14:compatExt spid="_x0000_s1730"/>
                </a:ext>
                <a:ext uri="{FF2B5EF4-FFF2-40B4-BE49-F238E27FC236}">
                  <a16:creationId xmlns:a16="http://schemas.microsoft.com/office/drawing/2014/main" id="{00000000-0008-0000-0100-0000C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2729</xdr:row>
          <xdr:rowOff>0</xdr:rowOff>
        </xdr:from>
        <xdr:to>
          <xdr:col>7</xdr:col>
          <xdr:colOff>0</xdr:colOff>
          <xdr:row>2729</xdr:row>
          <xdr:rowOff>165100</xdr:rowOff>
        </xdr:to>
        <xdr:sp macro="" textlink="">
          <xdr:nvSpPr>
            <xdr:cNvPr id="1729" name="Button 705" hidden="1">
              <a:extLst>
                <a:ext uri="{63B3BB69-23CF-44E3-9099-C40C66FF867C}">
                  <a14:compatExt spid="_x0000_s1729"/>
                </a:ext>
                <a:ext uri="{FF2B5EF4-FFF2-40B4-BE49-F238E27FC236}">
                  <a16:creationId xmlns:a16="http://schemas.microsoft.com/office/drawing/2014/main" id="{00000000-0008-0000-0100-0000C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2730</xdr:row>
          <xdr:rowOff>0</xdr:rowOff>
        </xdr:from>
        <xdr:to>
          <xdr:col>7</xdr:col>
          <xdr:colOff>0</xdr:colOff>
          <xdr:row>2730</xdr:row>
          <xdr:rowOff>165100</xdr:rowOff>
        </xdr:to>
        <xdr:sp macro="" textlink="">
          <xdr:nvSpPr>
            <xdr:cNvPr id="1728" name="Button 704" hidden="1">
              <a:extLst>
                <a:ext uri="{63B3BB69-23CF-44E3-9099-C40C66FF867C}">
                  <a14:compatExt spid="_x0000_s1728"/>
                </a:ext>
                <a:ext uri="{FF2B5EF4-FFF2-40B4-BE49-F238E27FC236}">
                  <a16:creationId xmlns:a16="http://schemas.microsoft.com/office/drawing/2014/main" id="{00000000-0008-0000-0100-0000C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2731</xdr:row>
          <xdr:rowOff>0</xdr:rowOff>
        </xdr:from>
        <xdr:to>
          <xdr:col>7</xdr:col>
          <xdr:colOff>0</xdr:colOff>
          <xdr:row>2731</xdr:row>
          <xdr:rowOff>165100</xdr:rowOff>
        </xdr:to>
        <xdr:sp macro="" textlink="">
          <xdr:nvSpPr>
            <xdr:cNvPr id="1727" name="Button 703" hidden="1">
              <a:extLst>
                <a:ext uri="{63B3BB69-23CF-44E3-9099-C40C66FF867C}">
                  <a14:compatExt spid="_x0000_s1727"/>
                </a:ext>
                <a:ext uri="{FF2B5EF4-FFF2-40B4-BE49-F238E27FC236}">
                  <a16:creationId xmlns:a16="http://schemas.microsoft.com/office/drawing/2014/main" id="{00000000-0008-0000-0100-0000B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2732</xdr:row>
          <xdr:rowOff>0</xdr:rowOff>
        </xdr:from>
        <xdr:to>
          <xdr:col>7</xdr:col>
          <xdr:colOff>0</xdr:colOff>
          <xdr:row>2732</xdr:row>
          <xdr:rowOff>165100</xdr:rowOff>
        </xdr:to>
        <xdr:sp macro="" textlink="">
          <xdr:nvSpPr>
            <xdr:cNvPr id="1726" name="Button 702" hidden="1">
              <a:extLst>
                <a:ext uri="{63B3BB69-23CF-44E3-9099-C40C66FF867C}">
                  <a14:compatExt spid="_x0000_s1726"/>
                </a:ext>
                <a:ext uri="{FF2B5EF4-FFF2-40B4-BE49-F238E27FC236}">
                  <a16:creationId xmlns:a16="http://schemas.microsoft.com/office/drawing/2014/main" id="{00000000-0008-0000-0100-0000B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2733</xdr:row>
          <xdr:rowOff>0</xdr:rowOff>
        </xdr:from>
        <xdr:to>
          <xdr:col>7</xdr:col>
          <xdr:colOff>0</xdr:colOff>
          <xdr:row>2733</xdr:row>
          <xdr:rowOff>165100</xdr:rowOff>
        </xdr:to>
        <xdr:sp macro="" textlink="">
          <xdr:nvSpPr>
            <xdr:cNvPr id="1725" name="Button 701" hidden="1">
              <a:extLst>
                <a:ext uri="{63B3BB69-23CF-44E3-9099-C40C66FF867C}">
                  <a14:compatExt spid="_x0000_s1725"/>
                </a:ext>
                <a:ext uri="{FF2B5EF4-FFF2-40B4-BE49-F238E27FC236}">
                  <a16:creationId xmlns:a16="http://schemas.microsoft.com/office/drawing/2014/main" id="{00000000-0008-0000-0100-0000B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2734</xdr:row>
          <xdr:rowOff>0</xdr:rowOff>
        </xdr:from>
        <xdr:to>
          <xdr:col>7</xdr:col>
          <xdr:colOff>0</xdr:colOff>
          <xdr:row>2734</xdr:row>
          <xdr:rowOff>165100</xdr:rowOff>
        </xdr:to>
        <xdr:sp macro="" textlink="">
          <xdr:nvSpPr>
            <xdr:cNvPr id="1724" name="Button 700" hidden="1">
              <a:extLst>
                <a:ext uri="{63B3BB69-23CF-44E3-9099-C40C66FF867C}">
                  <a14:compatExt spid="_x0000_s1724"/>
                </a:ext>
                <a:ext uri="{FF2B5EF4-FFF2-40B4-BE49-F238E27FC236}">
                  <a16:creationId xmlns:a16="http://schemas.microsoft.com/office/drawing/2014/main" id="{00000000-0008-0000-0100-0000B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2735</xdr:row>
          <xdr:rowOff>0</xdr:rowOff>
        </xdr:from>
        <xdr:to>
          <xdr:col>7</xdr:col>
          <xdr:colOff>0</xdr:colOff>
          <xdr:row>2735</xdr:row>
          <xdr:rowOff>165100</xdr:rowOff>
        </xdr:to>
        <xdr:sp macro="" textlink="">
          <xdr:nvSpPr>
            <xdr:cNvPr id="1723" name="Button 699" hidden="1">
              <a:extLst>
                <a:ext uri="{63B3BB69-23CF-44E3-9099-C40C66FF867C}">
                  <a14:compatExt spid="_x0000_s1723"/>
                </a:ext>
                <a:ext uri="{FF2B5EF4-FFF2-40B4-BE49-F238E27FC236}">
                  <a16:creationId xmlns:a16="http://schemas.microsoft.com/office/drawing/2014/main" id="{00000000-0008-0000-0100-0000B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2736</xdr:row>
          <xdr:rowOff>0</xdr:rowOff>
        </xdr:from>
        <xdr:to>
          <xdr:col>7</xdr:col>
          <xdr:colOff>0</xdr:colOff>
          <xdr:row>2736</xdr:row>
          <xdr:rowOff>165100</xdr:rowOff>
        </xdr:to>
        <xdr:sp macro="" textlink="">
          <xdr:nvSpPr>
            <xdr:cNvPr id="1722" name="Button 698" hidden="1">
              <a:extLst>
                <a:ext uri="{63B3BB69-23CF-44E3-9099-C40C66FF867C}">
                  <a14:compatExt spid="_x0000_s1722"/>
                </a:ext>
                <a:ext uri="{FF2B5EF4-FFF2-40B4-BE49-F238E27FC236}">
                  <a16:creationId xmlns:a16="http://schemas.microsoft.com/office/drawing/2014/main" id="{00000000-0008-0000-0100-0000B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2737</xdr:row>
          <xdr:rowOff>0</xdr:rowOff>
        </xdr:from>
        <xdr:to>
          <xdr:col>7</xdr:col>
          <xdr:colOff>0</xdr:colOff>
          <xdr:row>2737</xdr:row>
          <xdr:rowOff>165100</xdr:rowOff>
        </xdr:to>
        <xdr:sp macro="" textlink="">
          <xdr:nvSpPr>
            <xdr:cNvPr id="1721" name="Button 697" hidden="1">
              <a:extLst>
                <a:ext uri="{63B3BB69-23CF-44E3-9099-C40C66FF867C}">
                  <a14:compatExt spid="_x0000_s1721"/>
                </a:ext>
                <a:ext uri="{FF2B5EF4-FFF2-40B4-BE49-F238E27FC236}">
                  <a16:creationId xmlns:a16="http://schemas.microsoft.com/office/drawing/2014/main" id="{00000000-0008-0000-0100-0000B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2738</xdr:row>
          <xdr:rowOff>0</xdr:rowOff>
        </xdr:from>
        <xdr:to>
          <xdr:col>7</xdr:col>
          <xdr:colOff>0</xdr:colOff>
          <xdr:row>2738</xdr:row>
          <xdr:rowOff>165100</xdr:rowOff>
        </xdr:to>
        <xdr:sp macro="" textlink="">
          <xdr:nvSpPr>
            <xdr:cNvPr id="1720" name="Button 696" hidden="1">
              <a:extLst>
                <a:ext uri="{63B3BB69-23CF-44E3-9099-C40C66FF867C}">
                  <a14:compatExt spid="_x0000_s1720"/>
                </a:ext>
                <a:ext uri="{FF2B5EF4-FFF2-40B4-BE49-F238E27FC236}">
                  <a16:creationId xmlns:a16="http://schemas.microsoft.com/office/drawing/2014/main" id="{00000000-0008-0000-0100-0000B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2739</xdr:row>
          <xdr:rowOff>0</xdr:rowOff>
        </xdr:from>
        <xdr:to>
          <xdr:col>7</xdr:col>
          <xdr:colOff>0</xdr:colOff>
          <xdr:row>2739</xdr:row>
          <xdr:rowOff>165100</xdr:rowOff>
        </xdr:to>
        <xdr:sp macro="" textlink="">
          <xdr:nvSpPr>
            <xdr:cNvPr id="1719" name="Button 695" hidden="1">
              <a:extLst>
                <a:ext uri="{63B3BB69-23CF-44E3-9099-C40C66FF867C}">
                  <a14:compatExt spid="_x0000_s1719"/>
                </a:ext>
                <a:ext uri="{FF2B5EF4-FFF2-40B4-BE49-F238E27FC236}">
                  <a16:creationId xmlns:a16="http://schemas.microsoft.com/office/drawing/2014/main" id="{00000000-0008-0000-0100-0000B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2740</xdr:row>
          <xdr:rowOff>0</xdr:rowOff>
        </xdr:from>
        <xdr:to>
          <xdr:col>7</xdr:col>
          <xdr:colOff>0</xdr:colOff>
          <xdr:row>2740</xdr:row>
          <xdr:rowOff>165100</xdr:rowOff>
        </xdr:to>
        <xdr:sp macro="" textlink="">
          <xdr:nvSpPr>
            <xdr:cNvPr id="1718" name="Button 694" hidden="1">
              <a:extLst>
                <a:ext uri="{63B3BB69-23CF-44E3-9099-C40C66FF867C}">
                  <a14:compatExt spid="_x0000_s1718"/>
                </a:ext>
                <a:ext uri="{FF2B5EF4-FFF2-40B4-BE49-F238E27FC236}">
                  <a16:creationId xmlns:a16="http://schemas.microsoft.com/office/drawing/2014/main" id="{00000000-0008-0000-0100-0000B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2741</xdr:row>
          <xdr:rowOff>0</xdr:rowOff>
        </xdr:from>
        <xdr:to>
          <xdr:col>7</xdr:col>
          <xdr:colOff>0</xdr:colOff>
          <xdr:row>2741</xdr:row>
          <xdr:rowOff>165100</xdr:rowOff>
        </xdr:to>
        <xdr:sp macro="" textlink="">
          <xdr:nvSpPr>
            <xdr:cNvPr id="1717" name="Button 693" hidden="1">
              <a:extLst>
                <a:ext uri="{63B3BB69-23CF-44E3-9099-C40C66FF867C}">
                  <a14:compatExt spid="_x0000_s1717"/>
                </a:ext>
                <a:ext uri="{FF2B5EF4-FFF2-40B4-BE49-F238E27FC236}">
                  <a16:creationId xmlns:a16="http://schemas.microsoft.com/office/drawing/2014/main" id="{00000000-0008-0000-0100-0000B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2742</xdr:row>
          <xdr:rowOff>0</xdr:rowOff>
        </xdr:from>
        <xdr:to>
          <xdr:col>7</xdr:col>
          <xdr:colOff>0</xdr:colOff>
          <xdr:row>2742</xdr:row>
          <xdr:rowOff>165100</xdr:rowOff>
        </xdr:to>
        <xdr:sp macro="" textlink="">
          <xdr:nvSpPr>
            <xdr:cNvPr id="1716" name="Button 692" hidden="1">
              <a:extLst>
                <a:ext uri="{63B3BB69-23CF-44E3-9099-C40C66FF867C}">
                  <a14:compatExt spid="_x0000_s1716"/>
                </a:ext>
                <a:ext uri="{FF2B5EF4-FFF2-40B4-BE49-F238E27FC236}">
                  <a16:creationId xmlns:a16="http://schemas.microsoft.com/office/drawing/2014/main" id="{00000000-0008-0000-0100-0000B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2743</xdr:row>
          <xdr:rowOff>0</xdr:rowOff>
        </xdr:from>
        <xdr:to>
          <xdr:col>7</xdr:col>
          <xdr:colOff>0</xdr:colOff>
          <xdr:row>2743</xdr:row>
          <xdr:rowOff>165100</xdr:rowOff>
        </xdr:to>
        <xdr:sp macro="" textlink="">
          <xdr:nvSpPr>
            <xdr:cNvPr id="1715" name="Button 691" hidden="1">
              <a:extLst>
                <a:ext uri="{63B3BB69-23CF-44E3-9099-C40C66FF867C}">
                  <a14:compatExt spid="_x0000_s1715"/>
                </a:ext>
                <a:ext uri="{FF2B5EF4-FFF2-40B4-BE49-F238E27FC236}">
                  <a16:creationId xmlns:a16="http://schemas.microsoft.com/office/drawing/2014/main" id="{00000000-0008-0000-0100-0000B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2744</xdr:row>
          <xdr:rowOff>0</xdr:rowOff>
        </xdr:from>
        <xdr:to>
          <xdr:col>7</xdr:col>
          <xdr:colOff>0</xdr:colOff>
          <xdr:row>2744</xdr:row>
          <xdr:rowOff>165100</xdr:rowOff>
        </xdr:to>
        <xdr:sp macro="" textlink="">
          <xdr:nvSpPr>
            <xdr:cNvPr id="1714" name="Button 690" hidden="1">
              <a:extLst>
                <a:ext uri="{63B3BB69-23CF-44E3-9099-C40C66FF867C}">
                  <a14:compatExt spid="_x0000_s1714"/>
                </a:ext>
                <a:ext uri="{FF2B5EF4-FFF2-40B4-BE49-F238E27FC236}">
                  <a16:creationId xmlns:a16="http://schemas.microsoft.com/office/drawing/2014/main" id="{00000000-0008-0000-0100-0000B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2745</xdr:row>
          <xdr:rowOff>0</xdr:rowOff>
        </xdr:from>
        <xdr:to>
          <xdr:col>7</xdr:col>
          <xdr:colOff>0</xdr:colOff>
          <xdr:row>2745</xdr:row>
          <xdr:rowOff>165100</xdr:rowOff>
        </xdr:to>
        <xdr:sp macro="" textlink="">
          <xdr:nvSpPr>
            <xdr:cNvPr id="1713" name="Button 689" hidden="1">
              <a:extLst>
                <a:ext uri="{63B3BB69-23CF-44E3-9099-C40C66FF867C}">
                  <a14:compatExt spid="_x0000_s1713"/>
                </a:ext>
                <a:ext uri="{FF2B5EF4-FFF2-40B4-BE49-F238E27FC236}">
                  <a16:creationId xmlns:a16="http://schemas.microsoft.com/office/drawing/2014/main" id="{00000000-0008-0000-0100-0000B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2746</xdr:row>
          <xdr:rowOff>0</xdr:rowOff>
        </xdr:from>
        <xdr:to>
          <xdr:col>7</xdr:col>
          <xdr:colOff>0</xdr:colOff>
          <xdr:row>2746</xdr:row>
          <xdr:rowOff>165100</xdr:rowOff>
        </xdr:to>
        <xdr:sp macro="" textlink="">
          <xdr:nvSpPr>
            <xdr:cNvPr id="1712" name="Button 688" hidden="1">
              <a:extLst>
                <a:ext uri="{63B3BB69-23CF-44E3-9099-C40C66FF867C}">
                  <a14:compatExt spid="_x0000_s1712"/>
                </a:ext>
                <a:ext uri="{FF2B5EF4-FFF2-40B4-BE49-F238E27FC236}">
                  <a16:creationId xmlns:a16="http://schemas.microsoft.com/office/drawing/2014/main" id="{00000000-0008-0000-0100-0000B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2747</xdr:row>
          <xdr:rowOff>0</xdr:rowOff>
        </xdr:from>
        <xdr:to>
          <xdr:col>7</xdr:col>
          <xdr:colOff>0</xdr:colOff>
          <xdr:row>2747</xdr:row>
          <xdr:rowOff>165100</xdr:rowOff>
        </xdr:to>
        <xdr:sp macro="" textlink="">
          <xdr:nvSpPr>
            <xdr:cNvPr id="1711" name="Button 687" hidden="1">
              <a:extLst>
                <a:ext uri="{63B3BB69-23CF-44E3-9099-C40C66FF867C}">
                  <a14:compatExt spid="_x0000_s1711"/>
                </a:ext>
                <a:ext uri="{FF2B5EF4-FFF2-40B4-BE49-F238E27FC236}">
                  <a16:creationId xmlns:a16="http://schemas.microsoft.com/office/drawing/2014/main" id="{00000000-0008-0000-0100-0000A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2748</xdr:row>
          <xdr:rowOff>0</xdr:rowOff>
        </xdr:from>
        <xdr:to>
          <xdr:col>7</xdr:col>
          <xdr:colOff>0</xdr:colOff>
          <xdr:row>2748</xdr:row>
          <xdr:rowOff>165100</xdr:rowOff>
        </xdr:to>
        <xdr:sp macro="" textlink="">
          <xdr:nvSpPr>
            <xdr:cNvPr id="1710" name="Button 686" hidden="1">
              <a:extLst>
                <a:ext uri="{63B3BB69-23CF-44E3-9099-C40C66FF867C}">
                  <a14:compatExt spid="_x0000_s1710"/>
                </a:ext>
                <a:ext uri="{FF2B5EF4-FFF2-40B4-BE49-F238E27FC236}">
                  <a16:creationId xmlns:a16="http://schemas.microsoft.com/office/drawing/2014/main" id="{00000000-0008-0000-0100-0000A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2749</xdr:row>
          <xdr:rowOff>0</xdr:rowOff>
        </xdr:from>
        <xdr:to>
          <xdr:col>7</xdr:col>
          <xdr:colOff>0</xdr:colOff>
          <xdr:row>2749</xdr:row>
          <xdr:rowOff>165100</xdr:rowOff>
        </xdr:to>
        <xdr:sp macro="" textlink="">
          <xdr:nvSpPr>
            <xdr:cNvPr id="1709" name="Button 685" hidden="1">
              <a:extLst>
                <a:ext uri="{63B3BB69-23CF-44E3-9099-C40C66FF867C}">
                  <a14:compatExt spid="_x0000_s1709"/>
                </a:ext>
                <a:ext uri="{FF2B5EF4-FFF2-40B4-BE49-F238E27FC236}">
                  <a16:creationId xmlns:a16="http://schemas.microsoft.com/office/drawing/2014/main" id="{00000000-0008-0000-0100-0000A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2750</xdr:row>
          <xdr:rowOff>0</xdr:rowOff>
        </xdr:from>
        <xdr:to>
          <xdr:col>7</xdr:col>
          <xdr:colOff>0</xdr:colOff>
          <xdr:row>2750</xdr:row>
          <xdr:rowOff>165100</xdr:rowOff>
        </xdr:to>
        <xdr:sp macro="" textlink="">
          <xdr:nvSpPr>
            <xdr:cNvPr id="1708" name="Button 684" hidden="1">
              <a:extLst>
                <a:ext uri="{63B3BB69-23CF-44E3-9099-C40C66FF867C}">
                  <a14:compatExt spid="_x0000_s1708"/>
                </a:ext>
                <a:ext uri="{FF2B5EF4-FFF2-40B4-BE49-F238E27FC236}">
                  <a16:creationId xmlns:a16="http://schemas.microsoft.com/office/drawing/2014/main" id="{00000000-0008-0000-0100-0000A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2751</xdr:row>
          <xdr:rowOff>0</xdr:rowOff>
        </xdr:from>
        <xdr:to>
          <xdr:col>7</xdr:col>
          <xdr:colOff>0</xdr:colOff>
          <xdr:row>2751</xdr:row>
          <xdr:rowOff>165100</xdr:rowOff>
        </xdr:to>
        <xdr:sp macro="" textlink="">
          <xdr:nvSpPr>
            <xdr:cNvPr id="1707" name="Button 683" hidden="1">
              <a:extLst>
                <a:ext uri="{63B3BB69-23CF-44E3-9099-C40C66FF867C}">
                  <a14:compatExt spid="_x0000_s1707"/>
                </a:ext>
                <a:ext uri="{FF2B5EF4-FFF2-40B4-BE49-F238E27FC236}">
                  <a16:creationId xmlns:a16="http://schemas.microsoft.com/office/drawing/2014/main" id="{00000000-0008-0000-0100-0000A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2752</xdr:row>
          <xdr:rowOff>0</xdr:rowOff>
        </xdr:from>
        <xdr:to>
          <xdr:col>7</xdr:col>
          <xdr:colOff>0</xdr:colOff>
          <xdr:row>2752</xdr:row>
          <xdr:rowOff>165100</xdr:rowOff>
        </xdr:to>
        <xdr:sp macro="" textlink="">
          <xdr:nvSpPr>
            <xdr:cNvPr id="1706" name="Button 682" hidden="1">
              <a:extLst>
                <a:ext uri="{63B3BB69-23CF-44E3-9099-C40C66FF867C}">
                  <a14:compatExt spid="_x0000_s1706"/>
                </a:ext>
                <a:ext uri="{FF2B5EF4-FFF2-40B4-BE49-F238E27FC236}">
                  <a16:creationId xmlns:a16="http://schemas.microsoft.com/office/drawing/2014/main" id="{00000000-0008-0000-0100-0000A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2753</xdr:row>
          <xdr:rowOff>0</xdr:rowOff>
        </xdr:from>
        <xdr:to>
          <xdr:col>7</xdr:col>
          <xdr:colOff>0</xdr:colOff>
          <xdr:row>2753</xdr:row>
          <xdr:rowOff>165100</xdr:rowOff>
        </xdr:to>
        <xdr:sp macro="" textlink="">
          <xdr:nvSpPr>
            <xdr:cNvPr id="1705" name="Button 681" hidden="1">
              <a:extLst>
                <a:ext uri="{63B3BB69-23CF-44E3-9099-C40C66FF867C}">
                  <a14:compatExt spid="_x0000_s1705"/>
                </a:ext>
                <a:ext uri="{FF2B5EF4-FFF2-40B4-BE49-F238E27FC236}">
                  <a16:creationId xmlns:a16="http://schemas.microsoft.com/office/drawing/2014/main" id="{00000000-0008-0000-0100-0000A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2754</xdr:row>
          <xdr:rowOff>0</xdr:rowOff>
        </xdr:from>
        <xdr:to>
          <xdr:col>7</xdr:col>
          <xdr:colOff>0</xdr:colOff>
          <xdr:row>2754</xdr:row>
          <xdr:rowOff>165100</xdr:rowOff>
        </xdr:to>
        <xdr:sp macro="" textlink="">
          <xdr:nvSpPr>
            <xdr:cNvPr id="1704" name="Button 680" hidden="1">
              <a:extLst>
                <a:ext uri="{63B3BB69-23CF-44E3-9099-C40C66FF867C}">
                  <a14:compatExt spid="_x0000_s1704"/>
                </a:ext>
                <a:ext uri="{FF2B5EF4-FFF2-40B4-BE49-F238E27FC236}">
                  <a16:creationId xmlns:a16="http://schemas.microsoft.com/office/drawing/2014/main" id="{00000000-0008-0000-0100-0000A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2755</xdr:row>
          <xdr:rowOff>0</xdr:rowOff>
        </xdr:from>
        <xdr:to>
          <xdr:col>7</xdr:col>
          <xdr:colOff>0</xdr:colOff>
          <xdr:row>2755</xdr:row>
          <xdr:rowOff>165100</xdr:rowOff>
        </xdr:to>
        <xdr:sp macro="" textlink="">
          <xdr:nvSpPr>
            <xdr:cNvPr id="1703" name="Button 679" hidden="1">
              <a:extLst>
                <a:ext uri="{63B3BB69-23CF-44E3-9099-C40C66FF867C}">
                  <a14:compatExt spid="_x0000_s1703"/>
                </a:ext>
                <a:ext uri="{FF2B5EF4-FFF2-40B4-BE49-F238E27FC236}">
                  <a16:creationId xmlns:a16="http://schemas.microsoft.com/office/drawing/2014/main" id="{00000000-0008-0000-0100-0000A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2756</xdr:row>
          <xdr:rowOff>0</xdr:rowOff>
        </xdr:from>
        <xdr:to>
          <xdr:col>7</xdr:col>
          <xdr:colOff>0</xdr:colOff>
          <xdr:row>2756</xdr:row>
          <xdr:rowOff>165100</xdr:rowOff>
        </xdr:to>
        <xdr:sp macro="" textlink="">
          <xdr:nvSpPr>
            <xdr:cNvPr id="1702" name="Button 678" hidden="1">
              <a:extLst>
                <a:ext uri="{63B3BB69-23CF-44E3-9099-C40C66FF867C}">
                  <a14:compatExt spid="_x0000_s1702"/>
                </a:ext>
                <a:ext uri="{FF2B5EF4-FFF2-40B4-BE49-F238E27FC236}">
                  <a16:creationId xmlns:a16="http://schemas.microsoft.com/office/drawing/2014/main" id="{00000000-0008-0000-0100-0000A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2757</xdr:row>
          <xdr:rowOff>0</xdr:rowOff>
        </xdr:from>
        <xdr:to>
          <xdr:col>7</xdr:col>
          <xdr:colOff>0</xdr:colOff>
          <xdr:row>2757</xdr:row>
          <xdr:rowOff>165100</xdr:rowOff>
        </xdr:to>
        <xdr:sp macro="" textlink="">
          <xdr:nvSpPr>
            <xdr:cNvPr id="1701" name="Button 677" hidden="1">
              <a:extLst>
                <a:ext uri="{63B3BB69-23CF-44E3-9099-C40C66FF867C}">
                  <a14:compatExt spid="_x0000_s1701"/>
                </a:ext>
                <a:ext uri="{FF2B5EF4-FFF2-40B4-BE49-F238E27FC236}">
                  <a16:creationId xmlns:a16="http://schemas.microsoft.com/office/drawing/2014/main" id="{00000000-0008-0000-0100-0000A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2758</xdr:row>
          <xdr:rowOff>0</xdr:rowOff>
        </xdr:from>
        <xdr:to>
          <xdr:col>7</xdr:col>
          <xdr:colOff>0</xdr:colOff>
          <xdr:row>2758</xdr:row>
          <xdr:rowOff>165100</xdr:rowOff>
        </xdr:to>
        <xdr:sp macro="" textlink="">
          <xdr:nvSpPr>
            <xdr:cNvPr id="1700" name="Button 676" hidden="1">
              <a:extLst>
                <a:ext uri="{63B3BB69-23CF-44E3-9099-C40C66FF867C}">
                  <a14:compatExt spid="_x0000_s1700"/>
                </a:ext>
                <a:ext uri="{FF2B5EF4-FFF2-40B4-BE49-F238E27FC236}">
                  <a16:creationId xmlns:a16="http://schemas.microsoft.com/office/drawing/2014/main" id="{00000000-0008-0000-0100-0000A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2759</xdr:row>
          <xdr:rowOff>0</xdr:rowOff>
        </xdr:from>
        <xdr:to>
          <xdr:col>7</xdr:col>
          <xdr:colOff>0</xdr:colOff>
          <xdr:row>2759</xdr:row>
          <xdr:rowOff>165100</xdr:rowOff>
        </xdr:to>
        <xdr:sp macro="" textlink="">
          <xdr:nvSpPr>
            <xdr:cNvPr id="1699" name="Button 675" hidden="1">
              <a:extLst>
                <a:ext uri="{63B3BB69-23CF-44E3-9099-C40C66FF867C}">
                  <a14:compatExt spid="_x0000_s1699"/>
                </a:ext>
                <a:ext uri="{FF2B5EF4-FFF2-40B4-BE49-F238E27FC236}">
                  <a16:creationId xmlns:a16="http://schemas.microsoft.com/office/drawing/2014/main" id="{00000000-0008-0000-0100-0000A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2760</xdr:row>
          <xdr:rowOff>0</xdr:rowOff>
        </xdr:from>
        <xdr:to>
          <xdr:col>7</xdr:col>
          <xdr:colOff>0</xdr:colOff>
          <xdr:row>2760</xdr:row>
          <xdr:rowOff>165100</xdr:rowOff>
        </xdr:to>
        <xdr:sp macro="" textlink="">
          <xdr:nvSpPr>
            <xdr:cNvPr id="1698" name="Button 674" hidden="1">
              <a:extLst>
                <a:ext uri="{63B3BB69-23CF-44E3-9099-C40C66FF867C}">
                  <a14:compatExt spid="_x0000_s1698"/>
                </a:ext>
                <a:ext uri="{FF2B5EF4-FFF2-40B4-BE49-F238E27FC236}">
                  <a16:creationId xmlns:a16="http://schemas.microsoft.com/office/drawing/2014/main" id="{00000000-0008-0000-0100-0000A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2761</xdr:row>
          <xdr:rowOff>0</xdr:rowOff>
        </xdr:from>
        <xdr:to>
          <xdr:col>7</xdr:col>
          <xdr:colOff>0</xdr:colOff>
          <xdr:row>2761</xdr:row>
          <xdr:rowOff>165100</xdr:rowOff>
        </xdr:to>
        <xdr:sp macro="" textlink="">
          <xdr:nvSpPr>
            <xdr:cNvPr id="1697" name="Button 673" hidden="1">
              <a:extLst>
                <a:ext uri="{63B3BB69-23CF-44E3-9099-C40C66FF867C}">
                  <a14:compatExt spid="_x0000_s1697"/>
                </a:ext>
                <a:ext uri="{FF2B5EF4-FFF2-40B4-BE49-F238E27FC236}">
                  <a16:creationId xmlns:a16="http://schemas.microsoft.com/office/drawing/2014/main" id="{00000000-0008-0000-0100-0000A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2762</xdr:row>
          <xdr:rowOff>0</xdr:rowOff>
        </xdr:from>
        <xdr:to>
          <xdr:col>7</xdr:col>
          <xdr:colOff>0</xdr:colOff>
          <xdr:row>2762</xdr:row>
          <xdr:rowOff>165100</xdr:rowOff>
        </xdr:to>
        <xdr:sp macro="" textlink="">
          <xdr:nvSpPr>
            <xdr:cNvPr id="1696" name="Button 672" hidden="1">
              <a:extLst>
                <a:ext uri="{63B3BB69-23CF-44E3-9099-C40C66FF867C}">
                  <a14:compatExt spid="_x0000_s1696"/>
                </a:ext>
                <a:ext uri="{FF2B5EF4-FFF2-40B4-BE49-F238E27FC236}">
                  <a16:creationId xmlns:a16="http://schemas.microsoft.com/office/drawing/2014/main" id="{00000000-0008-0000-0100-0000A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2763</xdr:row>
          <xdr:rowOff>0</xdr:rowOff>
        </xdr:from>
        <xdr:to>
          <xdr:col>7</xdr:col>
          <xdr:colOff>0</xdr:colOff>
          <xdr:row>2763</xdr:row>
          <xdr:rowOff>165100</xdr:rowOff>
        </xdr:to>
        <xdr:sp macro="" textlink="">
          <xdr:nvSpPr>
            <xdr:cNvPr id="1695" name="Button 671" hidden="1">
              <a:extLst>
                <a:ext uri="{63B3BB69-23CF-44E3-9099-C40C66FF867C}">
                  <a14:compatExt spid="_x0000_s1695"/>
                </a:ext>
                <a:ext uri="{FF2B5EF4-FFF2-40B4-BE49-F238E27FC236}">
                  <a16:creationId xmlns:a16="http://schemas.microsoft.com/office/drawing/2014/main" id="{00000000-0008-0000-0100-00009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2764</xdr:row>
          <xdr:rowOff>0</xdr:rowOff>
        </xdr:from>
        <xdr:to>
          <xdr:col>7</xdr:col>
          <xdr:colOff>0</xdr:colOff>
          <xdr:row>2764</xdr:row>
          <xdr:rowOff>165100</xdr:rowOff>
        </xdr:to>
        <xdr:sp macro="" textlink="">
          <xdr:nvSpPr>
            <xdr:cNvPr id="1694" name="Button 670" hidden="1">
              <a:extLst>
                <a:ext uri="{63B3BB69-23CF-44E3-9099-C40C66FF867C}">
                  <a14:compatExt spid="_x0000_s1694"/>
                </a:ext>
                <a:ext uri="{FF2B5EF4-FFF2-40B4-BE49-F238E27FC236}">
                  <a16:creationId xmlns:a16="http://schemas.microsoft.com/office/drawing/2014/main" id="{00000000-0008-0000-0100-00009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2765</xdr:row>
          <xdr:rowOff>0</xdr:rowOff>
        </xdr:from>
        <xdr:to>
          <xdr:col>7</xdr:col>
          <xdr:colOff>0</xdr:colOff>
          <xdr:row>2765</xdr:row>
          <xdr:rowOff>165100</xdr:rowOff>
        </xdr:to>
        <xdr:sp macro="" textlink="">
          <xdr:nvSpPr>
            <xdr:cNvPr id="1693" name="Button 669" hidden="1">
              <a:extLst>
                <a:ext uri="{63B3BB69-23CF-44E3-9099-C40C66FF867C}">
                  <a14:compatExt spid="_x0000_s1693"/>
                </a:ext>
                <a:ext uri="{FF2B5EF4-FFF2-40B4-BE49-F238E27FC236}">
                  <a16:creationId xmlns:a16="http://schemas.microsoft.com/office/drawing/2014/main" id="{00000000-0008-0000-0100-00009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2766</xdr:row>
          <xdr:rowOff>0</xdr:rowOff>
        </xdr:from>
        <xdr:to>
          <xdr:col>7</xdr:col>
          <xdr:colOff>0</xdr:colOff>
          <xdr:row>2766</xdr:row>
          <xdr:rowOff>165100</xdr:rowOff>
        </xdr:to>
        <xdr:sp macro="" textlink="">
          <xdr:nvSpPr>
            <xdr:cNvPr id="1692" name="Button 668" hidden="1">
              <a:extLst>
                <a:ext uri="{63B3BB69-23CF-44E3-9099-C40C66FF867C}">
                  <a14:compatExt spid="_x0000_s1692"/>
                </a:ext>
                <a:ext uri="{FF2B5EF4-FFF2-40B4-BE49-F238E27FC236}">
                  <a16:creationId xmlns:a16="http://schemas.microsoft.com/office/drawing/2014/main" id="{00000000-0008-0000-0100-00009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2767</xdr:row>
          <xdr:rowOff>0</xdr:rowOff>
        </xdr:from>
        <xdr:to>
          <xdr:col>7</xdr:col>
          <xdr:colOff>0</xdr:colOff>
          <xdr:row>2767</xdr:row>
          <xdr:rowOff>165100</xdr:rowOff>
        </xdr:to>
        <xdr:sp macro="" textlink="">
          <xdr:nvSpPr>
            <xdr:cNvPr id="1691" name="Button 667" hidden="1">
              <a:extLst>
                <a:ext uri="{63B3BB69-23CF-44E3-9099-C40C66FF867C}">
                  <a14:compatExt spid="_x0000_s1691"/>
                </a:ext>
                <a:ext uri="{FF2B5EF4-FFF2-40B4-BE49-F238E27FC236}">
                  <a16:creationId xmlns:a16="http://schemas.microsoft.com/office/drawing/2014/main" id="{00000000-0008-0000-0100-00009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2768</xdr:row>
          <xdr:rowOff>0</xdr:rowOff>
        </xdr:from>
        <xdr:to>
          <xdr:col>7</xdr:col>
          <xdr:colOff>0</xdr:colOff>
          <xdr:row>2768</xdr:row>
          <xdr:rowOff>165100</xdr:rowOff>
        </xdr:to>
        <xdr:sp macro="" textlink="">
          <xdr:nvSpPr>
            <xdr:cNvPr id="1690" name="Button 666" hidden="1">
              <a:extLst>
                <a:ext uri="{63B3BB69-23CF-44E3-9099-C40C66FF867C}">
                  <a14:compatExt spid="_x0000_s1690"/>
                </a:ext>
                <a:ext uri="{FF2B5EF4-FFF2-40B4-BE49-F238E27FC236}">
                  <a16:creationId xmlns:a16="http://schemas.microsoft.com/office/drawing/2014/main" id="{00000000-0008-0000-0100-00009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2769</xdr:row>
          <xdr:rowOff>0</xdr:rowOff>
        </xdr:from>
        <xdr:to>
          <xdr:col>7</xdr:col>
          <xdr:colOff>0</xdr:colOff>
          <xdr:row>2769</xdr:row>
          <xdr:rowOff>165100</xdr:rowOff>
        </xdr:to>
        <xdr:sp macro="" textlink="">
          <xdr:nvSpPr>
            <xdr:cNvPr id="1689" name="Button 665" hidden="1">
              <a:extLst>
                <a:ext uri="{63B3BB69-23CF-44E3-9099-C40C66FF867C}">
                  <a14:compatExt spid="_x0000_s1689"/>
                </a:ext>
                <a:ext uri="{FF2B5EF4-FFF2-40B4-BE49-F238E27FC236}">
                  <a16:creationId xmlns:a16="http://schemas.microsoft.com/office/drawing/2014/main" id="{00000000-0008-0000-0100-00009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2770</xdr:row>
          <xdr:rowOff>0</xdr:rowOff>
        </xdr:from>
        <xdr:to>
          <xdr:col>7</xdr:col>
          <xdr:colOff>0</xdr:colOff>
          <xdr:row>2770</xdr:row>
          <xdr:rowOff>165100</xdr:rowOff>
        </xdr:to>
        <xdr:sp macro="" textlink="">
          <xdr:nvSpPr>
            <xdr:cNvPr id="1688" name="Button 664" hidden="1">
              <a:extLst>
                <a:ext uri="{63B3BB69-23CF-44E3-9099-C40C66FF867C}">
                  <a14:compatExt spid="_x0000_s1688"/>
                </a:ext>
                <a:ext uri="{FF2B5EF4-FFF2-40B4-BE49-F238E27FC236}">
                  <a16:creationId xmlns:a16="http://schemas.microsoft.com/office/drawing/2014/main" id="{00000000-0008-0000-0100-00009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2771</xdr:row>
          <xdr:rowOff>0</xdr:rowOff>
        </xdr:from>
        <xdr:to>
          <xdr:col>7</xdr:col>
          <xdr:colOff>0</xdr:colOff>
          <xdr:row>2771</xdr:row>
          <xdr:rowOff>165100</xdr:rowOff>
        </xdr:to>
        <xdr:sp macro="" textlink="">
          <xdr:nvSpPr>
            <xdr:cNvPr id="1687" name="Button 663" hidden="1">
              <a:extLst>
                <a:ext uri="{63B3BB69-23CF-44E3-9099-C40C66FF867C}">
                  <a14:compatExt spid="_x0000_s1687"/>
                </a:ext>
                <a:ext uri="{FF2B5EF4-FFF2-40B4-BE49-F238E27FC236}">
                  <a16:creationId xmlns:a16="http://schemas.microsoft.com/office/drawing/2014/main" id="{00000000-0008-0000-0100-00009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2772</xdr:row>
          <xdr:rowOff>0</xdr:rowOff>
        </xdr:from>
        <xdr:to>
          <xdr:col>7</xdr:col>
          <xdr:colOff>0</xdr:colOff>
          <xdr:row>2772</xdr:row>
          <xdr:rowOff>165100</xdr:rowOff>
        </xdr:to>
        <xdr:sp macro="" textlink="">
          <xdr:nvSpPr>
            <xdr:cNvPr id="1686" name="Button 662" hidden="1">
              <a:extLst>
                <a:ext uri="{63B3BB69-23CF-44E3-9099-C40C66FF867C}">
                  <a14:compatExt spid="_x0000_s1686"/>
                </a:ext>
                <a:ext uri="{FF2B5EF4-FFF2-40B4-BE49-F238E27FC236}">
                  <a16:creationId xmlns:a16="http://schemas.microsoft.com/office/drawing/2014/main" id="{00000000-0008-0000-0100-00009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2773</xdr:row>
          <xdr:rowOff>0</xdr:rowOff>
        </xdr:from>
        <xdr:to>
          <xdr:col>7</xdr:col>
          <xdr:colOff>0</xdr:colOff>
          <xdr:row>2773</xdr:row>
          <xdr:rowOff>165100</xdr:rowOff>
        </xdr:to>
        <xdr:sp macro="" textlink="">
          <xdr:nvSpPr>
            <xdr:cNvPr id="1685" name="Button 661" hidden="1">
              <a:extLst>
                <a:ext uri="{63B3BB69-23CF-44E3-9099-C40C66FF867C}">
                  <a14:compatExt spid="_x0000_s1685"/>
                </a:ext>
                <a:ext uri="{FF2B5EF4-FFF2-40B4-BE49-F238E27FC236}">
                  <a16:creationId xmlns:a16="http://schemas.microsoft.com/office/drawing/2014/main" id="{00000000-0008-0000-0100-00009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2774</xdr:row>
          <xdr:rowOff>0</xdr:rowOff>
        </xdr:from>
        <xdr:to>
          <xdr:col>7</xdr:col>
          <xdr:colOff>0</xdr:colOff>
          <xdr:row>2774</xdr:row>
          <xdr:rowOff>165100</xdr:rowOff>
        </xdr:to>
        <xdr:sp macro="" textlink="">
          <xdr:nvSpPr>
            <xdr:cNvPr id="1684" name="Button 660" hidden="1">
              <a:extLst>
                <a:ext uri="{63B3BB69-23CF-44E3-9099-C40C66FF867C}">
                  <a14:compatExt spid="_x0000_s1684"/>
                </a:ext>
                <a:ext uri="{FF2B5EF4-FFF2-40B4-BE49-F238E27FC236}">
                  <a16:creationId xmlns:a16="http://schemas.microsoft.com/office/drawing/2014/main" id="{00000000-0008-0000-0100-00009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2775</xdr:row>
          <xdr:rowOff>0</xdr:rowOff>
        </xdr:from>
        <xdr:to>
          <xdr:col>7</xdr:col>
          <xdr:colOff>0</xdr:colOff>
          <xdr:row>2775</xdr:row>
          <xdr:rowOff>165100</xdr:rowOff>
        </xdr:to>
        <xdr:sp macro="" textlink="">
          <xdr:nvSpPr>
            <xdr:cNvPr id="1683" name="Button 659" hidden="1">
              <a:extLst>
                <a:ext uri="{63B3BB69-23CF-44E3-9099-C40C66FF867C}">
                  <a14:compatExt spid="_x0000_s1683"/>
                </a:ext>
                <a:ext uri="{FF2B5EF4-FFF2-40B4-BE49-F238E27FC236}">
                  <a16:creationId xmlns:a16="http://schemas.microsoft.com/office/drawing/2014/main" id="{00000000-0008-0000-0100-00009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2776</xdr:row>
          <xdr:rowOff>0</xdr:rowOff>
        </xdr:from>
        <xdr:to>
          <xdr:col>7</xdr:col>
          <xdr:colOff>0</xdr:colOff>
          <xdr:row>2776</xdr:row>
          <xdr:rowOff>165100</xdr:rowOff>
        </xdr:to>
        <xdr:sp macro="" textlink="">
          <xdr:nvSpPr>
            <xdr:cNvPr id="1682" name="Button 658" hidden="1">
              <a:extLst>
                <a:ext uri="{63B3BB69-23CF-44E3-9099-C40C66FF867C}">
                  <a14:compatExt spid="_x0000_s1682"/>
                </a:ext>
                <a:ext uri="{FF2B5EF4-FFF2-40B4-BE49-F238E27FC236}">
                  <a16:creationId xmlns:a16="http://schemas.microsoft.com/office/drawing/2014/main" id="{00000000-0008-0000-0100-00009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2777</xdr:row>
          <xdr:rowOff>0</xdr:rowOff>
        </xdr:from>
        <xdr:to>
          <xdr:col>7</xdr:col>
          <xdr:colOff>0</xdr:colOff>
          <xdr:row>2777</xdr:row>
          <xdr:rowOff>165100</xdr:rowOff>
        </xdr:to>
        <xdr:sp macro="" textlink="">
          <xdr:nvSpPr>
            <xdr:cNvPr id="1681" name="Button 657" hidden="1">
              <a:extLst>
                <a:ext uri="{63B3BB69-23CF-44E3-9099-C40C66FF867C}">
                  <a14:compatExt spid="_x0000_s1681"/>
                </a:ext>
                <a:ext uri="{FF2B5EF4-FFF2-40B4-BE49-F238E27FC236}">
                  <a16:creationId xmlns:a16="http://schemas.microsoft.com/office/drawing/2014/main" id="{00000000-0008-0000-0100-00009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2778</xdr:row>
          <xdr:rowOff>0</xdr:rowOff>
        </xdr:from>
        <xdr:to>
          <xdr:col>7</xdr:col>
          <xdr:colOff>0</xdr:colOff>
          <xdr:row>2778</xdr:row>
          <xdr:rowOff>165100</xdr:rowOff>
        </xdr:to>
        <xdr:sp macro="" textlink="">
          <xdr:nvSpPr>
            <xdr:cNvPr id="1680" name="Button 656" hidden="1">
              <a:extLst>
                <a:ext uri="{63B3BB69-23CF-44E3-9099-C40C66FF867C}">
                  <a14:compatExt spid="_x0000_s1680"/>
                </a:ext>
                <a:ext uri="{FF2B5EF4-FFF2-40B4-BE49-F238E27FC236}">
                  <a16:creationId xmlns:a16="http://schemas.microsoft.com/office/drawing/2014/main" id="{00000000-0008-0000-0100-00009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2779</xdr:row>
          <xdr:rowOff>0</xdr:rowOff>
        </xdr:from>
        <xdr:to>
          <xdr:col>7</xdr:col>
          <xdr:colOff>0</xdr:colOff>
          <xdr:row>2779</xdr:row>
          <xdr:rowOff>165100</xdr:rowOff>
        </xdr:to>
        <xdr:sp macro="" textlink="">
          <xdr:nvSpPr>
            <xdr:cNvPr id="1679" name="Button 655" hidden="1">
              <a:extLst>
                <a:ext uri="{63B3BB69-23CF-44E3-9099-C40C66FF867C}">
                  <a14:compatExt spid="_x0000_s1679"/>
                </a:ext>
                <a:ext uri="{FF2B5EF4-FFF2-40B4-BE49-F238E27FC236}">
                  <a16:creationId xmlns:a16="http://schemas.microsoft.com/office/drawing/2014/main" id="{00000000-0008-0000-0100-00008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2780</xdr:row>
          <xdr:rowOff>0</xdr:rowOff>
        </xdr:from>
        <xdr:to>
          <xdr:col>7</xdr:col>
          <xdr:colOff>0</xdr:colOff>
          <xdr:row>2780</xdr:row>
          <xdr:rowOff>165100</xdr:rowOff>
        </xdr:to>
        <xdr:sp macro="" textlink="">
          <xdr:nvSpPr>
            <xdr:cNvPr id="1678" name="Button 654" hidden="1">
              <a:extLst>
                <a:ext uri="{63B3BB69-23CF-44E3-9099-C40C66FF867C}">
                  <a14:compatExt spid="_x0000_s1678"/>
                </a:ext>
                <a:ext uri="{FF2B5EF4-FFF2-40B4-BE49-F238E27FC236}">
                  <a16:creationId xmlns:a16="http://schemas.microsoft.com/office/drawing/2014/main" id="{00000000-0008-0000-0100-00008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2781</xdr:row>
          <xdr:rowOff>0</xdr:rowOff>
        </xdr:from>
        <xdr:to>
          <xdr:col>7</xdr:col>
          <xdr:colOff>0</xdr:colOff>
          <xdr:row>2781</xdr:row>
          <xdr:rowOff>165100</xdr:rowOff>
        </xdr:to>
        <xdr:sp macro="" textlink="">
          <xdr:nvSpPr>
            <xdr:cNvPr id="1677" name="Button 653" hidden="1">
              <a:extLst>
                <a:ext uri="{63B3BB69-23CF-44E3-9099-C40C66FF867C}">
                  <a14:compatExt spid="_x0000_s1677"/>
                </a:ext>
                <a:ext uri="{FF2B5EF4-FFF2-40B4-BE49-F238E27FC236}">
                  <a16:creationId xmlns:a16="http://schemas.microsoft.com/office/drawing/2014/main" id="{00000000-0008-0000-0100-00008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2782</xdr:row>
          <xdr:rowOff>0</xdr:rowOff>
        </xdr:from>
        <xdr:to>
          <xdr:col>7</xdr:col>
          <xdr:colOff>0</xdr:colOff>
          <xdr:row>2782</xdr:row>
          <xdr:rowOff>165100</xdr:rowOff>
        </xdr:to>
        <xdr:sp macro="" textlink="">
          <xdr:nvSpPr>
            <xdr:cNvPr id="1676" name="Button 652" hidden="1">
              <a:extLst>
                <a:ext uri="{63B3BB69-23CF-44E3-9099-C40C66FF867C}">
                  <a14:compatExt spid="_x0000_s1676"/>
                </a:ext>
                <a:ext uri="{FF2B5EF4-FFF2-40B4-BE49-F238E27FC236}">
                  <a16:creationId xmlns:a16="http://schemas.microsoft.com/office/drawing/2014/main" id="{00000000-0008-0000-0100-00008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2783</xdr:row>
          <xdr:rowOff>0</xdr:rowOff>
        </xdr:from>
        <xdr:to>
          <xdr:col>7</xdr:col>
          <xdr:colOff>0</xdr:colOff>
          <xdr:row>2783</xdr:row>
          <xdr:rowOff>165100</xdr:rowOff>
        </xdr:to>
        <xdr:sp macro="" textlink="">
          <xdr:nvSpPr>
            <xdr:cNvPr id="1675" name="Button 651" hidden="1">
              <a:extLst>
                <a:ext uri="{63B3BB69-23CF-44E3-9099-C40C66FF867C}">
                  <a14:compatExt spid="_x0000_s1675"/>
                </a:ext>
                <a:ext uri="{FF2B5EF4-FFF2-40B4-BE49-F238E27FC236}">
                  <a16:creationId xmlns:a16="http://schemas.microsoft.com/office/drawing/2014/main" id="{00000000-0008-0000-0100-00008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2784</xdr:row>
          <xdr:rowOff>0</xdr:rowOff>
        </xdr:from>
        <xdr:to>
          <xdr:col>7</xdr:col>
          <xdr:colOff>0</xdr:colOff>
          <xdr:row>2784</xdr:row>
          <xdr:rowOff>165100</xdr:rowOff>
        </xdr:to>
        <xdr:sp macro="" textlink="">
          <xdr:nvSpPr>
            <xdr:cNvPr id="1674" name="Button 650" hidden="1">
              <a:extLst>
                <a:ext uri="{63B3BB69-23CF-44E3-9099-C40C66FF867C}">
                  <a14:compatExt spid="_x0000_s1674"/>
                </a:ext>
                <a:ext uri="{FF2B5EF4-FFF2-40B4-BE49-F238E27FC236}">
                  <a16:creationId xmlns:a16="http://schemas.microsoft.com/office/drawing/2014/main" id="{00000000-0008-0000-0100-00008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2785</xdr:row>
          <xdr:rowOff>0</xdr:rowOff>
        </xdr:from>
        <xdr:to>
          <xdr:col>7</xdr:col>
          <xdr:colOff>0</xdr:colOff>
          <xdr:row>2785</xdr:row>
          <xdr:rowOff>165100</xdr:rowOff>
        </xdr:to>
        <xdr:sp macro="" textlink="">
          <xdr:nvSpPr>
            <xdr:cNvPr id="1673" name="Button 649" hidden="1">
              <a:extLst>
                <a:ext uri="{63B3BB69-23CF-44E3-9099-C40C66FF867C}">
                  <a14:compatExt spid="_x0000_s1673"/>
                </a:ext>
                <a:ext uri="{FF2B5EF4-FFF2-40B4-BE49-F238E27FC236}">
                  <a16:creationId xmlns:a16="http://schemas.microsoft.com/office/drawing/2014/main" id="{00000000-0008-0000-0100-00008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2786</xdr:row>
          <xdr:rowOff>0</xdr:rowOff>
        </xdr:from>
        <xdr:to>
          <xdr:col>7</xdr:col>
          <xdr:colOff>0</xdr:colOff>
          <xdr:row>2786</xdr:row>
          <xdr:rowOff>165100</xdr:rowOff>
        </xdr:to>
        <xdr:sp macro="" textlink="">
          <xdr:nvSpPr>
            <xdr:cNvPr id="1672" name="Button 648" hidden="1">
              <a:extLst>
                <a:ext uri="{63B3BB69-23CF-44E3-9099-C40C66FF867C}">
                  <a14:compatExt spid="_x0000_s1672"/>
                </a:ext>
                <a:ext uri="{FF2B5EF4-FFF2-40B4-BE49-F238E27FC236}">
                  <a16:creationId xmlns:a16="http://schemas.microsoft.com/office/drawing/2014/main" id="{00000000-0008-0000-0100-00008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2787</xdr:row>
          <xdr:rowOff>0</xdr:rowOff>
        </xdr:from>
        <xdr:to>
          <xdr:col>7</xdr:col>
          <xdr:colOff>0</xdr:colOff>
          <xdr:row>2787</xdr:row>
          <xdr:rowOff>165100</xdr:rowOff>
        </xdr:to>
        <xdr:sp macro="" textlink="">
          <xdr:nvSpPr>
            <xdr:cNvPr id="1671" name="Button 647" hidden="1">
              <a:extLst>
                <a:ext uri="{63B3BB69-23CF-44E3-9099-C40C66FF867C}">
                  <a14:compatExt spid="_x0000_s1671"/>
                </a:ext>
                <a:ext uri="{FF2B5EF4-FFF2-40B4-BE49-F238E27FC236}">
                  <a16:creationId xmlns:a16="http://schemas.microsoft.com/office/drawing/2014/main" id="{00000000-0008-0000-0100-00008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2788</xdr:row>
          <xdr:rowOff>0</xdr:rowOff>
        </xdr:from>
        <xdr:to>
          <xdr:col>7</xdr:col>
          <xdr:colOff>0</xdr:colOff>
          <xdr:row>2788</xdr:row>
          <xdr:rowOff>165100</xdr:rowOff>
        </xdr:to>
        <xdr:sp macro="" textlink="">
          <xdr:nvSpPr>
            <xdr:cNvPr id="1670" name="Button 646" hidden="1">
              <a:extLst>
                <a:ext uri="{63B3BB69-23CF-44E3-9099-C40C66FF867C}">
                  <a14:compatExt spid="_x0000_s1670"/>
                </a:ext>
                <a:ext uri="{FF2B5EF4-FFF2-40B4-BE49-F238E27FC236}">
                  <a16:creationId xmlns:a16="http://schemas.microsoft.com/office/drawing/2014/main" id="{00000000-0008-0000-0100-00008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2789</xdr:row>
          <xdr:rowOff>0</xdr:rowOff>
        </xdr:from>
        <xdr:to>
          <xdr:col>7</xdr:col>
          <xdr:colOff>0</xdr:colOff>
          <xdr:row>2789</xdr:row>
          <xdr:rowOff>165100</xdr:rowOff>
        </xdr:to>
        <xdr:sp macro="" textlink="">
          <xdr:nvSpPr>
            <xdr:cNvPr id="1669" name="Button 645" hidden="1">
              <a:extLst>
                <a:ext uri="{63B3BB69-23CF-44E3-9099-C40C66FF867C}">
                  <a14:compatExt spid="_x0000_s1669"/>
                </a:ext>
                <a:ext uri="{FF2B5EF4-FFF2-40B4-BE49-F238E27FC236}">
                  <a16:creationId xmlns:a16="http://schemas.microsoft.com/office/drawing/2014/main" id="{00000000-0008-0000-0100-00008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2790</xdr:row>
          <xdr:rowOff>0</xdr:rowOff>
        </xdr:from>
        <xdr:to>
          <xdr:col>7</xdr:col>
          <xdr:colOff>0</xdr:colOff>
          <xdr:row>2790</xdr:row>
          <xdr:rowOff>165100</xdr:rowOff>
        </xdr:to>
        <xdr:sp macro="" textlink="">
          <xdr:nvSpPr>
            <xdr:cNvPr id="1668" name="Button 644" hidden="1">
              <a:extLst>
                <a:ext uri="{63B3BB69-23CF-44E3-9099-C40C66FF867C}">
                  <a14:compatExt spid="_x0000_s1668"/>
                </a:ext>
                <a:ext uri="{FF2B5EF4-FFF2-40B4-BE49-F238E27FC236}">
                  <a16:creationId xmlns:a16="http://schemas.microsoft.com/office/drawing/2014/main" id="{00000000-0008-0000-0100-00008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2791</xdr:row>
          <xdr:rowOff>0</xdr:rowOff>
        </xdr:from>
        <xdr:to>
          <xdr:col>7</xdr:col>
          <xdr:colOff>0</xdr:colOff>
          <xdr:row>2791</xdr:row>
          <xdr:rowOff>165100</xdr:rowOff>
        </xdr:to>
        <xdr:sp macro="" textlink="">
          <xdr:nvSpPr>
            <xdr:cNvPr id="1667" name="Button 643" hidden="1">
              <a:extLst>
                <a:ext uri="{63B3BB69-23CF-44E3-9099-C40C66FF867C}">
                  <a14:compatExt spid="_x0000_s1667"/>
                </a:ext>
                <a:ext uri="{FF2B5EF4-FFF2-40B4-BE49-F238E27FC236}">
                  <a16:creationId xmlns:a16="http://schemas.microsoft.com/office/drawing/2014/main" id="{00000000-0008-0000-0100-00008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2792</xdr:row>
          <xdr:rowOff>0</xdr:rowOff>
        </xdr:from>
        <xdr:to>
          <xdr:col>7</xdr:col>
          <xdr:colOff>0</xdr:colOff>
          <xdr:row>2792</xdr:row>
          <xdr:rowOff>165100</xdr:rowOff>
        </xdr:to>
        <xdr:sp macro="" textlink="">
          <xdr:nvSpPr>
            <xdr:cNvPr id="1666" name="Button 642" hidden="1">
              <a:extLst>
                <a:ext uri="{63B3BB69-23CF-44E3-9099-C40C66FF867C}">
                  <a14:compatExt spid="_x0000_s1666"/>
                </a:ext>
                <a:ext uri="{FF2B5EF4-FFF2-40B4-BE49-F238E27FC236}">
                  <a16:creationId xmlns:a16="http://schemas.microsoft.com/office/drawing/2014/main" id="{00000000-0008-0000-0100-00008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2793</xdr:row>
          <xdr:rowOff>0</xdr:rowOff>
        </xdr:from>
        <xdr:to>
          <xdr:col>7</xdr:col>
          <xdr:colOff>0</xdr:colOff>
          <xdr:row>2793</xdr:row>
          <xdr:rowOff>165100</xdr:rowOff>
        </xdr:to>
        <xdr:sp macro="" textlink="">
          <xdr:nvSpPr>
            <xdr:cNvPr id="1665" name="Button 641" hidden="1">
              <a:extLst>
                <a:ext uri="{63B3BB69-23CF-44E3-9099-C40C66FF867C}">
                  <a14:compatExt spid="_x0000_s1665"/>
                </a:ext>
                <a:ext uri="{FF2B5EF4-FFF2-40B4-BE49-F238E27FC236}">
                  <a16:creationId xmlns:a16="http://schemas.microsoft.com/office/drawing/2014/main" id="{00000000-0008-0000-0100-00008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2794</xdr:row>
          <xdr:rowOff>0</xdr:rowOff>
        </xdr:from>
        <xdr:to>
          <xdr:col>7</xdr:col>
          <xdr:colOff>0</xdr:colOff>
          <xdr:row>2794</xdr:row>
          <xdr:rowOff>165100</xdr:rowOff>
        </xdr:to>
        <xdr:sp macro="" textlink="">
          <xdr:nvSpPr>
            <xdr:cNvPr id="1664" name="Button 640" hidden="1">
              <a:extLst>
                <a:ext uri="{63B3BB69-23CF-44E3-9099-C40C66FF867C}">
                  <a14:compatExt spid="_x0000_s1664"/>
                </a:ext>
                <a:ext uri="{FF2B5EF4-FFF2-40B4-BE49-F238E27FC236}">
                  <a16:creationId xmlns:a16="http://schemas.microsoft.com/office/drawing/2014/main" id="{00000000-0008-0000-0100-00008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2795</xdr:row>
          <xdr:rowOff>0</xdr:rowOff>
        </xdr:from>
        <xdr:to>
          <xdr:col>7</xdr:col>
          <xdr:colOff>0</xdr:colOff>
          <xdr:row>2795</xdr:row>
          <xdr:rowOff>165100</xdr:rowOff>
        </xdr:to>
        <xdr:sp macro="" textlink="">
          <xdr:nvSpPr>
            <xdr:cNvPr id="1663" name="Button 639" hidden="1">
              <a:extLst>
                <a:ext uri="{63B3BB69-23CF-44E3-9099-C40C66FF867C}">
                  <a14:compatExt spid="_x0000_s1663"/>
                </a:ext>
                <a:ext uri="{FF2B5EF4-FFF2-40B4-BE49-F238E27FC236}">
                  <a16:creationId xmlns:a16="http://schemas.microsoft.com/office/drawing/2014/main" id="{00000000-0008-0000-0100-00007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2796</xdr:row>
          <xdr:rowOff>0</xdr:rowOff>
        </xdr:from>
        <xdr:to>
          <xdr:col>7</xdr:col>
          <xdr:colOff>0</xdr:colOff>
          <xdr:row>2796</xdr:row>
          <xdr:rowOff>165100</xdr:rowOff>
        </xdr:to>
        <xdr:sp macro="" textlink="">
          <xdr:nvSpPr>
            <xdr:cNvPr id="1662" name="Button 638" hidden="1">
              <a:extLst>
                <a:ext uri="{63B3BB69-23CF-44E3-9099-C40C66FF867C}">
                  <a14:compatExt spid="_x0000_s1662"/>
                </a:ext>
                <a:ext uri="{FF2B5EF4-FFF2-40B4-BE49-F238E27FC236}">
                  <a16:creationId xmlns:a16="http://schemas.microsoft.com/office/drawing/2014/main" id="{00000000-0008-0000-0100-00007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2799</xdr:row>
          <xdr:rowOff>0</xdr:rowOff>
        </xdr:from>
        <xdr:to>
          <xdr:col>7</xdr:col>
          <xdr:colOff>0</xdr:colOff>
          <xdr:row>2800</xdr:row>
          <xdr:rowOff>0</xdr:rowOff>
        </xdr:to>
        <xdr:sp macro="" textlink="">
          <xdr:nvSpPr>
            <xdr:cNvPr id="1661" name="Button 637" hidden="1">
              <a:extLst>
                <a:ext uri="{63B3BB69-23CF-44E3-9099-C40C66FF867C}">
                  <a14:compatExt spid="_x0000_s1661"/>
                </a:ext>
                <a:ext uri="{FF2B5EF4-FFF2-40B4-BE49-F238E27FC236}">
                  <a16:creationId xmlns:a16="http://schemas.microsoft.com/office/drawing/2014/main" id="{00000000-0008-0000-0100-00007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2806</xdr:row>
          <xdr:rowOff>0</xdr:rowOff>
        </xdr:from>
        <xdr:to>
          <xdr:col>7</xdr:col>
          <xdr:colOff>0</xdr:colOff>
          <xdr:row>2806</xdr:row>
          <xdr:rowOff>171450</xdr:rowOff>
        </xdr:to>
        <xdr:sp macro="" textlink="">
          <xdr:nvSpPr>
            <xdr:cNvPr id="1660" name="Button 636" hidden="1">
              <a:extLst>
                <a:ext uri="{63B3BB69-23CF-44E3-9099-C40C66FF867C}">
                  <a14:compatExt spid="_x0000_s1660"/>
                </a:ext>
                <a:ext uri="{FF2B5EF4-FFF2-40B4-BE49-F238E27FC236}">
                  <a16:creationId xmlns:a16="http://schemas.microsoft.com/office/drawing/2014/main" id="{00000000-0008-0000-0100-00007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2807</xdr:row>
          <xdr:rowOff>0</xdr:rowOff>
        </xdr:from>
        <xdr:to>
          <xdr:col>7</xdr:col>
          <xdr:colOff>0</xdr:colOff>
          <xdr:row>2807</xdr:row>
          <xdr:rowOff>165100</xdr:rowOff>
        </xdr:to>
        <xdr:sp macro="" textlink="">
          <xdr:nvSpPr>
            <xdr:cNvPr id="1659" name="Button 635" hidden="1">
              <a:extLst>
                <a:ext uri="{63B3BB69-23CF-44E3-9099-C40C66FF867C}">
                  <a14:compatExt spid="_x0000_s1659"/>
                </a:ext>
                <a:ext uri="{FF2B5EF4-FFF2-40B4-BE49-F238E27FC236}">
                  <a16:creationId xmlns:a16="http://schemas.microsoft.com/office/drawing/2014/main" id="{00000000-0008-0000-0100-00007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2808</xdr:row>
          <xdr:rowOff>0</xdr:rowOff>
        </xdr:from>
        <xdr:to>
          <xdr:col>7</xdr:col>
          <xdr:colOff>0</xdr:colOff>
          <xdr:row>2808</xdr:row>
          <xdr:rowOff>165100</xdr:rowOff>
        </xdr:to>
        <xdr:sp macro="" textlink="">
          <xdr:nvSpPr>
            <xdr:cNvPr id="1658" name="Button 634" hidden="1">
              <a:extLst>
                <a:ext uri="{63B3BB69-23CF-44E3-9099-C40C66FF867C}">
                  <a14:compatExt spid="_x0000_s1658"/>
                </a:ext>
                <a:ext uri="{FF2B5EF4-FFF2-40B4-BE49-F238E27FC236}">
                  <a16:creationId xmlns:a16="http://schemas.microsoft.com/office/drawing/2014/main" id="{00000000-0008-0000-0100-00007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2809</xdr:row>
          <xdr:rowOff>0</xdr:rowOff>
        </xdr:from>
        <xdr:to>
          <xdr:col>7</xdr:col>
          <xdr:colOff>0</xdr:colOff>
          <xdr:row>2809</xdr:row>
          <xdr:rowOff>165100</xdr:rowOff>
        </xdr:to>
        <xdr:sp macro="" textlink="">
          <xdr:nvSpPr>
            <xdr:cNvPr id="1657" name="Button 633" hidden="1">
              <a:extLst>
                <a:ext uri="{63B3BB69-23CF-44E3-9099-C40C66FF867C}">
                  <a14:compatExt spid="_x0000_s1657"/>
                </a:ext>
                <a:ext uri="{FF2B5EF4-FFF2-40B4-BE49-F238E27FC236}">
                  <a16:creationId xmlns:a16="http://schemas.microsoft.com/office/drawing/2014/main" id="{00000000-0008-0000-0100-00007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2810</xdr:row>
          <xdr:rowOff>0</xdr:rowOff>
        </xdr:from>
        <xdr:to>
          <xdr:col>7</xdr:col>
          <xdr:colOff>0</xdr:colOff>
          <xdr:row>2810</xdr:row>
          <xdr:rowOff>165100</xdr:rowOff>
        </xdr:to>
        <xdr:sp macro="" textlink="">
          <xdr:nvSpPr>
            <xdr:cNvPr id="1656" name="Button 632" hidden="1">
              <a:extLst>
                <a:ext uri="{63B3BB69-23CF-44E3-9099-C40C66FF867C}">
                  <a14:compatExt spid="_x0000_s1656"/>
                </a:ext>
                <a:ext uri="{FF2B5EF4-FFF2-40B4-BE49-F238E27FC236}">
                  <a16:creationId xmlns:a16="http://schemas.microsoft.com/office/drawing/2014/main" id="{00000000-0008-0000-0100-00007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2811</xdr:row>
          <xdr:rowOff>0</xdr:rowOff>
        </xdr:from>
        <xdr:to>
          <xdr:col>7</xdr:col>
          <xdr:colOff>0</xdr:colOff>
          <xdr:row>2811</xdr:row>
          <xdr:rowOff>165100</xdr:rowOff>
        </xdr:to>
        <xdr:sp macro="" textlink="">
          <xdr:nvSpPr>
            <xdr:cNvPr id="1655" name="Button 631" hidden="1">
              <a:extLst>
                <a:ext uri="{63B3BB69-23CF-44E3-9099-C40C66FF867C}">
                  <a14:compatExt spid="_x0000_s1655"/>
                </a:ext>
                <a:ext uri="{FF2B5EF4-FFF2-40B4-BE49-F238E27FC236}">
                  <a16:creationId xmlns:a16="http://schemas.microsoft.com/office/drawing/2014/main" id="{00000000-0008-0000-0100-00007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2812</xdr:row>
          <xdr:rowOff>0</xdr:rowOff>
        </xdr:from>
        <xdr:to>
          <xdr:col>7</xdr:col>
          <xdr:colOff>0</xdr:colOff>
          <xdr:row>2812</xdr:row>
          <xdr:rowOff>165100</xdr:rowOff>
        </xdr:to>
        <xdr:sp macro="" textlink="">
          <xdr:nvSpPr>
            <xdr:cNvPr id="1654" name="Button 630" hidden="1">
              <a:extLst>
                <a:ext uri="{63B3BB69-23CF-44E3-9099-C40C66FF867C}">
                  <a14:compatExt spid="_x0000_s1654"/>
                </a:ext>
                <a:ext uri="{FF2B5EF4-FFF2-40B4-BE49-F238E27FC236}">
                  <a16:creationId xmlns:a16="http://schemas.microsoft.com/office/drawing/2014/main" id="{00000000-0008-0000-0100-00007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2813</xdr:row>
          <xdr:rowOff>0</xdr:rowOff>
        </xdr:from>
        <xdr:to>
          <xdr:col>7</xdr:col>
          <xdr:colOff>0</xdr:colOff>
          <xdr:row>2813</xdr:row>
          <xdr:rowOff>165100</xdr:rowOff>
        </xdr:to>
        <xdr:sp macro="" textlink="">
          <xdr:nvSpPr>
            <xdr:cNvPr id="1653" name="Button 629" hidden="1">
              <a:extLst>
                <a:ext uri="{63B3BB69-23CF-44E3-9099-C40C66FF867C}">
                  <a14:compatExt spid="_x0000_s1653"/>
                </a:ext>
                <a:ext uri="{FF2B5EF4-FFF2-40B4-BE49-F238E27FC236}">
                  <a16:creationId xmlns:a16="http://schemas.microsoft.com/office/drawing/2014/main" id="{00000000-0008-0000-0100-00007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2814</xdr:row>
          <xdr:rowOff>0</xdr:rowOff>
        </xdr:from>
        <xdr:to>
          <xdr:col>7</xdr:col>
          <xdr:colOff>0</xdr:colOff>
          <xdr:row>2814</xdr:row>
          <xdr:rowOff>165100</xdr:rowOff>
        </xdr:to>
        <xdr:sp macro="" textlink="">
          <xdr:nvSpPr>
            <xdr:cNvPr id="1652" name="Button 628" hidden="1">
              <a:extLst>
                <a:ext uri="{63B3BB69-23CF-44E3-9099-C40C66FF867C}">
                  <a14:compatExt spid="_x0000_s1652"/>
                </a:ext>
                <a:ext uri="{FF2B5EF4-FFF2-40B4-BE49-F238E27FC236}">
                  <a16:creationId xmlns:a16="http://schemas.microsoft.com/office/drawing/2014/main" id="{00000000-0008-0000-0100-00007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2815</xdr:row>
          <xdr:rowOff>0</xdr:rowOff>
        </xdr:from>
        <xdr:to>
          <xdr:col>7</xdr:col>
          <xdr:colOff>0</xdr:colOff>
          <xdr:row>2815</xdr:row>
          <xdr:rowOff>165100</xdr:rowOff>
        </xdr:to>
        <xdr:sp macro="" textlink="">
          <xdr:nvSpPr>
            <xdr:cNvPr id="1651" name="Button 627" hidden="1">
              <a:extLst>
                <a:ext uri="{63B3BB69-23CF-44E3-9099-C40C66FF867C}">
                  <a14:compatExt spid="_x0000_s1651"/>
                </a:ext>
                <a:ext uri="{FF2B5EF4-FFF2-40B4-BE49-F238E27FC236}">
                  <a16:creationId xmlns:a16="http://schemas.microsoft.com/office/drawing/2014/main" id="{00000000-0008-0000-0100-00007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2816</xdr:row>
          <xdr:rowOff>0</xdr:rowOff>
        </xdr:from>
        <xdr:to>
          <xdr:col>7</xdr:col>
          <xdr:colOff>0</xdr:colOff>
          <xdr:row>2816</xdr:row>
          <xdr:rowOff>165100</xdr:rowOff>
        </xdr:to>
        <xdr:sp macro="" textlink="">
          <xdr:nvSpPr>
            <xdr:cNvPr id="1650" name="Button 626" hidden="1">
              <a:extLst>
                <a:ext uri="{63B3BB69-23CF-44E3-9099-C40C66FF867C}">
                  <a14:compatExt spid="_x0000_s1650"/>
                </a:ext>
                <a:ext uri="{FF2B5EF4-FFF2-40B4-BE49-F238E27FC236}">
                  <a16:creationId xmlns:a16="http://schemas.microsoft.com/office/drawing/2014/main" id="{00000000-0008-0000-0100-00007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2817</xdr:row>
          <xdr:rowOff>0</xdr:rowOff>
        </xdr:from>
        <xdr:to>
          <xdr:col>7</xdr:col>
          <xdr:colOff>0</xdr:colOff>
          <xdr:row>2817</xdr:row>
          <xdr:rowOff>165100</xdr:rowOff>
        </xdr:to>
        <xdr:sp macro="" textlink="">
          <xdr:nvSpPr>
            <xdr:cNvPr id="1649" name="Button 625" hidden="1">
              <a:extLst>
                <a:ext uri="{63B3BB69-23CF-44E3-9099-C40C66FF867C}">
                  <a14:compatExt spid="_x0000_s1649"/>
                </a:ext>
                <a:ext uri="{FF2B5EF4-FFF2-40B4-BE49-F238E27FC236}">
                  <a16:creationId xmlns:a16="http://schemas.microsoft.com/office/drawing/2014/main" id="{00000000-0008-0000-0100-00007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2818</xdr:row>
          <xdr:rowOff>0</xdr:rowOff>
        </xdr:from>
        <xdr:to>
          <xdr:col>7</xdr:col>
          <xdr:colOff>0</xdr:colOff>
          <xdr:row>2818</xdr:row>
          <xdr:rowOff>165100</xdr:rowOff>
        </xdr:to>
        <xdr:sp macro="" textlink="">
          <xdr:nvSpPr>
            <xdr:cNvPr id="1648" name="Button 624" hidden="1">
              <a:extLst>
                <a:ext uri="{63B3BB69-23CF-44E3-9099-C40C66FF867C}">
                  <a14:compatExt spid="_x0000_s1648"/>
                </a:ext>
                <a:ext uri="{FF2B5EF4-FFF2-40B4-BE49-F238E27FC236}">
                  <a16:creationId xmlns:a16="http://schemas.microsoft.com/office/drawing/2014/main" id="{00000000-0008-0000-0100-00007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2819</xdr:row>
          <xdr:rowOff>0</xdr:rowOff>
        </xdr:from>
        <xdr:to>
          <xdr:col>7</xdr:col>
          <xdr:colOff>0</xdr:colOff>
          <xdr:row>2819</xdr:row>
          <xdr:rowOff>165100</xdr:rowOff>
        </xdr:to>
        <xdr:sp macro="" textlink="">
          <xdr:nvSpPr>
            <xdr:cNvPr id="1647" name="Button 623" hidden="1">
              <a:extLst>
                <a:ext uri="{63B3BB69-23CF-44E3-9099-C40C66FF867C}">
                  <a14:compatExt spid="_x0000_s1647"/>
                </a:ext>
                <a:ext uri="{FF2B5EF4-FFF2-40B4-BE49-F238E27FC236}">
                  <a16:creationId xmlns:a16="http://schemas.microsoft.com/office/drawing/2014/main" id="{00000000-0008-0000-0100-00006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2820</xdr:row>
          <xdr:rowOff>0</xdr:rowOff>
        </xdr:from>
        <xdr:to>
          <xdr:col>7</xdr:col>
          <xdr:colOff>0</xdr:colOff>
          <xdr:row>2820</xdr:row>
          <xdr:rowOff>165100</xdr:rowOff>
        </xdr:to>
        <xdr:sp macro="" textlink="">
          <xdr:nvSpPr>
            <xdr:cNvPr id="1646" name="Button 622" hidden="1">
              <a:extLst>
                <a:ext uri="{63B3BB69-23CF-44E3-9099-C40C66FF867C}">
                  <a14:compatExt spid="_x0000_s1646"/>
                </a:ext>
                <a:ext uri="{FF2B5EF4-FFF2-40B4-BE49-F238E27FC236}">
                  <a16:creationId xmlns:a16="http://schemas.microsoft.com/office/drawing/2014/main" id="{00000000-0008-0000-0100-00006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2821</xdr:row>
          <xdr:rowOff>0</xdr:rowOff>
        </xdr:from>
        <xdr:to>
          <xdr:col>7</xdr:col>
          <xdr:colOff>0</xdr:colOff>
          <xdr:row>2821</xdr:row>
          <xdr:rowOff>165100</xdr:rowOff>
        </xdr:to>
        <xdr:sp macro="" textlink="">
          <xdr:nvSpPr>
            <xdr:cNvPr id="1645" name="Button 621" hidden="1">
              <a:extLst>
                <a:ext uri="{63B3BB69-23CF-44E3-9099-C40C66FF867C}">
                  <a14:compatExt spid="_x0000_s1645"/>
                </a:ext>
                <a:ext uri="{FF2B5EF4-FFF2-40B4-BE49-F238E27FC236}">
                  <a16:creationId xmlns:a16="http://schemas.microsoft.com/office/drawing/2014/main" id="{00000000-0008-0000-0100-00006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2822</xdr:row>
          <xdr:rowOff>0</xdr:rowOff>
        </xdr:from>
        <xdr:to>
          <xdr:col>7</xdr:col>
          <xdr:colOff>0</xdr:colOff>
          <xdr:row>2822</xdr:row>
          <xdr:rowOff>165100</xdr:rowOff>
        </xdr:to>
        <xdr:sp macro="" textlink="">
          <xdr:nvSpPr>
            <xdr:cNvPr id="1644" name="Button 620" hidden="1">
              <a:extLst>
                <a:ext uri="{63B3BB69-23CF-44E3-9099-C40C66FF867C}">
                  <a14:compatExt spid="_x0000_s1644"/>
                </a:ext>
                <a:ext uri="{FF2B5EF4-FFF2-40B4-BE49-F238E27FC236}">
                  <a16:creationId xmlns:a16="http://schemas.microsoft.com/office/drawing/2014/main" id="{00000000-0008-0000-0100-00006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2823</xdr:row>
          <xdr:rowOff>0</xdr:rowOff>
        </xdr:from>
        <xdr:to>
          <xdr:col>7</xdr:col>
          <xdr:colOff>0</xdr:colOff>
          <xdr:row>2823</xdr:row>
          <xdr:rowOff>165100</xdr:rowOff>
        </xdr:to>
        <xdr:sp macro="" textlink="">
          <xdr:nvSpPr>
            <xdr:cNvPr id="1643" name="Button 619" hidden="1">
              <a:extLst>
                <a:ext uri="{63B3BB69-23CF-44E3-9099-C40C66FF867C}">
                  <a14:compatExt spid="_x0000_s1643"/>
                </a:ext>
                <a:ext uri="{FF2B5EF4-FFF2-40B4-BE49-F238E27FC236}">
                  <a16:creationId xmlns:a16="http://schemas.microsoft.com/office/drawing/2014/main" id="{00000000-0008-0000-0100-00006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2824</xdr:row>
          <xdr:rowOff>0</xdr:rowOff>
        </xdr:from>
        <xdr:to>
          <xdr:col>7</xdr:col>
          <xdr:colOff>0</xdr:colOff>
          <xdr:row>2824</xdr:row>
          <xdr:rowOff>165100</xdr:rowOff>
        </xdr:to>
        <xdr:sp macro="" textlink="">
          <xdr:nvSpPr>
            <xdr:cNvPr id="1642" name="Button 618" hidden="1">
              <a:extLst>
                <a:ext uri="{63B3BB69-23CF-44E3-9099-C40C66FF867C}">
                  <a14:compatExt spid="_x0000_s1642"/>
                </a:ext>
                <a:ext uri="{FF2B5EF4-FFF2-40B4-BE49-F238E27FC236}">
                  <a16:creationId xmlns:a16="http://schemas.microsoft.com/office/drawing/2014/main" id="{00000000-0008-0000-0100-00006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2825</xdr:row>
          <xdr:rowOff>0</xdr:rowOff>
        </xdr:from>
        <xdr:to>
          <xdr:col>7</xdr:col>
          <xdr:colOff>0</xdr:colOff>
          <xdr:row>2825</xdr:row>
          <xdr:rowOff>165100</xdr:rowOff>
        </xdr:to>
        <xdr:sp macro="" textlink="">
          <xdr:nvSpPr>
            <xdr:cNvPr id="1641" name="Button 617" hidden="1">
              <a:extLst>
                <a:ext uri="{63B3BB69-23CF-44E3-9099-C40C66FF867C}">
                  <a14:compatExt spid="_x0000_s1641"/>
                </a:ext>
                <a:ext uri="{FF2B5EF4-FFF2-40B4-BE49-F238E27FC236}">
                  <a16:creationId xmlns:a16="http://schemas.microsoft.com/office/drawing/2014/main" id="{00000000-0008-0000-0100-00006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2826</xdr:row>
          <xdr:rowOff>0</xdr:rowOff>
        </xdr:from>
        <xdr:to>
          <xdr:col>7</xdr:col>
          <xdr:colOff>0</xdr:colOff>
          <xdr:row>2826</xdr:row>
          <xdr:rowOff>165100</xdr:rowOff>
        </xdr:to>
        <xdr:sp macro="" textlink="">
          <xdr:nvSpPr>
            <xdr:cNvPr id="1640" name="Button 616" hidden="1">
              <a:extLst>
                <a:ext uri="{63B3BB69-23CF-44E3-9099-C40C66FF867C}">
                  <a14:compatExt spid="_x0000_s1640"/>
                </a:ext>
                <a:ext uri="{FF2B5EF4-FFF2-40B4-BE49-F238E27FC236}">
                  <a16:creationId xmlns:a16="http://schemas.microsoft.com/office/drawing/2014/main" id="{00000000-0008-0000-0100-00006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2827</xdr:row>
          <xdr:rowOff>0</xdr:rowOff>
        </xdr:from>
        <xdr:to>
          <xdr:col>7</xdr:col>
          <xdr:colOff>0</xdr:colOff>
          <xdr:row>2827</xdr:row>
          <xdr:rowOff>165100</xdr:rowOff>
        </xdr:to>
        <xdr:sp macro="" textlink="">
          <xdr:nvSpPr>
            <xdr:cNvPr id="1639" name="Button 615" hidden="1">
              <a:extLst>
                <a:ext uri="{63B3BB69-23CF-44E3-9099-C40C66FF867C}">
                  <a14:compatExt spid="_x0000_s1639"/>
                </a:ext>
                <a:ext uri="{FF2B5EF4-FFF2-40B4-BE49-F238E27FC236}">
                  <a16:creationId xmlns:a16="http://schemas.microsoft.com/office/drawing/2014/main" id="{00000000-0008-0000-0100-00006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2828</xdr:row>
          <xdr:rowOff>0</xdr:rowOff>
        </xdr:from>
        <xdr:to>
          <xdr:col>7</xdr:col>
          <xdr:colOff>0</xdr:colOff>
          <xdr:row>2828</xdr:row>
          <xdr:rowOff>165100</xdr:rowOff>
        </xdr:to>
        <xdr:sp macro="" textlink="">
          <xdr:nvSpPr>
            <xdr:cNvPr id="1638" name="Button 614" hidden="1">
              <a:extLst>
                <a:ext uri="{63B3BB69-23CF-44E3-9099-C40C66FF867C}">
                  <a14:compatExt spid="_x0000_s1638"/>
                </a:ext>
                <a:ext uri="{FF2B5EF4-FFF2-40B4-BE49-F238E27FC236}">
                  <a16:creationId xmlns:a16="http://schemas.microsoft.com/office/drawing/2014/main" id="{00000000-0008-0000-0100-00006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2829</xdr:row>
          <xdr:rowOff>0</xdr:rowOff>
        </xdr:from>
        <xdr:to>
          <xdr:col>7</xdr:col>
          <xdr:colOff>0</xdr:colOff>
          <xdr:row>2829</xdr:row>
          <xdr:rowOff>165100</xdr:rowOff>
        </xdr:to>
        <xdr:sp macro="" textlink="">
          <xdr:nvSpPr>
            <xdr:cNvPr id="1637" name="Button 613" hidden="1">
              <a:extLst>
                <a:ext uri="{63B3BB69-23CF-44E3-9099-C40C66FF867C}">
                  <a14:compatExt spid="_x0000_s1637"/>
                </a:ext>
                <a:ext uri="{FF2B5EF4-FFF2-40B4-BE49-F238E27FC236}">
                  <a16:creationId xmlns:a16="http://schemas.microsoft.com/office/drawing/2014/main" id="{00000000-0008-0000-0100-00006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2830</xdr:row>
          <xdr:rowOff>0</xdr:rowOff>
        </xdr:from>
        <xdr:to>
          <xdr:col>7</xdr:col>
          <xdr:colOff>0</xdr:colOff>
          <xdr:row>2830</xdr:row>
          <xdr:rowOff>165100</xdr:rowOff>
        </xdr:to>
        <xdr:sp macro="" textlink="">
          <xdr:nvSpPr>
            <xdr:cNvPr id="1636" name="Button 612" hidden="1">
              <a:extLst>
                <a:ext uri="{63B3BB69-23CF-44E3-9099-C40C66FF867C}">
                  <a14:compatExt spid="_x0000_s1636"/>
                </a:ext>
                <a:ext uri="{FF2B5EF4-FFF2-40B4-BE49-F238E27FC236}">
                  <a16:creationId xmlns:a16="http://schemas.microsoft.com/office/drawing/2014/main" id="{00000000-0008-0000-0100-00006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2831</xdr:row>
          <xdr:rowOff>0</xdr:rowOff>
        </xdr:from>
        <xdr:to>
          <xdr:col>7</xdr:col>
          <xdr:colOff>0</xdr:colOff>
          <xdr:row>2831</xdr:row>
          <xdr:rowOff>165100</xdr:rowOff>
        </xdr:to>
        <xdr:sp macro="" textlink="">
          <xdr:nvSpPr>
            <xdr:cNvPr id="1635" name="Button 611" hidden="1">
              <a:extLst>
                <a:ext uri="{63B3BB69-23CF-44E3-9099-C40C66FF867C}">
                  <a14:compatExt spid="_x0000_s1635"/>
                </a:ext>
                <a:ext uri="{FF2B5EF4-FFF2-40B4-BE49-F238E27FC236}">
                  <a16:creationId xmlns:a16="http://schemas.microsoft.com/office/drawing/2014/main" id="{00000000-0008-0000-0100-00006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2832</xdr:row>
          <xdr:rowOff>0</xdr:rowOff>
        </xdr:from>
        <xdr:to>
          <xdr:col>7</xdr:col>
          <xdr:colOff>0</xdr:colOff>
          <xdr:row>2832</xdr:row>
          <xdr:rowOff>165100</xdr:rowOff>
        </xdr:to>
        <xdr:sp macro="" textlink="">
          <xdr:nvSpPr>
            <xdr:cNvPr id="1634" name="Button 610" hidden="1">
              <a:extLst>
                <a:ext uri="{63B3BB69-23CF-44E3-9099-C40C66FF867C}">
                  <a14:compatExt spid="_x0000_s1634"/>
                </a:ext>
                <a:ext uri="{FF2B5EF4-FFF2-40B4-BE49-F238E27FC236}">
                  <a16:creationId xmlns:a16="http://schemas.microsoft.com/office/drawing/2014/main" id="{00000000-0008-0000-0100-00006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2833</xdr:row>
          <xdr:rowOff>0</xdr:rowOff>
        </xdr:from>
        <xdr:to>
          <xdr:col>7</xdr:col>
          <xdr:colOff>0</xdr:colOff>
          <xdr:row>2833</xdr:row>
          <xdr:rowOff>165100</xdr:rowOff>
        </xdr:to>
        <xdr:sp macro="" textlink="">
          <xdr:nvSpPr>
            <xdr:cNvPr id="1633" name="Button 609" hidden="1">
              <a:extLst>
                <a:ext uri="{63B3BB69-23CF-44E3-9099-C40C66FF867C}">
                  <a14:compatExt spid="_x0000_s1633"/>
                </a:ext>
                <a:ext uri="{FF2B5EF4-FFF2-40B4-BE49-F238E27FC236}">
                  <a16:creationId xmlns:a16="http://schemas.microsoft.com/office/drawing/2014/main" id="{00000000-0008-0000-0100-00006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2834</xdr:row>
          <xdr:rowOff>0</xdr:rowOff>
        </xdr:from>
        <xdr:to>
          <xdr:col>7</xdr:col>
          <xdr:colOff>0</xdr:colOff>
          <xdr:row>2834</xdr:row>
          <xdr:rowOff>165100</xdr:rowOff>
        </xdr:to>
        <xdr:sp macro="" textlink="">
          <xdr:nvSpPr>
            <xdr:cNvPr id="1632" name="Button 608" hidden="1">
              <a:extLst>
                <a:ext uri="{63B3BB69-23CF-44E3-9099-C40C66FF867C}">
                  <a14:compatExt spid="_x0000_s1632"/>
                </a:ext>
                <a:ext uri="{FF2B5EF4-FFF2-40B4-BE49-F238E27FC236}">
                  <a16:creationId xmlns:a16="http://schemas.microsoft.com/office/drawing/2014/main" id="{00000000-0008-0000-0100-00006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2835</xdr:row>
          <xdr:rowOff>0</xdr:rowOff>
        </xdr:from>
        <xdr:to>
          <xdr:col>7</xdr:col>
          <xdr:colOff>0</xdr:colOff>
          <xdr:row>2835</xdr:row>
          <xdr:rowOff>165100</xdr:rowOff>
        </xdr:to>
        <xdr:sp macro="" textlink="">
          <xdr:nvSpPr>
            <xdr:cNvPr id="1631" name="Button 607" hidden="1">
              <a:extLst>
                <a:ext uri="{63B3BB69-23CF-44E3-9099-C40C66FF867C}">
                  <a14:compatExt spid="_x0000_s1631"/>
                </a:ext>
                <a:ext uri="{FF2B5EF4-FFF2-40B4-BE49-F238E27FC236}">
                  <a16:creationId xmlns:a16="http://schemas.microsoft.com/office/drawing/2014/main" id="{00000000-0008-0000-0100-00005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2836</xdr:row>
          <xdr:rowOff>0</xdr:rowOff>
        </xdr:from>
        <xdr:to>
          <xdr:col>7</xdr:col>
          <xdr:colOff>0</xdr:colOff>
          <xdr:row>2836</xdr:row>
          <xdr:rowOff>165100</xdr:rowOff>
        </xdr:to>
        <xdr:sp macro="" textlink="">
          <xdr:nvSpPr>
            <xdr:cNvPr id="1630" name="Button 606" hidden="1">
              <a:extLst>
                <a:ext uri="{63B3BB69-23CF-44E3-9099-C40C66FF867C}">
                  <a14:compatExt spid="_x0000_s1630"/>
                </a:ext>
                <a:ext uri="{FF2B5EF4-FFF2-40B4-BE49-F238E27FC236}">
                  <a16:creationId xmlns:a16="http://schemas.microsoft.com/office/drawing/2014/main" id="{00000000-0008-0000-0100-00005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2837</xdr:row>
          <xdr:rowOff>0</xdr:rowOff>
        </xdr:from>
        <xdr:to>
          <xdr:col>7</xdr:col>
          <xdr:colOff>0</xdr:colOff>
          <xdr:row>2837</xdr:row>
          <xdr:rowOff>165100</xdr:rowOff>
        </xdr:to>
        <xdr:sp macro="" textlink="">
          <xdr:nvSpPr>
            <xdr:cNvPr id="1629" name="Button 605" hidden="1">
              <a:extLst>
                <a:ext uri="{63B3BB69-23CF-44E3-9099-C40C66FF867C}">
                  <a14:compatExt spid="_x0000_s1629"/>
                </a:ext>
                <a:ext uri="{FF2B5EF4-FFF2-40B4-BE49-F238E27FC236}">
                  <a16:creationId xmlns:a16="http://schemas.microsoft.com/office/drawing/2014/main" id="{00000000-0008-0000-0100-00005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2838</xdr:row>
          <xdr:rowOff>0</xdr:rowOff>
        </xdr:from>
        <xdr:to>
          <xdr:col>7</xdr:col>
          <xdr:colOff>0</xdr:colOff>
          <xdr:row>2838</xdr:row>
          <xdr:rowOff>165100</xdr:rowOff>
        </xdr:to>
        <xdr:sp macro="" textlink="">
          <xdr:nvSpPr>
            <xdr:cNvPr id="1628" name="Button 604" hidden="1">
              <a:extLst>
                <a:ext uri="{63B3BB69-23CF-44E3-9099-C40C66FF867C}">
                  <a14:compatExt spid="_x0000_s1628"/>
                </a:ext>
                <a:ext uri="{FF2B5EF4-FFF2-40B4-BE49-F238E27FC236}">
                  <a16:creationId xmlns:a16="http://schemas.microsoft.com/office/drawing/2014/main" id="{00000000-0008-0000-0100-00005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2839</xdr:row>
          <xdr:rowOff>0</xdr:rowOff>
        </xdr:from>
        <xdr:to>
          <xdr:col>7</xdr:col>
          <xdr:colOff>0</xdr:colOff>
          <xdr:row>2839</xdr:row>
          <xdr:rowOff>165100</xdr:rowOff>
        </xdr:to>
        <xdr:sp macro="" textlink="">
          <xdr:nvSpPr>
            <xdr:cNvPr id="1627" name="Button 603" hidden="1">
              <a:extLst>
                <a:ext uri="{63B3BB69-23CF-44E3-9099-C40C66FF867C}">
                  <a14:compatExt spid="_x0000_s1627"/>
                </a:ext>
                <a:ext uri="{FF2B5EF4-FFF2-40B4-BE49-F238E27FC236}">
                  <a16:creationId xmlns:a16="http://schemas.microsoft.com/office/drawing/2014/main" id="{00000000-0008-0000-0100-00005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2840</xdr:row>
          <xdr:rowOff>0</xdr:rowOff>
        </xdr:from>
        <xdr:to>
          <xdr:col>7</xdr:col>
          <xdr:colOff>0</xdr:colOff>
          <xdr:row>2840</xdr:row>
          <xdr:rowOff>165100</xdr:rowOff>
        </xdr:to>
        <xdr:sp macro="" textlink="">
          <xdr:nvSpPr>
            <xdr:cNvPr id="1626" name="Button 602" hidden="1">
              <a:extLst>
                <a:ext uri="{63B3BB69-23CF-44E3-9099-C40C66FF867C}">
                  <a14:compatExt spid="_x0000_s1626"/>
                </a:ext>
                <a:ext uri="{FF2B5EF4-FFF2-40B4-BE49-F238E27FC236}">
                  <a16:creationId xmlns:a16="http://schemas.microsoft.com/office/drawing/2014/main" id="{00000000-0008-0000-0100-00005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2841</xdr:row>
          <xdr:rowOff>0</xdr:rowOff>
        </xdr:from>
        <xdr:to>
          <xdr:col>7</xdr:col>
          <xdr:colOff>0</xdr:colOff>
          <xdr:row>2841</xdr:row>
          <xdr:rowOff>165100</xdr:rowOff>
        </xdr:to>
        <xdr:sp macro="" textlink="">
          <xdr:nvSpPr>
            <xdr:cNvPr id="1625" name="Button 601" hidden="1">
              <a:extLst>
                <a:ext uri="{63B3BB69-23CF-44E3-9099-C40C66FF867C}">
                  <a14:compatExt spid="_x0000_s1625"/>
                </a:ext>
                <a:ext uri="{FF2B5EF4-FFF2-40B4-BE49-F238E27FC236}">
                  <a16:creationId xmlns:a16="http://schemas.microsoft.com/office/drawing/2014/main" id="{00000000-0008-0000-0100-00005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2842</xdr:row>
          <xdr:rowOff>0</xdr:rowOff>
        </xdr:from>
        <xdr:to>
          <xdr:col>7</xdr:col>
          <xdr:colOff>0</xdr:colOff>
          <xdr:row>2842</xdr:row>
          <xdr:rowOff>165100</xdr:rowOff>
        </xdr:to>
        <xdr:sp macro="" textlink="">
          <xdr:nvSpPr>
            <xdr:cNvPr id="1624" name="Button 600" hidden="1">
              <a:extLst>
                <a:ext uri="{63B3BB69-23CF-44E3-9099-C40C66FF867C}">
                  <a14:compatExt spid="_x0000_s1624"/>
                </a:ext>
                <a:ext uri="{FF2B5EF4-FFF2-40B4-BE49-F238E27FC236}">
                  <a16:creationId xmlns:a16="http://schemas.microsoft.com/office/drawing/2014/main" id="{00000000-0008-0000-0100-00005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2843</xdr:row>
          <xdr:rowOff>0</xdr:rowOff>
        </xdr:from>
        <xdr:to>
          <xdr:col>7</xdr:col>
          <xdr:colOff>0</xdr:colOff>
          <xdr:row>2843</xdr:row>
          <xdr:rowOff>165100</xdr:rowOff>
        </xdr:to>
        <xdr:sp macro="" textlink="">
          <xdr:nvSpPr>
            <xdr:cNvPr id="1623" name="Button 599" hidden="1">
              <a:extLst>
                <a:ext uri="{63B3BB69-23CF-44E3-9099-C40C66FF867C}">
                  <a14:compatExt spid="_x0000_s1623"/>
                </a:ext>
                <a:ext uri="{FF2B5EF4-FFF2-40B4-BE49-F238E27FC236}">
                  <a16:creationId xmlns:a16="http://schemas.microsoft.com/office/drawing/2014/main" id="{00000000-0008-0000-0100-00005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2844</xdr:row>
          <xdr:rowOff>0</xdr:rowOff>
        </xdr:from>
        <xdr:to>
          <xdr:col>7</xdr:col>
          <xdr:colOff>0</xdr:colOff>
          <xdr:row>2844</xdr:row>
          <xdr:rowOff>165100</xdr:rowOff>
        </xdr:to>
        <xdr:sp macro="" textlink="">
          <xdr:nvSpPr>
            <xdr:cNvPr id="1622" name="Button 598" hidden="1">
              <a:extLst>
                <a:ext uri="{63B3BB69-23CF-44E3-9099-C40C66FF867C}">
                  <a14:compatExt spid="_x0000_s1622"/>
                </a:ext>
                <a:ext uri="{FF2B5EF4-FFF2-40B4-BE49-F238E27FC236}">
                  <a16:creationId xmlns:a16="http://schemas.microsoft.com/office/drawing/2014/main" id="{00000000-0008-0000-0100-00005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2845</xdr:row>
          <xdr:rowOff>0</xdr:rowOff>
        </xdr:from>
        <xdr:to>
          <xdr:col>7</xdr:col>
          <xdr:colOff>0</xdr:colOff>
          <xdr:row>2845</xdr:row>
          <xdr:rowOff>165100</xdr:rowOff>
        </xdr:to>
        <xdr:sp macro="" textlink="">
          <xdr:nvSpPr>
            <xdr:cNvPr id="1621" name="Button 597" hidden="1">
              <a:extLst>
                <a:ext uri="{63B3BB69-23CF-44E3-9099-C40C66FF867C}">
                  <a14:compatExt spid="_x0000_s1621"/>
                </a:ext>
                <a:ext uri="{FF2B5EF4-FFF2-40B4-BE49-F238E27FC236}">
                  <a16:creationId xmlns:a16="http://schemas.microsoft.com/office/drawing/2014/main" id="{00000000-0008-0000-0100-00005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2846</xdr:row>
          <xdr:rowOff>0</xdr:rowOff>
        </xdr:from>
        <xdr:to>
          <xdr:col>7</xdr:col>
          <xdr:colOff>0</xdr:colOff>
          <xdr:row>2846</xdr:row>
          <xdr:rowOff>165100</xdr:rowOff>
        </xdr:to>
        <xdr:sp macro="" textlink="">
          <xdr:nvSpPr>
            <xdr:cNvPr id="1620" name="Button 596" hidden="1">
              <a:extLst>
                <a:ext uri="{63B3BB69-23CF-44E3-9099-C40C66FF867C}">
                  <a14:compatExt spid="_x0000_s1620"/>
                </a:ext>
                <a:ext uri="{FF2B5EF4-FFF2-40B4-BE49-F238E27FC236}">
                  <a16:creationId xmlns:a16="http://schemas.microsoft.com/office/drawing/2014/main" id="{00000000-0008-0000-0100-00005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2847</xdr:row>
          <xdr:rowOff>0</xdr:rowOff>
        </xdr:from>
        <xdr:to>
          <xdr:col>7</xdr:col>
          <xdr:colOff>0</xdr:colOff>
          <xdr:row>2847</xdr:row>
          <xdr:rowOff>165100</xdr:rowOff>
        </xdr:to>
        <xdr:sp macro="" textlink="">
          <xdr:nvSpPr>
            <xdr:cNvPr id="1619" name="Button 595" hidden="1">
              <a:extLst>
                <a:ext uri="{63B3BB69-23CF-44E3-9099-C40C66FF867C}">
                  <a14:compatExt spid="_x0000_s1619"/>
                </a:ext>
                <a:ext uri="{FF2B5EF4-FFF2-40B4-BE49-F238E27FC236}">
                  <a16:creationId xmlns:a16="http://schemas.microsoft.com/office/drawing/2014/main" id="{00000000-0008-0000-0100-00005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2848</xdr:row>
          <xdr:rowOff>0</xdr:rowOff>
        </xdr:from>
        <xdr:to>
          <xdr:col>7</xdr:col>
          <xdr:colOff>0</xdr:colOff>
          <xdr:row>2848</xdr:row>
          <xdr:rowOff>165100</xdr:rowOff>
        </xdr:to>
        <xdr:sp macro="" textlink="">
          <xdr:nvSpPr>
            <xdr:cNvPr id="1618" name="Button 594" hidden="1">
              <a:extLst>
                <a:ext uri="{63B3BB69-23CF-44E3-9099-C40C66FF867C}">
                  <a14:compatExt spid="_x0000_s1618"/>
                </a:ext>
                <a:ext uri="{FF2B5EF4-FFF2-40B4-BE49-F238E27FC236}">
                  <a16:creationId xmlns:a16="http://schemas.microsoft.com/office/drawing/2014/main" id="{00000000-0008-0000-0100-00005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2849</xdr:row>
          <xdr:rowOff>0</xdr:rowOff>
        </xdr:from>
        <xdr:to>
          <xdr:col>7</xdr:col>
          <xdr:colOff>0</xdr:colOff>
          <xdr:row>2849</xdr:row>
          <xdr:rowOff>165100</xdr:rowOff>
        </xdr:to>
        <xdr:sp macro="" textlink="">
          <xdr:nvSpPr>
            <xdr:cNvPr id="1617" name="Button 593" hidden="1">
              <a:extLst>
                <a:ext uri="{63B3BB69-23CF-44E3-9099-C40C66FF867C}">
                  <a14:compatExt spid="_x0000_s1617"/>
                </a:ext>
                <a:ext uri="{FF2B5EF4-FFF2-40B4-BE49-F238E27FC236}">
                  <a16:creationId xmlns:a16="http://schemas.microsoft.com/office/drawing/2014/main" id="{00000000-0008-0000-0100-00005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2850</xdr:row>
          <xdr:rowOff>0</xdr:rowOff>
        </xdr:from>
        <xdr:to>
          <xdr:col>7</xdr:col>
          <xdr:colOff>0</xdr:colOff>
          <xdr:row>2850</xdr:row>
          <xdr:rowOff>165100</xdr:rowOff>
        </xdr:to>
        <xdr:sp macro="" textlink="">
          <xdr:nvSpPr>
            <xdr:cNvPr id="1616" name="Button 592" hidden="1">
              <a:extLst>
                <a:ext uri="{63B3BB69-23CF-44E3-9099-C40C66FF867C}">
                  <a14:compatExt spid="_x0000_s1616"/>
                </a:ext>
                <a:ext uri="{FF2B5EF4-FFF2-40B4-BE49-F238E27FC236}">
                  <a16:creationId xmlns:a16="http://schemas.microsoft.com/office/drawing/2014/main" id="{00000000-0008-0000-0100-00005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2851</xdr:row>
          <xdr:rowOff>0</xdr:rowOff>
        </xdr:from>
        <xdr:to>
          <xdr:col>7</xdr:col>
          <xdr:colOff>0</xdr:colOff>
          <xdr:row>2851</xdr:row>
          <xdr:rowOff>165100</xdr:rowOff>
        </xdr:to>
        <xdr:sp macro="" textlink="">
          <xdr:nvSpPr>
            <xdr:cNvPr id="1615" name="Button 591" hidden="1">
              <a:extLst>
                <a:ext uri="{63B3BB69-23CF-44E3-9099-C40C66FF867C}">
                  <a14:compatExt spid="_x0000_s1615"/>
                </a:ext>
                <a:ext uri="{FF2B5EF4-FFF2-40B4-BE49-F238E27FC236}">
                  <a16:creationId xmlns:a16="http://schemas.microsoft.com/office/drawing/2014/main" id="{00000000-0008-0000-0100-00004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2852</xdr:row>
          <xdr:rowOff>0</xdr:rowOff>
        </xdr:from>
        <xdr:to>
          <xdr:col>7</xdr:col>
          <xdr:colOff>0</xdr:colOff>
          <xdr:row>2852</xdr:row>
          <xdr:rowOff>165100</xdr:rowOff>
        </xdr:to>
        <xdr:sp macro="" textlink="">
          <xdr:nvSpPr>
            <xdr:cNvPr id="1614" name="Button 590" hidden="1">
              <a:extLst>
                <a:ext uri="{63B3BB69-23CF-44E3-9099-C40C66FF867C}">
                  <a14:compatExt spid="_x0000_s1614"/>
                </a:ext>
                <a:ext uri="{FF2B5EF4-FFF2-40B4-BE49-F238E27FC236}">
                  <a16:creationId xmlns:a16="http://schemas.microsoft.com/office/drawing/2014/main" id="{00000000-0008-0000-0100-00004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2853</xdr:row>
          <xdr:rowOff>0</xdr:rowOff>
        </xdr:from>
        <xdr:to>
          <xdr:col>7</xdr:col>
          <xdr:colOff>0</xdr:colOff>
          <xdr:row>2853</xdr:row>
          <xdr:rowOff>165100</xdr:rowOff>
        </xdr:to>
        <xdr:sp macro="" textlink="">
          <xdr:nvSpPr>
            <xdr:cNvPr id="1613" name="Button 589" hidden="1">
              <a:extLst>
                <a:ext uri="{63B3BB69-23CF-44E3-9099-C40C66FF867C}">
                  <a14:compatExt spid="_x0000_s1613"/>
                </a:ext>
                <a:ext uri="{FF2B5EF4-FFF2-40B4-BE49-F238E27FC236}">
                  <a16:creationId xmlns:a16="http://schemas.microsoft.com/office/drawing/2014/main" id="{00000000-0008-0000-0100-00004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2854</xdr:row>
          <xdr:rowOff>0</xdr:rowOff>
        </xdr:from>
        <xdr:to>
          <xdr:col>7</xdr:col>
          <xdr:colOff>0</xdr:colOff>
          <xdr:row>2854</xdr:row>
          <xdr:rowOff>165100</xdr:rowOff>
        </xdr:to>
        <xdr:sp macro="" textlink="">
          <xdr:nvSpPr>
            <xdr:cNvPr id="1612" name="Button 588" hidden="1">
              <a:extLst>
                <a:ext uri="{63B3BB69-23CF-44E3-9099-C40C66FF867C}">
                  <a14:compatExt spid="_x0000_s1612"/>
                </a:ext>
                <a:ext uri="{FF2B5EF4-FFF2-40B4-BE49-F238E27FC236}">
                  <a16:creationId xmlns:a16="http://schemas.microsoft.com/office/drawing/2014/main" id="{00000000-0008-0000-0100-00004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2855</xdr:row>
          <xdr:rowOff>0</xdr:rowOff>
        </xdr:from>
        <xdr:to>
          <xdr:col>7</xdr:col>
          <xdr:colOff>0</xdr:colOff>
          <xdr:row>2855</xdr:row>
          <xdr:rowOff>165100</xdr:rowOff>
        </xdr:to>
        <xdr:sp macro="" textlink="">
          <xdr:nvSpPr>
            <xdr:cNvPr id="1611" name="Button 587" hidden="1">
              <a:extLst>
                <a:ext uri="{63B3BB69-23CF-44E3-9099-C40C66FF867C}">
                  <a14:compatExt spid="_x0000_s1611"/>
                </a:ext>
                <a:ext uri="{FF2B5EF4-FFF2-40B4-BE49-F238E27FC236}">
                  <a16:creationId xmlns:a16="http://schemas.microsoft.com/office/drawing/2014/main" id="{00000000-0008-0000-0100-00004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2856</xdr:row>
          <xdr:rowOff>0</xdr:rowOff>
        </xdr:from>
        <xdr:to>
          <xdr:col>7</xdr:col>
          <xdr:colOff>0</xdr:colOff>
          <xdr:row>2856</xdr:row>
          <xdr:rowOff>165100</xdr:rowOff>
        </xdr:to>
        <xdr:sp macro="" textlink="">
          <xdr:nvSpPr>
            <xdr:cNvPr id="1610" name="Button 586" hidden="1">
              <a:extLst>
                <a:ext uri="{63B3BB69-23CF-44E3-9099-C40C66FF867C}">
                  <a14:compatExt spid="_x0000_s1610"/>
                </a:ext>
                <a:ext uri="{FF2B5EF4-FFF2-40B4-BE49-F238E27FC236}">
                  <a16:creationId xmlns:a16="http://schemas.microsoft.com/office/drawing/2014/main" id="{00000000-0008-0000-0100-00004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2857</xdr:row>
          <xdr:rowOff>0</xdr:rowOff>
        </xdr:from>
        <xdr:to>
          <xdr:col>7</xdr:col>
          <xdr:colOff>0</xdr:colOff>
          <xdr:row>2857</xdr:row>
          <xdr:rowOff>165100</xdr:rowOff>
        </xdr:to>
        <xdr:sp macro="" textlink="">
          <xdr:nvSpPr>
            <xdr:cNvPr id="1609" name="Button 585" hidden="1">
              <a:extLst>
                <a:ext uri="{63B3BB69-23CF-44E3-9099-C40C66FF867C}">
                  <a14:compatExt spid="_x0000_s1609"/>
                </a:ext>
                <a:ext uri="{FF2B5EF4-FFF2-40B4-BE49-F238E27FC236}">
                  <a16:creationId xmlns:a16="http://schemas.microsoft.com/office/drawing/2014/main" id="{00000000-0008-0000-0100-00004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2858</xdr:row>
          <xdr:rowOff>0</xdr:rowOff>
        </xdr:from>
        <xdr:to>
          <xdr:col>7</xdr:col>
          <xdr:colOff>0</xdr:colOff>
          <xdr:row>2858</xdr:row>
          <xdr:rowOff>165100</xdr:rowOff>
        </xdr:to>
        <xdr:sp macro="" textlink="">
          <xdr:nvSpPr>
            <xdr:cNvPr id="1608" name="Button 584" hidden="1">
              <a:extLst>
                <a:ext uri="{63B3BB69-23CF-44E3-9099-C40C66FF867C}">
                  <a14:compatExt spid="_x0000_s1608"/>
                </a:ext>
                <a:ext uri="{FF2B5EF4-FFF2-40B4-BE49-F238E27FC236}">
                  <a16:creationId xmlns:a16="http://schemas.microsoft.com/office/drawing/2014/main" id="{00000000-0008-0000-0100-00004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2859</xdr:row>
          <xdr:rowOff>0</xdr:rowOff>
        </xdr:from>
        <xdr:to>
          <xdr:col>7</xdr:col>
          <xdr:colOff>0</xdr:colOff>
          <xdr:row>2859</xdr:row>
          <xdr:rowOff>165100</xdr:rowOff>
        </xdr:to>
        <xdr:sp macro="" textlink="">
          <xdr:nvSpPr>
            <xdr:cNvPr id="1607" name="Button 583" hidden="1">
              <a:extLst>
                <a:ext uri="{63B3BB69-23CF-44E3-9099-C40C66FF867C}">
                  <a14:compatExt spid="_x0000_s1607"/>
                </a:ext>
                <a:ext uri="{FF2B5EF4-FFF2-40B4-BE49-F238E27FC236}">
                  <a16:creationId xmlns:a16="http://schemas.microsoft.com/office/drawing/2014/main" id="{00000000-0008-0000-0100-00004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2860</xdr:row>
          <xdr:rowOff>0</xdr:rowOff>
        </xdr:from>
        <xdr:to>
          <xdr:col>7</xdr:col>
          <xdr:colOff>0</xdr:colOff>
          <xdr:row>2860</xdr:row>
          <xdr:rowOff>165100</xdr:rowOff>
        </xdr:to>
        <xdr:sp macro="" textlink="">
          <xdr:nvSpPr>
            <xdr:cNvPr id="1606" name="Button 582" hidden="1">
              <a:extLst>
                <a:ext uri="{63B3BB69-23CF-44E3-9099-C40C66FF867C}">
                  <a14:compatExt spid="_x0000_s1606"/>
                </a:ext>
                <a:ext uri="{FF2B5EF4-FFF2-40B4-BE49-F238E27FC236}">
                  <a16:creationId xmlns:a16="http://schemas.microsoft.com/office/drawing/2014/main" id="{00000000-0008-0000-0100-00004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2861</xdr:row>
          <xdr:rowOff>0</xdr:rowOff>
        </xdr:from>
        <xdr:to>
          <xdr:col>7</xdr:col>
          <xdr:colOff>0</xdr:colOff>
          <xdr:row>2861</xdr:row>
          <xdr:rowOff>165100</xdr:rowOff>
        </xdr:to>
        <xdr:sp macro="" textlink="">
          <xdr:nvSpPr>
            <xdr:cNvPr id="1605" name="Button 581" hidden="1">
              <a:extLst>
                <a:ext uri="{63B3BB69-23CF-44E3-9099-C40C66FF867C}">
                  <a14:compatExt spid="_x0000_s1605"/>
                </a:ext>
                <a:ext uri="{FF2B5EF4-FFF2-40B4-BE49-F238E27FC236}">
                  <a16:creationId xmlns:a16="http://schemas.microsoft.com/office/drawing/2014/main" id="{00000000-0008-0000-0100-00004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2862</xdr:row>
          <xdr:rowOff>0</xdr:rowOff>
        </xdr:from>
        <xdr:to>
          <xdr:col>7</xdr:col>
          <xdr:colOff>0</xdr:colOff>
          <xdr:row>2862</xdr:row>
          <xdr:rowOff>165100</xdr:rowOff>
        </xdr:to>
        <xdr:sp macro="" textlink="">
          <xdr:nvSpPr>
            <xdr:cNvPr id="1604" name="Button 580" hidden="1">
              <a:extLst>
                <a:ext uri="{63B3BB69-23CF-44E3-9099-C40C66FF867C}">
                  <a14:compatExt spid="_x0000_s1604"/>
                </a:ext>
                <a:ext uri="{FF2B5EF4-FFF2-40B4-BE49-F238E27FC236}">
                  <a16:creationId xmlns:a16="http://schemas.microsoft.com/office/drawing/2014/main" id="{00000000-0008-0000-0100-00004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2865</xdr:row>
          <xdr:rowOff>0</xdr:rowOff>
        </xdr:from>
        <xdr:to>
          <xdr:col>7</xdr:col>
          <xdr:colOff>0</xdr:colOff>
          <xdr:row>2866</xdr:row>
          <xdr:rowOff>0</xdr:rowOff>
        </xdr:to>
        <xdr:sp macro="" textlink="">
          <xdr:nvSpPr>
            <xdr:cNvPr id="1603" name="Button 579" hidden="1">
              <a:extLst>
                <a:ext uri="{63B3BB69-23CF-44E3-9099-C40C66FF867C}">
                  <a14:compatExt spid="_x0000_s1603"/>
                </a:ext>
                <a:ext uri="{FF2B5EF4-FFF2-40B4-BE49-F238E27FC236}">
                  <a16:creationId xmlns:a16="http://schemas.microsoft.com/office/drawing/2014/main" id="{00000000-0008-0000-0100-00004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2872</xdr:row>
          <xdr:rowOff>0</xdr:rowOff>
        </xdr:from>
        <xdr:to>
          <xdr:col>7</xdr:col>
          <xdr:colOff>0</xdr:colOff>
          <xdr:row>2872</xdr:row>
          <xdr:rowOff>171450</xdr:rowOff>
        </xdr:to>
        <xdr:sp macro="" textlink="">
          <xdr:nvSpPr>
            <xdr:cNvPr id="1602" name="Button 578" hidden="1">
              <a:extLst>
                <a:ext uri="{63B3BB69-23CF-44E3-9099-C40C66FF867C}">
                  <a14:compatExt spid="_x0000_s1602"/>
                </a:ext>
                <a:ext uri="{FF2B5EF4-FFF2-40B4-BE49-F238E27FC236}">
                  <a16:creationId xmlns:a16="http://schemas.microsoft.com/office/drawing/2014/main" id="{00000000-0008-0000-0100-00004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2873</xdr:row>
          <xdr:rowOff>0</xdr:rowOff>
        </xdr:from>
        <xdr:to>
          <xdr:col>7</xdr:col>
          <xdr:colOff>0</xdr:colOff>
          <xdr:row>2873</xdr:row>
          <xdr:rowOff>165100</xdr:rowOff>
        </xdr:to>
        <xdr:sp macro="" textlink="">
          <xdr:nvSpPr>
            <xdr:cNvPr id="1601" name="Button 577" hidden="1">
              <a:extLst>
                <a:ext uri="{63B3BB69-23CF-44E3-9099-C40C66FF867C}">
                  <a14:compatExt spid="_x0000_s1601"/>
                </a:ext>
                <a:ext uri="{FF2B5EF4-FFF2-40B4-BE49-F238E27FC236}">
                  <a16:creationId xmlns:a16="http://schemas.microsoft.com/office/drawing/2014/main" id="{00000000-0008-0000-0100-00004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2874</xdr:row>
          <xdr:rowOff>0</xdr:rowOff>
        </xdr:from>
        <xdr:to>
          <xdr:col>7</xdr:col>
          <xdr:colOff>0</xdr:colOff>
          <xdr:row>2874</xdr:row>
          <xdr:rowOff>165100</xdr:rowOff>
        </xdr:to>
        <xdr:sp macro="" textlink="">
          <xdr:nvSpPr>
            <xdr:cNvPr id="1600" name="Button 576" hidden="1">
              <a:extLst>
                <a:ext uri="{63B3BB69-23CF-44E3-9099-C40C66FF867C}">
                  <a14:compatExt spid="_x0000_s1600"/>
                </a:ext>
                <a:ext uri="{FF2B5EF4-FFF2-40B4-BE49-F238E27FC236}">
                  <a16:creationId xmlns:a16="http://schemas.microsoft.com/office/drawing/2014/main" id="{00000000-0008-0000-0100-00004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2875</xdr:row>
          <xdr:rowOff>0</xdr:rowOff>
        </xdr:from>
        <xdr:to>
          <xdr:col>7</xdr:col>
          <xdr:colOff>0</xdr:colOff>
          <xdr:row>2875</xdr:row>
          <xdr:rowOff>165100</xdr:rowOff>
        </xdr:to>
        <xdr:sp macro="" textlink="">
          <xdr:nvSpPr>
            <xdr:cNvPr id="1599" name="Button 575" hidden="1">
              <a:extLst>
                <a:ext uri="{63B3BB69-23CF-44E3-9099-C40C66FF867C}">
                  <a14:compatExt spid="_x0000_s1599"/>
                </a:ext>
                <a:ext uri="{FF2B5EF4-FFF2-40B4-BE49-F238E27FC236}">
                  <a16:creationId xmlns:a16="http://schemas.microsoft.com/office/drawing/2014/main" id="{00000000-0008-0000-0100-00003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2876</xdr:row>
          <xdr:rowOff>0</xdr:rowOff>
        </xdr:from>
        <xdr:to>
          <xdr:col>7</xdr:col>
          <xdr:colOff>0</xdr:colOff>
          <xdr:row>2876</xdr:row>
          <xdr:rowOff>165100</xdr:rowOff>
        </xdr:to>
        <xdr:sp macro="" textlink="">
          <xdr:nvSpPr>
            <xdr:cNvPr id="1598" name="Button 574" hidden="1">
              <a:extLst>
                <a:ext uri="{63B3BB69-23CF-44E3-9099-C40C66FF867C}">
                  <a14:compatExt spid="_x0000_s1598"/>
                </a:ext>
                <a:ext uri="{FF2B5EF4-FFF2-40B4-BE49-F238E27FC236}">
                  <a16:creationId xmlns:a16="http://schemas.microsoft.com/office/drawing/2014/main" id="{00000000-0008-0000-0100-00003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2877</xdr:row>
          <xdr:rowOff>0</xdr:rowOff>
        </xdr:from>
        <xdr:to>
          <xdr:col>7</xdr:col>
          <xdr:colOff>0</xdr:colOff>
          <xdr:row>2877</xdr:row>
          <xdr:rowOff>165100</xdr:rowOff>
        </xdr:to>
        <xdr:sp macro="" textlink="">
          <xdr:nvSpPr>
            <xdr:cNvPr id="1597" name="Button 573" hidden="1">
              <a:extLst>
                <a:ext uri="{63B3BB69-23CF-44E3-9099-C40C66FF867C}">
                  <a14:compatExt spid="_x0000_s1597"/>
                </a:ext>
                <a:ext uri="{FF2B5EF4-FFF2-40B4-BE49-F238E27FC236}">
                  <a16:creationId xmlns:a16="http://schemas.microsoft.com/office/drawing/2014/main" id="{00000000-0008-0000-0100-00003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2878</xdr:row>
          <xdr:rowOff>0</xdr:rowOff>
        </xdr:from>
        <xdr:to>
          <xdr:col>7</xdr:col>
          <xdr:colOff>0</xdr:colOff>
          <xdr:row>2878</xdr:row>
          <xdr:rowOff>165100</xdr:rowOff>
        </xdr:to>
        <xdr:sp macro="" textlink="">
          <xdr:nvSpPr>
            <xdr:cNvPr id="1596" name="Button 572" hidden="1">
              <a:extLst>
                <a:ext uri="{63B3BB69-23CF-44E3-9099-C40C66FF867C}">
                  <a14:compatExt spid="_x0000_s1596"/>
                </a:ext>
                <a:ext uri="{FF2B5EF4-FFF2-40B4-BE49-F238E27FC236}">
                  <a16:creationId xmlns:a16="http://schemas.microsoft.com/office/drawing/2014/main" id="{00000000-0008-0000-0100-00003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2879</xdr:row>
          <xdr:rowOff>0</xdr:rowOff>
        </xdr:from>
        <xdr:to>
          <xdr:col>7</xdr:col>
          <xdr:colOff>0</xdr:colOff>
          <xdr:row>2879</xdr:row>
          <xdr:rowOff>165100</xdr:rowOff>
        </xdr:to>
        <xdr:sp macro="" textlink="">
          <xdr:nvSpPr>
            <xdr:cNvPr id="1595" name="Button 571" hidden="1">
              <a:extLst>
                <a:ext uri="{63B3BB69-23CF-44E3-9099-C40C66FF867C}">
                  <a14:compatExt spid="_x0000_s1595"/>
                </a:ext>
                <a:ext uri="{FF2B5EF4-FFF2-40B4-BE49-F238E27FC236}">
                  <a16:creationId xmlns:a16="http://schemas.microsoft.com/office/drawing/2014/main" id="{00000000-0008-0000-0100-00003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2880</xdr:row>
          <xdr:rowOff>0</xdr:rowOff>
        </xdr:from>
        <xdr:to>
          <xdr:col>7</xdr:col>
          <xdr:colOff>0</xdr:colOff>
          <xdr:row>2880</xdr:row>
          <xdr:rowOff>165100</xdr:rowOff>
        </xdr:to>
        <xdr:sp macro="" textlink="">
          <xdr:nvSpPr>
            <xdr:cNvPr id="1594" name="Button 570" hidden="1">
              <a:extLst>
                <a:ext uri="{63B3BB69-23CF-44E3-9099-C40C66FF867C}">
                  <a14:compatExt spid="_x0000_s1594"/>
                </a:ext>
                <a:ext uri="{FF2B5EF4-FFF2-40B4-BE49-F238E27FC236}">
                  <a16:creationId xmlns:a16="http://schemas.microsoft.com/office/drawing/2014/main" id="{00000000-0008-0000-0100-00003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2881</xdr:row>
          <xdr:rowOff>0</xdr:rowOff>
        </xdr:from>
        <xdr:to>
          <xdr:col>7</xdr:col>
          <xdr:colOff>0</xdr:colOff>
          <xdr:row>2881</xdr:row>
          <xdr:rowOff>165100</xdr:rowOff>
        </xdr:to>
        <xdr:sp macro="" textlink="">
          <xdr:nvSpPr>
            <xdr:cNvPr id="1593" name="Button 569" hidden="1">
              <a:extLst>
                <a:ext uri="{63B3BB69-23CF-44E3-9099-C40C66FF867C}">
                  <a14:compatExt spid="_x0000_s1593"/>
                </a:ext>
                <a:ext uri="{FF2B5EF4-FFF2-40B4-BE49-F238E27FC236}">
                  <a16:creationId xmlns:a16="http://schemas.microsoft.com/office/drawing/2014/main" id="{00000000-0008-0000-0100-00003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2882</xdr:row>
          <xdr:rowOff>0</xdr:rowOff>
        </xdr:from>
        <xdr:to>
          <xdr:col>7</xdr:col>
          <xdr:colOff>0</xdr:colOff>
          <xdr:row>2882</xdr:row>
          <xdr:rowOff>165100</xdr:rowOff>
        </xdr:to>
        <xdr:sp macro="" textlink="">
          <xdr:nvSpPr>
            <xdr:cNvPr id="1592" name="Button 568" hidden="1">
              <a:extLst>
                <a:ext uri="{63B3BB69-23CF-44E3-9099-C40C66FF867C}">
                  <a14:compatExt spid="_x0000_s1592"/>
                </a:ext>
                <a:ext uri="{FF2B5EF4-FFF2-40B4-BE49-F238E27FC236}">
                  <a16:creationId xmlns:a16="http://schemas.microsoft.com/office/drawing/2014/main" id="{00000000-0008-0000-0100-00003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2883</xdr:row>
          <xdr:rowOff>0</xdr:rowOff>
        </xdr:from>
        <xdr:to>
          <xdr:col>7</xdr:col>
          <xdr:colOff>0</xdr:colOff>
          <xdr:row>2883</xdr:row>
          <xdr:rowOff>165100</xdr:rowOff>
        </xdr:to>
        <xdr:sp macro="" textlink="">
          <xdr:nvSpPr>
            <xdr:cNvPr id="1591" name="Button 567" hidden="1">
              <a:extLst>
                <a:ext uri="{63B3BB69-23CF-44E3-9099-C40C66FF867C}">
                  <a14:compatExt spid="_x0000_s1591"/>
                </a:ext>
                <a:ext uri="{FF2B5EF4-FFF2-40B4-BE49-F238E27FC236}">
                  <a16:creationId xmlns:a16="http://schemas.microsoft.com/office/drawing/2014/main" id="{00000000-0008-0000-0100-00003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2884</xdr:row>
          <xdr:rowOff>0</xdr:rowOff>
        </xdr:from>
        <xdr:to>
          <xdr:col>7</xdr:col>
          <xdr:colOff>0</xdr:colOff>
          <xdr:row>2884</xdr:row>
          <xdr:rowOff>165100</xdr:rowOff>
        </xdr:to>
        <xdr:sp macro="" textlink="">
          <xdr:nvSpPr>
            <xdr:cNvPr id="1590" name="Button 566" hidden="1">
              <a:extLst>
                <a:ext uri="{63B3BB69-23CF-44E3-9099-C40C66FF867C}">
                  <a14:compatExt spid="_x0000_s1590"/>
                </a:ext>
                <a:ext uri="{FF2B5EF4-FFF2-40B4-BE49-F238E27FC236}">
                  <a16:creationId xmlns:a16="http://schemas.microsoft.com/office/drawing/2014/main" id="{00000000-0008-0000-0100-00003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2885</xdr:row>
          <xdr:rowOff>0</xdr:rowOff>
        </xdr:from>
        <xdr:to>
          <xdr:col>7</xdr:col>
          <xdr:colOff>0</xdr:colOff>
          <xdr:row>2885</xdr:row>
          <xdr:rowOff>165100</xdr:rowOff>
        </xdr:to>
        <xdr:sp macro="" textlink="">
          <xdr:nvSpPr>
            <xdr:cNvPr id="1589" name="Button 565" hidden="1">
              <a:extLst>
                <a:ext uri="{63B3BB69-23CF-44E3-9099-C40C66FF867C}">
                  <a14:compatExt spid="_x0000_s1589"/>
                </a:ext>
                <a:ext uri="{FF2B5EF4-FFF2-40B4-BE49-F238E27FC236}">
                  <a16:creationId xmlns:a16="http://schemas.microsoft.com/office/drawing/2014/main" id="{00000000-0008-0000-0100-00003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2886</xdr:row>
          <xdr:rowOff>0</xdr:rowOff>
        </xdr:from>
        <xdr:to>
          <xdr:col>7</xdr:col>
          <xdr:colOff>0</xdr:colOff>
          <xdr:row>2886</xdr:row>
          <xdr:rowOff>165100</xdr:rowOff>
        </xdr:to>
        <xdr:sp macro="" textlink="">
          <xdr:nvSpPr>
            <xdr:cNvPr id="1588" name="Button 564" hidden="1">
              <a:extLst>
                <a:ext uri="{63B3BB69-23CF-44E3-9099-C40C66FF867C}">
                  <a14:compatExt spid="_x0000_s1588"/>
                </a:ext>
                <a:ext uri="{FF2B5EF4-FFF2-40B4-BE49-F238E27FC236}">
                  <a16:creationId xmlns:a16="http://schemas.microsoft.com/office/drawing/2014/main" id="{00000000-0008-0000-0100-00003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2887</xdr:row>
          <xdr:rowOff>0</xdr:rowOff>
        </xdr:from>
        <xdr:to>
          <xdr:col>7</xdr:col>
          <xdr:colOff>0</xdr:colOff>
          <xdr:row>2887</xdr:row>
          <xdr:rowOff>165100</xdr:rowOff>
        </xdr:to>
        <xdr:sp macro="" textlink="">
          <xdr:nvSpPr>
            <xdr:cNvPr id="1587" name="Button 563" hidden="1">
              <a:extLst>
                <a:ext uri="{63B3BB69-23CF-44E3-9099-C40C66FF867C}">
                  <a14:compatExt spid="_x0000_s1587"/>
                </a:ext>
                <a:ext uri="{FF2B5EF4-FFF2-40B4-BE49-F238E27FC236}">
                  <a16:creationId xmlns:a16="http://schemas.microsoft.com/office/drawing/2014/main" id="{00000000-0008-0000-0100-00003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2888</xdr:row>
          <xdr:rowOff>0</xdr:rowOff>
        </xdr:from>
        <xdr:to>
          <xdr:col>7</xdr:col>
          <xdr:colOff>0</xdr:colOff>
          <xdr:row>2888</xdr:row>
          <xdr:rowOff>165100</xdr:rowOff>
        </xdr:to>
        <xdr:sp macro="" textlink="">
          <xdr:nvSpPr>
            <xdr:cNvPr id="1586" name="Button 562" hidden="1">
              <a:extLst>
                <a:ext uri="{63B3BB69-23CF-44E3-9099-C40C66FF867C}">
                  <a14:compatExt spid="_x0000_s1586"/>
                </a:ext>
                <a:ext uri="{FF2B5EF4-FFF2-40B4-BE49-F238E27FC236}">
                  <a16:creationId xmlns:a16="http://schemas.microsoft.com/office/drawing/2014/main" id="{00000000-0008-0000-0100-00003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2889</xdr:row>
          <xdr:rowOff>0</xdr:rowOff>
        </xdr:from>
        <xdr:to>
          <xdr:col>7</xdr:col>
          <xdr:colOff>0</xdr:colOff>
          <xdr:row>2889</xdr:row>
          <xdr:rowOff>165100</xdr:rowOff>
        </xdr:to>
        <xdr:sp macro="" textlink="">
          <xdr:nvSpPr>
            <xdr:cNvPr id="1585" name="Button 561" hidden="1">
              <a:extLst>
                <a:ext uri="{63B3BB69-23CF-44E3-9099-C40C66FF867C}">
                  <a14:compatExt spid="_x0000_s1585"/>
                </a:ext>
                <a:ext uri="{FF2B5EF4-FFF2-40B4-BE49-F238E27FC236}">
                  <a16:creationId xmlns:a16="http://schemas.microsoft.com/office/drawing/2014/main" id="{00000000-0008-0000-0100-00003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2890</xdr:row>
          <xdr:rowOff>0</xdr:rowOff>
        </xdr:from>
        <xdr:to>
          <xdr:col>7</xdr:col>
          <xdr:colOff>0</xdr:colOff>
          <xdr:row>2890</xdr:row>
          <xdr:rowOff>165100</xdr:rowOff>
        </xdr:to>
        <xdr:sp macro="" textlink="">
          <xdr:nvSpPr>
            <xdr:cNvPr id="1584" name="Button 560" hidden="1">
              <a:extLst>
                <a:ext uri="{63B3BB69-23CF-44E3-9099-C40C66FF867C}">
                  <a14:compatExt spid="_x0000_s1584"/>
                </a:ext>
                <a:ext uri="{FF2B5EF4-FFF2-40B4-BE49-F238E27FC236}">
                  <a16:creationId xmlns:a16="http://schemas.microsoft.com/office/drawing/2014/main" id="{00000000-0008-0000-0100-00003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2891</xdr:row>
          <xdr:rowOff>0</xdr:rowOff>
        </xdr:from>
        <xdr:to>
          <xdr:col>7</xdr:col>
          <xdr:colOff>0</xdr:colOff>
          <xdr:row>2891</xdr:row>
          <xdr:rowOff>165100</xdr:rowOff>
        </xdr:to>
        <xdr:sp macro="" textlink="">
          <xdr:nvSpPr>
            <xdr:cNvPr id="1583" name="Button 559" hidden="1">
              <a:extLst>
                <a:ext uri="{63B3BB69-23CF-44E3-9099-C40C66FF867C}">
                  <a14:compatExt spid="_x0000_s1583"/>
                </a:ext>
                <a:ext uri="{FF2B5EF4-FFF2-40B4-BE49-F238E27FC236}">
                  <a16:creationId xmlns:a16="http://schemas.microsoft.com/office/drawing/2014/main" id="{00000000-0008-0000-0100-00002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2892</xdr:row>
          <xdr:rowOff>0</xdr:rowOff>
        </xdr:from>
        <xdr:to>
          <xdr:col>7</xdr:col>
          <xdr:colOff>0</xdr:colOff>
          <xdr:row>2892</xdr:row>
          <xdr:rowOff>165100</xdr:rowOff>
        </xdr:to>
        <xdr:sp macro="" textlink="">
          <xdr:nvSpPr>
            <xdr:cNvPr id="1582" name="Button 558" hidden="1">
              <a:extLst>
                <a:ext uri="{63B3BB69-23CF-44E3-9099-C40C66FF867C}">
                  <a14:compatExt spid="_x0000_s1582"/>
                </a:ext>
                <a:ext uri="{FF2B5EF4-FFF2-40B4-BE49-F238E27FC236}">
                  <a16:creationId xmlns:a16="http://schemas.microsoft.com/office/drawing/2014/main" id="{00000000-0008-0000-0100-00002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2893</xdr:row>
          <xdr:rowOff>0</xdr:rowOff>
        </xdr:from>
        <xdr:to>
          <xdr:col>7</xdr:col>
          <xdr:colOff>0</xdr:colOff>
          <xdr:row>2893</xdr:row>
          <xdr:rowOff>165100</xdr:rowOff>
        </xdr:to>
        <xdr:sp macro="" textlink="">
          <xdr:nvSpPr>
            <xdr:cNvPr id="1581" name="Button 557" hidden="1">
              <a:extLst>
                <a:ext uri="{63B3BB69-23CF-44E3-9099-C40C66FF867C}">
                  <a14:compatExt spid="_x0000_s1581"/>
                </a:ext>
                <a:ext uri="{FF2B5EF4-FFF2-40B4-BE49-F238E27FC236}">
                  <a16:creationId xmlns:a16="http://schemas.microsoft.com/office/drawing/2014/main" id="{00000000-0008-0000-0100-00002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2894</xdr:row>
          <xdr:rowOff>0</xdr:rowOff>
        </xdr:from>
        <xdr:to>
          <xdr:col>7</xdr:col>
          <xdr:colOff>0</xdr:colOff>
          <xdr:row>2894</xdr:row>
          <xdr:rowOff>165100</xdr:rowOff>
        </xdr:to>
        <xdr:sp macro="" textlink="">
          <xdr:nvSpPr>
            <xdr:cNvPr id="1580" name="Button 556" hidden="1">
              <a:extLst>
                <a:ext uri="{63B3BB69-23CF-44E3-9099-C40C66FF867C}">
                  <a14:compatExt spid="_x0000_s1580"/>
                </a:ext>
                <a:ext uri="{FF2B5EF4-FFF2-40B4-BE49-F238E27FC236}">
                  <a16:creationId xmlns:a16="http://schemas.microsoft.com/office/drawing/2014/main" id="{00000000-0008-0000-0100-00002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2895</xdr:row>
          <xdr:rowOff>0</xdr:rowOff>
        </xdr:from>
        <xdr:to>
          <xdr:col>7</xdr:col>
          <xdr:colOff>0</xdr:colOff>
          <xdr:row>2895</xdr:row>
          <xdr:rowOff>165100</xdr:rowOff>
        </xdr:to>
        <xdr:sp macro="" textlink="">
          <xdr:nvSpPr>
            <xdr:cNvPr id="1579" name="Button 555" hidden="1">
              <a:extLst>
                <a:ext uri="{63B3BB69-23CF-44E3-9099-C40C66FF867C}">
                  <a14:compatExt spid="_x0000_s1579"/>
                </a:ext>
                <a:ext uri="{FF2B5EF4-FFF2-40B4-BE49-F238E27FC236}">
                  <a16:creationId xmlns:a16="http://schemas.microsoft.com/office/drawing/2014/main" id="{00000000-0008-0000-0100-00002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2896</xdr:row>
          <xdr:rowOff>0</xdr:rowOff>
        </xdr:from>
        <xdr:to>
          <xdr:col>7</xdr:col>
          <xdr:colOff>0</xdr:colOff>
          <xdr:row>2896</xdr:row>
          <xdr:rowOff>165100</xdr:rowOff>
        </xdr:to>
        <xdr:sp macro="" textlink="">
          <xdr:nvSpPr>
            <xdr:cNvPr id="1578" name="Button 554" hidden="1">
              <a:extLst>
                <a:ext uri="{63B3BB69-23CF-44E3-9099-C40C66FF867C}">
                  <a14:compatExt spid="_x0000_s1578"/>
                </a:ext>
                <a:ext uri="{FF2B5EF4-FFF2-40B4-BE49-F238E27FC236}">
                  <a16:creationId xmlns:a16="http://schemas.microsoft.com/office/drawing/2014/main" id="{00000000-0008-0000-0100-00002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2897</xdr:row>
          <xdr:rowOff>0</xdr:rowOff>
        </xdr:from>
        <xdr:to>
          <xdr:col>7</xdr:col>
          <xdr:colOff>0</xdr:colOff>
          <xdr:row>2897</xdr:row>
          <xdr:rowOff>165100</xdr:rowOff>
        </xdr:to>
        <xdr:sp macro="" textlink="">
          <xdr:nvSpPr>
            <xdr:cNvPr id="1577" name="Button 553" hidden="1">
              <a:extLst>
                <a:ext uri="{63B3BB69-23CF-44E3-9099-C40C66FF867C}">
                  <a14:compatExt spid="_x0000_s1577"/>
                </a:ext>
                <a:ext uri="{FF2B5EF4-FFF2-40B4-BE49-F238E27FC236}">
                  <a16:creationId xmlns:a16="http://schemas.microsoft.com/office/drawing/2014/main" id="{00000000-0008-0000-0100-00002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2898</xdr:row>
          <xdr:rowOff>0</xdr:rowOff>
        </xdr:from>
        <xdr:to>
          <xdr:col>7</xdr:col>
          <xdr:colOff>0</xdr:colOff>
          <xdr:row>2898</xdr:row>
          <xdr:rowOff>165100</xdr:rowOff>
        </xdr:to>
        <xdr:sp macro="" textlink="">
          <xdr:nvSpPr>
            <xdr:cNvPr id="1576" name="Button 552" hidden="1">
              <a:extLst>
                <a:ext uri="{63B3BB69-23CF-44E3-9099-C40C66FF867C}">
                  <a14:compatExt spid="_x0000_s1576"/>
                </a:ext>
                <a:ext uri="{FF2B5EF4-FFF2-40B4-BE49-F238E27FC236}">
                  <a16:creationId xmlns:a16="http://schemas.microsoft.com/office/drawing/2014/main" id="{00000000-0008-0000-0100-00002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2899</xdr:row>
          <xdr:rowOff>0</xdr:rowOff>
        </xdr:from>
        <xdr:to>
          <xdr:col>7</xdr:col>
          <xdr:colOff>0</xdr:colOff>
          <xdr:row>2899</xdr:row>
          <xdr:rowOff>165100</xdr:rowOff>
        </xdr:to>
        <xdr:sp macro="" textlink="">
          <xdr:nvSpPr>
            <xdr:cNvPr id="1575" name="Button 551" hidden="1">
              <a:extLst>
                <a:ext uri="{63B3BB69-23CF-44E3-9099-C40C66FF867C}">
                  <a14:compatExt spid="_x0000_s1575"/>
                </a:ext>
                <a:ext uri="{FF2B5EF4-FFF2-40B4-BE49-F238E27FC236}">
                  <a16:creationId xmlns:a16="http://schemas.microsoft.com/office/drawing/2014/main" id="{00000000-0008-0000-0100-00002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2900</xdr:row>
          <xdr:rowOff>0</xdr:rowOff>
        </xdr:from>
        <xdr:to>
          <xdr:col>7</xdr:col>
          <xdr:colOff>0</xdr:colOff>
          <xdr:row>2900</xdr:row>
          <xdr:rowOff>165100</xdr:rowOff>
        </xdr:to>
        <xdr:sp macro="" textlink="">
          <xdr:nvSpPr>
            <xdr:cNvPr id="1574" name="Button 550" hidden="1">
              <a:extLst>
                <a:ext uri="{63B3BB69-23CF-44E3-9099-C40C66FF867C}">
                  <a14:compatExt spid="_x0000_s1574"/>
                </a:ext>
                <a:ext uri="{FF2B5EF4-FFF2-40B4-BE49-F238E27FC236}">
                  <a16:creationId xmlns:a16="http://schemas.microsoft.com/office/drawing/2014/main" id="{00000000-0008-0000-0100-00002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2901</xdr:row>
          <xdr:rowOff>0</xdr:rowOff>
        </xdr:from>
        <xdr:to>
          <xdr:col>7</xdr:col>
          <xdr:colOff>0</xdr:colOff>
          <xdr:row>2901</xdr:row>
          <xdr:rowOff>165100</xdr:rowOff>
        </xdr:to>
        <xdr:sp macro="" textlink="">
          <xdr:nvSpPr>
            <xdr:cNvPr id="1573" name="Button 549" hidden="1">
              <a:extLst>
                <a:ext uri="{63B3BB69-23CF-44E3-9099-C40C66FF867C}">
                  <a14:compatExt spid="_x0000_s1573"/>
                </a:ext>
                <a:ext uri="{FF2B5EF4-FFF2-40B4-BE49-F238E27FC236}">
                  <a16:creationId xmlns:a16="http://schemas.microsoft.com/office/drawing/2014/main" id="{00000000-0008-0000-0100-00002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2902</xdr:row>
          <xdr:rowOff>0</xdr:rowOff>
        </xdr:from>
        <xdr:to>
          <xdr:col>7</xdr:col>
          <xdr:colOff>0</xdr:colOff>
          <xdr:row>2902</xdr:row>
          <xdr:rowOff>165100</xdr:rowOff>
        </xdr:to>
        <xdr:sp macro="" textlink="">
          <xdr:nvSpPr>
            <xdr:cNvPr id="1572" name="Button 548" hidden="1">
              <a:extLst>
                <a:ext uri="{63B3BB69-23CF-44E3-9099-C40C66FF867C}">
                  <a14:compatExt spid="_x0000_s1572"/>
                </a:ext>
                <a:ext uri="{FF2B5EF4-FFF2-40B4-BE49-F238E27FC236}">
                  <a16:creationId xmlns:a16="http://schemas.microsoft.com/office/drawing/2014/main" id="{00000000-0008-0000-0100-00002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2903</xdr:row>
          <xdr:rowOff>0</xdr:rowOff>
        </xdr:from>
        <xdr:to>
          <xdr:col>7</xdr:col>
          <xdr:colOff>0</xdr:colOff>
          <xdr:row>2903</xdr:row>
          <xdr:rowOff>165100</xdr:rowOff>
        </xdr:to>
        <xdr:sp macro="" textlink="">
          <xdr:nvSpPr>
            <xdr:cNvPr id="1571" name="Button 547" hidden="1">
              <a:extLst>
                <a:ext uri="{63B3BB69-23CF-44E3-9099-C40C66FF867C}">
                  <a14:compatExt spid="_x0000_s1571"/>
                </a:ext>
                <a:ext uri="{FF2B5EF4-FFF2-40B4-BE49-F238E27FC236}">
                  <a16:creationId xmlns:a16="http://schemas.microsoft.com/office/drawing/2014/main" id="{00000000-0008-0000-0100-00002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2904</xdr:row>
          <xdr:rowOff>0</xdr:rowOff>
        </xdr:from>
        <xdr:to>
          <xdr:col>7</xdr:col>
          <xdr:colOff>0</xdr:colOff>
          <xdr:row>2904</xdr:row>
          <xdr:rowOff>165100</xdr:rowOff>
        </xdr:to>
        <xdr:sp macro="" textlink="">
          <xdr:nvSpPr>
            <xdr:cNvPr id="1570" name="Button 546" hidden="1">
              <a:extLst>
                <a:ext uri="{63B3BB69-23CF-44E3-9099-C40C66FF867C}">
                  <a14:compatExt spid="_x0000_s1570"/>
                </a:ext>
                <a:ext uri="{FF2B5EF4-FFF2-40B4-BE49-F238E27FC236}">
                  <a16:creationId xmlns:a16="http://schemas.microsoft.com/office/drawing/2014/main" id="{00000000-0008-0000-0100-00002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2905</xdr:row>
          <xdr:rowOff>0</xdr:rowOff>
        </xdr:from>
        <xdr:to>
          <xdr:col>7</xdr:col>
          <xdr:colOff>0</xdr:colOff>
          <xdr:row>2905</xdr:row>
          <xdr:rowOff>165100</xdr:rowOff>
        </xdr:to>
        <xdr:sp macro="" textlink="">
          <xdr:nvSpPr>
            <xdr:cNvPr id="1569" name="Button 545" hidden="1">
              <a:extLst>
                <a:ext uri="{63B3BB69-23CF-44E3-9099-C40C66FF867C}">
                  <a14:compatExt spid="_x0000_s1569"/>
                </a:ext>
                <a:ext uri="{FF2B5EF4-FFF2-40B4-BE49-F238E27FC236}">
                  <a16:creationId xmlns:a16="http://schemas.microsoft.com/office/drawing/2014/main" id="{00000000-0008-0000-0100-00002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2906</xdr:row>
          <xdr:rowOff>0</xdr:rowOff>
        </xdr:from>
        <xdr:to>
          <xdr:col>7</xdr:col>
          <xdr:colOff>0</xdr:colOff>
          <xdr:row>2906</xdr:row>
          <xdr:rowOff>165100</xdr:rowOff>
        </xdr:to>
        <xdr:sp macro="" textlink="">
          <xdr:nvSpPr>
            <xdr:cNvPr id="1568" name="Button 544" hidden="1">
              <a:extLst>
                <a:ext uri="{63B3BB69-23CF-44E3-9099-C40C66FF867C}">
                  <a14:compatExt spid="_x0000_s1568"/>
                </a:ext>
                <a:ext uri="{FF2B5EF4-FFF2-40B4-BE49-F238E27FC236}">
                  <a16:creationId xmlns:a16="http://schemas.microsoft.com/office/drawing/2014/main" id="{00000000-0008-0000-0100-00002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2907</xdr:row>
          <xdr:rowOff>0</xdr:rowOff>
        </xdr:from>
        <xdr:to>
          <xdr:col>7</xdr:col>
          <xdr:colOff>0</xdr:colOff>
          <xdr:row>2907</xdr:row>
          <xdr:rowOff>165100</xdr:rowOff>
        </xdr:to>
        <xdr:sp macro="" textlink="">
          <xdr:nvSpPr>
            <xdr:cNvPr id="1567" name="Button 543" hidden="1">
              <a:extLst>
                <a:ext uri="{63B3BB69-23CF-44E3-9099-C40C66FF867C}">
                  <a14:compatExt spid="_x0000_s1567"/>
                </a:ext>
                <a:ext uri="{FF2B5EF4-FFF2-40B4-BE49-F238E27FC236}">
                  <a16:creationId xmlns:a16="http://schemas.microsoft.com/office/drawing/2014/main" id="{00000000-0008-0000-0100-00001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2908</xdr:row>
          <xdr:rowOff>0</xdr:rowOff>
        </xdr:from>
        <xdr:to>
          <xdr:col>7</xdr:col>
          <xdr:colOff>0</xdr:colOff>
          <xdr:row>2908</xdr:row>
          <xdr:rowOff>165100</xdr:rowOff>
        </xdr:to>
        <xdr:sp macro="" textlink="">
          <xdr:nvSpPr>
            <xdr:cNvPr id="1566" name="Button 542" hidden="1">
              <a:extLst>
                <a:ext uri="{63B3BB69-23CF-44E3-9099-C40C66FF867C}">
                  <a14:compatExt spid="_x0000_s1566"/>
                </a:ext>
                <a:ext uri="{FF2B5EF4-FFF2-40B4-BE49-F238E27FC236}">
                  <a16:creationId xmlns:a16="http://schemas.microsoft.com/office/drawing/2014/main" id="{00000000-0008-0000-0100-00001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2909</xdr:row>
          <xdr:rowOff>0</xdr:rowOff>
        </xdr:from>
        <xdr:to>
          <xdr:col>7</xdr:col>
          <xdr:colOff>0</xdr:colOff>
          <xdr:row>2909</xdr:row>
          <xdr:rowOff>165100</xdr:rowOff>
        </xdr:to>
        <xdr:sp macro="" textlink="">
          <xdr:nvSpPr>
            <xdr:cNvPr id="1565" name="Button 541" hidden="1">
              <a:extLst>
                <a:ext uri="{63B3BB69-23CF-44E3-9099-C40C66FF867C}">
                  <a14:compatExt spid="_x0000_s1565"/>
                </a:ext>
                <a:ext uri="{FF2B5EF4-FFF2-40B4-BE49-F238E27FC236}">
                  <a16:creationId xmlns:a16="http://schemas.microsoft.com/office/drawing/2014/main" id="{00000000-0008-0000-0100-00001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2910</xdr:row>
          <xdr:rowOff>0</xdr:rowOff>
        </xdr:from>
        <xdr:to>
          <xdr:col>7</xdr:col>
          <xdr:colOff>0</xdr:colOff>
          <xdr:row>2910</xdr:row>
          <xdr:rowOff>165100</xdr:rowOff>
        </xdr:to>
        <xdr:sp macro="" textlink="">
          <xdr:nvSpPr>
            <xdr:cNvPr id="1564" name="Button 540" hidden="1">
              <a:extLst>
                <a:ext uri="{63B3BB69-23CF-44E3-9099-C40C66FF867C}">
                  <a14:compatExt spid="_x0000_s1564"/>
                </a:ext>
                <a:ext uri="{FF2B5EF4-FFF2-40B4-BE49-F238E27FC236}">
                  <a16:creationId xmlns:a16="http://schemas.microsoft.com/office/drawing/2014/main" id="{00000000-0008-0000-0100-00001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2911</xdr:row>
          <xdr:rowOff>0</xdr:rowOff>
        </xdr:from>
        <xdr:to>
          <xdr:col>7</xdr:col>
          <xdr:colOff>0</xdr:colOff>
          <xdr:row>2911</xdr:row>
          <xdr:rowOff>165100</xdr:rowOff>
        </xdr:to>
        <xdr:sp macro="" textlink="">
          <xdr:nvSpPr>
            <xdr:cNvPr id="1563" name="Button 539" hidden="1">
              <a:extLst>
                <a:ext uri="{63B3BB69-23CF-44E3-9099-C40C66FF867C}">
                  <a14:compatExt spid="_x0000_s1563"/>
                </a:ext>
                <a:ext uri="{FF2B5EF4-FFF2-40B4-BE49-F238E27FC236}">
                  <a16:creationId xmlns:a16="http://schemas.microsoft.com/office/drawing/2014/main" id="{00000000-0008-0000-0100-00001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2912</xdr:row>
          <xdr:rowOff>0</xdr:rowOff>
        </xdr:from>
        <xdr:to>
          <xdr:col>7</xdr:col>
          <xdr:colOff>0</xdr:colOff>
          <xdr:row>2912</xdr:row>
          <xdr:rowOff>165100</xdr:rowOff>
        </xdr:to>
        <xdr:sp macro="" textlink="">
          <xdr:nvSpPr>
            <xdr:cNvPr id="1562" name="Button 538" hidden="1">
              <a:extLst>
                <a:ext uri="{63B3BB69-23CF-44E3-9099-C40C66FF867C}">
                  <a14:compatExt spid="_x0000_s1562"/>
                </a:ext>
                <a:ext uri="{FF2B5EF4-FFF2-40B4-BE49-F238E27FC236}">
                  <a16:creationId xmlns:a16="http://schemas.microsoft.com/office/drawing/2014/main" id="{00000000-0008-0000-0100-00001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2913</xdr:row>
          <xdr:rowOff>0</xdr:rowOff>
        </xdr:from>
        <xdr:to>
          <xdr:col>7</xdr:col>
          <xdr:colOff>0</xdr:colOff>
          <xdr:row>2913</xdr:row>
          <xdr:rowOff>165100</xdr:rowOff>
        </xdr:to>
        <xdr:sp macro="" textlink="">
          <xdr:nvSpPr>
            <xdr:cNvPr id="1561" name="Button 537" hidden="1">
              <a:extLst>
                <a:ext uri="{63B3BB69-23CF-44E3-9099-C40C66FF867C}">
                  <a14:compatExt spid="_x0000_s1561"/>
                </a:ext>
                <a:ext uri="{FF2B5EF4-FFF2-40B4-BE49-F238E27FC236}">
                  <a16:creationId xmlns:a16="http://schemas.microsoft.com/office/drawing/2014/main" id="{00000000-0008-0000-0100-00001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2914</xdr:row>
          <xdr:rowOff>0</xdr:rowOff>
        </xdr:from>
        <xdr:to>
          <xdr:col>7</xdr:col>
          <xdr:colOff>0</xdr:colOff>
          <xdr:row>2914</xdr:row>
          <xdr:rowOff>165100</xdr:rowOff>
        </xdr:to>
        <xdr:sp macro="" textlink="">
          <xdr:nvSpPr>
            <xdr:cNvPr id="1560" name="Button 536" hidden="1">
              <a:extLst>
                <a:ext uri="{63B3BB69-23CF-44E3-9099-C40C66FF867C}">
                  <a14:compatExt spid="_x0000_s1560"/>
                </a:ext>
                <a:ext uri="{FF2B5EF4-FFF2-40B4-BE49-F238E27FC236}">
                  <a16:creationId xmlns:a16="http://schemas.microsoft.com/office/drawing/2014/main" id="{00000000-0008-0000-0100-00001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2915</xdr:row>
          <xdr:rowOff>0</xdr:rowOff>
        </xdr:from>
        <xdr:to>
          <xdr:col>7</xdr:col>
          <xdr:colOff>0</xdr:colOff>
          <xdr:row>2915</xdr:row>
          <xdr:rowOff>165100</xdr:rowOff>
        </xdr:to>
        <xdr:sp macro="" textlink="">
          <xdr:nvSpPr>
            <xdr:cNvPr id="1559" name="Button 535" hidden="1">
              <a:extLst>
                <a:ext uri="{63B3BB69-23CF-44E3-9099-C40C66FF867C}">
                  <a14:compatExt spid="_x0000_s1559"/>
                </a:ext>
                <a:ext uri="{FF2B5EF4-FFF2-40B4-BE49-F238E27FC236}">
                  <a16:creationId xmlns:a16="http://schemas.microsoft.com/office/drawing/2014/main" id="{00000000-0008-0000-0100-00001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2916</xdr:row>
          <xdr:rowOff>0</xdr:rowOff>
        </xdr:from>
        <xdr:to>
          <xdr:col>7</xdr:col>
          <xdr:colOff>0</xdr:colOff>
          <xdr:row>2916</xdr:row>
          <xdr:rowOff>165100</xdr:rowOff>
        </xdr:to>
        <xdr:sp macro="" textlink="">
          <xdr:nvSpPr>
            <xdr:cNvPr id="1558" name="Button 534" hidden="1">
              <a:extLst>
                <a:ext uri="{63B3BB69-23CF-44E3-9099-C40C66FF867C}">
                  <a14:compatExt spid="_x0000_s1558"/>
                </a:ext>
                <a:ext uri="{FF2B5EF4-FFF2-40B4-BE49-F238E27FC236}">
                  <a16:creationId xmlns:a16="http://schemas.microsoft.com/office/drawing/2014/main" id="{00000000-0008-0000-0100-00001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2917</xdr:row>
          <xdr:rowOff>0</xdr:rowOff>
        </xdr:from>
        <xdr:to>
          <xdr:col>7</xdr:col>
          <xdr:colOff>0</xdr:colOff>
          <xdr:row>2917</xdr:row>
          <xdr:rowOff>165100</xdr:rowOff>
        </xdr:to>
        <xdr:sp macro="" textlink="">
          <xdr:nvSpPr>
            <xdr:cNvPr id="1557" name="Button 533" hidden="1">
              <a:extLst>
                <a:ext uri="{63B3BB69-23CF-44E3-9099-C40C66FF867C}">
                  <a14:compatExt spid="_x0000_s1557"/>
                </a:ext>
                <a:ext uri="{FF2B5EF4-FFF2-40B4-BE49-F238E27FC236}">
                  <a16:creationId xmlns:a16="http://schemas.microsoft.com/office/drawing/2014/main" id="{00000000-0008-0000-0100-00001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2918</xdr:row>
          <xdr:rowOff>0</xdr:rowOff>
        </xdr:from>
        <xdr:to>
          <xdr:col>7</xdr:col>
          <xdr:colOff>0</xdr:colOff>
          <xdr:row>2918</xdr:row>
          <xdr:rowOff>165100</xdr:rowOff>
        </xdr:to>
        <xdr:sp macro="" textlink="">
          <xdr:nvSpPr>
            <xdr:cNvPr id="1556" name="Button 532" hidden="1">
              <a:extLst>
                <a:ext uri="{63B3BB69-23CF-44E3-9099-C40C66FF867C}">
                  <a14:compatExt spid="_x0000_s1556"/>
                </a:ext>
                <a:ext uri="{FF2B5EF4-FFF2-40B4-BE49-F238E27FC236}">
                  <a16:creationId xmlns:a16="http://schemas.microsoft.com/office/drawing/2014/main" id="{00000000-0008-0000-0100-00001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2921</xdr:row>
          <xdr:rowOff>0</xdr:rowOff>
        </xdr:from>
        <xdr:to>
          <xdr:col>7</xdr:col>
          <xdr:colOff>0</xdr:colOff>
          <xdr:row>2922</xdr:row>
          <xdr:rowOff>0</xdr:rowOff>
        </xdr:to>
        <xdr:sp macro="" textlink="">
          <xdr:nvSpPr>
            <xdr:cNvPr id="1555" name="Button 531" hidden="1">
              <a:extLst>
                <a:ext uri="{63B3BB69-23CF-44E3-9099-C40C66FF867C}">
                  <a14:compatExt spid="_x0000_s1555"/>
                </a:ext>
                <a:ext uri="{FF2B5EF4-FFF2-40B4-BE49-F238E27FC236}">
                  <a16:creationId xmlns:a16="http://schemas.microsoft.com/office/drawing/2014/main" id="{00000000-0008-0000-0100-00001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2928</xdr:row>
          <xdr:rowOff>0</xdr:rowOff>
        </xdr:from>
        <xdr:to>
          <xdr:col>7</xdr:col>
          <xdr:colOff>0</xdr:colOff>
          <xdr:row>2928</xdr:row>
          <xdr:rowOff>171450</xdr:rowOff>
        </xdr:to>
        <xdr:sp macro="" textlink="">
          <xdr:nvSpPr>
            <xdr:cNvPr id="1554" name="Button 530" hidden="1">
              <a:extLst>
                <a:ext uri="{63B3BB69-23CF-44E3-9099-C40C66FF867C}">
                  <a14:compatExt spid="_x0000_s1554"/>
                </a:ext>
                <a:ext uri="{FF2B5EF4-FFF2-40B4-BE49-F238E27FC236}">
                  <a16:creationId xmlns:a16="http://schemas.microsoft.com/office/drawing/2014/main" id="{00000000-0008-0000-0100-00001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2929</xdr:row>
          <xdr:rowOff>0</xdr:rowOff>
        </xdr:from>
        <xdr:to>
          <xdr:col>7</xdr:col>
          <xdr:colOff>0</xdr:colOff>
          <xdr:row>2929</xdr:row>
          <xdr:rowOff>165100</xdr:rowOff>
        </xdr:to>
        <xdr:sp macro="" textlink="">
          <xdr:nvSpPr>
            <xdr:cNvPr id="1553" name="Button 529" hidden="1">
              <a:extLst>
                <a:ext uri="{63B3BB69-23CF-44E3-9099-C40C66FF867C}">
                  <a14:compatExt spid="_x0000_s1553"/>
                </a:ext>
                <a:ext uri="{FF2B5EF4-FFF2-40B4-BE49-F238E27FC236}">
                  <a16:creationId xmlns:a16="http://schemas.microsoft.com/office/drawing/2014/main" id="{00000000-0008-0000-0100-00001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2930</xdr:row>
          <xdr:rowOff>0</xdr:rowOff>
        </xdr:from>
        <xdr:to>
          <xdr:col>7</xdr:col>
          <xdr:colOff>0</xdr:colOff>
          <xdr:row>2930</xdr:row>
          <xdr:rowOff>165100</xdr:rowOff>
        </xdr:to>
        <xdr:sp macro="" textlink="">
          <xdr:nvSpPr>
            <xdr:cNvPr id="1552" name="Button 528" hidden="1">
              <a:extLst>
                <a:ext uri="{63B3BB69-23CF-44E3-9099-C40C66FF867C}">
                  <a14:compatExt spid="_x0000_s1552"/>
                </a:ext>
                <a:ext uri="{FF2B5EF4-FFF2-40B4-BE49-F238E27FC236}">
                  <a16:creationId xmlns:a16="http://schemas.microsoft.com/office/drawing/2014/main" id="{00000000-0008-0000-0100-00001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2931</xdr:row>
          <xdr:rowOff>0</xdr:rowOff>
        </xdr:from>
        <xdr:to>
          <xdr:col>7</xdr:col>
          <xdr:colOff>0</xdr:colOff>
          <xdr:row>2931</xdr:row>
          <xdr:rowOff>165100</xdr:rowOff>
        </xdr:to>
        <xdr:sp macro="" textlink="">
          <xdr:nvSpPr>
            <xdr:cNvPr id="1551" name="Button 527" hidden="1">
              <a:extLst>
                <a:ext uri="{63B3BB69-23CF-44E3-9099-C40C66FF867C}">
                  <a14:compatExt spid="_x0000_s1551"/>
                </a:ext>
                <a:ext uri="{FF2B5EF4-FFF2-40B4-BE49-F238E27FC236}">
                  <a16:creationId xmlns:a16="http://schemas.microsoft.com/office/drawing/2014/main" id="{00000000-0008-0000-0100-00000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2932</xdr:row>
          <xdr:rowOff>0</xdr:rowOff>
        </xdr:from>
        <xdr:to>
          <xdr:col>7</xdr:col>
          <xdr:colOff>0</xdr:colOff>
          <xdr:row>2932</xdr:row>
          <xdr:rowOff>165100</xdr:rowOff>
        </xdr:to>
        <xdr:sp macro="" textlink="">
          <xdr:nvSpPr>
            <xdr:cNvPr id="1550" name="Button 526" hidden="1">
              <a:extLst>
                <a:ext uri="{63B3BB69-23CF-44E3-9099-C40C66FF867C}">
                  <a14:compatExt spid="_x0000_s1550"/>
                </a:ext>
                <a:ext uri="{FF2B5EF4-FFF2-40B4-BE49-F238E27FC236}">
                  <a16:creationId xmlns:a16="http://schemas.microsoft.com/office/drawing/2014/main" id="{00000000-0008-0000-0100-00000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2935</xdr:row>
          <xdr:rowOff>0</xdr:rowOff>
        </xdr:from>
        <xdr:to>
          <xdr:col>7</xdr:col>
          <xdr:colOff>0</xdr:colOff>
          <xdr:row>2936</xdr:row>
          <xdr:rowOff>0</xdr:rowOff>
        </xdr:to>
        <xdr:sp macro="" textlink="">
          <xdr:nvSpPr>
            <xdr:cNvPr id="1549" name="Button 525" hidden="1">
              <a:extLst>
                <a:ext uri="{63B3BB69-23CF-44E3-9099-C40C66FF867C}">
                  <a14:compatExt spid="_x0000_s1549"/>
                </a:ext>
                <a:ext uri="{FF2B5EF4-FFF2-40B4-BE49-F238E27FC236}">
                  <a16:creationId xmlns:a16="http://schemas.microsoft.com/office/drawing/2014/main" id="{00000000-0008-0000-0100-00000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2942</xdr:row>
          <xdr:rowOff>0</xdr:rowOff>
        </xdr:from>
        <xdr:to>
          <xdr:col>7</xdr:col>
          <xdr:colOff>0</xdr:colOff>
          <xdr:row>2942</xdr:row>
          <xdr:rowOff>171450</xdr:rowOff>
        </xdr:to>
        <xdr:sp macro="" textlink="">
          <xdr:nvSpPr>
            <xdr:cNvPr id="1548" name="Button 524" hidden="1">
              <a:extLst>
                <a:ext uri="{63B3BB69-23CF-44E3-9099-C40C66FF867C}">
                  <a14:compatExt spid="_x0000_s1548"/>
                </a:ext>
                <a:ext uri="{FF2B5EF4-FFF2-40B4-BE49-F238E27FC236}">
                  <a16:creationId xmlns:a16="http://schemas.microsoft.com/office/drawing/2014/main" id="{00000000-0008-0000-0100-00000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2943</xdr:row>
          <xdr:rowOff>0</xdr:rowOff>
        </xdr:from>
        <xdr:to>
          <xdr:col>7</xdr:col>
          <xdr:colOff>0</xdr:colOff>
          <xdr:row>2943</xdr:row>
          <xdr:rowOff>165100</xdr:rowOff>
        </xdr:to>
        <xdr:sp macro="" textlink="">
          <xdr:nvSpPr>
            <xdr:cNvPr id="1547" name="Button 523" hidden="1">
              <a:extLst>
                <a:ext uri="{63B3BB69-23CF-44E3-9099-C40C66FF867C}">
                  <a14:compatExt spid="_x0000_s1547"/>
                </a:ext>
                <a:ext uri="{FF2B5EF4-FFF2-40B4-BE49-F238E27FC236}">
                  <a16:creationId xmlns:a16="http://schemas.microsoft.com/office/drawing/2014/main" id="{00000000-0008-0000-0100-00000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2944</xdr:row>
          <xdr:rowOff>0</xdr:rowOff>
        </xdr:from>
        <xdr:to>
          <xdr:col>7</xdr:col>
          <xdr:colOff>0</xdr:colOff>
          <xdr:row>2944</xdr:row>
          <xdr:rowOff>165100</xdr:rowOff>
        </xdr:to>
        <xdr:sp macro="" textlink="">
          <xdr:nvSpPr>
            <xdr:cNvPr id="1546" name="Button 522" hidden="1">
              <a:extLst>
                <a:ext uri="{63B3BB69-23CF-44E3-9099-C40C66FF867C}">
                  <a14:compatExt spid="_x0000_s1546"/>
                </a:ext>
                <a:ext uri="{FF2B5EF4-FFF2-40B4-BE49-F238E27FC236}">
                  <a16:creationId xmlns:a16="http://schemas.microsoft.com/office/drawing/2014/main" id="{00000000-0008-0000-0100-00000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2945</xdr:row>
          <xdr:rowOff>0</xdr:rowOff>
        </xdr:from>
        <xdr:to>
          <xdr:col>7</xdr:col>
          <xdr:colOff>0</xdr:colOff>
          <xdr:row>2945</xdr:row>
          <xdr:rowOff>165100</xdr:rowOff>
        </xdr:to>
        <xdr:sp macro="" textlink="">
          <xdr:nvSpPr>
            <xdr:cNvPr id="1545" name="Button 521" hidden="1">
              <a:extLst>
                <a:ext uri="{63B3BB69-23CF-44E3-9099-C40C66FF867C}">
                  <a14:compatExt spid="_x0000_s1545"/>
                </a:ext>
                <a:ext uri="{FF2B5EF4-FFF2-40B4-BE49-F238E27FC236}">
                  <a16:creationId xmlns:a16="http://schemas.microsoft.com/office/drawing/2014/main" id="{00000000-0008-0000-0100-00000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2948</xdr:row>
          <xdr:rowOff>0</xdr:rowOff>
        </xdr:from>
        <xdr:to>
          <xdr:col>7</xdr:col>
          <xdr:colOff>0</xdr:colOff>
          <xdr:row>2949</xdr:row>
          <xdr:rowOff>0</xdr:rowOff>
        </xdr:to>
        <xdr:sp macro="" textlink="">
          <xdr:nvSpPr>
            <xdr:cNvPr id="1544" name="Button 520" hidden="1">
              <a:extLst>
                <a:ext uri="{63B3BB69-23CF-44E3-9099-C40C66FF867C}">
                  <a14:compatExt spid="_x0000_s1544"/>
                </a:ext>
                <a:ext uri="{FF2B5EF4-FFF2-40B4-BE49-F238E27FC236}">
                  <a16:creationId xmlns:a16="http://schemas.microsoft.com/office/drawing/2014/main" id="{00000000-0008-0000-0100-00000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2955</xdr:row>
          <xdr:rowOff>0</xdr:rowOff>
        </xdr:from>
        <xdr:to>
          <xdr:col>7</xdr:col>
          <xdr:colOff>0</xdr:colOff>
          <xdr:row>2955</xdr:row>
          <xdr:rowOff>171450</xdr:rowOff>
        </xdr:to>
        <xdr:sp macro="" textlink="">
          <xdr:nvSpPr>
            <xdr:cNvPr id="1543" name="Button 519" hidden="1">
              <a:extLst>
                <a:ext uri="{63B3BB69-23CF-44E3-9099-C40C66FF867C}">
                  <a14:compatExt spid="_x0000_s1543"/>
                </a:ext>
                <a:ext uri="{FF2B5EF4-FFF2-40B4-BE49-F238E27FC236}">
                  <a16:creationId xmlns:a16="http://schemas.microsoft.com/office/drawing/2014/main" id="{00000000-0008-0000-0100-00000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2956</xdr:row>
          <xdr:rowOff>0</xdr:rowOff>
        </xdr:from>
        <xdr:to>
          <xdr:col>7</xdr:col>
          <xdr:colOff>0</xdr:colOff>
          <xdr:row>2956</xdr:row>
          <xdr:rowOff>165100</xdr:rowOff>
        </xdr:to>
        <xdr:sp macro="" textlink="">
          <xdr:nvSpPr>
            <xdr:cNvPr id="1542" name="Button 518" hidden="1">
              <a:extLst>
                <a:ext uri="{63B3BB69-23CF-44E3-9099-C40C66FF867C}">
                  <a14:compatExt spid="_x0000_s1542"/>
                </a:ext>
                <a:ext uri="{FF2B5EF4-FFF2-40B4-BE49-F238E27FC236}">
                  <a16:creationId xmlns:a16="http://schemas.microsoft.com/office/drawing/2014/main" id="{00000000-0008-0000-0100-00000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2957</xdr:row>
          <xdr:rowOff>0</xdr:rowOff>
        </xdr:from>
        <xdr:to>
          <xdr:col>7</xdr:col>
          <xdr:colOff>0</xdr:colOff>
          <xdr:row>2957</xdr:row>
          <xdr:rowOff>165100</xdr:rowOff>
        </xdr:to>
        <xdr:sp macro="" textlink="">
          <xdr:nvSpPr>
            <xdr:cNvPr id="1541" name="Button 517" hidden="1">
              <a:extLst>
                <a:ext uri="{63B3BB69-23CF-44E3-9099-C40C66FF867C}">
                  <a14:compatExt spid="_x0000_s1541"/>
                </a:ext>
                <a:ext uri="{FF2B5EF4-FFF2-40B4-BE49-F238E27FC236}">
                  <a16:creationId xmlns:a16="http://schemas.microsoft.com/office/drawing/2014/main" id="{00000000-0008-0000-0100-00000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2958</xdr:row>
          <xdr:rowOff>0</xdr:rowOff>
        </xdr:from>
        <xdr:to>
          <xdr:col>7</xdr:col>
          <xdr:colOff>0</xdr:colOff>
          <xdr:row>2958</xdr:row>
          <xdr:rowOff>165100</xdr:rowOff>
        </xdr:to>
        <xdr:sp macro="" textlink="">
          <xdr:nvSpPr>
            <xdr:cNvPr id="1540" name="Button 516" hidden="1">
              <a:extLst>
                <a:ext uri="{63B3BB69-23CF-44E3-9099-C40C66FF867C}">
                  <a14:compatExt spid="_x0000_s1540"/>
                </a:ext>
                <a:ext uri="{FF2B5EF4-FFF2-40B4-BE49-F238E27FC236}">
                  <a16:creationId xmlns:a16="http://schemas.microsoft.com/office/drawing/2014/main" id="{00000000-0008-0000-0100-00000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2961</xdr:row>
          <xdr:rowOff>0</xdr:rowOff>
        </xdr:from>
        <xdr:to>
          <xdr:col>7</xdr:col>
          <xdr:colOff>0</xdr:colOff>
          <xdr:row>2962</xdr:row>
          <xdr:rowOff>0</xdr:rowOff>
        </xdr:to>
        <xdr:sp macro="" textlink="">
          <xdr:nvSpPr>
            <xdr:cNvPr id="1539" name="Button 515" hidden="1">
              <a:extLst>
                <a:ext uri="{63B3BB69-23CF-44E3-9099-C40C66FF867C}">
                  <a14:compatExt spid="_x0000_s1539"/>
                </a:ext>
                <a:ext uri="{FF2B5EF4-FFF2-40B4-BE49-F238E27FC236}">
                  <a16:creationId xmlns:a16="http://schemas.microsoft.com/office/drawing/2014/main" id="{00000000-0008-0000-0100-00000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2968</xdr:row>
          <xdr:rowOff>0</xdr:rowOff>
        </xdr:from>
        <xdr:to>
          <xdr:col>7</xdr:col>
          <xdr:colOff>0</xdr:colOff>
          <xdr:row>2968</xdr:row>
          <xdr:rowOff>171450</xdr:rowOff>
        </xdr:to>
        <xdr:sp macro="" textlink="">
          <xdr:nvSpPr>
            <xdr:cNvPr id="1538" name="Button 514" hidden="1">
              <a:extLst>
                <a:ext uri="{63B3BB69-23CF-44E3-9099-C40C66FF867C}">
                  <a14:compatExt spid="_x0000_s1538"/>
                </a:ext>
                <a:ext uri="{FF2B5EF4-FFF2-40B4-BE49-F238E27FC236}">
                  <a16:creationId xmlns:a16="http://schemas.microsoft.com/office/drawing/2014/main" id="{00000000-0008-0000-0100-00000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2969</xdr:row>
          <xdr:rowOff>0</xdr:rowOff>
        </xdr:from>
        <xdr:to>
          <xdr:col>7</xdr:col>
          <xdr:colOff>0</xdr:colOff>
          <xdr:row>2969</xdr:row>
          <xdr:rowOff>165100</xdr:rowOff>
        </xdr:to>
        <xdr:sp macro="" textlink="">
          <xdr:nvSpPr>
            <xdr:cNvPr id="1537" name="Button 513" hidden="1">
              <a:extLst>
                <a:ext uri="{63B3BB69-23CF-44E3-9099-C40C66FF867C}">
                  <a14:compatExt spid="_x0000_s1537"/>
                </a:ext>
                <a:ext uri="{FF2B5EF4-FFF2-40B4-BE49-F238E27FC236}">
                  <a16:creationId xmlns:a16="http://schemas.microsoft.com/office/drawing/2014/main" id="{00000000-0008-0000-0100-00000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2970</xdr:row>
          <xdr:rowOff>0</xdr:rowOff>
        </xdr:from>
        <xdr:to>
          <xdr:col>7</xdr:col>
          <xdr:colOff>0</xdr:colOff>
          <xdr:row>2970</xdr:row>
          <xdr:rowOff>165100</xdr:rowOff>
        </xdr:to>
        <xdr:sp macro="" textlink="">
          <xdr:nvSpPr>
            <xdr:cNvPr id="1536" name="Button 512" hidden="1">
              <a:extLst>
                <a:ext uri="{63B3BB69-23CF-44E3-9099-C40C66FF867C}">
                  <a14:compatExt spid="_x0000_s1536"/>
                </a:ext>
                <a:ext uri="{FF2B5EF4-FFF2-40B4-BE49-F238E27FC236}">
                  <a16:creationId xmlns:a16="http://schemas.microsoft.com/office/drawing/2014/main" id="{00000000-0008-0000-0100-00000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2973</xdr:row>
          <xdr:rowOff>0</xdr:rowOff>
        </xdr:from>
        <xdr:to>
          <xdr:col>7</xdr:col>
          <xdr:colOff>0</xdr:colOff>
          <xdr:row>2974</xdr:row>
          <xdr:rowOff>0</xdr:rowOff>
        </xdr:to>
        <xdr:sp macro="" textlink="">
          <xdr:nvSpPr>
            <xdr:cNvPr id="1535" name="Button 511" hidden="1">
              <a:extLst>
                <a:ext uri="{63B3BB69-23CF-44E3-9099-C40C66FF867C}">
                  <a14:compatExt spid="_x0000_s1535"/>
                </a:ext>
                <a:ext uri="{FF2B5EF4-FFF2-40B4-BE49-F238E27FC236}">
                  <a16:creationId xmlns:a16="http://schemas.microsoft.com/office/drawing/2014/main" id="{00000000-0008-0000-0100-0000F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2980</xdr:row>
          <xdr:rowOff>0</xdr:rowOff>
        </xdr:from>
        <xdr:to>
          <xdr:col>7</xdr:col>
          <xdr:colOff>0</xdr:colOff>
          <xdr:row>2980</xdr:row>
          <xdr:rowOff>171450</xdr:rowOff>
        </xdr:to>
        <xdr:sp macro="" textlink="">
          <xdr:nvSpPr>
            <xdr:cNvPr id="1534" name="Button 510" hidden="1">
              <a:extLst>
                <a:ext uri="{63B3BB69-23CF-44E3-9099-C40C66FF867C}">
                  <a14:compatExt spid="_x0000_s1534"/>
                </a:ext>
                <a:ext uri="{FF2B5EF4-FFF2-40B4-BE49-F238E27FC236}">
                  <a16:creationId xmlns:a16="http://schemas.microsoft.com/office/drawing/2014/main" id="{00000000-0008-0000-0100-0000F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2981</xdr:row>
          <xdr:rowOff>0</xdr:rowOff>
        </xdr:from>
        <xdr:to>
          <xdr:col>7</xdr:col>
          <xdr:colOff>0</xdr:colOff>
          <xdr:row>2981</xdr:row>
          <xdr:rowOff>165100</xdr:rowOff>
        </xdr:to>
        <xdr:sp macro="" textlink="">
          <xdr:nvSpPr>
            <xdr:cNvPr id="1533" name="Button 509" hidden="1">
              <a:extLst>
                <a:ext uri="{63B3BB69-23CF-44E3-9099-C40C66FF867C}">
                  <a14:compatExt spid="_x0000_s1533"/>
                </a:ext>
                <a:ext uri="{FF2B5EF4-FFF2-40B4-BE49-F238E27FC236}">
                  <a16:creationId xmlns:a16="http://schemas.microsoft.com/office/drawing/2014/main" id="{00000000-0008-0000-0100-0000F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2984</xdr:row>
          <xdr:rowOff>0</xdr:rowOff>
        </xdr:from>
        <xdr:to>
          <xdr:col>7</xdr:col>
          <xdr:colOff>0</xdr:colOff>
          <xdr:row>2985</xdr:row>
          <xdr:rowOff>0</xdr:rowOff>
        </xdr:to>
        <xdr:sp macro="" textlink="">
          <xdr:nvSpPr>
            <xdr:cNvPr id="1532" name="Button 508" hidden="1">
              <a:extLst>
                <a:ext uri="{63B3BB69-23CF-44E3-9099-C40C66FF867C}">
                  <a14:compatExt spid="_x0000_s1532"/>
                </a:ext>
                <a:ext uri="{FF2B5EF4-FFF2-40B4-BE49-F238E27FC236}">
                  <a16:creationId xmlns:a16="http://schemas.microsoft.com/office/drawing/2014/main" id="{00000000-0008-0000-0100-0000F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2991</xdr:row>
          <xdr:rowOff>0</xdr:rowOff>
        </xdr:from>
        <xdr:to>
          <xdr:col>7</xdr:col>
          <xdr:colOff>0</xdr:colOff>
          <xdr:row>2991</xdr:row>
          <xdr:rowOff>171450</xdr:rowOff>
        </xdr:to>
        <xdr:sp macro="" textlink="">
          <xdr:nvSpPr>
            <xdr:cNvPr id="1531" name="Button 507" hidden="1">
              <a:extLst>
                <a:ext uri="{63B3BB69-23CF-44E3-9099-C40C66FF867C}">
                  <a14:compatExt spid="_x0000_s1531"/>
                </a:ext>
                <a:ext uri="{FF2B5EF4-FFF2-40B4-BE49-F238E27FC236}">
                  <a16:creationId xmlns:a16="http://schemas.microsoft.com/office/drawing/2014/main" id="{00000000-0008-0000-0100-0000F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2992</xdr:row>
          <xdr:rowOff>0</xdr:rowOff>
        </xdr:from>
        <xdr:to>
          <xdr:col>7</xdr:col>
          <xdr:colOff>0</xdr:colOff>
          <xdr:row>2992</xdr:row>
          <xdr:rowOff>165100</xdr:rowOff>
        </xdr:to>
        <xdr:sp macro="" textlink="">
          <xdr:nvSpPr>
            <xdr:cNvPr id="1530" name="Button 506" hidden="1">
              <a:extLst>
                <a:ext uri="{63B3BB69-23CF-44E3-9099-C40C66FF867C}">
                  <a14:compatExt spid="_x0000_s1530"/>
                </a:ext>
                <a:ext uri="{FF2B5EF4-FFF2-40B4-BE49-F238E27FC236}">
                  <a16:creationId xmlns:a16="http://schemas.microsoft.com/office/drawing/2014/main" id="{00000000-0008-0000-0100-0000F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2995</xdr:row>
          <xdr:rowOff>0</xdr:rowOff>
        </xdr:from>
        <xdr:to>
          <xdr:col>7</xdr:col>
          <xdr:colOff>0</xdr:colOff>
          <xdr:row>2996</xdr:row>
          <xdr:rowOff>0</xdr:rowOff>
        </xdr:to>
        <xdr:sp macro="" textlink="">
          <xdr:nvSpPr>
            <xdr:cNvPr id="1529" name="Button 505" hidden="1">
              <a:extLst>
                <a:ext uri="{63B3BB69-23CF-44E3-9099-C40C66FF867C}">
                  <a14:compatExt spid="_x0000_s1529"/>
                </a:ext>
                <a:ext uri="{FF2B5EF4-FFF2-40B4-BE49-F238E27FC236}">
                  <a16:creationId xmlns:a16="http://schemas.microsoft.com/office/drawing/2014/main" id="{00000000-0008-0000-0100-0000F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3002</xdr:row>
          <xdr:rowOff>0</xdr:rowOff>
        </xdr:from>
        <xdr:to>
          <xdr:col>7</xdr:col>
          <xdr:colOff>0</xdr:colOff>
          <xdr:row>3002</xdr:row>
          <xdr:rowOff>171450</xdr:rowOff>
        </xdr:to>
        <xdr:sp macro="" textlink="">
          <xdr:nvSpPr>
            <xdr:cNvPr id="1528" name="Button 504" hidden="1">
              <a:extLst>
                <a:ext uri="{63B3BB69-23CF-44E3-9099-C40C66FF867C}">
                  <a14:compatExt spid="_x0000_s1528"/>
                </a:ext>
                <a:ext uri="{FF2B5EF4-FFF2-40B4-BE49-F238E27FC236}">
                  <a16:creationId xmlns:a16="http://schemas.microsoft.com/office/drawing/2014/main" id="{00000000-0008-0000-0100-0000F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3003</xdr:row>
          <xdr:rowOff>0</xdr:rowOff>
        </xdr:from>
        <xdr:to>
          <xdr:col>7</xdr:col>
          <xdr:colOff>0</xdr:colOff>
          <xdr:row>3003</xdr:row>
          <xdr:rowOff>165100</xdr:rowOff>
        </xdr:to>
        <xdr:sp macro="" textlink="">
          <xdr:nvSpPr>
            <xdr:cNvPr id="1527" name="Button 503" hidden="1">
              <a:extLst>
                <a:ext uri="{63B3BB69-23CF-44E3-9099-C40C66FF867C}">
                  <a14:compatExt spid="_x0000_s1527"/>
                </a:ext>
                <a:ext uri="{FF2B5EF4-FFF2-40B4-BE49-F238E27FC236}">
                  <a16:creationId xmlns:a16="http://schemas.microsoft.com/office/drawing/2014/main" id="{00000000-0008-0000-0100-0000F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3006</xdr:row>
          <xdr:rowOff>0</xdr:rowOff>
        </xdr:from>
        <xdr:to>
          <xdr:col>7</xdr:col>
          <xdr:colOff>0</xdr:colOff>
          <xdr:row>3007</xdr:row>
          <xdr:rowOff>0</xdr:rowOff>
        </xdr:to>
        <xdr:sp macro="" textlink="">
          <xdr:nvSpPr>
            <xdr:cNvPr id="1526" name="Button 502" hidden="1">
              <a:extLst>
                <a:ext uri="{63B3BB69-23CF-44E3-9099-C40C66FF867C}">
                  <a14:compatExt spid="_x0000_s1526"/>
                </a:ext>
                <a:ext uri="{FF2B5EF4-FFF2-40B4-BE49-F238E27FC236}">
                  <a16:creationId xmlns:a16="http://schemas.microsoft.com/office/drawing/2014/main" id="{00000000-0008-0000-0100-0000F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3013</xdr:row>
          <xdr:rowOff>0</xdr:rowOff>
        </xdr:from>
        <xdr:to>
          <xdr:col>7</xdr:col>
          <xdr:colOff>0</xdr:colOff>
          <xdr:row>3013</xdr:row>
          <xdr:rowOff>171450</xdr:rowOff>
        </xdr:to>
        <xdr:sp macro="" textlink="">
          <xdr:nvSpPr>
            <xdr:cNvPr id="1525" name="Button 501" hidden="1">
              <a:extLst>
                <a:ext uri="{63B3BB69-23CF-44E3-9099-C40C66FF867C}">
                  <a14:compatExt spid="_x0000_s1525"/>
                </a:ext>
                <a:ext uri="{FF2B5EF4-FFF2-40B4-BE49-F238E27FC236}">
                  <a16:creationId xmlns:a16="http://schemas.microsoft.com/office/drawing/2014/main" id="{00000000-0008-0000-0100-0000F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3014</xdr:row>
          <xdr:rowOff>0</xdr:rowOff>
        </xdr:from>
        <xdr:to>
          <xdr:col>7</xdr:col>
          <xdr:colOff>0</xdr:colOff>
          <xdr:row>3014</xdr:row>
          <xdr:rowOff>165100</xdr:rowOff>
        </xdr:to>
        <xdr:sp macro="" textlink="">
          <xdr:nvSpPr>
            <xdr:cNvPr id="1524" name="Button 500" hidden="1">
              <a:extLst>
                <a:ext uri="{63B3BB69-23CF-44E3-9099-C40C66FF867C}">
                  <a14:compatExt spid="_x0000_s1524"/>
                </a:ext>
                <a:ext uri="{FF2B5EF4-FFF2-40B4-BE49-F238E27FC236}">
                  <a16:creationId xmlns:a16="http://schemas.microsoft.com/office/drawing/2014/main" id="{00000000-0008-0000-0100-0000F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3017</xdr:row>
          <xdr:rowOff>0</xdr:rowOff>
        </xdr:from>
        <xdr:to>
          <xdr:col>7</xdr:col>
          <xdr:colOff>0</xdr:colOff>
          <xdr:row>3018</xdr:row>
          <xdr:rowOff>0</xdr:rowOff>
        </xdr:to>
        <xdr:sp macro="" textlink="">
          <xdr:nvSpPr>
            <xdr:cNvPr id="1523" name="Button 499" hidden="1">
              <a:extLst>
                <a:ext uri="{63B3BB69-23CF-44E3-9099-C40C66FF867C}">
                  <a14:compatExt spid="_x0000_s1523"/>
                </a:ext>
                <a:ext uri="{FF2B5EF4-FFF2-40B4-BE49-F238E27FC236}">
                  <a16:creationId xmlns:a16="http://schemas.microsoft.com/office/drawing/2014/main" id="{00000000-0008-0000-0100-0000F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3024</xdr:row>
          <xdr:rowOff>0</xdr:rowOff>
        </xdr:from>
        <xdr:to>
          <xdr:col>7</xdr:col>
          <xdr:colOff>0</xdr:colOff>
          <xdr:row>3024</xdr:row>
          <xdr:rowOff>171450</xdr:rowOff>
        </xdr:to>
        <xdr:sp macro="" textlink="">
          <xdr:nvSpPr>
            <xdr:cNvPr id="1522" name="Button 498" hidden="1">
              <a:extLst>
                <a:ext uri="{63B3BB69-23CF-44E3-9099-C40C66FF867C}">
                  <a14:compatExt spid="_x0000_s1522"/>
                </a:ext>
                <a:ext uri="{FF2B5EF4-FFF2-40B4-BE49-F238E27FC236}">
                  <a16:creationId xmlns:a16="http://schemas.microsoft.com/office/drawing/2014/main" id="{00000000-0008-0000-0100-0000F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3025</xdr:row>
          <xdr:rowOff>0</xdr:rowOff>
        </xdr:from>
        <xdr:to>
          <xdr:col>7</xdr:col>
          <xdr:colOff>0</xdr:colOff>
          <xdr:row>3025</xdr:row>
          <xdr:rowOff>165100</xdr:rowOff>
        </xdr:to>
        <xdr:sp macro="" textlink="">
          <xdr:nvSpPr>
            <xdr:cNvPr id="1521" name="Button 497" hidden="1">
              <a:extLst>
                <a:ext uri="{63B3BB69-23CF-44E3-9099-C40C66FF867C}">
                  <a14:compatExt spid="_x0000_s1521"/>
                </a:ext>
                <a:ext uri="{FF2B5EF4-FFF2-40B4-BE49-F238E27FC236}">
                  <a16:creationId xmlns:a16="http://schemas.microsoft.com/office/drawing/2014/main" id="{00000000-0008-0000-0100-0000F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3028</xdr:row>
          <xdr:rowOff>0</xdr:rowOff>
        </xdr:from>
        <xdr:to>
          <xdr:col>7</xdr:col>
          <xdr:colOff>0</xdr:colOff>
          <xdr:row>3029</xdr:row>
          <xdr:rowOff>0</xdr:rowOff>
        </xdr:to>
        <xdr:sp macro="" textlink="">
          <xdr:nvSpPr>
            <xdr:cNvPr id="1520" name="Button 496" hidden="1">
              <a:extLst>
                <a:ext uri="{63B3BB69-23CF-44E3-9099-C40C66FF867C}">
                  <a14:compatExt spid="_x0000_s1520"/>
                </a:ext>
                <a:ext uri="{FF2B5EF4-FFF2-40B4-BE49-F238E27FC236}">
                  <a16:creationId xmlns:a16="http://schemas.microsoft.com/office/drawing/2014/main" id="{00000000-0008-0000-0100-0000F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3035</xdr:row>
          <xdr:rowOff>0</xdr:rowOff>
        </xdr:from>
        <xdr:to>
          <xdr:col>7</xdr:col>
          <xdr:colOff>0</xdr:colOff>
          <xdr:row>3035</xdr:row>
          <xdr:rowOff>171450</xdr:rowOff>
        </xdr:to>
        <xdr:sp macro="" textlink="">
          <xdr:nvSpPr>
            <xdr:cNvPr id="1519" name="Button 495" hidden="1">
              <a:extLst>
                <a:ext uri="{63B3BB69-23CF-44E3-9099-C40C66FF867C}">
                  <a14:compatExt spid="_x0000_s1519"/>
                </a:ext>
                <a:ext uri="{FF2B5EF4-FFF2-40B4-BE49-F238E27FC236}">
                  <a16:creationId xmlns:a16="http://schemas.microsoft.com/office/drawing/2014/main" id="{00000000-0008-0000-0100-0000E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3036</xdr:row>
          <xdr:rowOff>0</xdr:rowOff>
        </xdr:from>
        <xdr:to>
          <xdr:col>7</xdr:col>
          <xdr:colOff>0</xdr:colOff>
          <xdr:row>3036</xdr:row>
          <xdr:rowOff>165100</xdr:rowOff>
        </xdr:to>
        <xdr:sp macro="" textlink="">
          <xdr:nvSpPr>
            <xdr:cNvPr id="1518" name="Button 494" hidden="1">
              <a:extLst>
                <a:ext uri="{63B3BB69-23CF-44E3-9099-C40C66FF867C}">
                  <a14:compatExt spid="_x0000_s1518"/>
                </a:ext>
                <a:ext uri="{FF2B5EF4-FFF2-40B4-BE49-F238E27FC236}">
                  <a16:creationId xmlns:a16="http://schemas.microsoft.com/office/drawing/2014/main" id="{00000000-0008-0000-0100-0000E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3039</xdr:row>
          <xdr:rowOff>0</xdr:rowOff>
        </xdr:from>
        <xdr:to>
          <xdr:col>7</xdr:col>
          <xdr:colOff>0</xdr:colOff>
          <xdr:row>3040</xdr:row>
          <xdr:rowOff>0</xdr:rowOff>
        </xdr:to>
        <xdr:sp macro="" textlink="">
          <xdr:nvSpPr>
            <xdr:cNvPr id="1517" name="Button 493" hidden="1">
              <a:extLst>
                <a:ext uri="{63B3BB69-23CF-44E3-9099-C40C66FF867C}">
                  <a14:compatExt spid="_x0000_s1517"/>
                </a:ext>
                <a:ext uri="{FF2B5EF4-FFF2-40B4-BE49-F238E27FC236}">
                  <a16:creationId xmlns:a16="http://schemas.microsoft.com/office/drawing/2014/main" id="{00000000-0008-0000-0100-0000E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3046</xdr:row>
          <xdr:rowOff>0</xdr:rowOff>
        </xdr:from>
        <xdr:to>
          <xdr:col>7</xdr:col>
          <xdr:colOff>0</xdr:colOff>
          <xdr:row>3046</xdr:row>
          <xdr:rowOff>171450</xdr:rowOff>
        </xdr:to>
        <xdr:sp macro="" textlink="">
          <xdr:nvSpPr>
            <xdr:cNvPr id="1516" name="Button 492" hidden="1">
              <a:extLst>
                <a:ext uri="{63B3BB69-23CF-44E3-9099-C40C66FF867C}">
                  <a14:compatExt spid="_x0000_s1516"/>
                </a:ext>
                <a:ext uri="{FF2B5EF4-FFF2-40B4-BE49-F238E27FC236}">
                  <a16:creationId xmlns:a16="http://schemas.microsoft.com/office/drawing/2014/main" id="{00000000-0008-0000-0100-0000E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3047</xdr:row>
          <xdr:rowOff>0</xdr:rowOff>
        </xdr:from>
        <xdr:to>
          <xdr:col>7</xdr:col>
          <xdr:colOff>0</xdr:colOff>
          <xdr:row>3047</xdr:row>
          <xdr:rowOff>165100</xdr:rowOff>
        </xdr:to>
        <xdr:sp macro="" textlink="">
          <xdr:nvSpPr>
            <xdr:cNvPr id="1515" name="Button 491" hidden="1">
              <a:extLst>
                <a:ext uri="{63B3BB69-23CF-44E3-9099-C40C66FF867C}">
                  <a14:compatExt spid="_x0000_s1515"/>
                </a:ext>
                <a:ext uri="{FF2B5EF4-FFF2-40B4-BE49-F238E27FC236}">
                  <a16:creationId xmlns:a16="http://schemas.microsoft.com/office/drawing/2014/main" id="{00000000-0008-0000-0100-0000E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3050</xdr:row>
          <xdr:rowOff>0</xdr:rowOff>
        </xdr:from>
        <xdr:to>
          <xdr:col>7</xdr:col>
          <xdr:colOff>0</xdr:colOff>
          <xdr:row>3051</xdr:row>
          <xdr:rowOff>0</xdr:rowOff>
        </xdr:to>
        <xdr:sp macro="" textlink="">
          <xdr:nvSpPr>
            <xdr:cNvPr id="1514" name="Button 490" hidden="1">
              <a:extLst>
                <a:ext uri="{63B3BB69-23CF-44E3-9099-C40C66FF867C}">
                  <a14:compatExt spid="_x0000_s1514"/>
                </a:ext>
                <a:ext uri="{FF2B5EF4-FFF2-40B4-BE49-F238E27FC236}">
                  <a16:creationId xmlns:a16="http://schemas.microsoft.com/office/drawing/2014/main" id="{00000000-0008-0000-0100-0000E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3057</xdr:row>
          <xdr:rowOff>0</xdr:rowOff>
        </xdr:from>
        <xdr:to>
          <xdr:col>7</xdr:col>
          <xdr:colOff>0</xdr:colOff>
          <xdr:row>3057</xdr:row>
          <xdr:rowOff>171450</xdr:rowOff>
        </xdr:to>
        <xdr:sp macro="" textlink="">
          <xdr:nvSpPr>
            <xdr:cNvPr id="1513" name="Button 489" hidden="1">
              <a:extLst>
                <a:ext uri="{63B3BB69-23CF-44E3-9099-C40C66FF867C}">
                  <a14:compatExt spid="_x0000_s1513"/>
                </a:ext>
                <a:ext uri="{FF2B5EF4-FFF2-40B4-BE49-F238E27FC236}">
                  <a16:creationId xmlns:a16="http://schemas.microsoft.com/office/drawing/2014/main" id="{00000000-0008-0000-0100-0000E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3058</xdr:row>
          <xdr:rowOff>0</xdr:rowOff>
        </xdr:from>
        <xdr:to>
          <xdr:col>7</xdr:col>
          <xdr:colOff>0</xdr:colOff>
          <xdr:row>3058</xdr:row>
          <xdr:rowOff>165100</xdr:rowOff>
        </xdr:to>
        <xdr:sp macro="" textlink="">
          <xdr:nvSpPr>
            <xdr:cNvPr id="1512" name="Button 488" hidden="1">
              <a:extLst>
                <a:ext uri="{63B3BB69-23CF-44E3-9099-C40C66FF867C}">
                  <a14:compatExt spid="_x0000_s1512"/>
                </a:ext>
                <a:ext uri="{FF2B5EF4-FFF2-40B4-BE49-F238E27FC236}">
                  <a16:creationId xmlns:a16="http://schemas.microsoft.com/office/drawing/2014/main" id="{00000000-0008-0000-0100-0000E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3061</xdr:row>
          <xdr:rowOff>0</xdr:rowOff>
        </xdr:from>
        <xdr:to>
          <xdr:col>7</xdr:col>
          <xdr:colOff>0</xdr:colOff>
          <xdr:row>3062</xdr:row>
          <xdr:rowOff>0</xdr:rowOff>
        </xdr:to>
        <xdr:sp macro="" textlink="">
          <xdr:nvSpPr>
            <xdr:cNvPr id="1511" name="Button 487" hidden="1">
              <a:extLst>
                <a:ext uri="{63B3BB69-23CF-44E3-9099-C40C66FF867C}">
                  <a14:compatExt spid="_x0000_s1511"/>
                </a:ext>
                <a:ext uri="{FF2B5EF4-FFF2-40B4-BE49-F238E27FC236}">
                  <a16:creationId xmlns:a16="http://schemas.microsoft.com/office/drawing/2014/main" id="{00000000-0008-0000-0100-0000E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3068</xdr:row>
          <xdr:rowOff>0</xdr:rowOff>
        </xdr:from>
        <xdr:to>
          <xdr:col>7</xdr:col>
          <xdr:colOff>0</xdr:colOff>
          <xdr:row>3068</xdr:row>
          <xdr:rowOff>171450</xdr:rowOff>
        </xdr:to>
        <xdr:sp macro="" textlink="">
          <xdr:nvSpPr>
            <xdr:cNvPr id="1510" name="Button 486" hidden="1">
              <a:extLst>
                <a:ext uri="{63B3BB69-23CF-44E3-9099-C40C66FF867C}">
                  <a14:compatExt spid="_x0000_s1510"/>
                </a:ext>
                <a:ext uri="{FF2B5EF4-FFF2-40B4-BE49-F238E27FC236}">
                  <a16:creationId xmlns:a16="http://schemas.microsoft.com/office/drawing/2014/main" id="{00000000-0008-0000-0100-0000E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3069</xdr:row>
          <xdr:rowOff>0</xdr:rowOff>
        </xdr:from>
        <xdr:to>
          <xdr:col>7</xdr:col>
          <xdr:colOff>0</xdr:colOff>
          <xdr:row>3069</xdr:row>
          <xdr:rowOff>165100</xdr:rowOff>
        </xdr:to>
        <xdr:sp macro="" textlink="">
          <xdr:nvSpPr>
            <xdr:cNvPr id="1509" name="Button 485" hidden="1">
              <a:extLst>
                <a:ext uri="{63B3BB69-23CF-44E3-9099-C40C66FF867C}">
                  <a14:compatExt spid="_x0000_s1509"/>
                </a:ext>
                <a:ext uri="{FF2B5EF4-FFF2-40B4-BE49-F238E27FC236}">
                  <a16:creationId xmlns:a16="http://schemas.microsoft.com/office/drawing/2014/main" id="{00000000-0008-0000-0100-0000E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3072</xdr:row>
          <xdr:rowOff>0</xdr:rowOff>
        </xdr:from>
        <xdr:to>
          <xdr:col>7</xdr:col>
          <xdr:colOff>0</xdr:colOff>
          <xdr:row>3073</xdr:row>
          <xdr:rowOff>0</xdr:rowOff>
        </xdr:to>
        <xdr:sp macro="" textlink="">
          <xdr:nvSpPr>
            <xdr:cNvPr id="1508" name="Button 484" hidden="1">
              <a:extLst>
                <a:ext uri="{63B3BB69-23CF-44E3-9099-C40C66FF867C}">
                  <a14:compatExt spid="_x0000_s1508"/>
                </a:ext>
                <a:ext uri="{FF2B5EF4-FFF2-40B4-BE49-F238E27FC236}">
                  <a16:creationId xmlns:a16="http://schemas.microsoft.com/office/drawing/2014/main" id="{00000000-0008-0000-0100-0000E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3079</xdr:row>
          <xdr:rowOff>0</xdr:rowOff>
        </xdr:from>
        <xdr:to>
          <xdr:col>7</xdr:col>
          <xdr:colOff>0</xdr:colOff>
          <xdr:row>3079</xdr:row>
          <xdr:rowOff>171450</xdr:rowOff>
        </xdr:to>
        <xdr:sp macro="" textlink="">
          <xdr:nvSpPr>
            <xdr:cNvPr id="1507" name="Button 483" hidden="1">
              <a:extLst>
                <a:ext uri="{63B3BB69-23CF-44E3-9099-C40C66FF867C}">
                  <a14:compatExt spid="_x0000_s1507"/>
                </a:ext>
                <a:ext uri="{FF2B5EF4-FFF2-40B4-BE49-F238E27FC236}">
                  <a16:creationId xmlns:a16="http://schemas.microsoft.com/office/drawing/2014/main" id="{00000000-0008-0000-0100-0000E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3080</xdr:row>
          <xdr:rowOff>0</xdr:rowOff>
        </xdr:from>
        <xdr:to>
          <xdr:col>7</xdr:col>
          <xdr:colOff>0</xdr:colOff>
          <xdr:row>3080</xdr:row>
          <xdr:rowOff>165100</xdr:rowOff>
        </xdr:to>
        <xdr:sp macro="" textlink="">
          <xdr:nvSpPr>
            <xdr:cNvPr id="1506" name="Button 482" hidden="1">
              <a:extLst>
                <a:ext uri="{63B3BB69-23CF-44E3-9099-C40C66FF867C}">
                  <a14:compatExt spid="_x0000_s1506"/>
                </a:ext>
                <a:ext uri="{FF2B5EF4-FFF2-40B4-BE49-F238E27FC236}">
                  <a16:creationId xmlns:a16="http://schemas.microsoft.com/office/drawing/2014/main" id="{00000000-0008-0000-0100-0000E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3083</xdr:row>
          <xdr:rowOff>0</xdr:rowOff>
        </xdr:from>
        <xdr:to>
          <xdr:col>7</xdr:col>
          <xdr:colOff>0</xdr:colOff>
          <xdr:row>3084</xdr:row>
          <xdr:rowOff>0</xdr:rowOff>
        </xdr:to>
        <xdr:sp macro="" textlink="">
          <xdr:nvSpPr>
            <xdr:cNvPr id="1505" name="Button 481" hidden="1">
              <a:extLst>
                <a:ext uri="{63B3BB69-23CF-44E3-9099-C40C66FF867C}">
                  <a14:compatExt spid="_x0000_s1505"/>
                </a:ext>
                <a:ext uri="{FF2B5EF4-FFF2-40B4-BE49-F238E27FC236}">
                  <a16:creationId xmlns:a16="http://schemas.microsoft.com/office/drawing/2014/main" id="{00000000-0008-0000-0100-0000E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3090</xdr:row>
          <xdr:rowOff>0</xdr:rowOff>
        </xdr:from>
        <xdr:to>
          <xdr:col>7</xdr:col>
          <xdr:colOff>0</xdr:colOff>
          <xdr:row>3090</xdr:row>
          <xdr:rowOff>171450</xdr:rowOff>
        </xdr:to>
        <xdr:sp macro="" textlink="">
          <xdr:nvSpPr>
            <xdr:cNvPr id="1504" name="Button 480" hidden="1">
              <a:extLst>
                <a:ext uri="{63B3BB69-23CF-44E3-9099-C40C66FF867C}">
                  <a14:compatExt spid="_x0000_s1504"/>
                </a:ext>
                <a:ext uri="{FF2B5EF4-FFF2-40B4-BE49-F238E27FC236}">
                  <a16:creationId xmlns:a16="http://schemas.microsoft.com/office/drawing/2014/main" id="{00000000-0008-0000-0100-0000E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3091</xdr:row>
          <xdr:rowOff>0</xdr:rowOff>
        </xdr:from>
        <xdr:to>
          <xdr:col>7</xdr:col>
          <xdr:colOff>0</xdr:colOff>
          <xdr:row>3091</xdr:row>
          <xdr:rowOff>165100</xdr:rowOff>
        </xdr:to>
        <xdr:sp macro="" textlink="">
          <xdr:nvSpPr>
            <xdr:cNvPr id="1503" name="Button 479" hidden="1">
              <a:extLst>
                <a:ext uri="{63B3BB69-23CF-44E3-9099-C40C66FF867C}">
                  <a14:compatExt spid="_x0000_s1503"/>
                </a:ext>
                <a:ext uri="{FF2B5EF4-FFF2-40B4-BE49-F238E27FC236}">
                  <a16:creationId xmlns:a16="http://schemas.microsoft.com/office/drawing/2014/main" id="{00000000-0008-0000-0100-0000D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3092</xdr:row>
          <xdr:rowOff>0</xdr:rowOff>
        </xdr:from>
        <xdr:to>
          <xdr:col>7</xdr:col>
          <xdr:colOff>0</xdr:colOff>
          <xdr:row>3092</xdr:row>
          <xdr:rowOff>165100</xdr:rowOff>
        </xdr:to>
        <xdr:sp macro="" textlink="">
          <xdr:nvSpPr>
            <xdr:cNvPr id="1502" name="Button 478" hidden="1">
              <a:extLst>
                <a:ext uri="{63B3BB69-23CF-44E3-9099-C40C66FF867C}">
                  <a14:compatExt spid="_x0000_s1502"/>
                </a:ext>
                <a:ext uri="{FF2B5EF4-FFF2-40B4-BE49-F238E27FC236}">
                  <a16:creationId xmlns:a16="http://schemas.microsoft.com/office/drawing/2014/main" id="{00000000-0008-0000-0100-0000D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3093</xdr:row>
          <xdr:rowOff>0</xdr:rowOff>
        </xdr:from>
        <xdr:to>
          <xdr:col>7</xdr:col>
          <xdr:colOff>0</xdr:colOff>
          <xdr:row>3093</xdr:row>
          <xdr:rowOff>165100</xdr:rowOff>
        </xdr:to>
        <xdr:sp macro="" textlink="">
          <xdr:nvSpPr>
            <xdr:cNvPr id="1501" name="Button 477" hidden="1">
              <a:extLst>
                <a:ext uri="{63B3BB69-23CF-44E3-9099-C40C66FF867C}">
                  <a14:compatExt spid="_x0000_s1501"/>
                </a:ext>
                <a:ext uri="{FF2B5EF4-FFF2-40B4-BE49-F238E27FC236}">
                  <a16:creationId xmlns:a16="http://schemas.microsoft.com/office/drawing/2014/main" id="{00000000-0008-0000-0100-0000D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3096</xdr:row>
          <xdr:rowOff>0</xdr:rowOff>
        </xdr:from>
        <xdr:to>
          <xdr:col>7</xdr:col>
          <xdr:colOff>0</xdr:colOff>
          <xdr:row>3097</xdr:row>
          <xdr:rowOff>0</xdr:rowOff>
        </xdr:to>
        <xdr:sp macro="" textlink="">
          <xdr:nvSpPr>
            <xdr:cNvPr id="1500" name="Button 476" hidden="1">
              <a:extLst>
                <a:ext uri="{63B3BB69-23CF-44E3-9099-C40C66FF867C}">
                  <a14:compatExt spid="_x0000_s1500"/>
                </a:ext>
                <a:ext uri="{FF2B5EF4-FFF2-40B4-BE49-F238E27FC236}">
                  <a16:creationId xmlns:a16="http://schemas.microsoft.com/office/drawing/2014/main" id="{00000000-0008-0000-0100-0000D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3103</xdr:row>
          <xdr:rowOff>0</xdr:rowOff>
        </xdr:from>
        <xdr:to>
          <xdr:col>7</xdr:col>
          <xdr:colOff>0</xdr:colOff>
          <xdr:row>3103</xdr:row>
          <xdr:rowOff>171450</xdr:rowOff>
        </xdr:to>
        <xdr:sp macro="" textlink="">
          <xdr:nvSpPr>
            <xdr:cNvPr id="1499" name="Button 475" hidden="1">
              <a:extLst>
                <a:ext uri="{63B3BB69-23CF-44E3-9099-C40C66FF867C}">
                  <a14:compatExt spid="_x0000_s1499"/>
                </a:ext>
                <a:ext uri="{FF2B5EF4-FFF2-40B4-BE49-F238E27FC236}">
                  <a16:creationId xmlns:a16="http://schemas.microsoft.com/office/drawing/2014/main" id="{00000000-0008-0000-0100-0000D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3104</xdr:row>
          <xdr:rowOff>0</xdr:rowOff>
        </xdr:from>
        <xdr:to>
          <xdr:col>7</xdr:col>
          <xdr:colOff>0</xdr:colOff>
          <xdr:row>3104</xdr:row>
          <xdr:rowOff>165100</xdr:rowOff>
        </xdr:to>
        <xdr:sp macro="" textlink="">
          <xdr:nvSpPr>
            <xdr:cNvPr id="1498" name="Button 474" hidden="1">
              <a:extLst>
                <a:ext uri="{63B3BB69-23CF-44E3-9099-C40C66FF867C}">
                  <a14:compatExt spid="_x0000_s1498"/>
                </a:ext>
                <a:ext uri="{FF2B5EF4-FFF2-40B4-BE49-F238E27FC236}">
                  <a16:creationId xmlns:a16="http://schemas.microsoft.com/office/drawing/2014/main" id="{00000000-0008-0000-0100-0000D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3107</xdr:row>
          <xdr:rowOff>0</xdr:rowOff>
        </xdr:from>
        <xdr:to>
          <xdr:col>7</xdr:col>
          <xdr:colOff>0</xdr:colOff>
          <xdr:row>3108</xdr:row>
          <xdr:rowOff>0</xdr:rowOff>
        </xdr:to>
        <xdr:sp macro="" textlink="">
          <xdr:nvSpPr>
            <xdr:cNvPr id="1497" name="Button 473" hidden="1">
              <a:extLst>
                <a:ext uri="{63B3BB69-23CF-44E3-9099-C40C66FF867C}">
                  <a14:compatExt spid="_x0000_s1497"/>
                </a:ext>
                <a:ext uri="{FF2B5EF4-FFF2-40B4-BE49-F238E27FC236}">
                  <a16:creationId xmlns:a16="http://schemas.microsoft.com/office/drawing/2014/main" id="{00000000-0008-0000-0100-0000D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3114</xdr:row>
          <xdr:rowOff>0</xdr:rowOff>
        </xdr:from>
        <xdr:to>
          <xdr:col>7</xdr:col>
          <xdr:colOff>0</xdr:colOff>
          <xdr:row>3114</xdr:row>
          <xdr:rowOff>171450</xdr:rowOff>
        </xdr:to>
        <xdr:sp macro="" textlink="">
          <xdr:nvSpPr>
            <xdr:cNvPr id="1496" name="Button 472" hidden="1">
              <a:extLst>
                <a:ext uri="{63B3BB69-23CF-44E3-9099-C40C66FF867C}">
                  <a14:compatExt spid="_x0000_s1496"/>
                </a:ext>
                <a:ext uri="{FF2B5EF4-FFF2-40B4-BE49-F238E27FC236}">
                  <a16:creationId xmlns:a16="http://schemas.microsoft.com/office/drawing/2014/main" id="{00000000-0008-0000-0100-0000D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3115</xdr:row>
          <xdr:rowOff>0</xdr:rowOff>
        </xdr:from>
        <xdr:to>
          <xdr:col>7</xdr:col>
          <xdr:colOff>0</xdr:colOff>
          <xdr:row>3115</xdr:row>
          <xdr:rowOff>165100</xdr:rowOff>
        </xdr:to>
        <xdr:sp macro="" textlink="">
          <xdr:nvSpPr>
            <xdr:cNvPr id="1495" name="Button 471" hidden="1">
              <a:extLst>
                <a:ext uri="{63B3BB69-23CF-44E3-9099-C40C66FF867C}">
                  <a14:compatExt spid="_x0000_s1495"/>
                </a:ext>
                <a:ext uri="{FF2B5EF4-FFF2-40B4-BE49-F238E27FC236}">
                  <a16:creationId xmlns:a16="http://schemas.microsoft.com/office/drawing/2014/main" id="{00000000-0008-0000-0100-0000D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3116</xdr:row>
          <xdr:rowOff>0</xdr:rowOff>
        </xdr:from>
        <xdr:to>
          <xdr:col>7</xdr:col>
          <xdr:colOff>0</xdr:colOff>
          <xdr:row>3116</xdr:row>
          <xdr:rowOff>165100</xdr:rowOff>
        </xdr:to>
        <xdr:sp macro="" textlink="">
          <xdr:nvSpPr>
            <xdr:cNvPr id="1494" name="Button 470" hidden="1">
              <a:extLst>
                <a:ext uri="{63B3BB69-23CF-44E3-9099-C40C66FF867C}">
                  <a14:compatExt spid="_x0000_s1494"/>
                </a:ext>
                <a:ext uri="{FF2B5EF4-FFF2-40B4-BE49-F238E27FC236}">
                  <a16:creationId xmlns:a16="http://schemas.microsoft.com/office/drawing/2014/main" id="{00000000-0008-0000-0100-0000D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3117</xdr:row>
          <xdr:rowOff>0</xdr:rowOff>
        </xdr:from>
        <xdr:to>
          <xdr:col>7</xdr:col>
          <xdr:colOff>0</xdr:colOff>
          <xdr:row>3117</xdr:row>
          <xdr:rowOff>165100</xdr:rowOff>
        </xdr:to>
        <xdr:sp macro="" textlink="">
          <xdr:nvSpPr>
            <xdr:cNvPr id="1493" name="Button 469" hidden="1">
              <a:extLst>
                <a:ext uri="{63B3BB69-23CF-44E3-9099-C40C66FF867C}">
                  <a14:compatExt spid="_x0000_s1493"/>
                </a:ext>
                <a:ext uri="{FF2B5EF4-FFF2-40B4-BE49-F238E27FC236}">
                  <a16:creationId xmlns:a16="http://schemas.microsoft.com/office/drawing/2014/main" id="{00000000-0008-0000-0100-0000D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3120</xdr:row>
          <xdr:rowOff>0</xdr:rowOff>
        </xdr:from>
        <xdr:to>
          <xdr:col>7</xdr:col>
          <xdr:colOff>0</xdr:colOff>
          <xdr:row>3121</xdr:row>
          <xdr:rowOff>0</xdr:rowOff>
        </xdr:to>
        <xdr:sp macro="" textlink="">
          <xdr:nvSpPr>
            <xdr:cNvPr id="1492" name="Button 468" hidden="1">
              <a:extLst>
                <a:ext uri="{63B3BB69-23CF-44E3-9099-C40C66FF867C}">
                  <a14:compatExt spid="_x0000_s1492"/>
                </a:ext>
                <a:ext uri="{FF2B5EF4-FFF2-40B4-BE49-F238E27FC236}">
                  <a16:creationId xmlns:a16="http://schemas.microsoft.com/office/drawing/2014/main" id="{00000000-0008-0000-0100-0000D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3127</xdr:row>
          <xdr:rowOff>0</xdr:rowOff>
        </xdr:from>
        <xdr:to>
          <xdr:col>7</xdr:col>
          <xdr:colOff>0</xdr:colOff>
          <xdr:row>3127</xdr:row>
          <xdr:rowOff>171450</xdr:rowOff>
        </xdr:to>
        <xdr:sp macro="" textlink="">
          <xdr:nvSpPr>
            <xdr:cNvPr id="1491" name="Button 467" hidden="1">
              <a:extLst>
                <a:ext uri="{63B3BB69-23CF-44E3-9099-C40C66FF867C}">
                  <a14:compatExt spid="_x0000_s1491"/>
                </a:ext>
                <a:ext uri="{FF2B5EF4-FFF2-40B4-BE49-F238E27FC236}">
                  <a16:creationId xmlns:a16="http://schemas.microsoft.com/office/drawing/2014/main" id="{00000000-0008-0000-0100-0000D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3128</xdr:row>
          <xdr:rowOff>0</xdr:rowOff>
        </xdr:from>
        <xdr:to>
          <xdr:col>7</xdr:col>
          <xdr:colOff>0</xdr:colOff>
          <xdr:row>3128</xdr:row>
          <xdr:rowOff>165100</xdr:rowOff>
        </xdr:to>
        <xdr:sp macro="" textlink="">
          <xdr:nvSpPr>
            <xdr:cNvPr id="1490" name="Button 466" hidden="1">
              <a:extLst>
                <a:ext uri="{63B3BB69-23CF-44E3-9099-C40C66FF867C}">
                  <a14:compatExt spid="_x0000_s1490"/>
                </a:ext>
                <a:ext uri="{FF2B5EF4-FFF2-40B4-BE49-F238E27FC236}">
                  <a16:creationId xmlns:a16="http://schemas.microsoft.com/office/drawing/2014/main" id="{00000000-0008-0000-0100-0000D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3131</xdr:row>
          <xdr:rowOff>0</xdr:rowOff>
        </xdr:from>
        <xdr:to>
          <xdr:col>7</xdr:col>
          <xdr:colOff>0</xdr:colOff>
          <xdr:row>3132</xdr:row>
          <xdr:rowOff>0</xdr:rowOff>
        </xdr:to>
        <xdr:sp macro="" textlink="">
          <xdr:nvSpPr>
            <xdr:cNvPr id="1489" name="Button 465" hidden="1">
              <a:extLst>
                <a:ext uri="{63B3BB69-23CF-44E3-9099-C40C66FF867C}">
                  <a14:compatExt spid="_x0000_s1489"/>
                </a:ext>
                <a:ext uri="{FF2B5EF4-FFF2-40B4-BE49-F238E27FC236}">
                  <a16:creationId xmlns:a16="http://schemas.microsoft.com/office/drawing/2014/main" id="{00000000-0008-0000-0100-0000D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3138</xdr:row>
          <xdr:rowOff>0</xdr:rowOff>
        </xdr:from>
        <xdr:to>
          <xdr:col>7</xdr:col>
          <xdr:colOff>0</xdr:colOff>
          <xdr:row>3138</xdr:row>
          <xdr:rowOff>171450</xdr:rowOff>
        </xdr:to>
        <xdr:sp macro="" textlink="">
          <xdr:nvSpPr>
            <xdr:cNvPr id="1488" name="Button 464" hidden="1">
              <a:extLst>
                <a:ext uri="{63B3BB69-23CF-44E3-9099-C40C66FF867C}">
                  <a14:compatExt spid="_x0000_s1488"/>
                </a:ext>
                <a:ext uri="{FF2B5EF4-FFF2-40B4-BE49-F238E27FC236}">
                  <a16:creationId xmlns:a16="http://schemas.microsoft.com/office/drawing/2014/main" id="{00000000-0008-0000-0100-0000D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3139</xdr:row>
          <xdr:rowOff>0</xdr:rowOff>
        </xdr:from>
        <xdr:to>
          <xdr:col>7</xdr:col>
          <xdr:colOff>0</xdr:colOff>
          <xdr:row>3139</xdr:row>
          <xdr:rowOff>165100</xdr:rowOff>
        </xdr:to>
        <xdr:sp macro="" textlink="">
          <xdr:nvSpPr>
            <xdr:cNvPr id="1487" name="Button 463" hidden="1">
              <a:extLst>
                <a:ext uri="{63B3BB69-23CF-44E3-9099-C40C66FF867C}">
                  <a14:compatExt spid="_x0000_s1487"/>
                </a:ext>
                <a:ext uri="{FF2B5EF4-FFF2-40B4-BE49-F238E27FC236}">
                  <a16:creationId xmlns:a16="http://schemas.microsoft.com/office/drawing/2014/main" id="{00000000-0008-0000-0100-0000C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3142</xdr:row>
          <xdr:rowOff>0</xdr:rowOff>
        </xdr:from>
        <xdr:to>
          <xdr:col>7</xdr:col>
          <xdr:colOff>0</xdr:colOff>
          <xdr:row>3143</xdr:row>
          <xdr:rowOff>0</xdr:rowOff>
        </xdr:to>
        <xdr:sp macro="" textlink="">
          <xdr:nvSpPr>
            <xdr:cNvPr id="1486" name="Button 462" hidden="1">
              <a:extLst>
                <a:ext uri="{63B3BB69-23CF-44E3-9099-C40C66FF867C}">
                  <a14:compatExt spid="_x0000_s1486"/>
                </a:ext>
                <a:ext uri="{FF2B5EF4-FFF2-40B4-BE49-F238E27FC236}">
                  <a16:creationId xmlns:a16="http://schemas.microsoft.com/office/drawing/2014/main" id="{00000000-0008-0000-0100-0000C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3149</xdr:row>
          <xdr:rowOff>0</xdr:rowOff>
        </xdr:from>
        <xdr:to>
          <xdr:col>7</xdr:col>
          <xdr:colOff>0</xdr:colOff>
          <xdr:row>3149</xdr:row>
          <xdr:rowOff>171450</xdr:rowOff>
        </xdr:to>
        <xdr:sp macro="" textlink="">
          <xdr:nvSpPr>
            <xdr:cNvPr id="1485" name="Button 461" hidden="1">
              <a:extLst>
                <a:ext uri="{63B3BB69-23CF-44E3-9099-C40C66FF867C}">
                  <a14:compatExt spid="_x0000_s1485"/>
                </a:ext>
                <a:ext uri="{FF2B5EF4-FFF2-40B4-BE49-F238E27FC236}">
                  <a16:creationId xmlns:a16="http://schemas.microsoft.com/office/drawing/2014/main" id="{00000000-0008-0000-0100-0000C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3150</xdr:row>
          <xdr:rowOff>0</xdr:rowOff>
        </xdr:from>
        <xdr:to>
          <xdr:col>7</xdr:col>
          <xdr:colOff>0</xdr:colOff>
          <xdr:row>3150</xdr:row>
          <xdr:rowOff>165100</xdr:rowOff>
        </xdr:to>
        <xdr:sp macro="" textlink="">
          <xdr:nvSpPr>
            <xdr:cNvPr id="1484" name="Button 460" hidden="1">
              <a:extLst>
                <a:ext uri="{63B3BB69-23CF-44E3-9099-C40C66FF867C}">
                  <a14:compatExt spid="_x0000_s1484"/>
                </a:ext>
                <a:ext uri="{FF2B5EF4-FFF2-40B4-BE49-F238E27FC236}">
                  <a16:creationId xmlns:a16="http://schemas.microsoft.com/office/drawing/2014/main" id="{00000000-0008-0000-0100-0000C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3153</xdr:row>
          <xdr:rowOff>0</xdr:rowOff>
        </xdr:from>
        <xdr:to>
          <xdr:col>7</xdr:col>
          <xdr:colOff>0</xdr:colOff>
          <xdr:row>3154</xdr:row>
          <xdr:rowOff>0</xdr:rowOff>
        </xdr:to>
        <xdr:sp macro="" textlink="">
          <xdr:nvSpPr>
            <xdr:cNvPr id="1483" name="Button 459" hidden="1">
              <a:extLst>
                <a:ext uri="{63B3BB69-23CF-44E3-9099-C40C66FF867C}">
                  <a14:compatExt spid="_x0000_s1483"/>
                </a:ext>
                <a:ext uri="{FF2B5EF4-FFF2-40B4-BE49-F238E27FC236}">
                  <a16:creationId xmlns:a16="http://schemas.microsoft.com/office/drawing/2014/main" id="{00000000-0008-0000-0100-0000C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3160</xdr:row>
          <xdr:rowOff>0</xdr:rowOff>
        </xdr:from>
        <xdr:to>
          <xdr:col>7</xdr:col>
          <xdr:colOff>0</xdr:colOff>
          <xdr:row>3160</xdr:row>
          <xdr:rowOff>171450</xdr:rowOff>
        </xdr:to>
        <xdr:sp macro="" textlink="">
          <xdr:nvSpPr>
            <xdr:cNvPr id="1482" name="Button 458" hidden="1">
              <a:extLst>
                <a:ext uri="{63B3BB69-23CF-44E3-9099-C40C66FF867C}">
                  <a14:compatExt spid="_x0000_s1482"/>
                </a:ext>
                <a:ext uri="{FF2B5EF4-FFF2-40B4-BE49-F238E27FC236}">
                  <a16:creationId xmlns:a16="http://schemas.microsoft.com/office/drawing/2014/main" id="{00000000-0008-0000-0100-0000C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3161</xdr:row>
          <xdr:rowOff>0</xdr:rowOff>
        </xdr:from>
        <xdr:to>
          <xdr:col>7</xdr:col>
          <xdr:colOff>0</xdr:colOff>
          <xdr:row>3161</xdr:row>
          <xdr:rowOff>165100</xdr:rowOff>
        </xdr:to>
        <xdr:sp macro="" textlink="">
          <xdr:nvSpPr>
            <xdr:cNvPr id="1481" name="Button 457" hidden="1">
              <a:extLst>
                <a:ext uri="{63B3BB69-23CF-44E3-9099-C40C66FF867C}">
                  <a14:compatExt spid="_x0000_s1481"/>
                </a:ext>
                <a:ext uri="{FF2B5EF4-FFF2-40B4-BE49-F238E27FC236}">
                  <a16:creationId xmlns:a16="http://schemas.microsoft.com/office/drawing/2014/main" id="{00000000-0008-0000-0100-0000C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3164</xdr:row>
          <xdr:rowOff>0</xdr:rowOff>
        </xdr:from>
        <xdr:to>
          <xdr:col>7</xdr:col>
          <xdr:colOff>0</xdr:colOff>
          <xdr:row>3165</xdr:row>
          <xdr:rowOff>0</xdr:rowOff>
        </xdr:to>
        <xdr:sp macro="" textlink="">
          <xdr:nvSpPr>
            <xdr:cNvPr id="1480" name="Button 456" hidden="1">
              <a:extLst>
                <a:ext uri="{63B3BB69-23CF-44E3-9099-C40C66FF867C}">
                  <a14:compatExt spid="_x0000_s1480"/>
                </a:ext>
                <a:ext uri="{FF2B5EF4-FFF2-40B4-BE49-F238E27FC236}">
                  <a16:creationId xmlns:a16="http://schemas.microsoft.com/office/drawing/2014/main" id="{00000000-0008-0000-0100-0000C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3171</xdr:row>
          <xdr:rowOff>0</xdr:rowOff>
        </xdr:from>
        <xdr:to>
          <xdr:col>7</xdr:col>
          <xdr:colOff>0</xdr:colOff>
          <xdr:row>3171</xdr:row>
          <xdr:rowOff>171450</xdr:rowOff>
        </xdr:to>
        <xdr:sp macro="" textlink="">
          <xdr:nvSpPr>
            <xdr:cNvPr id="1479" name="Button 455" hidden="1">
              <a:extLst>
                <a:ext uri="{63B3BB69-23CF-44E3-9099-C40C66FF867C}">
                  <a14:compatExt spid="_x0000_s1479"/>
                </a:ext>
                <a:ext uri="{FF2B5EF4-FFF2-40B4-BE49-F238E27FC236}">
                  <a16:creationId xmlns:a16="http://schemas.microsoft.com/office/drawing/2014/main" id="{00000000-0008-0000-0100-0000C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3172</xdr:row>
          <xdr:rowOff>0</xdr:rowOff>
        </xdr:from>
        <xdr:to>
          <xdr:col>7</xdr:col>
          <xdr:colOff>0</xdr:colOff>
          <xdr:row>3172</xdr:row>
          <xdr:rowOff>165100</xdr:rowOff>
        </xdr:to>
        <xdr:sp macro="" textlink="">
          <xdr:nvSpPr>
            <xdr:cNvPr id="1478" name="Button 454" hidden="1">
              <a:extLst>
                <a:ext uri="{63B3BB69-23CF-44E3-9099-C40C66FF867C}">
                  <a14:compatExt spid="_x0000_s1478"/>
                </a:ext>
                <a:ext uri="{FF2B5EF4-FFF2-40B4-BE49-F238E27FC236}">
                  <a16:creationId xmlns:a16="http://schemas.microsoft.com/office/drawing/2014/main" id="{00000000-0008-0000-0100-0000C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3175</xdr:row>
          <xdr:rowOff>0</xdr:rowOff>
        </xdr:from>
        <xdr:to>
          <xdr:col>7</xdr:col>
          <xdr:colOff>0</xdr:colOff>
          <xdr:row>3176</xdr:row>
          <xdr:rowOff>0</xdr:rowOff>
        </xdr:to>
        <xdr:sp macro="" textlink="">
          <xdr:nvSpPr>
            <xdr:cNvPr id="1477" name="Button 453" hidden="1">
              <a:extLst>
                <a:ext uri="{63B3BB69-23CF-44E3-9099-C40C66FF867C}">
                  <a14:compatExt spid="_x0000_s1477"/>
                </a:ext>
                <a:ext uri="{FF2B5EF4-FFF2-40B4-BE49-F238E27FC236}">
                  <a16:creationId xmlns:a16="http://schemas.microsoft.com/office/drawing/2014/main" id="{00000000-0008-0000-0100-0000C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3182</xdr:row>
          <xdr:rowOff>0</xdr:rowOff>
        </xdr:from>
        <xdr:to>
          <xdr:col>7</xdr:col>
          <xdr:colOff>0</xdr:colOff>
          <xdr:row>3182</xdr:row>
          <xdr:rowOff>171450</xdr:rowOff>
        </xdr:to>
        <xdr:sp macro="" textlink="">
          <xdr:nvSpPr>
            <xdr:cNvPr id="1476" name="Button 452" hidden="1">
              <a:extLst>
                <a:ext uri="{63B3BB69-23CF-44E3-9099-C40C66FF867C}">
                  <a14:compatExt spid="_x0000_s1476"/>
                </a:ext>
                <a:ext uri="{FF2B5EF4-FFF2-40B4-BE49-F238E27FC236}">
                  <a16:creationId xmlns:a16="http://schemas.microsoft.com/office/drawing/2014/main" id="{00000000-0008-0000-0100-0000C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3183</xdr:row>
          <xdr:rowOff>0</xdr:rowOff>
        </xdr:from>
        <xdr:to>
          <xdr:col>7</xdr:col>
          <xdr:colOff>0</xdr:colOff>
          <xdr:row>3183</xdr:row>
          <xdr:rowOff>165100</xdr:rowOff>
        </xdr:to>
        <xdr:sp macro="" textlink="">
          <xdr:nvSpPr>
            <xdr:cNvPr id="1475" name="Button 451" hidden="1">
              <a:extLst>
                <a:ext uri="{63B3BB69-23CF-44E3-9099-C40C66FF867C}">
                  <a14:compatExt spid="_x0000_s1475"/>
                </a:ext>
                <a:ext uri="{FF2B5EF4-FFF2-40B4-BE49-F238E27FC236}">
                  <a16:creationId xmlns:a16="http://schemas.microsoft.com/office/drawing/2014/main" id="{00000000-0008-0000-0100-0000C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3186</xdr:row>
          <xdr:rowOff>0</xdr:rowOff>
        </xdr:from>
        <xdr:to>
          <xdr:col>7</xdr:col>
          <xdr:colOff>0</xdr:colOff>
          <xdr:row>3187</xdr:row>
          <xdr:rowOff>0</xdr:rowOff>
        </xdr:to>
        <xdr:sp macro="" textlink="">
          <xdr:nvSpPr>
            <xdr:cNvPr id="1474" name="Button 450" hidden="1">
              <a:extLst>
                <a:ext uri="{63B3BB69-23CF-44E3-9099-C40C66FF867C}">
                  <a14:compatExt spid="_x0000_s1474"/>
                </a:ext>
                <a:ext uri="{FF2B5EF4-FFF2-40B4-BE49-F238E27FC236}">
                  <a16:creationId xmlns:a16="http://schemas.microsoft.com/office/drawing/2014/main" id="{00000000-0008-0000-0100-0000C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3193</xdr:row>
          <xdr:rowOff>0</xdr:rowOff>
        </xdr:from>
        <xdr:to>
          <xdr:col>7</xdr:col>
          <xdr:colOff>0</xdr:colOff>
          <xdr:row>3193</xdr:row>
          <xdr:rowOff>171450</xdr:rowOff>
        </xdr:to>
        <xdr:sp macro="" textlink="">
          <xdr:nvSpPr>
            <xdr:cNvPr id="1473" name="Button 449" hidden="1">
              <a:extLst>
                <a:ext uri="{63B3BB69-23CF-44E3-9099-C40C66FF867C}">
                  <a14:compatExt spid="_x0000_s1473"/>
                </a:ext>
                <a:ext uri="{FF2B5EF4-FFF2-40B4-BE49-F238E27FC236}">
                  <a16:creationId xmlns:a16="http://schemas.microsoft.com/office/drawing/2014/main" id="{00000000-0008-0000-0100-0000C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3194</xdr:row>
          <xdr:rowOff>0</xdr:rowOff>
        </xdr:from>
        <xdr:to>
          <xdr:col>7</xdr:col>
          <xdr:colOff>0</xdr:colOff>
          <xdr:row>3194</xdr:row>
          <xdr:rowOff>165100</xdr:rowOff>
        </xdr:to>
        <xdr:sp macro="" textlink="">
          <xdr:nvSpPr>
            <xdr:cNvPr id="1472" name="Button 448" hidden="1">
              <a:extLst>
                <a:ext uri="{63B3BB69-23CF-44E3-9099-C40C66FF867C}">
                  <a14:compatExt spid="_x0000_s1472"/>
                </a:ext>
                <a:ext uri="{FF2B5EF4-FFF2-40B4-BE49-F238E27FC236}">
                  <a16:creationId xmlns:a16="http://schemas.microsoft.com/office/drawing/2014/main" id="{00000000-0008-0000-0100-0000C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3197</xdr:row>
          <xdr:rowOff>0</xdr:rowOff>
        </xdr:from>
        <xdr:to>
          <xdr:col>7</xdr:col>
          <xdr:colOff>0</xdr:colOff>
          <xdr:row>3198</xdr:row>
          <xdr:rowOff>0</xdr:rowOff>
        </xdr:to>
        <xdr:sp macro="" textlink="">
          <xdr:nvSpPr>
            <xdr:cNvPr id="1471" name="Button 447" hidden="1">
              <a:extLst>
                <a:ext uri="{63B3BB69-23CF-44E3-9099-C40C66FF867C}">
                  <a14:compatExt spid="_x0000_s1471"/>
                </a:ext>
                <a:ext uri="{FF2B5EF4-FFF2-40B4-BE49-F238E27FC236}">
                  <a16:creationId xmlns:a16="http://schemas.microsoft.com/office/drawing/2014/main" id="{00000000-0008-0000-0100-0000B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3204</xdr:row>
          <xdr:rowOff>0</xdr:rowOff>
        </xdr:from>
        <xdr:to>
          <xdr:col>7</xdr:col>
          <xdr:colOff>0</xdr:colOff>
          <xdr:row>3204</xdr:row>
          <xdr:rowOff>171450</xdr:rowOff>
        </xdr:to>
        <xdr:sp macro="" textlink="">
          <xdr:nvSpPr>
            <xdr:cNvPr id="1470" name="Button 446" hidden="1">
              <a:extLst>
                <a:ext uri="{63B3BB69-23CF-44E3-9099-C40C66FF867C}">
                  <a14:compatExt spid="_x0000_s1470"/>
                </a:ext>
                <a:ext uri="{FF2B5EF4-FFF2-40B4-BE49-F238E27FC236}">
                  <a16:creationId xmlns:a16="http://schemas.microsoft.com/office/drawing/2014/main" id="{00000000-0008-0000-0100-0000B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3205</xdr:row>
          <xdr:rowOff>0</xdr:rowOff>
        </xdr:from>
        <xdr:to>
          <xdr:col>7</xdr:col>
          <xdr:colOff>0</xdr:colOff>
          <xdr:row>3205</xdr:row>
          <xdr:rowOff>165100</xdr:rowOff>
        </xdr:to>
        <xdr:sp macro="" textlink="">
          <xdr:nvSpPr>
            <xdr:cNvPr id="1469" name="Button 445" hidden="1">
              <a:extLst>
                <a:ext uri="{63B3BB69-23CF-44E3-9099-C40C66FF867C}">
                  <a14:compatExt spid="_x0000_s1469"/>
                </a:ext>
                <a:ext uri="{FF2B5EF4-FFF2-40B4-BE49-F238E27FC236}">
                  <a16:creationId xmlns:a16="http://schemas.microsoft.com/office/drawing/2014/main" id="{00000000-0008-0000-0100-0000B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3208</xdr:row>
          <xdr:rowOff>0</xdr:rowOff>
        </xdr:from>
        <xdr:to>
          <xdr:col>7</xdr:col>
          <xdr:colOff>0</xdr:colOff>
          <xdr:row>3209</xdr:row>
          <xdr:rowOff>0</xdr:rowOff>
        </xdr:to>
        <xdr:sp macro="" textlink="">
          <xdr:nvSpPr>
            <xdr:cNvPr id="1468" name="Button 444" hidden="1">
              <a:extLst>
                <a:ext uri="{63B3BB69-23CF-44E3-9099-C40C66FF867C}">
                  <a14:compatExt spid="_x0000_s1468"/>
                </a:ext>
                <a:ext uri="{FF2B5EF4-FFF2-40B4-BE49-F238E27FC236}">
                  <a16:creationId xmlns:a16="http://schemas.microsoft.com/office/drawing/2014/main" id="{00000000-0008-0000-0100-0000B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3215</xdr:row>
          <xdr:rowOff>0</xdr:rowOff>
        </xdr:from>
        <xdr:to>
          <xdr:col>7</xdr:col>
          <xdr:colOff>0</xdr:colOff>
          <xdr:row>3215</xdr:row>
          <xdr:rowOff>171450</xdr:rowOff>
        </xdr:to>
        <xdr:sp macro="" textlink="">
          <xdr:nvSpPr>
            <xdr:cNvPr id="1467" name="Button 443" hidden="1">
              <a:extLst>
                <a:ext uri="{63B3BB69-23CF-44E3-9099-C40C66FF867C}">
                  <a14:compatExt spid="_x0000_s1467"/>
                </a:ext>
                <a:ext uri="{FF2B5EF4-FFF2-40B4-BE49-F238E27FC236}">
                  <a16:creationId xmlns:a16="http://schemas.microsoft.com/office/drawing/2014/main" id="{00000000-0008-0000-0100-0000B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3216</xdr:row>
          <xdr:rowOff>0</xdr:rowOff>
        </xdr:from>
        <xdr:to>
          <xdr:col>7</xdr:col>
          <xdr:colOff>0</xdr:colOff>
          <xdr:row>3216</xdr:row>
          <xdr:rowOff>165100</xdr:rowOff>
        </xdr:to>
        <xdr:sp macro="" textlink="">
          <xdr:nvSpPr>
            <xdr:cNvPr id="1466" name="Button 442" hidden="1">
              <a:extLst>
                <a:ext uri="{63B3BB69-23CF-44E3-9099-C40C66FF867C}">
                  <a14:compatExt spid="_x0000_s1466"/>
                </a:ext>
                <a:ext uri="{FF2B5EF4-FFF2-40B4-BE49-F238E27FC236}">
                  <a16:creationId xmlns:a16="http://schemas.microsoft.com/office/drawing/2014/main" id="{00000000-0008-0000-0100-0000B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3219</xdr:row>
          <xdr:rowOff>0</xdr:rowOff>
        </xdr:from>
        <xdr:to>
          <xdr:col>7</xdr:col>
          <xdr:colOff>0</xdr:colOff>
          <xdr:row>3220</xdr:row>
          <xdr:rowOff>0</xdr:rowOff>
        </xdr:to>
        <xdr:sp macro="" textlink="">
          <xdr:nvSpPr>
            <xdr:cNvPr id="1465" name="Button 441" hidden="1">
              <a:extLst>
                <a:ext uri="{63B3BB69-23CF-44E3-9099-C40C66FF867C}">
                  <a14:compatExt spid="_x0000_s1465"/>
                </a:ext>
                <a:ext uri="{FF2B5EF4-FFF2-40B4-BE49-F238E27FC236}">
                  <a16:creationId xmlns:a16="http://schemas.microsoft.com/office/drawing/2014/main" id="{00000000-0008-0000-0100-0000B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3226</xdr:row>
          <xdr:rowOff>0</xdr:rowOff>
        </xdr:from>
        <xdr:to>
          <xdr:col>7</xdr:col>
          <xdr:colOff>0</xdr:colOff>
          <xdr:row>3226</xdr:row>
          <xdr:rowOff>171450</xdr:rowOff>
        </xdr:to>
        <xdr:sp macro="" textlink="">
          <xdr:nvSpPr>
            <xdr:cNvPr id="1464" name="Button 440" hidden="1">
              <a:extLst>
                <a:ext uri="{63B3BB69-23CF-44E3-9099-C40C66FF867C}">
                  <a14:compatExt spid="_x0000_s1464"/>
                </a:ext>
                <a:ext uri="{FF2B5EF4-FFF2-40B4-BE49-F238E27FC236}">
                  <a16:creationId xmlns:a16="http://schemas.microsoft.com/office/drawing/2014/main" id="{00000000-0008-0000-0100-0000B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3227</xdr:row>
          <xdr:rowOff>0</xdr:rowOff>
        </xdr:from>
        <xdr:to>
          <xdr:col>7</xdr:col>
          <xdr:colOff>0</xdr:colOff>
          <xdr:row>3227</xdr:row>
          <xdr:rowOff>165100</xdr:rowOff>
        </xdr:to>
        <xdr:sp macro="" textlink="">
          <xdr:nvSpPr>
            <xdr:cNvPr id="1463" name="Button 439" hidden="1">
              <a:extLst>
                <a:ext uri="{63B3BB69-23CF-44E3-9099-C40C66FF867C}">
                  <a14:compatExt spid="_x0000_s1463"/>
                </a:ext>
                <a:ext uri="{FF2B5EF4-FFF2-40B4-BE49-F238E27FC236}">
                  <a16:creationId xmlns:a16="http://schemas.microsoft.com/office/drawing/2014/main" id="{00000000-0008-0000-0100-0000B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3230</xdr:row>
          <xdr:rowOff>0</xdr:rowOff>
        </xdr:from>
        <xdr:to>
          <xdr:col>7</xdr:col>
          <xdr:colOff>0</xdr:colOff>
          <xdr:row>3231</xdr:row>
          <xdr:rowOff>0</xdr:rowOff>
        </xdr:to>
        <xdr:sp macro="" textlink="">
          <xdr:nvSpPr>
            <xdr:cNvPr id="1462" name="Button 438" hidden="1">
              <a:extLst>
                <a:ext uri="{63B3BB69-23CF-44E3-9099-C40C66FF867C}">
                  <a14:compatExt spid="_x0000_s1462"/>
                </a:ext>
                <a:ext uri="{FF2B5EF4-FFF2-40B4-BE49-F238E27FC236}">
                  <a16:creationId xmlns:a16="http://schemas.microsoft.com/office/drawing/2014/main" id="{00000000-0008-0000-0100-0000B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3237</xdr:row>
          <xdr:rowOff>0</xdr:rowOff>
        </xdr:from>
        <xdr:to>
          <xdr:col>7</xdr:col>
          <xdr:colOff>0</xdr:colOff>
          <xdr:row>3237</xdr:row>
          <xdr:rowOff>171450</xdr:rowOff>
        </xdr:to>
        <xdr:sp macro="" textlink="">
          <xdr:nvSpPr>
            <xdr:cNvPr id="1461" name="Button 437" hidden="1">
              <a:extLst>
                <a:ext uri="{63B3BB69-23CF-44E3-9099-C40C66FF867C}">
                  <a14:compatExt spid="_x0000_s1461"/>
                </a:ext>
                <a:ext uri="{FF2B5EF4-FFF2-40B4-BE49-F238E27FC236}">
                  <a16:creationId xmlns:a16="http://schemas.microsoft.com/office/drawing/2014/main" id="{00000000-0008-0000-0100-0000B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3238</xdr:row>
          <xdr:rowOff>0</xdr:rowOff>
        </xdr:from>
        <xdr:to>
          <xdr:col>7</xdr:col>
          <xdr:colOff>0</xdr:colOff>
          <xdr:row>3238</xdr:row>
          <xdr:rowOff>165100</xdr:rowOff>
        </xdr:to>
        <xdr:sp macro="" textlink="">
          <xdr:nvSpPr>
            <xdr:cNvPr id="1460" name="Button 436" hidden="1">
              <a:extLst>
                <a:ext uri="{63B3BB69-23CF-44E3-9099-C40C66FF867C}">
                  <a14:compatExt spid="_x0000_s1460"/>
                </a:ext>
                <a:ext uri="{FF2B5EF4-FFF2-40B4-BE49-F238E27FC236}">
                  <a16:creationId xmlns:a16="http://schemas.microsoft.com/office/drawing/2014/main" id="{00000000-0008-0000-0100-0000B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3241</xdr:row>
          <xdr:rowOff>0</xdr:rowOff>
        </xdr:from>
        <xdr:to>
          <xdr:col>7</xdr:col>
          <xdr:colOff>0</xdr:colOff>
          <xdr:row>3242</xdr:row>
          <xdr:rowOff>0</xdr:rowOff>
        </xdr:to>
        <xdr:sp macro="" textlink="">
          <xdr:nvSpPr>
            <xdr:cNvPr id="1459" name="Button 435" hidden="1">
              <a:extLst>
                <a:ext uri="{63B3BB69-23CF-44E3-9099-C40C66FF867C}">
                  <a14:compatExt spid="_x0000_s1459"/>
                </a:ext>
                <a:ext uri="{FF2B5EF4-FFF2-40B4-BE49-F238E27FC236}">
                  <a16:creationId xmlns:a16="http://schemas.microsoft.com/office/drawing/2014/main" id="{00000000-0008-0000-0100-0000B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3248</xdr:row>
          <xdr:rowOff>0</xdr:rowOff>
        </xdr:from>
        <xdr:to>
          <xdr:col>7</xdr:col>
          <xdr:colOff>0</xdr:colOff>
          <xdr:row>3248</xdr:row>
          <xdr:rowOff>171450</xdr:rowOff>
        </xdr:to>
        <xdr:sp macro="" textlink="">
          <xdr:nvSpPr>
            <xdr:cNvPr id="1458" name="Button 434" hidden="1">
              <a:extLst>
                <a:ext uri="{63B3BB69-23CF-44E3-9099-C40C66FF867C}">
                  <a14:compatExt spid="_x0000_s1458"/>
                </a:ext>
                <a:ext uri="{FF2B5EF4-FFF2-40B4-BE49-F238E27FC236}">
                  <a16:creationId xmlns:a16="http://schemas.microsoft.com/office/drawing/2014/main" id="{00000000-0008-0000-0100-0000B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3249</xdr:row>
          <xdr:rowOff>0</xdr:rowOff>
        </xdr:from>
        <xdr:to>
          <xdr:col>7</xdr:col>
          <xdr:colOff>0</xdr:colOff>
          <xdr:row>3249</xdr:row>
          <xdr:rowOff>165100</xdr:rowOff>
        </xdr:to>
        <xdr:sp macro="" textlink="">
          <xdr:nvSpPr>
            <xdr:cNvPr id="1457" name="Button 433" hidden="1">
              <a:extLst>
                <a:ext uri="{63B3BB69-23CF-44E3-9099-C40C66FF867C}">
                  <a14:compatExt spid="_x0000_s1457"/>
                </a:ext>
                <a:ext uri="{FF2B5EF4-FFF2-40B4-BE49-F238E27FC236}">
                  <a16:creationId xmlns:a16="http://schemas.microsoft.com/office/drawing/2014/main" id="{00000000-0008-0000-0100-0000B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3252</xdr:row>
          <xdr:rowOff>0</xdr:rowOff>
        </xdr:from>
        <xdr:to>
          <xdr:col>7</xdr:col>
          <xdr:colOff>0</xdr:colOff>
          <xdr:row>3253</xdr:row>
          <xdr:rowOff>0</xdr:rowOff>
        </xdr:to>
        <xdr:sp macro="" textlink="">
          <xdr:nvSpPr>
            <xdr:cNvPr id="1456" name="Button 432" hidden="1">
              <a:extLst>
                <a:ext uri="{63B3BB69-23CF-44E3-9099-C40C66FF867C}">
                  <a14:compatExt spid="_x0000_s1456"/>
                </a:ext>
                <a:ext uri="{FF2B5EF4-FFF2-40B4-BE49-F238E27FC236}">
                  <a16:creationId xmlns:a16="http://schemas.microsoft.com/office/drawing/2014/main" id="{00000000-0008-0000-0100-0000B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3259</xdr:row>
          <xdr:rowOff>0</xdr:rowOff>
        </xdr:from>
        <xdr:to>
          <xdr:col>7</xdr:col>
          <xdr:colOff>0</xdr:colOff>
          <xdr:row>3259</xdr:row>
          <xdr:rowOff>171450</xdr:rowOff>
        </xdr:to>
        <xdr:sp macro="" textlink="">
          <xdr:nvSpPr>
            <xdr:cNvPr id="1455" name="Button 431" hidden="1">
              <a:extLst>
                <a:ext uri="{63B3BB69-23CF-44E3-9099-C40C66FF867C}">
                  <a14:compatExt spid="_x0000_s1455"/>
                </a:ext>
                <a:ext uri="{FF2B5EF4-FFF2-40B4-BE49-F238E27FC236}">
                  <a16:creationId xmlns:a16="http://schemas.microsoft.com/office/drawing/2014/main" id="{00000000-0008-0000-0100-0000A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3260</xdr:row>
          <xdr:rowOff>0</xdr:rowOff>
        </xdr:from>
        <xdr:to>
          <xdr:col>7</xdr:col>
          <xdr:colOff>0</xdr:colOff>
          <xdr:row>3260</xdr:row>
          <xdr:rowOff>165100</xdr:rowOff>
        </xdr:to>
        <xdr:sp macro="" textlink="">
          <xdr:nvSpPr>
            <xdr:cNvPr id="1454" name="Button 430" hidden="1">
              <a:extLst>
                <a:ext uri="{63B3BB69-23CF-44E3-9099-C40C66FF867C}">
                  <a14:compatExt spid="_x0000_s1454"/>
                </a:ext>
                <a:ext uri="{FF2B5EF4-FFF2-40B4-BE49-F238E27FC236}">
                  <a16:creationId xmlns:a16="http://schemas.microsoft.com/office/drawing/2014/main" id="{00000000-0008-0000-0100-0000A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3261</xdr:row>
          <xdr:rowOff>0</xdr:rowOff>
        </xdr:from>
        <xdr:to>
          <xdr:col>7</xdr:col>
          <xdr:colOff>0</xdr:colOff>
          <xdr:row>3261</xdr:row>
          <xdr:rowOff>165100</xdr:rowOff>
        </xdr:to>
        <xdr:sp macro="" textlink="">
          <xdr:nvSpPr>
            <xdr:cNvPr id="1453" name="Button 429" hidden="1">
              <a:extLst>
                <a:ext uri="{63B3BB69-23CF-44E3-9099-C40C66FF867C}">
                  <a14:compatExt spid="_x0000_s1453"/>
                </a:ext>
                <a:ext uri="{FF2B5EF4-FFF2-40B4-BE49-F238E27FC236}">
                  <a16:creationId xmlns:a16="http://schemas.microsoft.com/office/drawing/2014/main" id="{00000000-0008-0000-0100-0000A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3262</xdr:row>
          <xdr:rowOff>0</xdr:rowOff>
        </xdr:from>
        <xdr:to>
          <xdr:col>7</xdr:col>
          <xdr:colOff>0</xdr:colOff>
          <xdr:row>3262</xdr:row>
          <xdr:rowOff>165100</xdr:rowOff>
        </xdr:to>
        <xdr:sp macro="" textlink="">
          <xdr:nvSpPr>
            <xdr:cNvPr id="1452" name="Button 428" hidden="1">
              <a:extLst>
                <a:ext uri="{63B3BB69-23CF-44E3-9099-C40C66FF867C}">
                  <a14:compatExt spid="_x0000_s1452"/>
                </a:ext>
                <a:ext uri="{FF2B5EF4-FFF2-40B4-BE49-F238E27FC236}">
                  <a16:creationId xmlns:a16="http://schemas.microsoft.com/office/drawing/2014/main" id="{00000000-0008-0000-0100-0000A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3263</xdr:row>
          <xdr:rowOff>0</xdr:rowOff>
        </xdr:from>
        <xdr:to>
          <xdr:col>7</xdr:col>
          <xdr:colOff>0</xdr:colOff>
          <xdr:row>3263</xdr:row>
          <xdr:rowOff>165100</xdr:rowOff>
        </xdr:to>
        <xdr:sp macro="" textlink="">
          <xdr:nvSpPr>
            <xdr:cNvPr id="1451" name="Button 427" hidden="1">
              <a:extLst>
                <a:ext uri="{63B3BB69-23CF-44E3-9099-C40C66FF867C}">
                  <a14:compatExt spid="_x0000_s1451"/>
                </a:ext>
                <a:ext uri="{FF2B5EF4-FFF2-40B4-BE49-F238E27FC236}">
                  <a16:creationId xmlns:a16="http://schemas.microsoft.com/office/drawing/2014/main" id="{00000000-0008-0000-0100-0000A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3264</xdr:row>
          <xdr:rowOff>0</xdr:rowOff>
        </xdr:from>
        <xdr:to>
          <xdr:col>7</xdr:col>
          <xdr:colOff>0</xdr:colOff>
          <xdr:row>3264</xdr:row>
          <xdr:rowOff>165100</xdr:rowOff>
        </xdr:to>
        <xdr:sp macro="" textlink="">
          <xdr:nvSpPr>
            <xdr:cNvPr id="1450" name="Button 426" hidden="1">
              <a:extLst>
                <a:ext uri="{63B3BB69-23CF-44E3-9099-C40C66FF867C}">
                  <a14:compatExt spid="_x0000_s1450"/>
                </a:ext>
                <a:ext uri="{FF2B5EF4-FFF2-40B4-BE49-F238E27FC236}">
                  <a16:creationId xmlns:a16="http://schemas.microsoft.com/office/drawing/2014/main" id="{00000000-0008-0000-0100-0000A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3265</xdr:row>
          <xdr:rowOff>0</xdr:rowOff>
        </xdr:from>
        <xdr:to>
          <xdr:col>7</xdr:col>
          <xdr:colOff>0</xdr:colOff>
          <xdr:row>3265</xdr:row>
          <xdr:rowOff>165100</xdr:rowOff>
        </xdr:to>
        <xdr:sp macro="" textlink="">
          <xdr:nvSpPr>
            <xdr:cNvPr id="1449" name="Button 425" hidden="1">
              <a:extLst>
                <a:ext uri="{63B3BB69-23CF-44E3-9099-C40C66FF867C}">
                  <a14:compatExt spid="_x0000_s1449"/>
                </a:ext>
                <a:ext uri="{FF2B5EF4-FFF2-40B4-BE49-F238E27FC236}">
                  <a16:creationId xmlns:a16="http://schemas.microsoft.com/office/drawing/2014/main" id="{00000000-0008-0000-0100-0000A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3266</xdr:row>
          <xdr:rowOff>0</xdr:rowOff>
        </xdr:from>
        <xdr:to>
          <xdr:col>7</xdr:col>
          <xdr:colOff>0</xdr:colOff>
          <xdr:row>3266</xdr:row>
          <xdr:rowOff>165100</xdr:rowOff>
        </xdr:to>
        <xdr:sp macro="" textlink="">
          <xdr:nvSpPr>
            <xdr:cNvPr id="1448" name="Button 424" hidden="1">
              <a:extLst>
                <a:ext uri="{63B3BB69-23CF-44E3-9099-C40C66FF867C}">
                  <a14:compatExt spid="_x0000_s1448"/>
                </a:ext>
                <a:ext uri="{FF2B5EF4-FFF2-40B4-BE49-F238E27FC236}">
                  <a16:creationId xmlns:a16="http://schemas.microsoft.com/office/drawing/2014/main" id="{00000000-0008-0000-0100-0000A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3267</xdr:row>
          <xdr:rowOff>0</xdr:rowOff>
        </xdr:from>
        <xdr:to>
          <xdr:col>7</xdr:col>
          <xdr:colOff>0</xdr:colOff>
          <xdr:row>3267</xdr:row>
          <xdr:rowOff>165100</xdr:rowOff>
        </xdr:to>
        <xdr:sp macro="" textlink="">
          <xdr:nvSpPr>
            <xdr:cNvPr id="1447" name="Button 423" hidden="1">
              <a:extLst>
                <a:ext uri="{63B3BB69-23CF-44E3-9099-C40C66FF867C}">
                  <a14:compatExt spid="_x0000_s1447"/>
                </a:ext>
                <a:ext uri="{FF2B5EF4-FFF2-40B4-BE49-F238E27FC236}">
                  <a16:creationId xmlns:a16="http://schemas.microsoft.com/office/drawing/2014/main" id="{00000000-0008-0000-0100-0000A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3268</xdr:row>
          <xdr:rowOff>0</xdr:rowOff>
        </xdr:from>
        <xdr:to>
          <xdr:col>7</xdr:col>
          <xdr:colOff>0</xdr:colOff>
          <xdr:row>3268</xdr:row>
          <xdr:rowOff>165100</xdr:rowOff>
        </xdr:to>
        <xdr:sp macro="" textlink="">
          <xdr:nvSpPr>
            <xdr:cNvPr id="1446" name="Button 422" hidden="1">
              <a:extLst>
                <a:ext uri="{63B3BB69-23CF-44E3-9099-C40C66FF867C}">
                  <a14:compatExt spid="_x0000_s1446"/>
                </a:ext>
                <a:ext uri="{FF2B5EF4-FFF2-40B4-BE49-F238E27FC236}">
                  <a16:creationId xmlns:a16="http://schemas.microsoft.com/office/drawing/2014/main" id="{00000000-0008-0000-0100-0000A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3269</xdr:row>
          <xdr:rowOff>0</xdr:rowOff>
        </xdr:from>
        <xdr:to>
          <xdr:col>7</xdr:col>
          <xdr:colOff>0</xdr:colOff>
          <xdr:row>3269</xdr:row>
          <xdr:rowOff>165100</xdr:rowOff>
        </xdr:to>
        <xdr:sp macro="" textlink="">
          <xdr:nvSpPr>
            <xdr:cNvPr id="1445" name="Button 421" hidden="1">
              <a:extLst>
                <a:ext uri="{63B3BB69-23CF-44E3-9099-C40C66FF867C}">
                  <a14:compatExt spid="_x0000_s1445"/>
                </a:ext>
                <a:ext uri="{FF2B5EF4-FFF2-40B4-BE49-F238E27FC236}">
                  <a16:creationId xmlns:a16="http://schemas.microsoft.com/office/drawing/2014/main" id="{00000000-0008-0000-0100-0000A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3270</xdr:row>
          <xdr:rowOff>0</xdr:rowOff>
        </xdr:from>
        <xdr:to>
          <xdr:col>7</xdr:col>
          <xdr:colOff>0</xdr:colOff>
          <xdr:row>3270</xdr:row>
          <xdr:rowOff>165100</xdr:rowOff>
        </xdr:to>
        <xdr:sp macro="" textlink="">
          <xdr:nvSpPr>
            <xdr:cNvPr id="1444" name="Button 420" hidden="1">
              <a:extLst>
                <a:ext uri="{63B3BB69-23CF-44E3-9099-C40C66FF867C}">
                  <a14:compatExt spid="_x0000_s1444"/>
                </a:ext>
                <a:ext uri="{FF2B5EF4-FFF2-40B4-BE49-F238E27FC236}">
                  <a16:creationId xmlns:a16="http://schemas.microsoft.com/office/drawing/2014/main" id="{00000000-0008-0000-0100-0000A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3271</xdr:row>
          <xdr:rowOff>0</xdr:rowOff>
        </xdr:from>
        <xdr:to>
          <xdr:col>7</xdr:col>
          <xdr:colOff>0</xdr:colOff>
          <xdr:row>3271</xdr:row>
          <xdr:rowOff>165100</xdr:rowOff>
        </xdr:to>
        <xdr:sp macro="" textlink="">
          <xdr:nvSpPr>
            <xdr:cNvPr id="1443" name="Button 419" hidden="1">
              <a:extLst>
                <a:ext uri="{63B3BB69-23CF-44E3-9099-C40C66FF867C}">
                  <a14:compatExt spid="_x0000_s1443"/>
                </a:ext>
                <a:ext uri="{FF2B5EF4-FFF2-40B4-BE49-F238E27FC236}">
                  <a16:creationId xmlns:a16="http://schemas.microsoft.com/office/drawing/2014/main" id="{00000000-0008-0000-0100-0000A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3272</xdr:row>
          <xdr:rowOff>0</xdr:rowOff>
        </xdr:from>
        <xdr:to>
          <xdr:col>7</xdr:col>
          <xdr:colOff>0</xdr:colOff>
          <xdr:row>3272</xdr:row>
          <xdr:rowOff>165100</xdr:rowOff>
        </xdr:to>
        <xdr:sp macro="" textlink="">
          <xdr:nvSpPr>
            <xdr:cNvPr id="1442" name="Button 418" hidden="1">
              <a:extLst>
                <a:ext uri="{63B3BB69-23CF-44E3-9099-C40C66FF867C}">
                  <a14:compatExt spid="_x0000_s1442"/>
                </a:ext>
                <a:ext uri="{FF2B5EF4-FFF2-40B4-BE49-F238E27FC236}">
                  <a16:creationId xmlns:a16="http://schemas.microsoft.com/office/drawing/2014/main" id="{00000000-0008-0000-0100-0000A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3273</xdr:row>
          <xdr:rowOff>0</xdr:rowOff>
        </xdr:from>
        <xdr:to>
          <xdr:col>7</xdr:col>
          <xdr:colOff>0</xdr:colOff>
          <xdr:row>3273</xdr:row>
          <xdr:rowOff>165100</xdr:rowOff>
        </xdr:to>
        <xdr:sp macro="" textlink="">
          <xdr:nvSpPr>
            <xdr:cNvPr id="1441" name="Button 417" hidden="1">
              <a:extLst>
                <a:ext uri="{63B3BB69-23CF-44E3-9099-C40C66FF867C}">
                  <a14:compatExt spid="_x0000_s1441"/>
                </a:ext>
                <a:ext uri="{FF2B5EF4-FFF2-40B4-BE49-F238E27FC236}">
                  <a16:creationId xmlns:a16="http://schemas.microsoft.com/office/drawing/2014/main" id="{00000000-0008-0000-0100-0000A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3274</xdr:row>
          <xdr:rowOff>0</xdr:rowOff>
        </xdr:from>
        <xdr:to>
          <xdr:col>7</xdr:col>
          <xdr:colOff>0</xdr:colOff>
          <xdr:row>3274</xdr:row>
          <xdr:rowOff>165100</xdr:rowOff>
        </xdr:to>
        <xdr:sp macro="" textlink="">
          <xdr:nvSpPr>
            <xdr:cNvPr id="1440" name="Button 416" hidden="1">
              <a:extLst>
                <a:ext uri="{63B3BB69-23CF-44E3-9099-C40C66FF867C}">
                  <a14:compatExt spid="_x0000_s1440"/>
                </a:ext>
                <a:ext uri="{FF2B5EF4-FFF2-40B4-BE49-F238E27FC236}">
                  <a16:creationId xmlns:a16="http://schemas.microsoft.com/office/drawing/2014/main" id="{00000000-0008-0000-0100-0000A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3277</xdr:row>
          <xdr:rowOff>0</xdr:rowOff>
        </xdr:from>
        <xdr:to>
          <xdr:col>7</xdr:col>
          <xdr:colOff>0</xdr:colOff>
          <xdr:row>3278</xdr:row>
          <xdr:rowOff>0</xdr:rowOff>
        </xdr:to>
        <xdr:sp macro="" textlink="">
          <xdr:nvSpPr>
            <xdr:cNvPr id="1439" name="Button 415" hidden="1">
              <a:extLst>
                <a:ext uri="{63B3BB69-23CF-44E3-9099-C40C66FF867C}">
                  <a14:compatExt spid="_x0000_s1439"/>
                </a:ext>
                <a:ext uri="{FF2B5EF4-FFF2-40B4-BE49-F238E27FC236}">
                  <a16:creationId xmlns:a16="http://schemas.microsoft.com/office/drawing/2014/main" id="{00000000-0008-0000-0100-00009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3284</xdr:row>
          <xdr:rowOff>0</xdr:rowOff>
        </xdr:from>
        <xdr:to>
          <xdr:col>7</xdr:col>
          <xdr:colOff>0</xdr:colOff>
          <xdr:row>3284</xdr:row>
          <xdr:rowOff>171450</xdr:rowOff>
        </xdr:to>
        <xdr:sp macro="" textlink="">
          <xdr:nvSpPr>
            <xdr:cNvPr id="1438" name="Button 414" hidden="1">
              <a:extLst>
                <a:ext uri="{63B3BB69-23CF-44E3-9099-C40C66FF867C}">
                  <a14:compatExt spid="_x0000_s1438"/>
                </a:ext>
                <a:ext uri="{FF2B5EF4-FFF2-40B4-BE49-F238E27FC236}">
                  <a16:creationId xmlns:a16="http://schemas.microsoft.com/office/drawing/2014/main" id="{00000000-0008-0000-0100-00009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3285</xdr:row>
          <xdr:rowOff>0</xdr:rowOff>
        </xdr:from>
        <xdr:to>
          <xdr:col>7</xdr:col>
          <xdr:colOff>0</xdr:colOff>
          <xdr:row>3285</xdr:row>
          <xdr:rowOff>165100</xdr:rowOff>
        </xdr:to>
        <xdr:sp macro="" textlink="">
          <xdr:nvSpPr>
            <xdr:cNvPr id="1437" name="Button 413" hidden="1">
              <a:extLst>
                <a:ext uri="{63B3BB69-23CF-44E3-9099-C40C66FF867C}">
                  <a14:compatExt spid="_x0000_s1437"/>
                </a:ext>
                <a:ext uri="{FF2B5EF4-FFF2-40B4-BE49-F238E27FC236}">
                  <a16:creationId xmlns:a16="http://schemas.microsoft.com/office/drawing/2014/main" id="{00000000-0008-0000-0100-00009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3288</xdr:row>
          <xdr:rowOff>0</xdr:rowOff>
        </xdr:from>
        <xdr:to>
          <xdr:col>7</xdr:col>
          <xdr:colOff>0</xdr:colOff>
          <xdr:row>3289</xdr:row>
          <xdr:rowOff>0</xdr:rowOff>
        </xdr:to>
        <xdr:sp macro="" textlink="">
          <xdr:nvSpPr>
            <xdr:cNvPr id="1436" name="Button 412" hidden="1">
              <a:extLst>
                <a:ext uri="{63B3BB69-23CF-44E3-9099-C40C66FF867C}">
                  <a14:compatExt spid="_x0000_s1436"/>
                </a:ext>
                <a:ext uri="{FF2B5EF4-FFF2-40B4-BE49-F238E27FC236}">
                  <a16:creationId xmlns:a16="http://schemas.microsoft.com/office/drawing/2014/main" id="{00000000-0008-0000-0100-00009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3295</xdr:row>
          <xdr:rowOff>0</xdr:rowOff>
        </xdr:from>
        <xdr:to>
          <xdr:col>7</xdr:col>
          <xdr:colOff>0</xdr:colOff>
          <xdr:row>3295</xdr:row>
          <xdr:rowOff>171450</xdr:rowOff>
        </xdr:to>
        <xdr:sp macro="" textlink="">
          <xdr:nvSpPr>
            <xdr:cNvPr id="1435" name="Button 411" hidden="1">
              <a:extLst>
                <a:ext uri="{63B3BB69-23CF-44E3-9099-C40C66FF867C}">
                  <a14:compatExt spid="_x0000_s1435"/>
                </a:ext>
                <a:ext uri="{FF2B5EF4-FFF2-40B4-BE49-F238E27FC236}">
                  <a16:creationId xmlns:a16="http://schemas.microsoft.com/office/drawing/2014/main" id="{00000000-0008-0000-0100-00009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3296</xdr:row>
          <xdr:rowOff>0</xdr:rowOff>
        </xdr:from>
        <xdr:to>
          <xdr:col>7</xdr:col>
          <xdr:colOff>0</xdr:colOff>
          <xdr:row>3296</xdr:row>
          <xdr:rowOff>165100</xdr:rowOff>
        </xdr:to>
        <xdr:sp macro="" textlink="">
          <xdr:nvSpPr>
            <xdr:cNvPr id="1434" name="Button 410" hidden="1">
              <a:extLst>
                <a:ext uri="{63B3BB69-23CF-44E3-9099-C40C66FF867C}">
                  <a14:compatExt spid="_x0000_s1434"/>
                </a:ext>
                <a:ext uri="{FF2B5EF4-FFF2-40B4-BE49-F238E27FC236}">
                  <a16:creationId xmlns:a16="http://schemas.microsoft.com/office/drawing/2014/main" id="{00000000-0008-0000-0100-00009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3297</xdr:row>
          <xdr:rowOff>0</xdr:rowOff>
        </xdr:from>
        <xdr:to>
          <xdr:col>7</xdr:col>
          <xdr:colOff>0</xdr:colOff>
          <xdr:row>3297</xdr:row>
          <xdr:rowOff>165100</xdr:rowOff>
        </xdr:to>
        <xdr:sp macro="" textlink="">
          <xdr:nvSpPr>
            <xdr:cNvPr id="1433" name="Button 409" hidden="1">
              <a:extLst>
                <a:ext uri="{63B3BB69-23CF-44E3-9099-C40C66FF867C}">
                  <a14:compatExt spid="_x0000_s1433"/>
                </a:ext>
                <a:ext uri="{FF2B5EF4-FFF2-40B4-BE49-F238E27FC236}">
                  <a16:creationId xmlns:a16="http://schemas.microsoft.com/office/drawing/2014/main" id="{00000000-0008-0000-0100-00009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3298</xdr:row>
          <xdr:rowOff>0</xdr:rowOff>
        </xdr:from>
        <xdr:to>
          <xdr:col>7</xdr:col>
          <xdr:colOff>0</xdr:colOff>
          <xdr:row>3298</xdr:row>
          <xdr:rowOff>165100</xdr:rowOff>
        </xdr:to>
        <xdr:sp macro="" textlink="">
          <xdr:nvSpPr>
            <xdr:cNvPr id="1432" name="Button 408" hidden="1">
              <a:extLst>
                <a:ext uri="{63B3BB69-23CF-44E3-9099-C40C66FF867C}">
                  <a14:compatExt spid="_x0000_s1432"/>
                </a:ext>
                <a:ext uri="{FF2B5EF4-FFF2-40B4-BE49-F238E27FC236}">
                  <a16:creationId xmlns:a16="http://schemas.microsoft.com/office/drawing/2014/main" id="{00000000-0008-0000-0100-00009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3299</xdr:row>
          <xdr:rowOff>0</xdr:rowOff>
        </xdr:from>
        <xdr:to>
          <xdr:col>7</xdr:col>
          <xdr:colOff>0</xdr:colOff>
          <xdr:row>3299</xdr:row>
          <xdr:rowOff>165100</xdr:rowOff>
        </xdr:to>
        <xdr:sp macro="" textlink="">
          <xdr:nvSpPr>
            <xdr:cNvPr id="1431" name="Button 407" hidden="1">
              <a:extLst>
                <a:ext uri="{63B3BB69-23CF-44E3-9099-C40C66FF867C}">
                  <a14:compatExt spid="_x0000_s1431"/>
                </a:ext>
                <a:ext uri="{FF2B5EF4-FFF2-40B4-BE49-F238E27FC236}">
                  <a16:creationId xmlns:a16="http://schemas.microsoft.com/office/drawing/2014/main" id="{00000000-0008-0000-0100-00009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3300</xdr:row>
          <xdr:rowOff>0</xdr:rowOff>
        </xdr:from>
        <xdr:to>
          <xdr:col>7</xdr:col>
          <xdr:colOff>0</xdr:colOff>
          <xdr:row>3300</xdr:row>
          <xdr:rowOff>165100</xdr:rowOff>
        </xdr:to>
        <xdr:sp macro="" textlink="">
          <xdr:nvSpPr>
            <xdr:cNvPr id="1430" name="Button 406" hidden="1">
              <a:extLst>
                <a:ext uri="{63B3BB69-23CF-44E3-9099-C40C66FF867C}">
                  <a14:compatExt spid="_x0000_s1430"/>
                </a:ext>
                <a:ext uri="{FF2B5EF4-FFF2-40B4-BE49-F238E27FC236}">
                  <a16:creationId xmlns:a16="http://schemas.microsoft.com/office/drawing/2014/main" id="{00000000-0008-0000-0100-00009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3301</xdr:row>
          <xdr:rowOff>0</xdr:rowOff>
        </xdr:from>
        <xdr:to>
          <xdr:col>7</xdr:col>
          <xdr:colOff>0</xdr:colOff>
          <xdr:row>3301</xdr:row>
          <xdr:rowOff>165100</xdr:rowOff>
        </xdr:to>
        <xdr:sp macro="" textlink="">
          <xdr:nvSpPr>
            <xdr:cNvPr id="1429" name="Button 405" hidden="1">
              <a:extLst>
                <a:ext uri="{63B3BB69-23CF-44E3-9099-C40C66FF867C}">
                  <a14:compatExt spid="_x0000_s1429"/>
                </a:ext>
                <a:ext uri="{FF2B5EF4-FFF2-40B4-BE49-F238E27FC236}">
                  <a16:creationId xmlns:a16="http://schemas.microsoft.com/office/drawing/2014/main" id="{00000000-0008-0000-0100-00009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3302</xdr:row>
          <xdr:rowOff>0</xdr:rowOff>
        </xdr:from>
        <xdr:to>
          <xdr:col>7</xdr:col>
          <xdr:colOff>0</xdr:colOff>
          <xdr:row>3302</xdr:row>
          <xdr:rowOff>165100</xdr:rowOff>
        </xdr:to>
        <xdr:sp macro="" textlink="">
          <xdr:nvSpPr>
            <xdr:cNvPr id="1428" name="Button 404" hidden="1">
              <a:extLst>
                <a:ext uri="{63B3BB69-23CF-44E3-9099-C40C66FF867C}">
                  <a14:compatExt spid="_x0000_s1428"/>
                </a:ext>
                <a:ext uri="{FF2B5EF4-FFF2-40B4-BE49-F238E27FC236}">
                  <a16:creationId xmlns:a16="http://schemas.microsoft.com/office/drawing/2014/main" id="{00000000-0008-0000-0100-00009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3303</xdr:row>
          <xdr:rowOff>0</xdr:rowOff>
        </xdr:from>
        <xdr:to>
          <xdr:col>7</xdr:col>
          <xdr:colOff>0</xdr:colOff>
          <xdr:row>3303</xdr:row>
          <xdr:rowOff>165100</xdr:rowOff>
        </xdr:to>
        <xdr:sp macro="" textlink="">
          <xdr:nvSpPr>
            <xdr:cNvPr id="1427" name="Button 403" hidden="1">
              <a:extLst>
                <a:ext uri="{63B3BB69-23CF-44E3-9099-C40C66FF867C}">
                  <a14:compatExt spid="_x0000_s1427"/>
                </a:ext>
                <a:ext uri="{FF2B5EF4-FFF2-40B4-BE49-F238E27FC236}">
                  <a16:creationId xmlns:a16="http://schemas.microsoft.com/office/drawing/2014/main" id="{00000000-0008-0000-0100-00009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3304</xdr:row>
          <xdr:rowOff>0</xdr:rowOff>
        </xdr:from>
        <xdr:to>
          <xdr:col>7</xdr:col>
          <xdr:colOff>0</xdr:colOff>
          <xdr:row>3304</xdr:row>
          <xdr:rowOff>165100</xdr:rowOff>
        </xdr:to>
        <xdr:sp macro="" textlink="">
          <xdr:nvSpPr>
            <xdr:cNvPr id="1426" name="Button 402" hidden="1">
              <a:extLst>
                <a:ext uri="{63B3BB69-23CF-44E3-9099-C40C66FF867C}">
                  <a14:compatExt spid="_x0000_s1426"/>
                </a:ext>
                <a:ext uri="{FF2B5EF4-FFF2-40B4-BE49-F238E27FC236}">
                  <a16:creationId xmlns:a16="http://schemas.microsoft.com/office/drawing/2014/main" id="{00000000-0008-0000-0100-00009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3305</xdr:row>
          <xdr:rowOff>0</xdr:rowOff>
        </xdr:from>
        <xdr:to>
          <xdr:col>7</xdr:col>
          <xdr:colOff>0</xdr:colOff>
          <xdr:row>3305</xdr:row>
          <xdr:rowOff>165100</xdr:rowOff>
        </xdr:to>
        <xdr:sp macro="" textlink="">
          <xdr:nvSpPr>
            <xdr:cNvPr id="1425" name="Button 401" hidden="1">
              <a:extLst>
                <a:ext uri="{63B3BB69-23CF-44E3-9099-C40C66FF867C}">
                  <a14:compatExt spid="_x0000_s1425"/>
                </a:ext>
                <a:ext uri="{FF2B5EF4-FFF2-40B4-BE49-F238E27FC236}">
                  <a16:creationId xmlns:a16="http://schemas.microsoft.com/office/drawing/2014/main" id="{00000000-0008-0000-0100-00009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3306</xdr:row>
          <xdr:rowOff>0</xdr:rowOff>
        </xdr:from>
        <xdr:to>
          <xdr:col>7</xdr:col>
          <xdr:colOff>0</xdr:colOff>
          <xdr:row>3306</xdr:row>
          <xdr:rowOff>165100</xdr:rowOff>
        </xdr:to>
        <xdr:sp macro="" textlink="">
          <xdr:nvSpPr>
            <xdr:cNvPr id="1424" name="Button 400" hidden="1">
              <a:extLst>
                <a:ext uri="{63B3BB69-23CF-44E3-9099-C40C66FF867C}">
                  <a14:compatExt spid="_x0000_s1424"/>
                </a:ext>
                <a:ext uri="{FF2B5EF4-FFF2-40B4-BE49-F238E27FC236}">
                  <a16:creationId xmlns:a16="http://schemas.microsoft.com/office/drawing/2014/main" id="{00000000-0008-0000-0100-00009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3307</xdr:row>
          <xdr:rowOff>0</xdr:rowOff>
        </xdr:from>
        <xdr:to>
          <xdr:col>7</xdr:col>
          <xdr:colOff>0</xdr:colOff>
          <xdr:row>3307</xdr:row>
          <xdr:rowOff>165100</xdr:rowOff>
        </xdr:to>
        <xdr:sp macro="" textlink="">
          <xdr:nvSpPr>
            <xdr:cNvPr id="1423" name="Button 399" hidden="1">
              <a:extLst>
                <a:ext uri="{63B3BB69-23CF-44E3-9099-C40C66FF867C}">
                  <a14:compatExt spid="_x0000_s1423"/>
                </a:ext>
                <a:ext uri="{FF2B5EF4-FFF2-40B4-BE49-F238E27FC236}">
                  <a16:creationId xmlns:a16="http://schemas.microsoft.com/office/drawing/2014/main" id="{00000000-0008-0000-0100-00008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3308</xdr:row>
          <xdr:rowOff>0</xdr:rowOff>
        </xdr:from>
        <xdr:to>
          <xdr:col>7</xdr:col>
          <xdr:colOff>0</xdr:colOff>
          <xdr:row>3308</xdr:row>
          <xdr:rowOff>165100</xdr:rowOff>
        </xdr:to>
        <xdr:sp macro="" textlink="">
          <xdr:nvSpPr>
            <xdr:cNvPr id="1422" name="Button 398" hidden="1">
              <a:extLst>
                <a:ext uri="{63B3BB69-23CF-44E3-9099-C40C66FF867C}">
                  <a14:compatExt spid="_x0000_s1422"/>
                </a:ext>
                <a:ext uri="{FF2B5EF4-FFF2-40B4-BE49-F238E27FC236}">
                  <a16:creationId xmlns:a16="http://schemas.microsoft.com/office/drawing/2014/main" id="{00000000-0008-0000-0100-00008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3309</xdr:row>
          <xdr:rowOff>0</xdr:rowOff>
        </xdr:from>
        <xdr:to>
          <xdr:col>7</xdr:col>
          <xdr:colOff>0</xdr:colOff>
          <xdr:row>3309</xdr:row>
          <xdr:rowOff>165100</xdr:rowOff>
        </xdr:to>
        <xdr:sp macro="" textlink="">
          <xdr:nvSpPr>
            <xdr:cNvPr id="1421" name="Button 397" hidden="1">
              <a:extLst>
                <a:ext uri="{63B3BB69-23CF-44E3-9099-C40C66FF867C}">
                  <a14:compatExt spid="_x0000_s1421"/>
                </a:ext>
                <a:ext uri="{FF2B5EF4-FFF2-40B4-BE49-F238E27FC236}">
                  <a16:creationId xmlns:a16="http://schemas.microsoft.com/office/drawing/2014/main" id="{00000000-0008-0000-0100-00008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3310</xdr:row>
          <xdr:rowOff>0</xdr:rowOff>
        </xdr:from>
        <xdr:to>
          <xdr:col>7</xdr:col>
          <xdr:colOff>0</xdr:colOff>
          <xdr:row>3310</xdr:row>
          <xdr:rowOff>165100</xdr:rowOff>
        </xdr:to>
        <xdr:sp macro="" textlink="">
          <xdr:nvSpPr>
            <xdr:cNvPr id="1420" name="Button 396" hidden="1">
              <a:extLst>
                <a:ext uri="{63B3BB69-23CF-44E3-9099-C40C66FF867C}">
                  <a14:compatExt spid="_x0000_s1420"/>
                </a:ext>
                <a:ext uri="{FF2B5EF4-FFF2-40B4-BE49-F238E27FC236}">
                  <a16:creationId xmlns:a16="http://schemas.microsoft.com/office/drawing/2014/main" id="{00000000-0008-0000-0100-00008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3311</xdr:row>
          <xdr:rowOff>0</xdr:rowOff>
        </xdr:from>
        <xdr:to>
          <xdr:col>7</xdr:col>
          <xdr:colOff>0</xdr:colOff>
          <xdr:row>3311</xdr:row>
          <xdr:rowOff>165100</xdr:rowOff>
        </xdr:to>
        <xdr:sp macro="" textlink="">
          <xdr:nvSpPr>
            <xdr:cNvPr id="1419" name="Button 395" hidden="1">
              <a:extLst>
                <a:ext uri="{63B3BB69-23CF-44E3-9099-C40C66FF867C}">
                  <a14:compatExt spid="_x0000_s1419"/>
                </a:ext>
                <a:ext uri="{FF2B5EF4-FFF2-40B4-BE49-F238E27FC236}">
                  <a16:creationId xmlns:a16="http://schemas.microsoft.com/office/drawing/2014/main" id="{00000000-0008-0000-0100-00008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3312</xdr:row>
          <xdr:rowOff>0</xdr:rowOff>
        </xdr:from>
        <xdr:to>
          <xdr:col>7</xdr:col>
          <xdr:colOff>0</xdr:colOff>
          <xdr:row>3312</xdr:row>
          <xdr:rowOff>165100</xdr:rowOff>
        </xdr:to>
        <xdr:sp macro="" textlink="">
          <xdr:nvSpPr>
            <xdr:cNvPr id="1418" name="Button 394" hidden="1">
              <a:extLst>
                <a:ext uri="{63B3BB69-23CF-44E3-9099-C40C66FF867C}">
                  <a14:compatExt spid="_x0000_s1418"/>
                </a:ext>
                <a:ext uri="{FF2B5EF4-FFF2-40B4-BE49-F238E27FC236}">
                  <a16:creationId xmlns:a16="http://schemas.microsoft.com/office/drawing/2014/main" id="{00000000-0008-0000-0100-00008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3313</xdr:row>
          <xdr:rowOff>0</xdr:rowOff>
        </xdr:from>
        <xdr:to>
          <xdr:col>7</xdr:col>
          <xdr:colOff>0</xdr:colOff>
          <xdr:row>3313</xdr:row>
          <xdr:rowOff>165100</xdr:rowOff>
        </xdr:to>
        <xdr:sp macro="" textlink="">
          <xdr:nvSpPr>
            <xdr:cNvPr id="1417" name="Button 393" hidden="1">
              <a:extLst>
                <a:ext uri="{63B3BB69-23CF-44E3-9099-C40C66FF867C}">
                  <a14:compatExt spid="_x0000_s1417"/>
                </a:ext>
                <a:ext uri="{FF2B5EF4-FFF2-40B4-BE49-F238E27FC236}">
                  <a16:creationId xmlns:a16="http://schemas.microsoft.com/office/drawing/2014/main" id="{00000000-0008-0000-0100-00008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3314</xdr:row>
          <xdr:rowOff>0</xdr:rowOff>
        </xdr:from>
        <xdr:to>
          <xdr:col>7</xdr:col>
          <xdr:colOff>0</xdr:colOff>
          <xdr:row>3314</xdr:row>
          <xdr:rowOff>165100</xdr:rowOff>
        </xdr:to>
        <xdr:sp macro="" textlink="">
          <xdr:nvSpPr>
            <xdr:cNvPr id="1416" name="Button 392" hidden="1">
              <a:extLst>
                <a:ext uri="{63B3BB69-23CF-44E3-9099-C40C66FF867C}">
                  <a14:compatExt spid="_x0000_s1416"/>
                </a:ext>
                <a:ext uri="{FF2B5EF4-FFF2-40B4-BE49-F238E27FC236}">
                  <a16:creationId xmlns:a16="http://schemas.microsoft.com/office/drawing/2014/main" id="{00000000-0008-0000-0100-00008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3315</xdr:row>
          <xdr:rowOff>0</xdr:rowOff>
        </xdr:from>
        <xdr:to>
          <xdr:col>7</xdr:col>
          <xdr:colOff>0</xdr:colOff>
          <xdr:row>3315</xdr:row>
          <xdr:rowOff>165100</xdr:rowOff>
        </xdr:to>
        <xdr:sp macro="" textlink="">
          <xdr:nvSpPr>
            <xdr:cNvPr id="1415" name="Button 391" hidden="1">
              <a:extLst>
                <a:ext uri="{63B3BB69-23CF-44E3-9099-C40C66FF867C}">
                  <a14:compatExt spid="_x0000_s1415"/>
                </a:ext>
                <a:ext uri="{FF2B5EF4-FFF2-40B4-BE49-F238E27FC236}">
                  <a16:creationId xmlns:a16="http://schemas.microsoft.com/office/drawing/2014/main" id="{00000000-0008-0000-0100-00008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3316</xdr:row>
          <xdr:rowOff>0</xdr:rowOff>
        </xdr:from>
        <xdr:to>
          <xdr:col>7</xdr:col>
          <xdr:colOff>0</xdr:colOff>
          <xdr:row>3316</xdr:row>
          <xdr:rowOff>165100</xdr:rowOff>
        </xdr:to>
        <xdr:sp macro="" textlink="">
          <xdr:nvSpPr>
            <xdr:cNvPr id="1414" name="Button 390" hidden="1">
              <a:extLst>
                <a:ext uri="{63B3BB69-23CF-44E3-9099-C40C66FF867C}">
                  <a14:compatExt spid="_x0000_s1414"/>
                </a:ext>
                <a:ext uri="{FF2B5EF4-FFF2-40B4-BE49-F238E27FC236}">
                  <a16:creationId xmlns:a16="http://schemas.microsoft.com/office/drawing/2014/main" id="{00000000-0008-0000-0100-00008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3317</xdr:row>
          <xdr:rowOff>0</xdr:rowOff>
        </xdr:from>
        <xdr:to>
          <xdr:col>7</xdr:col>
          <xdr:colOff>0</xdr:colOff>
          <xdr:row>3317</xdr:row>
          <xdr:rowOff>165100</xdr:rowOff>
        </xdr:to>
        <xdr:sp macro="" textlink="">
          <xdr:nvSpPr>
            <xdr:cNvPr id="1413" name="Button 389" hidden="1">
              <a:extLst>
                <a:ext uri="{63B3BB69-23CF-44E3-9099-C40C66FF867C}">
                  <a14:compatExt spid="_x0000_s1413"/>
                </a:ext>
                <a:ext uri="{FF2B5EF4-FFF2-40B4-BE49-F238E27FC236}">
                  <a16:creationId xmlns:a16="http://schemas.microsoft.com/office/drawing/2014/main" id="{00000000-0008-0000-0100-00008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3318</xdr:row>
          <xdr:rowOff>0</xdr:rowOff>
        </xdr:from>
        <xdr:to>
          <xdr:col>7</xdr:col>
          <xdr:colOff>0</xdr:colOff>
          <xdr:row>3318</xdr:row>
          <xdr:rowOff>165100</xdr:rowOff>
        </xdr:to>
        <xdr:sp macro="" textlink="">
          <xdr:nvSpPr>
            <xdr:cNvPr id="1412" name="Button 388" hidden="1">
              <a:extLst>
                <a:ext uri="{63B3BB69-23CF-44E3-9099-C40C66FF867C}">
                  <a14:compatExt spid="_x0000_s1412"/>
                </a:ext>
                <a:ext uri="{FF2B5EF4-FFF2-40B4-BE49-F238E27FC236}">
                  <a16:creationId xmlns:a16="http://schemas.microsoft.com/office/drawing/2014/main" id="{00000000-0008-0000-0100-00008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3319</xdr:row>
          <xdr:rowOff>0</xdr:rowOff>
        </xdr:from>
        <xdr:to>
          <xdr:col>7</xdr:col>
          <xdr:colOff>0</xdr:colOff>
          <xdr:row>3319</xdr:row>
          <xdr:rowOff>165100</xdr:rowOff>
        </xdr:to>
        <xdr:sp macro="" textlink="">
          <xdr:nvSpPr>
            <xdr:cNvPr id="1411" name="Button 387" hidden="1">
              <a:extLst>
                <a:ext uri="{63B3BB69-23CF-44E3-9099-C40C66FF867C}">
                  <a14:compatExt spid="_x0000_s1411"/>
                </a:ext>
                <a:ext uri="{FF2B5EF4-FFF2-40B4-BE49-F238E27FC236}">
                  <a16:creationId xmlns:a16="http://schemas.microsoft.com/office/drawing/2014/main" id="{00000000-0008-0000-0100-00008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3320</xdr:row>
          <xdr:rowOff>0</xdr:rowOff>
        </xdr:from>
        <xdr:to>
          <xdr:col>7</xdr:col>
          <xdr:colOff>0</xdr:colOff>
          <xdr:row>3320</xdr:row>
          <xdr:rowOff>165100</xdr:rowOff>
        </xdr:to>
        <xdr:sp macro="" textlink="">
          <xdr:nvSpPr>
            <xdr:cNvPr id="1410" name="Button 386" hidden="1">
              <a:extLst>
                <a:ext uri="{63B3BB69-23CF-44E3-9099-C40C66FF867C}">
                  <a14:compatExt spid="_x0000_s1410"/>
                </a:ext>
                <a:ext uri="{FF2B5EF4-FFF2-40B4-BE49-F238E27FC236}">
                  <a16:creationId xmlns:a16="http://schemas.microsoft.com/office/drawing/2014/main" id="{00000000-0008-0000-0100-00008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3321</xdr:row>
          <xdr:rowOff>0</xdr:rowOff>
        </xdr:from>
        <xdr:to>
          <xdr:col>7</xdr:col>
          <xdr:colOff>0</xdr:colOff>
          <xdr:row>3321</xdr:row>
          <xdr:rowOff>165100</xdr:rowOff>
        </xdr:to>
        <xdr:sp macro="" textlink="">
          <xdr:nvSpPr>
            <xdr:cNvPr id="1409" name="Button 385" hidden="1">
              <a:extLst>
                <a:ext uri="{63B3BB69-23CF-44E3-9099-C40C66FF867C}">
                  <a14:compatExt spid="_x0000_s1409"/>
                </a:ext>
                <a:ext uri="{FF2B5EF4-FFF2-40B4-BE49-F238E27FC236}">
                  <a16:creationId xmlns:a16="http://schemas.microsoft.com/office/drawing/2014/main" id="{00000000-0008-0000-0100-00008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3322</xdr:row>
          <xdr:rowOff>0</xdr:rowOff>
        </xdr:from>
        <xdr:to>
          <xdr:col>7</xdr:col>
          <xdr:colOff>0</xdr:colOff>
          <xdr:row>3322</xdr:row>
          <xdr:rowOff>165100</xdr:rowOff>
        </xdr:to>
        <xdr:sp macro="" textlink="">
          <xdr:nvSpPr>
            <xdr:cNvPr id="1408" name="Button 384" hidden="1">
              <a:extLst>
                <a:ext uri="{63B3BB69-23CF-44E3-9099-C40C66FF867C}">
                  <a14:compatExt spid="_x0000_s1408"/>
                </a:ext>
                <a:ext uri="{FF2B5EF4-FFF2-40B4-BE49-F238E27FC236}">
                  <a16:creationId xmlns:a16="http://schemas.microsoft.com/office/drawing/2014/main" id="{00000000-0008-0000-0100-00008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3323</xdr:row>
          <xdr:rowOff>0</xdr:rowOff>
        </xdr:from>
        <xdr:to>
          <xdr:col>7</xdr:col>
          <xdr:colOff>0</xdr:colOff>
          <xdr:row>3323</xdr:row>
          <xdr:rowOff>165100</xdr:rowOff>
        </xdr:to>
        <xdr:sp macro="" textlink="">
          <xdr:nvSpPr>
            <xdr:cNvPr id="1407" name="Button 383" hidden="1">
              <a:extLst>
                <a:ext uri="{63B3BB69-23CF-44E3-9099-C40C66FF867C}">
                  <a14:compatExt spid="_x0000_s1407"/>
                </a:ext>
                <a:ext uri="{FF2B5EF4-FFF2-40B4-BE49-F238E27FC236}">
                  <a16:creationId xmlns:a16="http://schemas.microsoft.com/office/drawing/2014/main" id="{00000000-0008-0000-0100-00007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3324</xdr:row>
          <xdr:rowOff>0</xdr:rowOff>
        </xdr:from>
        <xdr:to>
          <xdr:col>7</xdr:col>
          <xdr:colOff>0</xdr:colOff>
          <xdr:row>3324</xdr:row>
          <xdr:rowOff>165100</xdr:rowOff>
        </xdr:to>
        <xdr:sp macro="" textlink="">
          <xdr:nvSpPr>
            <xdr:cNvPr id="1406" name="Button 382" hidden="1">
              <a:extLst>
                <a:ext uri="{63B3BB69-23CF-44E3-9099-C40C66FF867C}">
                  <a14:compatExt spid="_x0000_s1406"/>
                </a:ext>
                <a:ext uri="{FF2B5EF4-FFF2-40B4-BE49-F238E27FC236}">
                  <a16:creationId xmlns:a16="http://schemas.microsoft.com/office/drawing/2014/main" id="{00000000-0008-0000-0100-00007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3325</xdr:row>
          <xdr:rowOff>0</xdr:rowOff>
        </xdr:from>
        <xdr:to>
          <xdr:col>7</xdr:col>
          <xdr:colOff>0</xdr:colOff>
          <xdr:row>3325</xdr:row>
          <xdr:rowOff>165100</xdr:rowOff>
        </xdr:to>
        <xdr:sp macro="" textlink="">
          <xdr:nvSpPr>
            <xdr:cNvPr id="1405" name="Button 381" hidden="1">
              <a:extLst>
                <a:ext uri="{63B3BB69-23CF-44E3-9099-C40C66FF867C}">
                  <a14:compatExt spid="_x0000_s1405"/>
                </a:ext>
                <a:ext uri="{FF2B5EF4-FFF2-40B4-BE49-F238E27FC236}">
                  <a16:creationId xmlns:a16="http://schemas.microsoft.com/office/drawing/2014/main" id="{00000000-0008-0000-0100-00007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3326</xdr:row>
          <xdr:rowOff>0</xdr:rowOff>
        </xdr:from>
        <xdr:to>
          <xdr:col>7</xdr:col>
          <xdr:colOff>0</xdr:colOff>
          <xdr:row>3326</xdr:row>
          <xdr:rowOff>165100</xdr:rowOff>
        </xdr:to>
        <xdr:sp macro="" textlink="">
          <xdr:nvSpPr>
            <xdr:cNvPr id="1404" name="Button 380" hidden="1">
              <a:extLst>
                <a:ext uri="{63B3BB69-23CF-44E3-9099-C40C66FF867C}">
                  <a14:compatExt spid="_x0000_s1404"/>
                </a:ext>
                <a:ext uri="{FF2B5EF4-FFF2-40B4-BE49-F238E27FC236}">
                  <a16:creationId xmlns:a16="http://schemas.microsoft.com/office/drawing/2014/main" id="{00000000-0008-0000-0100-00007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3327</xdr:row>
          <xdr:rowOff>0</xdr:rowOff>
        </xdr:from>
        <xdr:to>
          <xdr:col>7</xdr:col>
          <xdr:colOff>0</xdr:colOff>
          <xdr:row>3327</xdr:row>
          <xdr:rowOff>165100</xdr:rowOff>
        </xdr:to>
        <xdr:sp macro="" textlink="">
          <xdr:nvSpPr>
            <xdr:cNvPr id="1403" name="Button 379" hidden="1">
              <a:extLst>
                <a:ext uri="{63B3BB69-23CF-44E3-9099-C40C66FF867C}">
                  <a14:compatExt spid="_x0000_s1403"/>
                </a:ext>
                <a:ext uri="{FF2B5EF4-FFF2-40B4-BE49-F238E27FC236}">
                  <a16:creationId xmlns:a16="http://schemas.microsoft.com/office/drawing/2014/main" id="{00000000-0008-0000-0100-00007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3328</xdr:row>
          <xdr:rowOff>0</xdr:rowOff>
        </xdr:from>
        <xdr:to>
          <xdr:col>7</xdr:col>
          <xdr:colOff>0</xdr:colOff>
          <xdr:row>3328</xdr:row>
          <xdr:rowOff>165100</xdr:rowOff>
        </xdr:to>
        <xdr:sp macro="" textlink="">
          <xdr:nvSpPr>
            <xdr:cNvPr id="1402" name="Button 378" hidden="1">
              <a:extLst>
                <a:ext uri="{63B3BB69-23CF-44E3-9099-C40C66FF867C}">
                  <a14:compatExt spid="_x0000_s1402"/>
                </a:ext>
                <a:ext uri="{FF2B5EF4-FFF2-40B4-BE49-F238E27FC236}">
                  <a16:creationId xmlns:a16="http://schemas.microsoft.com/office/drawing/2014/main" id="{00000000-0008-0000-0100-00007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3329</xdr:row>
          <xdr:rowOff>0</xdr:rowOff>
        </xdr:from>
        <xdr:to>
          <xdr:col>7</xdr:col>
          <xdr:colOff>0</xdr:colOff>
          <xdr:row>3329</xdr:row>
          <xdr:rowOff>165100</xdr:rowOff>
        </xdr:to>
        <xdr:sp macro="" textlink="">
          <xdr:nvSpPr>
            <xdr:cNvPr id="1401" name="Button 377" hidden="1">
              <a:extLst>
                <a:ext uri="{63B3BB69-23CF-44E3-9099-C40C66FF867C}">
                  <a14:compatExt spid="_x0000_s1401"/>
                </a:ext>
                <a:ext uri="{FF2B5EF4-FFF2-40B4-BE49-F238E27FC236}">
                  <a16:creationId xmlns:a16="http://schemas.microsoft.com/office/drawing/2014/main" id="{00000000-0008-0000-0100-00007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3330</xdr:row>
          <xdr:rowOff>0</xdr:rowOff>
        </xdr:from>
        <xdr:to>
          <xdr:col>7</xdr:col>
          <xdr:colOff>0</xdr:colOff>
          <xdr:row>3330</xdr:row>
          <xdr:rowOff>165100</xdr:rowOff>
        </xdr:to>
        <xdr:sp macro="" textlink="">
          <xdr:nvSpPr>
            <xdr:cNvPr id="1400" name="Button 376" hidden="1">
              <a:extLst>
                <a:ext uri="{63B3BB69-23CF-44E3-9099-C40C66FF867C}">
                  <a14:compatExt spid="_x0000_s1400"/>
                </a:ext>
                <a:ext uri="{FF2B5EF4-FFF2-40B4-BE49-F238E27FC236}">
                  <a16:creationId xmlns:a16="http://schemas.microsoft.com/office/drawing/2014/main" id="{00000000-0008-0000-0100-00007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3331</xdr:row>
          <xdr:rowOff>0</xdr:rowOff>
        </xdr:from>
        <xdr:to>
          <xdr:col>7</xdr:col>
          <xdr:colOff>0</xdr:colOff>
          <xdr:row>3331</xdr:row>
          <xdr:rowOff>165100</xdr:rowOff>
        </xdr:to>
        <xdr:sp macro="" textlink="">
          <xdr:nvSpPr>
            <xdr:cNvPr id="1399" name="Button 375" hidden="1">
              <a:extLst>
                <a:ext uri="{63B3BB69-23CF-44E3-9099-C40C66FF867C}">
                  <a14:compatExt spid="_x0000_s1399"/>
                </a:ext>
                <a:ext uri="{FF2B5EF4-FFF2-40B4-BE49-F238E27FC236}">
                  <a16:creationId xmlns:a16="http://schemas.microsoft.com/office/drawing/2014/main" id="{00000000-0008-0000-0100-00007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3332</xdr:row>
          <xdr:rowOff>0</xdr:rowOff>
        </xdr:from>
        <xdr:to>
          <xdr:col>7</xdr:col>
          <xdr:colOff>0</xdr:colOff>
          <xdr:row>3332</xdr:row>
          <xdr:rowOff>165100</xdr:rowOff>
        </xdr:to>
        <xdr:sp macro="" textlink="">
          <xdr:nvSpPr>
            <xdr:cNvPr id="1398" name="Button 374" hidden="1">
              <a:extLst>
                <a:ext uri="{63B3BB69-23CF-44E3-9099-C40C66FF867C}">
                  <a14:compatExt spid="_x0000_s1398"/>
                </a:ext>
                <a:ext uri="{FF2B5EF4-FFF2-40B4-BE49-F238E27FC236}">
                  <a16:creationId xmlns:a16="http://schemas.microsoft.com/office/drawing/2014/main" id="{00000000-0008-0000-0100-00007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3333</xdr:row>
          <xdr:rowOff>0</xdr:rowOff>
        </xdr:from>
        <xdr:to>
          <xdr:col>7</xdr:col>
          <xdr:colOff>0</xdr:colOff>
          <xdr:row>3333</xdr:row>
          <xdr:rowOff>165100</xdr:rowOff>
        </xdr:to>
        <xdr:sp macro="" textlink="">
          <xdr:nvSpPr>
            <xdr:cNvPr id="1397" name="Button 373" hidden="1">
              <a:extLst>
                <a:ext uri="{63B3BB69-23CF-44E3-9099-C40C66FF867C}">
                  <a14:compatExt spid="_x0000_s1397"/>
                </a:ext>
                <a:ext uri="{FF2B5EF4-FFF2-40B4-BE49-F238E27FC236}">
                  <a16:creationId xmlns:a16="http://schemas.microsoft.com/office/drawing/2014/main" id="{00000000-0008-0000-0100-00007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3334</xdr:row>
          <xdr:rowOff>0</xdr:rowOff>
        </xdr:from>
        <xdr:to>
          <xdr:col>7</xdr:col>
          <xdr:colOff>0</xdr:colOff>
          <xdr:row>3334</xdr:row>
          <xdr:rowOff>165100</xdr:rowOff>
        </xdr:to>
        <xdr:sp macro="" textlink="">
          <xdr:nvSpPr>
            <xdr:cNvPr id="1396" name="Button 372" hidden="1">
              <a:extLst>
                <a:ext uri="{63B3BB69-23CF-44E3-9099-C40C66FF867C}">
                  <a14:compatExt spid="_x0000_s1396"/>
                </a:ext>
                <a:ext uri="{FF2B5EF4-FFF2-40B4-BE49-F238E27FC236}">
                  <a16:creationId xmlns:a16="http://schemas.microsoft.com/office/drawing/2014/main" id="{00000000-0008-0000-0100-00007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3335</xdr:row>
          <xdr:rowOff>0</xdr:rowOff>
        </xdr:from>
        <xdr:to>
          <xdr:col>7</xdr:col>
          <xdr:colOff>0</xdr:colOff>
          <xdr:row>3335</xdr:row>
          <xdr:rowOff>165100</xdr:rowOff>
        </xdr:to>
        <xdr:sp macro="" textlink="">
          <xdr:nvSpPr>
            <xdr:cNvPr id="1395" name="Button 371" hidden="1">
              <a:extLst>
                <a:ext uri="{63B3BB69-23CF-44E3-9099-C40C66FF867C}">
                  <a14:compatExt spid="_x0000_s1395"/>
                </a:ext>
                <a:ext uri="{FF2B5EF4-FFF2-40B4-BE49-F238E27FC236}">
                  <a16:creationId xmlns:a16="http://schemas.microsoft.com/office/drawing/2014/main" id="{00000000-0008-0000-0100-00007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3336</xdr:row>
          <xdr:rowOff>0</xdr:rowOff>
        </xdr:from>
        <xdr:to>
          <xdr:col>7</xdr:col>
          <xdr:colOff>0</xdr:colOff>
          <xdr:row>3336</xdr:row>
          <xdr:rowOff>165100</xdr:rowOff>
        </xdr:to>
        <xdr:sp macro="" textlink="">
          <xdr:nvSpPr>
            <xdr:cNvPr id="1394" name="Button 370" hidden="1">
              <a:extLst>
                <a:ext uri="{63B3BB69-23CF-44E3-9099-C40C66FF867C}">
                  <a14:compatExt spid="_x0000_s1394"/>
                </a:ext>
                <a:ext uri="{FF2B5EF4-FFF2-40B4-BE49-F238E27FC236}">
                  <a16:creationId xmlns:a16="http://schemas.microsoft.com/office/drawing/2014/main" id="{00000000-0008-0000-0100-00007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3337</xdr:row>
          <xdr:rowOff>0</xdr:rowOff>
        </xdr:from>
        <xdr:to>
          <xdr:col>7</xdr:col>
          <xdr:colOff>0</xdr:colOff>
          <xdr:row>3337</xdr:row>
          <xdr:rowOff>165100</xdr:rowOff>
        </xdr:to>
        <xdr:sp macro="" textlink="">
          <xdr:nvSpPr>
            <xdr:cNvPr id="1393" name="Button 369" hidden="1">
              <a:extLst>
                <a:ext uri="{63B3BB69-23CF-44E3-9099-C40C66FF867C}">
                  <a14:compatExt spid="_x0000_s1393"/>
                </a:ext>
                <a:ext uri="{FF2B5EF4-FFF2-40B4-BE49-F238E27FC236}">
                  <a16:creationId xmlns:a16="http://schemas.microsoft.com/office/drawing/2014/main" id="{00000000-0008-0000-0100-00007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3338</xdr:row>
          <xdr:rowOff>0</xdr:rowOff>
        </xdr:from>
        <xdr:to>
          <xdr:col>7</xdr:col>
          <xdr:colOff>0</xdr:colOff>
          <xdr:row>3338</xdr:row>
          <xdr:rowOff>165100</xdr:rowOff>
        </xdr:to>
        <xdr:sp macro="" textlink="">
          <xdr:nvSpPr>
            <xdr:cNvPr id="1392" name="Button 368" hidden="1">
              <a:extLst>
                <a:ext uri="{63B3BB69-23CF-44E3-9099-C40C66FF867C}">
                  <a14:compatExt spid="_x0000_s1392"/>
                </a:ext>
                <a:ext uri="{FF2B5EF4-FFF2-40B4-BE49-F238E27FC236}">
                  <a16:creationId xmlns:a16="http://schemas.microsoft.com/office/drawing/2014/main" id="{00000000-0008-0000-0100-00007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3339</xdr:row>
          <xdr:rowOff>0</xdr:rowOff>
        </xdr:from>
        <xdr:to>
          <xdr:col>7</xdr:col>
          <xdr:colOff>0</xdr:colOff>
          <xdr:row>3339</xdr:row>
          <xdr:rowOff>165100</xdr:rowOff>
        </xdr:to>
        <xdr:sp macro="" textlink="">
          <xdr:nvSpPr>
            <xdr:cNvPr id="1391" name="Button 367" hidden="1">
              <a:extLst>
                <a:ext uri="{63B3BB69-23CF-44E3-9099-C40C66FF867C}">
                  <a14:compatExt spid="_x0000_s1391"/>
                </a:ext>
                <a:ext uri="{FF2B5EF4-FFF2-40B4-BE49-F238E27FC236}">
                  <a16:creationId xmlns:a16="http://schemas.microsoft.com/office/drawing/2014/main" id="{00000000-0008-0000-0100-00006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3340</xdr:row>
          <xdr:rowOff>0</xdr:rowOff>
        </xdr:from>
        <xdr:to>
          <xdr:col>7</xdr:col>
          <xdr:colOff>0</xdr:colOff>
          <xdr:row>3340</xdr:row>
          <xdr:rowOff>165100</xdr:rowOff>
        </xdr:to>
        <xdr:sp macro="" textlink="">
          <xdr:nvSpPr>
            <xdr:cNvPr id="1390" name="Button 366" hidden="1">
              <a:extLst>
                <a:ext uri="{63B3BB69-23CF-44E3-9099-C40C66FF867C}">
                  <a14:compatExt spid="_x0000_s1390"/>
                </a:ext>
                <a:ext uri="{FF2B5EF4-FFF2-40B4-BE49-F238E27FC236}">
                  <a16:creationId xmlns:a16="http://schemas.microsoft.com/office/drawing/2014/main" id="{00000000-0008-0000-0100-00006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3341</xdr:row>
          <xdr:rowOff>0</xdr:rowOff>
        </xdr:from>
        <xdr:to>
          <xdr:col>7</xdr:col>
          <xdr:colOff>0</xdr:colOff>
          <xdr:row>3341</xdr:row>
          <xdr:rowOff>165100</xdr:rowOff>
        </xdr:to>
        <xdr:sp macro="" textlink="">
          <xdr:nvSpPr>
            <xdr:cNvPr id="1389" name="Button 365" hidden="1">
              <a:extLst>
                <a:ext uri="{63B3BB69-23CF-44E3-9099-C40C66FF867C}">
                  <a14:compatExt spid="_x0000_s1389"/>
                </a:ext>
                <a:ext uri="{FF2B5EF4-FFF2-40B4-BE49-F238E27FC236}">
                  <a16:creationId xmlns:a16="http://schemas.microsoft.com/office/drawing/2014/main" id="{00000000-0008-0000-0100-00006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3342</xdr:row>
          <xdr:rowOff>0</xdr:rowOff>
        </xdr:from>
        <xdr:to>
          <xdr:col>7</xdr:col>
          <xdr:colOff>0</xdr:colOff>
          <xdr:row>3342</xdr:row>
          <xdr:rowOff>165100</xdr:rowOff>
        </xdr:to>
        <xdr:sp macro="" textlink="">
          <xdr:nvSpPr>
            <xdr:cNvPr id="1388" name="Button 364" hidden="1">
              <a:extLst>
                <a:ext uri="{63B3BB69-23CF-44E3-9099-C40C66FF867C}">
                  <a14:compatExt spid="_x0000_s1388"/>
                </a:ext>
                <a:ext uri="{FF2B5EF4-FFF2-40B4-BE49-F238E27FC236}">
                  <a16:creationId xmlns:a16="http://schemas.microsoft.com/office/drawing/2014/main" id="{00000000-0008-0000-0100-00006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3343</xdr:row>
          <xdr:rowOff>0</xdr:rowOff>
        </xdr:from>
        <xdr:to>
          <xdr:col>7</xdr:col>
          <xdr:colOff>0</xdr:colOff>
          <xdr:row>3343</xdr:row>
          <xdr:rowOff>165100</xdr:rowOff>
        </xdr:to>
        <xdr:sp macro="" textlink="">
          <xdr:nvSpPr>
            <xdr:cNvPr id="1387" name="Button 363" hidden="1">
              <a:extLst>
                <a:ext uri="{63B3BB69-23CF-44E3-9099-C40C66FF867C}">
                  <a14:compatExt spid="_x0000_s1387"/>
                </a:ext>
                <a:ext uri="{FF2B5EF4-FFF2-40B4-BE49-F238E27FC236}">
                  <a16:creationId xmlns:a16="http://schemas.microsoft.com/office/drawing/2014/main" id="{00000000-0008-0000-0100-00006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3344</xdr:row>
          <xdr:rowOff>0</xdr:rowOff>
        </xdr:from>
        <xdr:to>
          <xdr:col>7</xdr:col>
          <xdr:colOff>0</xdr:colOff>
          <xdr:row>3344</xdr:row>
          <xdr:rowOff>165100</xdr:rowOff>
        </xdr:to>
        <xdr:sp macro="" textlink="">
          <xdr:nvSpPr>
            <xdr:cNvPr id="1386" name="Button 362" hidden="1">
              <a:extLst>
                <a:ext uri="{63B3BB69-23CF-44E3-9099-C40C66FF867C}">
                  <a14:compatExt spid="_x0000_s1386"/>
                </a:ext>
                <a:ext uri="{FF2B5EF4-FFF2-40B4-BE49-F238E27FC236}">
                  <a16:creationId xmlns:a16="http://schemas.microsoft.com/office/drawing/2014/main" id="{00000000-0008-0000-0100-00006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3345</xdr:row>
          <xdr:rowOff>0</xdr:rowOff>
        </xdr:from>
        <xdr:to>
          <xdr:col>7</xdr:col>
          <xdr:colOff>0</xdr:colOff>
          <xdr:row>3345</xdr:row>
          <xdr:rowOff>165100</xdr:rowOff>
        </xdr:to>
        <xdr:sp macro="" textlink="">
          <xdr:nvSpPr>
            <xdr:cNvPr id="1385" name="Button 361" hidden="1">
              <a:extLst>
                <a:ext uri="{63B3BB69-23CF-44E3-9099-C40C66FF867C}">
                  <a14:compatExt spid="_x0000_s1385"/>
                </a:ext>
                <a:ext uri="{FF2B5EF4-FFF2-40B4-BE49-F238E27FC236}">
                  <a16:creationId xmlns:a16="http://schemas.microsoft.com/office/drawing/2014/main" id="{00000000-0008-0000-0100-00006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3346</xdr:row>
          <xdr:rowOff>0</xdr:rowOff>
        </xdr:from>
        <xdr:to>
          <xdr:col>7</xdr:col>
          <xdr:colOff>0</xdr:colOff>
          <xdr:row>3346</xdr:row>
          <xdr:rowOff>165100</xdr:rowOff>
        </xdr:to>
        <xdr:sp macro="" textlink="">
          <xdr:nvSpPr>
            <xdr:cNvPr id="1384" name="Button 360" hidden="1">
              <a:extLst>
                <a:ext uri="{63B3BB69-23CF-44E3-9099-C40C66FF867C}">
                  <a14:compatExt spid="_x0000_s1384"/>
                </a:ext>
                <a:ext uri="{FF2B5EF4-FFF2-40B4-BE49-F238E27FC236}">
                  <a16:creationId xmlns:a16="http://schemas.microsoft.com/office/drawing/2014/main" id="{00000000-0008-0000-0100-00006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3347</xdr:row>
          <xdr:rowOff>0</xdr:rowOff>
        </xdr:from>
        <xdr:to>
          <xdr:col>7</xdr:col>
          <xdr:colOff>0</xdr:colOff>
          <xdr:row>3347</xdr:row>
          <xdr:rowOff>165100</xdr:rowOff>
        </xdr:to>
        <xdr:sp macro="" textlink="">
          <xdr:nvSpPr>
            <xdr:cNvPr id="1383" name="Button 359" hidden="1">
              <a:extLst>
                <a:ext uri="{63B3BB69-23CF-44E3-9099-C40C66FF867C}">
                  <a14:compatExt spid="_x0000_s1383"/>
                </a:ext>
                <a:ext uri="{FF2B5EF4-FFF2-40B4-BE49-F238E27FC236}">
                  <a16:creationId xmlns:a16="http://schemas.microsoft.com/office/drawing/2014/main" id="{00000000-0008-0000-0100-00006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3348</xdr:row>
          <xdr:rowOff>0</xdr:rowOff>
        </xdr:from>
        <xdr:to>
          <xdr:col>7</xdr:col>
          <xdr:colOff>0</xdr:colOff>
          <xdr:row>3348</xdr:row>
          <xdr:rowOff>165100</xdr:rowOff>
        </xdr:to>
        <xdr:sp macro="" textlink="">
          <xdr:nvSpPr>
            <xdr:cNvPr id="1382" name="Button 358" hidden="1">
              <a:extLst>
                <a:ext uri="{63B3BB69-23CF-44E3-9099-C40C66FF867C}">
                  <a14:compatExt spid="_x0000_s1382"/>
                </a:ext>
                <a:ext uri="{FF2B5EF4-FFF2-40B4-BE49-F238E27FC236}">
                  <a16:creationId xmlns:a16="http://schemas.microsoft.com/office/drawing/2014/main" id="{00000000-0008-0000-0100-00006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3349</xdr:row>
          <xdr:rowOff>0</xdr:rowOff>
        </xdr:from>
        <xdr:to>
          <xdr:col>7</xdr:col>
          <xdr:colOff>0</xdr:colOff>
          <xdr:row>3349</xdr:row>
          <xdr:rowOff>165100</xdr:rowOff>
        </xdr:to>
        <xdr:sp macro="" textlink="">
          <xdr:nvSpPr>
            <xdr:cNvPr id="1381" name="Button 357" hidden="1">
              <a:extLst>
                <a:ext uri="{63B3BB69-23CF-44E3-9099-C40C66FF867C}">
                  <a14:compatExt spid="_x0000_s1381"/>
                </a:ext>
                <a:ext uri="{FF2B5EF4-FFF2-40B4-BE49-F238E27FC236}">
                  <a16:creationId xmlns:a16="http://schemas.microsoft.com/office/drawing/2014/main" id="{00000000-0008-0000-0100-00006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3350</xdr:row>
          <xdr:rowOff>0</xdr:rowOff>
        </xdr:from>
        <xdr:to>
          <xdr:col>7</xdr:col>
          <xdr:colOff>0</xdr:colOff>
          <xdr:row>3350</xdr:row>
          <xdr:rowOff>165100</xdr:rowOff>
        </xdr:to>
        <xdr:sp macro="" textlink="">
          <xdr:nvSpPr>
            <xdr:cNvPr id="1380" name="Button 356" hidden="1">
              <a:extLst>
                <a:ext uri="{63B3BB69-23CF-44E3-9099-C40C66FF867C}">
                  <a14:compatExt spid="_x0000_s1380"/>
                </a:ext>
                <a:ext uri="{FF2B5EF4-FFF2-40B4-BE49-F238E27FC236}">
                  <a16:creationId xmlns:a16="http://schemas.microsoft.com/office/drawing/2014/main" id="{00000000-0008-0000-0100-00006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3351</xdr:row>
          <xdr:rowOff>0</xdr:rowOff>
        </xdr:from>
        <xdr:to>
          <xdr:col>7</xdr:col>
          <xdr:colOff>0</xdr:colOff>
          <xdr:row>3351</xdr:row>
          <xdr:rowOff>165100</xdr:rowOff>
        </xdr:to>
        <xdr:sp macro="" textlink="">
          <xdr:nvSpPr>
            <xdr:cNvPr id="1379" name="Button 355" hidden="1">
              <a:extLst>
                <a:ext uri="{63B3BB69-23CF-44E3-9099-C40C66FF867C}">
                  <a14:compatExt spid="_x0000_s1379"/>
                </a:ext>
                <a:ext uri="{FF2B5EF4-FFF2-40B4-BE49-F238E27FC236}">
                  <a16:creationId xmlns:a16="http://schemas.microsoft.com/office/drawing/2014/main" id="{00000000-0008-0000-0100-00006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3352</xdr:row>
          <xdr:rowOff>0</xdr:rowOff>
        </xdr:from>
        <xdr:to>
          <xdr:col>7</xdr:col>
          <xdr:colOff>0</xdr:colOff>
          <xdr:row>3352</xdr:row>
          <xdr:rowOff>165100</xdr:rowOff>
        </xdr:to>
        <xdr:sp macro="" textlink="">
          <xdr:nvSpPr>
            <xdr:cNvPr id="1378" name="Button 354" hidden="1">
              <a:extLst>
                <a:ext uri="{63B3BB69-23CF-44E3-9099-C40C66FF867C}">
                  <a14:compatExt spid="_x0000_s1378"/>
                </a:ext>
                <a:ext uri="{FF2B5EF4-FFF2-40B4-BE49-F238E27FC236}">
                  <a16:creationId xmlns:a16="http://schemas.microsoft.com/office/drawing/2014/main" id="{00000000-0008-0000-0100-00006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3353</xdr:row>
          <xdr:rowOff>0</xdr:rowOff>
        </xdr:from>
        <xdr:to>
          <xdr:col>7</xdr:col>
          <xdr:colOff>0</xdr:colOff>
          <xdr:row>3353</xdr:row>
          <xdr:rowOff>165100</xdr:rowOff>
        </xdr:to>
        <xdr:sp macro="" textlink="">
          <xdr:nvSpPr>
            <xdr:cNvPr id="1377" name="Button 353" hidden="1">
              <a:extLst>
                <a:ext uri="{63B3BB69-23CF-44E3-9099-C40C66FF867C}">
                  <a14:compatExt spid="_x0000_s1377"/>
                </a:ext>
                <a:ext uri="{FF2B5EF4-FFF2-40B4-BE49-F238E27FC236}">
                  <a16:creationId xmlns:a16="http://schemas.microsoft.com/office/drawing/2014/main" id="{00000000-0008-0000-0100-00006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3354</xdr:row>
          <xdr:rowOff>0</xdr:rowOff>
        </xdr:from>
        <xdr:to>
          <xdr:col>7</xdr:col>
          <xdr:colOff>0</xdr:colOff>
          <xdr:row>3354</xdr:row>
          <xdr:rowOff>165100</xdr:rowOff>
        </xdr:to>
        <xdr:sp macro="" textlink="">
          <xdr:nvSpPr>
            <xdr:cNvPr id="1376" name="Button 352" hidden="1">
              <a:extLst>
                <a:ext uri="{63B3BB69-23CF-44E3-9099-C40C66FF867C}">
                  <a14:compatExt spid="_x0000_s1376"/>
                </a:ext>
                <a:ext uri="{FF2B5EF4-FFF2-40B4-BE49-F238E27FC236}">
                  <a16:creationId xmlns:a16="http://schemas.microsoft.com/office/drawing/2014/main" id="{00000000-0008-0000-0100-00006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3355</xdr:row>
          <xdr:rowOff>0</xdr:rowOff>
        </xdr:from>
        <xdr:to>
          <xdr:col>7</xdr:col>
          <xdr:colOff>0</xdr:colOff>
          <xdr:row>3355</xdr:row>
          <xdr:rowOff>165100</xdr:rowOff>
        </xdr:to>
        <xdr:sp macro="" textlink="">
          <xdr:nvSpPr>
            <xdr:cNvPr id="1375" name="Button 351" hidden="1">
              <a:extLst>
                <a:ext uri="{63B3BB69-23CF-44E3-9099-C40C66FF867C}">
                  <a14:compatExt spid="_x0000_s1375"/>
                </a:ext>
                <a:ext uri="{FF2B5EF4-FFF2-40B4-BE49-F238E27FC236}">
                  <a16:creationId xmlns:a16="http://schemas.microsoft.com/office/drawing/2014/main" id="{00000000-0008-0000-0100-00005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3356</xdr:row>
          <xdr:rowOff>0</xdr:rowOff>
        </xdr:from>
        <xdr:to>
          <xdr:col>7</xdr:col>
          <xdr:colOff>0</xdr:colOff>
          <xdr:row>3356</xdr:row>
          <xdr:rowOff>165100</xdr:rowOff>
        </xdr:to>
        <xdr:sp macro="" textlink="">
          <xdr:nvSpPr>
            <xdr:cNvPr id="1374" name="Button 350" hidden="1">
              <a:extLst>
                <a:ext uri="{63B3BB69-23CF-44E3-9099-C40C66FF867C}">
                  <a14:compatExt spid="_x0000_s1374"/>
                </a:ext>
                <a:ext uri="{FF2B5EF4-FFF2-40B4-BE49-F238E27FC236}">
                  <a16:creationId xmlns:a16="http://schemas.microsoft.com/office/drawing/2014/main" id="{00000000-0008-0000-0100-00005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3357</xdr:row>
          <xdr:rowOff>0</xdr:rowOff>
        </xdr:from>
        <xdr:to>
          <xdr:col>7</xdr:col>
          <xdr:colOff>0</xdr:colOff>
          <xdr:row>3357</xdr:row>
          <xdr:rowOff>165100</xdr:rowOff>
        </xdr:to>
        <xdr:sp macro="" textlink="">
          <xdr:nvSpPr>
            <xdr:cNvPr id="1373" name="Button 349" hidden="1">
              <a:extLst>
                <a:ext uri="{63B3BB69-23CF-44E3-9099-C40C66FF867C}">
                  <a14:compatExt spid="_x0000_s1373"/>
                </a:ext>
                <a:ext uri="{FF2B5EF4-FFF2-40B4-BE49-F238E27FC236}">
                  <a16:creationId xmlns:a16="http://schemas.microsoft.com/office/drawing/2014/main" id="{00000000-0008-0000-0100-00005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3358</xdr:row>
          <xdr:rowOff>0</xdr:rowOff>
        </xdr:from>
        <xdr:to>
          <xdr:col>7</xdr:col>
          <xdr:colOff>0</xdr:colOff>
          <xdr:row>3358</xdr:row>
          <xdr:rowOff>165100</xdr:rowOff>
        </xdr:to>
        <xdr:sp macro="" textlink="">
          <xdr:nvSpPr>
            <xdr:cNvPr id="1372" name="Button 348" hidden="1">
              <a:extLst>
                <a:ext uri="{63B3BB69-23CF-44E3-9099-C40C66FF867C}">
                  <a14:compatExt spid="_x0000_s1372"/>
                </a:ext>
                <a:ext uri="{FF2B5EF4-FFF2-40B4-BE49-F238E27FC236}">
                  <a16:creationId xmlns:a16="http://schemas.microsoft.com/office/drawing/2014/main" id="{00000000-0008-0000-0100-00005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3359</xdr:row>
          <xdr:rowOff>0</xdr:rowOff>
        </xdr:from>
        <xdr:to>
          <xdr:col>7</xdr:col>
          <xdr:colOff>0</xdr:colOff>
          <xdr:row>3359</xdr:row>
          <xdr:rowOff>165100</xdr:rowOff>
        </xdr:to>
        <xdr:sp macro="" textlink="">
          <xdr:nvSpPr>
            <xdr:cNvPr id="1371" name="Button 347" hidden="1">
              <a:extLst>
                <a:ext uri="{63B3BB69-23CF-44E3-9099-C40C66FF867C}">
                  <a14:compatExt spid="_x0000_s1371"/>
                </a:ext>
                <a:ext uri="{FF2B5EF4-FFF2-40B4-BE49-F238E27FC236}">
                  <a16:creationId xmlns:a16="http://schemas.microsoft.com/office/drawing/2014/main" id="{00000000-0008-0000-0100-00005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3360</xdr:row>
          <xdr:rowOff>0</xdr:rowOff>
        </xdr:from>
        <xdr:to>
          <xdr:col>7</xdr:col>
          <xdr:colOff>0</xdr:colOff>
          <xdr:row>3360</xdr:row>
          <xdr:rowOff>165100</xdr:rowOff>
        </xdr:to>
        <xdr:sp macro="" textlink="">
          <xdr:nvSpPr>
            <xdr:cNvPr id="1370" name="Button 346" hidden="1">
              <a:extLst>
                <a:ext uri="{63B3BB69-23CF-44E3-9099-C40C66FF867C}">
                  <a14:compatExt spid="_x0000_s1370"/>
                </a:ext>
                <a:ext uri="{FF2B5EF4-FFF2-40B4-BE49-F238E27FC236}">
                  <a16:creationId xmlns:a16="http://schemas.microsoft.com/office/drawing/2014/main" id="{00000000-0008-0000-0100-00005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3361</xdr:row>
          <xdr:rowOff>0</xdr:rowOff>
        </xdr:from>
        <xdr:to>
          <xdr:col>7</xdr:col>
          <xdr:colOff>0</xdr:colOff>
          <xdr:row>3361</xdr:row>
          <xdr:rowOff>165100</xdr:rowOff>
        </xdr:to>
        <xdr:sp macro="" textlink="">
          <xdr:nvSpPr>
            <xdr:cNvPr id="1369" name="Button 345" hidden="1">
              <a:extLst>
                <a:ext uri="{63B3BB69-23CF-44E3-9099-C40C66FF867C}">
                  <a14:compatExt spid="_x0000_s1369"/>
                </a:ext>
                <a:ext uri="{FF2B5EF4-FFF2-40B4-BE49-F238E27FC236}">
                  <a16:creationId xmlns:a16="http://schemas.microsoft.com/office/drawing/2014/main" id="{00000000-0008-0000-0100-00005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3362</xdr:row>
          <xdr:rowOff>0</xdr:rowOff>
        </xdr:from>
        <xdr:to>
          <xdr:col>7</xdr:col>
          <xdr:colOff>0</xdr:colOff>
          <xdr:row>3362</xdr:row>
          <xdr:rowOff>165100</xdr:rowOff>
        </xdr:to>
        <xdr:sp macro="" textlink="">
          <xdr:nvSpPr>
            <xdr:cNvPr id="1368" name="Button 344" hidden="1">
              <a:extLst>
                <a:ext uri="{63B3BB69-23CF-44E3-9099-C40C66FF867C}">
                  <a14:compatExt spid="_x0000_s1368"/>
                </a:ext>
                <a:ext uri="{FF2B5EF4-FFF2-40B4-BE49-F238E27FC236}">
                  <a16:creationId xmlns:a16="http://schemas.microsoft.com/office/drawing/2014/main" id="{00000000-0008-0000-0100-00005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3363</xdr:row>
          <xdr:rowOff>0</xdr:rowOff>
        </xdr:from>
        <xdr:to>
          <xdr:col>7</xdr:col>
          <xdr:colOff>0</xdr:colOff>
          <xdr:row>3363</xdr:row>
          <xdr:rowOff>165100</xdr:rowOff>
        </xdr:to>
        <xdr:sp macro="" textlink="">
          <xdr:nvSpPr>
            <xdr:cNvPr id="1367" name="Button 343" hidden="1">
              <a:extLst>
                <a:ext uri="{63B3BB69-23CF-44E3-9099-C40C66FF867C}">
                  <a14:compatExt spid="_x0000_s1367"/>
                </a:ext>
                <a:ext uri="{FF2B5EF4-FFF2-40B4-BE49-F238E27FC236}">
                  <a16:creationId xmlns:a16="http://schemas.microsoft.com/office/drawing/2014/main" id="{00000000-0008-0000-0100-00005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3364</xdr:row>
          <xdr:rowOff>0</xdr:rowOff>
        </xdr:from>
        <xdr:to>
          <xdr:col>7</xdr:col>
          <xdr:colOff>0</xdr:colOff>
          <xdr:row>3364</xdr:row>
          <xdr:rowOff>165100</xdr:rowOff>
        </xdr:to>
        <xdr:sp macro="" textlink="">
          <xdr:nvSpPr>
            <xdr:cNvPr id="1366" name="Button 342" hidden="1">
              <a:extLst>
                <a:ext uri="{63B3BB69-23CF-44E3-9099-C40C66FF867C}">
                  <a14:compatExt spid="_x0000_s1366"/>
                </a:ext>
                <a:ext uri="{FF2B5EF4-FFF2-40B4-BE49-F238E27FC236}">
                  <a16:creationId xmlns:a16="http://schemas.microsoft.com/office/drawing/2014/main" id="{00000000-0008-0000-0100-00005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3365</xdr:row>
          <xdr:rowOff>0</xdr:rowOff>
        </xdr:from>
        <xdr:to>
          <xdr:col>7</xdr:col>
          <xdr:colOff>0</xdr:colOff>
          <xdr:row>3365</xdr:row>
          <xdr:rowOff>165100</xdr:rowOff>
        </xdr:to>
        <xdr:sp macro="" textlink="">
          <xdr:nvSpPr>
            <xdr:cNvPr id="1365" name="Button 341" hidden="1">
              <a:extLst>
                <a:ext uri="{63B3BB69-23CF-44E3-9099-C40C66FF867C}">
                  <a14:compatExt spid="_x0000_s1365"/>
                </a:ext>
                <a:ext uri="{FF2B5EF4-FFF2-40B4-BE49-F238E27FC236}">
                  <a16:creationId xmlns:a16="http://schemas.microsoft.com/office/drawing/2014/main" id="{00000000-0008-0000-0100-00005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3366</xdr:row>
          <xdr:rowOff>0</xdr:rowOff>
        </xdr:from>
        <xdr:to>
          <xdr:col>7</xdr:col>
          <xdr:colOff>0</xdr:colOff>
          <xdr:row>3366</xdr:row>
          <xdr:rowOff>165100</xdr:rowOff>
        </xdr:to>
        <xdr:sp macro="" textlink="">
          <xdr:nvSpPr>
            <xdr:cNvPr id="1364" name="Button 340" hidden="1">
              <a:extLst>
                <a:ext uri="{63B3BB69-23CF-44E3-9099-C40C66FF867C}">
                  <a14:compatExt spid="_x0000_s1364"/>
                </a:ext>
                <a:ext uri="{FF2B5EF4-FFF2-40B4-BE49-F238E27FC236}">
                  <a16:creationId xmlns:a16="http://schemas.microsoft.com/office/drawing/2014/main" id="{00000000-0008-0000-0100-00005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3367</xdr:row>
          <xdr:rowOff>0</xdr:rowOff>
        </xdr:from>
        <xdr:to>
          <xdr:col>7</xdr:col>
          <xdr:colOff>0</xdr:colOff>
          <xdr:row>3367</xdr:row>
          <xdr:rowOff>165100</xdr:rowOff>
        </xdr:to>
        <xdr:sp macro="" textlink="">
          <xdr:nvSpPr>
            <xdr:cNvPr id="1363" name="Button 339" hidden="1">
              <a:extLst>
                <a:ext uri="{63B3BB69-23CF-44E3-9099-C40C66FF867C}">
                  <a14:compatExt spid="_x0000_s1363"/>
                </a:ext>
                <a:ext uri="{FF2B5EF4-FFF2-40B4-BE49-F238E27FC236}">
                  <a16:creationId xmlns:a16="http://schemas.microsoft.com/office/drawing/2014/main" id="{00000000-0008-0000-0100-00005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3368</xdr:row>
          <xdr:rowOff>0</xdr:rowOff>
        </xdr:from>
        <xdr:to>
          <xdr:col>7</xdr:col>
          <xdr:colOff>0</xdr:colOff>
          <xdr:row>3368</xdr:row>
          <xdr:rowOff>165100</xdr:rowOff>
        </xdr:to>
        <xdr:sp macro="" textlink="">
          <xdr:nvSpPr>
            <xdr:cNvPr id="1362" name="Button 338" hidden="1">
              <a:extLst>
                <a:ext uri="{63B3BB69-23CF-44E3-9099-C40C66FF867C}">
                  <a14:compatExt spid="_x0000_s1362"/>
                </a:ext>
                <a:ext uri="{FF2B5EF4-FFF2-40B4-BE49-F238E27FC236}">
                  <a16:creationId xmlns:a16="http://schemas.microsoft.com/office/drawing/2014/main" id="{00000000-0008-0000-0100-00005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3369</xdr:row>
          <xdr:rowOff>0</xdr:rowOff>
        </xdr:from>
        <xdr:to>
          <xdr:col>7</xdr:col>
          <xdr:colOff>0</xdr:colOff>
          <xdr:row>3369</xdr:row>
          <xdr:rowOff>165100</xdr:rowOff>
        </xdr:to>
        <xdr:sp macro="" textlink="">
          <xdr:nvSpPr>
            <xdr:cNvPr id="1361" name="Button 337" hidden="1">
              <a:extLst>
                <a:ext uri="{63B3BB69-23CF-44E3-9099-C40C66FF867C}">
                  <a14:compatExt spid="_x0000_s1361"/>
                </a:ext>
                <a:ext uri="{FF2B5EF4-FFF2-40B4-BE49-F238E27FC236}">
                  <a16:creationId xmlns:a16="http://schemas.microsoft.com/office/drawing/2014/main" id="{00000000-0008-0000-0100-00005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3370</xdr:row>
          <xdr:rowOff>0</xdr:rowOff>
        </xdr:from>
        <xdr:to>
          <xdr:col>7</xdr:col>
          <xdr:colOff>0</xdr:colOff>
          <xdr:row>3370</xdr:row>
          <xdr:rowOff>165100</xdr:rowOff>
        </xdr:to>
        <xdr:sp macro="" textlink="">
          <xdr:nvSpPr>
            <xdr:cNvPr id="1360" name="Button 336" hidden="1">
              <a:extLst>
                <a:ext uri="{63B3BB69-23CF-44E3-9099-C40C66FF867C}">
                  <a14:compatExt spid="_x0000_s1360"/>
                </a:ext>
                <a:ext uri="{FF2B5EF4-FFF2-40B4-BE49-F238E27FC236}">
                  <a16:creationId xmlns:a16="http://schemas.microsoft.com/office/drawing/2014/main" id="{00000000-0008-0000-0100-00005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3373</xdr:row>
          <xdr:rowOff>0</xdr:rowOff>
        </xdr:from>
        <xdr:to>
          <xdr:col>7</xdr:col>
          <xdr:colOff>0</xdr:colOff>
          <xdr:row>3374</xdr:row>
          <xdr:rowOff>0</xdr:rowOff>
        </xdr:to>
        <xdr:sp macro="" textlink="">
          <xdr:nvSpPr>
            <xdr:cNvPr id="1359" name="Button 335" hidden="1">
              <a:extLst>
                <a:ext uri="{63B3BB69-23CF-44E3-9099-C40C66FF867C}">
                  <a14:compatExt spid="_x0000_s1359"/>
                </a:ext>
                <a:ext uri="{FF2B5EF4-FFF2-40B4-BE49-F238E27FC236}">
                  <a16:creationId xmlns:a16="http://schemas.microsoft.com/office/drawing/2014/main" id="{00000000-0008-0000-0100-00004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3380</xdr:row>
          <xdr:rowOff>0</xdr:rowOff>
        </xdr:from>
        <xdr:to>
          <xdr:col>7</xdr:col>
          <xdr:colOff>0</xdr:colOff>
          <xdr:row>3380</xdr:row>
          <xdr:rowOff>171450</xdr:rowOff>
        </xdr:to>
        <xdr:sp macro="" textlink="">
          <xdr:nvSpPr>
            <xdr:cNvPr id="1358" name="Button 334" hidden="1">
              <a:extLst>
                <a:ext uri="{63B3BB69-23CF-44E3-9099-C40C66FF867C}">
                  <a14:compatExt spid="_x0000_s1358"/>
                </a:ext>
                <a:ext uri="{FF2B5EF4-FFF2-40B4-BE49-F238E27FC236}">
                  <a16:creationId xmlns:a16="http://schemas.microsoft.com/office/drawing/2014/main" id="{00000000-0008-0000-0100-00004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3381</xdr:row>
          <xdr:rowOff>0</xdr:rowOff>
        </xdr:from>
        <xdr:to>
          <xdr:col>7</xdr:col>
          <xdr:colOff>0</xdr:colOff>
          <xdr:row>3381</xdr:row>
          <xdr:rowOff>165100</xdr:rowOff>
        </xdr:to>
        <xdr:sp macro="" textlink="">
          <xdr:nvSpPr>
            <xdr:cNvPr id="1357" name="Button 333" hidden="1">
              <a:extLst>
                <a:ext uri="{63B3BB69-23CF-44E3-9099-C40C66FF867C}">
                  <a14:compatExt spid="_x0000_s1357"/>
                </a:ext>
                <a:ext uri="{FF2B5EF4-FFF2-40B4-BE49-F238E27FC236}">
                  <a16:creationId xmlns:a16="http://schemas.microsoft.com/office/drawing/2014/main" id="{00000000-0008-0000-0100-00004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3382</xdr:row>
          <xdr:rowOff>0</xdr:rowOff>
        </xdr:from>
        <xdr:to>
          <xdr:col>7</xdr:col>
          <xdr:colOff>0</xdr:colOff>
          <xdr:row>3382</xdr:row>
          <xdr:rowOff>165100</xdr:rowOff>
        </xdr:to>
        <xdr:sp macro="" textlink="">
          <xdr:nvSpPr>
            <xdr:cNvPr id="1356" name="Button 332" hidden="1">
              <a:extLst>
                <a:ext uri="{63B3BB69-23CF-44E3-9099-C40C66FF867C}">
                  <a14:compatExt spid="_x0000_s1356"/>
                </a:ext>
                <a:ext uri="{FF2B5EF4-FFF2-40B4-BE49-F238E27FC236}">
                  <a16:creationId xmlns:a16="http://schemas.microsoft.com/office/drawing/2014/main" id="{00000000-0008-0000-0100-00004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3383</xdr:row>
          <xdr:rowOff>0</xdr:rowOff>
        </xdr:from>
        <xdr:to>
          <xdr:col>7</xdr:col>
          <xdr:colOff>0</xdr:colOff>
          <xdr:row>3383</xdr:row>
          <xdr:rowOff>165100</xdr:rowOff>
        </xdr:to>
        <xdr:sp macro="" textlink="">
          <xdr:nvSpPr>
            <xdr:cNvPr id="1355" name="Button 331" hidden="1">
              <a:extLst>
                <a:ext uri="{63B3BB69-23CF-44E3-9099-C40C66FF867C}">
                  <a14:compatExt spid="_x0000_s1355"/>
                </a:ext>
                <a:ext uri="{FF2B5EF4-FFF2-40B4-BE49-F238E27FC236}">
                  <a16:creationId xmlns:a16="http://schemas.microsoft.com/office/drawing/2014/main" id="{00000000-0008-0000-0100-00004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3384</xdr:row>
          <xdr:rowOff>0</xdr:rowOff>
        </xdr:from>
        <xdr:to>
          <xdr:col>7</xdr:col>
          <xdr:colOff>0</xdr:colOff>
          <xdr:row>3384</xdr:row>
          <xdr:rowOff>165100</xdr:rowOff>
        </xdr:to>
        <xdr:sp macro="" textlink="">
          <xdr:nvSpPr>
            <xdr:cNvPr id="1354" name="Button 330" hidden="1">
              <a:extLst>
                <a:ext uri="{63B3BB69-23CF-44E3-9099-C40C66FF867C}">
                  <a14:compatExt spid="_x0000_s1354"/>
                </a:ext>
                <a:ext uri="{FF2B5EF4-FFF2-40B4-BE49-F238E27FC236}">
                  <a16:creationId xmlns:a16="http://schemas.microsoft.com/office/drawing/2014/main" id="{00000000-0008-0000-0100-00004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3385</xdr:row>
          <xdr:rowOff>0</xdr:rowOff>
        </xdr:from>
        <xdr:to>
          <xdr:col>7</xdr:col>
          <xdr:colOff>0</xdr:colOff>
          <xdr:row>3385</xdr:row>
          <xdr:rowOff>165100</xdr:rowOff>
        </xdr:to>
        <xdr:sp macro="" textlink="">
          <xdr:nvSpPr>
            <xdr:cNvPr id="1353" name="Button 329" hidden="1">
              <a:extLst>
                <a:ext uri="{63B3BB69-23CF-44E3-9099-C40C66FF867C}">
                  <a14:compatExt spid="_x0000_s1353"/>
                </a:ext>
                <a:ext uri="{FF2B5EF4-FFF2-40B4-BE49-F238E27FC236}">
                  <a16:creationId xmlns:a16="http://schemas.microsoft.com/office/drawing/2014/main" id="{00000000-0008-0000-0100-00004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3386</xdr:row>
          <xdr:rowOff>0</xdr:rowOff>
        </xdr:from>
        <xdr:to>
          <xdr:col>7</xdr:col>
          <xdr:colOff>0</xdr:colOff>
          <xdr:row>3386</xdr:row>
          <xdr:rowOff>165100</xdr:rowOff>
        </xdr:to>
        <xdr:sp macro="" textlink="">
          <xdr:nvSpPr>
            <xdr:cNvPr id="1352" name="Button 328" hidden="1">
              <a:extLst>
                <a:ext uri="{63B3BB69-23CF-44E3-9099-C40C66FF867C}">
                  <a14:compatExt spid="_x0000_s1352"/>
                </a:ext>
                <a:ext uri="{FF2B5EF4-FFF2-40B4-BE49-F238E27FC236}">
                  <a16:creationId xmlns:a16="http://schemas.microsoft.com/office/drawing/2014/main" id="{00000000-0008-0000-0100-00004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3387</xdr:row>
          <xdr:rowOff>0</xdr:rowOff>
        </xdr:from>
        <xdr:to>
          <xdr:col>7</xdr:col>
          <xdr:colOff>0</xdr:colOff>
          <xdr:row>3387</xdr:row>
          <xdr:rowOff>165100</xdr:rowOff>
        </xdr:to>
        <xdr:sp macro="" textlink="">
          <xdr:nvSpPr>
            <xdr:cNvPr id="1351" name="Button 327" hidden="1">
              <a:extLst>
                <a:ext uri="{63B3BB69-23CF-44E3-9099-C40C66FF867C}">
                  <a14:compatExt spid="_x0000_s1351"/>
                </a:ext>
                <a:ext uri="{FF2B5EF4-FFF2-40B4-BE49-F238E27FC236}">
                  <a16:creationId xmlns:a16="http://schemas.microsoft.com/office/drawing/2014/main" id="{00000000-0008-0000-0100-00004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3388</xdr:row>
          <xdr:rowOff>0</xdr:rowOff>
        </xdr:from>
        <xdr:to>
          <xdr:col>7</xdr:col>
          <xdr:colOff>0</xdr:colOff>
          <xdr:row>3388</xdr:row>
          <xdr:rowOff>165100</xdr:rowOff>
        </xdr:to>
        <xdr:sp macro="" textlink="">
          <xdr:nvSpPr>
            <xdr:cNvPr id="1350" name="Button 326" hidden="1">
              <a:extLst>
                <a:ext uri="{63B3BB69-23CF-44E3-9099-C40C66FF867C}">
                  <a14:compatExt spid="_x0000_s1350"/>
                </a:ext>
                <a:ext uri="{FF2B5EF4-FFF2-40B4-BE49-F238E27FC236}">
                  <a16:creationId xmlns:a16="http://schemas.microsoft.com/office/drawing/2014/main" id="{00000000-0008-0000-0100-00004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3389</xdr:row>
          <xdr:rowOff>0</xdr:rowOff>
        </xdr:from>
        <xdr:to>
          <xdr:col>7</xdr:col>
          <xdr:colOff>0</xdr:colOff>
          <xdr:row>3389</xdr:row>
          <xdr:rowOff>165100</xdr:rowOff>
        </xdr:to>
        <xdr:sp macro="" textlink="">
          <xdr:nvSpPr>
            <xdr:cNvPr id="1349" name="Button 325" hidden="1">
              <a:extLst>
                <a:ext uri="{63B3BB69-23CF-44E3-9099-C40C66FF867C}">
                  <a14:compatExt spid="_x0000_s1349"/>
                </a:ext>
                <a:ext uri="{FF2B5EF4-FFF2-40B4-BE49-F238E27FC236}">
                  <a16:creationId xmlns:a16="http://schemas.microsoft.com/office/drawing/2014/main" id="{00000000-0008-0000-0100-00004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3390</xdr:row>
          <xdr:rowOff>0</xdr:rowOff>
        </xdr:from>
        <xdr:to>
          <xdr:col>7</xdr:col>
          <xdr:colOff>0</xdr:colOff>
          <xdr:row>3390</xdr:row>
          <xdr:rowOff>165100</xdr:rowOff>
        </xdr:to>
        <xdr:sp macro="" textlink="">
          <xdr:nvSpPr>
            <xdr:cNvPr id="1348" name="Button 324" hidden="1">
              <a:extLst>
                <a:ext uri="{63B3BB69-23CF-44E3-9099-C40C66FF867C}">
                  <a14:compatExt spid="_x0000_s1348"/>
                </a:ext>
                <a:ext uri="{FF2B5EF4-FFF2-40B4-BE49-F238E27FC236}">
                  <a16:creationId xmlns:a16="http://schemas.microsoft.com/office/drawing/2014/main" id="{00000000-0008-0000-0100-00004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3391</xdr:row>
          <xdr:rowOff>0</xdr:rowOff>
        </xdr:from>
        <xdr:to>
          <xdr:col>7</xdr:col>
          <xdr:colOff>0</xdr:colOff>
          <xdr:row>3391</xdr:row>
          <xdr:rowOff>165100</xdr:rowOff>
        </xdr:to>
        <xdr:sp macro="" textlink="">
          <xdr:nvSpPr>
            <xdr:cNvPr id="1347" name="Button 323" hidden="1">
              <a:extLst>
                <a:ext uri="{63B3BB69-23CF-44E3-9099-C40C66FF867C}">
                  <a14:compatExt spid="_x0000_s1347"/>
                </a:ext>
                <a:ext uri="{FF2B5EF4-FFF2-40B4-BE49-F238E27FC236}">
                  <a16:creationId xmlns:a16="http://schemas.microsoft.com/office/drawing/2014/main" id="{00000000-0008-0000-0100-00004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3394</xdr:row>
          <xdr:rowOff>0</xdr:rowOff>
        </xdr:from>
        <xdr:to>
          <xdr:col>7</xdr:col>
          <xdr:colOff>0</xdr:colOff>
          <xdr:row>3395</xdr:row>
          <xdr:rowOff>0</xdr:rowOff>
        </xdr:to>
        <xdr:sp macro="" textlink="">
          <xdr:nvSpPr>
            <xdr:cNvPr id="1346" name="Button 322" hidden="1">
              <a:extLst>
                <a:ext uri="{63B3BB69-23CF-44E3-9099-C40C66FF867C}">
                  <a14:compatExt spid="_x0000_s1346"/>
                </a:ext>
                <a:ext uri="{FF2B5EF4-FFF2-40B4-BE49-F238E27FC236}">
                  <a16:creationId xmlns:a16="http://schemas.microsoft.com/office/drawing/2014/main" id="{00000000-0008-0000-0100-00004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3401</xdr:row>
          <xdr:rowOff>0</xdr:rowOff>
        </xdr:from>
        <xdr:to>
          <xdr:col>7</xdr:col>
          <xdr:colOff>0</xdr:colOff>
          <xdr:row>3401</xdr:row>
          <xdr:rowOff>171450</xdr:rowOff>
        </xdr:to>
        <xdr:sp macro="" textlink="">
          <xdr:nvSpPr>
            <xdr:cNvPr id="1345" name="Button 321" hidden="1">
              <a:extLst>
                <a:ext uri="{63B3BB69-23CF-44E3-9099-C40C66FF867C}">
                  <a14:compatExt spid="_x0000_s1345"/>
                </a:ext>
                <a:ext uri="{FF2B5EF4-FFF2-40B4-BE49-F238E27FC236}">
                  <a16:creationId xmlns:a16="http://schemas.microsoft.com/office/drawing/2014/main" id="{00000000-0008-0000-0100-00004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3402</xdr:row>
          <xdr:rowOff>0</xdr:rowOff>
        </xdr:from>
        <xdr:to>
          <xdr:col>7</xdr:col>
          <xdr:colOff>0</xdr:colOff>
          <xdr:row>3402</xdr:row>
          <xdr:rowOff>165100</xdr:rowOff>
        </xdr:to>
        <xdr:sp macro="" textlink="">
          <xdr:nvSpPr>
            <xdr:cNvPr id="1344" name="Button 320" hidden="1">
              <a:extLst>
                <a:ext uri="{63B3BB69-23CF-44E3-9099-C40C66FF867C}">
                  <a14:compatExt spid="_x0000_s1344"/>
                </a:ext>
                <a:ext uri="{FF2B5EF4-FFF2-40B4-BE49-F238E27FC236}">
                  <a16:creationId xmlns:a16="http://schemas.microsoft.com/office/drawing/2014/main" id="{00000000-0008-0000-0100-00004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3405</xdr:row>
          <xdr:rowOff>0</xdr:rowOff>
        </xdr:from>
        <xdr:to>
          <xdr:col>7</xdr:col>
          <xdr:colOff>0</xdr:colOff>
          <xdr:row>3406</xdr:row>
          <xdr:rowOff>0</xdr:rowOff>
        </xdr:to>
        <xdr:sp macro="" textlink="">
          <xdr:nvSpPr>
            <xdr:cNvPr id="1343" name="Button 319" hidden="1">
              <a:extLst>
                <a:ext uri="{63B3BB69-23CF-44E3-9099-C40C66FF867C}">
                  <a14:compatExt spid="_x0000_s1343"/>
                </a:ext>
                <a:ext uri="{FF2B5EF4-FFF2-40B4-BE49-F238E27FC236}">
                  <a16:creationId xmlns:a16="http://schemas.microsoft.com/office/drawing/2014/main" id="{00000000-0008-0000-0100-00003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3412</xdr:row>
          <xdr:rowOff>0</xdr:rowOff>
        </xdr:from>
        <xdr:to>
          <xdr:col>7</xdr:col>
          <xdr:colOff>0</xdr:colOff>
          <xdr:row>3412</xdr:row>
          <xdr:rowOff>171450</xdr:rowOff>
        </xdr:to>
        <xdr:sp macro="" textlink="">
          <xdr:nvSpPr>
            <xdr:cNvPr id="1342" name="Button 318" hidden="1">
              <a:extLst>
                <a:ext uri="{63B3BB69-23CF-44E3-9099-C40C66FF867C}">
                  <a14:compatExt spid="_x0000_s1342"/>
                </a:ext>
                <a:ext uri="{FF2B5EF4-FFF2-40B4-BE49-F238E27FC236}">
                  <a16:creationId xmlns:a16="http://schemas.microsoft.com/office/drawing/2014/main" id="{00000000-0008-0000-0100-00003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3413</xdr:row>
          <xdr:rowOff>0</xdr:rowOff>
        </xdr:from>
        <xdr:to>
          <xdr:col>7</xdr:col>
          <xdr:colOff>0</xdr:colOff>
          <xdr:row>3413</xdr:row>
          <xdr:rowOff>165100</xdr:rowOff>
        </xdr:to>
        <xdr:sp macro="" textlink="">
          <xdr:nvSpPr>
            <xdr:cNvPr id="1341" name="Button 317" hidden="1">
              <a:extLst>
                <a:ext uri="{63B3BB69-23CF-44E3-9099-C40C66FF867C}">
                  <a14:compatExt spid="_x0000_s1341"/>
                </a:ext>
                <a:ext uri="{FF2B5EF4-FFF2-40B4-BE49-F238E27FC236}">
                  <a16:creationId xmlns:a16="http://schemas.microsoft.com/office/drawing/2014/main" id="{00000000-0008-0000-0100-00003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3416</xdr:row>
          <xdr:rowOff>0</xdr:rowOff>
        </xdr:from>
        <xdr:to>
          <xdr:col>7</xdr:col>
          <xdr:colOff>0</xdr:colOff>
          <xdr:row>3417</xdr:row>
          <xdr:rowOff>0</xdr:rowOff>
        </xdr:to>
        <xdr:sp macro="" textlink="">
          <xdr:nvSpPr>
            <xdr:cNvPr id="1340" name="Button 316" hidden="1">
              <a:extLst>
                <a:ext uri="{63B3BB69-23CF-44E3-9099-C40C66FF867C}">
                  <a14:compatExt spid="_x0000_s1340"/>
                </a:ext>
                <a:ext uri="{FF2B5EF4-FFF2-40B4-BE49-F238E27FC236}">
                  <a16:creationId xmlns:a16="http://schemas.microsoft.com/office/drawing/2014/main" id="{00000000-0008-0000-0100-00003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3423</xdr:row>
          <xdr:rowOff>0</xdr:rowOff>
        </xdr:from>
        <xdr:to>
          <xdr:col>7</xdr:col>
          <xdr:colOff>0</xdr:colOff>
          <xdr:row>3423</xdr:row>
          <xdr:rowOff>171450</xdr:rowOff>
        </xdr:to>
        <xdr:sp macro="" textlink="">
          <xdr:nvSpPr>
            <xdr:cNvPr id="1339" name="Button 315" hidden="1">
              <a:extLst>
                <a:ext uri="{63B3BB69-23CF-44E3-9099-C40C66FF867C}">
                  <a14:compatExt spid="_x0000_s1339"/>
                </a:ext>
                <a:ext uri="{FF2B5EF4-FFF2-40B4-BE49-F238E27FC236}">
                  <a16:creationId xmlns:a16="http://schemas.microsoft.com/office/drawing/2014/main" id="{00000000-0008-0000-0100-00003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3424</xdr:row>
          <xdr:rowOff>0</xdr:rowOff>
        </xdr:from>
        <xdr:to>
          <xdr:col>7</xdr:col>
          <xdr:colOff>0</xdr:colOff>
          <xdr:row>3424</xdr:row>
          <xdr:rowOff>165100</xdr:rowOff>
        </xdr:to>
        <xdr:sp macro="" textlink="">
          <xdr:nvSpPr>
            <xdr:cNvPr id="1338" name="Button 314" hidden="1">
              <a:extLst>
                <a:ext uri="{63B3BB69-23CF-44E3-9099-C40C66FF867C}">
                  <a14:compatExt spid="_x0000_s1338"/>
                </a:ext>
                <a:ext uri="{FF2B5EF4-FFF2-40B4-BE49-F238E27FC236}">
                  <a16:creationId xmlns:a16="http://schemas.microsoft.com/office/drawing/2014/main" id="{00000000-0008-0000-0100-00003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3427</xdr:row>
          <xdr:rowOff>0</xdr:rowOff>
        </xdr:from>
        <xdr:to>
          <xdr:col>7</xdr:col>
          <xdr:colOff>0</xdr:colOff>
          <xdr:row>3428</xdr:row>
          <xdr:rowOff>0</xdr:rowOff>
        </xdr:to>
        <xdr:sp macro="" textlink="">
          <xdr:nvSpPr>
            <xdr:cNvPr id="1337" name="Button 313" hidden="1">
              <a:extLst>
                <a:ext uri="{63B3BB69-23CF-44E3-9099-C40C66FF867C}">
                  <a14:compatExt spid="_x0000_s1337"/>
                </a:ext>
                <a:ext uri="{FF2B5EF4-FFF2-40B4-BE49-F238E27FC236}">
                  <a16:creationId xmlns:a16="http://schemas.microsoft.com/office/drawing/2014/main" id="{00000000-0008-0000-0100-00003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3434</xdr:row>
          <xdr:rowOff>0</xdr:rowOff>
        </xdr:from>
        <xdr:to>
          <xdr:col>7</xdr:col>
          <xdr:colOff>0</xdr:colOff>
          <xdr:row>3434</xdr:row>
          <xdr:rowOff>171450</xdr:rowOff>
        </xdr:to>
        <xdr:sp macro="" textlink="">
          <xdr:nvSpPr>
            <xdr:cNvPr id="1336" name="Button 312" hidden="1">
              <a:extLst>
                <a:ext uri="{63B3BB69-23CF-44E3-9099-C40C66FF867C}">
                  <a14:compatExt spid="_x0000_s1336"/>
                </a:ext>
                <a:ext uri="{FF2B5EF4-FFF2-40B4-BE49-F238E27FC236}">
                  <a16:creationId xmlns:a16="http://schemas.microsoft.com/office/drawing/2014/main" id="{00000000-0008-0000-0100-00003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3435</xdr:row>
          <xdr:rowOff>0</xdr:rowOff>
        </xdr:from>
        <xdr:to>
          <xdr:col>7</xdr:col>
          <xdr:colOff>0</xdr:colOff>
          <xdr:row>3435</xdr:row>
          <xdr:rowOff>165100</xdr:rowOff>
        </xdr:to>
        <xdr:sp macro="" textlink="">
          <xdr:nvSpPr>
            <xdr:cNvPr id="1335" name="Button 311" hidden="1">
              <a:extLst>
                <a:ext uri="{63B3BB69-23CF-44E3-9099-C40C66FF867C}">
                  <a14:compatExt spid="_x0000_s1335"/>
                </a:ext>
                <a:ext uri="{FF2B5EF4-FFF2-40B4-BE49-F238E27FC236}">
                  <a16:creationId xmlns:a16="http://schemas.microsoft.com/office/drawing/2014/main" id="{00000000-0008-0000-0100-00003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3438</xdr:row>
          <xdr:rowOff>0</xdr:rowOff>
        </xdr:from>
        <xdr:to>
          <xdr:col>7</xdr:col>
          <xdr:colOff>0</xdr:colOff>
          <xdr:row>3439</xdr:row>
          <xdr:rowOff>0</xdr:rowOff>
        </xdr:to>
        <xdr:sp macro="" textlink="">
          <xdr:nvSpPr>
            <xdr:cNvPr id="1334" name="Button 310" hidden="1">
              <a:extLst>
                <a:ext uri="{63B3BB69-23CF-44E3-9099-C40C66FF867C}">
                  <a14:compatExt spid="_x0000_s1334"/>
                </a:ext>
                <a:ext uri="{FF2B5EF4-FFF2-40B4-BE49-F238E27FC236}">
                  <a16:creationId xmlns:a16="http://schemas.microsoft.com/office/drawing/2014/main" id="{00000000-0008-0000-0100-00003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3445</xdr:row>
          <xdr:rowOff>0</xdr:rowOff>
        </xdr:from>
        <xdr:to>
          <xdr:col>7</xdr:col>
          <xdr:colOff>0</xdr:colOff>
          <xdr:row>3445</xdr:row>
          <xdr:rowOff>171450</xdr:rowOff>
        </xdr:to>
        <xdr:sp macro="" textlink="">
          <xdr:nvSpPr>
            <xdr:cNvPr id="1333" name="Button 309" hidden="1">
              <a:extLst>
                <a:ext uri="{63B3BB69-23CF-44E3-9099-C40C66FF867C}">
                  <a14:compatExt spid="_x0000_s1333"/>
                </a:ext>
                <a:ext uri="{FF2B5EF4-FFF2-40B4-BE49-F238E27FC236}">
                  <a16:creationId xmlns:a16="http://schemas.microsoft.com/office/drawing/2014/main" id="{00000000-0008-0000-0100-00003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3446</xdr:row>
          <xdr:rowOff>0</xdr:rowOff>
        </xdr:from>
        <xdr:to>
          <xdr:col>7</xdr:col>
          <xdr:colOff>0</xdr:colOff>
          <xdr:row>3446</xdr:row>
          <xdr:rowOff>165100</xdr:rowOff>
        </xdr:to>
        <xdr:sp macro="" textlink="">
          <xdr:nvSpPr>
            <xdr:cNvPr id="1332" name="Button 308" hidden="1">
              <a:extLst>
                <a:ext uri="{63B3BB69-23CF-44E3-9099-C40C66FF867C}">
                  <a14:compatExt spid="_x0000_s1332"/>
                </a:ext>
                <a:ext uri="{FF2B5EF4-FFF2-40B4-BE49-F238E27FC236}">
                  <a16:creationId xmlns:a16="http://schemas.microsoft.com/office/drawing/2014/main" id="{00000000-0008-0000-0100-00003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3449</xdr:row>
          <xdr:rowOff>0</xdr:rowOff>
        </xdr:from>
        <xdr:to>
          <xdr:col>7</xdr:col>
          <xdr:colOff>0</xdr:colOff>
          <xdr:row>3450</xdr:row>
          <xdr:rowOff>0</xdr:rowOff>
        </xdr:to>
        <xdr:sp macro="" textlink="">
          <xdr:nvSpPr>
            <xdr:cNvPr id="1331" name="Button 307" hidden="1">
              <a:extLst>
                <a:ext uri="{63B3BB69-23CF-44E3-9099-C40C66FF867C}">
                  <a14:compatExt spid="_x0000_s1331"/>
                </a:ext>
                <a:ext uri="{FF2B5EF4-FFF2-40B4-BE49-F238E27FC236}">
                  <a16:creationId xmlns:a16="http://schemas.microsoft.com/office/drawing/2014/main" id="{00000000-0008-0000-0100-00003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3456</xdr:row>
          <xdr:rowOff>0</xdr:rowOff>
        </xdr:from>
        <xdr:to>
          <xdr:col>7</xdr:col>
          <xdr:colOff>0</xdr:colOff>
          <xdr:row>3456</xdr:row>
          <xdr:rowOff>171450</xdr:rowOff>
        </xdr:to>
        <xdr:sp macro="" textlink="">
          <xdr:nvSpPr>
            <xdr:cNvPr id="1330" name="Button 306" hidden="1">
              <a:extLst>
                <a:ext uri="{63B3BB69-23CF-44E3-9099-C40C66FF867C}">
                  <a14:compatExt spid="_x0000_s1330"/>
                </a:ext>
                <a:ext uri="{FF2B5EF4-FFF2-40B4-BE49-F238E27FC236}">
                  <a16:creationId xmlns:a16="http://schemas.microsoft.com/office/drawing/2014/main" id="{00000000-0008-0000-0100-00003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3457</xdr:row>
          <xdr:rowOff>0</xdr:rowOff>
        </xdr:from>
        <xdr:to>
          <xdr:col>7</xdr:col>
          <xdr:colOff>0</xdr:colOff>
          <xdr:row>3457</xdr:row>
          <xdr:rowOff>165100</xdr:rowOff>
        </xdr:to>
        <xdr:sp macro="" textlink="">
          <xdr:nvSpPr>
            <xdr:cNvPr id="1329" name="Button 305" hidden="1">
              <a:extLst>
                <a:ext uri="{63B3BB69-23CF-44E3-9099-C40C66FF867C}">
                  <a14:compatExt spid="_x0000_s1329"/>
                </a:ext>
                <a:ext uri="{FF2B5EF4-FFF2-40B4-BE49-F238E27FC236}">
                  <a16:creationId xmlns:a16="http://schemas.microsoft.com/office/drawing/2014/main" id="{00000000-0008-0000-0100-00003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3460</xdr:row>
          <xdr:rowOff>0</xdr:rowOff>
        </xdr:from>
        <xdr:to>
          <xdr:col>7</xdr:col>
          <xdr:colOff>0</xdr:colOff>
          <xdr:row>3461</xdr:row>
          <xdr:rowOff>0</xdr:rowOff>
        </xdr:to>
        <xdr:sp macro="" textlink="">
          <xdr:nvSpPr>
            <xdr:cNvPr id="1328" name="Button 304" hidden="1">
              <a:extLst>
                <a:ext uri="{63B3BB69-23CF-44E3-9099-C40C66FF867C}">
                  <a14:compatExt spid="_x0000_s1328"/>
                </a:ext>
                <a:ext uri="{FF2B5EF4-FFF2-40B4-BE49-F238E27FC236}">
                  <a16:creationId xmlns:a16="http://schemas.microsoft.com/office/drawing/2014/main" id="{00000000-0008-0000-0100-00003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3467</xdr:row>
          <xdr:rowOff>0</xdr:rowOff>
        </xdr:from>
        <xdr:to>
          <xdr:col>7</xdr:col>
          <xdr:colOff>0</xdr:colOff>
          <xdr:row>3467</xdr:row>
          <xdr:rowOff>171450</xdr:rowOff>
        </xdr:to>
        <xdr:sp macro="" textlink="">
          <xdr:nvSpPr>
            <xdr:cNvPr id="1327" name="Button 303" hidden="1">
              <a:extLst>
                <a:ext uri="{63B3BB69-23CF-44E3-9099-C40C66FF867C}">
                  <a14:compatExt spid="_x0000_s1327"/>
                </a:ext>
                <a:ext uri="{FF2B5EF4-FFF2-40B4-BE49-F238E27FC236}">
                  <a16:creationId xmlns:a16="http://schemas.microsoft.com/office/drawing/2014/main" id="{00000000-0008-0000-0100-00002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3468</xdr:row>
          <xdr:rowOff>0</xdr:rowOff>
        </xdr:from>
        <xdr:to>
          <xdr:col>7</xdr:col>
          <xdr:colOff>0</xdr:colOff>
          <xdr:row>3468</xdr:row>
          <xdr:rowOff>165100</xdr:rowOff>
        </xdr:to>
        <xdr:sp macro="" textlink="">
          <xdr:nvSpPr>
            <xdr:cNvPr id="1326" name="Button 302" hidden="1">
              <a:extLst>
                <a:ext uri="{63B3BB69-23CF-44E3-9099-C40C66FF867C}">
                  <a14:compatExt spid="_x0000_s1326"/>
                </a:ext>
                <a:ext uri="{FF2B5EF4-FFF2-40B4-BE49-F238E27FC236}">
                  <a16:creationId xmlns:a16="http://schemas.microsoft.com/office/drawing/2014/main" id="{00000000-0008-0000-0100-00002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3471</xdr:row>
          <xdr:rowOff>0</xdr:rowOff>
        </xdr:from>
        <xdr:to>
          <xdr:col>7</xdr:col>
          <xdr:colOff>0</xdr:colOff>
          <xdr:row>3472</xdr:row>
          <xdr:rowOff>0</xdr:rowOff>
        </xdr:to>
        <xdr:sp macro="" textlink="">
          <xdr:nvSpPr>
            <xdr:cNvPr id="1325" name="Button 301" hidden="1">
              <a:extLst>
                <a:ext uri="{63B3BB69-23CF-44E3-9099-C40C66FF867C}">
                  <a14:compatExt spid="_x0000_s1325"/>
                </a:ext>
                <a:ext uri="{FF2B5EF4-FFF2-40B4-BE49-F238E27FC236}">
                  <a16:creationId xmlns:a16="http://schemas.microsoft.com/office/drawing/2014/main" id="{00000000-0008-0000-0100-00002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3478</xdr:row>
          <xdr:rowOff>0</xdr:rowOff>
        </xdr:from>
        <xdr:to>
          <xdr:col>7</xdr:col>
          <xdr:colOff>0</xdr:colOff>
          <xdr:row>3478</xdr:row>
          <xdr:rowOff>171450</xdr:rowOff>
        </xdr:to>
        <xdr:sp macro="" textlink="">
          <xdr:nvSpPr>
            <xdr:cNvPr id="1324" name="Button 300" hidden="1">
              <a:extLst>
                <a:ext uri="{63B3BB69-23CF-44E3-9099-C40C66FF867C}">
                  <a14:compatExt spid="_x0000_s1324"/>
                </a:ext>
                <a:ext uri="{FF2B5EF4-FFF2-40B4-BE49-F238E27FC236}">
                  <a16:creationId xmlns:a16="http://schemas.microsoft.com/office/drawing/2014/main" id="{00000000-0008-0000-0100-00002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3479</xdr:row>
          <xdr:rowOff>0</xdr:rowOff>
        </xdr:from>
        <xdr:to>
          <xdr:col>7</xdr:col>
          <xdr:colOff>0</xdr:colOff>
          <xdr:row>3479</xdr:row>
          <xdr:rowOff>165100</xdr:rowOff>
        </xdr:to>
        <xdr:sp macro="" textlink="">
          <xdr:nvSpPr>
            <xdr:cNvPr id="1323" name="Button 299" hidden="1">
              <a:extLst>
                <a:ext uri="{63B3BB69-23CF-44E3-9099-C40C66FF867C}">
                  <a14:compatExt spid="_x0000_s1323"/>
                </a:ext>
                <a:ext uri="{FF2B5EF4-FFF2-40B4-BE49-F238E27FC236}">
                  <a16:creationId xmlns:a16="http://schemas.microsoft.com/office/drawing/2014/main" id="{00000000-0008-0000-0100-00002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3480</xdr:row>
          <xdr:rowOff>0</xdr:rowOff>
        </xdr:from>
        <xdr:to>
          <xdr:col>7</xdr:col>
          <xdr:colOff>0</xdr:colOff>
          <xdr:row>3480</xdr:row>
          <xdr:rowOff>165100</xdr:rowOff>
        </xdr:to>
        <xdr:sp macro="" textlink="">
          <xdr:nvSpPr>
            <xdr:cNvPr id="1322" name="Button 298" hidden="1">
              <a:extLst>
                <a:ext uri="{63B3BB69-23CF-44E3-9099-C40C66FF867C}">
                  <a14:compatExt spid="_x0000_s1322"/>
                </a:ext>
                <a:ext uri="{FF2B5EF4-FFF2-40B4-BE49-F238E27FC236}">
                  <a16:creationId xmlns:a16="http://schemas.microsoft.com/office/drawing/2014/main" id="{00000000-0008-0000-0100-00002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3483</xdr:row>
          <xdr:rowOff>0</xdr:rowOff>
        </xdr:from>
        <xdr:to>
          <xdr:col>7</xdr:col>
          <xdr:colOff>0</xdr:colOff>
          <xdr:row>3484</xdr:row>
          <xdr:rowOff>0</xdr:rowOff>
        </xdr:to>
        <xdr:sp macro="" textlink="">
          <xdr:nvSpPr>
            <xdr:cNvPr id="1321" name="Button 297" hidden="1">
              <a:extLst>
                <a:ext uri="{63B3BB69-23CF-44E3-9099-C40C66FF867C}">
                  <a14:compatExt spid="_x0000_s1321"/>
                </a:ext>
                <a:ext uri="{FF2B5EF4-FFF2-40B4-BE49-F238E27FC236}">
                  <a16:creationId xmlns:a16="http://schemas.microsoft.com/office/drawing/2014/main" id="{00000000-0008-0000-0100-00002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3490</xdr:row>
          <xdr:rowOff>0</xdr:rowOff>
        </xdr:from>
        <xdr:to>
          <xdr:col>7</xdr:col>
          <xdr:colOff>0</xdr:colOff>
          <xdr:row>3490</xdr:row>
          <xdr:rowOff>171450</xdr:rowOff>
        </xdr:to>
        <xdr:sp macro="" textlink="">
          <xdr:nvSpPr>
            <xdr:cNvPr id="1320" name="Button 296" hidden="1">
              <a:extLst>
                <a:ext uri="{63B3BB69-23CF-44E3-9099-C40C66FF867C}">
                  <a14:compatExt spid="_x0000_s1320"/>
                </a:ext>
                <a:ext uri="{FF2B5EF4-FFF2-40B4-BE49-F238E27FC236}">
                  <a16:creationId xmlns:a16="http://schemas.microsoft.com/office/drawing/2014/main" id="{00000000-0008-0000-0100-00002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3491</xdr:row>
          <xdr:rowOff>0</xdr:rowOff>
        </xdr:from>
        <xdr:to>
          <xdr:col>7</xdr:col>
          <xdr:colOff>0</xdr:colOff>
          <xdr:row>3491</xdr:row>
          <xdr:rowOff>165100</xdr:rowOff>
        </xdr:to>
        <xdr:sp macro="" textlink="">
          <xdr:nvSpPr>
            <xdr:cNvPr id="1319" name="Button 295" hidden="1">
              <a:extLst>
                <a:ext uri="{63B3BB69-23CF-44E3-9099-C40C66FF867C}">
                  <a14:compatExt spid="_x0000_s1319"/>
                </a:ext>
                <a:ext uri="{FF2B5EF4-FFF2-40B4-BE49-F238E27FC236}">
                  <a16:creationId xmlns:a16="http://schemas.microsoft.com/office/drawing/2014/main" id="{00000000-0008-0000-0100-00002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3492</xdr:row>
          <xdr:rowOff>0</xdr:rowOff>
        </xdr:from>
        <xdr:to>
          <xdr:col>7</xdr:col>
          <xdr:colOff>0</xdr:colOff>
          <xdr:row>3492</xdr:row>
          <xdr:rowOff>165100</xdr:rowOff>
        </xdr:to>
        <xdr:sp macro="" textlink="">
          <xdr:nvSpPr>
            <xdr:cNvPr id="1318" name="Button 294" hidden="1">
              <a:extLst>
                <a:ext uri="{63B3BB69-23CF-44E3-9099-C40C66FF867C}">
                  <a14:compatExt spid="_x0000_s1318"/>
                </a:ext>
                <a:ext uri="{FF2B5EF4-FFF2-40B4-BE49-F238E27FC236}">
                  <a16:creationId xmlns:a16="http://schemas.microsoft.com/office/drawing/2014/main" id="{00000000-0008-0000-0100-00002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3493</xdr:row>
          <xdr:rowOff>0</xdr:rowOff>
        </xdr:from>
        <xdr:to>
          <xdr:col>7</xdr:col>
          <xdr:colOff>0</xdr:colOff>
          <xdr:row>3493</xdr:row>
          <xdr:rowOff>165100</xdr:rowOff>
        </xdr:to>
        <xdr:sp macro="" textlink="">
          <xdr:nvSpPr>
            <xdr:cNvPr id="1317" name="Button 293" hidden="1">
              <a:extLst>
                <a:ext uri="{63B3BB69-23CF-44E3-9099-C40C66FF867C}">
                  <a14:compatExt spid="_x0000_s1317"/>
                </a:ext>
                <a:ext uri="{FF2B5EF4-FFF2-40B4-BE49-F238E27FC236}">
                  <a16:creationId xmlns:a16="http://schemas.microsoft.com/office/drawing/2014/main" id="{00000000-0008-0000-0100-00002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3494</xdr:row>
          <xdr:rowOff>0</xdr:rowOff>
        </xdr:from>
        <xdr:to>
          <xdr:col>7</xdr:col>
          <xdr:colOff>0</xdr:colOff>
          <xdr:row>3494</xdr:row>
          <xdr:rowOff>165100</xdr:rowOff>
        </xdr:to>
        <xdr:sp macro="" textlink="">
          <xdr:nvSpPr>
            <xdr:cNvPr id="1316" name="Button 292" hidden="1">
              <a:extLst>
                <a:ext uri="{63B3BB69-23CF-44E3-9099-C40C66FF867C}">
                  <a14:compatExt spid="_x0000_s1316"/>
                </a:ext>
                <a:ext uri="{FF2B5EF4-FFF2-40B4-BE49-F238E27FC236}">
                  <a16:creationId xmlns:a16="http://schemas.microsoft.com/office/drawing/2014/main" id="{00000000-0008-0000-0100-00002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3495</xdr:row>
          <xdr:rowOff>0</xdr:rowOff>
        </xdr:from>
        <xdr:to>
          <xdr:col>7</xdr:col>
          <xdr:colOff>0</xdr:colOff>
          <xdr:row>3495</xdr:row>
          <xdr:rowOff>165100</xdr:rowOff>
        </xdr:to>
        <xdr:sp macro="" textlink="">
          <xdr:nvSpPr>
            <xdr:cNvPr id="1315" name="Button 291" hidden="1">
              <a:extLst>
                <a:ext uri="{63B3BB69-23CF-44E3-9099-C40C66FF867C}">
                  <a14:compatExt spid="_x0000_s1315"/>
                </a:ext>
                <a:ext uri="{FF2B5EF4-FFF2-40B4-BE49-F238E27FC236}">
                  <a16:creationId xmlns:a16="http://schemas.microsoft.com/office/drawing/2014/main" id="{00000000-0008-0000-0100-00002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3498</xdr:row>
          <xdr:rowOff>0</xdr:rowOff>
        </xdr:from>
        <xdr:to>
          <xdr:col>7</xdr:col>
          <xdr:colOff>0</xdr:colOff>
          <xdr:row>3499</xdr:row>
          <xdr:rowOff>0</xdr:rowOff>
        </xdr:to>
        <xdr:sp macro="" textlink="">
          <xdr:nvSpPr>
            <xdr:cNvPr id="1314" name="Button 290" hidden="1">
              <a:extLst>
                <a:ext uri="{63B3BB69-23CF-44E3-9099-C40C66FF867C}">
                  <a14:compatExt spid="_x0000_s1314"/>
                </a:ext>
                <a:ext uri="{FF2B5EF4-FFF2-40B4-BE49-F238E27FC236}">
                  <a16:creationId xmlns:a16="http://schemas.microsoft.com/office/drawing/2014/main" id="{00000000-0008-0000-0100-00002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3505</xdr:row>
          <xdr:rowOff>0</xdr:rowOff>
        </xdr:from>
        <xdr:to>
          <xdr:col>7</xdr:col>
          <xdr:colOff>0</xdr:colOff>
          <xdr:row>3505</xdr:row>
          <xdr:rowOff>171450</xdr:rowOff>
        </xdr:to>
        <xdr:sp macro="" textlink="">
          <xdr:nvSpPr>
            <xdr:cNvPr id="1313" name="Button 289" hidden="1">
              <a:extLst>
                <a:ext uri="{63B3BB69-23CF-44E3-9099-C40C66FF867C}">
                  <a14:compatExt spid="_x0000_s1313"/>
                </a:ext>
                <a:ext uri="{FF2B5EF4-FFF2-40B4-BE49-F238E27FC236}">
                  <a16:creationId xmlns:a16="http://schemas.microsoft.com/office/drawing/2014/main" id="{00000000-0008-0000-0100-00002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3506</xdr:row>
          <xdr:rowOff>0</xdr:rowOff>
        </xdr:from>
        <xdr:to>
          <xdr:col>7</xdr:col>
          <xdr:colOff>0</xdr:colOff>
          <xdr:row>3506</xdr:row>
          <xdr:rowOff>165100</xdr:rowOff>
        </xdr:to>
        <xdr:sp macro="" textlink="">
          <xdr:nvSpPr>
            <xdr:cNvPr id="1312" name="Button 288" hidden="1">
              <a:extLst>
                <a:ext uri="{63B3BB69-23CF-44E3-9099-C40C66FF867C}">
                  <a14:compatExt spid="_x0000_s1312"/>
                </a:ext>
                <a:ext uri="{FF2B5EF4-FFF2-40B4-BE49-F238E27FC236}">
                  <a16:creationId xmlns:a16="http://schemas.microsoft.com/office/drawing/2014/main" id="{00000000-0008-0000-0100-00002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3509</xdr:row>
          <xdr:rowOff>0</xdr:rowOff>
        </xdr:from>
        <xdr:to>
          <xdr:col>7</xdr:col>
          <xdr:colOff>0</xdr:colOff>
          <xdr:row>3510</xdr:row>
          <xdr:rowOff>0</xdr:rowOff>
        </xdr:to>
        <xdr:sp macro="" textlink="">
          <xdr:nvSpPr>
            <xdr:cNvPr id="1311" name="Button 287" hidden="1">
              <a:extLst>
                <a:ext uri="{63B3BB69-23CF-44E3-9099-C40C66FF867C}">
                  <a14:compatExt spid="_x0000_s1311"/>
                </a:ext>
                <a:ext uri="{FF2B5EF4-FFF2-40B4-BE49-F238E27FC236}">
                  <a16:creationId xmlns:a16="http://schemas.microsoft.com/office/drawing/2014/main" id="{00000000-0008-0000-0100-00001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3516</xdr:row>
          <xdr:rowOff>0</xdr:rowOff>
        </xdr:from>
        <xdr:to>
          <xdr:col>7</xdr:col>
          <xdr:colOff>0</xdr:colOff>
          <xdr:row>3516</xdr:row>
          <xdr:rowOff>171450</xdr:rowOff>
        </xdr:to>
        <xdr:sp macro="" textlink="">
          <xdr:nvSpPr>
            <xdr:cNvPr id="1310" name="Button 286" hidden="1">
              <a:extLst>
                <a:ext uri="{63B3BB69-23CF-44E3-9099-C40C66FF867C}">
                  <a14:compatExt spid="_x0000_s1310"/>
                </a:ext>
                <a:ext uri="{FF2B5EF4-FFF2-40B4-BE49-F238E27FC236}">
                  <a16:creationId xmlns:a16="http://schemas.microsoft.com/office/drawing/2014/main" id="{00000000-0008-0000-0100-00001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3517</xdr:row>
          <xdr:rowOff>0</xdr:rowOff>
        </xdr:from>
        <xdr:to>
          <xdr:col>7</xdr:col>
          <xdr:colOff>0</xdr:colOff>
          <xdr:row>3517</xdr:row>
          <xdr:rowOff>165100</xdr:rowOff>
        </xdr:to>
        <xdr:sp macro="" textlink="">
          <xdr:nvSpPr>
            <xdr:cNvPr id="1309" name="Button 285" hidden="1">
              <a:extLst>
                <a:ext uri="{63B3BB69-23CF-44E3-9099-C40C66FF867C}">
                  <a14:compatExt spid="_x0000_s1309"/>
                </a:ext>
                <a:ext uri="{FF2B5EF4-FFF2-40B4-BE49-F238E27FC236}">
                  <a16:creationId xmlns:a16="http://schemas.microsoft.com/office/drawing/2014/main" id="{00000000-0008-0000-0100-00001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3520</xdr:row>
          <xdr:rowOff>0</xdr:rowOff>
        </xdr:from>
        <xdr:to>
          <xdr:col>7</xdr:col>
          <xdr:colOff>0</xdr:colOff>
          <xdr:row>3521</xdr:row>
          <xdr:rowOff>0</xdr:rowOff>
        </xdr:to>
        <xdr:sp macro="" textlink="">
          <xdr:nvSpPr>
            <xdr:cNvPr id="1308" name="Button 284" hidden="1">
              <a:extLst>
                <a:ext uri="{63B3BB69-23CF-44E3-9099-C40C66FF867C}">
                  <a14:compatExt spid="_x0000_s1308"/>
                </a:ext>
                <a:ext uri="{FF2B5EF4-FFF2-40B4-BE49-F238E27FC236}">
                  <a16:creationId xmlns:a16="http://schemas.microsoft.com/office/drawing/2014/main" id="{00000000-0008-0000-0100-00001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3527</xdr:row>
          <xdr:rowOff>0</xdr:rowOff>
        </xdr:from>
        <xdr:to>
          <xdr:col>7</xdr:col>
          <xdr:colOff>0</xdr:colOff>
          <xdr:row>3527</xdr:row>
          <xdr:rowOff>171450</xdr:rowOff>
        </xdr:to>
        <xdr:sp macro="" textlink="">
          <xdr:nvSpPr>
            <xdr:cNvPr id="1307" name="Button 283" hidden="1">
              <a:extLst>
                <a:ext uri="{63B3BB69-23CF-44E3-9099-C40C66FF867C}">
                  <a14:compatExt spid="_x0000_s1307"/>
                </a:ext>
                <a:ext uri="{FF2B5EF4-FFF2-40B4-BE49-F238E27FC236}">
                  <a16:creationId xmlns:a16="http://schemas.microsoft.com/office/drawing/2014/main" id="{00000000-0008-0000-0100-00001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3528</xdr:row>
          <xdr:rowOff>0</xdr:rowOff>
        </xdr:from>
        <xdr:to>
          <xdr:col>7</xdr:col>
          <xdr:colOff>0</xdr:colOff>
          <xdr:row>3528</xdr:row>
          <xdr:rowOff>165100</xdr:rowOff>
        </xdr:to>
        <xdr:sp macro="" textlink="">
          <xdr:nvSpPr>
            <xdr:cNvPr id="1306" name="Button 282" hidden="1">
              <a:extLst>
                <a:ext uri="{63B3BB69-23CF-44E3-9099-C40C66FF867C}">
                  <a14:compatExt spid="_x0000_s1306"/>
                </a:ext>
                <a:ext uri="{FF2B5EF4-FFF2-40B4-BE49-F238E27FC236}">
                  <a16:creationId xmlns:a16="http://schemas.microsoft.com/office/drawing/2014/main" id="{00000000-0008-0000-0100-00001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3529</xdr:row>
          <xdr:rowOff>0</xdr:rowOff>
        </xdr:from>
        <xdr:to>
          <xdr:col>7</xdr:col>
          <xdr:colOff>0</xdr:colOff>
          <xdr:row>3529</xdr:row>
          <xdr:rowOff>165100</xdr:rowOff>
        </xdr:to>
        <xdr:sp macro="" textlink="">
          <xdr:nvSpPr>
            <xdr:cNvPr id="1305" name="Button 281" hidden="1">
              <a:extLst>
                <a:ext uri="{63B3BB69-23CF-44E3-9099-C40C66FF867C}">
                  <a14:compatExt spid="_x0000_s1305"/>
                </a:ext>
                <a:ext uri="{FF2B5EF4-FFF2-40B4-BE49-F238E27FC236}">
                  <a16:creationId xmlns:a16="http://schemas.microsoft.com/office/drawing/2014/main" id="{00000000-0008-0000-0100-00001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3530</xdr:row>
          <xdr:rowOff>0</xdr:rowOff>
        </xdr:from>
        <xdr:to>
          <xdr:col>7</xdr:col>
          <xdr:colOff>0</xdr:colOff>
          <xdr:row>3530</xdr:row>
          <xdr:rowOff>165100</xdr:rowOff>
        </xdr:to>
        <xdr:sp macro="" textlink="">
          <xdr:nvSpPr>
            <xdr:cNvPr id="1304" name="Button 280" hidden="1">
              <a:extLst>
                <a:ext uri="{63B3BB69-23CF-44E3-9099-C40C66FF867C}">
                  <a14:compatExt spid="_x0000_s1304"/>
                </a:ext>
                <a:ext uri="{FF2B5EF4-FFF2-40B4-BE49-F238E27FC236}">
                  <a16:creationId xmlns:a16="http://schemas.microsoft.com/office/drawing/2014/main" id="{00000000-0008-0000-0100-00001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3533</xdr:row>
          <xdr:rowOff>0</xdr:rowOff>
        </xdr:from>
        <xdr:to>
          <xdr:col>7</xdr:col>
          <xdr:colOff>0</xdr:colOff>
          <xdr:row>3534</xdr:row>
          <xdr:rowOff>0</xdr:rowOff>
        </xdr:to>
        <xdr:sp macro="" textlink="">
          <xdr:nvSpPr>
            <xdr:cNvPr id="1303" name="Button 279" hidden="1">
              <a:extLst>
                <a:ext uri="{63B3BB69-23CF-44E3-9099-C40C66FF867C}">
                  <a14:compatExt spid="_x0000_s1303"/>
                </a:ext>
                <a:ext uri="{FF2B5EF4-FFF2-40B4-BE49-F238E27FC236}">
                  <a16:creationId xmlns:a16="http://schemas.microsoft.com/office/drawing/2014/main" id="{00000000-0008-0000-0100-00001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3540</xdr:row>
          <xdr:rowOff>0</xdr:rowOff>
        </xdr:from>
        <xdr:to>
          <xdr:col>7</xdr:col>
          <xdr:colOff>0</xdr:colOff>
          <xdr:row>3540</xdr:row>
          <xdr:rowOff>171450</xdr:rowOff>
        </xdr:to>
        <xdr:sp macro="" textlink="">
          <xdr:nvSpPr>
            <xdr:cNvPr id="1302" name="Button 278" hidden="1">
              <a:extLst>
                <a:ext uri="{63B3BB69-23CF-44E3-9099-C40C66FF867C}">
                  <a14:compatExt spid="_x0000_s1302"/>
                </a:ext>
                <a:ext uri="{FF2B5EF4-FFF2-40B4-BE49-F238E27FC236}">
                  <a16:creationId xmlns:a16="http://schemas.microsoft.com/office/drawing/2014/main" id="{00000000-0008-0000-0100-00001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3541</xdr:row>
          <xdr:rowOff>0</xdr:rowOff>
        </xdr:from>
        <xdr:to>
          <xdr:col>7</xdr:col>
          <xdr:colOff>0</xdr:colOff>
          <xdr:row>3541</xdr:row>
          <xdr:rowOff>165100</xdr:rowOff>
        </xdr:to>
        <xdr:sp macro="" textlink="">
          <xdr:nvSpPr>
            <xdr:cNvPr id="1301" name="Button 277" hidden="1">
              <a:extLst>
                <a:ext uri="{63B3BB69-23CF-44E3-9099-C40C66FF867C}">
                  <a14:compatExt spid="_x0000_s1301"/>
                </a:ext>
                <a:ext uri="{FF2B5EF4-FFF2-40B4-BE49-F238E27FC236}">
                  <a16:creationId xmlns:a16="http://schemas.microsoft.com/office/drawing/2014/main" id="{00000000-0008-0000-0100-00001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3542</xdr:row>
          <xdr:rowOff>0</xdr:rowOff>
        </xdr:from>
        <xdr:to>
          <xdr:col>7</xdr:col>
          <xdr:colOff>0</xdr:colOff>
          <xdr:row>3542</xdr:row>
          <xdr:rowOff>165100</xdr:rowOff>
        </xdr:to>
        <xdr:sp macro="" textlink="">
          <xdr:nvSpPr>
            <xdr:cNvPr id="1300" name="Button 276" hidden="1">
              <a:extLst>
                <a:ext uri="{63B3BB69-23CF-44E3-9099-C40C66FF867C}">
                  <a14:compatExt spid="_x0000_s1300"/>
                </a:ext>
                <a:ext uri="{FF2B5EF4-FFF2-40B4-BE49-F238E27FC236}">
                  <a16:creationId xmlns:a16="http://schemas.microsoft.com/office/drawing/2014/main" id="{00000000-0008-0000-0100-00001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3545</xdr:row>
          <xdr:rowOff>0</xdr:rowOff>
        </xdr:from>
        <xdr:to>
          <xdr:col>7</xdr:col>
          <xdr:colOff>0</xdr:colOff>
          <xdr:row>3546</xdr:row>
          <xdr:rowOff>0</xdr:rowOff>
        </xdr:to>
        <xdr:sp macro="" textlink="">
          <xdr:nvSpPr>
            <xdr:cNvPr id="1299" name="Button 275" hidden="1">
              <a:extLst>
                <a:ext uri="{63B3BB69-23CF-44E3-9099-C40C66FF867C}">
                  <a14:compatExt spid="_x0000_s1299"/>
                </a:ext>
                <a:ext uri="{FF2B5EF4-FFF2-40B4-BE49-F238E27FC236}">
                  <a16:creationId xmlns:a16="http://schemas.microsoft.com/office/drawing/2014/main" id="{00000000-0008-0000-0100-00001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3552</xdr:row>
          <xdr:rowOff>0</xdr:rowOff>
        </xdr:from>
        <xdr:to>
          <xdr:col>7</xdr:col>
          <xdr:colOff>0</xdr:colOff>
          <xdr:row>3552</xdr:row>
          <xdr:rowOff>171450</xdr:rowOff>
        </xdr:to>
        <xdr:sp macro="" textlink="">
          <xdr:nvSpPr>
            <xdr:cNvPr id="1298" name="Button 274" hidden="1">
              <a:extLst>
                <a:ext uri="{63B3BB69-23CF-44E3-9099-C40C66FF867C}">
                  <a14:compatExt spid="_x0000_s1298"/>
                </a:ext>
                <a:ext uri="{FF2B5EF4-FFF2-40B4-BE49-F238E27FC236}">
                  <a16:creationId xmlns:a16="http://schemas.microsoft.com/office/drawing/2014/main" id="{00000000-0008-0000-0100-00001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3553</xdr:row>
          <xdr:rowOff>0</xdr:rowOff>
        </xdr:from>
        <xdr:to>
          <xdr:col>7</xdr:col>
          <xdr:colOff>0</xdr:colOff>
          <xdr:row>3553</xdr:row>
          <xdr:rowOff>165100</xdr:rowOff>
        </xdr:to>
        <xdr:sp macro="" textlink="">
          <xdr:nvSpPr>
            <xdr:cNvPr id="1297" name="Button 273" hidden="1">
              <a:extLst>
                <a:ext uri="{63B3BB69-23CF-44E3-9099-C40C66FF867C}">
                  <a14:compatExt spid="_x0000_s1297"/>
                </a:ext>
                <a:ext uri="{FF2B5EF4-FFF2-40B4-BE49-F238E27FC236}">
                  <a16:creationId xmlns:a16="http://schemas.microsoft.com/office/drawing/2014/main" id="{00000000-0008-0000-0100-00001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3556</xdr:row>
          <xdr:rowOff>0</xdr:rowOff>
        </xdr:from>
        <xdr:to>
          <xdr:col>7</xdr:col>
          <xdr:colOff>0</xdr:colOff>
          <xdr:row>3557</xdr:row>
          <xdr:rowOff>0</xdr:rowOff>
        </xdr:to>
        <xdr:sp macro="" textlink="">
          <xdr:nvSpPr>
            <xdr:cNvPr id="1296" name="Button 272" hidden="1">
              <a:extLst>
                <a:ext uri="{63B3BB69-23CF-44E3-9099-C40C66FF867C}">
                  <a14:compatExt spid="_x0000_s1296"/>
                </a:ext>
                <a:ext uri="{FF2B5EF4-FFF2-40B4-BE49-F238E27FC236}">
                  <a16:creationId xmlns:a16="http://schemas.microsoft.com/office/drawing/2014/main" id="{00000000-0008-0000-0100-00001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3563</xdr:row>
          <xdr:rowOff>0</xdr:rowOff>
        </xdr:from>
        <xdr:to>
          <xdr:col>7</xdr:col>
          <xdr:colOff>0</xdr:colOff>
          <xdr:row>3563</xdr:row>
          <xdr:rowOff>171450</xdr:rowOff>
        </xdr:to>
        <xdr:sp macro="" textlink="">
          <xdr:nvSpPr>
            <xdr:cNvPr id="1295" name="Button 271" hidden="1">
              <a:extLst>
                <a:ext uri="{63B3BB69-23CF-44E3-9099-C40C66FF867C}">
                  <a14:compatExt spid="_x0000_s1295"/>
                </a:ext>
                <a:ext uri="{FF2B5EF4-FFF2-40B4-BE49-F238E27FC236}">
                  <a16:creationId xmlns:a16="http://schemas.microsoft.com/office/drawing/2014/main" id="{00000000-0008-0000-0100-00000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3564</xdr:row>
          <xdr:rowOff>0</xdr:rowOff>
        </xdr:from>
        <xdr:to>
          <xdr:col>7</xdr:col>
          <xdr:colOff>0</xdr:colOff>
          <xdr:row>3564</xdr:row>
          <xdr:rowOff>165100</xdr:rowOff>
        </xdr:to>
        <xdr:sp macro="" textlink="">
          <xdr:nvSpPr>
            <xdr:cNvPr id="1294" name="Button 270" hidden="1">
              <a:extLst>
                <a:ext uri="{63B3BB69-23CF-44E3-9099-C40C66FF867C}">
                  <a14:compatExt spid="_x0000_s1294"/>
                </a:ext>
                <a:ext uri="{FF2B5EF4-FFF2-40B4-BE49-F238E27FC236}">
                  <a16:creationId xmlns:a16="http://schemas.microsoft.com/office/drawing/2014/main" id="{00000000-0008-0000-0100-00000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3567</xdr:row>
          <xdr:rowOff>0</xdr:rowOff>
        </xdr:from>
        <xdr:to>
          <xdr:col>7</xdr:col>
          <xdr:colOff>0</xdr:colOff>
          <xdr:row>3568</xdr:row>
          <xdr:rowOff>0</xdr:rowOff>
        </xdr:to>
        <xdr:sp macro="" textlink="">
          <xdr:nvSpPr>
            <xdr:cNvPr id="1293" name="Button 269" hidden="1">
              <a:extLst>
                <a:ext uri="{63B3BB69-23CF-44E3-9099-C40C66FF867C}">
                  <a14:compatExt spid="_x0000_s1293"/>
                </a:ext>
                <a:ext uri="{FF2B5EF4-FFF2-40B4-BE49-F238E27FC236}">
                  <a16:creationId xmlns:a16="http://schemas.microsoft.com/office/drawing/2014/main" id="{00000000-0008-0000-0100-00000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3574</xdr:row>
          <xdr:rowOff>0</xdr:rowOff>
        </xdr:from>
        <xdr:to>
          <xdr:col>7</xdr:col>
          <xdr:colOff>0</xdr:colOff>
          <xdr:row>3574</xdr:row>
          <xdr:rowOff>171450</xdr:rowOff>
        </xdr:to>
        <xdr:sp macro="" textlink="">
          <xdr:nvSpPr>
            <xdr:cNvPr id="1292" name="Button 268" hidden="1">
              <a:extLst>
                <a:ext uri="{63B3BB69-23CF-44E3-9099-C40C66FF867C}">
                  <a14:compatExt spid="_x0000_s1292"/>
                </a:ext>
                <a:ext uri="{FF2B5EF4-FFF2-40B4-BE49-F238E27FC236}">
                  <a16:creationId xmlns:a16="http://schemas.microsoft.com/office/drawing/2014/main" id="{00000000-0008-0000-0100-00000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3575</xdr:row>
          <xdr:rowOff>0</xdr:rowOff>
        </xdr:from>
        <xdr:to>
          <xdr:col>7</xdr:col>
          <xdr:colOff>0</xdr:colOff>
          <xdr:row>3575</xdr:row>
          <xdr:rowOff>165100</xdr:rowOff>
        </xdr:to>
        <xdr:sp macro="" textlink="">
          <xdr:nvSpPr>
            <xdr:cNvPr id="1291" name="Button 267" hidden="1">
              <a:extLst>
                <a:ext uri="{63B3BB69-23CF-44E3-9099-C40C66FF867C}">
                  <a14:compatExt spid="_x0000_s1291"/>
                </a:ext>
                <a:ext uri="{FF2B5EF4-FFF2-40B4-BE49-F238E27FC236}">
                  <a16:creationId xmlns:a16="http://schemas.microsoft.com/office/drawing/2014/main" id="{00000000-0008-0000-0100-00000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3578</xdr:row>
          <xdr:rowOff>0</xdr:rowOff>
        </xdr:from>
        <xdr:to>
          <xdr:col>7</xdr:col>
          <xdr:colOff>0</xdr:colOff>
          <xdr:row>3579</xdr:row>
          <xdr:rowOff>0</xdr:rowOff>
        </xdr:to>
        <xdr:sp macro="" textlink="">
          <xdr:nvSpPr>
            <xdr:cNvPr id="1290" name="Button 266" hidden="1">
              <a:extLst>
                <a:ext uri="{63B3BB69-23CF-44E3-9099-C40C66FF867C}">
                  <a14:compatExt spid="_x0000_s1290"/>
                </a:ext>
                <a:ext uri="{FF2B5EF4-FFF2-40B4-BE49-F238E27FC236}">
                  <a16:creationId xmlns:a16="http://schemas.microsoft.com/office/drawing/2014/main" id="{00000000-0008-0000-0100-00000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3585</xdr:row>
          <xdr:rowOff>0</xdr:rowOff>
        </xdr:from>
        <xdr:to>
          <xdr:col>7</xdr:col>
          <xdr:colOff>0</xdr:colOff>
          <xdr:row>3585</xdr:row>
          <xdr:rowOff>171450</xdr:rowOff>
        </xdr:to>
        <xdr:sp macro="" textlink="">
          <xdr:nvSpPr>
            <xdr:cNvPr id="1289" name="Button 265" hidden="1">
              <a:extLst>
                <a:ext uri="{63B3BB69-23CF-44E3-9099-C40C66FF867C}">
                  <a14:compatExt spid="_x0000_s1289"/>
                </a:ext>
                <a:ext uri="{FF2B5EF4-FFF2-40B4-BE49-F238E27FC236}">
                  <a16:creationId xmlns:a16="http://schemas.microsoft.com/office/drawing/2014/main" id="{00000000-0008-0000-0100-00000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3586</xdr:row>
          <xdr:rowOff>0</xdr:rowOff>
        </xdr:from>
        <xdr:to>
          <xdr:col>7</xdr:col>
          <xdr:colOff>0</xdr:colOff>
          <xdr:row>3586</xdr:row>
          <xdr:rowOff>165100</xdr:rowOff>
        </xdr:to>
        <xdr:sp macro="" textlink="">
          <xdr:nvSpPr>
            <xdr:cNvPr id="1288" name="Button 264" hidden="1">
              <a:extLst>
                <a:ext uri="{63B3BB69-23CF-44E3-9099-C40C66FF867C}">
                  <a14:compatExt spid="_x0000_s1288"/>
                </a:ext>
                <a:ext uri="{FF2B5EF4-FFF2-40B4-BE49-F238E27FC236}">
                  <a16:creationId xmlns:a16="http://schemas.microsoft.com/office/drawing/2014/main" id="{00000000-0008-0000-0100-00000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3589</xdr:row>
          <xdr:rowOff>0</xdr:rowOff>
        </xdr:from>
        <xdr:to>
          <xdr:col>7</xdr:col>
          <xdr:colOff>0</xdr:colOff>
          <xdr:row>3590</xdr:row>
          <xdr:rowOff>0</xdr:rowOff>
        </xdr:to>
        <xdr:sp macro="" textlink="">
          <xdr:nvSpPr>
            <xdr:cNvPr id="1287" name="Button 263" hidden="1">
              <a:extLst>
                <a:ext uri="{63B3BB69-23CF-44E3-9099-C40C66FF867C}">
                  <a14:compatExt spid="_x0000_s1287"/>
                </a:ext>
                <a:ext uri="{FF2B5EF4-FFF2-40B4-BE49-F238E27FC236}">
                  <a16:creationId xmlns:a16="http://schemas.microsoft.com/office/drawing/2014/main" id="{00000000-0008-0000-0100-00000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3596</xdr:row>
          <xdr:rowOff>0</xdr:rowOff>
        </xdr:from>
        <xdr:to>
          <xdr:col>7</xdr:col>
          <xdr:colOff>0</xdr:colOff>
          <xdr:row>3596</xdr:row>
          <xdr:rowOff>171450</xdr:rowOff>
        </xdr:to>
        <xdr:sp macro="" textlink="">
          <xdr:nvSpPr>
            <xdr:cNvPr id="1286" name="Button 262" hidden="1">
              <a:extLst>
                <a:ext uri="{63B3BB69-23CF-44E3-9099-C40C66FF867C}">
                  <a14:compatExt spid="_x0000_s1286"/>
                </a:ext>
                <a:ext uri="{FF2B5EF4-FFF2-40B4-BE49-F238E27FC236}">
                  <a16:creationId xmlns:a16="http://schemas.microsoft.com/office/drawing/2014/main" id="{00000000-0008-0000-0100-00000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3597</xdr:row>
          <xdr:rowOff>0</xdr:rowOff>
        </xdr:from>
        <xdr:to>
          <xdr:col>7</xdr:col>
          <xdr:colOff>0</xdr:colOff>
          <xdr:row>3597</xdr:row>
          <xdr:rowOff>165100</xdr:rowOff>
        </xdr:to>
        <xdr:sp macro="" textlink="">
          <xdr:nvSpPr>
            <xdr:cNvPr id="1285" name="Button 261" hidden="1">
              <a:extLst>
                <a:ext uri="{63B3BB69-23CF-44E3-9099-C40C66FF867C}">
                  <a14:compatExt spid="_x0000_s1285"/>
                </a:ext>
                <a:ext uri="{FF2B5EF4-FFF2-40B4-BE49-F238E27FC236}">
                  <a16:creationId xmlns:a16="http://schemas.microsoft.com/office/drawing/2014/main" id="{00000000-0008-0000-0100-00000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3598</xdr:row>
          <xdr:rowOff>0</xdr:rowOff>
        </xdr:from>
        <xdr:to>
          <xdr:col>7</xdr:col>
          <xdr:colOff>0</xdr:colOff>
          <xdr:row>3598</xdr:row>
          <xdr:rowOff>165100</xdr:rowOff>
        </xdr:to>
        <xdr:sp macro="" textlink="">
          <xdr:nvSpPr>
            <xdr:cNvPr id="1284" name="Button 260" hidden="1">
              <a:extLst>
                <a:ext uri="{63B3BB69-23CF-44E3-9099-C40C66FF867C}">
                  <a14:compatExt spid="_x0000_s1284"/>
                </a:ext>
                <a:ext uri="{FF2B5EF4-FFF2-40B4-BE49-F238E27FC236}">
                  <a16:creationId xmlns:a16="http://schemas.microsoft.com/office/drawing/2014/main" id="{00000000-0008-0000-0100-00000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3601</xdr:row>
          <xdr:rowOff>0</xdr:rowOff>
        </xdr:from>
        <xdr:to>
          <xdr:col>7</xdr:col>
          <xdr:colOff>0</xdr:colOff>
          <xdr:row>3602</xdr:row>
          <xdr:rowOff>0</xdr:rowOff>
        </xdr:to>
        <xdr:sp macro="" textlink="">
          <xdr:nvSpPr>
            <xdr:cNvPr id="1283" name="Button 259" hidden="1">
              <a:extLst>
                <a:ext uri="{63B3BB69-23CF-44E3-9099-C40C66FF867C}">
                  <a14:compatExt spid="_x0000_s1283"/>
                </a:ext>
                <a:ext uri="{FF2B5EF4-FFF2-40B4-BE49-F238E27FC236}">
                  <a16:creationId xmlns:a16="http://schemas.microsoft.com/office/drawing/2014/main" id="{00000000-0008-0000-0100-00000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3608</xdr:row>
          <xdr:rowOff>0</xdr:rowOff>
        </xdr:from>
        <xdr:to>
          <xdr:col>7</xdr:col>
          <xdr:colOff>0</xdr:colOff>
          <xdr:row>3608</xdr:row>
          <xdr:rowOff>171450</xdr:rowOff>
        </xdr:to>
        <xdr:sp macro="" textlink="">
          <xdr:nvSpPr>
            <xdr:cNvPr id="1282" name="Button 258" hidden="1">
              <a:extLst>
                <a:ext uri="{63B3BB69-23CF-44E3-9099-C40C66FF867C}">
                  <a14:compatExt spid="_x0000_s1282"/>
                </a:ext>
                <a:ext uri="{FF2B5EF4-FFF2-40B4-BE49-F238E27FC236}">
                  <a16:creationId xmlns:a16="http://schemas.microsoft.com/office/drawing/2014/main" id="{00000000-0008-0000-0100-00000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3609</xdr:row>
          <xdr:rowOff>0</xdr:rowOff>
        </xdr:from>
        <xdr:to>
          <xdr:col>7</xdr:col>
          <xdr:colOff>0</xdr:colOff>
          <xdr:row>3609</xdr:row>
          <xdr:rowOff>165100</xdr:rowOff>
        </xdr:to>
        <xdr:sp macro="" textlink="">
          <xdr:nvSpPr>
            <xdr:cNvPr id="1281" name="Button 257" hidden="1">
              <a:extLst>
                <a:ext uri="{63B3BB69-23CF-44E3-9099-C40C66FF867C}">
                  <a14:compatExt spid="_x0000_s1281"/>
                </a:ext>
                <a:ext uri="{FF2B5EF4-FFF2-40B4-BE49-F238E27FC236}">
                  <a16:creationId xmlns:a16="http://schemas.microsoft.com/office/drawing/2014/main" id="{00000000-0008-0000-0100-00000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3612</xdr:row>
          <xdr:rowOff>0</xdr:rowOff>
        </xdr:from>
        <xdr:to>
          <xdr:col>7</xdr:col>
          <xdr:colOff>0</xdr:colOff>
          <xdr:row>3613</xdr:row>
          <xdr:rowOff>0</xdr:rowOff>
        </xdr:to>
        <xdr:sp macro="" textlink="">
          <xdr:nvSpPr>
            <xdr:cNvPr id="1280" name="Button 256" hidden="1">
              <a:extLst>
                <a:ext uri="{63B3BB69-23CF-44E3-9099-C40C66FF867C}">
                  <a14:compatExt spid="_x0000_s1280"/>
                </a:ext>
                <a:ext uri="{FF2B5EF4-FFF2-40B4-BE49-F238E27FC236}">
                  <a16:creationId xmlns:a16="http://schemas.microsoft.com/office/drawing/2014/main" id="{00000000-0008-0000-0100-00000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3619</xdr:row>
          <xdr:rowOff>0</xdr:rowOff>
        </xdr:from>
        <xdr:to>
          <xdr:col>7</xdr:col>
          <xdr:colOff>0</xdr:colOff>
          <xdr:row>3619</xdr:row>
          <xdr:rowOff>171450</xdr:rowOff>
        </xdr:to>
        <xdr:sp macro="" textlink="">
          <xdr:nvSpPr>
            <xdr:cNvPr id="1279" name="Button 255" hidden="1">
              <a:extLst>
                <a:ext uri="{63B3BB69-23CF-44E3-9099-C40C66FF867C}">
                  <a14:compatExt spid="_x0000_s1279"/>
                </a:ext>
                <a:ext uri="{FF2B5EF4-FFF2-40B4-BE49-F238E27FC236}">
                  <a16:creationId xmlns:a16="http://schemas.microsoft.com/office/drawing/2014/main" id="{00000000-0008-0000-0100-0000F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3620</xdr:row>
          <xdr:rowOff>0</xdr:rowOff>
        </xdr:from>
        <xdr:to>
          <xdr:col>7</xdr:col>
          <xdr:colOff>0</xdr:colOff>
          <xdr:row>3620</xdr:row>
          <xdr:rowOff>165100</xdr:rowOff>
        </xdr:to>
        <xdr:sp macro="" textlink="">
          <xdr:nvSpPr>
            <xdr:cNvPr id="1278" name="Button 254" hidden="1">
              <a:extLst>
                <a:ext uri="{63B3BB69-23CF-44E3-9099-C40C66FF867C}">
                  <a14:compatExt spid="_x0000_s1278"/>
                </a:ext>
                <a:ext uri="{FF2B5EF4-FFF2-40B4-BE49-F238E27FC236}">
                  <a16:creationId xmlns:a16="http://schemas.microsoft.com/office/drawing/2014/main" id="{00000000-0008-0000-0100-0000F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3621</xdr:row>
          <xdr:rowOff>0</xdr:rowOff>
        </xdr:from>
        <xdr:to>
          <xdr:col>7</xdr:col>
          <xdr:colOff>0</xdr:colOff>
          <xdr:row>3621</xdr:row>
          <xdr:rowOff>165100</xdr:rowOff>
        </xdr:to>
        <xdr:sp macro="" textlink="">
          <xdr:nvSpPr>
            <xdr:cNvPr id="1277" name="Button 253" hidden="1">
              <a:extLst>
                <a:ext uri="{63B3BB69-23CF-44E3-9099-C40C66FF867C}">
                  <a14:compatExt spid="_x0000_s1277"/>
                </a:ext>
                <a:ext uri="{FF2B5EF4-FFF2-40B4-BE49-F238E27FC236}">
                  <a16:creationId xmlns:a16="http://schemas.microsoft.com/office/drawing/2014/main" id="{00000000-0008-0000-0100-0000F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3622</xdr:row>
          <xdr:rowOff>0</xdr:rowOff>
        </xdr:from>
        <xdr:to>
          <xdr:col>7</xdr:col>
          <xdr:colOff>0</xdr:colOff>
          <xdr:row>3622</xdr:row>
          <xdr:rowOff>165100</xdr:rowOff>
        </xdr:to>
        <xdr:sp macro="" textlink="">
          <xdr:nvSpPr>
            <xdr:cNvPr id="1276" name="Button 252" hidden="1">
              <a:extLst>
                <a:ext uri="{63B3BB69-23CF-44E3-9099-C40C66FF867C}">
                  <a14:compatExt spid="_x0000_s1276"/>
                </a:ext>
                <a:ext uri="{FF2B5EF4-FFF2-40B4-BE49-F238E27FC236}">
                  <a16:creationId xmlns:a16="http://schemas.microsoft.com/office/drawing/2014/main" id="{00000000-0008-0000-0100-0000F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3623</xdr:row>
          <xdr:rowOff>0</xdr:rowOff>
        </xdr:from>
        <xdr:to>
          <xdr:col>7</xdr:col>
          <xdr:colOff>0</xdr:colOff>
          <xdr:row>3623</xdr:row>
          <xdr:rowOff>165100</xdr:rowOff>
        </xdr:to>
        <xdr:sp macro="" textlink="">
          <xdr:nvSpPr>
            <xdr:cNvPr id="1275" name="Button 251" hidden="1">
              <a:extLst>
                <a:ext uri="{63B3BB69-23CF-44E3-9099-C40C66FF867C}">
                  <a14:compatExt spid="_x0000_s1275"/>
                </a:ext>
                <a:ext uri="{FF2B5EF4-FFF2-40B4-BE49-F238E27FC236}">
                  <a16:creationId xmlns:a16="http://schemas.microsoft.com/office/drawing/2014/main" id="{00000000-0008-0000-0100-0000F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3624</xdr:row>
          <xdr:rowOff>0</xdr:rowOff>
        </xdr:from>
        <xdr:to>
          <xdr:col>7</xdr:col>
          <xdr:colOff>0</xdr:colOff>
          <xdr:row>3624</xdr:row>
          <xdr:rowOff>165100</xdr:rowOff>
        </xdr:to>
        <xdr:sp macro="" textlink="">
          <xdr:nvSpPr>
            <xdr:cNvPr id="1274" name="Button 250" hidden="1">
              <a:extLst>
                <a:ext uri="{63B3BB69-23CF-44E3-9099-C40C66FF867C}">
                  <a14:compatExt spid="_x0000_s1274"/>
                </a:ext>
                <a:ext uri="{FF2B5EF4-FFF2-40B4-BE49-F238E27FC236}">
                  <a16:creationId xmlns:a16="http://schemas.microsoft.com/office/drawing/2014/main" id="{00000000-0008-0000-0100-0000F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3625</xdr:row>
          <xdr:rowOff>0</xdr:rowOff>
        </xdr:from>
        <xdr:to>
          <xdr:col>7</xdr:col>
          <xdr:colOff>0</xdr:colOff>
          <xdr:row>3625</xdr:row>
          <xdr:rowOff>165100</xdr:rowOff>
        </xdr:to>
        <xdr:sp macro="" textlink="">
          <xdr:nvSpPr>
            <xdr:cNvPr id="1273" name="Button 249" hidden="1">
              <a:extLst>
                <a:ext uri="{63B3BB69-23CF-44E3-9099-C40C66FF867C}">
                  <a14:compatExt spid="_x0000_s1273"/>
                </a:ext>
                <a:ext uri="{FF2B5EF4-FFF2-40B4-BE49-F238E27FC236}">
                  <a16:creationId xmlns:a16="http://schemas.microsoft.com/office/drawing/2014/main" id="{00000000-0008-0000-0100-0000F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3628</xdr:row>
          <xdr:rowOff>0</xdr:rowOff>
        </xdr:from>
        <xdr:to>
          <xdr:col>7</xdr:col>
          <xdr:colOff>0</xdr:colOff>
          <xdr:row>3629</xdr:row>
          <xdr:rowOff>0</xdr:rowOff>
        </xdr:to>
        <xdr:sp macro="" textlink="">
          <xdr:nvSpPr>
            <xdr:cNvPr id="1272" name="Button 248" hidden="1">
              <a:extLst>
                <a:ext uri="{63B3BB69-23CF-44E3-9099-C40C66FF867C}">
                  <a14:compatExt spid="_x0000_s1272"/>
                </a:ext>
                <a:ext uri="{FF2B5EF4-FFF2-40B4-BE49-F238E27FC236}">
                  <a16:creationId xmlns:a16="http://schemas.microsoft.com/office/drawing/2014/main" id="{00000000-0008-0000-0100-0000F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3635</xdr:row>
          <xdr:rowOff>0</xdr:rowOff>
        </xdr:from>
        <xdr:to>
          <xdr:col>7</xdr:col>
          <xdr:colOff>0</xdr:colOff>
          <xdr:row>3635</xdr:row>
          <xdr:rowOff>171450</xdr:rowOff>
        </xdr:to>
        <xdr:sp macro="" textlink="">
          <xdr:nvSpPr>
            <xdr:cNvPr id="1271" name="Button 247" hidden="1">
              <a:extLst>
                <a:ext uri="{63B3BB69-23CF-44E3-9099-C40C66FF867C}">
                  <a14:compatExt spid="_x0000_s1271"/>
                </a:ext>
                <a:ext uri="{FF2B5EF4-FFF2-40B4-BE49-F238E27FC236}">
                  <a16:creationId xmlns:a16="http://schemas.microsoft.com/office/drawing/2014/main" id="{00000000-0008-0000-0100-0000F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3636</xdr:row>
          <xdr:rowOff>0</xdr:rowOff>
        </xdr:from>
        <xdr:to>
          <xdr:col>7</xdr:col>
          <xdr:colOff>0</xdr:colOff>
          <xdr:row>3636</xdr:row>
          <xdr:rowOff>165100</xdr:rowOff>
        </xdr:to>
        <xdr:sp macro="" textlink="">
          <xdr:nvSpPr>
            <xdr:cNvPr id="1270" name="Button 246" hidden="1">
              <a:extLst>
                <a:ext uri="{63B3BB69-23CF-44E3-9099-C40C66FF867C}">
                  <a14:compatExt spid="_x0000_s1270"/>
                </a:ext>
                <a:ext uri="{FF2B5EF4-FFF2-40B4-BE49-F238E27FC236}">
                  <a16:creationId xmlns:a16="http://schemas.microsoft.com/office/drawing/2014/main" id="{00000000-0008-0000-0100-0000F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3637</xdr:row>
          <xdr:rowOff>0</xdr:rowOff>
        </xdr:from>
        <xdr:to>
          <xdr:col>7</xdr:col>
          <xdr:colOff>0</xdr:colOff>
          <xdr:row>3637</xdr:row>
          <xdr:rowOff>165100</xdr:rowOff>
        </xdr:to>
        <xdr:sp macro="" textlink="">
          <xdr:nvSpPr>
            <xdr:cNvPr id="1269" name="Button 245" hidden="1">
              <a:extLst>
                <a:ext uri="{63B3BB69-23CF-44E3-9099-C40C66FF867C}">
                  <a14:compatExt spid="_x0000_s1269"/>
                </a:ext>
                <a:ext uri="{FF2B5EF4-FFF2-40B4-BE49-F238E27FC236}">
                  <a16:creationId xmlns:a16="http://schemas.microsoft.com/office/drawing/2014/main" id="{00000000-0008-0000-0100-0000F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3640</xdr:row>
          <xdr:rowOff>0</xdr:rowOff>
        </xdr:from>
        <xdr:to>
          <xdr:col>7</xdr:col>
          <xdr:colOff>0</xdr:colOff>
          <xdr:row>3641</xdr:row>
          <xdr:rowOff>0</xdr:rowOff>
        </xdr:to>
        <xdr:sp macro="" textlink="">
          <xdr:nvSpPr>
            <xdr:cNvPr id="1268" name="Button 244" hidden="1">
              <a:extLst>
                <a:ext uri="{63B3BB69-23CF-44E3-9099-C40C66FF867C}">
                  <a14:compatExt spid="_x0000_s1268"/>
                </a:ext>
                <a:ext uri="{FF2B5EF4-FFF2-40B4-BE49-F238E27FC236}">
                  <a16:creationId xmlns:a16="http://schemas.microsoft.com/office/drawing/2014/main" id="{00000000-0008-0000-0100-0000F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3647</xdr:row>
          <xdr:rowOff>0</xdr:rowOff>
        </xdr:from>
        <xdr:to>
          <xdr:col>7</xdr:col>
          <xdr:colOff>0</xdr:colOff>
          <xdr:row>3647</xdr:row>
          <xdr:rowOff>171450</xdr:rowOff>
        </xdr:to>
        <xdr:sp macro="" textlink="">
          <xdr:nvSpPr>
            <xdr:cNvPr id="1267" name="Button 243" hidden="1">
              <a:extLst>
                <a:ext uri="{63B3BB69-23CF-44E3-9099-C40C66FF867C}">
                  <a14:compatExt spid="_x0000_s1267"/>
                </a:ext>
                <a:ext uri="{FF2B5EF4-FFF2-40B4-BE49-F238E27FC236}">
                  <a16:creationId xmlns:a16="http://schemas.microsoft.com/office/drawing/2014/main" id="{00000000-0008-0000-0100-0000F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3648</xdr:row>
          <xdr:rowOff>0</xdr:rowOff>
        </xdr:from>
        <xdr:to>
          <xdr:col>7</xdr:col>
          <xdr:colOff>0</xdr:colOff>
          <xdr:row>3648</xdr:row>
          <xdr:rowOff>165100</xdr:rowOff>
        </xdr:to>
        <xdr:sp macro="" textlink="">
          <xdr:nvSpPr>
            <xdr:cNvPr id="1266" name="Button 242" hidden="1">
              <a:extLst>
                <a:ext uri="{63B3BB69-23CF-44E3-9099-C40C66FF867C}">
                  <a14:compatExt spid="_x0000_s1266"/>
                </a:ext>
                <a:ext uri="{FF2B5EF4-FFF2-40B4-BE49-F238E27FC236}">
                  <a16:creationId xmlns:a16="http://schemas.microsoft.com/office/drawing/2014/main" id="{00000000-0008-0000-0100-0000F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3651</xdr:row>
          <xdr:rowOff>0</xdr:rowOff>
        </xdr:from>
        <xdr:to>
          <xdr:col>7</xdr:col>
          <xdr:colOff>0</xdr:colOff>
          <xdr:row>3652</xdr:row>
          <xdr:rowOff>0</xdr:rowOff>
        </xdr:to>
        <xdr:sp macro="" textlink="">
          <xdr:nvSpPr>
            <xdr:cNvPr id="1265" name="Button 241" hidden="1">
              <a:extLst>
                <a:ext uri="{63B3BB69-23CF-44E3-9099-C40C66FF867C}">
                  <a14:compatExt spid="_x0000_s1265"/>
                </a:ext>
                <a:ext uri="{FF2B5EF4-FFF2-40B4-BE49-F238E27FC236}">
                  <a16:creationId xmlns:a16="http://schemas.microsoft.com/office/drawing/2014/main" id="{00000000-0008-0000-0100-0000F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3658</xdr:row>
          <xdr:rowOff>0</xdr:rowOff>
        </xdr:from>
        <xdr:to>
          <xdr:col>7</xdr:col>
          <xdr:colOff>0</xdr:colOff>
          <xdr:row>3658</xdr:row>
          <xdr:rowOff>171450</xdr:rowOff>
        </xdr:to>
        <xdr:sp macro="" textlink="">
          <xdr:nvSpPr>
            <xdr:cNvPr id="1264" name="Button 240" hidden="1">
              <a:extLst>
                <a:ext uri="{63B3BB69-23CF-44E3-9099-C40C66FF867C}">
                  <a14:compatExt spid="_x0000_s1264"/>
                </a:ext>
                <a:ext uri="{FF2B5EF4-FFF2-40B4-BE49-F238E27FC236}">
                  <a16:creationId xmlns:a16="http://schemas.microsoft.com/office/drawing/2014/main" id="{00000000-0008-0000-0100-0000F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3659</xdr:row>
          <xdr:rowOff>0</xdr:rowOff>
        </xdr:from>
        <xdr:to>
          <xdr:col>7</xdr:col>
          <xdr:colOff>0</xdr:colOff>
          <xdr:row>3659</xdr:row>
          <xdr:rowOff>165100</xdr:rowOff>
        </xdr:to>
        <xdr:sp macro="" textlink="">
          <xdr:nvSpPr>
            <xdr:cNvPr id="1263" name="Button 239" hidden="1">
              <a:extLst>
                <a:ext uri="{63B3BB69-23CF-44E3-9099-C40C66FF867C}">
                  <a14:compatExt spid="_x0000_s1263"/>
                </a:ext>
                <a:ext uri="{FF2B5EF4-FFF2-40B4-BE49-F238E27FC236}">
                  <a16:creationId xmlns:a16="http://schemas.microsoft.com/office/drawing/2014/main" id="{00000000-0008-0000-0100-0000E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3660</xdr:row>
          <xdr:rowOff>0</xdr:rowOff>
        </xdr:from>
        <xdr:to>
          <xdr:col>7</xdr:col>
          <xdr:colOff>0</xdr:colOff>
          <xdr:row>3660</xdr:row>
          <xdr:rowOff>165100</xdr:rowOff>
        </xdr:to>
        <xdr:sp macro="" textlink="">
          <xdr:nvSpPr>
            <xdr:cNvPr id="1262" name="Button 238" hidden="1">
              <a:extLst>
                <a:ext uri="{63B3BB69-23CF-44E3-9099-C40C66FF867C}">
                  <a14:compatExt spid="_x0000_s1262"/>
                </a:ext>
                <a:ext uri="{FF2B5EF4-FFF2-40B4-BE49-F238E27FC236}">
                  <a16:creationId xmlns:a16="http://schemas.microsoft.com/office/drawing/2014/main" id="{00000000-0008-0000-0100-0000E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3663</xdr:row>
          <xdr:rowOff>0</xdr:rowOff>
        </xdr:from>
        <xdr:to>
          <xdr:col>7</xdr:col>
          <xdr:colOff>0</xdr:colOff>
          <xdr:row>3664</xdr:row>
          <xdr:rowOff>0</xdr:rowOff>
        </xdr:to>
        <xdr:sp macro="" textlink="">
          <xdr:nvSpPr>
            <xdr:cNvPr id="1261" name="Button 237" hidden="1">
              <a:extLst>
                <a:ext uri="{63B3BB69-23CF-44E3-9099-C40C66FF867C}">
                  <a14:compatExt spid="_x0000_s1261"/>
                </a:ext>
                <a:ext uri="{FF2B5EF4-FFF2-40B4-BE49-F238E27FC236}">
                  <a16:creationId xmlns:a16="http://schemas.microsoft.com/office/drawing/2014/main" id="{00000000-0008-0000-0100-0000E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3670</xdr:row>
          <xdr:rowOff>0</xdr:rowOff>
        </xdr:from>
        <xdr:to>
          <xdr:col>7</xdr:col>
          <xdr:colOff>0</xdr:colOff>
          <xdr:row>3670</xdr:row>
          <xdr:rowOff>171450</xdr:rowOff>
        </xdr:to>
        <xdr:sp macro="" textlink="">
          <xdr:nvSpPr>
            <xdr:cNvPr id="1260" name="Button 236" hidden="1">
              <a:extLst>
                <a:ext uri="{63B3BB69-23CF-44E3-9099-C40C66FF867C}">
                  <a14:compatExt spid="_x0000_s1260"/>
                </a:ext>
                <a:ext uri="{FF2B5EF4-FFF2-40B4-BE49-F238E27FC236}">
                  <a16:creationId xmlns:a16="http://schemas.microsoft.com/office/drawing/2014/main" id="{00000000-0008-0000-0100-0000E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3671</xdr:row>
          <xdr:rowOff>0</xdr:rowOff>
        </xdr:from>
        <xdr:to>
          <xdr:col>7</xdr:col>
          <xdr:colOff>0</xdr:colOff>
          <xdr:row>3671</xdr:row>
          <xdr:rowOff>165100</xdr:rowOff>
        </xdr:to>
        <xdr:sp macro="" textlink="">
          <xdr:nvSpPr>
            <xdr:cNvPr id="1259" name="Button 235" hidden="1">
              <a:extLst>
                <a:ext uri="{63B3BB69-23CF-44E3-9099-C40C66FF867C}">
                  <a14:compatExt spid="_x0000_s1259"/>
                </a:ext>
                <a:ext uri="{FF2B5EF4-FFF2-40B4-BE49-F238E27FC236}">
                  <a16:creationId xmlns:a16="http://schemas.microsoft.com/office/drawing/2014/main" id="{00000000-0008-0000-0100-0000E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3674</xdr:row>
          <xdr:rowOff>0</xdr:rowOff>
        </xdr:from>
        <xdr:to>
          <xdr:col>7</xdr:col>
          <xdr:colOff>0</xdr:colOff>
          <xdr:row>3675</xdr:row>
          <xdr:rowOff>0</xdr:rowOff>
        </xdr:to>
        <xdr:sp macro="" textlink="">
          <xdr:nvSpPr>
            <xdr:cNvPr id="1258" name="Button 234" hidden="1">
              <a:extLst>
                <a:ext uri="{63B3BB69-23CF-44E3-9099-C40C66FF867C}">
                  <a14:compatExt spid="_x0000_s1258"/>
                </a:ext>
                <a:ext uri="{FF2B5EF4-FFF2-40B4-BE49-F238E27FC236}">
                  <a16:creationId xmlns:a16="http://schemas.microsoft.com/office/drawing/2014/main" id="{00000000-0008-0000-0100-0000E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3681</xdr:row>
          <xdr:rowOff>0</xdr:rowOff>
        </xdr:from>
        <xdr:to>
          <xdr:col>7</xdr:col>
          <xdr:colOff>0</xdr:colOff>
          <xdr:row>3681</xdr:row>
          <xdr:rowOff>171450</xdr:rowOff>
        </xdr:to>
        <xdr:sp macro="" textlink="">
          <xdr:nvSpPr>
            <xdr:cNvPr id="1257" name="Button 233" hidden="1">
              <a:extLst>
                <a:ext uri="{63B3BB69-23CF-44E3-9099-C40C66FF867C}">
                  <a14:compatExt spid="_x0000_s1257"/>
                </a:ext>
                <a:ext uri="{FF2B5EF4-FFF2-40B4-BE49-F238E27FC236}">
                  <a16:creationId xmlns:a16="http://schemas.microsoft.com/office/drawing/2014/main" id="{00000000-0008-0000-0100-0000E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3682</xdr:row>
          <xdr:rowOff>0</xdr:rowOff>
        </xdr:from>
        <xdr:to>
          <xdr:col>7</xdr:col>
          <xdr:colOff>0</xdr:colOff>
          <xdr:row>3682</xdr:row>
          <xdr:rowOff>165100</xdr:rowOff>
        </xdr:to>
        <xdr:sp macro="" textlink="">
          <xdr:nvSpPr>
            <xdr:cNvPr id="1256" name="Button 232" hidden="1">
              <a:extLst>
                <a:ext uri="{63B3BB69-23CF-44E3-9099-C40C66FF867C}">
                  <a14:compatExt spid="_x0000_s1256"/>
                </a:ext>
                <a:ext uri="{FF2B5EF4-FFF2-40B4-BE49-F238E27FC236}">
                  <a16:creationId xmlns:a16="http://schemas.microsoft.com/office/drawing/2014/main" id="{00000000-0008-0000-0100-0000E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3683</xdr:row>
          <xdr:rowOff>0</xdr:rowOff>
        </xdr:from>
        <xdr:to>
          <xdr:col>7</xdr:col>
          <xdr:colOff>0</xdr:colOff>
          <xdr:row>3683</xdr:row>
          <xdr:rowOff>165100</xdr:rowOff>
        </xdr:to>
        <xdr:sp macro="" textlink="">
          <xdr:nvSpPr>
            <xdr:cNvPr id="1255" name="Button 231" hidden="1">
              <a:extLst>
                <a:ext uri="{63B3BB69-23CF-44E3-9099-C40C66FF867C}">
                  <a14:compatExt spid="_x0000_s1255"/>
                </a:ext>
                <a:ext uri="{FF2B5EF4-FFF2-40B4-BE49-F238E27FC236}">
                  <a16:creationId xmlns:a16="http://schemas.microsoft.com/office/drawing/2014/main" id="{00000000-0008-0000-0100-0000E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3686</xdr:row>
          <xdr:rowOff>0</xdr:rowOff>
        </xdr:from>
        <xdr:to>
          <xdr:col>7</xdr:col>
          <xdr:colOff>0</xdr:colOff>
          <xdr:row>3687</xdr:row>
          <xdr:rowOff>0</xdr:rowOff>
        </xdr:to>
        <xdr:sp macro="" textlink="">
          <xdr:nvSpPr>
            <xdr:cNvPr id="1254" name="Button 230" hidden="1">
              <a:extLst>
                <a:ext uri="{63B3BB69-23CF-44E3-9099-C40C66FF867C}">
                  <a14:compatExt spid="_x0000_s1254"/>
                </a:ext>
                <a:ext uri="{FF2B5EF4-FFF2-40B4-BE49-F238E27FC236}">
                  <a16:creationId xmlns:a16="http://schemas.microsoft.com/office/drawing/2014/main" id="{00000000-0008-0000-0100-0000E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3693</xdr:row>
          <xdr:rowOff>0</xdr:rowOff>
        </xdr:from>
        <xdr:to>
          <xdr:col>7</xdr:col>
          <xdr:colOff>0</xdr:colOff>
          <xdr:row>3693</xdr:row>
          <xdr:rowOff>171450</xdr:rowOff>
        </xdr:to>
        <xdr:sp macro="" textlink="">
          <xdr:nvSpPr>
            <xdr:cNvPr id="1253" name="Button 229" hidden="1">
              <a:extLst>
                <a:ext uri="{63B3BB69-23CF-44E3-9099-C40C66FF867C}">
                  <a14:compatExt spid="_x0000_s1253"/>
                </a:ext>
                <a:ext uri="{FF2B5EF4-FFF2-40B4-BE49-F238E27FC236}">
                  <a16:creationId xmlns:a16="http://schemas.microsoft.com/office/drawing/2014/main" id="{00000000-0008-0000-0100-0000E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3694</xdr:row>
          <xdr:rowOff>0</xdr:rowOff>
        </xdr:from>
        <xdr:to>
          <xdr:col>7</xdr:col>
          <xdr:colOff>0</xdr:colOff>
          <xdr:row>3694</xdr:row>
          <xdr:rowOff>165100</xdr:rowOff>
        </xdr:to>
        <xdr:sp macro="" textlink="">
          <xdr:nvSpPr>
            <xdr:cNvPr id="1252" name="Button 228" hidden="1">
              <a:extLst>
                <a:ext uri="{63B3BB69-23CF-44E3-9099-C40C66FF867C}">
                  <a14:compatExt spid="_x0000_s1252"/>
                </a:ext>
                <a:ext uri="{FF2B5EF4-FFF2-40B4-BE49-F238E27FC236}">
                  <a16:creationId xmlns:a16="http://schemas.microsoft.com/office/drawing/2014/main" id="{00000000-0008-0000-0100-0000E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3695</xdr:row>
          <xdr:rowOff>0</xdr:rowOff>
        </xdr:from>
        <xdr:to>
          <xdr:col>7</xdr:col>
          <xdr:colOff>0</xdr:colOff>
          <xdr:row>3695</xdr:row>
          <xdr:rowOff>165100</xdr:rowOff>
        </xdr:to>
        <xdr:sp macro="" textlink="">
          <xdr:nvSpPr>
            <xdr:cNvPr id="1251" name="Button 227" hidden="1">
              <a:extLst>
                <a:ext uri="{63B3BB69-23CF-44E3-9099-C40C66FF867C}">
                  <a14:compatExt spid="_x0000_s1251"/>
                </a:ext>
                <a:ext uri="{FF2B5EF4-FFF2-40B4-BE49-F238E27FC236}">
                  <a16:creationId xmlns:a16="http://schemas.microsoft.com/office/drawing/2014/main" id="{00000000-0008-0000-0100-0000E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3696</xdr:row>
          <xdr:rowOff>0</xdr:rowOff>
        </xdr:from>
        <xdr:to>
          <xdr:col>7</xdr:col>
          <xdr:colOff>0</xdr:colOff>
          <xdr:row>3696</xdr:row>
          <xdr:rowOff>165100</xdr:rowOff>
        </xdr:to>
        <xdr:sp macro="" textlink="">
          <xdr:nvSpPr>
            <xdr:cNvPr id="1250" name="Button 226" hidden="1">
              <a:extLst>
                <a:ext uri="{63B3BB69-23CF-44E3-9099-C40C66FF867C}">
                  <a14:compatExt spid="_x0000_s1250"/>
                </a:ext>
                <a:ext uri="{FF2B5EF4-FFF2-40B4-BE49-F238E27FC236}">
                  <a16:creationId xmlns:a16="http://schemas.microsoft.com/office/drawing/2014/main" id="{00000000-0008-0000-0100-0000E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3697</xdr:row>
          <xdr:rowOff>0</xdr:rowOff>
        </xdr:from>
        <xdr:to>
          <xdr:col>7</xdr:col>
          <xdr:colOff>0</xdr:colOff>
          <xdr:row>3697</xdr:row>
          <xdr:rowOff>165100</xdr:rowOff>
        </xdr:to>
        <xdr:sp macro="" textlink="">
          <xdr:nvSpPr>
            <xdr:cNvPr id="1249" name="Button 225" hidden="1">
              <a:extLst>
                <a:ext uri="{63B3BB69-23CF-44E3-9099-C40C66FF867C}">
                  <a14:compatExt spid="_x0000_s1249"/>
                </a:ext>
                <a:ext uri="{FF2B5EF4-FFF2-40B4-BE49-F238E27FC236}">
                  <a16:creationId xmlns:a16="http://schemas.microsoft.com/office/drawing/2014/main" id="{00000000-0008-0000-0100-0000E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3700</xdr:row>
          <xdr:rowOff>0</xdr:rowOff>
        </xdr:from>
        <xdr:to>
          <xdr:col>7</xdr:col>
          <xdr:colOff>0</xdr:colOff>
          <xdr:row>3701</xdr:row>
          <xdr:rowOff>0</xdr:rowOff>
        </xdr:to>
        <xdr:sp macro="" textlink="">
          <xdr:nvSpPr>
            <xdr:cNvPr id="1248" name="Button 224" hidden="1">
              <a:extLst>
                <a:ext uri="{63B3BB69-23CF-44E3-9099-C40C66FF867C}">
                  <a14:compatExt spid="_x0000_s1248"/>
                </a:ext>
                <a:ext uri="{FF2B5EF4-FFF2-40B4-BE49-F238E27FC236}">
                  <a16:creationId xmlns:a16="http://schemas.microsoft.com/office/drawing/2014/main" id="{00000000-0008-0000-0100-0000E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3707</xdr:row>
          <xdr:rowOff>0</xdr:rowOff>
        </xdr:from>
        <xdr:to>
          <xdr:col>7</xdr:col>
          <xdr:colOff>0</xdr:colOff>
          <xdr:row>3707</xdr:row>
          <xdr:rowOff>171450</xdr:rowOff>
        </xdr:to>
        <xdr:sp macro="" textlink="">
          <xdr:nvSpPr>
            <xdr:cNvPr id="1247" name="Button 223" hidden="1">
              <a:extLst>
                <a:ext uri="{63B3BB69-23CF-44E3-9099-C40C66FF867C}">
                  <a14:compatExt spid="_x0000_s1247"/>
                </a:ext>
                <a:ext uri="{FF2B5EF4-FFF2-40B4-BE49-F238E27FC236}">
                  <a16:creationId xmlns:a16="http://schemas.microsoft.com/office/drawing/2014/main" id="{00000000-0008-0000-0100-0000D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3708</xdr:row>
          <xdr:rowOff>0</xdr:rowOff>
        </xdr:from>
        <xdr:to>
          <xdr:col>7</xdr:col>
          <xdr:colOff>0</xdr:colOff>
          <xdr:row>3708</xdr:row>
          <xdr:rowOff>165100</xdr:rowOff>
        </xdr:to>
        <xdr:sp macro="" textlink="">
          <xdr:nvSpPr>
            <xdr:cNvPr id="1246" name="Button 222" hidden="1">
              <a:extLst>
                <a:ext uri="{63B3BB69-23CF-44E3-9099-C40C66FF867C}">
                  <a14:compatExt spid="_x0000_s1246"/>
                </a:ext>
                <a:ext uri="{FF2B5EF4-FFF2-40B4-BE49-F238E27FC236}">
                  <a16:creationId xmlns:a16="http://schemas.microsoft.com/office/drawing/2014/main" id="{00000000-0008-0000-0100-0000D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3711</xdr:row>
          <xdr:rowOff>0</xdr:rowOff>
        </xdr:from>
        <xdr:to>
          <xdr:col>7</xdr:col>
          <xdr:colOff>0</xdr:colOff>
          <xdr:row>3712</xdr:row>
          <xdr:rowOff>0</xdr:rowOff>
        </xdr:to>
        <xdr:sp macro="" textlink="">
          <xdr:nvSpPr>
            <xdr:cNvPr id="1245" name="Button 221" hidden="1">
              <a:extLst>
                <a:ext uri="{63B3BB69-23CF-44E3-9099-C40C66FF867C}">
                  <a14:compatExt spid="_x0000_s1245"/>
                </a:ext>
                <a:ext uri="{FF2B5EF4-FFF2-40B4-BE49-F238E27FC236}">
                  <a16:creationId xmlns:a16="http://schemas.microsoft.com/office/drawing/2014/main" id="{00000000-0008-0000-0100-0000D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3718</xdr:row>
          <xdr:rowOff>0</xdr:rowOff>
        </xdr:from>
        <xdr:to>
          <xdr:col>7</xdr:col>
          <xdr:colOff>0</xdr:colOff>
          <xdr:row>3718</xdr:row>
          <xdr:rowOff>171450</xdr:rowOff>
        </xdr:to>
        <xdr:sp macro="" textlink="">
          <xdr:nvSpPr>
            <xdr:cNvPr id="1244" name="Button 220" hidden="1">
              <a:extLst>
                <a:ext uri="{63B3BB69-23CF-44E3-9099-C40C66FF867C}">
                  <a14:compatExt spid="_x0000_s1244"/>
                </a:ext>
                <a:ext uri="{FF2B5EF4-FFF2-40B4-BE49-F238E27FC236}">
                  <a16:creationId xmlns:a16="http://schemas.microsoft.com/office/drawing/2014/main" id="{00000000-0008-0000-0100-0000D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3719</xdr:row>
          <xdr:rowOff>0</xdr:rowOff>
        </xdr:from>
        <xdr:to>
          <xdr:col>7</xdr:col>
          <xdr:colOff>0</xdr:colOff>
          <xdr:row>3719</xdr:row>
          <xdr:rowOff>165100</xdr:rowOff>
        </xdr:to>
        <xdr:sp macro="" textlink="">
          <xdr:nvSpPr>
            <xdr:cNvPr id="1243" name="Button 219" hidden="1">
              <a:extLst>
                <a:ext uri="{63B3BB69-23CF-44E3-9099-C40C66FF867C}">
                  <a14:compatExt spid="_x0000_s1243"/>
                </a:ext>
                <a:ext uri="{FF2B5EF4-FFF2-40B4-BE49-F238E27FC236}">
                  <a16:creationId xmlns:a16="http://schemas.microsoft.com/office/drawing/2014/main" id="{00000000-0008-0000-0100-0000D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3722</xdr:row>
          <xdr:rowOff>0</xdr:rowOff>
        </xdr:from>
        <xdr:to>
          <xdr:col>7</xdr:col>
          <xdr:colOff>0</xdr:colOff>
          <xdr:row>3723</xdr:row>
          <xdr:rowOff>0</xdr:rowOff>
        </xdr:to>
        <xdr:sp macro="" textlink="">
          <xdr:nvSpPr>
            <xdr:cNvPr id="1242" name="Button 218" hidden="1">
              <a:extLst>
                <a:ext uri="{63B3BB69-23CF-44E3-9099-C40C66FF867C}">
                  <a14:compatExt spid="_x0000_s1242"/>
                </a:ext>
                <a:ext uri="{FF2B5EF4-FFF2-40B4-BE49-F238E27FC236}">
                  <a16:creationId xmlns:a16="http://schemas.microsoft.com/office/drawing/2014/main" id="{00000000-0008-0000-0100-0000D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3729</xdr:row>
          <xdr:rowOff>0</xdr:rowOff>
        </xdr:from>
        <xdr:to>
          <xdr:col>7</xdr:col>
          <xdr:colOff>0</xdr:colOff>
          <xdr:row>3729</xdr:row>
          <xdr:rowOff>171450</xdr:rowOff>
        </xdr:to>
        <xdr:sp macro="" textlink="">
          <xdr:nvSpPr>
            <xdr:cNvPr id="1241" name="Button 217" hidden="1">
              <a:extLst>
                <a:ext uri="{63B3BB69-23CF-44E3-9099-C40C66FF867C}">
                  <a14:compatExt spid="_x0000_s1241"/>
                </a:ext>
                <a:ext uri="{FF2B5EF4-FFF2-40B4-BE49-F238E27FC236}">
                  <a16:creationId xmlns:a16="http://schemas.microsoft.com/office/drawing/2014/main" id="{00000000-0008-0000-0100-0000D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3730</xdr:row>
          <xdr:rowOff>0</xdr:rowOff>
        </xdr:from>
        <xdr:to>
          <xdr:col>7</xdr:col>
          <xdr:colOff>0</xdr:colOff>
          <xdr:row>3730</xdr:row>
          <xdr:rowOff>165100</xdr:rowOff>
        </xdr:to>
        <xdr:sp macro="" textlink="">
          <xdr:nvSpPr>
            <xdr:cNvPr id="1240" name="Button 216" hidden="1">
              <a:extLst>
                <a:ext uri="{63B3BB69-23CF-44E3-9099-C40C66FF867C}">
                  <a14:compatExt spid="_x0000_s1240"/>
                </a:ext>
                <a:ext uri="{FF2B5EF4-FFF2-40B4-BE49-F238E27FC236}">
                  <a16:creationId xmlns:a16="http://schemas.microsoft.com/office/drawing/2014/main" id="{00000000-0008-0000-0100-0000D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3733</xdr:row>
          <xdr:rowOff>0</xdr:rowOff>
        </xdr:from>
        <xdr:to>
          <xdr:col>7</xdr:col>
          <xdr:colOff>0</xdr:colOff>
          <xdr:row>3734</xdr:row>
          <xdr:rowOff>0</xdr:rowOff>
        </xdr:to>
        <xdr:sp macro="" textlink="">
          <xdr:nvSpPr>
            <xdr:cNvPr id="1239" name="Button 215" hidden="1">
              <a:extLst>
                <a:ext uri="{63B3BB69-23CF-44E3-9099-C40C66FF867C}">
                  <a14:compatExt spid="_x0000_s1239"/>
                </a:ext>
                <a:ext uri="{FF2B5EF4-FFF2-40B4-BE49-F238E27FC236}">
                  <a16:creationId xmlns:a16="http://schemas.microsoft.com/office/drawing/2014/main" id="{00000000-0008-0000-0100-0000D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3740</xdr:row>
          <xdr:rowOff>0</xdr:rowOff>
        </xdr:from>
        <xdr:to>
          <xdr:col>7</xdr:col>
          <xdr:colOff>0</xdr:colOff>
          <xdr:row>3740</xdr:row>
          <xdr:rowOff>171450</xdr:rowOff>
        </xdr:to>
        <xdr:sp macro="" textlink="">
          <xdr:nvSpPr>
            <xdr:cNvPr id="1238" name="Button 214" hidden="1">
              <a:extLst>
                <a:ext uri="{63B3BB69-23CF-44E3-9099-C40C66FF867C}">
                  <a14:compatExt spid="_x0000_s1238"/>
                </a:ext>
                <a:ext uri="{FF2B5EF4-FFF2-40B4-BE49-F238E27FC236}">
                  <a16:creationId xmlns:a16="http://schemas.microsoft.com/office/drawing/2014/main" id="{00000000-0008-0000-0100-0000D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3741</xdr:row>
          <xdr:rowOff>0</xdr:rowOff>
        </xdr:from>
        <xdr:to>
          <xdr:col>7</xdr:col>
          <xdr:colOff>0</xdr:colOff>
          <xdr:row>3741</xdr:row>
          <xdr:rowOff>165100</xdr:rowOff>
        </xdr:to>
        <xdr:sp macro="" textlink="">
          <xdr:nvSpPr>
            <xdr:cNvPr id="1237" name="Button 213" hidden="1">
              <a:extLst>
                <a:ext uri="{63B3BB69-23CF-44E3-9099-C40C66FF867C}">
                  <a14:compatExt spid="_x0000_s1237"/>
                </a:ext>
                <a:ext uri="{FF2B5EF4-FFF2-40B4-BE49-F238E27FC236}">
                  <a16:creationId xmlns:a16="http://schemas.microsoft.com/office/drawing/2014/main" id="{00000000-0008-0000-0100-0000D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3742</xdr:row>
          <xdr:rowOff>0</xdr:rowOff>
        </xdr:from>
        <xdr:to>
          <xdr:col>7</xdr:col>
          <xdr:colOff>0</xdr:colOff>
          <xdr:row>3742</xdr:row>
          <xdr:rowOff>165100</xdr:rowOff>
        </xdr:to>
        <xdr:sp macro="" textlink="">
          <xdr:nvSpPr>
            <xdr:cNvPr id="1236" name="Button 212" hidden="1">
              <a:extLst>
                <a:ext uri="{63B3BB69-23CF-44E3-9099-C40C66FF867C}">
                  <a14:compatExt spid="_x0000_s1236"/>
                </a:ext>
                <a:ext uri="{FF2B5EF4-FFF2-40B4-BE49-F238E27FC236}">
                  <a16:creationId xmlns:a16="http://schemas.microsoft.com/office/drawing/2014/main" id="{00000000-0008-0000-0100-0000D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3743</xdr:row>
          <xdr:rowOff>0</xdr:rowOff>
        </xdr:from>
        <xdr:to>
          <xdr:col>7</xdr:col>
          <xdr:colOff>0</xdr:colOff>
          <xdr:row>3743</xdr:row>
          <xdr:rowOff>165100</xdr:rowOff>
        </xdr:to>
        <xdr:sp macro="" textlink="">
          <xdr:nvSpPr>
            <xdr:cNvPr id="1235" name="Button 211" hidden="1">
              <a:extLst>
                <a:ext uri="{63B3BB69-23CF-44E3-9099-C40C66FF867C}">
                  <a14:compatExt spid="_x0000_s1235"/>
                </a:ext>
                <a:ext uri="{FF2B5EF4-FFF2-40B4-BE49-F238E27FC236}">
                  <a16:creationId xmlns:a16="http://schemas.microsoft.com/office/drawing/2014/main" id="{00000000-0008-0000-0100-0000D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3744</xdr:row>
          <xdr:rowOff>0</xdr:rowOff>
        </xdr:from>
        <xdr:to>
          <xdr:col>7</xdr:col>
          <xdr:colOff>0</xdr:colOff>
          <xdr:row>3744</xdr:row>
          <xdr:rowOff>165100</xdr:rowOff>
        </xdr:to>
        <xdr:sp macro="" textlink="">
          <xdr:nvSpPr>
            <xdr:cNvPr id="1234" name="Button 210" hidden="1">
              <a:extLst>
                <a:ext uri="{63B3BB69-23CF-44E3-9099-C40C66FF867C}">
                  <a14:compatExt spid="_x0000_s1234"/>
                </a:ext>
                <a:ext uri="{FF2B5EF4-FFF2-40B4-BE49-F238E27FC236}">
                  <a16:creationId xmlns:a16="http://schemas.microsoft.com/office/drawing/2014/main" id="{00000000-0008-0000-0100-0000D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3745</xdr:row>
          <xdr:rowOff>0</xdr:rowOff>
        </xdr:from>
        <xdr:to>
          <xdr:col>7</xdr:col>
          <xdr:colOff>0</xdr:colOff>
          <xdr:row>3745</xdr:row>
          <xdr:rowOff>165100</xdr:rowOff>
        </xdr:to>
        <xdr:sp macro="" textlink="">
          <xdr:nvSpPr>
            <xdr:cNvPr id="1233" name="Button 209" hidden="1">
              <a:extLst>
                <a:ext uri="{63B3BB69-23CF-44E3-9099-C40C66FF867C}">
                  <a14:compatExt spid="_x0000_s1233"/>
                </a:ext>
                <a:ext uri="{FF2B5EF4-FFF2-40B4-BE49-F238E27FC236}">
                  <a16:creationId xmlns:a16="http://schemas.microsoft.com/office/drawing/2014/main" id="{00000000-0008-0000-0100-0000D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3746</xdr:row>
          <xdr:rowOff>0</xdr:rowOff>
        </xdr:from>
        <xdr:to>
          <xdr:col>7</xdr:col>
          <xdr:colOff>0</xdr:colOff>
          <xdr:row>3746</xdr:row>
          <xdr:rowOff>165100</xdr:rowOff>
        </xdr:to>
        <xdr:sp macro="" textlink="">
          <xdr:nvSpPr>
            <xdr:cNvPr id="1232" name="Button 208" hidden="1">
              <a:extLst>
                <a:ext uri="{63B3BB69-23CF-44E3-9099-C40C66FF867C}">
                  <a14:compatExt spid="_x0000_s1232"/>
                </a:ext>
                <a:ext uri="{FF2B5EF4-FFF2-40B4-BE49-F238E27FC236}">
                  <a16:creationId xmlns:a16="http://schemas.microsoft.com/office/drawing/2014/main" id="{00000000-0008-0000-0100-0000D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3747</xdr:row>
          <xdr:rowOff>0</xdr:rowOff>
        </xdr:from>
        <xdr:to>
          <xdr:col>7</xdr:col>
          <xdr:colOff>0</xdr:colOff>
          <xdr:row>3747</xdr:row>
          <xdr:rowOff>165100</xdr:rowOff>
        </xdr:to>
        <xdr:sp macro="" textlink="">
          <xdr:nvSpPr>
            <xdr:cNvPr id="13311" name="Button 2047" hidden="1">
              <a:extLst>
                <a:ext uri="{63B3BB69-23CF-44E3-9099-C40C66FF867C}">
                  <a14:compatExt spid="_x0000_s13311"/>
                </a:ext>
                <a:ext uri="{FF2B5EF4-FFF2-40B4-BE49-F238E27FC236}">
                  <a16:creationId xmlns:a16="http://schemas.microsoft.com/office/drawing/2014/main" id="{00000000-0008-0000-0100-0000F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3748</xdr:row>
          <xdr:rowOff>0</xdr:rowOff>
        </xdr:from>
        <xdr:to>
          <xdr:col>7</xdr:col>
          <xdr:colOff>0</xdr:colOff>
          <xdr:row>3748</xdr:row>
          <xdr:rowOff>165100</xdr:rowOff>
        </xdr:to>
        <xdr:sp macro="" textlink="">
          <xdr:nvSpPr>
            <xdr:cNvPr id="13310" name="Button 2046" hidden="1">
              <a:extLst>
                <a:ext uri="{63B3BB69-23CF-44E3-9099-C40C66FF867C}">
                  <a14:compatExt spid="_x0000_s13310"/>
                </a:ext>
                <a:ext uri="{FF2B5EF4-FFF2-40B4-BE49-F238E27FC236}">
                  <a16:creationId xmlns:a16="http://schemas.microsoft.com/office/drawing/2014/main" id="{00000000-0008-0000-0100-0000F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3749</xdr:row>
          <xdr:rowOff>0</xdr:rowOff>
        </xdr:from>
        <xdr:to>
          <xdr:col>7</xdr:col>
          <xdr:colOff>0</xdr:colOff>
          <xdr:row>3749</xdr:row>
          <xdr:rowOff>165100</xdr:rowOff>
        </xdr:to>
        <xdr:sp macro="" textlink="">
          <xdr:nvSpPr>
            <xdr:cNvPr id="13309" name="Button 2045" hidden="1">
              <a:extLst>
                <a:ext uri="{63B3BB69-23CF-44E3-9099-C40C66FF867C}">
                  <a14:compatExt spid="_x0000_s13309"/>
                </a:ext>
                <a:ext uri="{FF2B5EF4-FFF2-40B4-BE49-F238E27FC236}">
                  <a16:creationId xmlns:a16="http://schemas.microsoft.com/office/drawing/2014/main" id="{00000000-0008-0000-0100-0000F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3752</xdr:row>
          <xdr:rowOff>0</xdr:rowOff>
        </xdr:from>
        <xdr:to>
          <xdr:col>7</xdr:col>
          <xdr:colOff>0</xdr:colOff>
          <xdr:row>3753</xdr:row>
          <xdr:rowOff>0</xdr:rowOff>
        </xdr:to>
        <xdr:sp macro="" textlink="">
          <xdr:nvSpPr>
            <xdr:cNvPr id="13308" name="Button 2044" hidden="1">
              <a:extLst>
                <a:ext uri="{63B3BB69-23CF-44E3-9099-C40C66FF867C}">
                  <a14:compatExt spid="_x0000_s13308"/>
                </a:ext>
                <a:ext uri="{FF2B5EF4-FFF2-40B4-BE49-F238E27FC236}">
                  <a16:creationId xmlns:a16="http://schemas.microsoft.com/office/drawing/2014/main" id="{00000000-0008-0000-0100-0000F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3759</xdr:row>
          <xdr:rowOff>0</xdr:rowOff>
        </xdr:from>
        <xdr:to>
          <xdr:col>7</xdr:col>
          <xdr:colOff>0</xdr:colOff>
          <xdr:row>3759</xdr:row>
          <xdr:rowOff>171450</xdr:rowOff>
        </xdr:to>
        <xdr:sp macro="" textlink="">
          <xdr:nvSpPr>
            <xdr:cNvPr id="13307" name="Button 2043" hidden="1">
              <a:extLst>
                <a:ext uri="{63B3BB69-23CF-44E3-9099-C40C66FF867C}">
                  <a14:compatExt spid="_x0000_s13307"/>
                </a:ext>
                <a:ext uri="{FF2B5EF4-FFF2-40B4-BE49-F238E27FC236}">
                  <a16:creationId xmlns:a16="http://schemas.microsoft.com/office/drawing/2014/main" id="{00000000-0008-0000-0100-0000F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3760</xdr:row>
          <xdr:rowOff>0</xdr:rowOff>
        </xdr:from>
        <xdr:to>
          <xdr:col>7</xdr:col>
          <xdr:colOff>0</xdr:colOff>
          <xdr:row>3760</xdr:row>
          <xdr:rowOff>165100</xdr:rowOff>
        </xdr:to>
        <xdr:sp macro="" textlink="">
          <xdr:nvSpPr>
            <xdr:cNvPr id="13306" name="Button 2042" hidden="1">
              <a:extLst>
                <a:ext uri="{63B3BB69-23CF-44E3-9099-C40C66FF867C}">
                  <a14:compatExt spid="_x0000_s13306"/>
                </a:ext>
                <a:ext uri="{FF2B5EF4-FFF2-40B4-BE49-F238E27FC236}">
                  <a16:creationId xmlns:a16="http://schemas.microsoft.com/office/drawing/2014/main" id="{00000000-0008-0000-0100-0000F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3761</xdr:row>
          <xdr:rowOff>0</xdr:rowOff>
        </xdr:from>
        <xdr:to>
          <xdr:col>7</xdr:col>
          <xdr:colOff>0</xdr:colOff>
          <xdr:row>3761</xdr:row>
          <xdr:rowOff>165100</xdr:rowOff>
        </xdr:to>
        <xdr:sp macro="" textlink="">
          <xdr:nvSpPr>
            <xdr:cNvPr id="13305" name="Button 2041" hidden="1">
              <a:extLst>
                <a:ext uri="{63B3BB69-23CF-44E3-9099-C40C66FF867C}">
                  <a14:compatExt spid="_x0000_s13305"/>
                </a:ext>
                <a:ext uri="{FF2B5EF4-FFF2-40B4-BE49-F238E27FC236}">
                  <a16:creationId xmlns:a16="http://schemas.microsoft.com/office/drawing/2014/main" id="{00000000-0008-0000-0100-0000F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3762</xdr:row>
          <xdr:rowOff>0</xdr:rowOff>
        </xdr:from>
        <xdr:to>
          <xdr:col>7</xdr:col>
          <xdr:colOff>0</xdr:colOff>
          <xdr:row>3762</xdr:row>
          <xdr:rowOff>165100</xdr:rowOff>
        </xdr:to>
        <xdr:sp macro="" textlink="">
          <xdr:nvSpPr>
            <xdr:cNvPr id="13304" name="Button 2040" hidden="1">
              <a:extLst>
                <a:ext uri="{63B3BB69-23CF-44E3-9099-C40C66FF867C}">
                  <a14:compatExt spid="_x0000_s13304"/>
                </a:ext>
                <a:ext uri="{FF2B5EF4-FFF2-40B4-BE49-F238E27FC236}">
                  <a16:creationId xmlns:a16="http://schemas.microsoft.com/office/drawing/2014/main" id="{00000000-0008-0000-0100-0000F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3763</xdr:row>
          <xdr:rowOff>0</xdr:rowOff>
        </xdr:from>
        <xdr:to>
          <xdr:col>7</xdr:col>
          <xdr:colOff>0</xdr:colOff>
          <xdr:row>3763</xdr:row>
          <xdr:rowOff>165100</xdr:rowOff>
        </xdr:to>
        <xdr:sp macro="" textlink="">
          <xdr:nvSpPr>
            <xdr:cNvPr id="13303" name="Button 2039" hidden="1">
              <a:extLst>
                <a:ext uri="{63B3BB69-23CF-44E3-9099-C40C66FF867C}">
                  <a14:compatExt spid="_x0000_s13303"/>
                </a:ext>
                <a:ext uri="{FF2B5EF4-FFF2-40B4-BE49-F238E27FC236}">
                  <a16:creationId xmlns:a16="http://schemas.microsoft.com/office/drawing/2014/main" id="{00000000-0008-0000-0100-0000F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3764</xdr:row>
          <xdr:rowOff>0</xdr:rowOff>
        </xdr:from>
        <xdr:to>
          <xdr:col>7</xdr:col>
          <xdr:colOff>0</xdr:colOff>
          <xdr:row>3764</xdr:row>
          <xdr:rowOff>165100</xdr:rowOff>
        </xdr:to>
        <xdr:sp macro="" textlink="">
          <xdr:nvSpPr>
            <xdr:cNvPr id="13302" name="Button 2038" hidden="1">
              <a:extLst>
                <a:ext uri="{63B3BB69-23CF-44E3-9099-C40C66FF867C}">
                  <a14:compatExt spid="_x0000_s13302"/>
                </a:ext>
                <a:ext uri="{FF2B5EF4-FFF2-40B4-BE49-F238E27FC236}">
                  <a16:creationId xmlns:a16="http://schemas.microsoft.com/office/drawing/2014/main" id="{00000000-0008-0000-0100-0000F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3765</xdr:row>
          <xdr:rowOff>0</xdr:rowOff>
        </xdr:from>
        <xdr:to>
          <xdr:col>7</xdr:col>
          <xdr:colOff>0</xdr:colOff>
          <xdr:row>3765</xdr:row>
          <xdr:rowOff>165100</xdr:rowOff>
        </xdr:to>
        <xdr:sp macro="" textlink="">
          <xdr:nvSpPr>
            <xdr:cNvPr id="13301" name="Button 2037" hidden="1">
              <a:extLst>
                <a:ext uri="{63B3BB69-23CF-44E3-9099-C40C66FF867C}">
                  <a14:compatExt spid="_x0000_s13301"/>
                </a:ext>
                <a:ext uri="{FF2B5EF4-FFF2-40B4-BE49-F238E27FC236}">
                  <a16:creationId xmlns:a16="http://schemas.microsoft.com/office/drawing/2014/main" id="{00000000-0008-0000-0100-0000F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3766</xdr:row>
          <xdr:rowOff>0</xdr:rowOff>
        </xdr:from>
        <xdr:to>
          <xdr:col>7</xdr:col>
          <xdr:colOff>0</xdr:colOff>
          <xdr:row>3766</xdr:row>
          <xdr:rowOff>165100</xdr:rowOff>
        </xdr:to>
        <xdr:sp macro="" textlink="">
          <xdr:nvSpPr>
            <xdr:cNvPr id="13300" name="Button 2036" hidden="1">
              <a:extLst>
                <a:ext uri="{63B3BB69-23CF-44E3-9099-C40C66FF867C}">
                  <a14:compatExt spid="_x0000_s13300"/>
                </a:ext>
                <a:ext uri="{FF2B5EF4-FFF2-40B4-BE49-F238E27FC236}">
                  <a16:creationId xmlns:a16="http://schemas.microsoft.com/office/drawing/2014/main" id="{00000000-0008-0000-0100-0000F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3767</xdr:row>
          <xdr:rowOff>0</xdr:rowOff>
        </xdr:from>
        <xdr:to>
          <xdr:col>7</xdr:col>
          <xdr:colOff>0</xdr:colOff>
          <xdr:row>3767</xdr:row>
          <xdr:rowOff>165100</xdr:rowOff>
        </xdr:to>
        <xdr:sp macro="" textlink="">
          <xdr:nvSpPr>
            <xdr:cNvPr id="13299" name="Button 2035" hidden="1">
              <a:extLst>
                <a:ext uri="{63B3BB69-23CF-44E3-9099-C40C66FF867C}">
                  <a14:compatExt spid="_x0000_s13299"/>
                </a:ext>
                <a:ext uri="{FF2B5EF4-FFF2-40B4-BE49-F238E27FC236}">
                  <a16:creationId xmlns:a16="http://schemas.microsoft.com/office/drawing/2014/main" id="{00000000-0008-0000-0100-0000F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3768</xdr:row>
          <xdr:rowOff>0</xdr:rowOff>
        </xdr:from>
        <xdr:to>
          <xdr:col>7</xdr:col>
          <xdr:colOff>0</xdr:colOff>
          <xdr:row>3768</xdr:row>
          <xdr:rowOff>165100</xdr:rowOff>
        </xdr:to>
        <xdr:sp macro="" textlink="">
          <xdr:nvSpPr>
            <xdr:cNvPr id="13298" name="Button 2034" hidden="1">
              <a:extLst>
                <a:ext uri="{63B3BB69-23CF-44E3-9099-C40C66FF867C}">
                  <a14:compatExt spid="_x0000_s13298"/>
                </a:ext>
                <a:ext uri="{FF2B5EF4-FFF2-40B4-BE49-F238E27FC236}">
                  <a16:creationId xmlns:a16="http://schemas.microsoft.com/office/drawing/2014/main" id="{00000000-0008-0000-0100-0000F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3769</xdr:row>
          <xdr:rowOff>0</xdr:rowOff>
        </xdr:from>
        <xdr:to>
          <xdr:col>7</xdr:col>
          <xdr:colOff>0</xdr:colOff>
          <xdr:row>3769</xdr:row>
          <xdr:rowOff>165100</xdr:rowOff>
        </xdr:to>
        <xdr:sp macro="" textlink="">
          <xdr:nvSpPr>
            <xdr:cNvPr id="13297" name="Button 2033" hidden="1">
              <a:extLst>
                <a:ext uri="{63B3BB69-23CF-44E3-9099-C40C66FF867C}">
                  <a14:compatExt spid="_x0000_s13297"/>
                </a:ext>
                <a:ext uri="{FF2B5EF4-FFF2-40B4-BE49-F238E27FC236}">
                  <a16:creationId xmlns:a16="http://schemas.microsoft.com/office/drawing/2014/main" id="{00000000-0008-0000-0100-0000F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3770</xdr:row>
          <xdr:rowOff>0</xdr:rowOff>
        </xdr:from>
        <xdr:to>
          <xdr:col>7</xdr:col>
          <xdr:colOff>0</xdr:colOff>
          <xdr:row>3770</xdr:row>
          <xdr:rowOff>165100</xdr:rowOff>
        </xdr:to>
        <xdr:sp macro="" textlink="">
          <xdr:nvSpPr>
            <xdr:cNvPr id="13296" name="Button 2032" hidden="1">
              <a:extLst>
                <a:ext uri="{63B3BB69-23CF-44E3-9099-C40C66FF867C}">
                  <a14:compatExt spid="_x0000_s13296"/>
                </a:ext>
                <a:ext uri="{FF2B5EF4-FFF2-40B4-BE49-F238E27FC236}">
                  <a16:creationId xmlns:a16="http://schemas.microsoft.com/office/drawing/2014/main" id="{00000000-0008-0000-0100-0000F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3771</xdr:row>
          <xdr:rowOff>0</xdr:rowOff>
        </xdr:from>
        <xdr:to>
          <xdr:col>7</xdr:col>
          <xdr:colOff>0</xdr:colOff>
          <xdr:row>3771</xdr:row>
          <xdr:rowOff>165100</xdr:rowOff>
        </xdr:to>
        <xdr:sp macro="" textlink="">
          <xdr:nvSpPr>
            <xdr:cNvPr id="13295" name="Button 2031" hidden="1">
              <a:extLst>
                <a:ext uri="{63B3BB69-23CF-44E3-9099-C40C66FF867C}">
                  <a14:compatExt spid="_x0000_s13295"/>
                </a:ext>
                <a:ext uri="{FF2B5EF4-FFF2-40B4-BE49-F238E27FC236}">
                  <a16:creationId xmlns:a16="http://schemas.microsoft.com/office/drawing/2014/main" id="{00000000-0008-0000-0100-0000E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3772</xdr:row>
          <xdr:rowOff>0</xdr:rowOff>
        </xdr:from>
        <xdr:to>
          <xdr:col>7</xdr:col>
          <xdr:colOff>0</xdr:colOff>
          <xdr:row>3772</xdr:row>
          <xdr:rowOff>165100</xdr:rowOff>
        </xdr:to>
        <xdr:sp macro="" textlink="">
          <xdr:nvSpPr>
            <xdr:cNvPr id="13294" name="Button 2030" hidden="1">
              <a:extLst>
                <a:ext uri="{63B3BB69-23CF-44E3-9099-C40C66FF867C}">
                  <a14:compatExt spid="_x0000_s13294"/>
                </a:ext>
                <a:ext uri="{FF2B5EF4-FFF2-40B4-BE49-F238E27FC236}">
                  <a16:creationId xmlns:a16="http://schemas.microsoft.com/office/drawing/2014/main" id="{00000000-0008-0000-0100-0000E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3773</xdr:row>
          <xdr:rowOff>0</xdr:rowOff>
        </xdr:from>
        <xdr:to>
          <xdr:col>7</xdr:col>
          <xdr:colOff>0</xdr:colOff>
          <xdr:row>3773</xdr:row>
          <xdr:rowOff>165100</xdr:rowOff>
        </xdr:to>
        <xdr:sp macro="" textlink="">
          <xdr:nvSpPr>
            <xdr:cNvPr id="13293" name="Button 2029" hidden="1">
              <a:extLst>
                <a:ext uri="{63B3BB69-23CF-44E3-9099-C40C66FF867C}">
                  <a14:compatExt spid="_x0000_s13293"/>
                </a:ext>
                <a:ext uri="{FF2B5EF4-FFF2-40B4-BE49-F238E27FC236}">
                  <a16:creationId xmlns:a16="http://schemas.microsoft.com/office/drawing/2014/main" id="{00000000-0008-0000-0100-0000E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3776</xdr:row>
          <xdr:rowOff>0</xdr:rowOff>
        </xdr:from>
        <xdr:to>
          <xdr:col>7</xdr:col>
          <xdr:colOff>0</xdr:colOff>
          <xdr:row>3777</xdr:row>
          <xdr:rowOff>0</xdr:rowOff>
        </xdr:to>
        <xdr:sp macro="" textlink="">
          <xdr:nvSpPr>
            <xdr:cNvPr id="13292" name="Button 2028" hidden="1">
              <a:extLst>
                <a:ext uri="{63B3BB69-23CF-44E3-9099-C40C66FF867C}">
                  <a14:compatExt spid="_x0000_s13292"/>
                </a:ext>
                <a:ext uri="{FF2B5EF4-FFF2-40B4-BE49-F238E27FC236}">
                  <a16:creationId xmlns:a16="http://schemas.microsoft.com/office/drawing/2014/main" id="{00000000-0008-0000-0100-0000E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3783</xdr:row>
          <xdr:rowOff>0</xdr:rowOff>
        </xdr:from>
        <xdr:to>
          <xdr:col>7</xdr:col>
          <xdr:colOff>0</xdr:colOff>
          <xdr:row>3783</xdr:row>
          <xdr:rowOff>171450</xdr:rowOff>
        </xdr:to>
        <xdr:sp macro="" textlink="">
          <xdr:nvSpPr>
            <xdr:cNvPr id="13291" name="Button 2027" hidden="1">
              <a:extLst>
                <a:ext uri="{63B3BB69-23CF-44E3-9099-C40C66FF867C}">
                  <a14:compatExt spid="_x0000_s13291"/>
                </a:ext>
                <a:ext uri="{FF2B5EF4-FFF2-40B4-BE49-F238E27FC236}">
                  <a16:creationId xmlns:a16="http://schemas.microsoft.com/office/drawing/2014/main" id="{00000000-0008-0000-0100-0000E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3784</xdr:row>
          <xdr:rowOff>0</xdr:rowOff>
        </xdr:from>
        <xdr:to>
          <xdr:col>7</xdr:col>
          <xdr:colOff>0</xdr:colOff>
          <xdr:row>3784</xdr:row>
          <xdr:rowOff>165100</xdr:rowOff>
        </xdr:to>
        <xdr:sp macro="" textlink="">
          <xdr:nvSpPr>
            <xdr:cNvPr id="13290" name="Button 2026" hidden="1">
              <a:extLst>
                <a:ext uri="{63B3BB69-23CF-44E3-9099-C40C66FF867C}">
                  <a14:compatExt spid="_x0000_s13290"/>
                </a:ext>
                <a:ext uri="{FF2B5EF4-FFF2-40B4-BE49-F238E27FC236}">
                  <a16:creationId xmlns:a16="http://schemas.microsoft.com/office/drawing/2014/main" id="{00000000-0008-0000-0100-0000E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3785</xdr:row>
          <xdr:rowOff>0</xdr:rowOff>
        </xdr:from>
        <xdr:to>
          <xdr:col>7</xdr:col>
          <xdr:colOff>0</xdr:colOff>
          <xdr:row>3785</xdr:row>
          <xdr:rowOff>165100</xdr:rowOff>
        </xdr:to>
        <xdr:sp macro="" textlink="">
          <xdr:nvSpPr>
            <xdr:cNvPr id="13289" name="Button 2025" hidden="1">
              <a:extLst>
                <a:ext uri="{63B3BB69-23CF-44E3-9099-C40C66FF867C}">
                  <a14:compatExt spid="_x0000_s13289"/>
                </a:ext>
                <a:ext uri="{FF2B5EF4-FFF2-40B4-BE49-F238E27FC236}">
                  <a16:creationId xmlns:a16="http://schemas.microsoft.com/office/drawing/2014/main" id="{00000000-0008-0000-0100-0000E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3786</xdr:row>
          <xdr:rowOff>0</xdr:rowOff>
        </xdr:from>
        <xdr:to>
          <xdr:col>7</xdr:col>
          <xdr:colOff>0</xdr:colOff>
          <xdr:row>3786</xdr:row>
          <xdr:rowOff>165100</xdr:rowOff>
        </xdr:to>
        <xdr:sp macro="" textlink="">
          <xdr:nvSpPr>
            <xdr:cNvPr id="13288" name="Button 2024" hidden="1">
              <a:extLst>
                <a:ext uri="{63B3BB69-23CF-44E3-9099-C40C66FF867C}">
                  <a14:compatExt spid="_x0000_s13288"/>
                </a:ext>
                <a:ext uri="{FF2B5EF4-FFF2-40B4-BE49-F238E27FC236}">
                  <a16:creationId xmlns:a16="http://schemas.microsoft.com/office/drawing/2014/main" id="{00000000-0008-0000-0100-0000E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3787</xdr:row>
          <xdr:rowOff>0</xdr:rowOff>
        </xdr:from>
        <xdr:to>
          <xdr:col>7</xdr:col>
          <xdr:colOff>0</xdr:colOff>
          <xdr:row>3787</xdr:row>
          <xdr:rowOff>165100</xdr:rowOff>
        </xdr:to>
        <xdr:sp macro="" textlink="">
          <xdr:nvSpPr>
            <xdr:cNvPr id="13287" name="Button 2023" hidden="1">
              <a:extLst>
                <a:ext uri="{63B3BB69-23CF-44E3-9099-C40C66FF867C}">
                  <a14:compatExt spid="_x0000_s13287"/>
                </a:ext>
                <a:ext uri="{FF2B5EF4-FFF2-40B4-BE49-F238E27FC236}">
                  <a16:creationId xmlns:a16="http://schemas.microsoft.com/office/drawing/2014/main" id="{00000000-0008-0000-0100-0000E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3788</xdr:row>
          <xdr:rowOff>0</xdr:rowOff>
        </xdr:from>
        <xdr:to>
          <xdr:col>7</xdr:col>
          <xdr:colOff>0</xdr:colOff>
          <xdr:row>3788</xdr:row>
          <xdr:rowOff>165100</xdr:rowOff>
        </xdr:to>
        <xdr:sp macro="" textlink="">
          <xdr:nvSpPr>
            <xdr:cNvPr id="13286" name="Button 2022" hidden="1">
              <a:extLst>
                <a:ext uri="{63B3BB69-23CF-44E3-9099-C40C66FF867C}">
                  <a14:compatExt spid="_x0000_s13286"/>
                </a:ext>
                <a:ext uri="{FF2B5EF4-FFF2-40B4-BE49-F238E27FC236}">
                  <a16:creationId xmlns:a16="http://schemas.microsoft.com/office/drawing/2014/main" id="{00000000-0008-0000-0100-0000E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3789</xdr:row>
          <xdr:rowOff>0</xdr:rowOff>
        </xdr:from>
        <xdr:to>
          <xdr:col>7</xdr:col>
          <xdr:colOff>0</xdr:colOff>
          <xdr:row>3789</xdr:row>
          <xdr:rowOff>165100</xdr:rowOff>
        </xdr:to>
        <xdr:sp macro="" textlink="">
          <xdr:nvSpPr>
            <xdr:cNvPr id="13285" name="Button 2021" hidden="1">
              <a:extLst>
                <a:ext uri="{63B3BB69-23CF-44E3-9099-C40C66FF867C}">
                  <a14:compatExt spid="_x0000_s13285"/>
                </a:ext>
                <a:ext uri="{FF2B5EF4-FFF2-40B4-BE49-F238E27FC236}">
                  <a16:creationId xmlns:a16="http://schemas.microsoft.com/office/drawing/2014/main" id="{00000000-0008-0000-0100-0000E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3790</xdr:row>
          <xdr:rowOff>0</xdr:rowOff>
        </xdr:from>
        <xdr:to>
          <xdr:col>7</xdr:col>
          <xdr:colOff>0</xdr:colOff>
          <xdr:row>3790</xdr:row>
          <xdr:rowOff>165100</xdr:rowOff>
        </xdr:to>
        <xdr:sp macro="" textlink="">
          <xdr:nvSpPr>
            <xdr:cNvPr id="13284" name="Button 2020" hidden="1">
              <a:extLst>
                <a:ext uri="{63B3BB69-23CF-44E3-9099-C40C66FF867C}">
                  <a14:compatExt spid="_x0000_s13284"/>
                </a:ext>
                <a:ext uri="{FF2B5EF4-FFF2-40B4-BE49-F238E27FC236}">
                  <a16:creationId xmlns:a16="http://schemas.microsoft.com/office/drawing/2014/main" id="{00000000-0008-0000-0100-0000E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3791</xdr:row>
          <xdr:rowOff>0</xdr:rowOff>
        </xdr:from>
        <xdr:to>
          <xdr:col>7</xdr:col>
          <xdr:colOff>0</xdr:colOff>
          <xdr:row>3791</xdr:row>
          <xdr:rowOff>165100</xdr:rowOff>
        </xdr:to>
        <xdr:sp macro="" textlink="">
          <xdr:nvSpPr>
            <xdr:cNvPr id="13283" name="Button 2019" hidden="1">
              <a:extLst>
                <a:ext uri="{63B3BB69-23CF-44E3-9099-C40C66FF867C}">
                  <a14:compatExt spid="_x0000_s13283"/>
                </a:ext>
                <a:ext uri="{FF2B5EF4-FFF2-40B4-BE49-F238E27FC236}">
                  <a16:creationId xmlns:a16="http://schemas.microsoft.com/office/drawing/2014/main" id="{00000000-0008-0000-0100-0000E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3792</xdr:row>
          <xdr:rowOff>0</xdr:rowOff>
        </xdr:from>
        <xdr:to>
          <xdr:col>7</xdr:col>
          <xdr:colOff>0</xdr:colOff>
          <xdr:row>3792</xdr:row>
          <xdr:rowOff>165100</xdr:rowOff>
        </xdr:to>
        <xdr:sp macro="" textlink="">
          <xdr:nvSpPr>
            <xdr:cNvPr id="13282" name="Button 2018" hidden="1">
              <a:extLst>
                <a:ext uri="{63B3BB69-23CF-44E3-9099-C40C66FF867C}">
                  <a14:compatExt spid="_x0000_s13282"/>
                </a:ext>
                <a:ext uri="{FF2B5EF4-FFF2-40B4-BE49-F238E27FC236}">
                  <a16:creationId xmlns:a16="http://schemas.microsoft.com/office/drawing/2014/main" id="{00000000-0008-0000-0100-0000E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3793</xdr:row>
          <xdr:rowOff>0</xdr:rowOff>
        </xdr:from>
        <xdr:to>
          <xdr:col>7</xdr:col>
          <xdr:colOff>0</xdr:colOff>
          <xdr:row>3793</xdr:row>
          <xdr:rowOff>165100</xdr:rowOff>
        </xdr:to>
        <xdr:sp macro="" textlink="">
          <xdr:nvSpPr>
            <xdr:cNvPr id="13281" name="Button 2017" hidden="1">
              <a:extLst>
                <a:ext uri="{63B3BB69-23CF-44E3-9099-C40C66FF867C}">
                  <a14:compatExt spid="_x0000_s13281"/>
                </a:ext>
                <a:ext uri="{FF2B5EF4-FFF2-40B4-BE49-F238E27FC236}">
                  <a16:creationId xmlns:a16="http://schemas.microsoft.com/office/drawing/2014/main" id="{00000000-0008-0000-0100-0000E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3794</xdr:row>
          <xdr:rowOff>0</xdr:rowOff>
        </xdr:from>
        <xdr:to>
          <xdr:col>7</xdr:col>
          <xdr:colOff>0</xdr:colOff>
          <xdr:row>3794</xdr:row>
          <xdr:rowOff>165100</xdr:rowOff>
        </xdr:to>
        <xdr:sp macro="" textlink="">
          <xdr:nvSpPr>
            <xdr:cNvPr id="13280" name="Button 2016" hidden="1">
              <a:extLst>
                <a:ext uri="{63B3BB69-23CF-44E3-9099-C40C66FF867C}">
                  <a14:compatExt spid="_x0000_s13280"/>
                </a:ext>
                <a:ext uri="{FF2B5EF4-FFF2-40B4-BE49-F238E27FC236}">
                  <a16:creationId xmlns:a16="http://schemas.microsoft.com/office/drawing/2014/main" id="{00000000-0008-0000-0100-0000E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3797</xdr:row>
          <xdr:rowOff>0</xdr:rowOff>
        </xdr:from>
        <xdr:to>
          <xdr:col>7</xdr:col>
          <xdr:colOff>0</xdr:colOff>
          <xdr:row>3798</xdr:row>
          <xdr:rowOff>0</xdr:rowOff>
        </xdr:to>
        <xdr:sp macro="" textlink="">
          <xdr:nvSpPr>
            <xdr:cNvPr id="13279" name="Button 2015" hidden="1">
              <a:extLst>
                <a:ext uri="{63B3BB69-23CF-44E3-9099-C40C66FF867C}">
                  <a14:compatExt spid="_x0000_s13279"/>
                </a:ext>
                <a:ext uri="{FF2B5EF4-FFF2-40B4-BE49-F238E27FC236}">
                  <a16:creationId xmlns:a16="http://schemas.microsoft.com/office/drawing/2014/main" id="{00000000-0008-0000-0100-0000D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3804</xdr:row>
          <xdr:rowOff>0</xdr:rowOff>
        </xdr:from>
        <xdr:to>
          <xdr:col>7</xdr:col>
          <xdr:colOff>0</xdr:colOff>
          <xdr:row>3804</xdr:row>
          <xdr:rowOff>171450</xdr:rowOff>
        </xdr:to>
        <xdr:sp macro="" textlink="">
          <xdr:nvSpPr>
            <xdr:cNvPr id="13278" name="Button 2014" hidden="1">
              <a:extLst>
                <a:ext uri="{63B3BB69-23CF-44E3-9099-C40C66FF867C}">
                  <a14:compatExt spid="_x0000_s13278"/>
                </a:ext>
                <a:ext uri="{FF2B5EF4-FFF2-40B4-BE49-F238E27FC236}">
                  <a16:creationId xmlns:a16="http://schemas.microsoft.com/office/drawing/2014/main" id="{00000000-0008-0000-0100-0000D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3805</xdr:row>
          <xdr:rowOff>0</xdr:rowOff>
        </xdr:from>
        <xdr:to>
          <xdr:col>7</xdr:col>
          <xdr:colOff>0</xdr:colOff>
          <xdr:row>3805</xdr:row>
          <xdr:rowOff>165100</xdr:rowOff>
        </xdr:to>
        <xdr:sp macro="" textlink="">
          <xdr:nvSpPr>
            <xdr:cNvPr id="13277" name="Button 2013" hidden="1">
              <a:extLst>
                <a:ext uri="{63B3BB69-23CF-44E3-9099-C40C66FF867C}">
                  <a14:compatExt spid="_x0000_s13277"/>
                </a:ext>
                <a:ext uri="{FF2B5EF4-FFF2-40B4-BE49-F238E27FC236}">
                  <a16:creationId xmlns:a16="http://schemas.microsoft.com/office/drawing/2014/main" id="{00000000-0008-0000-0100-0000D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3806</xdr:row>
          <xdr:rowOff>0</xdr:rowOff>
        </xdr:from>
        <xdr:to>
          <xdr:col>7</xdr:col>
          <xdr:colOff>0</xdr:colOff>
          <xdr:row>3806</xdr:row>
          <xdr:rowOff>165100</xdr:rowOff>
        </xdr:to>
        <xdr:sp macro="" textlink="">
          <xdr:nvSpPr>
            <xdr:cNvPr id="13276" name="Button 2012" hidden="1">
              <a:extLst>
                <a:ext uri="{63B3BB69-23CF-44E3-9099-C40C66FF867C}">
                  <a14:compatExt spid="_x0000_s13276"/>
                </a:ext>
                <a:ext uri="{FF2B5EF4-FFF2-40B4-BE49-F238E27FC236}">
                  <a16:creationId xmlns:a16="http://schemas.microsoft.com/office/drawing/2014/main" id="{00000000-0008-0000-0100-0000D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3807</xdr:row>
          <xdr:rowOff>0</xdr:rowOff>
        </xdr:from>
        <xdr:to>
          <xdr:col>7</xdr:col>
          <xdr:colOff>0</xdr:colOff>
          <xdr:row>3807</xdr:row>
          <xdr:rowOff>165100</xdr:rowOff>
        </xdr:to>
        <xdr:sp macro="" textlink="">
          <xdr:nvSpPr>
            <xdr:cNvPr id="13275" name="Button 2011" hidden="1">
              <a:extLst>
                <a:ext uri="{63B3BB69-23CF-44E3-9099-C40C66FF867C}">
                  <a14:compatExt spid="_x0000_s13275"/>
                </a:ext>
                <a:ext uri="{FF2B5EF4-FFF2-40B4-BE49-F238E27FC236}">
                  <a16:creationId xmlns:a16="http://schemas.microsoft.com/office/drawing/2014/main" id="{00000000-0008-0000-0100-0000D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3808</xdr:row>
          <xdr:rowOff>0</xdr:rowOff>
        </xdr:from>
        <xdr:to>
          <xdr:col>7</xdr:col>
          <xdr:colOff>0</xdr:colOff>
          <xdr:row>3808</xdr:row>
          <xdr:rowOff>165100</xdr:rowOff>
        </xdr:to>
        <xdr:sp macro="" textlink="">
          <xdr:nvSpPr>
            <xdr:cNvPr id="13274" name="Button 2010" hidden="1">
              <a:extLst>
                <a:ext uri="{63B3BB69-23CF-44E3-9099-C40C66FF867C}">
                  <a14:compatExt spid="_x0000_s13274"/>
                </a:ext>
                <a:ext uri="{FF2B5EF4-FFF2-40B4-BE49-F238E27FC236}">
                  <a16:creationId xmlns:a16="http://schemas.microsoft.com/office/drawing/2014/main" id="{00000000-0008-0000-0100-0000D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3809</xdr:row>
          <xdr:rowOff>0</xdr:rowOff>
        </xdr:from>
        <xdr:to>
          <xdr:col>7</xdr:col>
          <xdr:colOff>0</xdr:colOff>
          <xdr:row>3809</xdr:row>
          <xdr:rowOff>165100</xdr:rowOff>
        </xdr:to>
        <xdr:sp macro="" textlink="">
          <xdr:nvSpPr>
            <xdr:cNvPr id="13273" name="Button 2009" hidden="1">
              <a:extLst>
                <a:ext uri="{63B3BB69-23CF-44E3-9099-C40C66FF867C}">
                  <a14:compatExt spid="_x0000_s13273"/>
                </a:ext>
                <a:ext uri="{FF2B5EF4-FFF2-40B4-BE49-F238E27FC236}">
                  <a16:creationId xmlns:a16="http://schemas.microsoft.com/office/drawing/2014/main" id="{00000000-0008-0000-0100-0000D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3810</xdr:row>
          <xdr:rowOff>0</xdr:rowOff>
        </xdr:from>
        <xdr:to>
          <xdr:col>7</xdr:col>
          <xdr:colOff>0</xdr:colOff>
          <xdr:row>3810</xdr:row>
          <xdr:rowOff>165100</xdr:rowOff>
        </xdr:to>
        <xdr:sp macro="" textlink="">
          <xdr:nvSpPr>
            <xdr:cNvPr id="13272" name="Button 2008" hidden="1">
              <a:extLst>
                <a:ext uri="{63B3BB69-23CF-44E3-9099-C40C66FF867C}">
                  <a14:compatExt spid="_x0000_s13272"/>
                </a:ext>
                <a:ext uri="{FF2B5EF4-FFF2-40B4-BE49-F238E27FC236}">
                  <a16:creationId xmlns:a16="http://schemas.microsoft.com/office/drawing/2014/main" id="{00000000-0008-0000-0100-0000D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3813</xdr:row>
          <xdr:rowOff>0</xdr:rowOff>
        </xdr:from>
        <xdr:to>
          <xdr:col>7</xdr:col>
          <xdr:colOff>0</xdr:colOff>
          <xdr:row>3814</xdr:row>
          <xdr:rowOff>0</xdr:rowOff>
        </xdr:to>
        <xdr:sp macro="" textlink="">
          <xdr:nvSpPr>
            <xdr:cNvPr id="13271" name="Button 2007" hidden="1">
              <a:extLst>
                <a:ext uri="{63B3BB69-23CF-44E3-9099-C40C66FF867C}">
                  <a14:compatExt spid="_x0000_s13271"/>
                </a:ext>
                <a:ext uri="{FF2B5EF4-FFF2-40B4-BE49-F238E27FC236}">
                  <a16:creationId xmlns:a16="http://schemas.microsoft.com/office/drawing/2014/main" id="{00000000-0008-0000-0100-0000D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3820</xdr:row>
          <xdr:rowOff>0</xdr:rowOff>
        </xdr:from>
        <xdr:to>
          <xdr:col>7</xdr:col>
          <xdr:colOff>0</xdr:colOff>
          <xdr:row>3820</xdr:row>
          <xdr:rowOff>171450</xdr:rowOff>
        </xdr:to>
        <xdr:sp macro="" textlink="">
          <xdr:nvSpPr>
            <xdr:cNvPr id="13270" name="Button 2006" hidden="1">
              <a:extLst>
                <a:ext uri="{63B3BB69-23CF-44E3-9099-C40C66FF867C}">
                  <a14:compatExt spid="_x0000_s13270"/>
                </a:ext>
                <a:ext uri="{FF2B5EF4-FFF2-40B4-BE49-F238E27FC236}">
                  <a16:creationId xmlns:a16="http://schemas.microsoft.com/office/drawing/2014/main" id="{00000000-0008-0000-0100-0000D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3821</xdr:row>
          <xdr:rowOff>0</xdr:rowOff>
        </xdr:from>
        <xdr:to>
          <xdr:col>7</xdr:col>
          <xdr:colOff>0</xdr:colOff>
          <xdr:row>3821</xdr:row>
          <xdr:rowOff>165100</xdr:rowOff>
        </xdr:to>
        <xdr:sp macro="" textlink="">
          <xdr:nvSpPr>
            <xdr:cNvPr id="13269" name="Button 2005" hidden="1">
              <a:extLst>
                <a:ext uri="{63B3BB69-23CF-44E3-9099-C40C66FF867C}">
                  <a14:compatExt spid="_x0000_s13269"/>
                </a:ext>
                <a:ext uri="{FF2B5EF4-FFF2-40B4-BE49-F238E27FC236}">
                  <a16:creationId xmlns:a16="http://schemas.microsoft.com/office/drawing/2014/main" id="{00000000-0008-0000-0100-0000D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3822</xdr:row>
          <xdr:rowOff>0</xdr:rowOff>
        </xdr:from>
        <xdr:to>
          <xdr:col>7</xdr:col>
          <xdr:colOff>0</xdr:colOff>
          <xdr:row>3822</xdr:row>
          <xdr:rowOff>165100</xdr:rowOff>
        </xdr:to>
        <xdr:sp macro="" textlink="">
          <xdr:nvSpPr>
            <xdr:cNvPr id="13268" name="Button 2004" hidden="1">
              <a:extLst>
                <a:ext uri="{63B3BB69-23CF-44E3-9099-C40C66FF867C}">
                  <a14:compatExt spid="_x0000_s13268"/>
                </a:ext>
                <a:ext uri="{FF2B5EF4-FFF2-40B4-BE49-F238E27FC236}">
                  <a16:creationId xmlns:a16="http://schemas.microsoft.com/office/drawing/2014/main" id="{00000000-0008-0000-0100-0000D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3825</xdr:row>
          <xdr:rowOff>0</xdr:rowOff>
        </xdr:from>
        <xdr:to>
          <xdr:col>7</xdr:col>
          <xdr:colOff>0</xdr:colOff>
          <xdr:row>3826</xdr:row>
          <xdr:rowOff>0</xdr:rowOff>
        </xdr:to>
        <xdr:sp macro="" textlink="">
          <xdr:nvSpPr>
            <xdr:cNvPr id="13267" name="Button 2003" hidden="1">
              <a:extLst>
                <a:ext uri="{63B3BB69-23CF-44E3-9099-C40C66FF867C}">
                  <a14:compatExt spid="_x0000_s13267"/>
                </a:ext>
                <a:ext uri="{FF2B5EF4-FFF2-40B4-BE49-F238E27FC236}">
                  <a16:creationId xmlns:a16="http://schemas.microsoft.com/office/drawing/2014/main" id="{00000000-0008-0000-0100-0000D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3832</xdr:row>
          <xdr:rowOff>0</xdr:rowOff>
        </xdr:from>
        <xdr:to>
          <xdr:col>7</xdr:col>
          <xdr:colOff>0</xdr:colOff>
          <xdr:row>3832</xdr:row>
          <xdr:rowOff>171450</xdr:rowOff>
        </xdr:to>
        <xdr:sp macro="" textlink="">
          <xdr:nvSpPr>
            <xdr:cNvPr id="13266" name="Button 2002" hidden="1">
              <a:extLst>
                <a:ext uri="{63B3BB69-23CF-44E3-9099-C40C66FF867C}">
                  <a14:compatExt spid="_x0000_s13266"/>
                </a:ext>
                <a:ext uri="{FF2B5EF4-FFF2-40B4-BE49-F238E27FC236}">
                  <a16:creationId xmlns:a16="http://schemas.microsoft.com/office/drawing/2014/main" id="{00000000-0008-0000-0100-0000D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3833</xdr:row>
          <xdr:rowOff>0</xdr:rowOff>
        </xdr:from>
        <xdr:to>
          <xdr:col>7</xdr:col>
          <xdr:colOff>0</xdr:colOff>
          <xdr:row>3833</xdr:row>
          <xdr:rowOff>165100</xdr:rowOff>
        </xdr:to>
        <xdr:sp macro="" textlink="">
          <xdr:nvSpPr>
            <xdr:cNvPr id="13265" name="Button 2001" hidden="1">
              <a:extLst>
                <a:ext uri="{63B3BB69-23CF-44E3-9099-C40C66FF867C}">
                  <a14:compatExt spid="_x0000_s13265"/>
                </a:ext>
                <a:ext uri="{FF2B5EF4-FFF2-40B4-BE49-F238E27FC236}">
                  <a16:creationId xmlns:a16="http://schemas.microsoft.com/office/drawing/2014/main" id="{00000000-0008-0000-0100-0000D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3834</xdr:row>
          <xdr:rowOff>0</xdr:rowOff>
        </xdr:from>
        <xdr:to>
          <xdr:col>7</xdr:col>
          <xdr:colOff>0</xdr:colOff>
          <xdr:row>3834</xdr:row>
          <xdr:rowOff>165100</xdr:rowOff>
        </xdr:to>
        <xdr:sp macro="" textlink="">
          <xdr:nvSpPr>
            <xdr:cNvPr id="13264" name="Button 2000" hidden="1">
              <a:extLst>
                <a:ext uri="{63B3BB69-23CF-44E3-9099-C40C66FF867C}">
                  <a14:compatExt spid="_x0000_s13264"/>
                </a:ext>
                <a:ext uri="{FF2B5EF4-FFF2-40B4-BE49-F238E27FC236}">
                  <a16:creationId xmlns:a16="http://schemas.microsoft.com/office/drawing/2014/main" id="{00000000-0008-0000-0100-0000D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3835</xdr:row>
          <xdr:rowOff>0</xdr:rowOff>
        </xdr:from>
        <xdr:to>
          <xdr:col>7</xdr:col>
          <xdr:colOff>0</xdr:colOff>
          <xdr:row>3835</xdr:row>
          <xdr:rowOff>165100</xdr:rowOff>
        </xdr:to>
        <xdr:sp macro="" textlink="">
          <xdr:nvSpPr>
            <xdr:cNvPr id="13263" name="Button 1999" hidden="1">
              <a:extLst>
                <a:ext uri="{63B3BB69-23CF-44E3-9099-C40C66FF867C}">
                  <a14:compatExt spid="_x0000_s13263"/>
                </a:ext>
                <a:ext uri="{FF2B5EF4-FFF2-40B4-BE49-F238E27FC236}">
                  <a16:creationId xmlns:a16="http://schemas.microsoft.com/office/drawing/2014/main" id="{00000000-0008-0000-0100-0000C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3838</xdr:row>
          <xdr:rowOff>0</xdr:rowOff>
        </xdr:from>
        <xdr:to>
          <xdr:col>7</xdr:col>
          <xdr:colOff>0</xdr:colOff>
          <xdr:row>3839</xdr:row>
          <xdr:rowOff>0</xdr:rowOff>
        </xdr:to>
        <xdr:sp macro="" textlink="">
          <xdr:nvSpPr>
            <xdr:cNvPr id="13262" name="Button 1998" hidden="1">
              <a:extLst>
                <a:ext uri="{63B3BB69-23CF-44E3-9099-C40C66FF867C}">
                  <a14:compatExt spid="_x0000_s13262"/>
                </a:ext>
                <a:ext uri="{FF2B5EF4-FFF2-40B4-BE49-F238E27FC236}">
                  <a16:creationId xmlns:a16="http://schemas.microsoft.com/office/drawing/2014/main" id="{00000000-0008-0000-0100-0000C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3845</xdr:row>
          <xdr:rowOff>0</xdr:rowOff>
        </xdr:from>
        <xdr:to>
          <xdr:col>7</xdr:col>
          <xdr:colOff>0</xdr:colOff>
          <xdr:row>3845</xdr:row>
          <xdr:rowOff>171450</xdr:rowOff>
        </xdr:to>
        <xdr:sp macro="" textlink="">
          <xdr:nvSpPr>
            <xdr:cNvPr id="13261" name="Button 1997" hidden="1">
              <a:extLst>
                <a:ext uri="{63B3BB69-23CF-44E3-9099-C40C66FF867C}">
                  <a14:compatExt spid="_x0000_s13261"/>
                </a:ext>
                <a:ext uri="{FF2B5EF4-FFF2-40B4-BE49-F238E27FC236}">
                  <a16:creationId xmlns:a16="http://schemas.microsoft.com/office/drawing/2014/main" id="{00000000-0008-0000-0100-0000C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3846</xdr:row>
          <xdr:rowOff>0</xdr:rowOff>
        </xdr:from>
        <xdr:to>
          <xdr:col>7</xdr:col>
          <xdr:colOff>0</xdr:colOff>
          <xdr:row>3846</xdr:row>
          <xdr:rowOff>165100</xdr:rowOff>
        </xdr:to>
        <xdr:sp macro="" textlink="">
          <xdr:nvSpPr>
            <xdr:cNvPr id="13260" name="Button 1996" hidden="1">
              <a:extLst>
                <a:ext uri="{63B3BB69-23CF-44E3-9099-C40C66FF867C}">
                  <a14:compatExt spid="_x0000_s13260"/>
                </a:ext>
                <a:ext uri="{FF2B5EF4-FFF2-40B4-BE49-F238E27FC236}">
                  <a16:creationId xmlns:a16="http://schemas.microsoft.com/office/drawing/2014/main" id="{00000000-0008-0000-0100-0000C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3847</xdr:row>
          <xdr:rowOff>0</xdr:rowOff>
        </xdr:from>
        <xdr:to>
          <xdr:col>7</xdr:col>
          <xdr:colOff>0</xdr:colOff>
          <xdr:row>3847</xdr:row>
          <xdr:rowOff>165100</xdr:rowOff>
        </xdr:to>
        <xdr:sp macro="" textlink="">
          <xdr:nvSpPr>
            <xdr:cNvPr id="13259" name="Button 1995" hidden="1">
              <a:extLst>
                <a:ext uri="{63B3BB69-23CF-44E3-9099-C40C66FF867C}">
                  <a14:compatExt spid="_x0000_s13259"/>
                </a:ext>
                <a:ext uri="{FF2B5EF4-FFF2-40B4-BE49-F238E27FC236}">
                  <a16:creationId xmlns:a16="http://schemas.microsoft.com/office/drawing/2014/main" id="{00000000-0008-0000-0100-0000C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3848</xdr:row>
          <xdr:rowOff>0</xdr:rowOff>
        </xdr:from>
        <xdr:to>
          <xdr:col>7</xdr:col>
          <xdr:colOff>0</xdr:colOff>
          <xdr:row>3848</xdr:row>
          <xdr:rowOff>165100</xdr:rowOff>
        </xdr:to>
        <xdr:sp macro="" textlink="">
          <xdr:nvSpPr>
            <xdr:cNvPr id="13258" name="Button 1994" hidden="1">
              <a:extLst>
                <a:ext uri="{63B3BB69-23CF-44E3-9099-C40C66FF867C}">
                  <a14:compatExt spid="_x0000_s13258"/>
                </a:ext>
                <a:ext uri="{FF2B5EF4-FFF2-40B4-BE49-F238E27FC236}">
                  <a16:creationId xmlns:a16="http://schemas.microsoft.com/office/drawing/2014/main" id="{00000000-0008-0000-0100-0000C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3849</xdr:row>
          <xdr:rowOff>0</xdr:rowOff>
        </xdr:from>
        <xdr:to>
          <xdr:col>7</xdr:col>
          <xdr:colOff>0</xdr:colOff>
          <xdr:row>3849</xdr:row>
          <xdr:rowOff>165100</xdr:rowOff>
        </xdr:to>
        <xdr:sp macro="" textlink="">
          <xdr:nvSpPr>
            <xdr:cNvPr id="13257" name="Button 1993" hidden="1">
              <a:extLst>
                <a:ext uri="{63B3BB69-23CF-44E3-9099-C40C66FF867C}">
                  <a14:compatExt spid="_x0000_s13257"/>
                </a:ext>
                <a:ext uri="{FF2B5EF4-FFF2-40B4-BE49-F238E27FC236}">
                  <a16:creationId xmlns:a16="http://schemas.microsoft.com/office/drawing/2014/main" id="{00000000-0008-0000-0100-0000C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3850</xdr:row>
          <xdr:rowOff>0</xdr:rowOff>
        </xdr:from>
        <xdr:to>
          <xdr:col>7</xdr:col>
          <xdr:colOff>0</xdr:colOff>
          <xdr:row>3850</xdr:row>
          <xdr:rowOff>165100</xdr:rowOff>
        </xdr:to>
        <xdr:sp macro="" textlink="">
          <xdr:nvSpPr>
            <xdr:cNvPr id="13256" name="Button 1992" hidden="1">
              <a:extLst>
                <a:ext uri="{63B3BB69-23CF-44E3-9099-C40C66FF867C}">
                  <a14:compatExt spid="_x0000_s13256"/>
                </a:ext>
                <a:ext uri="{FF2B5EF4-FFF2-40B4-BE49-F238E27FC236}">
                  <a16:creationId xmlns:a16="http://schemas.microsoft.com/office/drawing/2014/main" id="{00000000-0008-0000-0100-0000C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3851</xdr:row>
          <xdr:rowOff>0</xdr:rowOff>
        </xdr:from>
        <xdr:to>
          <xdr:col>7</xdr:col>
          <xdr:colOff>0</xdr:colOff>
          <xdr:row>3851</xdr:row>
          <xdr:rowOff>165100</xdr:rowOff>
        </xdr:to>
        <xdr:sp macro="" textlink="">
          <xdr:nvSpPr>
            <xdr:cNvPr id="13255" name="Button 1991" hidden="1">
              <a:extLst>
                <a:ext uri="{63B3BB69-23CF-44E3-9099-C40C66FF867C}">
                  <a14:compatExt spid="_x0000_s13255"/>
                </a:ext>
                <a:ext uri="{FF2B5EF4-FFF2-40B4-BE49-F238E27FC236}">
                  <a16:creationId xmlns:a16="http://schemas.microsoft.com/office/drawing/2014/main" id="{00000000-0008-0000-0100-0000C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3852</xdr:row>
          <xdr:rowOff>0</xdr:rowOff>
        </xdr:from>
        <xdr:to>
          <xdr:col>7</xdr:col>
          <xdr:colOff>0</xdr:colOff>
          <xdr:row>3852</xdr:row>
          <xdr:rowOff>165100</xdr:rowOff>
        </xdr:to>
        <xdr:sp macro="" textlink="">
          <xdr:nvSpPr>
            <xdr:cNvPr id="13254" name="Button 1990" hidden="1">
              <a:extLst>
                <a:ext uri="{63B3BB69-23CF-44E3-9099-C40C66FF867C}">
                  <a14:compatExt spid="_x0000_s13254"/>
                </a:ext>
                <a:ext uri="{FF2B5EF4-FFF2-40B4-BE49-F238E27FC236}">
                  <a16:creationId xmlns:a16="http://schemas.microsoft.com/office/drawing/2014/main" id="{00000000-0008-0000-0100-0000C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3853</xdr:row>
          <xdr:rowOff>0</xdr:rowOff>
        </xdr:from>
        <xdr:to>
          <xdr:col>7</xdr:col>
          <xdr:colOff>0</xdr:colOff>
          <xdr:row>3853</xdr:row>
          <xdr:rowOff>165100</xdr:rowOff>
        </xdr:to>
        <xdr:sp macro="" textlink="">
          <xdr:nvSpPr>
            <xdr:cNvPr id="13253" name="Button 1989" hidden="1">
              <a:extLst>
                <a:ext uri="{63B3BB69-23CF-44E3-9099-C40C66FF867C}">
                  <a14:compatExt spid="_x0000_s13253"/>
                </a:ext>
                <a:ext uri="{FF2B5EF4-FFF2-40B4-BE49-F238E27FC236}">
                  <a16:creationId xmlns:a16="http://schemas.microsoft.com/office/drawing/2014/main" id="{00000000-0008-0000-0100-0000C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3854</xdr:row>
          <xdr:rowOff>0</xdr:rowOff>
        </xdr:from>
        <xdr:to>
          <xdr:col>7</xdr:col>
          <xdr:colOff>0</xdr:colOff>
          <xdr:row>3854</xdr:row>
          <xdr:rowOff>165100</xdr:rowOff>
        </xdr:to>
        <xdr:sp macro="" textlink="">
          <xdr:nvSpPr>
            <xdr:cNvPr id="13252" name="Button 1988" hidden="1">
              <a:extLst>
                <a:ext uri="{63B3BB69-23CF-44E3-9099-C40C66FF867C}">
                  <a14:compatExt spid="_x0000_s13252"/>
                </a:ext>
                <a:ext uri="{FF2B5EF4-FFF2-40B4-BE49-F238E27FC236}">
                  <a16:creationId xmlns:a16="http://schemas.microsoft.com/office/drawing/2014/main" id="{00000000-0008-0000-0100-0000C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3855</xdr:row>
          <xdr:rowOff>0</xdr:rowOff>
        </xdr:from>
        <xdr:to>
          <xdr:col>7</xdr:col>
          <xdr:colOff>0</xdr:colOff>
          <xdr:row>3855</xdr:row>
          <xdr:rowOff>165100</xdr:rowOff>
        </xdr:to>
        <xdr:sp macro="" textlink="">
          <xdr:nvSpPr>
            <xdr:cNvPr id="13251" name="Button 1987" hidden="1">
              <a:extLst>
                <a:ext uri="{63B3BB69-23CF-44E3-9099-C40C66FF867C}">
                  <a14:compatExt spid="_x0000_s13251"/>
                </a:ext>
                <a:ext uri="{FF2B5EF4-FFF2-40B4-BE49-F238E27FC236}">
                  <a16:creationId xmlns:a16="http://schemas.microsoft.com/office/drawing/2014/main" id="{00000000-0008-0000-0100-0000C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3856</xdr:row>
          <xdr:rowOff>0</xdr:rowOff>
        </xdr:from>
        <xdr:to>
          <xdr:col>7</xdr:col>
          <xdr:colOff>0</xdr:colOff>
          <xdr:row>3856</xdr:row>
          <xdr:rowOff>165100</xdr:rowOff>
        </xdr:to>
        <xdr:sp macro="" textlink="">
          <xdr:nvSpPr>
            <xdr:cNvPr id="13250" name="Button 1986" hidden="1">
              <a:extLst>
                <a:ext uri="{63B3BB69-23CF-44E3-9099-C40C66FF867C}">
                  <a14:compatExt spid="_x0000_s13250"/>
                </a:ext>
                <a:ext uri="{FF2B5EF4-FFF2-40B4-BE49-F238E27FC236}">
                  <a16:creationId xmlns:a16="http://schemas.microsoft.com/office/drawing/2014/main" id="{00000000-0008-0000-0100-0000C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3857</xdr:row>
          <xdr:rowOff>0</xdr:rowOff>
        </xdr:from>
        <xdr:to>
          <xdr:col>7</xdr:col>
          <xdr:colOff>0</xdr:colOff>
          <xdr:row>3857</xdr:row>
          <xdr:rowOff>165100</xdr:rowOff>
        </xdr:to>
        <xdr:sp macro="" textlink="">
          <xdr:nvSpPr>
            <xdr:cNvPr id="13249" name="Button 1985" hidden="1">
              <a:extLst>
                <a:ext uri="{63B3BB69-23CF-44E3-9099-C40C66FF867C}">
                  <a14:compatExt spid="_x0000_s13249"/>
                </a:ext>
                <a:ext uri="{FF2B5EF4-FFF2-40B4-BE49-F238E27FC236}">
                  <a16:creationId xmlns:a16="http://schemas.microsoft.com/office/drawing/2014/main" id="{00000000-0008-0000-0100-0000C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3858</xdr:row>
          <xdr:rowOff>0</xdr:rowOff>
        </xdr:from>
        <xdr:to>
          <xdr:col>7</xdr:col>
          <xdr:colOff>0</xdr:colOff>
          <xdr:row>3858</xdr:row>
          <xdr:rowOff>165100</xdr:rowOff>
        </xdr:to>
        <xdr:sp macro="" textlink="">
          <xdr:nvSpPr>
            <xdr:cNvPr id="13248" name="Button 1984" hidden="1">
              <a:extLst>
                <a:ext uri="{63B3BB69-23CF-44E3-9099-C40C66FF867C}">
                  <a14:compatExt spid="_x0000_s13248"/>
                </a:ext>
                <a:ext uri="{FF2B5EF4-FFF2-40B4-BE49-F238E27FC236}">
                  <a16:creationId xmlns:a16="http://schemas.microsoft.com/office/drawing/2014/main" id="{00000000-0008-0000-0100-0000C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3861</xdr:row>
          <xdr:rowOff>0</xdr:rowOff>
        </xdr:from>
        <xdr:to>
          <xdr:col>7</xdr:col>
          <xdr:colOff>0</xdr:colOff>
          <xdr:row>3862</xdr:row>
          <xdr:rowOff>0</xdr:rowOff>
        </xdr:to>
        <xdr:sp macro="" textlink="">
          <xdr:nvSpPr>
            <xdr:cNvPr id="13247" name="Button 1983" hidden="1">
              <a:extLst>
                <a:ext uri="{63B3BB69-23CF-44E3-9099-C40C66FF867C}">
                  <a14:compatExt spid="_x0000_s13247"/>
                </a:ext>
                <a:ext uri="{FF2B5EF4-FFF2-40B4-BE49-F238E27FC236}">
                  <a16:creationId xmlns:a16="http://schemas.microsoft.com/office/drawing/2014/main" id="{00000000-0008-0000-0100-0000B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3868</xdr:row>
          <xdr:rowOff>0</xdr:rowOff>
        </xdr:from>
        <xdr:to>
          <xdr:col>7</xdr:col>
          <xdr:colOff>0</xdr:colOff>
          <xdr:row>3868</xdr:row>
          <xdr:rowOff>171450</xdr:rowOff>
        </xdr:to>
        <xdr:sp macro="" textlink="">
          <xdr:nvSpPr>
            <xdr:cNvPr id="13246" name="Button 1982" hidden="1">
              <a:extLst>
                <a:ext uri="{63B3BB69-23CF-44E3-9099-C40C66FF867C}">
                  <a14:compatExt spid="_x0000_s13246"/>
                </a:ext>
                <a:ext uri="{FF2B5EF4-FFF2-40B4-BE49-F238E27FC236}">
                  <a16:creationId xmlns:a16="http://schemas.microsoft.com/office/drawing/2014/main" id="{00000000-0008-0000-0100-0000B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3869</xdr:row>
          <xdr:rowOff>0</xdr:rowOff>
        </xdr:from>
        <xdr:to>
          <xdr:col>7</xdr:col>
          <xdr:colOff>0</xdr:colOff>
          <xdr:row>3869</xdr:row>
          <xdr:rowOff>165100</xdr:rowOff>
        </xdr:to>
        <xdr:sp macro="" textlink="">
          <xdr:nvSpPr>
            <xdr:cNvPr id="13245" name="Button 1981" hidden="1">
              <a:extLst>
                <a:ext uri="{63B3BB69-23CF-44E3-9099-C40C66FF867C}">
                  <a14:compatExt spid="_x0000_s13245"/>
                </a:ext>
                <a:ext uri="{FF2B5EF4-FFF2-40B4-BE49-F238E27FC236}">
                  <a16:creationId xmlns:a16="http://schemas.microsoft.com/office/drawing/2014/main" id="{00000000-0008-0000-0100-0000B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3870</xdr:row>
          <xdr:rowOff>0</xdr:rowOff>
        </xdr:from>
        <xdr:to>
          <xdr:col>7</xdr:col>
          <xdr:colOff>0</xdr:colOff>
          <xdr:row>3870</xdr:row>
          <xdr:rowOff>165100</xdr:rowOff>
        </xdr:to>
        <xdr:sp macro="" textlink="">
          <xdr:nvSpPr>
            <xdr:cNvPr id="13244" name="Button 1980" hidden="1">
              <a:extLst>
                <a:ext uri="{63B3BB69-23CF-44E3-9099-C40C66FF867C}">
                  <a14:compatExt spid="_x0000_s13244"/>
                </a:ext>
                <a:ext uri="{FF2B5EF4-FFF2-40B4-BE49-F238E27FC236}">
                  <a16:creationId xmlns:a16="http://schemas.microsoft.com/office/drawing/2014/main" id="{00000000-0008-0000-0100-0000B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3871</xdr:row>
          <xdr:rowOff>0</xdr:rowOff>
        </xdr:from>
        <xdr:to>
          <xdr:col>7</xdr:col>
          <xdr:colOff>0</xdr:colOff>
          <xdr:row>3871</xdr:row>
          <xdr:rowOff>165100</xdr:rowOff>
        </xdr:to>
        <xdr:sp macro="" textlink="">
          <xdr:nvSpPr>
            <xdr:cNvPr id="13243" name="Button 1979" hidden="1">
              <a:extLst>
                <a:ext uri="{63B3BB69-23CF-44E3-9099-C40C66FF867C}">
                  <a14:compatExt spid="_x0000_s13243"/>
                </a:ext>
                <a:ext uri="{FF2B5EF4-FFF2-40B4-BE49-F238E27FC236}">
                  <a16:creationId xmlns:a16="http://schemas.microsoft.com/office/drawing/2014/main" id="{00000000-0008-0000-0100-0000B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3872</xdr:row>
          <xdr:rowOff>0</xdr:rowOff>
        </xdr:from>
        <xdr:to>
          <xdr:col>7</xdr:col>
          <xdr:colOff>0</xdr:colOff>
          <xdr:row>3872</xdr:row>
          <xdr:rowOff>165100</xdr:rowOff>
        </xdr:to>
        <xdr:sp macro="" textlink="">
          <xdr:nvSpPr>
            <xdr:cNvPr id="13242" name="Button 1978" hidden="1">
              <a:extLst>
                <a:ext uri="{63B3BB69-23CF-44E3-9099-C40C66FF867C}">
                  <a14:compatExt spid="_x0000_s13242"/>
                </a:ext>
                <a:ext uri="{FF2B5EF4-FFF2-40B4-BE49-F238E27FC236}">
                  <a16:creationId xmlns:a16="http://schemas.microsoft.com/office/drawing/2014/main" id="{00000000-0008-0000-0100-0000B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3873</xdr:row>
          <xdr:rowOff>0</xdr:rowOff>
        </xdr:from>
        <xdr:to>
          <xdr:col>7</xdr:col>
          <xdr:colOff>0</xdr:colOff>
          <xdr:row>3873</xdr:row>
          <xdr:rowOff>165100</xdr:rowOff>
        </xdr:to>
        <xdr:sp macro="" textlink="">
          <xdr:nvSpPr>
            <xdr:cNvPr id="13241" name="Button 1977" hidden="1">
              <a:extLst>
                <a:ext uri="{63B3BB69-23CF-44E3-9099-C40C66FF867C}">
                  <a14:compatExt spid="_x0000_s13241"/>
                </a:ext>
                <a:ext uri="{FF2B5EF4-FFF2-40B4-BE49-F238E27FC236}">
                  <a16:creationId xmlns:a16="http://schemas.microsoft.com/office/drawing/2014/main" id="{00000000-0008-0000-0100-0000B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3874</xdr:row>
          <xdr:rowOff>0</xdr:rowOff>
        </xdr:from>
        <xdr:to>
          <xdr:col>7</xdr:col>
          <xdr:colOff>0</xdr:colOff>
          <xdr:row>3874</xdr:row>
          <xdr:rowOff>165100</xdr:rowOff>
        </xdr:to>
        <xdr:sp macro="" textlink="">
          <xdr:nvSpPr>
            <xdr:cNvPr id="13240" name="Button 1976" hidden="1">
              <a:extLst>
                <a:ext uri="{63B3BB69-23CF-44E3-9099-C40C66FF867C}">
                  <a14:compatExt spid="_x0000_s13240"/>
                </a:ext>
                <a:ext uri="{FF2B5EF4-FFF2-40B4-BE49-F238E27FC236}">
                  <a16:creationId xmlns:a16="http://schemas.microsoft.com/office/drawing/2014/main" id="{00000000-0008-0000-0100-0000B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3875</xdr:row>
          <xdr:rowOff>0</xdr:rowOff>
        </xdr:from>
        <xdr:to>
          <xdr:col>7</xdr:col>
          <xdr:colOff>0</xdr:colOff>
          <xdr:row>3875</xdr:row>
          <xdr:rowOff>165100</xdr:rowOff>
        </xdr:to>
        <xdr:sp macro="" textlink="">
          <xdr:nvSpPr>
            <xdr:cNvPr id="13239" name="Button 1975" hidden="1">
              <a:extLst>
                <a:ext uri="{63B3BB69-23CF-44E3-9099-C40C66FF867C}">
                  <a14:compatExt spid="_x0000_s13239"/>
                </a:ext>
                <a:ext uri="{FF2B5EF4-FFF2-40B4-BE49-F238E27FC236}">
                  <a16:creationId xmlns:a16="http://schemas.microsoft.com/office/drawing/2014/main" id="{00000000-0008-0000-0100-0000B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3876</xdr:row>
          <xdr:rowOff>0</xdr:rowOff>
        </xdr:from>
        <xdr:to>
          <xdr:col>7</xdr:col>
          <xdr:colOff>0</xdr:colOff>
          <xdr:row>3876</xdr:row>
          <xdr:rowOff>165100</xdr:rowOff>
        </xdr:to>
        <xdr:sp macro="" textlink="">
          <xdr:nvSpPr>
            <xdr:cNvPr id="13238" name="Button 1974" hidden="1">
              <a:extLst>
                <a:ext uri="{63B3BB69-23CF-44E3-9099-C40C66FF867C}">
                  <a14:compatExt spid="_x0000_s13238"/>
                </a:ext>
                <a:ext uri="{FF2B5EF4-FFF2-40B4-BE49-F238E27FC236}">
                  <a16:creationId xmlns:a16="http://schemas.microsoft.com/office/drawing/2014/main" id="{00000000-0008-0000-0100-0000B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3877</xdr:row>
          <xdr:rowOff>0</xdr:rowOff>
        </xdr:from>
        <xdr:to>
          <xdr:col>7</xdr:col>
          <xdr:colOff>0</xdr:colOff>
          <xdr:row>3877</xdr:row>
          <xdr:rowOff>165100</xdr:rowOff>
        </xdr:to>
        <xdr:sp macro="" textlink="">
          <xdr:nvSpPr>
            <xdr:cNvPr id="13237" name="Button 1973" hidden="1">
              <a:extLst>
                <a:ext uri="{63B3BB69-23CF-44E3-9099-C40C66FF867C}">
                  <a14:compatExt spid="_x0000_s13237"/>
                </a:ext>
                <a:ext uri="{FF2B5EF4-FFF2-40B4-BE49-F238E27FC236}">
                  <a16:creationId xmlns:a16="http://schemas.microsoft.com/office/drawing/2014/main" id="{00000000-0008-0000-0100-0000B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3878</xdr:row>
          <xdr:rowOff>0</xdr:rowOff>
        </xdr:from>
        <xdr:to>
          <xdr:col>7</xdr:col>
          <xdr:colOff>0</xdr:colOff>
          <xdr:row>3878</xdr:row>
          <xdr:rowOff>165100</xdr:rowOff>
        </xdr:to>
        <xdr:sp macro="" textlink="">
          <xdr:nvSpPr>
            <xdr:cNvPr id="13236" name="Button 1972" hidden="1">
              <a:extLst>
                <a:ext uri="{63B3BB69-23CF-44E3-9099-C40C66FF867C}">
                  <a14:compatExt spid="_x0000_s13236"/>
                </a:ext>
                <a:ext uri="{FF2B5EF4-FFF2-40B4-BE49-F238E27FC236}">
                  <a16:creationId xmlns:a16="http://schemas.microsoft.com/office/drawing/2014/main" id="{00000000-0008-0000-0100-0000B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3879</xdr:row>
          <xdr:rowOff>0</xdr:rowOff>
        </xdr:from>
        <xdr:to>
          <xdr:col>7</xdr:col>
          <xdr:colOff>0</xdr:colOff>
          <xdr:row>3879</xdr:row>
          <xdr:rowOff>165100</xdr:rowOff>
        </xdr:to>
        <xdr:sp macro="" textlink="">
          <xdr:nvSpPr>
            <xdr:cNvPr id="13235" name="Button 1971" hidden="1">
              <a:extLst>
                <a:ext uri="{63B3BB69-23CF-44E3-9099-C40C66FF867C}">
                  <a14:compatExt spid="_x0000_s13235"/>
                </a:ext>
                <a:ext uri="{FF2B5EF4-FFF2-40B4-BE49-F238E27FC236}">
                  <a16:creationId xmlns:a16="http://schemas.microsoft.com/office/drawing/2014/main" id="{00000000-0008-0000-0100-0000B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3880</xdr:row>
          <xdr:rowOff>0</xdr:rowOff>
        </xdr:from>
        <xdr:to>
          <xdr:col>7</xdr:col>
          <xdr:colOff>0</xdr:colOff>
          <xdr:row>3880</xdr:row>
          <xdr:rowOff>165100</xdr:rowOff>
        </xdr:to>
        <xdr:sp macro="" textlink="">
          <xdr:nvSpPr>
            <xdr:cNvPr id="13234" name="Button 1970" hidden="1">
              <a:extLst>
                <a:ext uri="{63B3BB69-23CF-44E3-9099-C40C66FF867C}">
                  <a14:compatExt spid="_x0000_s13234"/>
                </a:ext>
                <a:ext uri="{FF2B5EF4-FFF2-40B4-BE49-F238E27FC236}">
                  <a16:creationId xmlns:a16="http://schemas.microsoft.com/office/drawing/2014/main" id="{00000000-0008-0000-0100-0000B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3881</xdr:row>
          <xdr:rowOff>0</xdr:rowOff>
        </xdr:from>
        <xdr:to>
          <xdr:col>7</xdr:col>
          <xdr:colOff>0</xdr:colOff>
          <xdr:row>3881</xdr:row>
          <xdr:rowOff>165100</xdr:rowOff>
        </xdr:to>
        <xdr:sp macro="" textlink="">
          <xdr:nvSpPr>
            <xdr:cNvPr id="13233" name="Button 1969" hidden="1">
              <a:extLst>
                <a:ext uri="{63B3BB69-23CF-44E3-9099-C40C66FF867C}">
                  <a14:compatExt spid="_x0000_s13233"/>
                </a:ext>
                <a:ext uri="{FF2B5EF4-FFF2-40B4-BE49-F238E27FC236}">
                  <a16:creationId xmlns:a16="http://schemas.microsoft.com/office/drawing/2014/main" id="{00000000-0008-0000-0100-0000B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3882</xdr:row>
          <xdr:rowOff>0</xdr:rowOff>
        </xdr:from>
        <xdr:to>
          <xdr:col>7</xdr:col>
          <xdr:colOff>0</xdr:colOff>
          <xdr:row>3882</xdr:row>
          <xdr:rowOff>165100</xdr:rowOff>
        </xdr:to>
        <xdr:sp macro="" textlink="">
          <xdr:nvSpPr>
            <xdr:cNvPr id="13232" name="Button 1968" hidden="1">
              <a:extLst>
                <a:ext uri="{63B3BB69-23CF-44E3-9099-C40C66FF867C}">
                  <a14:compatExt spid="_x0000_s13232"/>
                </a:ext>
                <a:ext uri="{FF2B5EF4-FFF2-40B4-BE49-F238E27FC236}">
                  <a16:creationId xmlns:a16="http://schemas.microsoft.com/office/drawing/2014/main" id="{00000000-0008-0000-0100-0000B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3883</xdr:row>
          <xdr:rowOff>0</xdr:rowOff>
        </xdr:from>
        <xdr:to>
          <xdr:col>7</xdr:col>
          <xdr:colOff>0</xdr:colOff>
          <xdr:row>3883</xdr:row>
          <xdr:rowOff>165100</xdr:rowOff>
        </xdr:to>
        <xdr:sp macro="" textlink="">
          <xdr:nvSpPr>
            <xdr:cNvPr id="13231" name="Button 1967" hidden="1">
              <a:extLst>
                <a:ext uri="{63B3BB69-23CF-44E3-9099-C40C66FF867C}">
                  <a14:compatExt spid="_x0000_s13231"/>
                </a:ext>
                <a:ext uri="{FF2B5EF4-FFF2-40B4-BE49-F238E27FC236}">
                  <a16:creationId xmlns:a16="http://schemas.microsoft.com/office/drawing/2014/main" id="{00000000-0008-0000-0100-0000A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3884</xdr:row>
          <xdr:rowOff>0</xdr:rowOff>
        </xdr:from>
        <xdr:to>
          <xdr:col>7</xdr:col>
          <xdr:colOff>0</xdr:colOff>
          <xdr:row>3884</xdr:row>
          <xdr:rowOff>165100</xdr:rowOff>
        </xdr:to>
        <xdr:sp macro="" textlink="">
          <xdr:nvSpPr>
            <xdr:cNvPr id="13230" name="Button 1966" hidden="1">
              <a:extLst>
                <a:ext uri="{63B3BB69-23CF-44E3-9099-C40C66FF867C}">
                  <a14:compatExt spid="_x0000_s13230"/>
                </a:ext>
                <a:ext uri="{FF2B5EF4-FFF2-40B4-BE49-F238E27FC236}">
                  <a16:creationId xmlns:a16="http://schemas.microsoft.com/office/drawing/2014/main" id="{00000000-0008-0000-0100-0000A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3885</xdr:row>
          <xdr:rowOff>0</xdr:rowOff>
        </xdr:from>
        <xdr:to>
          <xdr:col>7</xdr:col>
          <xdr:colOff>0</xdr:colOff>
          <xdr:row>3885</xdr:row>
          <xdr:rowOff>165100</xdr:rowOff>
        </xdr:to>
        <xdr:sp macro="" textlink="">
          <xdr:nvSpPr>
            <xdr:cNvPr id="13229" name="Button 1965" hidden="1">
              <a:extLst>
                <a:ext uri="{63B3BB69-23CF-44E3-9099-C40C66FF867C}">
                  <a14:compatExt spid="_x0000_s13229"/>
                </a:ext>
                <a:ext uri="{FF2B5EF4-FFF2-40B4-BE49-F238E27FC236}">
                  <a16:creationId xmlns:a16="http://schemas.microsoft.com/office/drawing/2014/main" id="{00000000-0008-0000-0100-0000A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3886</xdr:row>
          <xdr:rowOff>0</xdr:rowOff>
        </xdr:from>
        <xdr:to>
          <xdr:col>7</xdr:col>
          <xdr:colOff>0</xdr:colOff>
          <xdr:row>3886</xdr:row>
          <xdr:rowOff>165100</xdr:rowOff>
        </xdr:to>
        <xdr:sp macro="" textlink="">
          <xdr:nvSpPr>
            <xdr:cNvPr id="13228" name="Button 1964" hidden="1">
              <a:extLst>
                <a:ext uri="{63B3BB69-23CF-44E3-9099-C40C66FF867C}">
                  <a14:compatExt spid="_x0000_s13228"/>
                </a:ext>
                <a:ext uri="{FF2B5EF4-FFF2-40B4-BE49-F238E27FC236}">
                  <a16:creationId xmlns:a16="http://schemas.microsoft.com/office/drawing/2014/main" id="{00000000-0008-0000-0100-0000A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3887</xdr:row>
          <xdr:rowOff>0</xdr:rowOff>
        </xdr:from>
        <xdr:to>
          <xdr:col>7</xdr:col>
          <xdr:colOff>0</xdr:colOff>
          <xdr:row>3887</xdr:row>
          <xdr:rowOff>165100</xdr:rowOff>
        </xdr:to>
        <xdr:sp macro="" textlink="">
          <xdr:nvSpPr>
            <xdr:cNvPr id="13227" name="Button 1963" hidden="1">
              <a:extLst>
                <a:ext uri="{63B3BB69-23CF-44E3-9099-C40C66FF867C}">
                  <a14:compatExt spid="_x0000_s13227"/>
                </a:ext>
                <a:ext uri="{FF2B5EF4-FFF2-40B4-BE49-F238E27FC236}">
                  <a16:creationId xmlns:a16="http://schemas.microsoft.com/office/drawing/2014/main" id="{00000000-0008-0000-0100-0000A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3888</xdr:row>
          <xdr:rowOff>0</xdr:rowOff>
        </xdr:from>
        <xdr:to>
          <xdr:col>7</xdr:col>
          <xdr:colOff>0</xdr:colOff>
          <xdr:row>3888</xdr:row>
          <xdr:rowOff>165100</xdr:rowOff>
        </xdr:to>
        <xdr:sp macro="" textlink="">
          <xdr:nvSpPr>
            <xdr:cNvPr id="13226" name="Button 1962" hidden="1">
              <a:extLst>
                <a:ext uri="{63B3BB69-23CF-44E3-9099-C40C66FF867C}">
                  <a14:compatExt spid="_x0000_s13226"/>
                </a:ext>
                <a:ext uri="{FF2B5EF4-FFF2-40B4-BE49-F238E27FC236}">
                  <a16:creationId xmlns:a16="http://schemas.microsoft.com/office/drawing/2014/main" id="{00000000-0008-0000-0100-0000A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3889</xdr:row>
          <xdr:rowOff>0</xdr:rowOff>
        </xdr:from>
        <xdr:to>
          <xdr:col>7</xdr:col>
          <xdr:colOff>0</xdr:colOff>
          <xdr:row>3889</xdr:row>
          <xdr:rowOff>165100</xdr:rowOff>
        </xdr:to>
        <xdr:sp macro="" textlink="">
          <xdr:nvSpPr>
            <xdr:cNvPr id="13225" name="Button 1961" hidden="1">
              <a:extLst>
                <a:ext uri="{63B3BB69-23CF-44E3-9099-C40C66FF867C}">
                  <a14:compatExt spid="_x0000_s13225"/>
                </a:ext>
                <a:ext uri="{FF2B5EF4-FFF2-40B4-BE49-F238E27FC236}">
                  <a16:creationId xmlns:a16="http://schemas.microsoft.com/office/drawing/2014/main" id="{00000000-0008-0000-0100-0000A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3892</xdr:row>
          <xdr:rowOff>0</xdr:rowOff>
        </xdr:from>
        <xdr:to>
          <xdr:col>7</xdr:col>
          <xdr:colOff>0</xdr:colOff>
          <xdr:row>3893</xdr:row>
          <xdr:rowOff>0</xdr:rowOff>
        </xdr:to>
        <xdr:sp macro="" textlink="">
          <xdr:nvSpPr>
            <xdr:cNvPr id="13224" name="Button 1960" hidden="1">
              <a:extLst>
                <a:ext uri="{63B3BB69-23CF-44E3-9099-C40C66FF867C}">
                  <a14:compatExt spid="_x0000_s13224"/>
                </a:ext>
                <a:ext uri="{FF2B5EF4-FFF2-40B4-BE49-F238E27FC236}">
                  <a16:creationId xmlns:a16="http://schemas.microsoft.com/office/drawing/2014/main" id="{00000000-0008-0000-0100-0000A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3899</xdr:row>
          <xdr:rowOff>0</xdr:rowOff>
        </xdr:from>
        <xdr:to>
          <xdr:col>7</xdr:col>
          <xdr:colOff>0</xdr:colOff>
          <xdr:row>3899</xdr:row>
          <xdr:rowOff>171450</xdr:rowOff>
        </xdr:to>
        <xdr:sp macro="" textlink="">
          <xdr:nvSpPr>
            <xdr:cNvPr id="13223" name="Button 1959" hidden="1">
              <a:extLst>
                <a:ext uri="{63B3BB69-23CF-44E3-9099-C40C66FF867C}">
                  <a14:compatExt spid="_x0000_s13223"/>
                </a:ext>
                <a:ext uri="{FF2B5EF4-FFF2-40B4-BE49-F238E27FC236}">
                  <a16:creationId xmlns:a16="http://schemas.microsoft.com/office/drawing/2014/main" id="{00000000-0008-0000-0100-0000A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3900</xdr:row>
          <xdr:rowOff>0</xdr:rowOff>
        </xdr:from>
        <xdr:to>
          <xdr:col>7</xdr:col>
          <xdr:colOff>0</xdr:colOff>
          <xdr:row>3900</xdr:row>
          <xdr:rowOff>165100</xdr:rowOff>
        </xdr:to>
        <xdr:sp macro="" textlink="">
          <xdr:nvSpPr>
            <xdr:cNvPr id="13222" name="Button 1958" hidden="1">
              <a:extLst>
                <a:ext uri="{63B3BB69-23CF-44E3-9099-C40C66FF867C}">
                  <a14:compatExt spid="_x0000_s13222"/>
                </a:ext>
                <a:ext uri="{FF2B5EF4-FFF2-40B4-BE49-F238E27FC236}">
                  <a16:creationId xmlns:a16="http://schemas.microsoft.com/office/drawing/2014/main" id="{00000000-0008-0000-0100-0000A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3901</xdr:row>
          <xdr:rowOff>0</xdr:rowOff>
        </xdr:from>
        <xdr:to>
          <xdr:col>7</xdr:col>
          <xdr:colOff>0</xdr:colOff>
          <xdr:row>3901</xdr:row>
          <xdr:rowOff>165100</xdr:rowOff>
        </xdr:to>
        <xdr:sp macro="" textlink="">
          <xdr:nvSpPr>
            <xdr:cNvPr id="13221" name="Button 1957" hidden="1">
              <a:extLst>
                <a:ext uri="{63B3BB69-23CF-44E3-9099-C40C66FF867C}">
                  <a14:compatExt spid="_x0000_s13221"/>
                </a:ext>
                <a:ext uri="{FF2B5EF4-FFF2-40B4-BE49-F238E27FC236}">
                  <a16:creationId xmlns:a16="http://schemas.microsoft.com/office/drawing/2014/main" id="{00000000-0008-0000-0100-0000A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3902</xdr:row>
          <xdr:rowOff>0</xdr:rowOff>
        </xdr:from>
        <xdr:to>
          <xdr:col>7</xdr:col>
          <xdr:colOff>0</xdr:colOff>
          <xdr:row>3902</xdr:row>
          <xdr:rowOff>165100</xdr:rowOff>
        </xdr:to>
        <xdr:sp macro="" textlink="">
          <xdr:nvSpPr>
            <xdr:cNvPr id="13220" name="Button 1956" hidden="1">
              <a:extLst>
                <a:ext uri="{63B3BB69-23CF-44E3-9099-C40C66FF867C}">
                  <a14:compatExt spid="_x0000_s13220"/>
                </a:ext>
                <a:ext uri="{FF2B5EF4-FFF2-40B4-BE49-F238E27FC236}">
                  <a16:creationId xmlns:a16="http://schemas.microsoft.com/office/drawing/2014/main" id="{00000000-0008-0000-0100-0000A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3903</xdr:row>
          <xdr:rowOff>0</xdr:rowOff>
        </xdr:from>
        <xdr:to>
          <xdr:col>7</xdr:col>
          <xdr:colOff>0</xdr:colOff>
          <xdr:row>3903</xdr:row>
          <xdr:rowOff>165100</xdr:rowOff>
        </xdr:to>
        <xdr:sp macro="" textlink="">
          <xdr:nvSpPr>
            <xdr:cNvPr id="13219" name="Button 1955" hidden="1">
              <a:extLst>
                <a:ext uri="{63B3BB69-23CF-44E3-9099-C40C66FF867C}">
                  <a14:compatExt spid="_x0000_s13219"/>
                </a:ext>
                <a:ext uri="{FF2B5EF4-FFF2-40B4-BE49-F238E27FC236}">
                  <a16:creationId xmlns:a16="http://schemas.microsoft.com/office/drawing/2014/main" id="{00000000-0008-0000-0100-0000A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3904</xdr:row>
          <xdr:rowOff>0</xdr:rowOff>
        </xdr:from>
        <xdr:to>
          <xdr:col>7</xdr:col>
          <xdr:colOff>0</xdr:colOff>
          <xdr:row>3904</xdr:row>
          <xdr:rowOff>165100</xdr:rowOff>
        </xdr:to>
        <xdr:sp macro="" textlink="">
          <xdr:nvSpPr>
            <xdr:cNvPr id="13218" name="Button 1954" hidden="1">
              <a:extLst>
                <a:ext uri="{63B3BB69-23CF-44E3-9099-C40C66FF867C}">
                  <a14:compatExt spid="_x0000_s13218"/>
                </a:ext>
                <a:ext uri="{FF2B5EF4-FFF2-40B4-BE49-F238E27FC236}">
                  <a16:creationId xmlns:a16="http://schemas.microsoft.com/office/drawing/2014/main" id="{00000000-0008-0000-0100-0000A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3905</xdr:row>
          <xdr:rowOff>0</xdr:rowOff>
        </xdr:from>
        <xdr:to>
          <xdr:col>7</xdr:col>
          <xdr:colOff>0</xdr:colOff>
          <xdr:row>3905</xdr:row>
          <xdr:rowOff>165100</xdr:rowOff>
        </xdr:to>
        <xdr:sp macro="" textlink="">
          <xdr:nvSpPr>
            <xdr:cNvPr id="13217" name="Button 1953" hidden="1">
              <a:extLst>
                <a:ext uri="{63B3BB69-23CF-44E3-9099-C40C66FF867C}">
                  <a14:compatExt spid="_x0000_s13217"/>
                </a:ext>
                <a:ext uri="{FF2B5EF4-FFF2-40B4-BE49-F238E27FC236}">
                  <a16:creationId xmlns:a16="http://schemas.microsoft.com/office/drawing/2014/main" id="{00000000-0008-0000-0100-0000A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3906</xdr:row>
          <xdr:rowOff>0</xdr:rowOff>
        </xdr:from>
        <xdr:to>
          <xdr:col>7</xdr:col>
          <xdr:colOff>0</xdr:colOff>
          <xdr:row>3906</xdr:row>
          <xdr:rowOff>165100</xdr:rowOff>
        </xdr:to>
        <xdr:sp macro="" textlink="">
          <xdr:nvSpPr>
            <xdr:cNvPr id="13216" name="Button 1952" hidden="1">
              <a:extLst>
                <a:ext uri="{63B3BB69-23CF-44E3-9099-C40C66FF867C}">
                  <a14:compatExt spid="_x0000_s13216"/>
                </a:ext>
                <a:ext uri="{FF2B5EF4-FFF2-40B4-BE49-F238E27FC236}">
                  <a16:creationId xmlns:a16="http://schemas.microsoft.com/office/drawing/2014/main" id="{00000000-0008-0000-0100-0000A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3907</xdr:row>
          <xdr:rowOff>0</xdr:rowOff>
        </xdr:from>
        <xdr:to>
          <xdr:col>7</xdr:col>
          <xdr:colOff>0</xdr:colOff>
          <xdr:row>3907</xdr:row>
          <xdr:rowOff>165100</xdr:rowOff>
        </xdr:to>
        <xdr:sp macro="" textlink="">
          <xdr:nvSpPr>
            <xdr:cNvPr id="13215" name="Button 1951" hidden="1">
              <a:extLst>
                <a:ext uri="{63B3BB69-23CF-44E3-9099-C40C66FF867C}">
                  <a14:compatExt spid="_x0000_s13215"/>
                </a:ext>
                <a:ext uri="{FF2B5EF4-FFF2-40B4-BE49-F238E27FC236}">
                  <a16:creationId xmlns:a16="http://schemas.microsoft.com/office/drawing/2014/main" id="{00000000-0008-0000-0100-00009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3908</xdr:row>
          <xdr:rowOff>0</xdr:rowOff>
        </xdr:from>
        <xdr:to>
          <xdr:col>7</xdr:col>
          <xdr:colOff>0</xdr:colOff>
          <xdr:row>3908</xdr:row>
          <xdr:rowOff>165100</xdr:rowOff>
        </xdr:to>
        <xdr:sp macro="" textlink="">
          <xdr:nvSpPr>
            <xdr:cNvPr id="13214" name="Button 1950" hidden="1">
              <a:extLst>
                <a:ext uri="{63B3BB69-23CF-44E3-9099-C40C66FF867C}">
                  <a14:compatExt spid="_x0000_s13214"/>
                </a:ext>
                <a:ext uri="{FF2B5EF4-FFF2-40B4-BE49-F238E27FC236}">
                  <a16:creationId xmlns:a16="http://schemas.microsoft.com/office/drawing/2014/main" id="{00000000-0008-0000-0100-00009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3909</xdr:row>
          <xdr:rowOff>0</xdr:rowOff>
        </xdr:from>
        <xdr:to>
          <xdr:col>7</xdr:col>
          <xdr:colOff>0</xdr:colOff>
          <xdr:row>3909</xdr:row>
          <xdr:rowOff>165100</xdr:rowOff>
        </xdr:to>
        <xdr:sp macro="" textlink="">
          <xdr:nvSpPr>
            <xdr:cNvPr id="13213" name="Button 1949" hidden="1">
              <a:extLst>
                <a:ext uri="{63B3BB69-23CF-44E3-9099-C40C66FF867C}">
                  <a14:compatExt spid="_x0000_s13213"/>
                </a:ext>
                <a:ext uri="{FF2B5EF4-FFF2-40B4-BE49-F238E27FC236}">
                  <a16:creationId xmlns:a16="http://schemas.microsoft.com/office/drawing/2014/main" id="{00000000-0008-0000-0100-00009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3910</xdr:row>
          <xdr:rowOff>0</xdr:rowOff>
        </xdr:from>
        <xdr:to>
          <xdr:col>7</xdr:col>
          <xdr:colOff>0</xdr:colOff>
          <xdr:row>3910</xdr:row>
          <xdr:rowOff>165100</xdr:rowOff>
        </xdr:to>
        <xdr:sp macro="" textlink="">
          <xdr:nvSpPr>
            <xdr:cNvPr id="13212" name="Button 1948" hidden="1">
              <a:extLst>
                <a:ext uri="{63B3BB69-23CF-44E3-9099-C40C66FF867C}">
                  <a14:compatExt spid="_x0000_s13212"/>
                </a:ext>
                <a:ext uri="{FF2B5EF4-FFF2-40B4-BE49-F238E27FC236}">
                  <a16:creationId xmlns:a16="http://schemas.microsoft.com/office/drawing/2014/main" id="{00000000-0008-0000-0100-00009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3911</xdr:row>
          <xdr:rowOff>0</xdr:rowOff>
        </xdr:from>
        <xdr:to>
          <xdr:col>7</xdr:col>
          <xdr:colOff>0</xdr:colOff>
          <xdr:row>3911</xdr:row>
          <xdr:rowOff>165100</xdr:rowOff>
        </xdr:to>
        <xdr:sp macro="" textlink="">
          <xdr:nvSpPr>
            <xdr:cNvPr id="13211" name="Button 1947" hidden="1">
              <a:extLst>
                <a:ext uri="{63B3BB69-23CF-44E3-9099-C40C66FF867C}">
                  <a14:compatExt spid="_x0000_s13211"/>
                </a:ext>
                <a:ext uri="{FF2B5EF4-FFF2-40B4-BE49-F238E27FC236}">
                  <a16:creationId xmlns:a16="http://schemas.microsoft.com/office/drawing/2014/main" id="{00000000-0008-0000-0100-00009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3914</xdr:row>
          <xdr:rowOff>0</xdr:rowOff>
        </xdr:from>
        <xdr:to>
          <xdr:col>7</xdr:col>
          <xdr:colOff>0</xdr:colOff>
          <xdr:row>3915</xdr:row>
          <xdr:rowOff>0</xdr:rowOff>
        </xdr:to>
        <xdr:sp macro="" textlink="">
          <xdr:nvSpPr>
            <xdr:cNvPr id="13210" name="Button 1946" hidden="1">
              <a:extLst>
                <a:ext uri="{63B3BB69-23CF-44E3-9099-C40C66FF867C}">
                  <a14:compatExt spid="_x0000_s13210"/>
                </a:ext>
                <a:ext uri="{FF2B5EF4-FFF2-40B4-BE49-F238E27FC236}">
                  <a16:creationId xmlns:a16="http://schemas.microsoft.com/office/drawing/2014/main" id="{00000000-0008-0000-0100-00009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3921</xdr:row>
          <xdr:rowOff>0</xdr:rowOff>
        </xdr:from>
        <xdr:to>
          <xdr:col>7</xdr:col>
          <xdr:colOff>0</xdr:colOff>
          <xdr:row>3921</xdr:row>
          <xdr:rowOff>171450</xdr:rowOff>
        </xdr:to>
        <xdr:sp macro="" textlink="">
          <xdr:nvSpPr>
            <xdr:cNvPr id="13209" name="Button 1945" hidden="1">
              <a:extLst>
                <a:ext uri="{63B3BB69-23CF-44E3-9099-C40C66FF867C}">
                  <a14:compatExt spid="_x0000_s13209"/>
                </a:ext>
                <a:ext uri="{FF2B5EF4-FFF2-40B4-BE49-F238E27FC236}">
                  <a16:creationId xmlns:a16="http://schemas.microsoft.com/office/drawing/2014/main" id="{00000000-0008-0000-0100-00009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3922</xdr:row>
          <xdr:rowOff>0</xdr:rowOff>
        </xdr:from>
        <xdr:to>
          <xdr:col>7</xdr:col>
          <xdr:colOff>0</xdr:colOff>
          <xdr:row>3922</xdr:row>
          <xdr:rowOff>165100</xdr:rowOff>
        </xdr:to>
        <xdr:sp macro="" textlink="">
          <xdr:nvSpPr>
            <xdr:cNvPr id="13208" name="Button 1944" hidden="1">
              <a:extLst>
                <a:ext uri="{63B3BB69-23CF-44E3-9099-C40C66FF867C}">
                  <a14:compatExt spid="_x0000_s13208"/>
                </a:ext>
                <a:ext uri="{FF2B5EF4-FFF2-40B4-BE49-F238E27FC236}">
                  <a16:creationId xmlns:a16="http://schemas.microsoft.com/office/drawing/2014/main" id="{00000000-0008-0000-0100-00009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3923</xdr:row>
          <xdr:rowOff>0</xdr:rowOff>
        </xdr:from>
        <xdr:to>
          <xdr:col>7</xdr:col>
          <xdr:colOff>0</xdr:colOff>
          <xdr:row>3923</xdr:row>
          <xdr:rowOff>165100</xdr:rowOff>
        </xdr:to>
        <xdr:sp macro="" textlink="">
          <xdr:nvSpPr>
            <xdr:cNvPr id="13207" name="Button 1943" hidden="1">
              <a:extLst>
                <a:ext uri="{63B3BB69-23CF-44E3-9099-C40C66FF867C}">
                  <a14:compatExt spid="_x0000_s13207"/>
                </a:ext>
                <a:ext uri="{FF2B5EF4-FFF2-40B4-BE49-F238E27FC236}">
                  <a16:creationId xmlns:a16="http://schemas.microsoft.com/office/drawing/2014/main" id="{00000000-0008-0000-0100-00009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3924</xdr:row>
          <xdr:rowOff>0</xdr:rowOff>
        </xdr:from>
        <xdr:to>
          <xdr:col>7</xdr:col>
          <xdr:colOff>0</xdr:colOff>
          <xdr:row>3924</xdr:row>
          <xdr:rowOff>165100</xdr:rowOff>
        </xdr:to>
        <xdr:sp macro="" textlink="">
          <xdr:nvSpPr>
            <xdr:cNvPr id="13206" name="Button 1942" hidden="1">
              <a:extLst>
                <a:ext uri="{63B3BB69-23CF-44E3-9099-C40C66FF867C}">
                  <a14:compatExt spid="_x0000_s13206"/>
                </a:ext>
                <a:ext uri="{FF2B5EF4-FFF2-40B4-BE49-F238E27FC236}">
                  <a16:creationId xmlns:a16="http://schemas.microsoft.com/office/drawing/2014/main" id="{00000000-0008-0000-0100-00009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3925</xdr:row>
          <xdr:rowOff>0</xdr:rowOff>
        </xdr:from>
        <xdr:to>
          <xdr:col>7</xdr:col>
          <xdr:colOff>0</xdr:colOff>
          <xdr:row>3925</xdr:row>
          <xdr:rowOff>165100</xdr:rowOff>
        </xdr:to>
        <xdr:sp macro="" textlink="">
          <xdr:nvSpPr>
            <xdr:cNvPr id="13205" name="Button 1941" hidden="1">
              <a:extLst>
                <a:ext uri="{63B3BB69-23CF-44E3-9099-C40C66FF867C}">
                  <a14:compatExt spid="_x0000_s13205"/>
                </a:ext>
                <a:ext uri="{FF2B5EF4-FFF2-40B4-BE49-F238E27FC236}">
                  <a16:creationId xmlns:a16="http://schemas.microsoft.com/office/drawing/2014/main" id="{00000000-0008-0000-0100-00009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3926</xdr:row>
          <xdr:rowOff>0</xdr:rowOff>
        </xdr:from>
        <xdr:to>
          <xdr:col>7</xdr:col>
          <xdr:colOff>0</xdr:colOff>
          <xdr:row>3926</xdr:row>
          <xdr:rowOff>165100</xdr:rowOff>
        </xdr:to>
        <xdr:sp macro="" textlink="">
          <xdr:nvSpPr>
            <xdr:cNvPr id="13204" name="Button 1940" hidden="1">
              <a:extLst>
                <a:ext uri="{63B3BB69-23CF-44E3-9099-C40C66FF867C}">
                  <a14:compatExt spid="_x0000_s13204"/>
                </a:ext>
                <a:ext uri="{FF2B5EF4-FFF2-40B4-BE49-F238E27FC236}">
                  <a16:creationId xmlns:a16="http://schemas.microsoft.com/office/drawing/2014/main" id="{00000000-0008-0000-0100-00009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3927</xdr:row>
          <xdr:rowOff>0</xdr:rowOff>
        </xdr:from>
        <xdr:to>
          <xdr:col>7</xdr:col>
          <xdr:colOff>0</xdr:colOff>
          <xdr:row>3927</xdr:row>
          <xdr:rowOff>165100</xdr:rowOff>
        </xdr:to>
        <xdr:sp macro="" textlink="">
          <xdr:nvSpPr>
            <xdr:cNvPr id="13203" name="Button 1939" hidden="1">
              <a:extLst>
                <a:ext uri="{63B3BB69-23CF-44E3-9099-C40C66FF867C}">
                  <a14:compatExt spid="_x0000_s13203"/>
                </a:ext>
                <a:ext uri="{FF2B5EF4-FFF2-40B4-BE49-F238E27FC236}">
                  <a16:creationId xmlns:a16="http://schemas.microsoft.com/office/drawing/2014/main" id="{00000000-0008-0000-0100-00009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3928</xdr:row>
          <xdr:rowOff>0</xdr:rowOff>
        </xdr:from>
        <xdr:to>
          <xdr:col>7</xdr:col>
          <xdr:colOff>0</xdr:colOff>
          <xdr:row>3928</xdr:row>
          <xdr:rowOff>165100</xdr:rowOff>
        </xdr:to>
        <xdr:sp macro="" textlink="">
          <xdr:nvSpPr>
            <xdr:cNvPr id="13202" name="Button 1938" hidden="1">
              <a:extLst>
                <a:ext uri="{63B3BB69-23CF-44E3-9099-C40C66FF867C}">
                  <a14:compatExt spid="_x0000_s13202"/>
                </a:ext>
                <a:ext uri="{FF2B5EF4-FFF2-40B4-BE49-F238E27FC236}">
                  <a16:creationId xmlns:a16="http://schemas.microsoft.com/office/drawing/2014/main" id="{00000000-0008-0000-0100-00009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3929</xdr:row>
          <xdr:rowOff>0</xdr:rowOff>
        </xdr:from>
        <xdr:to>
          <xdr:col>7</xdr:col>
          <xdr:colOff>0</xdr:colOff>
          <xdr:row>3929</xdr:row>
          <xdr:rowOff>165100</xdr:rowOff>
        </xdr:to>
        <xdr:sp macro="" textlink="">
          <xdr:nvSpPr>
            <xdr:cNvPr id="13201" name="Button 1937" hidden="1">
              <a:extLst>
                <a:ext uri="{63B3BB69-23CF-44E3-9099-C40C66FF867C}">
                  <a14:compatExt spid="_x0000_s13201"/>
                </a:ext>
                <a:ext uri="{FF2B5EF4-FFF2-40B4-BE49-F238E27FC236}">
                  <a16:creationId xmlns:a16="http://schemas.microsoft.com/office/drawing/2014/main" id="{00000000-0008-0000-0100-00009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3930</xdr:row>
          <xdr:rowOff>0</xdr:rowOff>
        </xdr:from>
        <xdr:to>
          <xdr:col>7</xdr:col>
          <xdr:colOff>0</xdr:colOff>
          <xdr:row>3930</xdr:row>
          <xdr:rowOff>165100</xdr:rowOff>
        </xdr:to>
        <xdr:sp macro="" textlink="">
          <xdr:nvSpPr>
            <xdr:cNvPr id="13200" name="Button 1936" hidden="1">
              <a:extLst>
                <a:ext uri="{63B3BB69-23CF-44E3-9099-C40C66FF867C}">
                  <a14:compatExt spid="_x0000_s13200"/>
                </a:ext>
                <a:ext uri="{FF2B5EF4-FFF2-40B4-BE49-F238E27FC236}">
                  <a16:creationId xmlns:a16="http://schemas.microsoft.com/office/drawing/2014/main" id="{00000000-0008-0000-0100-00009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3933</xdr:row>
          <xdr:rowOff>0</xdr:rowOff>
        </xdr:from>
        <xdr:to>
          <xdr:col>7</xdr:col>
          <xdr:colOff>0</xdr:colOff>
          <xdr:row>3934</xdr:row>
          <xdr:rowOff>0</xdr:rowOff>
        </xdr:to>
        <xdr:sp macro="" textlink="">
          <xdr:nvSpPr>
            <xdr:cNvPr id="13199" name="Button 1935" hidden="1">
              <a:extLst>
                <a:ext uri="{63B3BB69-23CF-44E3-9099-C40C66FF867C}">
                  <a14:compatExt spid="_x0000_s13199"/>
                </a:ext>
                <a:ext uri="{FF2B5EF4-FFF2-40B4-BE49-F238E27FC236}">
                  <a16:creationId xmlns:a16="http://schemas.microsoft.com/office/drawing/2014/main" id="{00000000-0008-0000-0100-00008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3940</xdr:row>
          <xdr:rowOff>0</xdr:rowOff>
        </xdr:from>
        <xdr:to>
          <xdr:col>7</xdr:col>
          <xdr:colOff>0</xdr:colOff>
          <xdr:row>3940</xdr:row>
          <xdr:rowOff>171450</xdr:rowOff>
        </xdr:to>
        <xdr:sp macro="" textlink="">
          <xdr:nvSpPr>
            <xdr:cNvPr id="13198" name="Button 1934" hidden="1">
              <a:extLst>
                <a:ext uri="{63B3BB69-23CF-44E3-9099-C40C66FF867C}">
                  <a14:compatExt spid="_x0000_s13198"/>
                </a:ext>
                <a:ext uri="{FF2B5EF4-FFF2-40B4-BE49-F238E27FC236}">
                  <a16:creationId xmlns:a16="http://schemas.microsoft.com/office/drawing/2014/main" id="{00000000-0008-0000-0100-00008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3941</xdr:row>
          <xdr:rowOff>0</xdr:rowOff>
        </xdr:from>
        <xdr:to>
          <xdr:col>7</xdr:col>
          <xdr:colOff>0</xdr:colOff>
          <xdr:row>3941</xdr:row>
          <xdr:rowOff>165100</xdr:rowOff>
        </xdr:to>
        <xdr:sp macro="" textlink="">
          <xdr:nvSpPr>
            <xdr:cNvPr id="13197" name="Button 1933" hidden="1">
              <a:extLst>
                <a:ext uri="{63B3BB69-23CF-44E3-9099-C40C66FF867C}">
                  <a14:compatExt spid="_x0000_s13197"/>
                </a:ext>
                <a:ext uri="{FF2B5EF4-FFF2-40B4-BE49-F238E27FC236}">
                  <a16:creationId xmlns:a16="http://schemas.microsoft.com/office/drawing/2014/main" id="{00000000-0008-0000-0100-00008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3942</xdr:row>
          <xdr:rowOff>0</xdr:rowOff>
        </xdr:from>
        <xdr:to>
          <xdr:col>7</xdr:col>
          <xdr:colOff>0</xdr:colOff>
          <xdr:row>3942</xdr:row>
          <xdr:rowOff>165100</xdr:rowOff>
        </xdr:to>
        <xdr:sp macro="" textlink="">
          <xdr:nvSpPr>
            <xdr:cNvPr id="13196" name="Button 1932" hidden="1">
              <a:extLst>
                <a:ext uri="{63B3BB69-23CF-44E3-9099-C40C66FF867C}">
                  <a14:compatExt spid="_x0000_s13196"/>
                </a:ext>
                <a:ext uri="{FF2B5EF4-FFF2-40B4-BE49-F238E27FC236}">
                  <a16:creationId xmlns:a16="http://schemas.microsoft.com/office/drawing/2014/main" id="{00000000-0008-0000-0100-00008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3943</xdr:row>
          <xdr:rowOff>0</xdr:rowOff>
        </xdr:from>
        <xdr:to>
          <xdr:col>7</xdr:col>
          <xdr:colOff>0</xdr:colOff>
          <xdr:row>3943</xdr:row>
          <xdr:rowOff>165100</xdr:rowOff>
        </xdr:to>
        <xdr:sp macro="" textlink="">
          <xdr:nvSpPr>
            <xdr:cNvPr id="13195" name="Button 1931" hidden="1">
              <a:extLst>
                <a:ext uri="{63B3BB69-23CF-44E3-9099-C40C66FF867C}">
                  <a14:compatExt spid="_x0000_s13195"/>
                </a:ext>
                <a:ext uri="{FF2B5EF4-FFF2-40B4-BE49-F238E27FC236}">
                  <a16:creationId xmlns:a16="http://schemas.microsoft.com/office/drawing/2014/main" id="{00000000-0008-0000-0100-00008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3946</xdr:row>
          <xdr:rowOff>0</xdr:rowOff>
        </xdr:from>
        <xdr:to>
          <xdr:col>7</xdr:col>
          <xdr:colOff>0</xdr:colOff>
          <xdr:row>3947</xdr:row>
          <xdr:rowOff>0</xdr:rowOff>
        </xdr:to>
        <xdr:sp macro="" textlink="">
          <xdr:nvSpPr>
            <xdr:cNvPr id="13194" name="Button 1930" hidden="1">
              <a:extLst>
                <a:ext uri="{63B3BB69-23CF-44E3-9099-C40C66FF867C}">
                  <a14:compatExt spid="_x0000_s13194"/>
                </a:ext>
                <a:ext uri="{FF2B5EF4-FFF2-40B4-BE49-F238E27FC236}">
                  <a16:creationId xmlns:a16="http://schemas.microsoft.com/office/drawing/2014/main" id="{00000000-0008-0000-0100-00008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3953</xdr:row>
          <xdr:rowOff>0</xdr:rowOff>
        </xdr:from>
        <xdr:to>
          <xdr:col>7</xdr:col>
          <xdr:colOff>0</xdr:colOff>
          <xdr:row>3953</xdr:row>
          <xdr:rowOff>171450</xdr:rowOff>
        </xdr:to>
        <xdr:sp macro="" textlink="">
          <xdr:nvSpPr>
            <xdr:cNvPr id="13193" name="Button 1929" hidden="1">
              <a:extLst>
                <a:ext uri="{63B3BB69-23CF-44E3-9099-C40C66FF867C}">
                  <a14:compatExt spid="_x0000_s13193"/>
                </a:ext>
                <a:ext uri="{FF2B5EF4-FFF2-40B4-BE49-F238E27FC236}">
                  <a16:creationId xmlns:a16="http://schemas.microsoft.com/office/drawing/2014/main" id="{00000000-0008-0000-0100-00008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3954</xdr:row>
          <xdr:rowOff>0</xdr:rowOff>
        </xdr:from>
        <xdr:to>
          <xdr:col>7</xdr:col>
          <xdr:colOff>0</xdr:colOff>
          <xdr:row>3954</xdr:row>
          <xdr:rowOff>165100</xdr:rowOff>
        </xdr:to>
        <xdr:sp macro="" textlink="">
          <xdr:nvSpPr>
            <xdr:cNvPr id="13192" name="Button 1928" hidden="1">
              <a:extLst>
                <a:ext uri="{63B3BB69-23CF-44E3-9099-C40C66FF867C}">
                  <a14:compatExt spid="_x0000_s13192"/>
                </a:ext>
                <a:ext uri="{FF2B5EF4-FFF2-40B4-BE49-F238E27FC236}">
                  <a16:creationId xmlns:a16="http://schemas.microsoft.com/office/drawing/2014/main" id="{00000000-0008-0000-0100-00008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3955</xdr:row>
          <xdr:rowOff>0</xdr:rowOff>
        </xdr:from>
        <xdr:to>
          <xdr:col>7</xdr:col>
          <xdr:colOff>0</xdr:colOff>
          <xdr:row>3955</xdr:row>
          <xdr:rowOff>165100</xdr:rowOff>
        </xdr:to>
        <xdr:sp macro="" textlink="">
          <xdr:nvSpPr>
            <xdr:cNvPr id="13191" name="Button 1927" hidden="1">
              <a:extLst>
                <a:ext uri="{63B3BB69-23CF-44E3-9099-C40C66FF867C}">
                  <a14:compatExt spid="_x0000_s13191"/>
                </a:ext>
                <a:ext uri="{FF2B5EF4-FFF2-40B4-BE49-F238E27FC236}">
                  <a16:creationId xmlns:a16="http://schemas.microsoft.com/office/drawing/2014/main" id="{00000000-0008-0000-0100-00008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3956</xdr:row>
          <xdr:rowOff>0</xdr:rowOff>
        </xdr:from>
        <xdr:to>
          <xdr:col>7</xdr:col>
          <xdr:colOff>0</xdr:colOff>
          <xdr:row>3956</xdr:row>
          <xdr:rowOff>165100</xdr:rowOff>
        </xdr:to>
        <xdr:sp macro="" textlink="">
          <xdr:nvSpPr>
            <xdr:cNvPr id="13190" name="Button 1926" hidden="1">
              <a:extLst>
                <a:ext uri="{63B3BB69-23CF-44E3-9099-C40C66FF867C}">
                  <a14:compatExt spid="_x0000_s13190"/>
                </a:ext>
                <a:ext uri="{FF2B5EF4-FFF2-40B4-BE49-F238E27FC236}">
                  <a16:creationId xmlns:a16="http://schemas.microsoft.com/office/drawing/2014/main" id="{00000000-0008-0000-0100-00008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3957</xdr:row>
          <xdr:rowOff>0</xdr:rowOff>
        </xdr:from>
        <xdr:to>
          <xdr:col>7</xdr:col>
          <xdr:colOff>0</xdr:colOff>
          <xdr:row>3957</xdr:row>
          <xdr:rowOff>165100</xdr:rowOff>
        </xdr:to>
        <xdr:sp macro="" textlink="">
          <xdr:nvSpPr>
            <xdr:cNvPr id="13189" name="Button 1925" hidden="1">
              <a:extLst>
                <a:ext uri="{63B3BB69-23CF-44E3-9099-C40C66FF867C}">
                  <a14:compatExt spid="_x0000_s13189"/>
                </a:ext>
                <a:ext uri="{FF2B5EF4-FFF2-40B4-BE49-F238E27FC236}">
                  <a16:creationId xmlns:a16="http://schemas.microsoft.com/office/drawing/2014/main" id="{00000000-0008-0000-0100-00008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3958</xdr:row>
          <xdr:rowOff>0</xdr:rowOff>
        </xdr:from>
        <xdr:to>
          <xdr:col>7</xdr:col>
          <xdr:colOff>0</xdr:colOff>
          <xdr:row>3958</xdr:row>
          <xdr:rowOff>165100</xdr:rowOff>
        </xdr:to>
        <xdr:sp macro="" textlink="">
          <xdr:nvSpPr>
            <xdr:cNvPr id="13188" name="Button 1924" hidden="1">
              <a:extLst>
                <a:ext uri="{63B3BB69-23CF-44E3-9099-C40C66FF867C}">
                  <a14:compatExt spid="_x0000_s13188"/>
                </a:ext>
                <a:ext uri="{FF2B5EF4-FFF2-40B4-BE49-F238E27FC236}">
                  <a16:creationId xmlns:a16="http://schemas.microsoft.com/office/drawing/2014/main" id="{00000000-0008-0000-0100-00008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3959</xdr:row>
          <xdr:rowOff>0</xdr:rowOff>
        </xdr:from>
        <xdr:to>
          <xdr:col>7</xdr:col>
          <xdr:colOff>0</xdr:colOff>
          <xdr:row>3959</xdr:row>
          <xdr:rowOff>165100</xdr:rowOff>
        </xdr:to>
        <xdr:sp macro="" textlink="">
          <xdr:nvSpPr>
            <xdr:cNvPr id="13187" name="Button 1923" hidden="1">
              <a:extLst>
                <a:ext uri="{63B3BB69-23CF-44E3-9099-C40C66FF867C}">
                  <a14:compatExt spid="_x0000_s13187"/>
                </a:ext>
                <a:ext uri="{FF2B5EF4-FFF2-40B4-BE49-F238E27FC236}">
                  <a16:creationId xmlns:a16="http://schemas.microsoft.com/office/drawing/2014/main" id="{00000000-0008-0000-0100-00008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3960</xdr:row>
          <xdr:rowOff>0</xdr:rowOff>
        </xdr:from>
        <xdr:to>
          <xdr:col>7</xdr:col>
          <xdr:colOff>0</xdr:colOff>
          <xdr:row>3960</xdr:row>
          <xdr:rowOff>165100</xdr:rowOff>
        </xdr:to>
        <xdr:sp macro="" textlink="">
          <xdr:nvSpPr>
            <xdr:cNvPr id="13186" name="Button 1922" hidden="1">
              <a:extLst>
                <a:ext uri="{63B3BB69-23CF-44E3-9099-C40C66FF867C}">
                  <a14:compatExt spid="_x0000_s13186"/>
                </a:ext>
                <a:ext uri="{FF2B5EF4-FFF2-40B4-BE49-F238E27FC236}">
                  <a16:creationId xmlns:a16="http://schemas.microsoft.com/office/drawing/2014/main" id="{00000000-0008-0000-0100-00008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3961</xdr:row>
          <xdr:rowOff>0</xdr:rowOff>
        </xdr:from>
        <xdr:to>
          <xdr:col>7</xdr:col>
          <xdr:colOff>0</xdr:colOff>
          <xdr:row>3961</xdr:row>
          <xdr:rowOff>165100</xdr:rowOff>
        </xdr:to>
        <xdr:sp macro="" textlink="">
          <xdr:nvSpPr>
            <xdr:cNvPr id="13185" name="Button 1921" hidden="1">
              <a:extLst>
                <a:ext uri="{63B3BB69-23CF-44E3-9099-C40C66FF867C}">
                  <a14:compatExt spid="_x0000_s13185"/>
                </a:ext>
                <a:ext uri="{FF2B5EF4-FFF2-40B4-BE49-F238E27FC236}">
                  <a16:creationId xmlns:a16="http://schemas.microsoft.com/office/drawing/2014/main" id="{00000000-0008-0000-0100-00008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3962</xdr:row>
          <xdr:rowOff>0</xdr:rowOff>
        </xdr:from>
        <xdr:to>
          <xdr:col>7</xdr:col>
          <xdr:colOff>0</xdr:colOff>
          <xdr:row>3962</xdr:row>
          <xdr:rowOff>165100</xdr:rowOff>
        </xdr:to>
        <xdr:sp macro="" textlink="">
          <xdr:nvSpPr>
            <xdr:cNvPr id="13184" name="Button 1920" hidden="1">
              <a:extLst>
                <a:ext uri="{63B3BB69-23CF-44E3-9099-C40C66FF867C}">
                  <a14:compatExt spid="_x0000_s13184"/>
                </a:ext>
                <a:ext uri="{FF2B5EF4-FFF2-40B4-BE49-F238E27FC236}">
                  <a16:creationId xmlns:a16="http://schemas.microsoft.com/office/drawing/2014/main" id="{00000000-0008-0000-0100-00008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3963</xdr:row>
          <xdr:rowOff>0</xdr:rowOff>
        </xdr:from>
        <xdr:to>
          <xdr:col>7</xdr:col>
          <xdr:colOff>0</xdr:colOff>
          <xdr:row>3963</xdr:row>
          <xdr:rowOff>165100</xdr:rowOff>
        </xdr:to>
        <xdr:sp macro="" textlink="">
          <xdr:nvSpPr>
            <xdr:cNvPr id="13183" name="Button 1919" hidden="1">
              <a:extLst>
                <a:ext uri="{63B3BB69-23CF-44E3-9099-C40C66FF867C}">
                  <a14:compatExt spid="_x0000_s13183"/>
                </a:ext>
                <a:ext uri="{FF2B5EF4-FFF2-40B4-BE49-F238E27FC236}">
                  <a16:creationId xmlns:a16="http://schemas.microsoft.com/office/drawing/2014/main" id="{00000000-0008-0000-0100-00007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3964</xdr:row>
          <xdr:rowOff>0</xdr:rowOff>
        </xdr:from>
        <xdr:to>
          <xdr:col>7</xdr:col>
          <xdr:colOff>0</xdr:colOff>
          <xdr:row>3964</xdr:row>
          <xdr:rowOff>165100</xdr:rowOff>
        </xdr:to>
        <xdr:sp macro="" textlink="">
          <xdr:nvSpPr>
            <xdr:cNvPr id="13182" name="Button 1918" hidden="1">
              <a:extLst>
                <a:ext uri="{63B3BB69-23CF-44E3-9099-C40C66FF867C}">
                  <a14:compatExt spid="_x0000_s13182"/>
                </a:ext>
                <a:ext uri="{FF2B5EF4-FFF2-40B4-BE49-F238E27FC236}">
                  <a16:creationId xmlns:a16="http://schemas.microsoft.com/office/drawing/2014/main" id="{00000000-0008-0000-0100-00007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3965</xdr:row>
          <xdr:rowOff>0</xdr:rowOff>
        </xdr:from>
        <xdr:to>
          <xdr:col>7</xdr:col>
          <xdr:colOff>0</xdr:colOff>
          <xdr:row>3965</xdr:row>
          <xdr:rowOff>165100</xdr:rowOff>
        </xdr:to>
        <xdr:sp macro="" textlink="">
          <xdr:nvSpPr>
            <xdr:cNvPr id="13181" name="Button 1917" hidden="1">
              <a:extLst>
                <a:ext uri="{63B3BB69-23CF-44E3-9099-C40C66FF867C}">
                  <a14:compatExt spid="_x0000_s13181"/>
                </a:ext>
                <a:ext uri="{FF2B5EF4-FFF2-40B4-BE49-F238E27FC236}">
                  <a16:creationId xmlns:a16="http://schemas.microsoft.com/office/drawing/2014/main" id="{00000000-0008-0000-0100-00007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3966</xdr:row>
          <xdr:rowOff>0</xdr:rowOff>
        </xdr:from>
        <xdr:to>
          <xdr:col>7</xdr:col>
          <xdr:colOff>0</xdr:colOff>
          <xdr:row>3966</xdr:row>
          <xdr:rowOff>165100</xdr:rowOff>
        </xdr:to>
        <xdr:sp macro="" textlink="">
          <xdr:nvSpPr>
            <xdr:cNvPr id="13180" name="Button 1916" hidden="1">
              <a:extLst>
                <a:ext uri="{63B3BB69-23CF-44E3-9099-C40C66FF867C}">
                  <a14:compatExt spid="_x0000_s13180"/>
                </a:ext>
                <a:ext uri="{FF2B5EF4-FFF2-40B4-BE49-F238E27FC236}">
                  <a16:creationId xmlns:a16="http://schemas.microsoft.com/office/drawing/2014/main" id="{00000000-0008-0000-0100-00007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3967</xdr:row>
          <xdr:rowOff>0</xdr:rowOff>
        </xdr:from>
        <xdr:to>
          <xdr:col>7</xdr:col>
          <xdr:colOff>0</xdr:colOff>
          <xdr:row>3967</xdr:row>
          <xdr:rowOff>165100</xdr:rowOff>
        </xdr:to>
        <xdr:sp macro="" textlink="">
          <xdr:nvSpPr>
            <xdr:cNvPr id="13179" name="Button 1915" hidden="1">
              <a:extLst>
                <a:ext uri="{63B3BB69-23CF-44E3-9099-C40C66FF867C}">
                  <a14:compatExt spid="_x0000_s13179"/>
                </a:ext>
                <a:ext uri="{FF2B5EF4-FFF2-40B4-BE49-F238E27FC236}">
                  <a16:creationId xmlns:a16="http://schemas.microsoft.com/office/drawing/2014/main" id="{00000000-0008-0000-0100-00007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3968</xdr:row>
          <xdr:rowOff>0</xdr:rowOff>
        </xdr:from>
        <xdr:to>
          <xdr:col>7</xdr:col>
          <xdr:colOff>0</xdr:colOff>
          <xdr:row>3968</xdr:row>
          <xdr:rowOff>165100</xdr:rowOff>
        </xdr:to>
        <xdr:sp macro="" textlink="">
          <xdr:nvSpPr>
            <xdr:cNvPr id="13178" name="Button 1914" hidden="1">
              <a:extLst>
                <a:ext uri="{63B3BB69-23CF-44E3-9099-C40C66FF867C}">
                  <a14:compatExt spid="_x0000_s13178"/>
                </a:ext>
                <a:ext uri="{FF2B5EF4-FFF2-40B4-BE49-F238E27FC236}">
                  <a16:creationId xmlns:a16="http://schemas.microsoft.com/office/drawing/2014/main" id="{00000000-0008-0000-0100-00007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3969</xdr:row>
          <xdr:rowOff>0</xdr:rowOff>
        </xdr:from>
        <xdr:to>
          <xdr:col>7</xdr:col>
          <xdr:colOff>0</xdr:colOff>
          <xdr:row>3969</xdr:row>
          <xdr:rowOff>165100</xdr:rowOff>
        </xdr:to>
        <xdr:sp macro="" textlink="">
          <xdr:nvSpPr>
            <xdr:cNvPr id="13177" name="Button 1913" hidden="1">
              <a:extLst>
                <a:ext uri="{63B3BB69-23CF-44E3-9099-C40C66FF867C}">
                  <a14:compatExt spid="_x0000_s13177"/>
                </a:ext>
                <a:ext uri="{FF2B5EF4-FFF2-40B4-BE49-F238E27FC236}">
                  <a16:creationId xmlns:a16="http://schemas.microsoft.com/office/drawing/2014/main" id="{00000000-0008-0000-0100-00007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3970</xdr:row>
          <xdr:rowOff>0</xdr:rowOff>
        </xdr:from>
        <xdr:to>
          <xdr:col>7</xdr:col>
          <xdr:colOff>0</xdr:colOff>
          <xdr:row>3970</xdr:row>
          <xdr:rowOff>165100</xdr:rowOff>
        </xdr:to>
        <xdr:sp macro="" textlink="">
          <xdr:nvSpPr>
            <xdr:cNvPr id="13176" name="Button 1912" hidden="1">
              <a:extLst>
                <a:ext uri="{63B3BB69-23CF-44E3-9099-C40C66FF867C}">
                  <a14:compatExt spid="_x0000_s13176"/>
                </a:ext>
                <a:ext uri="{FF2B5EF4-FFF2-40B4-BE49-F238E27FC236}">
                  <a16:creationId xmlns:a16="http://schemas.microsoft.com/office/drawing/2014/main" id="{00000000-0008-0000-0100-00007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3971</xdr:row>
          <xdr:rowOff>0</xdr:rowOff>
        </xdr:from>
        <xdr:to>
          <xdr:col>7</xdr:col>
          <xdr:colOff>0</xdr:colOff>
          <xdr:row>3971</xdr:row>
          <xdr:rowOff>165100</xdr:rowOff>
        </xdr:to>
        <xdr:sp macro="" textlink="">
          <xdr:nvSpPr>
            <xdr:cNvPr id="13175" name="Button 1911" hidden="1">
              <a:extLst>
                <a:ext uri="{63B3BB69-23CF-44E3-9099-C40C66FF867C}">
                  <a14:compatExt spid="_x0000_s13175"/>
                </a:ext>
                <a:ext uri="{FF2B5EF4-FFF2-40B4-BE49-F238E27FC236}">
                  <a16:creationId xmlns:a16="http://schemas.microsoft.com/office/drawing/2014/main" id="{00000000-0008-0000-0100-00007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3972</xdr:row>
          <xdr:rowOff>0</xdr:rowOff>
        </xdr:from>
        <xdr:to>
          <xdr:col>7</xdr:col>
          <xdr:colOff>0</xdr:colOff>
          <xdr:row>3972</xdr:row>
          <xdr:rowOff>165100</xdr:rowOff>
        </xdr:to>
        <xdr:sp macro="" textlink="">
          <xdr:nvSpPr>
            <xdr:cNvPr id="13174" name="Button 1910" hidden="1">
              <a:extLst>
                <a:ext uri="{63B3BB69-23CF-44E3-9099-C40C66FF867C}">
                  <a14:compatExt spid="_x0000_s13174"/>
                </a:ext>
                <a:ext uri="{FF2B5EF4-FFF2-40B4-BE49-F238E27FC236}">
                  <a16:creationId xmlns:a16="http://schemas.microsoft.com/office/drawing/2014/main" id="{00000000-0008-0000-0100-00007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3973</xdr:row>
          <xdr:rowOff>0</xdr:rowOff>
        </xdr:from>
        <xdr:to>
          <xdr:col>7</xdr:col>
          <xdr:colOff>0</xdr:colOff>
          <xdr:row>3973</xdr:row>
          <xdr:rowOff>165100</xdr:rowOff>
        </xdr:to>
        <xdr:sp macro="" textlink="">
          <xdr:nvSpPr>
            <xdr:cNvPr id="13173" name="Button 1909" hidden="1">
              <a:extLst>
                <a:ext uri="{63B3BB69-23CF-44E3-9099-C40C66FF867C}">
                  <a14:compatExt spid="_x0000_s13173"/>
                </a:ext>
                <a:ext uri="{FF2B5EF4-FFF2-40B4-BE49-F238E27FC236}">
                  <a16:creationId xmlns:a16="http://schemas.microsoft.com/office/drawing/2014/main" id="{00000000-0008-0000-0100-00007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3974</xdr:row>
          <xdr:rowOff>0</xdr:rowOff>
        </xdr:from>
        <xdr:to>
          <xdr:col>7</xdr:col>
          <xdr:colOff>0</xdr:colOff>
          <xdr:row>3974</xdr:row>
          <xdr:rowOff>165100</xdr:rowOff>
        </xdr:to>
        <xdr:sp macro="" textlink="">
          <xdr:nvSpPr>
            <xdr:cNvPr id="13172" name="Button 1908" hidden="1">
              <a:extLst>
                <a:ext uri="{63B3BB69-23CF-44E3-9099-C40C66FF867C}">
                  <a14:compatExt spid="_x0000_s13172"/>
                </a:ext>
                <a:ext uri="{FF2B5EF4-FFF2-40B4-BE49-F238E27FC236}">
                  <a16:creationId xmlns:a16="http://schemas.microsoft.com/office/drawing/2014/main" id="{00000000-0008-0000-0100-00007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3975</xdr:row>
          <xdr:rowOff>0</xdr:rowOff>
        </xdr:from>
        <xdr:to>
          <xdr:col>7</xdr:col>
          <xdr:colOff>0</xdr:colOff>
          <xdr:row>3975</xdr:row>
          <xdr:rowOff>165100</xdr:rowOff>
        </xdr:to>
        <xdr:sp macro="" textlink="">
          <xdr:nvSpPr>
            <xdr:cNvPr id="13171" name="Button 1907" hidden="1">
              <a:extLst>
                <a:ext uri="{63B3BB69-23CF-44E3-9099-C40C66FF867C}">
                  <a14:compatExt spid="_x0000_s13171"/>
                </a:ext>
                <a:ext uri="{FF2B5EF4-FFF2-40B4-BE49-F238E27FC236}">
                  <a16:creationId xmlns:a16="http://schemas.microsoft.com/office/drawing/2014/main" id="{00000000-0008-0000-0100-00007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3976</xdr:row>
          <xdr:rowOff>0</xdr:rowOff>
        </xdr:from>
        <xdr:to>
          <xdr:col>7</xdr:col>
          <xdr:colOff>0</xdr:colOff>
          <xdr:row>3976</xdr:row>
          <xdr:rowOff>165100</xdr:rowOff>
        </xdr:to>
        <xdr:sp macro="" textlink="">
          <xdr:nvSpPr>
            <xdr:cNvPr id="13170" name="Button 1906" hidden="1">
              <a:extLst>
                <a:ext uri="{63B3BB69-23CF-44E3-9099-C40C66FF867C}">
                  <a14:compatExt spid="_x0000_s13170"/>
                </a:ext>
                <a:ext uri="{FF2B5EF4-FFF2-40B4-BE49-F238E27FC236}">
                  <a16:creationId xmlns:a16="http://schemas.microsoft.com/office/drawing/2014/main" id="{00000000-0008-0000-0100-00007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3977</xdr:row>
          <xdr:rowOff>0</xdr:rowOff>
        </xdr:from>
        <xdr:to>
          <xdr:col>7</xdr:col>
          <xdr:colOff>0</xdr:colOff>
          <xdr:row>3977</xdr:row>
          <xdr:rowOff>165100</xdr:rowOff>
        </xdr:to>
        <xdr:sp macro="" textlink="">
          <xdr:nvSpPr>
            <xdr:cNvPr id="13169" name="Button 1905" hidden="1">
              <a:extLst>
                <a:ext uri="{63B3BB69-23CF-44E3-9099-C40C66FF867C}">
                  <a14:compatExt spid="_x0000_s13169"/>
                </a:ext>
                <a:ext uri="{FF2B5EF4-FFF2-40B4-BE49-F238E27FC236}">
                  <a16:creationId xmlns:a16="http://schemas.microsoft.com/office/drawing/2014/main" id="{00000000-0008-0000-0100-00007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3978</xdr:row>
          <xdr:rowOff>0</xdr:rowOff>
        </xdr:from>
        <xdr:to>
          <xdr:col>7</xdr:col>
          <xdr:colOff>0</xdr:colOff>
          <xdr:row>3978</xdr:row>
          <xdr:rowOff>165100</xdr:rowOff>
        </xdr:to>
        <xdr:sp macro="" textlink="">
          <xdr:nvSpPr>
            <xdr:cNvPr id="13168" name="Button 1904" hidden="1">
              <a:extLst>
                <a:ext uri="{63B3BB69-23CF-44E3-9099-C40C66FF867C}">
                  <a14:compatExt spid="_x0000_s13168"/>
                </a:ext>
                <a:ext uri="{FF2B5EF4-FFF2-40B4-BE49-F238E27FC236}">
                  <a16:creationId xmlns:a16="http://schemas.microsoft.com/office/drawing/2014/main" id="{00000000-0008-0000-0100-00007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3979</xdr:row>
          <xdr:rowOff>0</xdr:rowOff>
        </xdr:from>
        <xdr:to>
          <xdr:col>7</xdr:col>
          <xdr:colOff>0</xdr:colOff>
          <xdr:row>3979</xdr:row>
          <xdr:rowOff>165100</xdr:rowOff>
        </xdr:to>
        <xdr:sp macro="" textlink="">
          <xdr:nvSpPr>
            <xdr:cNvPr id="13167" name="Button 1903" hidden="1">
              <a:extLst>
                <a:ext uri="{63B3BB69-23CF-44E3-9099-C40C66FF867C}">
                  <a14:compatExt spid="_x0000_s13167"/>
                </a:ext>
                <a:ext uri="{FF2B5EF4-FFF2-40B4-BE49-F238E27FC236}">
                  <a16:creationId xmlns:a16="http://schemas.microsoft.com/office/drawing/2014/main" id="{00000000-0008-0000-0100-00006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3980</xdr:row>
          <xdr:rowOff>0</xdr:rowOff>
        </xdr:from>
        <xdr:to>
          <xdr:col>7</xdr:col>
          <xdr:colOff>0</xdr:colOff>
          <xdr:row>3980</xdr:row>
          <xdr:rowOff>165100</xdr:rowOff>
        </xdr:to>
        <xdr:sp macro="" textlink="">
          <xdr:nvSpPr>
            <xdr:cNvPr id="13166" name="Button 1902" hidden="1">
              <a:extLst>
                <a:ext uri="{63B3BB69-23CF-44E3-9099-C40C66FF867C}">
                  <a14:compatExt spid="_x0000_s13166"/>
                </a:ext>
                <a:ext uri="{FF2B5EF4-FFF2-40B4-BE49-F238E27FC236}">
                  <a16:creationId xmlns:a16="http://schemas.microsoft.com/office/drawing/2014/main" id="{00000000-0008-0000-0100-00006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3981</xdr:row>
          <xdr:rowOff>0</xdr:rowOff>
        </xdr:from>
        <xdr:to>
          <xdr:col>7</xdr:col>
          <xdr:colOff>0</xdr:colOff>
          <xdr:row>3981</xdr:row>
          <xdr:rowOff>165100</xdr:rowOff>
        </xdr:to>
        <xdr:sp macro="" textlink="">
          <xdr:nvSpPr>
            <xdr:cNvPr id="13165" name="Button 1901" hidden="1">
              <a:extLst>
                <a:ext uri="{63B3BB69-23CF-44E3-9099-C40C66FF867C}">
                  <a14:compatExt spid="_x0000_s13165"/>
                </a:ext>
                <a:ext uri="{FF2B5EF4-FFF2-40B4-BE49-F238E27FC236}">
                  <a16:creationId xmlns:a16="http://schemas.microsoft.com/office/drawing/2014/main" id="{00000000-0008-0000-0100-00006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3982</xdr:row>
          <xdr:rowOff>0</xdr:rowOff>
        </xdr:from>
        <xdr:to>
          <xdr:col>7</xdr:col>
          <xdr:colOff>0</xdr:colOff>
          <xdr:row>3982</xdr:row>
          <xdr:rowOff>165100</xdr:rowOff>
        </xdr:to>
        <xdr:sp macro="" textlink="">
          <xdr:nvSpPr>
            <xdr:cNvPr id="13164" name="Button 1900" hidden="1">
              <a:extLst>
                <a:ext uri="{63B3BB69-23CF-44E3-9099-C40C66FF867C}">
                  <a14:compatExt spid="_x0000_s13164"/>
                </a:ext>
                <a:ext uri="{FF2B5EF4-FFF2-40B4-BE49-F238E27FC236}">
                  <a16:creationId xmlns:a16="http://schemas.microsoft.com/office/drawing/2014/main" id="{00000000-0008-0000-0100-00006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3983</xdr:row>
          <xdr:rowOff>0</xdr:rowOff>
        </xdr:from>
        <xdr:to>
          <xdr:col>7</xdr:col>
          <xdr:colOff>0</xdr:colOff>
          <xdr:row>3983</xdr:row>
          <xdr:rowOff>165100</xdr:rowOff>
        </xdr:to>
        <xdr:sp macro="" textlink="">
          <xdr:nvSpPr>
            <xdr:cNvPr id="13163" name="Button 1899" hidden="1">
              <a:extLst>
                <a:ext uri="{63B3BB69-23CF-44E3-9099-C40C66FF867C}">
                  <a14:compatExt spid="_x0000_s13163"/>
                </a:ext>
                <a:ext uri="{FF2B5EF4-FFF2-40B4-BE49-F238E27FC236}">
                  <a16:creationId xmlns:a16="http://schemas.microsoft.com/office/drawing/2014/main" id="{00000000-0008-0000-0100-00006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3984</xdr:row>
          <xdr:rowOff>0</xdr:rowOff>
        </xdr:from>
        <xdr:to>
          <xdr:col>7</xdr:col>
          <xdr:colOff>0</xdr:colOff>
          <xdr:row>3984</xdr:row>
          <xdr:rowOff>165100</xdr:rowOff>
        </xdr:to>
        <xdr:sp macro="" textlink="">
          <xdr:nvSpPr>
            <xdr:cNvPr id="13162" name="Button 1898" hidden="1">
              <a:extLst>
                <a:ext uri="{63B3BB69-23CF-44E3-9099-C40C66FF867C}">
                  <a14:compatExt spid="_x0000_s13162"/>
                </a:ext>
                <a:ext uri="{FF2B5EF4-FFF2-40B4-BE49-F238E27FC236}">
                  <a16:creationId xmlns:a16="http://schemas.microsoft.com/office/drawing/2014/main" id="{00000000-0008-0000-0100-00006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3985</xdr:row>
          <xdr:rowOff>0</xdr:rowOff>
        </xdr:from>
        <xdr:to>
          <xdr:col>7</xdr:col>
          <xdr:colOff>0</xdr:colOff>
          <xdr:row>3985</xdr:row>
          <xdr:rowOff>165100</xdr:rowOff>
        </xdr:to>
        <xdr:sp macro="" textlink="">
          <xdr:nvSpPr>
            <xdr:cNvPr id="13161" name="Button 1897" hidden="1">
              <a:extLst>
                <a:ext uri="{63B3BB69-23CF-44E3-9099-C40C66FF867C}">
                  <a14:compatExt spid="_x0000_s13161"/>
                </a:ext>
                <a:ext uri="{FF2B5EF4-FFF2-40B4-BE49-F238E27FC236}">
                  <a16:creationId xmlns:a16="http://schemas.microsoft.com/office/drawing/2014/main" id="{00000000-0008-0000-0100-00006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3986</xdr:row>
          <xdr:rowOff>0</xdr:rowOff>
        </xdr:from>
        <xdr:to>
          <xdr:col>7</xdr:col>
          <xdr:colOff>0</xdr:colOff>
          <xdr:row>3986</xdr:row>
          <xdr:rowOff>165100</xdr:rowOff>
        </xdr:to>
        <xdr:sp macro="" textlink="">
          <xdr:nvSpPr>
            <xdr:cNvPr id="13160" name="Button 1896" hidden="1">
              <a:extLst>
                <a:ext uri="{63B3BB69-23CF-44E3-9099-C40C66FF867C}">
                  <a14:compatExt spid="_x0000_s13160"/>
                </a:ext>
                <a:ext uri="{FF2B5EF4-FFF2-40B4-BE49-F238E27FC236}">
                  <a16:creationId xmlns:a16="http://schemas.microsoft.com/office/drawing/2014/main" id="{00000000-0008-0000-0100-00006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3987</xdr:row>
          <xdr:rowOff>0</xdr:rowOff>
        </xdr:from>
        <xdr:to>
          <xdr:col>7</xdr:col>
          <xdr:colOff>0</xdr:colOff>
          <xdr:row>3987</xdr:row>
          <xdr:rowOff>165100</xdr:rowOff>
        </xdr:to>
        <xdr:sp macro="" textlink="">
          <xdr:nvSpPr>
            <xdr:cNvPr id="13159" name="Button 1895" hidden="1">
              <a:extLst>
                <a:ext uri="{63B3BB69-23CF-44E3-9099-C40C66FF867C}">
                  <a14:compatExt spid="_x0000_s13159"/>
                </a:ext>
                <a:ext uri="{FF2B5EF4-FFF2-40B4-BE49-F238E27FC236}">
                  <a16:creationId xmlns:a16="http://schemas.microsoft.com/office/drawing/2014/main" id="{00000000-0008-0000-0100-00006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3988</xdr:row>
          <xdr:rowOff>0</xdr:rowOff>
        </xdr:from>
        <xdr:to>
          <xdr:col>7</xdr:col>
          <xdr:colOff>0</xdr:colOff>
          <xdr:row>3988</xdr:row>
          <xdr:rowOff>165100</xdr:rowOff>
        </xdr:to>
        <xdr:sp macro="" textlink="">
          <xdr:nvSpPr>
            <xdr:cNvPr id="13158" name="Button 1894" hidden="1">
              <a:extLst>
                <a:ext uri="{63B3BB69-23CF-44E3-9099-C40C66FF867C}">
                  <a14:compatExt spid="_x0000_s13158"/>
                </a:ext>
                <a:ext uri="{FF2B5EF4-FFF2-40B4-BE49-F238E27FC236}">
                  <a16:creationId xmlns:a16="http://schemas.microsoft.com/office/drawing/2014/main" id="{00000000-0008-0000-0100-00006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3989</xdr:row>
          <xdr:rowOff>0</xdr:rowOff>
        </xdr:from>
        <xdr:to>
          <xdr:col>7</xdr:col>
          <xdr:colOff>0</xdr:colOff>
          <xdr:row>3989</xdr:row>
          <xdr:rowOff>165100</xdr:rowOff>
        </xdr:to>
        <xdr:sp macro="" textlink="">
          <xdr:nvSpPr>
            <xdr:cNvPr id="13157" name="Button 1893" hidden="1">
              <a:extLst>
                <a:ext uri="{63B3BB69-23CF-44E3-9099-C40C66FF867C}">
                  <a14:compatExt spid="_x0000_s13157"/>
                </a:ext>
                <a:ext uri="{FF2B5EF4-FFF2-40B4-BE49-F238E27FC236}">
                  <a16:creationId xmlns:a16="http://schemas.microsoft.com/office/drawing/2014/main" id="{00000000-0008-0000-0100-00006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3990</xdr:row>
          <xdr:rowOff>0</xdr:rowOff>
        </xdr:from>
        <xdr:to>
          <xdr:col>7</xdr:col>
          <xdr:colOff>0</xdr:colOff>
          <xdr:row>3990</xdr:row>
          <xdr:rowOff>165100</xdr:rowOff>
        </xdr:to>
        <xdr:sp macro="" textlink="">
          <xdr:nvSpPr>
            <xdr:cNvPr id="13156" name="Button 1892" hidden="1">
              <a:extLst>
                <a:ext uri="{63B3BB69-23CF-44E3-9099-C40C66FF867C}">
                  <a14:compatExt spid="_x0000_s13156"/>
                </a:ext>
                <a:ext uri="{FF2B5EF4-FFF2-40B4-BE49-F238E27FC236}">
                  <a16:creationId xmlns:a16="http://schemas.microsoft.com/office/drawing/2014/main" id="{00000000-0008-0000-0100-00006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3991</xdr:row>
          <xdr:rowOff>0</xdr:rowOff>
        </xdr:from>
        <xdr:to>
          <xdr:col>7</xdr:col>
          <xdr:colOff>0</xdr:colOff>
          <xdr:row>3991</xdr:row>
          <xdr:rowOff>165100</xdr:rowOff>
        </xdr:to>
        <xdr:sp macro="" textlink="">
          <xdr:nvSpPr>
            <xdr:cNvPr id="13155" name="Button 1891" hidden="1">
              <a:extLst>
                <a:ext uri="{63B3BB69-23CF-44E3-9099-C40C66FF867C}">
                  <a14:compatExt spid="_x0000_s13155"/>
                </a:ext>
                <a:ext uri="{FF2B5EF4-FFF2-40B4-BE49-F238E27FC236}">
                  <a16:creationId xmlns:a16="http://schemas.microsoft.com/office/drawing/2014/main" id="{00000000-0008-0000-0100-00006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3992</xdr:row>
          <xdr:rowOff>0</xdr:rowOff>
        </xdr:from>
        <xdr:to>
          <xdr:col>7</xdr:col>
          <xdr:colOff>0</xdr:colOff>
          <xdr:row>3992</xdr:row>
          <xdr:rowOff>165100</xdr:rowOff>
        </xdr:to>
        <xdr:sp macro="" textlink="">
          <xdr:nvSpPr>
            <xdr:cNvPr id="13154" name="Button 1890" hidden="1">
              <a:extLst>
                <a:ext uri="{63B3BB69-23CF-44E3-9099-C40C66FF867C}">
                  <a14:compatExt spid="_x0000_s13154"/>
                </a:ext>
                <a:ext uri="{FF2B5EF4-FFF2-40B4-BE49-F238E27FC236}">
                  <a16:creationId xmlns:a16="http://schemas.microsoft.com/office/drawing/2014/main" id="{00000000-0008-0000-0100-00006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3993</xdr:row>
          <xdr:rowOff>0</xdr:rowOff>
        </xdr:from>
        <xdr:to>
          <xdr:col>7</xdr:col>
          <xdr:colOff>0</xdr:colOff>
          <xdr:row>3993</xdr:row>
          <xdr:rowOff>165100</xdr:rowOff>
        </xdr:to>
        <xdr:sp macro="" textlink="">
          <xdr:nvSpPr>
            <xdr:cNvPr id="13153" name="Button 1889" hidden="1">
              <a:extLst>
                <a:ext uri="{63B3BB69-23CF-44E3-9099-C40C66FF867C}">
                  <a14:compatExt spid="_x0000_s13153"/>
                </a:ext>
                <a:ext uri="{FF2B5EF4-FFF2-40B4-BE49-F238E27FC236}">
                  <a16:creationId xmlns:a16="http://schemas.microsoft.com/office/drawing/2014/main" id="{00000000-0008-0000-0100-00006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3994</xdr:row>
          <xdr:rowOff>0</xdr:rowOff>
        </xdr:from>
        <xdr:to>
          <xdr:col>7</xdr:col>
          <xdr:colOff>0</xdr:colOff>
          <xdr:row>3994</xdr:row>
          <xdr:rowOff>165100</xdr:rowOff>
        </xdr:to>
        <xdr:sp macro="" textlink="">
          <xdr:nvSpPr>
            <xdr:cNvPr id="13152" name="Button 1888" hidden="1">
              <a:extLst>
                <a:ext uri="{63B3BB69-23CF-44E3-9099-C40C66FF867C}">
                  <a14:compatExt spid="_x0000_s13152"/>
                </a:ext>
                <a:ext uri="{FF2B5EF4-FFF2-40B4-BE49-F238E27FC236}">
                  <a16:creationId xmlns:a16="http://schemas.microsoft.com/office/drawing/2014/main" id="{00000000-0008-0000-0100-00006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3995</xdr:row>
          <xdr:rowOff>0</xdr:rowOff>
        </xdr:from>
        <xdr:to>
          <xdr:col>7</xdr:col>
          <xdr:colOff>0</xdr:colOff>
          <xdr:row>3995</xdr:row>
          <xdr:rowOff>165100</xdr:rowOff>
        </xdr:to>
        <xdr:sp macro="" textlink="">
          <xdr:nvSpPr>
            <xdr:cNvPr id="13151" name="Button 1887" hidden="1">
              <a:extLst>
                <a:ext uri="{63B3BB69-23CF-44E3-9099-C40C66FF867C}">
                  <a14:compatExt spid="_x0000_s13151"/>
                </a:ext>
                <a:ext uri="{FF2B5EF4-FFF2-40B4-BE49-F238E27FC236}">
                  <a16:creationId xmlns:a16="http://schemas.microsoft.com/office/drawing/2014/main" id="{00000000-0008-0000-0100-00005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3996</xdr:row>
          <xdr:rowOff>0</xdr:rowOff>
        </xdr:from>
        <xdr:to>
          <xdr:col>7</xdr:col>
          <xdr:colOff>0</xdr:colOff>
          <xdr:row>3996</xdr:row>
          <xdr:rowOff>165100</xdr:rowOff>
        </xdr:to>
        <xdr:sp macro="" textlink="">
          <xdr:nvSpPr>
            <xdr:cNvPr id="13150" name="Button 1886" hidden="1">
              <a:extLst>
                <a:ext uri="{63B3BB69-23CF-44E3-9099-C40C66FF867C}">
                  <a14:compatExt spid="_x0000_s13150"/>
                </a:ext>
                <a:ext uri="{FF2B5EF4-FFF2-40B4-BE49-F238E27FC236}">
                  <a16:creationId xmlns:a16="http://schemas.microsoft.com/office/drawing/2014/main" id="{00000000-0008-0000-0100-00005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3997</xdr:row>
          <xdr:rowOff>0</xdr:rowOff>
        </xdr:from>
        <xdr:to>
          <xdr:col>7</xdr:col>
          <xdr:colOff>0</xdr:colOff>
          <xdr:row>3997</xdr:row>
          <xdr:rowOff>165100</xdr:rowOff>
        </xdr:to>
        <xdr:sp macro="" textlink="">
          <xdr:nvSpPr>
            <xdr:cNvPr id="13149" name="Button 1885" hidden="1">
              <a:extLst>
                <a:ext uri="{63B3BB69-23CF-44E3-9099-C40C66FF867C}">
                  <a14:compatExt spid="_x0000_s13149"/>
                </a:ext>
                <a:ext uri="{FF2B5EF4-FFF2-40B4-BE49-F238E27FC236}">
                  <a16:creationId xmlns:a16="http://schemas.microsoft.com/office/drawing/2014/main" id="{00000000-0008-0000-0100-00005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3998</xdr:row>
          <xdr:rowOff>0</xdr:rowOff>
        </xdr:from>
        <xdr:to>
          <xdr:col>7</xdr:col>
          <xdr:colOff>0</xdr:colOff>
          <xdr:row>3998</xdr:row>
          <xdr:rowOff>165100</xdr:rowOff>
        </xdr:to>
        <xdr:sp macro="" textlink="">
          <xdr:nvSpPr>
            <xdr:cNvPr id="13148" name="Button 1884" hidden="1">
              <a:extLst>
                <a:ext uri="{63B3BB69-23CF-44E3-9099-C40C66FF867C}">
                  <a14:compatExt spid="_x0000_s13148"/>
                </a:ext>
                <a:ext uri="{FF2B5EF4-FFF2-40B4-BE49-F238E27FC236}">
                  <a16:creationId xmlns:a16="http://schemas.microsoft.com/office/drawing/2014/main" id="{00000000-0008-0000-0100-00005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3999</xdr:row>
          <xdr:rowOff>0</xdr:rowOff>
        </xdr:from>
        <xdr:to>
          <xdr:col>7</xdr:col>
          <xdr:colOff>0</xdr:colOff>
          <xdr:row>3999</xdr:row>
          <xdr:rowOff>165100</xdr:rowOff>
        </xdr:to>
        <xdr:sp macro="" textlink="">
          <xdr:nvSpPr>
            <xdr:cNvPr id="13147" name="Button 1883" hidden="1">
              <a:extLst>
                <a:ext uri="{63B3BB69-23CF-44E3-9099-C40C66FF867C}">
                  <a14:compatExt spid="_x0000_s13147"/>
                </a:ext>
                <a:ext uri="{FF2B5EF4-FFF2-40B4-BE49-F238E27FC236}">
                  <a16:creationId xmlns:a16="http://schemas.microsoft.com/office/drawing/2014/main" id="{00000000-0008-0000-0100-00005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4002</xdr:row>
          <xdr:rowOff>0</xdr:rowOff>
        </xdr:from>
        <xdr:to>
          <xdr:col>7</xdr:col>
          <xdr:colOff>0</xdr:colOff>
          <xdr:row>4003</xdr:row>
          <xdr:rowOff>0</xdr:rowOff>
        </xdr:to>
        <xdr:sp macro="" textlink="">
          <xdr:nvSpPr>
            <xdr:cNvPr id="13146" name="Button 1882" hidden="1">
              <a:extLst>
                <a:ext uri="{63B3BB69-23CF-44E3-9099-C40C66FF867C}">
                  <a14:compatExt spid="_x0000_s13146"/>
                </a:ext>
                <a:ext uri="{FF2B5EF4-FFF2-40B4-BE49-F238E27FC236}">
                  <a16:creationId xmlns:a16="http://schemas.microsoft.com/office/drawing/2014/main" id="{00000000-0008-0000-0100-00005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4009</xdr:row>
          <xdr:rowOff>0</xdr:rowOff>
        </xdr:from>
        <xdr:to>
          <xdr:col>7</xdr:col>
          <xdr:colOff>0</xdr:colOff>
          <xdr:row>4009</xdr:row>
          <xdr:rowOff>171450</xdr:rowOff>
        </xdr:to>
        <xdr:sp macro="" textlink="">
          <xdr:nvSpPr>
            <xdr:cNvPr id="13145" name="Button 1881" hidden="1">
              <a:extLst>
                <a:ext uri="{63B3BB69-23CF-44E3-9099-C40C66FF867C}">
                  <a14:compatExt spid="_x0000_s13145"/>
                </a:ext>
                <a:ext uri="{FF2B5EF4-FFF2-40B4-BE49-F238E27FC236}">
                  <a16:creationId xmlns:a16="http://schemas.microsoft.com/office/drawing/2014/main" id="{00000000-0008-0000-0100-00005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4010</xdr:row>
          <xdr:rowOff>0</xdr:rowOff>
        </xdr:from>
        <xdr:to>
          <xdr:col>7</xdr:col>
          <xdr:colOff>0</xdr:colOff>
          <xdr:row>4010</xdr:row>
          <xdr:rowOff>165100</xdr:rowOff>
        </xdr:to>
        <xdr:sp macro="" textlink="">
          <xdr:nvSpPr>
            <xdr:cNvPr id="13144" name="Button 1880" hidden="1">
              <a:extLst>
                <a:ext uri="{63B3BB69-23CF-44E3-9099-C40C66FF867C}">
                  <a14:compatExt spid="_x0000_s13144"/>
                </a:ext>
                <a:ext uri="{FF2B5EF4-FFF2-40B4-BE49-F238E27FC236}">
                  <a16:creationId xmlns:a16="http://schemas.microsoft.com/office/drawing/2014/main" id="{00000000-0008-0000-0100-00005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4011</xdr:row>
          <xdr:rowOff>0</xdr:rowOff>
        </xdr:from>
        <xdr:to>
          <xdr:col>7</xdr:col>
          <xdr:colOff>0</xdr:colOff>
          <xdr:row>4011</xdr:row>
          <xdr:rowOff>165100</xdr:rowOff>
        </xdr:to>
        <xdr:sp macro="" textlink="">
          <xdr:nvSpPr>
            <xdr:cNvPr id="13143" name="Button 1879" hidden="1">
              <a:extLst>
                <a:ext uri="{63B3BB69-23CF-44E3-9099-C40C66FF867C}">
                  <a14:compatExt spid="_x0000_s13143"/>
                </a:ext>
                <a:ext uri="{FF2B5EF4-FFF2-40B4-BE49-F238E27FC236}">
                  <a16:creationId xmlns:a16="http://schemas.microsoft.com/office/drawing/2014/main" id="{00000000-0008-0000-0100-00005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4012</xdr:row>
          <xdr:rowOff>0</xdr:rowOff>
        </xdr:from>
        <xdr:to>
          <xdr:col>7</xdr:col>
          <xdr:colOff>0</xdr:colOff>
          <xdr:row>4012</xdr:row>
          <xdr:rowOff>165100</xdr:rowOff>
        </xdr:to>
        <xdr:sp macro="" textlink="">
          <xdr:nvSpPr>
            <xdr:cNvPr id="13142" name="Button 1878" hidden="1">
              <a:extLst>
                <a:ext uri="{63B3BB69-23CF-44E3-9099-C40C66FF867C}">
                  <a14:compatExt spid="_x0000_s13142"/>
                </a:ext>
                <a:ext uri="{FF2B5EF4-FFF2-40B4-BE49-F238E27FC236}">
                  <a16:creationId xmlns:a16="http://schemas.microsoft.com/office/drawing/2014/main" id="{00000000-0008-0000-0100-00005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4013</xdr:row>
          <xdr:rowOff>0</xdr:rowOff>
        </xdr:from>
        <xdr:to>
          <xdr:col>7</xdr:col>
          <xdr:colOff>0</xdr:colOff>
          <xdr:row>4013</xdr:row>
          <xdr:rowOff>165100</xdr:rowOff>
        </xdr:to>
        <xdr:sp macro="" textlink="">
          <xdr:nvSpPr>
            <xdr:cNvPr id="13141" name="Button 1877" hidden="1">
              <a:extLst>
                <a:ext uri="{63B3BB69-23CF-44E3-9099-C40C66FF867C}">
                  <a14:compatExt spid="_x0000_s13141"/>
                </a:ext>
                <a:ext uri="{FF2B5EF4-FFF2-40B4-BE49-F238E27FC236}">
                  <a16:creationId xmlns:a16="http://schemas.microsoft.com/office/drawing/2014/main" id="{00000000-0008-0000-0100-00005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4014</xdr:row>
          <xdr:rowOff>0</xdr:rowOff>
        </xdr:from>
        <xdr:to>
          <xdr:col>7</xdr:col>
          <xdr:colOff>0</xdr:colOff>
          <xdr:row>4014</xdr:row>
          <xdr:rowOff>165100</xdr:rowOff>
        </xdr:to>
        <xdr:sp macro="" textlink="">
          <xdr:nvSpPr>
            <xdr:cNvPr id="13140" name="Button 1876" hidden="1">
              <a:extLst>
                <a:ext uri="{63B3BB69-23CF-44E3-9099-C40C66FF867C}">
                  <a14:compatExt spid="_x0000_s13140"/>
                </a:ext>
                <a:ext uri="{FF2B5EF4-FFF2-40B4-BE49-F238E27FC236}">
                  <a16:creationId xmlns:a16="http://schemas.microsoft.com/office/drawing/2014/main" id="{00000000-0008-0000-0100-00005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4015</xdr:row>
          <xdr:rowOff>0</xdr:rowOff>
        </xdr:from>
        <xdr:to>
          <xdr:col>7</xdr:col>
          <xdr:colOff>0</xdr:colOff>
          <xdr:row>4015</xdr:row>
          <xdr:rowOff>165100</xdr:rowOff>
        </xdr:to>
        <xdr:sp macro="" textlink="">
          <xdr:nvSpPr>
            <xdr:cNvPr id="13139" name="Button 1875" hidden="1">
              <a:extLst>
                <a:ext uri="{63B3BB69-23CF-44E3-9099-C40C66FF867C}">
                  <a14:compatExt spid="_x0000_s13139"/>
                </a:ext>
                <a:ext uri="{FF2B5EF4-FFF2-40B4-BE49-F238E27FC236}">
                  <a16:creationId xmlns:a16="http://schemas.microsoft.com/office/drawing/2014/main" id="{00000000-0008-0000-0100-00005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4016</xdr:row>
          <xdr:rowOff>0</xdr:rowOff>
        </xdr:from>
        <xdr:to>
          <xdr:col>7</xdr:col>
          <xdr:colOff>0</xdr:colOff>
          <xdr:row>4016</xdr:row>
          <xdr:rowOff>165100</xdr:rowOff>
        </xdr:to>
        <xdr:sp macro="" textlink="">
          <xdr:nvSpPr>
            <xdr:cNvPr id="13138" name="Button 1874" hidden="1">
              <a:extLst>
                <a:ext uri="{63B3BB69-23CF-44E3-9099-C40C66FF867C}">
                  <a14:compatExt spid="_x0000_s13138"/>
                </a:ext>
                <a:ext uri="{FF2B5EF4-FFF2-40B4-BE49-F238E27FC236}">
                  <a16:creationId xmlns:a16="http://schemas.microsoft.com/office/drawing/2014/main" id="{00000000-0008-0000-0100-00005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4017</xdr:row>
          <xdr:rowOff>0</xdr:rowOff>
        </xdr:from>
        <xdr:to>
          <xdr:col>7</xdr:col>
          <xdr:colOff>0</xdr:colOff>
          <xdr:row>4017</xdr:row>
          <xdr:rowOff>165100</xdr:rowOff>
        </xdr:to>
        <xdr:sp macro="" textlink="">
          <xdr:nvSpPr>
            <xdr:cNvPr id="13137" name="Button 1873" hidden="1">
              <a:extLst>
                <a:ext uri="{63B3BB69-23CF-44E3-9099-C40C66FF867C}">
                  <a14:compatExt spid="_x0000_s13137"/>
                </a:ext>
                <a:ext uri="{FF2B5EF4-FFF2-40B4-BE49-F238E27FC236}">
                  <a16:creationId xmlns:a16="http://schemas.microsoft.com/office/drawing/2014/main" id="{00000000-0008-0000-0100-00005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4018</xdr:row>
          <xdr:rowOff>0</xdr:rowOff>
        </xdr:from>
        <xdr:to>
          <xdr:col>7</xdr:col>
          <xdr:colOff>0</xdr:colOff>
          <xdr:row>4018</xdr:row>
          <xdr:rowOff>165100</xdr:rowOff>
        </xdr:to>
        <xdr:sp macro="" textlink="">
          <xdr:nvSpPr>
            <xdr:cNvPr id="13136" name="Button 1872" hidden="1">
              <a:extLst>
                <a:ext uri="{63B3BB69-23CF-44E3-9099-C40C66FF867C}">
                  <a14:compatExt spid="_x0000_s13136"/>
                </a:ext>
                <a:ext uri="{FF2B5EF4-FFF2-40B4-BE49-F238E27FC236}">
                  <a16:creationId xmlns:a16="http://schemas.microsoft.com/office/drawing/2014/main" id="{00000000-0008-0000-0100-00005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4019</xdr:row>
          <xdr:rowOff>0</xdr:rowOff>
        </xdr:from>
        <xdr:to>
          <xdr:col>7</xdr:col>
          <xdr:colOff>0</xdr:colOff>
          <xdr:row>4019</xdr:row>
          <xdr:rowOff>165100</xdr:rowOff>
        </xdr:to>
        <xdr:sp macro="" textlink="">
          <xdr:nvSpPr>
            <xdr:cNvPr id="13135" name="Button 1871" hidden="1">
              <a:extLst>
                <a:ext uri="{63B3BB69-23CF-44E3-9099-C40C66FF867C}">
                  <a14:compatExt spid="_x0000_s13135"/>
                </a:ext>
                <a:ext uri="{FF2B5EF4-FFF2-40B4-BE49-F238E27FC236}">
                  <a16:creationId xmlns:a16="http://schemas.microsoft.com/office/drawing/2014/main" id="{00000000-0008-0000-0100-00004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4020</xdr:row>
          <xdr:rowOff>0</xdr:rowOff>
        </xdr:from>
        <xdr:to>
          <xdr:col>7</xdr:col>
          <xdr:colOff>0</xdr:colOff>
          <xdr:row>4020</xdr:row>
          <xdr:rowOff>165100</xdr:rowOff>
        </xdr:to>
        <xdr:sp macro="" textlink="">
          <xdr:nvSpPr>
            <xdr:cNvPr id="13134" name="Button 1870" hidden="1">
              <a:extLst>
                <a:ext uri="{63B3BB69-23CF-44E3-9099-C40C66FF867C}">
                  <a14:compatExt spid="_x0000_s13134"/>
                </a:ext>
                <a:ext uri="{FF2B5EF4-FFF2-40B4-BE49-F238E27FC236}">
                  <a16:creationId xmlns:a16="http://schemas.microsoft.com/office/drawing/2014/main" id="{00000000-0008-0000-0100-00004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4021</xdr:row>
          <xdr:rowOff>0</xdr:rowOff>
        </xdr:from>
        <xdr:to>
          <xdr:col>7</xdr:col>
          <xdr:colOff>0</xdr:colOff>
          <xdr:row>4021</xdr:row>
          <xdr:rowOff>165100</xdr:rowOff>
        </xdr:to>
        <xdr:sp macro="" textlink="">
          <xdr:nvSpPr>
            <xdr:cNvPr id="13133" name="Button 1869" hidden="1">
              <a:extLst>
                <a:ext uri="{63B3BB69-23CF-44E3-9099-C40C66FF867C}">
                  <a14:compatExt spid="_x0000_s13133"/>
                </a:ext>
                <a:ext uri="{FF2B5EF4-FFF2-40B4-BE49-F238E27FC236}">
                  <a16:creationId xmlns:a16="http://schemas.microsoft.com/office/drawing/2014/main" id="{00000000-0008-0000-0100-00004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4022</xdr:row>
          <xdr:rowOff>0</xdr:rowOff>
        </xdr:from>
        <xdr:to>
          <xdr:col>7</xdr:col>
          <xdr:colOff>0</xdr:colOff>
          <xdr:row>4022</xdr:row>
          <xdr:rowOff>165100</xdr:rowOff>
        </xdr:to>
        <xdr:sp macro="" textlink="">
          <xdr:nvSpPr>
            <xdr:cNvPr id="13132" name="Button 1868" hidden="1">
              <a:extLst>
                <a:ext uri="{63B3BB69-23CF-44E3-9099-C40C66FF867C}">
                  <a14:compatExt spid="_x0000_s13132"/>
                </a:ext>
                <a:ext uri="{FF2B5EF4-FFF2-40B4-BE49-F238E27FC236}">
                  <a16:creationId xmlns:a16="http://schemas.microsoft.com/office/drawing/2014/main" id="{00000000-0008-0000-0100-00004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4023</xdr:row>
          <xdr:rowOff>0</xdr:rowOff>
        </xdr:from>
        <xdr:to>
          <xdr:col>7</xdr:col>
          <xdr:colOff>0</xdr:colOff>
          <xdr:row>4023</xdr:row>
          <xdr:rowOff>165100</xdr:rowOff>
        </xdr:to>
        <xdr:sp macro="" textlink="">
          <xdr:nvSpPr>
            <xdr:cNvPr id="13131" name="Button 1867" hidden="1">
              <a:extLst>
                <a:ext uri="{63B3BB69-23CF-44E3-9099-C40C66FF867C}">
                  <a14:compatExt spid="_x0000_s13131"/>
                </a:ext>
                <a:ext uri="{FF2B5EF4-FFF2-40B4-BE49-F238E27FC236}">
                  <a16:creationId xmlns:a16="http://schemas.microsoft.com/office/drawing/2014/main" id="{00000000-0008-0000-0100-00004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4024</xdr:row>
          <xdr:rowOff>0</xdr:rowOff>
        </xdr:from>
        <xdr:to>
          <xdr:col>7</xdr:col>
          <xdr:colOff>0</xdr:colOff>
          <xdr:row>4024</xdr:row>
          <xdr:rowOff>165100</xdr:rowOff>
        </xdr:to>
        <xdr:sp macro="" textlink="">
          <xdr:nvSpPr>
            <xdr:cNvPr id="13130" name="Button 1866" hidden="1">
              <a:extLst>
                <a:ext uri="{63B3BB69-23CF-44E3-9099-C40C66FF867C}">
                  <a14:compatExt spid="_x0000_s13130"/>
                </a:ext>
                <a:ext uri="{FF2B5EF4-FFF2-40B4-BE49-F238E27FC236}">
                  <a16:creationId xmlns:a16="http://schemas.microsoft.com/office/drawing/2014/main" id="{00000000-0008-0000-0100-00004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4025</xdr:row>
          <xdr:rowOff>0</xdr:rowOff>
        </xdr:from>
        <xdr:to>
          <xdr:col>7</xdr:col>
          <xdr:colOff>0</xdr:colOff>
          <xdr:row>4025</xdr:row>
          <xdr:rowOff>165100</xdr:rowOff>
        </xdr:to>
        <xdr:sp macro="" textlink="">
          <xdr:nvSpPr>
            <xdr:cNvPr id="13129" name="Button 1865" hidden="1">
              <a:extLst>
                <a:ext uri="{63B3BB69-23CF-44E3-9099-C40C66FF867C}">
                  <a14:compatExt spid="_x0000_s13129"/>
                </a:ext>
                <a:ext uri="{FF2B5EF4-FFF2-40B4-BE49-F238E27FC236}">
                  <a16:creationId xmlns:a16="http://schemas.microsoft.com/office/drawing/2014/main" id="{00000000-0008-0000-0100-00004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4026</xdr:row>
          <xdr:rowOff>0</xdr:rowOff>
        </xdr:from>
        <xdr:to>
          <xdr:col>7</xdr:col>
          <xdr:colOff>0</xdr:colOff>
          <xdr:row>4026</xdr:row>
          <xdr:rowOff>165100</xdr:rowOff>
        </xdr:to>
        <xdr:sp macro="" textlink="">
          <xdr:nvSpPr>
            <xdr:cNvPr id="13128" name="Button 1864" hidden="1">
              <a:extLst>
                <a:ext uri="{63B3BB69-23CF-44E3-9099-C40C66FF867C}">
                  <a14:compatExt spid="_x0000_s13128"/>
                </a:ext>
                <a:ext uri="{FF2B5EF4-FFF2-40B4-BE49-F238E27FC236}">
                  <a16:creationId xmlns:a16="http://schemas.microsoft.com/office/drawing/2014/main" id="{00000000-0008-0000-0100-00004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4027</xdr:row>
          <xdr:rowOff>0</xdr:rowOff>
        </xdr:from>
        <xdr:to>
          <xdr:col>7</xdr:col>
          <xdr:colOff>0</xdr:colOff>
          <xdr:row>4027</xdr:row>
          <xdr:rowOff>165100</xdr:rowOff>
        </xdr:to>
        <xdr:sp macro="" textlink="">
          <xdr:nvSpPr>
            <xdr:cNvPr id="13127" name="Button 1863" hidden="1">
              <a:extLst>
                <a:ext uri="{63B3BB69-23CF-44E3-9099-C40C66FF867C}">
                  <a14:compatExt spid="_x0000_s13127"/>
                </a:ext>
                <a:ext uri="{FF2B5EF4-FFF2-40B4-BE49-F238E27FC236}">
                  <a16:creationId xmlns:a16="http://schemas.microsoft.com/office/drawing/2014/main" id="{00000000-0008-0000-0100-00004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4028</xdr:row>
          <xdr:rowOff>0</xdr:rowOff>
        </xdr:from>
        <xdr:to>
          <xdr:col>7</xdr:col>
          <xdr:colOff>0</xdr:colOff>
          <xdr:row>4028</xdr:row>
          <xdr:rowOff>165100</xdr:rowOff>
        </xdr:to>
        <xdr:sp macro="" textlink="">
          <xdr:nvSpPr>
            <xdr:cNvPr id="13126" name="Button 1862" hidden="1">
              <a:extLst>
                <a:ext uri="{63B3BB69-23CF-44E3-9099-C40C66FF867C}">
                  <a14:compatExt spid="_x0000_s13126"/>
                </a:ext>
                <a:ext uri="{FF2B5EF4-FFF2-40B4-BE49-F238E27FC236}">
                  <a16:creationId xmlns:a16="http://schemas.microsoft.com/office/drawing/2014/main" id="{00000000-0008-0000-0100-00004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4029</xdr:row>
          <xdr:rowOff>0</xdr:rowOff>
        </xdr:from>
        <xdr:to>
          <xdr:col>7</xdr:col>
          <xdr:colOff>0</xdr:colOff>
          <xdr:row>4029</xdr:row>
          <xdr:rowOff>165100</xdr:rowOff>
        </xdr:to>
        <xdr:sp macro="" textlink="">
          <xdr:nvSpPr>
            <xdr:cNvPr id="13125" name="Button 1861" hidden="1">
              <a:extLst>
                <a:ext uri="{63B3BB69-23CF-44E3-9099-C40C66FF867C}">
                  <a14:compatExt spid="_x0000_s13125"/>
                </a:ext>
                <a:ext uri="{FF2B5EF4-FFF2-40B4-BE49-F238E27FC236}">
                  <a16:creationId xmlns:a16="http://schemas.microsoft.com/office/drawing/2014/main" id="{00000000-0008-0000-0100-00004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4030</xdr:row>
          <xdr:rowOff>0</xdr:rowOff>
        </xdr:from>
        <xdr:to>
          <xdr:col>7</xdr:col>
          <xdr:colOff>0</xdr:colOff>
          <xdr:row>4030</xdr:row>
          <xdr:rowOff>165100</xdr:rowOff>
        </xdr:to>
        <xdr:sp macro="" textlink="">
          <xdr:nvSpPr>
            <xdr:cNvPr id="13124" name="Button 1860" hidden="1">
              <a:extLst>
                <a:ext uri="{63B3BB69-23CF-44E3-9099-C40C66FF867C}">
                  <a14:compatExt spid="_x0000_s13124"/>
                </a:ext>
                <a:ext uri="{FF2B5EF4-FFF2-40B4-BE49-F238E27FC236}">
                  <a16:creationId xmlns:a16="http://schemas.microsoft.com/office/drawing/2014/main" id="{00000000-0008-0000-0100-00004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4031</xdr:row>
          <xdr:rowOff>0</xdr:rowOff>
        </xdr:from>
        <xdr:to>
          <xdr:col>7</xdr:col>
          <xdr:colOff>0</xdr:colOff>
          <xdr:row>4031</xdr:row>
          <xdr:rowOff>165100</xdr:rowOff>
        </xdr:to>
        <xdr:sp macro="" textlink="">
          <xdr:nvSpPr>
            <xdr:cNvPr id="13123" name="Button 1859" hidden="1">
              <a:extLst>
                <a:ext uri="{63B3BB69-23CF-44E3-9099-C40C66FF867C}">
                  <a14:compatExt spid="_x0000_s13123"/>
                </a:ext>
                <a:ext uri="{FF2B5EF4-FFF2-40B4-BE49-F238E27FC236}">
                  <a16:creationId xmlns:a16="http://schemas.microsoft.com/office/drawing/2014/main" id="{00000000-0008-0000-0100-00004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4032</xdr:row>
          <xdr:rowOff>0</xdr:rowOff>
        </xdr:from>
        <xdr:to>
          <xdr:col>7</xdr:col>
          <xdr:colOff>0</xdr:colOff>
          <xdr:row>4032</xdr:row>
          <xdr:rowOff>165100</xdr:rowOff>
        </xdr:to>
        <xdr:sp macro="" textlink="">
          <xdr:nvSpPr>
            <xdr:cNvPr id="13122" name="Button 1858" hidden="1">
              <a:extLst>
                <a:ext uri="{63B3BB69-23CF-44E3-9099-C40C66FF867C}">
                  <a14:compatExt spid="_x0000_s13122"/>
                </a:ext>
                <a:ext uri="{FF2B5EF4-FFF2-40B4-BE49-F238E27FC236}">
                  <a16:creationId xmlns:a16="http://schemas.microsoft.com/office/drawing/2014/main" id="{00000000-0008-0000-0100-00004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4033</xdr:row>
          <xdr:rowOff>0</xdr:rowOff>
        </xdr:from>
        <xdr:to>
          <xdr:col>7</xdr:col>
          <xdr:colOff>0</xdr:colOff>
          <xdr:row>4033</xdr:row>
          <xdr:rowOff>165100</xdr:rowOff>
        </xdr:to>
        <xdr:sp macro="" textlink="">
          <xdr:nvSpPr>
            <xdr:cNvPr id="13121" name="Button 1857" hidden="1">
              <a:extLst>
                <a:ext uri="{63B3BB69-23CF-44E3-9099-C40C66FF867C}">
                  <a14:compatExt spid="_x0000_s13121"/>
                </a:ext>
                <a:ext uri="{FF2B5EF4-FFF2-40B4-BE49-F238E27FC236}">
                  <a16:creationId xmlns:a16="http://schemas.microsoft.com/office/drawing/2014/main" id="{00000000-0008-0000-0100-00004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4034</xdr:row>
          <xdr:rowOff>0</xdr:rowOff>
        </xdr:from>
        <xdr:to>
          <xdr:col>7</xdr:col>
          <xdr:colOff>0</xdr:colOff>
          <xdr:row>4034</xdr:row>
          <xdr:rowOff>165100</xdr:rowOff>
        </xdr:to>
        <xdr:sp macro="" textlink="">
          <xdr:nvSpPr>
            <xdr:cNvPr id="13120" name="Button 1856" hidden="1">
              <a:extLst>
                <a:ext uri="{63B3BB69-23CF-44E3-9099-C40C66FF867C}">
                  <a14:compatExt spid="_x0000_s13120"/>
                </a:ext>
                <a:ext uri="{FF2B5EF4-FFF2-40B4-BE49-F238E27FC236}">
                  <a16:creationId xmlns:a16="http://schemas.microsoft.com/office/drawing/2014/main" id="{00000000-0008-0000-0100-00004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4035</xdr:row>
          <xdr:rowOff>0</xdr:rowOff>
        </xdr:from>
        <xdr:to>
          <xdr:col>7</xdr:col>
          <xdr:colOff>0</xdr:colOff>
          <xdr:row>4035</xdr:row>
          <xdr:rowOff>165100</xdr:rowOff>
        </xdr:to>
        <xdr:sp macro="" textlink="">
          <xdr:nvSpPr>
            <xdr:cNvPr id="13119" name="Button 1855" hidden="1">
              <a:extLst>
                <a:ext uri="{63B3BB69-23CF-44E3-9099-C40C66FF867C}">
                  <a14:compatExt spid="_x0000_s13119"/>
                </a:ext>
                <a:ext uri="{FF2B5EF4-FFF2-40B4-BE49-F238E27FC236}">
                  <a16:creationId xmlns:a16="http://schemas.microsoft.com/office/drawing/2014/main" id="{00000000-0008-0000-0100-00003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4036</xdr:row>
          <xdr:rowOff>0</xdr:rowOff>
        </xdr:from>
        <xdr:to>
          <xdr:col>7</xdr:col>
          <xdr:colOff>0</xdr:colOff>
          <xdr:row>4036</xdr:row>
          <xdr:rowOff>165100</xdr:rowOff>
        </xdr:to>
        <xdr:sp macro="" textlink="">
          <xdr:nvSpPr>
            <xdr:cNvPr id="13118" name="Button 1854" hidden="1">
              <a:extLst>
                <a:ext uri="{63B3BB69-23CF-44E3-9099-C40C66FF867C}">
                  <a14:compatExt spid="_x0000_s13118"/>
                </a:ext>
                <a:ext uri="{FF2B5EF4-FFF2-40B4-BE49-F238E27FC236}">
                  <a16:creationId xmlns:a16="http://schemas.microsoft.com/office/drawing/2014/main" id="{00000000-0008-0000-0100-00003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4037</xdr:row>
          <xdr:rowOff>0</xdr:rowOff>
        </xdr:from>
        <xdr:to>
          <xdr:col>7</xdr:col>
          <xdr:colOff>0</xdr:colOff>
          <xdr:row>4037</xdr:row>
          <xdr:rowOff>165100</xdr:rowOff>
        </xdr:to>
        <xdr:sp macro="" textlink="">
          <xdr:nvSpPr>
            <xdr:cNvPr id="13117" name="Button 1853" hidden="1">
              <a:extLst>
                <a:ext uri="{63B3BB69-23CF-44E3-9099-C40C66FF867C}">
                  <a14:compatExt spid="_x0000_s13117"/>
                </a:ext>
                <a:ext uri="{FF2B5EF4-FFF2-40B4-BE49-F238E27FC236}">
                  <a16:creationId xmlns:a16="http://schemas.microsoft.com/office/drawing/2014/main" id="{00000000-0008-0000-0100-00003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4038</xdr:row>
          <xdr:rowOff>0</xdr:rowOff>
        </xdr:from>
        <xdr:to>
          <xdr:col>7</xdr:col>
          <xdr:colOff>0</xdr:colOff>
          <xdr:row>4038</xdr:row>
          <xdr:rowOff>165100</xdr:rowOff>
        </xdr:to>
        <xdr:sp macro="" textlink="">
          <xdr:nvSpPr>
            <xdr:cNvPr id="13116" name="Button 1852" hidden="1">
              <a:extLst>
                <a:ext uri="{63B3BB69-23CF-44E3-9099-C40C66FF867C}">
                  <a14:compatExt spid="_x0000_s13116"/>
                </a:ext>
                <a:ext uri="{FF2B5EF4-FFF2-40B4-BE49-F238E27FC236}">
                  <a16:creationId xmlns:a16="http://schemas.microsoft.com/office/drawing/2014/main" id="{00000000-0008-0000-0100-00003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4041</xdr:row>
          <xdr:rowOff>0</xdr:rowOff>
        </xdr:from>
        <xdr:to>
          <xdr:col>7</xdr:col>
          <xdr:colOff>0</xdr:colOff>
          <xdr:row>4042</xdr:row>
          <xdr:rowOff>0</xdr:rowOff>
        </xdr:to>
        <xdr:sp macro="" textlink="">
          <xdr:nvSpPr>
            <xdr:cNvPr id="13115" name="Button 1851" hidden="1">
              <a:extLst>
                <a:ext uri="{63B3BB69-23CF-44E3-9099-C40C66FF867C}">
                  <a14:compatExt spid="_x0000_s13115"/>
                </a:ext>
                <a:ext uri="{FF2B5EF4-FFF2-40B4-BE49-F238E27FC236}">
                  <a16:creationId xmlns:a16="http://schemas.microsoft.com/office/drawing/2014/main" id="{00000000-0008-0000-0100-00003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4048</xdr:row>
          <xdr:rowOff>0</xdr:rowOff>
        </xdr:from>
        <xdr:to>
          <xdr:col>7</xdr:col>
          <xdr:colOff>0</xdr:colOff>
          <xdr:row>4048</xdr:row>
          <xdr:rowOff>171450</xdr:rowOff>
        </xdr:to>
        <xdr:sp macro="" textlink="">
          <xdr:nvSpPr>
            <xdr:cNvPr id="13114" name="Button 1850" hidden="1">
              <a:extLst>
                <a:ext uri="{63B3BB69-23CF-44E3-9099-C40C66FF867C}">
                  <a14:compatExt spid="_x0000_s13114"/>
                </a:ext>
                <a:ext uri="{FF2B5EF4-FFF2-40B4-BE49-F238E27FC236}">
                  <a16:creationId xmlns:a16="http://schemas.microsoft.com/office/drawing/2014/main" id="{00000000-0008-0000-0100-00003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4049</xdr:row>
          <xdr:rowOff>0</xdr:rowOff>
        </xdr:from>
        <xdr:to>
          <xdr:col>7</xdr:col>
          <xdr:colOff>0</xdr:colOff>
          <xdr:row>4049</xdr:row>
          <xdr:rowOff>165100</xdr:rowOff>
        </xdr:to>
        <xdr:sp macro="" textlink="">
          <xdr:nvSpPr>
            <xdr:cNvPr id="13113" name="Button 1849" hidden="1">
              <a:extLst>
                <a:ext uri="{63B3BB69-23CF-44E3-9099-C40C66FF867C}">
                  <a14:compatExt spid="_x0000_s13113"/>
                </a:ext>
                <a:ext uri="{FF2B5EF4-FFF2-40B4-BE49-F238E27FC236}">
                  <a16:creationId xmlns:a16="http://schemas.microsoft.com/office/drawing/2014/main" id="{00000000-0008-0000-0100-00003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4050</xdr:row>
          <xdr:rowOff>0</xdr:rowOff>
        </xdr:from>
        <xdr:to>
          <xdr:col>7</xdr:col>
          <xdr:colOff>0</xdr:colOff>
          <xdr:row>4050</xdr:row>
          <xdr:rowOff>165100</xdr:rowOff>
        </xdr:to>
        <xdr:sp macro="" textlink="">
          <xdr:nvSpPr>
            <xdr:cNvPr id="13112" name="Button 1848" hidden="1">
              <a:extLst>
                <a:ext uri="{63B3BB69-23CF-44E3-9099-C40C66FF867C}">
                  <a14:compatExt spid="_x0000_s13112"/>
                </a:ext>
                <a:ext uri="{FF2B5EF4-FFF2-40B4-BE49-F238E27FC236}">
                  <a16:creationId xmlns:a16="http://schemas.microsoft.com/office/drawing/2014/main" id="{00000000-0008-0000-0100-00003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4051</xdr:row>
          <xdr:rowOff>0</xdr:rowOff>
        </xdr:from>
        <xdr:to>
          <xdr:col>7</xdr:col>
          <xdr:colOff>0</xdr:colOff>
          <xdr:row>4051</xdr:row>
          <xdr:rowOff>165100</xdr:rowOff>
        </xdr:to>
        <xdr:sp macro="" textlink="">
          <xdr:nvSpPr>
            <xdr:cNvPr id="13111" name="Button 1847" hidden="1">
              <a:extLst>
                <a:ext uri="{63B3BB69-23CF-44E3-9099-C40C66FF867C}">
                  <a14:compatExt spid="_x0000_s13111"/>
                </a:ext>
                <a:ext uri="{FF2B5EF4-FFF2-40B4-BE49-F238E27FC236}">
                  <a16:creationId xmlns:a16="http://schemas.microsoft.com/office/drawing/2014/main" id="{00000000-0008-0000-0100-00003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4052</xdr:row>
          <xdr:rowOff>0</xdr:rowOff>
        </xdr:from>
        <xdr:to>
          <xdr:col>7</xdr:col>
          <xdr:colOff>0</xdr:colOff>
          <xdr:row>4052</xdr:row>
          <xdr:rowOff>165100</xdr:rowOff>
        </xdr:to>
        <xdr:sp macro="" textlink="">
          <xdr:nvSpPr>
            <xdr:cNvPr id="13110" name="Button 1846" hidden="1">
              <a:extLst>
                <a:ext uri="{63B3BB69-23CF-44E3-9099-C40C66FF867C}">
                  <a14:compatExt spid="_x0000_s13110"/>
                </a:ext>
                <a:ext uri="{FF2B5EF4-FFF2-40B4-BE49-F238E27FC236}">
                  <a16:creationId xmlns:a16="http://schemas.microsoft.com/office/drawing/2014/main" id="{00000000-0008-0000-0100-00003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4053</xdr:row>
          <xdr:rowOff>0</xdr:rowOff>
        </xdr:from>
        <xdr:to>
          <xdr:col>7</xdr:col>
          <xdr:colOff>0</xdr:colOff>
          <xdr:row>4053</xdr:row>
          <xdr:rowOff>165100</xdr:rowOff>
        </xdr:to>
        <xdr:sp macro="" textlink="">
          <xdr:nvSpPr>
            <xdr:cNvPr id="13109" name="Button 1845" hidden="1">
              <a:extLst>
                <a:ext uri="{63B3BB69-23CF-44E3-9099-C40C66FF867C}">
                  <a14:compatExt spid="_x0000_s13109"/>
                </a:ext>
                <a:ext uri="{FF2B5EF4-FFF2-40B4-BE49-F238E27FC236}">
                  <a16:creationId xmlns:a16="http://schemas.microsoft.com/office/drawing/2014/main" id="{00000000-0008-0000-0100-00003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4054</xdr:row>
          <xdr:rowOff>0</xdr:rowOff>
        </xdr:from>
        <xdr:to>
          <xdr:col>7</xdr:col>
          <xdr:colOff>0</xdr:colOff>
          <xdr:row>4054</xdr:row>
          <xdr:rowOff>165100</xdr:rowOff>
        </xdr:to>
        <xdr:sp macro="" textlink="">
          <xdr:nvSpPr>
            <xdr:cNvPr id="13108" name="Button 1844" hidden="1">
              <a:extLst>
                <a:ext uri="{63B3BB69-23CF-44E3-9099-C40C66FF867C}">
                  <a14:compatExt spid="_x0000_s13108"/>
                </a:ext>
                <a:ext uri="{FF2B5EF4-FFF2-40B4-BE49-F238E27FC236}">
                  <a16:creationId xmlns:a16="http://schemas.microsoft.com/office/drawing/2014/main" id="{00000000-0008-0000-0100-00003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4055</xdr:row>
          <xdr:rowOff>0</xdr:rowOff>
        </xdr:from>
        <xdr:to>
          <xdr:col>7</xdr:col>
          <xdr:colOff>0</xdr:colOff>
          <xdr:row>4055</xdr:row>
          <xdr:rowOff>165100</xdr:rowOff>
        </xdr:to>
        <xdr:sp macro="" textlink="">
          <xdr:nvSpPr>
            <xdr:cNvPr id="13107" name="Button 1843" hidden="1">
              <a:extLst>
                <a:ext uri="{63B3BB69-23CF-44E3-9099-C40C66FF867C}">
                  <a14:compatExt spid="_x0000_s13107"/>
                </a:ext>
                <a:ext uri="{FF2B5EF4-FFF2-40B4-BE49-F238E27FC236}">
                  <a16:creationId xmlns:a16="http://schemas.microsoft.com/office/drawing/2014/main" id="{00000000-0008-0000-0100-00003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4056</xdr:row>
          <xdr:rowOff>0</xdr:rowOff>
        </xdr:from>
        <xdr:to>
          <xdr:col>7</xdr:col>
          <xdr:colOff>0</xdr:colOff>
          <xdr:row>4056</xdr:row>
          <xdr:rowOff>165100</xdr:rowOff>
        </xdr:to>
        <xdr:sp macro="" textlink="">
          <xdr:nvSpPr>
            <xdr:cNvPr id="13106" name="Button 1842" hidden="1">
              <a:extLst>
                <a:ext uri="{63B3BB69-23CF-44E3-9099-C40C66FF867C}">
                  <a14:compatExt spid="_x0000_s13106"/>
                </a:ext>
                <a:ext uri="{FF2B5EF4-FFF2-40B4-BE49-F238E27FC236}">
                  <a16:creationId xmlns:a16="http://schemas.microsoft.com/office/drawing/2014/main" id="{00000000-0008-0000-0100-00003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4057</xdr:row>
          <xdr:rowOff>0</xdr:rowOff>
        </xdr:from>
        <xdr:to>
          <xdr:col>7</xdr:col>
          <xdr:colOff>0</xdr:colOff>
          <xdr:row>4057</xdr:row>
          <xdr:rowOff>165100</xdr:rowOff>
        </xdr:to>
        <xdr:sp macro="" textlink="">
          <xdr:nvSpPr>
            <xdr:cNvPr id="13105" name="Button 1841" hidden="1">
              <a:extLst>
                <a:ext uri="{63B3BB69-23CF-44E3-9099-C40C66FF867C}">
                  <a14:compatExt spid="_x0000_s13105"/>
                </a:ext>
                <a:ext uri="{FF2B5EF4-FFF2-40B4-BE49-F238E27FC236}">
                  <a16:creationId xmlns:a16="http://schemas.microsoft.com/office/drawing/2014/main" id="{00000000-0008-0000-0100-00003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4058</xdr:row>
          <xdr:rowOff>0</xdr:rowOff>
        </xdr:from>
        <xdr:to>
          <xdr:col>7</xdr:col>
          <xdr:colOff>0</xdr:colOff>
          <xdr:row>4058</xdr:row>
          <xdr:rowOff>165100</xdr:rowOff>
        </xdr:to>
        <xdr:sp macro="" textlink="">
          <xdr:nvSpPr>
            <xdr:cNvPr id="13104" name="Button 1840" hidden="1">
              <a:extLst>
                <a:ext uri="{63B3BB69-23CF-44E3-9099-C40C66FF867C}">
                  <a14:compatExt spid="_x0000_s13104"/>
                </a:ext>
                <a:ext uri="{FF2B5EF4-FFF2-40B4-BE49-F238E27FC236}">
                  <a16:creationId xmlns:a16="http://schemas.microsoft.com/office/drawing/2014/main" id="{00000000-0008-0000-0100-00003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4059</xdr:row>
          <xdr:rowOff>0</xdr:rowOff>
        </xdr:from>
        <xdr:to>
          <xdr:col>7</xdr:col>
          <xdr:colOff>0</xdr:colOff>
          <xdr:row>4059</xdr:row>
          <xdr:rowOff>165100</xdr:rowOff>
        </xdr:to>
        <xdr:sp macro="" textlink="">
          <xdr:nvSpPr>
            <xdr:cNvPr id="13103" name="Button 1839" hidden="1">
              <a:extLst>
                <a:ext uri="{63B3BB69-23CF-44E3-9099-C40C66FF867C}">
                  <a14:compatExt spid="_x0000_s13103"/>
                </a:ext>
                <a:ext uri="{FF2B5EF4-FFF2-40B4-BE49-F238E27FC236}">
                  <a16:creationId xmlns:a16="http://schemas.microsoft.com/office/drawing/2014/main" id="{00000000-0008-0000-0100-00002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4060</xdr:row>
          <xdr:rowOff>0</xdr:rowOff>
        </xdr:from>
        <xdr:to>
          <xdr:col>7</xdr:col>
          <xdr:colOff>0</xdr:colOff>
          <xdr:row>4060</xdr:row>
          <xdr:rowOff>165100</xdr:rowOff>
        </xdr:to>
        <xdr:sp macro="" textlink="">
          <xdr:nvSpPr>
            <xdr:cNvPr id="13102" name="Button 1838" hidden="1">
              <a:extLst>
                <a:ext uri="{63B3BB69-23CF-44E3-9099-C40C66FF867C}">
                  <a14:compatExt spid="_x0000_s13102"/>
                </a:ext>
                <a:ext uri="{FF2B5EF4-FFF2-40B4-BE49-F238E27FC236}">
                  <a16:creationId xmlns:a16="http://schemas.microsoft.com/office/drawing/2014/main" id="{00000000-0008-0000-0100-00002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4061</xdr:row>
          <xdr:rowOff>0</xdr:rowOff>
        </xdr:from>
        <xdr:to>
          <xdr:col>7</xdr:col>
          <xdr:colOff>0</xdr:colOff>
          <xdr:row>4061</xdr:row>
          <xdr:rowOff>165100</xdr:rowOff>
        </xdr:to>
        <xdr:sp macro="" textlink="">
          <xdr:nvSpPr>
            <xdr:cNvPr id="13101" name="Button 1837" hidden="1">
              <a:extLst>
                <a:ext uri="{63B3BB69-23CF-44E3-9099-C40C66FF867C}">
                  <a14:compatExt spid="_x0000_s13101"/>
                </a:ext>
                <a:ext uri="{FF2B5EF4-FFF2-40B4-BE49-F238E27FC236}">
                  <a16:creationId xmlns:a16="http://schemas.microsoft.com/office/drawing/2014/main" id="{00000000-0008-0000-0100-00002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4062</xdr:row>
          <xdr:rowOff>0</xdr:rowOff>
        </xdr:from>
        <xdr:to>
          <xdr:col>7</xdr:col>
          <xdr:colOff>0</xdr:colOff>
          <xdr:row>4062</xdr:row>
          <xdr:rowOff>165100</xdr:rowOff>
        </xdr:to>
        <xdr:sp macro="" textlink="">
          <xdr:nvSpPr>
            <xdr:cNvPr id="13100" name="Button 1836" hidden="1">
              <a:extLst>
                <a:ext uri="{63B3BB69-23CF-44E3-9099-C40C66FF867C}">
                  <a14:compatExt spid="_x0000_s13100"/>
                </a:ext>
                <a:ext uri="{FF2B5EF4-FFF2-40B4-BE49-F238E27FC236}">
                  <a16:creationId xmlns:a16="http://schemas.microsoft.com/office/drawing/2014/main" id="{00000000-0008-0000-0100-00002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4063</xdr:row>
          <xdr:rowOff>0</xdr:rowOff>
        </xdr:from>
        <xdr:to>
          <xdr:col>7</xdr:col>
          <xdr:colOff>0</xdr:colOff>
          <xdr:row>4063</xdr:row>
          <xdr:rowOff>165100</xdr:rowOff>
        </xdr:to>
        <xdr:sp macro="" textlink="">
          <xdr:nvSpPr>
            <xdr:cNvPr id="13099" name="Button 1835" hidden="1">
              <a:extLst>
                <a:ext uri="{63B3BB69-23CF-44E3-9099-C40C66FF867C}">
                  <a14:compatExt spid="_x0000_s13099"/>
                </a:ext>
                <a:ext uri="{FF2B5EF4-FFF2-40B4-BE49-F238E27FC236}">
                  <a16:creationId xmlns:a16="http://schemas.microsoft.com/office/drawing/2014/main" id="{00000000-0008-0000-0100-00002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4064</xdr:row>
          <xdr:rowOff>0</xdr:rowOff>
        </xdr:from>
        <xdr:to>
          <xdr:col>7</xdr:col>
          <xdr:colOff>0</xdr:colOff>
          <xdr:row>4064</xdr:row>
          <xdr:rowOff>165100</xdr:rowOff>
        </xdr:to>
        <xdr:sp macro="" textlink="">
          <xdr:nvSpPr>
            <xdr:cNvPr id="13098" name="Button 1834" hidden="1">
              <a:extLst>
                <a:ext uri="{63B3BB69-23CF-44E3-9099-C40C66FF867C}">
                  <a14:compatExt spid="_x0000_s13098"/>
                </a:ext>
                <a:ext uri="{FF2B5EF4-FFF2-40B4-BE49-F238E27FC236}">
                  <a16:creationId xmlns:a16="http://schemas.microsoft.com/office/drawing/2014/main" id="{00000000-0008-0000-0100-00002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4065</xdr:row>
          <xdr:rowOff>0</xdr:rowOff>
        </xdr:from>
        <xdr:to>
          <xdr:col>7</xdr:col>
          <xdr:colOff>0</xdr:colOff>
          <xdr:row>4065</xdr:row>
          <xdr:rowOff>165100</xdr:rowOff>
        </xdr:to>
        <xdr:sp macro="" textlink="">
          <xdr:nvSpPr>
            <xdr:cNvPr id="13097" name="Button 1833" hidden="1">
              <a:extLst>
                <a:ext uri="{63B3BB69-23CF-44E3-9099-C40C66FF867C}">
                  <a14:compatExt spid="_x0000_s13097"/>
                </a:ext>
                <a:ext uri="{FF2B5EF4-FFF2-40B4-BE49-F238E27FC236}">
                  <a16:creationId xmlns:a16="http://schemas.microsoft.com/office/drawing/2014/main" id="{00000000-0008-0000-0100-00002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4066</xdr:row>
          <xdr:rowOff>0</xdr:rowOff>
        </xdr:from>
        <xdr:to>
          <xdr:col>7</xdr:col>
          <xdr:colOff>0</xdr:colOff>
          <xdr:row>4066</xdr:row>
          <xdr:rowOff>165100</xdr:rowOff>
        </xdr:to>
        <xdr:sp macro="" textlink="">
          <xdr:nvSpPr>
            <xdr:cNvPr id="13096" name="Button 1832" hidden="1">
              <a:extLst>
                <a:ext uri="{63B3BB69-23CF-44E3-9099-C40C66FF867C}">
                  <a14:compatExt spid="_x0000_s13096"/>
                </a:ext>
                <a:ext uri="{FF2B5EF4-FFF2-40B4-BE49-F238E27FC236}">
                  <a16:creationId xmlns:a16="http://schemas.microsoft.com/office/drawing/2014/main" id="{00000000-0008-0000-0100-00002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4069</xdr:row>
          <xdr:rowOff>0</xdr:rowOff>
        </xdr:from>
        <xdr:to>
          <xdr:col>7</xdr:col>
          <xdr:colOff>0</xdr:colOff>
          <xdr:row>4070</xdr:row>
          <xdr:rowOff>0</xdr:rowOff>
        </xdr:to>
        <xdr:sp macro="" textlink="">
          <xdr:nvSpPr>
            <xdr:cNvPr id="13095" name="Button 1831" hidden="1">
              <a:extLst>
                <a:ext uri="{63B3BB69-23CF-44E3-9099-C40C66FF867C}">
                  <a14:compatExt spid="_x0000_s13095"/>
                </a:ext>
                <a:ext uri="{FF2B5EF4-FFF2-40B4-BE49-F238E27FC236}">
                  <a16:creationId xmlns:a16="http://schemas.microsoft.com/office/drawing/2014/main" id="{00000000-0008-0000-0100-00002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4076</xdr:row>
          <xdr:rowOff>0</xdr:rowOff>
        </xdr:from>
        <xdr:to>
          <xdr:col>7</xdr:col>
          <xdr:colOff>0</xdr:colOff>
          <xdr:row>4076</xdr:row>
          <xdr:rowOff>171450</xdr:rowOff>
        </xdr:to>
        <xdr:sp macro="" textlink="">
          <xdr:nvSpPr>
            <xdr:cNvPr id="13094" name="Button 1830" hidden="1">
              <a:extLst>
                <a:ext uri="{63B3BB69-23CF-44E3-9099-C40C66FF867C}">
                  <a14:compatExt spid="_x0000_s13094"/>
                </a:ext>
                <a:ext uri="{FF2B5EF4-FFF2-40B4-BE49-F238E27FC236}">
                  <a16:creationId xmlns:a16="http://schemas.microsoft.com/office/drawing/2014/main" id="{00000000-0008-0000-0100-00002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4077</xdr:row>
          <xdr:rowOff>0</xdr:rowOff>
        </xdr:from>
        <xdr:to>
          <xdr:col>7</xdr:col>
          <xdr:colOff>0</xdr:colOff>
          <xdr:row>4077</xdr:row>
          <xdr:rowOff>165100</xdr:rowOff>
        </xdr:to>
        <xdr:sp macro="" textlink="">
          <xdr:nvSpPr>
            <xdr:cNvPr id="13093" name="Button 1829" hidden="1">
              <a:extLst>
                <a:ext uri="{63B3BB69-23CF-44E3-9099-C40C66FF867C}">
                  <a14:compatExt spid="_x0000_s13093"/>
                </a:ext>
                <a:ext uri="{FF2B5EF4-FFF2-40B4-BE49-F238E27FC236}">
                  <a16:creationId xmlns:a16="http://schemas.microsoft.com/office/drawing/2014/main" id="{00000000-0008-0000-0100-00002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4078</xdr:row>
          <xdr:rowOff>0</xdr:rowOff>
        </xdr:from>
        <xdr:to>
          <xdr:col>7</xdr:col>
          <xdr:colOff>0</xdr:colOff>
          <xdr:row>4078</xdr:row>
          <xdr:rowOff>165100</xdr:rowOff>
        </xdr:to>
        <xdr:sp macro="" textlink="">
          <xdr:nvSpPr>
            <xdr:cNvPr id="13092" name="Button 1828" hidden="1">
              <a:extLst>
                <a:ext uri="{63B3BB69-23CF-44E3-9099-C40C66FF867C}">
                  <a14:compatExt spid="_x0000_s13092"/>
                </a:ext>
                <a:ext uri="{FF2B5EF4-FFF2-40B4-BE49-F238E27FC236}">
                  <a16:creationId xmlns:a16="http://schemas.microsoft.com/office/drawing/2014/main" id="{00000000-0008-0000-0100-00002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4079</xdr:row>
          <xdr:rowOff>0</xdr:rowOff>
        </xdr:from>
        <xdr:to>
          <xdr:col>7</xdr:col>
          <xdr:colOff>0</xdr:colOff>
          <xdr:row>4079</xdr:row>
          <xdr:rowOff>165100</xdr:rowOff>
        </xdr:to>
        <xdr:sp macro="" textlink="">
          <xdr:nvSpPr>
            <xdr:cNvPr id="13091" name="Button 1827" hidden="1">
              <a:extLst>
                <a:ext uri="{63B3BB69-23CF-44E3-9099-C40C66FF867C}">
                  <a14:compatExt spid="_x0000_s13091"/>
                </a:ext>
                <a:ext uri="{FF2B5EF4-FFF2-40B4-BE49-F238E27FC236}">
                  <a16:creationId xmlns:a16="http://schemas.microsoft.com/office/drawing/2014/main" id="{00000000-0008-0000-0100-00002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4080</xdr:row>
          <xdr:rowOff>0</xdr:rowOff>
        </xdr:from>
        <xdr:to>
          <xdr:col>7</xdr:col>
          <xdr:colOff>0</xdr:colOff>
          <xdr:row>4080</xdr:row>
          <xdr:rowOff>165100</xdr:rowOff>
        </xdr:to>
        <xdr:sp macro="" textlink="">
          <xdr:nvSpPr>
            <xdr:cNvPr id="13090" name="Button 1826" hidden="1">
              <a:extLst>
                <a:ext uri="{63B3BB69-23CF-44E3-9099-C40C66FF867C}">
                  <a14:compatExt spid="_x0000_s13090"/>
                </a:ext>
                <a:ext uri="{FF2B5EF4-FFF2-40B4-BE49-F238E27FC236}">
                  <a16:creationId xmlns:a16="http://schemas.microsoft.com/office/drawing/2014/main" id="{00000000-0008-0000-0100-00002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4081</xdr:row>
          <xdr:rowOff>0</xdr:rowOff>
        </xdr:from>
        <xdr:to>
          <xdr:col>7</xdr:col>
          <xdr:colOff>0</xdr:colOff>
          <xdr:row>4081</xdr:row>
          <xdr:rowOff>165100</xdr:rowOff>
        </xdr:to>
        <xdr:sp macro="" textlink="">
          <xdr:nvSpPr>
            <xdr:cNvPr id="13089" name="Button 1825" hidden="1">
              <a:extLst>
                <a:ext uri="{63B3BB69-23CF-44E3-9099-C40C66FF867C}">
                  <a14:compatExt spid="_x0000_s13089"/>
                </a:ext>
                <a:ext uri="{FF2B5EF4-FFF2-40B4-BE49-F238E27FC236}">
                  <a16:creationId xmlns:a16="http://schemas.microsoft.com/office/drawing/2014/main" id="{00000000-0008-0000-0100-00002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4082</xdr:row>
          <xdr:rowOff>0</xdr:rowOff>
        </xdr:from>
        <xdr:to>
          <xdr:col>7</xdr:col>
          <xdr:colOff>0</xdr:colOff>
          <xdr:row>4082</xdr:row>
          <xdr:rowOff>165100</xdr:rowOff>
        </xdr:to>
        <xdr:sp macro="" textlink="">
          <xdr:nvSpPr>
            <xdr:cNvPr id="13088" name="Button 1824" hidden="1">
              <a:extLst>
                <a:ext uri="{63B3BB69-23CF-44E3-9099-C40C66FF867C}">
                  <a14:compatExt spid="_x0000_s13088"/>
                </a:ext>
                <a:ext uri="{FF2B5EF4-FFF2-40B4-BE49-F238E27FC236}">
                  <a16:creationId xmlns:a16="http://schemas.microsoft.com/office/drawing/2014/main" id="{00000000-0008-0000-0100-00002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4083</xdr:row>
          <xdr:rowOff>0</xdr:rowOff>
        </xdr:from>
        <xdr:to>
          <xdr:col>7</xdr:col>
          <xdr:colOff>0</xdr:colOff>
          <xdr:row>4083</xdr:row>
          <xdr:rowOff>165100</xdr:rowOff>
        </xdr:to>
        <xdr:sp macro="" textlink="">
          <xdr:nvSpPr>
            <xdr:cNvPr id="13087" name="Button 1823" hidden="1">
              <a:extLst>
                <a:ext uri="{63B3BB69-23CF-44E3-9099-C40C66FF867C}">
                  <a14:compatExt spid="_x0000_s13087"/>
                </a:ext>
                <a:ext uri="{FF2B5EF4-FFF2-40B4-BE49-F238E27FC236}">
                  <a16:creationId xmlns:a16="http://schemas.microsoft.com/office/drawing/2014/main" id="{00000000-0008-0000-0100-00001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4084</xdr:row>
          <xdr:rowOff>0</xdr:rowOff>
        </xdr:from>
        <xdr:to>
          <xdr:col>7</xdr:col>
          <xdr:colOff>0</xdr:colOff>
          <xdr:row>4084</xdr:row>
          <xdr:rowOff>165100</xdr:rowOff>
        </xdr:to>
        <xdr:sp macro="" textlink="">
          <xdr:nvSpPr>
            <xdr:cNvPr id="13086" name="Button 1822" hidden="1">
              <a:extLst>
                <a:ext uri="{63B3BB69-23CF-44E3-9099-C40C66FF867C}">
                  <a14:compatExt spid="_x0000_s13086"/>
                </a:ext>
                <a:ext uri="{FF2B5EF4-FFF2-40B4-BE49-F238E27FC236}">
                  <a16:creationId xmlns:a16="http://schemas.microsoft.com/office/drawing/2014/main" id="{00000000-0008-0000-0100-00001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4085</xdr:row>
          <xdr:rowOff>0</xdr:rowOff>
        </xdr:from>
        <xdr:to>
          <xdr:col>7</xdr:col>
          <xdr:colOff>0</xdr:colOff>
          <xdr:row>4085</xdr:row>
          <xdr:rowOff>165100</xdr:rowOff>
        </xdr:to>
        <xdr:sp macro="" textlink="">
          <xdr:nvSpPr>
            <xdr:cNvPr id="13085" name="Button 1821" hidden="1">
              <a:extLst>
                <a:ext uri="{63B3BB69-23CF-44E3-9099-C40C66FF867C}">
                  <a14:compatExt spid="_x0000_s13085"/>
                </a:ext>
                <a:ext uri="{FF2B5EF4-FFF2-40B4-BE49-F238E27FC236}">
                  <a16:creationId xmlns:a16="http://schemas.microsoft.com/office/drawing/2014/main" id="{00000000-0008-0000-0100-00001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4086</xdr:row>
          <xdr:rowOff>0</xdr:rowOff>
        </xdr:from>
        <xdr:to>
          <xdr:col>7</xdr:col>
          <xdr:colOff>0</xdr:colOff>
          <xdr:row>4086</xdr:row>
          <xdr:rowOff>165100</xdr:rowOff>
        </xdr:to>
        <xdr:sp macro="" textlink="">
          <xdr:nvSpPr>
            <xdr:cNvPr id="13084" name="Button 1820" hidden="1">
              <a:extLst>
                <a:ext uri="{63B3BB69-23CF-44E3-9099-C40C66FF867C}">
                  <a14:compatExt spid="_x0000_s13084"/>
                </a:ext>
                <a:ext uri="{FF2B5EF4-FFF2-40B4-BE49-F238E27FC236}">
                  <a16:creationId xmlns:a16="http://schemas.microsoft.com/office/drawing/2014/main" id="{00000000-0008-0000-0100-00001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4087</xdr:row>
          <xdr:rowOff>0</xdr:rowOff>
        </xdr:from>
        <xdr:to>
          <xdr:col>7</xdr:col>
          <xdr:colOff>0</xdr:colOff>
          <xdr:row>4087</xdr:row>
          <xdr:rowOff>165100</xdr:rowOff>
        </xdr:to>
        <xdr:sp macro="" textlink="">
          <xdr:nvSpPr>
            <xdr:cNvPr id="13083" name="Button 1819" hidden="1">
              <a:extLst>
                <a:ext uri="{63B3BB69-23CF-44E3-9099-C40C66FF867C}">
                  <a14:compatExt spid="_x0000_s13083"/>
                </a:ext>
                <a:ext uri="{FF2B5EF4-FFF2-40B4-BE49-F238E27FC236}">
                  <a16:creationId xmlns:a16="http://schemas.microsoft.com/office/drawing/2014/main" id="{00000000-0008-0000-0100-00001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4088</xdr:row>
          <xdr:rowOff>0</xdr:rowOff>
        </xdr:from>
        <xdr:to>
          <xdr:col>7</xdr:col>
          <xdr:colOff>0</xdr:colOff>
          <xdr:row>4088</xdr:row>
          <xdr:rowOff>165100</xdr:rowOff>
        </xdr:to>
        <xdr:sp macro="" textlink="">
          <xdr:nvSpPr>
            <xdr:cNvPr id="13082" name="Button 1818" hidden="1">
              <a:extLst>
                <a:ext uri="{63B3BB69-23CF-44E3-9099-C40C66FF867C}">
                  <a14:compatExt spid="_x0000_s13082"/>
                </a:ext>
                <a:ext uri="{FF2B5EF4-FFF2-40B4-BE49-F238E27FC236}">
                  <a16:creationId xmlns:a16="http://schemas.microsoft.com/office/drawing/2014/main" id="{00000000-0008-0000-0100-00001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4089</xdr:row>
          <xdr:rowOff>0</xdr:rowOff>
        </xdr:from>
        <xdr:to>
          <xdr:col>7</xdr:col>
          <xdr:colOff>0</xdr:colOff>
          <xdr:row>4089</xdr:row>
          <xdr:rowOff>165100</xdr:rowOff>
        </xdr:to>
        <xdr:sp macro="" textlink="">
          <xdr:nvSpPr>
            <xdr:cNvPr id="13081" name="Button 1817" hidden="1">
              <a:extLst>
                <a:ext uri="{63B3BB69-23CF-44E3-9099-C40C66FF867C}">
                  <a14:compatExt spid="_x0000_s13081"/>
                </a:ext>
                <a:ext uri="{FF2B5EF4-FFF2-40B4-BE49-F238E27FC236}">
                  <a16:creationId xmlns:a16="http://schemas.microsoft.com/office/drawing/2014/main" id="{00000000-0008-0000-0100-00001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4090</xdr:row>
          <xdr:rowOff>0</xdr:rowOff>
        </xdr:from>
        <xdr:to>
          <xdr:col>7</xdr:col>
          <xdr:colOff>0</xdr:colOff>
          <xdr:row>4090</xdr:row>
          <xdr:rowOff>165100</xdr:rowOff>
        </xdr:to>
        <xdr:sp macro="" textlink="">
          <xdr:nvSpPr>
            <xdr:cNvPr id="13080" name="Button 1816" hidden="1">
              <a:extLst>
                <a:ext uri="{63B3BB69-23CF-44E3-9099-C40C66FF867C}">
                  <a14:compatExt spid="_x0000_s13080"/>
                </a:ext>
                <a:ext uri="{FF2B5EF4-FFF2-40B4-BE49-F238E27FC236}">
                  <a16:creationId xmlns:a16="http://schemas.microsoft.com/office/drawing/2014/main" id="{00000000-0008-0000-0100-00001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4091</xdr:row>
          <xdr:rowOff>0</xdr:rowOff>
        </xdr:from>
        <xdr:to>
          <xdr:col>7</xdr:col>
          <xdr:colOff>0</xdr:colOff>
          <xdr:row>4091</xdr:row>
          <xdr:rowOff>165100</xdr:rowOff>
        </xdr:to>
        <xdr:sp macro="" textlink="">
          <xdr:nvSpPr>
            <xdr:cNvPr id="13079" name="Button 1815" hidden="1">
              <a:extLst>
                <a:ext uri="{63B3BB69-23CF-44E3-9099-C40C66FF867C}">
                  <a14:compatExt spid="_x0000_s13079"/>
                </a:ext>
                <a:ext uri="{FF2B5EF4-FFF2-40B4-BE49-F238E27FC236}">
                  <a16:creationId xmlns:a16="http://schemas.microsoft.com/office/drawing/2014/main" id="{00000000-0008-0000-0100-00001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4094</xdr:row>
          <xdr:rowOff>0</xdr:rowOff>
        </xdr:from>
        <xdr:to>
          <xdr:col>7</xdr:col>
          <xdr:colOff>0</xdr:colOff>
          <xdr:row>4095</xdr:row>
          <xdr:rowOff>0</xdr:rowOff>
        </xdr:to>
        <xdr:sp macro="" textlink="">
          <xdr:nvSpPr>
            <xdr:cNvPr id="13078" name="Button 1814" hidden="1">
              <a:extLst>
                <a:ext uri="{63B3BB69-23CF-44E3-9099-C40C66FF867C}">
                  <a14:compatExt spid="_x0000_s13078"/>
                </a:ext>
                <a:ext uri="{FF2B5EF4-FFF2-40B4-BE49-F238E27FC236}">
                  <a16:creationId xmlns:a16="http://schemas.microsoft.com/office/drawing/2014/main" id="{00000000-0008-0000-0100-00001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4101</xdr:row>
          <xdr:rowOff>0</xdr:rowOff>
        </xdr:from>
        <xdr:to>
          <xdr:col>7</xdr:col>
          <xdr:colOff>0</xdr:colOff>
          <xdr:row>4101</xdr:row>
          <xdr:rowOff>171450</xdr:rowOff>
        </xdr:to>
        <xdr:sp macro="" textlink="">
          <xdr:nvSpPr>
            <xdr:cNvPr id="13077" name="Button 1813" hidden="1">
              <a:extLst>
                <a:ext uri="{63B3BB69-23CF-44E3-9099-C40C66FF867C}">
                  <a14:compatExt spid="_x0000_s13077"/>
                </a:ext>
                <a:ext uri="{FF2B5EF4-FFF2-40B4-BE49-F238E27FC236}">
                  <a16:creationId xmlns:a16="http://schemas.microsoft.com/office/drawing/2014/main" id="{00000000-0008-0000-0100-00001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4102</xdr:row>
          <xdr:rowOff>0</xdr:rowOff>
        </xdr:from>
        <xdr:to>
          <xdr:col>7</xdr:col>
          <xdr:colOff>0</xdr:colOff>
          <xdr:row>4102</xdr:row>
          <xdr:rowOff>165100</xdr:rowOff>
        </xdr:to>
        <xdr:sp macro="" textlink="">
          <xdr:nvSpPr>
            <xdr:cNvPr id="13076" name="Button 1812" hidden="1">
              <a:extLst>
                <a:ext uri="{63B3BB69-23CF-44E3-9099-C40C66FF867C}">
                  <a14:compatExt spid="_x0000_s13076"/>
                </a:ext>
                <a:ext uri="{FF2B5EF4-FFF2-40B4-BE49-F238E27FC236}">
                  <a16:creationId xmlns:a16="http://schemas.microsoft.com/office/drawing/2014/main" id="{00000000-0008-0000-0100-00001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4103</xdr:row>
          <xdr:rowOff>0</xdr:rowOff>
        </xdr:from>
        <xdr:to>
          <xdr:col>7</xdr:col>
          <xdr:colOff>0</xdr:colOff>
          <xdr:row>4103</xdr:row>
          <xdr:rowOff>165100</xdr:rowOff>
        </xdr:to>
        <xdr:sp macro="" textlink="">
          <xdr:nvSpPr>
            <xdr:cNvPr id="13075" name="Button 1811" hidden="1">
              <a:extLst>
                <a:ext uri="{63B3BB69-23CF-44E3-9099-C40C66FF867C}">
                  <a14:compatExt spid="_x0000_s13075"/>
                </a:ext>
                <a:ext uri="{FF2B5EF4-FFF2-40B4-BE49-F238E27FC236}">
                  <a16:creationId xmlns:a16="http://schemas.microsoft.com/office/drawing/2014/main" id="{00000000-0008-0000-0100-00001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4104</xdr:row>
          <xdr:rowOff>0</xdr:rowOff>
        </xdr:from>
        <xdr:to>
          <xdr:col>7</xdr:col>
          <xdr:colOff>0</xdr:colOff>
          <xdr:row>4104</xdr:row>
          <xdr:rowOff>165100</xdr:rowOff>
        </xdr:to>
        <xdr:sp macro="" textlink="">
          <xdr:nvSpPr>
            <xdr:cNvPr id="13074" name="Button 1810" hidden="1">
              <a:extLst>
                <a:ext uri="{63B3BB69-23CF-44E3-9099-C40C66FF867C}">
                  <a14:compatExt spid="_x0000_s13074"/>
                </a:ext>
                <a:ext uri="{FF2B5EF4-FFF2-40B4-BE49-F238E27FC236}">
                  <a16:creationId xmlns:a16="http://schemas.microsoft.com/office/drawing/2014/main" id="{00000000-0008-0000-0100-00001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4105</xdr:row>
          <xdr:rowOff>0</xdr:rowOff>
        </xdr:from>
        <xdr:to>
          <xdr:col>7</xdr:col>
          <xdr:colOff>0</xdr:colOff>
          <xdr:row>4105</xdr:row>
          <xdr:rowOff>165100</xdr:rowOff>
        </xdr:to>
        <xdr:sp macro="" textlink="">
          <xdr:nvSpPr>
            <xdr:cNvPr id="13073" name="Button 1809" hidden="1">
              <a:extLst>
                <a:ext uri="{63B3BB69-23CF-44E3-9099-C40C66FF867C}">
                  <a14:compatExt spid="_x0000_s13073"/>
                </a:ext>
                <a:ext uri="{FF2B5EF4-FFF2-40B4-BE49-F238E27FC236}">
                  <a16:creationId xmlns:a16="http://schemas.microsoft.com/office/drawing/2014/main" id="{00000000-0008-0000-0100-00001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4108</xdr:row>
          <xdr:rowOff>0</xdr:rowOff>
        </xdr:from>
        <xdr:to>
          <xdr:col>7</xdr:col>
          <xdr:colOff>0</xdr:colOff>
          <xdr:row>4109</xdr:row>
          <xdr:rowOff>0</xdr:rowOff>
        </xdr:to>
        <xdr:sp macro="" textlink="">
          <xdr:nvSpPr>
            <xdr:cNvPr id="13072" name="Button 1808" hidden="1">
              <a:extLst>
                <a:ext uri="{63B3BB69-23CF-44E3-9099-C40C66FF867C}">
                  <a14:compatExt spid="_x0000_s13072"/>
                </a:ext>
                <a:ext uri="{FF2B5EF4-FFF2-40B4-BE49-F238E27FC236}">
                  <a16:creationId xmlns:a16="http://schemas.microsoft.com/office/drawing/2014/main" id="{00000000-0008-0000-0100-00001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4115</xdr:row>
          <xdr:rowOff>0</xdr:rowOff>
        </xdr:from>
        <xdr:to>
          <xdr:col>7</xdr:col>
          <xdr:colOff>0</xdr:colOff>
          <xdr:row>4115</xdr:row>
          <xdr:rowOff>171450</xdr:rowOff>
        </xdr:to>
        <xdr:sp macro="" textlink="">
          <xdr:nvSpPr>
            <xdr:cNvPr id="13071" name="Button 1807" hidden="1">
              <a:extLst>
                <a:ext uri="{63B3BB69-23CF-44E3-9099-C40C66FF867C}">
                  <a14:compatExt spid="_x0000_s13071"/>
                </a:ext>
                <a:ext uri="{FF2B5EF4-FFF2-40B4-BE49-F238E27FC236}">
                  <a16:creationId xmlns:a16="http://schemas.microsoft.com/office/drawing/2014/main" id="{00000000-0008-0000-0100-00000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4116</xdr:row>
          <xdr:rowOff>0</xdr:rowOff>
        </xdr:from>
        <xdr:to>
          <xdr:col>7</xdr:col>
          <xdr:colOff>0</xdr:colOff>
          <xdr:row>4116</xdr:row>
          <xdr:rowOff>165100</xdr:rowOff>
        </xdr:to>
        <xdr:sp macro="" textlink="">
          <xdr:nvSpPr>
            <xdr:cNvPr id="13070" name="Button 1806" hidden="1">
              <a:extLst>
                <a:ext uri="{63B3BB69-23CF-44E3-9099-C40C66FF867C}">
                  <a14:compatExt spid="_x0000_s13070"/>
                </a:ext>
                <a:ext uri="{FF2B5EF4-FFF2-40B4-BE49-F238E27FC236}">
                  <a16:creationId xmlns:a16="http://schemas.microsoft.com/office/drawing/2014/main" id="{00000000-0008-0000-0100-00000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4117</xdr:row>
          <xdr:rowOff>0</xdr:rowOff>
        </xdr:from>
        <xdr:to>
          <xdr:col>7</xdr:col>
          <xdr:colOff>0</xdr:colOff>
          <xdr:row>4117</xdr:row>
          <xdr:rowOff>165100</xdr:rowOff>
        </xdr:to>
        <xdr:sp macro="" textlink="">
          <xdr:nvSpPr>
            <xdr:cNvPr id="13069" name="Button 1805" hidden="1">
              <a:extLst>
                <a:ext uri="{63B3BB69-23CF-44E3-9099-C40C66FF867C}">
                  <a14:compatExt spid="_x0000_s13069"/>
                </a:ext>
                <a:ext uri="{FF2B5EF4-FFF2-40B4-BE49-F238E27FC236}">
                  <a16:creationId xmlns:a16="http://schemas.microsoft.com/office/drawing/2014/main" id="{00000000-0008-0000-0100-00000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4118</xdr:row>
          <xdr:rowOff>0</xdr:rowOff>
        </xdr:from>
        <xdr:to>
          <xdr:col>7</xdr:col>
          <xdr:colOff>0</xdr:colOff>
          <xdr:row>4118</xdr:row>
          <xdr:rowOff>165100</xdr:rowOff>
        </xdr:to>
        <xdr:sp macro="" textlink="">
          <xdr:nvSpPr>
            <xdr:cNvPr id="13068" name="Button 1804" hidden="1">
              <a:extLst>
                <a:ext uri="{63B3BB69-23CF-44E3-9099-C40C66FF867C}">
                  <a14:compatExt spid="_x0000_s13068"/>
                </a:ext>
                <a:ext uri="{FF2B5EF4-FFF2-40B4-BE49-F238E27FC236}">
                  <a16:creationId xmlns:a16="http://schemas.microsoft.com/office/drawing/2014/main" id="{00000000-0008-0000-0100-00000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4121</xdr:row>
          <xdr:rowOff>0</xdr:rowOff>
        </xdr:from>
        <xdr:to>
          <xdr:col>7</xdr:col>
          <xdr:colOff>0</xdr:colOff>
          <xdr:row>4122</xdr:row>
          <xdr:rowOff>0</xdr:rowOff>
        </xdr:to>
        <xdr:sp macro="" textlink="">
          <xdr:nvSpPr>
            <xdr:cNvPr id="13067" name="Button 1803" hidden="1">
              <a:extLst>
                <a:ext uri="{63B3BB69-23CF-44E3-9099-C40C66FF867C}">
                  <a14:compatExt spid="_x0000_s13067"/>
                </a:ext>
                <a:ext uri="{FF2B5EF4-FFF2-40B4-BE49-F238E27FC236}">
                  <a16:creationId xmlns:a16="http://schemas.microsoft.com/office/drawing/2014/main" id="{00000000-0008-0000-0100-00000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4128</xdr:row>
          <xdr:rowOff>0</xdr:rowOff>
        </xdr:from>
        <xdr:to>
          <xdr:col>7</xdr:col>
          <xdr:colOff>0</xdr:colOff>
          <xdr:row>4128</xdr:row>
          <xdr:rowOff>171450</xdr:rowOff>
        </xdr:to>
        <xdr:sp macro="" textlink="">
          <xdr:nvSpPr>
            <xdr:cNvPr id="13066" name="Button 1802" hidden="1">
              <a:extLst>
                <a:ext uri="{63B3BB69-23CF-44E3-9099-C40C66FF867C}">
                  <a14:compatExt spid="_x0000_s13066"/>
                </a:ext>
                <a:ext uri="{FF2B5EF4-FFF2-40B4-BE49-F238E27FC236}">
                  <a16:creationId xmlns:a16="http://schemas.microsoft.com/office/drawing/2014/main" id="{00000000-0008-0000-0100-00000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4129</xdr:row>
          <xdr:rowOff>0</xdr:rowOff>
        </xdr:from>
        <xdr:to>
          <xdr:col>7</xdr:col>
          <xdr:colOff>0</xdr:colOff>
          <xdr:row>4129</xdr:row>
          <xdr:rowOff>165100</xdr:rowOff>
        </xdr:to>
        <xdr:sp macro="" textlink="">
          <xdr:nvSpPr>
            <xdr:cNvPr id="13065" name="Button 1801" hidden="1">
              <a:extLst>
                <a:ext uri="{63B3BB69-23CF-44E3-9099-C40C66FF867C}">
                  <a14:compatExt spid="_x0000_s13065"/>
                </a:ext>
                <a:ext uri="{FF2B5EF4-FFF2-40B4-BE49-F238E27FC236}">
                  <a16:creationId xmlns:a16="http://schemas.microsoft.com/office/drawing/2014/main" id="{00000000-0008-0000-0100-00000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4132</xdr:row>
          <xdr:rowOff>0</xdr:rowOff>
        </xdr:from>
        <xdr:to>
          <xdr:col>7</xdr:col>
          <xdr:colOff>0</xdr:colOff>
          <xdr:row>4133</xdr:row>
          <xdr:rowOff>0</xdr:rowOff>
        </xdr:to>
        <xdr:sp macro="" textlink="">
          <xdr:nvSpPr>
            <xdr:cNvPr id="13064" name="Button 1800" hidden="1">
              <a:extLst>
                <a:ext uri="{63B3BB69-23CF-44E3-9099-C40C66FF867C}">
                  <a14:compatExt spid="_x0000_s13064"/>
                </a:ext>
                <a:ext uri="{FF2B5EF4-FFF2-40B4-BE49-F238E27FC236}">
                  <a16:creationId xmlns:a16="http://schemas.microsoft.com/office/drawing/2014/main" id="{00000000-0008-0000-0100-00000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4139</xdr:row>
          <xdr:rowOff>0</xdr:rowOff>
        </xdr:from>
        <xdr:to>
          <xdr:col>7</xdr:col>
          <xdr:colOff>0</xdr:colOff>
          <xdr:row>4139</xdr:row>
          <xdr:rowOff>171450</xdr:rowOff>
        </xdr:to>
        <xdr:sp macro="" textlink="">
          <xdr:nvSpPr>
            <xdr:cNvPr id="13063" name="Button 1799" hidden="1">
              <a:extLst>
                <a:ext uri="{63B3BB69-23CF-44E3-9099-C40C66FF867C}">
                  <a14:compatExt spid="_x0000_s13063"/>
                </a:ext>
                <a:ext uri="{FF2B5EF4-FFF2-40B4-BE49-F238E27FC236}">
                  <a16:creationId xmlns:a16="http://schemas.microsoft.com/office/drawing/2014/main" id="{00000000-0008-0000-0100-00000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4140</xdr:row>
          <xdr:rowOff>0</xdr:rowOff>
        </xdr:from>
        <xdr:to>
          <xdr:col>7</xdr:col>
          <xdr:colOff>0</xdr:colOff>
          <xdr:row>4140</xdr:row>
          <xdr:rowOff>165100</xdr:rowOff>
        </xdr:to>
        <xdr:sp macro="" textlink="">
          <xdr:nvSpPr>
            <xdr:cNvPr id="13062" name="Button 1798" hidden="1">
              <a:extLst>
                <a:ext uri="{63B3BB69-23CF-44E3-9099-C40C66FF867C}">
                  <a14:compatExt spid="_x0000_s13062"/>
                </a:ext>
                <a:ext uri="{FF2B5EF4-FFF2-40B4-BE49-F238E27FC236}">
                  <a16:creationId xmlns:a16="http://schemas.microsoft.com/office/drawing/2014/main" id="{00000000-0008-0000-0100-00000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4143</xdr:row>
          <xdr:rowOff>0</xdr:rowOff>
        </xdr:from>
        <xdr:to>
          <xdr:col>7</xdr:col>
          <xdr:colOff>0</xdr:colOff>
          <xdr:row>4144</xdr:row>
          <xdr:rowOff>0</xdr:rowOff>
        </xdr:to>
        <xdr:sp macro="" textlink="">
          <xdr:nvSpPr>
            <xdr:cNvPr id="13061" name="Button 1797" hidden="1">
              <a:extLst>
                <a:ext uri="{63B3BB69-23CF-44E3-9099-C40C66FF867C}">
                  <a14:compatExt spid="_x0000_s13061"/>
                </a:ext>
                <a:ext uri="{FF2B5EF4-FFF2-40B4-BE49-F238E27FC236}">
                  <a16:creationId xmlns:a16="http://schemas.microsoft.com/office/drawing/2014/main" id="{00000000-0008-0000-0100-00000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4150</xdr:row>
          <xdr:rowOff>0</xdr:rowOff>
        </xdr:from>
        <xdr:to>
          <xdr:col>7</xdr:col>
          <xdr:colOff>0</xdr:colOff>
          <xdr:row>4150</xdr:row>
          <xdr:rowOff>171450</xdr:rowOff>
        </xdr:to>
        <xdr:sp macro="" textlink="">
          <xdr:nvSpPr>
            <xdr:cNvPr id="13060" name="Button 1796" hidden="1">
              <a:extLst>
                <a:ext uri="{63B3BB69-23CF-44E3-9099-C40C66FF867C}">
                  <a14:compatExt spid="_x0000_s13060"/>
                </a:ext>
                <a:ext uri="{FF2B5EF4-FFF2-40B4-BE49-F238E27FC236}">
                  <a16:creationId xmlns:a16="http://schemas.microsoft.com/office/drawing/2014/main" id="{00000000-0008-0000-0100-00000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4151</xdr:row>
          <xdr:rowOff>0</xdr:rowOff>
        </xdr:from>
        <xdr:to>
          <xdr:col>7</xdr:col>
          <xdr:colOff>0</xdr:colOff>
          <xdr:row>4151</xdr:row>
          <xdr:rowOff>165100</xdr:rowOff>
        </xdr:to>
        <xdr:sp macro="" textlink="">
          <xdr:nvSpPr>
            <xdr:cNvPr id="13059" name="Button 1795" hidden="1">
              <a:extLst>
                <a:ext uri="{63B3BB69-23CF-44E3-9099-C40C66FF867C}">
                  <a14:compatExt spid="_x0000_s13059"/>
                </a:ext>
                <a:ext uri="{FF2B5EF4-FFF2-40B4-BE49-F238E27FC236}">
                  <a16:creationId xmlns:a16="http://schemas.microsoft.com/office/drawing/2014/main" id="{00000000-0008-0000-0100-00000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4152</xdr:row>
          <xdr:rowOff>0</xdr:rowOff>
        </xdr:from>
        <xdr:to>
          <xdr:col>7</xdr:col>
          <xdr:colOff>0</xdr:colOff>
          <xdr:row>4152</xdr:row>
          <xdr:rowOff>165100</xdr:rowOff>
        </xdr:to>
        <xdr:sp macro="" textlink="">
          <xdr:nvSpPr>
            <xdr:cNvPr id="13058" name="Button 1794" hidden="1">
              <a:extLst>
                <a:ext uri="{63B3BB69-23CF-44E3-9099-C40C66FF867C}">
                  <a14:compatExt spid="_x0000_s13058"/>
                </a:ext>
                <a:ext uri="{FF2B5EF4-FFF2-40B4-BE49-F238E27FC236}">
                  <a16:creationId xmlns:a16="http://schemas.microsoft.com/office/drawing/2014/main" id="{00000000-0008-0000-0100-00000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4153</xdr:row>
          <xdr:rowOff>0</xdr:rowOff>
        </xdr:from>
        <xdr:to>
          <xdr:col>7</xdr:col>
          <xdr:colOff>0</xdr:colOff>
          <xdr:row>4153</xdr:row>
          <xdr:rowOff>165100</xdr:rowOff>
        </xdr:to>
        <xdr:sp macro="" textlink="">
          <xdr:nvSpPr>
            <xdr:cNvPr id="13057" name="Button 1793" hidden="1">
              <a:extLst>
                <a:ext uri="{63B3BB69-23CF-44E3-9099-C40C66FF867C}">
                  <a14:compatExt spid="_x0000_s13057"/>
                </a:ext>
                <a:ext uri="{FF2B5EF4-FFF2-40B4-BE49-F238E27FC236}">
                  <a16:creationId xmlns:a16="http://schemas.microsoft.com/office/drawing/2014/main" id="{00000000-0008-0000-0100-00000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4154</xdr:row>
          <xdr:rowOff>0</xdr:rowOff>
        </xdr:from>
        <xdr:to>
          <xdr:col>7</xdr:col>
          <xdr:colOff>0</xdr:colOff>
          <xdr:row>4154</xdr:row>
          <xdr:rowOff>165100</xdr:rowOff>
        </xdr:to>
        <xdr:sp macro="" textlink="">
          <xdr:nvSpPr>
            <xdr:cNvPr id="13056" name="Button 1792" hidden="1">
              <a:extLst>
                <a:ext uri="{63B3BB69-23CF-44E3-9099-C40C66FF867C}">
                  <a14:compatExt spid="_x0000_s13056"/>
                </a:ext>
                <a:ext uri="{FF2B5EF4-FFF2-40B4-BE49-F238E27FC236}">
                  <a16:creationId xmlns:a16="http://schemas.microsoft.com/office/drawing/2014/main" id="{00000000-0008-0000-0100-00000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4155</xdr:row>
          <xdr:rowOff>0</xdr:rowOff>
        </xdr:from>
        <xdr:to>
          <xdr:col>7</xdr:col>
          <xdr:colOff>0</xdr:colOff>
          <xdr:row>4155</xdr:row>
          <xdr:rowOff>165100</xdr:rowOff>
        </xdr:to>
        <xdr:sp macro="" textlink="">
          <xdr:nvSpPr>
            <xdr:cNvPr id="13055" name="Button 1791" hidden="1">
              <a:extLst>
                <a:ext uri="{63B3BB69-23CF-44E3-9099-C40C66FF867C}">
                  <a14:compatExt spid="_x0000_s13055"/>
                </a:ext>
                <a:ext uri="{FF2B5EF4-FFF2-40B4-BE49-F238E27FC236}">
                  <a16:creationId xmlns:a16="http://schemas.microsoft.com/office/drawing/2014/main" id="{00000000-0008-0000-0100-0000F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4156</xdr:row>
          <xdr:rowOff>0</xdr:rowOff>
        </xdr:from>
        <xdr:to>
          <xdr:col>7</xdr:col>
          <xdr:colOff>0</xdr:colOff>
          <xdr:row>4156</xdr:row>
          <xdr:rowOff>165100</xdr:rowOff>
        </xdr:to>
        <xdr:sp macro="" textlink="">
          <xdr:nvSpPr>
            <xdr:cNvPr id="13054" name="Button 1790" hidden="1">
              <a:extLst>
                <a:ext uri="{63B3BB69-23CF-44E3-9099-C40C66FF867C}">
                  <a14:compatExt spid="_x0000_s13054"/>
                </a:ext>
                <a:ext uri="{FF2B5EF4-FFF2-40B4-BE49-F238E27FC236}">
                  <a16:creationId xmlns:a16="http://schemas.microsoft.com/office/drawing/2014/main" id="{00000000-0008-0000-0100-0000F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4157</xdr:row>
          <xdr:rowOff>0</xdr:rowOff>
        </xdr:from>
        <xdr:to>
          <xdr:col>7</xdr:col>
          <xdr:colOff>0</xdr:colOff>
          <xdr:row>4157</xdr:row>
          <xdr:rowOff>165100</xdr:rowOff>
        </xdr:to>
        <xdr:sp macro="" textlink="">
          <xdr:nvSpPr>
            <xdr:cNvPr id="13053" name="Button 1789" hidden="1">
              <a:extLst>
                <a:ext uri="{63B3BB69-23CF-44E3-9099-C40C66FF867C}">
                  <a14:compatExt spid="_x0000_s13053"/>
                </a:ext>
                <a:ext uri="{FF2B5EF4-FFF2-40B4-BE49-F238E27FC236}">
                  <a16:creationId xmlns:a16="http://schemas.microsoft.com/office/drawing/2014/main" id="{00000000-0008-0000-0100-0000F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4158</xdr:row>
          <xdr:rowOff>0</xdr:rowOff>
        </xdr:from>
        <xdr:to>
          <xdr:col>7</xdr:col>
          <xdr:colOff>0</xdr:colOff>
          <xdr:row>4158</xdr:row>
          <xdr:rowOff>165100</xdr:rowOff>
        </xdr:to>
        <xdr:sp macro="" textlink="">
          <xdr:nvSpPr>
            <xdr:cNvPr id="13052" name="Button 1788" hidden="1">
              <a:extLst>
                <a:ext uri="{63B3BB69-23CF-44E3-9099-C40C66FF867C}">
                  <a14:compatExt spid="_x0000_s13052"/>
                </a:ext>
                <a:ext uri="{FF2B5EF4-FFF2-40B4-BE49-F238E27FC236}">
                  <a16:creationId xmlns:a16="http://schemas.microsoft.com/office/drawing/2014/main" id="{00000000-0008-0000-0100-0000F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4159</xdr:row>
          <xdr:rowOff>0</xdr:rowOff>
        </xdr:from>
        <xdr:to>
          <xdr:col>7</xdr:col>
          <xdr:colOff>0</xdr:colOff>
          <xdr:row>4159</xdr:row>
          <xdr:rowOff>165100</xdr:rowOff>
        </xdr:to>
        <xdr:sp macro="" textlink="">
          <xdr:nvSpPr>
            <xdr:cNvPr id="13051" name="Button 1787" hidden="1">
              <a:extLst>
                <a:ext uri="{63B3BB69-23CF-44E3-9099-C40C66FF867C}">
                  <a14:compatExt spid="_x0000_s13051"/>
                </a:ext>
                <a:ext uri="{FF2B5EF4-FFF2-40B4-BE49-F238E27FC236}">
                  <a16:creationId xmlns:a16="http://schemas.microsoft.com/office/drawing/2014/main" id="{00000000-0008-0000-0100-0000F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4160</xdr:row>
          <xdr:rowOff>0</xdr:rowOff>
        </xdr:from>
        <xdr:to>
          <xdr:col>7</xdr:col>
          <xdr:colOff>0</xdr:colOff>
          <xdr:row>4160</xdr:row>
          <xdr:rowOff>165100</xdr:rowOff>
        </xdr:to>
        <xdr:sp macro="" textlink="">
          <xdr:nvSpPr>
            <xdr:cNvPr id="13050" name="Button 1786" hidden="1">
              <a:extLst>
                <a:ext uri="{63B3BB69-23CF-44E3-9099-C40C66FF867C}">
                  <a14:compatExt spid="_x0000_s13050"/>
                </a:ext>
                <a:ext uri="{FF2B5EF4-FFF2-40B4-BE49-F238E27FC236}">
                  <a16:creationId xmlns:a16="http://schemas.microsoft.com/office/drawing/2014/main" id="{00000000-0008-0000-0100-0000F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4161</xdr:row>
          <xdr:rowOff>0</xdr:rowOff>
        </xdr:from>
        <xdr:to>
          <xdr:col>7</xdr:col>
          <xdr:colOff>0</xdr:colOff>
          <xdr:row>4161</xdr:row>
          <xdr:rowOff>165100</xdr:rowOff>
        </xdr:to>
        <xdr:sp macro="" textlink="">
          <xdr:nvSpPr>
            <xdr:cNvPr id="13049" name="Button 1785" hidden="1">
              <a:extLst>
                <a:ext uri="{63B3BB69-23CF-44E3-9099-C40C66FF867C}">
                  <a14:compatExt spid="_x0000_s13049"/>
                </a:ext>
                <a:ext uri="{FF2B5EF4-FFF2-40B4-BE49-F238E27FC236}">
                  <a16:creationId xmlns:a16="http://schemas.microsoft.com/office/drawing/2014/main" id="{00000000-0008-0000-0100-0000F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4162</xdr:row>
          <xdr:rowOff>0</xdr:rowOff>
        </xdr:from>
        <xdr:to>
          <xdr:col>7</xdr:col>
          <xdr:colOff>0</xdr:colOff>
          <xdr:row>4162</xdr:row>
          <xdr:rowOff>165100</xdr:rowOff>
        </xdr:to>
        <xdr:sp macro="" textlink="">
          <xdr:nvSpPr>
            <xdr:cNvPr id="13048" name="Button 1784" hidden="1">
              <a:extLst>
                <a:ext uri="{63B3BB69-23CF-44E3-9099-C40C66FF867C}">
                  <a14:compatExt spid="_x0000_s13048"/>
                </a:ext>
                <a:ext uri="{FF2B5EF4-FFF2-40B4-BE49-F238E27FC236}">
                  <a16:creationId xmlns:a16="http://schemas.microsoft.com/office/drawing/2014/main" id="{00000000-0008-0000-0100-0000F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4163</xdr:row>
          <xdr:rowOff>0</xdr:rowOff>
        </xdr:from>
        <xdr:to>
          <xdr:col>7</xdr:col>
          <xdr:colOff>0</xdr:colOff>
          <xdr:row>4163</xdr:row>
          <xdr:rowOff>165100</xdr:rowOff>
        </xdr:to>
        <xdr:sp macro="" textlink="">
          <xdr:nvSpPr>
            <xdr:cNvPr id="13047" name="Button 1783" hidden="1">
              <a:extLst>
                <a:ext uri="{63B3BB69-23CF-44E3-9099-C40C66FF867C}">
                  <a14:compatExt spid="_x0000_s13047"/>
                </a:ext>
                <a:ext uri="{FF2B5EF4-FFF2-40B4-BE49-F238E27FC236}">
                  <a16:creationId xmlns:a16="http://schemas.microsoft.com/office/drawing/2014/main" id="{00000000-0008-0000-0100-0000F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4164</xdr:row>
          <xdr:rowOff>0</xdr:rowOff>
        </xdr:from>
        <xdr:to>
          <xdr:col>7</xdr:col>
          <xdr:colOff>0</xdr:colOff>
          <xdr:row>4164</xdr:row>
          <xdr:rowOff>165100</xdr:rowOff>
        </xdr:to>
        <xdr:sp macro="" textlink="">
          <xdr:nvSpPr>
            <xdr:cNvPr id="13046" name="Button 1782" hidden="1">
              <a:extLst>
                <a:ext uri="{63B3BB69-23CF-44E3-9099-C40C66FF867C}">
                  <a14:compatExt spid="_x0000_s13046"/>
                </a:ext>
                <a:ext uri="{FF2B5EF4-FFF2-40B4-BE49-F238E27FC236}">
                  <a16:creationId xmlns:a16="http://schemas.microsoft.com/office/drawing/2014/main" id="{00000000-0008-0000-0100-0000F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4165</xdr:row>
          <xdr:rowOff>0</xdr:rowOff>
        </xdr:from>
        <xdr:to>
          <xdr:col>7</xdr:col>
          <xdr:colOff>0</xdr:colOff>
          <xdr:row>4165</xdr:row>
          <xdr:rowOff>165100</xdr:rowOff>
        </xdr:to>
        <xdr:sp macro="" textlink="">
          <xdr:nvSpPr>
            <xdr:cNvPr id="13045" name="Button 1781" hidden="1">
              <a:extLst>
                <a:ext uri="{63B3BB69-23CF-44E3-9099-C40C66FF867C}">
                  <a14:compatExt spid="_x0000_s13045"/>
                </a:ext>
                <a:ext uri="{FF2B5EF4-FFF2-40B4-BE49-F238E27FC236}">
                  <a16:creationId xmlns:a16="http://schemas.microsoft.com/office/drawing/2014/main" id="{00000000-0008-0000-0100-0000F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4166</xdr:row>
          <xdr:rowOff>0</xdr:rowOff>
        </xdr:from>
        <xdr:to>
          <xdr:col>7</xdr:col>
          <xdr:colOff>0</xdr:colOff>
          <xdr:row>4166</xdr:row>
          <xdr:rowOff>165100</xdr:rowOff>
        </xdr:to>
        <xdr:sp macro="" textlink="">
          <xdr:nvSpPr>
            <xdr:cNvPr id="13044" name="Button 1780" hidden="1">
              <a:extLst>
                <a:ext uri="{63B3BB69-23CF-44E3-9099-C40C66FF867C}">
                  <a14:compatExt spid="_x0000_s13044"/>
                </a:ext>
                <a:ext uri="{FF2B5EF4-FFF2-40B4-BE49-F238E27FC236}">
                  <a16:creationId xmlns:a16="http://schemas.microsoft.com/office/drawing/2014/main" id="{00000000-0008-0000-0100-0000F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4167</xdr:row>
          <xdr:rowOff>0</xdr:rowOff>
        </xdr:from>
        <xdr:to>
          <xdr:col>7</xdr:col>
          <xdr:colOff>0</xdr:colOff>
          <xdr:row>4167</xdr:row>
          <xdr:rowOff>165100</xdr:rowOff>
        </xdr:to>
        <xdr:sp macro="" textlink="">
          <xdr:nvSpPr>
            <xdr:cNvPr id="13043" name="Button 1779" hidden="1">
              <a:extLst>
                <a:ext uri="{63B3BB69-23CF-44E3-9099-C40C66FF867C}">
                  <a14:compatExt spid="_x0000_s13043"/>
                </a:ext>
                <a:ext uri="{FF2B5EF4-FFF2-40B4-BE49-F238E27FC236}">
                  <a16:creationId xmlns:a16="http://schemas.microsoft.com/office/drawing/2014/main" id="{00000000-0008-0000-0100-0000F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4168</xdr:row>
          <xdr:rowOff>0</xdr:rowOff>
        </xdr:from>
        <xdr:to>
          <xdr:col>7</xdr:col>
          <xdr:colOff>0</xdr:colOff>
          <xdr:row>4168</xdr:row>
          <xdr:rowOff>165100</xdr:rowOff>
        </xdr:to>
        <xdr:sp macro="" textlink="">
          <xdr:nvSpPr>
            <xdr:cNvPr id="13042" name="Button 1778" hidden="1">
              <a:extLst>
                <a:ext uri="{63B3BB69-23CF-44E3-9099-C40C66FF867C}">
                  <a14:compatExt spid="_x0000_s13042"/>
                </a:ext>
                <a:ext uri="{FF2B5EF4-FFF2-40B4-BE49-F238E27FC236}">
                  <a16:creationId xmlns:a16="http://schemas.microsoft.com/office/drawing/2014/main" id="{00000000-0008-0000-0100-0000F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4169</xdr:row>
          <xdr:rowOff>0</xdr:rowOff>
        </xdr:from>
        <xdr:to>
          <xdr:col>7</xdr:col>
          <xdr:colOff>0</xdr:colOff>
          <xdr:row>4169</xdr:row>
          <xdr:rowOff>165100</xdr:rowOff>
        </xdr:to>
        <xdr:sp macro="" textlink="">
          <xdr:nvSpPr>
            <xdr:cNvPr id="13041" name="Button 1777" hidden="1">
              <a:extLst>
                <a:ext uri="{63B3BB69-23CF-44E3-9099-C40C66FF867C}">
                  <a14:compatExt spid="_x0000_s13041"/>
                </a:ext>
                <a:ext uri="{FF2B5EF4-FFF2-40B4-BE49-F238E27FC236}">
                  <a16:creationId xmlns:a16="http://schemas.microsoft.com/office/drawing/2014/main" id="{00000000-0008-0000-0100-0000F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4170</xdr:row>
          <xdr:rowOff>0</xdr:rowOff>
        </xdr:from>
        <xdr:to>
          <xdr:col>7</xdr:col>
          <xdr:colOff>0</xdr:colOff>
          <xdr:row>4170</xdr:row>
          <xdr:rowOff>165100</xdr:rowOff>
        </xdr:to>
        <xdr:sp macro="" textlink="">
          <xdr:nvSpPr>
            <xdr:cNvPr id="13040" name="Button 1776" hidden="1">
              <a:extLst>
                <a:ext uri="{63B3BB69-23CF-44E3-9099-C40C66FF867C}">
                  <a14:compatExt spid="_x0000_s13040"/>
                </a:ext>
                <a:ext uri="{FF2B5EF4-FFF2-40B4-BE49-F238E27FC236}">
                  <a16:creationId xmlns:a16="http://schemas.microsoft.com/office/drawing/2014/main" id="{00000000-0008-0000-0100-0000F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4171</xdr:row>
          <xdr:rowOff>0</xdr:rowOff>
        </xdr:from>
        <xdr:to>
          <xdr:col>7</xdr:col>
          <xdr:colOff>0</xdr:colOff>
          <xdr:row>4171</xdr:row>
          <xdr:rowOff>165100</xdr:rowOff>
        </xdr:to>
        <xdr:sp macro="" textlink="">
          <xdr:nvSpPr>
            <xdr:cNvPr id="13039" name="Button 1775" hidden="1">
              <a:extLst>
                <a:ext uri="{63B3BB69-23CF-44E3-9099-C40C66FF867C}">
                  <a14:compatExt spid="_x0000_s13039"/>
                </a:ext>
                <a:ext uri="{FF2B5EF4-FFF2-40B4-BE49-F238E27FC236}">
                  <a16:creationId xmlns:a16="http://schemas.microsoft.com/office/drawing/2014/main" id="{00000000-0008-0000-0100-0000E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4172</xdr:row>
          <xdr:rowOff>0</xdr:rowOff>
        </xdr:from>
        <xdr:to>
          <xdr:col>7</xdr:col>
          <xdr:colOff>0</xdr:colOff>
          <xdr:row>4172</xdr:row>
          <xdr:rowOff>165100</xdr:rowOff>
        </xdr:to>
        <xdr:sp macro="" textlink="">
          <xdr:nvSpPr>
            <xdr:cNvPr id="13038" name="Button 1774" hidden="1">
              <a:extLst>
                <a:ext uri="{63B3BB69-23CF-44E3-9099-C40C66FF867C}">
                  <a14:compatExt spid="_x0000_s13038"/>
                </a:ext>
                <a:ext uri="{FF2B5EF4-FFF2-40B4-BE49-F238E27FC236}">
                  <a16:creationId xmlns:a16="http://schemas.microsoft.com/office/drawing/2014/main" id="{00000000-0008-0000-0100-0000E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4173</xdr:row>
          <xdr:rowOff>0</xdr:rowOff>
        </xdr:from>
        <xdr:to>
          <xdr:col>7</xdr:col>
          <xdr:colOff>0</xdr:colOff>
          <xdr:row>4173</xdr:row>
          <xdr:rowOff>165100</xdr:rowOff>
        </xdr:to>
        <xdr:sp macro="" textlink="">
          <xdr:nvSpPr>
            <xdr:cNvPr id="13037" name="Button 1773" hidden="1">
              <a:extLst>
                <a:ext uri="{63B3BB69-23CF-44E3-9099-C40C66FF867C}">
                  <a14:compatExt spid="_x0000_s13037"/>
                </a:ext>
                <a:ext uri="{FF2B5EF4-FFF2-40B4-BE49-F238E27FC236}">
                  <a16:creationId xmlns:a16="http://schemas.microsoft.com/office/drawing/2014/main" id="{00000000-0008-0000-0100-0000E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4174</xdr:row>
          <xdr:rowOff>0</xdr:rowOff>
        </xdr:from>
        <xdr:to>
          <xdr:col>7</xdr:col>
          <xdr:colOff>0</xdr:colOff>
          <xdr:row>4174</xdr:row>
          <xdr:rowOff>165100</xdr:rowOff>
        </xdr:to>
        <xdr:sp macro="" textlink="">
          <xdr:nvSpPr>
            <xdr:cNvPr id="13036" name="Button 1772" hidden="1">
              <a:extLst>
                <a:ext uri="{63B3BB69-23CF-44E3-9099-C40C66FF867C}">
                  <a14:compatExt spid="_x0000_s13036"/>
                </a:ext>
                <a:ext uri="{FF2B5EF4-FFF2-40B4-BE49-F238E27FC236}">
                  <a16:creationId xmlns:a16="http://schemas.microsoft.com/office/drawing/2014/main" id="{00000000-0008-0000-0100-0000E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4175</xdr:row>
          <xdr:rowOff>0</xdr:rowOff>
        </xdr:from>
        <xdr:to>
          <xdr:col>7</xdr:col>
          <xdr:colOff>0</xdr:colOff>
          <xdr:row>4175</xdr:row>
          <xdr:rowOff>165100</xdr:rowOff>
        </xdr:to>
        <xdr:sp macro="" textlink="">
          <xdr:nvSpPr>
            <xdr:cNvPr id="13035" name="Button 1771" hidden="1">
              <a:extLst>
                <a:ext uri="{63B3BB69-23CF-44E3-9099-C40C66FF867C}">
                  <a14:compatExt spid="_x0000_s13035"/>
                </a:ext>
                <a:ext uri="{FF2B5EF4-FFF2-40B4-BE49-F238E27FC236}">
                  <a16:creationId xmlns:a16="http://schemas.microsoft.com/office/drawing/2014/main" id="{00000000-0008-0000-0100-0000E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4176</xdr:row>
          <xdr:rowOff>0</xdr:rowOff>
        </xdr:from>
        <xdr:to>
          <xdr:col>7</xdr:col>
          <xdr:colOff>0</xdr:colOff>
          <xdr:row>4176</xdr:row>
          <xdr:rowOff>165100</xdr:rowOff>
        </xdr:to>
        <xdr:sp macro="" textlink="">
          <xdr:nvSpPr>
            <xdr:cNvPr id="13034" name="Button 1770" hidden="1">
              <a:extLst>
                <a:ext uri="{63B3BB69-23CF-44E3-9099-C40C66FF867C}">
                  <a14:compatExt spid="_x0000_s13034"/>
                </a:ext>
                <a:ext uri="{FF2B5EF4-FFF2-40B4-BE49-F238E27FC236}">
                  <a16:creationId xmlns:a16="http://schemas.microsoft.com/office/drawing/2014/main" id="{00000000-0008-0000-0100-0000E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4177</xdr:row>
          <xdr:rowOff>0</xdr:rowOff>
        </xdr:from>
        <xdr:to>
          <xdr:col>7</xdr:col>
          <xdr:colOff>0</xdr:colOff>
          <xdr:row>4177</xdr:row>
          <xdr:rowOff>165100</xdr:rowOff>
        </xdr:to>
        <xdr:sp macro="" textlink="">
          <xdr:nvSpPr>
            <xdr:cNvPr id="13033" name="Button 1769" hidden="1">
              <a:extLst>
                <a:ext uri="{63B3BB69-23CF-44E3-9099-C40C66FF867C}">
                  <a14:compatExt spid="_x0000_s13033"/>
                </a:ext>
                <a:ext uri="{FF2B5EF4-FFF2-40B4-BE49-F238E27FC236}">
                  <a16:creationId xmlns:a16="http://schemas.microsoft.com/office/drawing/2014/main" id="{00000000-0008-0000-0100-0000E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4178</xdr:row>
          <xdr:rowOff>0</xdr:rowOff>
        </xdr:from>
        <xdr:to>
          <xdr:col>7</xdr:col>
          <xdr:colOff>0</xdr:colOff>
          <xdr:row>4178</xdr:row>
          <xdr:rowOff>165100</xdr:rowOff>
        </xdr:to>
        <xdr:sp macro="" textlink="">
          <xdr:nvSpPr>
            <xdr:cNvPr id="13032" name="Button 1768" hidden="1">
              <a:extLst>
                <a:ext uri="{63B3BB69-23CF-44E3-9099-C40C66FF867C}">
                  <a14:compatExt spid="_x0000_s13032"/>
                </a:ext>
                <a:ext uri="{FF2B5EF4-FFF2-40B4-BE49-F238E27FC236}">
                  <a16:creationId xmlns:a16="http://schemas.microsoft.com/office/drawing/2014/main" id="{00000000-0008-0000-0100-0000E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4179</xdr:row>
          <xdr:rowOff>0</xdr:rowOff>
        </xdr:from>
        <xdr:to>
          <xdr:col>7</xdr:col>
          <xdr:colOff>0</xdr:colOff>
          <xdr:row>4179</xdr:row>
          <xdr:rowOff>165100</xdr:rowOff>
        </xdr:to>
        <xdr:sp macro="" textlink="">
          <xdr:nvSpPr>
            <xdr:cNvPr id="13031" name="Button 1767" hidden="1">
              <a:extLst>
                <a:ext uri="{63B3BB69-23CF-44E3-9099-C40C66FF867C}">
                  <a14:compatExt spid="_x0000_s13031"/>
                </a:ext>
                <a:ext uri="{FF2B5EF4-FFF2-40B4-BE49-F238E27FC236}">
                  <a16:creationId xmlns:a16="http://schemas.microsoft.com/office/drawing/2014/main" id="{00000000-0008-0000-0100-0000E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4180</xdr:row>
          <xdr:rowOff>0</xdr:rowOff>
        </xdr:from>
        <xdr:to>
          <xdr:col>7</xdr:col>
          <xdr:colOff>0</xdr:colOff>
          <xdr:row>4180</xdr:row>
          <xdr:rowOff>165100</xdr:rowOff>
        </xdr:to>
        <xdr:sp macro="" textlink="">
          <xdr:nvSpPr>
            <xdr:cNvPr id="13030" name="Button 1766" hidden="1">
              <a:extLst>
                <a:ext uri="{63B3BB69-23CF-44E3-9099-C40C66FF867C}">
                  <a14:compatExt spid="_x0000_s13030"/>
                </a:ext>
                <a:ext uri="{FF2B5EF4-FFF2-40B4-BE49-F238E27FC236}">
                  <a16:creationId xmlns:a16="http://schemas.microsoft.com/office/drawing/2014/main" id="{00000000-0008-0000-0100-0000E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4181</xdr:row>
          <xdr:rowOff>0</xdr:rowOff>
        </xdr:from>
        <xdr:to>
          <xdr:col>7</xdr:col>
          <xdr:colOff>0</xdr:colOff>
          <xdr:row>4181</xdr:row>
          <xdr:rowOff>165100</xdr:rowOff>
        </xdr:to>
        <xdr:sp macro="" textlink="">
          <xdr:nvSpPr>
            <xdr:cNvPr id="13029" name="Button 1765" hidden="1">
              <a:extLst>
                <a:ext uri="{63B3BB69-23CF-44E3-9099-C40C66FF867C}">
                  <a14:compatExt spid="_x0000_s13029"/>
                </a:ext>
                <a:ext uri="{FF2B5EF4-FFF2-40B4-BE49-F238E27FC236}">
                  <a16:creationId xmlns:a16="http://schemas.microsoft.com/office/drawing/2014/main" id="{00000000-0008-0000-0100-0000E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4182</xdr:row>
          <xdr:rowOff>0</xdr:rowOff>
        </xdr:from>
        <xdr:to>
          <xdr:col>7</xdr:col>
          <xdr:colOff>0</xdr:colOff>
          <xdr:row>4182</xdr:row>
          <xdr:rowOff>165100</xdr:rowOff>
        </xdr:to>
        <xdr:sp macro="" textlink="">
          <xdr:nvSpPr>
            <xdr:cNvPr id="13028" name="Button 1764" hidden="1">
              <a:extLst>
                <a:ext uri="{63B3BB69-23CF-44E3-9099-C40C66FF867C}">
                  <a14:compatExt spid="_x0000_s13028"/>
                </a:ext>
                <a:ext uri="{FF2B5EF4-FFF2-40B4-BE49-F238E27FC236}">
                  <a16:creationId xmlns:a16="http://schemas.microsoft.com/office/drawing/2014/main" id="{00000000-0008-0000-0100-0000E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4183</xdr:row>
          <xdr:rowOff>0</xdr:rowOff>
        </xdr:from>
        <xdr:to>
          <xdr:col>7</xdr:col>
          <xdr:colOff>0</xdr:colOff>
          <xdr:row>4183</xdr:row>
          <xdr:rowOff>165100</xdr:rowOff>
        </xdr:to>
        <xdr:sp macro="" textlink="">
          <xdr:nvSpPr>
            <xdr:cNvPr id="13027" name="Button 1763" hidden="1">
              <a:extLst>
                <a:ext uri="{63B3BB69-23CF-44E3-9099-C40C66FF867C}">
                  <a14:compatExt spid="_x0000_s13027"/>
                </a:ext>
                <a:ext uri="{FF2B5EF4-FFF2-40B4-BE49-F238E27FC236}">
                  <a16:creationId xmlns:a16="http://schemas.microsoft.com/office/drawing/2014/main" id="{00000000-0008-0000-0100-0000E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4184</xdr:row>
          <xdr:rowOff>0</xdr:rowOff>
        </xdr:from>
        <xdr:to>
          <xdr:col>7</xdr:col>
          <xdr:colOff>0</xdr:colOff>
          <xdr:row>4184</xdr:row>
          <xdr:rowOff>165100</xdr:rowOff>
        </xdr:to>
        <xdr:sp macro="" textlink="">
          <xdr:nvSpPr>
            <xdr:cNvPr id="13026" name="Button 1762" hidden="1">
              <a:extLst>
                <a:ext uri="{63B3BB69-23CF-44E3-9099-C40C66FF867C}">
                  <a14:compatExt spid="_x0000_s13026"/>
                </a:ext>
                <a:ext uri="{FF2B5EF4-FFF2-40B4-BE49-F238E27FC236}">
                  <a16:creationId xmlns:a16="http://schemas.microsoft.com/office/drawing/2014/main" id="{00000000-0008-0000-0100-0000E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4185</xdr:row>
          <xdr:rowOff>0</xdr:rowOff>
        </xdr:from>
        <xdr:to>
          <xdr:col>7</xdr:col>
          <xdr:colOff>0</xdr:colOff>
          <xdr:row>4185</xdr:row>
          <xdr:rowOff>165100</xdr:rowOff>
        </xdr:to>
        <xdr:sp macro="" textlink="">
          <xdr:nvSpPr>
            <xdr:cNvPr id="13025" name="Button 1761" hidden="1">
              <a:extLst>
                <a:ext uri="{63B3BB69-23CF-44E3-9099-C40C66FF867C}">
                  <a14:compatExt spid="_x0000_s13025"/>
                </a:ext>
                <a:ext uri="{FF2B5EF4-FFF2-40B4-BE49-F238E27FC236}">
                  <a16:creationId xmlns:a16="http://schemas.microsoft.com/office/drawing/2014/main" id="{00000000-0008-0000-0100-0000E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4186</xdr:row>
          <xdr:rowOff>0</xdr:rowOff>
        </xdr:from>
        <xdr:to>
          <xdr:col>7</xdr:col>
          <xdr:colOff>0</xdr:colOff>
          <xdr:row>4186</xdr:row>
          <xdr:rowOff>165100</xdr:rowOff>
        </xdr:to>
        <xdr:sp macro="" textlink="">
          <xdr:nvSpPr>
            <xdr:cNvPr id="13024" name="Button 1760" hidden="1">
              <a:extLst>
                <a:ext uri="{63B3BB69-23CF-44E3-9099-C40C66FF867C}">
                  <a14:compatExt spid="_x0000_s13024"/>
                </a:ext>
                <a:ext uri="{FF2B5EF4-FFF2-40B4-BE49-F238E27FC236}">
                  <a16:creationId xmlns:a16="http://schemas.microsoft.com/office/drawing/2014/main" id="{00000000-0008-0000-0100-0000E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4187</xdr:row>
          <xdr:rowOff>0</xdr:rowOff>
        </xdr:from>
        <xdr:to>
          <xdr:col>7</xdr:col>
          <xdr:colOff>0</xdr:colOff>
          <xdr:row>4187</xdr:row>
          <xdr:rowOff>165100</xdr:rowOff>
        </xdr:to>
        <xdr:sp macro="" textlink="">
          <xdr:nvSpPr>
            <xdr:cNvPr id="13023" name="Button 1759" hidden="1">
              <a:extLst>
                <a:ext uri="{63B3BB69-23CF-44E3-9099-C40C66FF867C}">
                  <a14:compatExt spid="_x0000_s13023"/>
                </a:ext>
                <a:ext uri="{FF2B5EF4-FFF2-40B4-BE49-F238E27FC236}">
                  <a16:creationId xmlns:a16="http://schemas.microsoft.com/office/drawing/2014/main" id="{00000000-0008-0000-0100-0000D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4188</xdr:row>
          <xdr:rowOff>0</xdr:rowOff>
        </xdr:from>
        <xdr:to>
          <xdr:col>7</xdr:col>
          <xdr:colOff>0</xdr:colOff>
          <xdr:row>4188</xdr:row>
          <xdr:rowOff>165100</xdr:rowOff>
        </xdr:to>
        <xdr:sp macro="" textlink="">
          <xdr:nvSpPr>
            <xdr:cNvPr id="13022" name="Button 1758" hidden="1">
              <a:extLst>
                <a:ext uri="{63B3BB69-23CF-44E3-9099-C40C66FF867C}">
                  <a14:compatExt spid="_x0000_s13022"/>
                </a:ext>
                <a:ext uri="{FF2B5EF4-FFF2-40B4-BE49-F238E27FC236}">
                  <a16:creationId xmlns:a16="http://schemas.microsoft.com/office/drawing/2014/main" id="{00000000-0008-0000-0100-0000D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4189</xdr:row>
          <xdr:rowOff>0</xdr:rowOff>
        </xdr:from>
        <xdr:to>
          <xdr:col>7</xdr:col>
          <xdr:colOff>0</xdr:colOff>
          <xdr:row>4189</xdr:row>
          <xdr:rowOff>165100</xdr:rowOff>
        </xdr:to>
        <xdr:sp macro="" textlink="">
          <xdr:nvSpPr>
            <xdr:cNvPr id="13021" name="Button 1757" hidden="1">
              <a:extLst>
                <a:ext uri="{63B3BB69-23CF-44E3-9099-C40C66FF867C}">
                  <a14:compatExt spid="_x0000_s13021"/>
                </a:ext>
                <a:ext uri="{FF2B5EF4-FFF2-40B4-BE49-F238E27FC236}">
                  <a16:creationId xmlns:a16="http://schemas.microsoft.com/office/drawing/2014/main" id="{00000000-0008-0000-0100-0000D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4190</xdr:row>
          <xdr:rowOff>0</xdr:rowOff>
        </xdr:from>
        <xdr:to>
          <xdr:col>7</xdr:col>
          <xdr:colOff>0</xdr:colOff>
          <xdr:row>4190</xdr:row>
          <xdr:rowOff>165100</xdr:rowOff>
        </xdr:to>
        <xdr:sp macro="" textlink="">
          <xdr:nvSpPr>
            <xdr:cNvPr id="13020" name="Button 1756" hidden="1">
              <a:extLst>
                <a:ext uri="{63B3BB69-23CF-44E3-9099-C40C66FF867C}">
                  <a14:compatExt spid="_x0000_s13020"/>
                </a:ext>
                <a:ext uri="{FF2B5EF4-FFF2-40B4-BE49-F238E27FC236}">
                  <a16:creationId xmlns:a16="http://schemas.microsoft.com/office/drawing/2014/main" id="{00000000-0008-0000-0100-0000D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4191</xdr:row>
          <xdr:rowOff>0</xdr:rowOff>
        </xdr:from>
        <xdr:to>
          <xdr:col>7</xdr:col>
          <xdr:colOff>0</xdr:colOff>
          <xdr:row>4191</xdr:row>
          <xdr:rowOff>165100</xdr:rowOff>
        </xdr:to>
        <xdr:sp macro="" textlink="">
          <xdr:nvSpPr>
            <xdr:cNvPr id="13019" name="Button 1755" hidden="1">
              <a:extLst>
                <a:ext uri="{63B3BB69-23CF-44E3-9099-C40C66FF867C}">
                  <a14:compatExt spid="_x0000_s13019"/>
                </a:ext>
                <a:ext uri="{FF2B5EF4-FFF2-40B4-BE49-F238E27FC236}">
                  <a16:creationId xmlns:a16="http://schemas.microsoft.com/office/drawing/2014/main" id="{00000000-0008-0000-0100-0000D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4192</xdr:row>
          <xdr:rowOff>0</xdr:rowOff>
        </xdr:from>
        <xdr:to>
          <xdr:col>7</xdr:col>
          <xdr:colOff>0</xdr:colOff>
          <xdr:row>4192</xdr:row>
          <xdr:rowOff>165100</xdr:rowOff>
        </xdr:to>
        <xdr:sp macro="" textlink="">
          <xdr:nvSpPr>
            <xdr:cNvPr id="13018" name="Button 1754" hidden="1">
              <a:extLst>
                <a:ext uri="{63B3BB69-23CF-44E3-9099-C40C66FF867C}">
                  <a14:compatExt spid="_x0000_s13018"/>
                </a:ext>
                <a:ext uri="{FF2B5EF4-FFF2-40B4-BE49-F238E27FC236}">
                  <a16:creationId xmlns:a16="http://schemas.microsoft.com/office/drawing/2014/main" id="{00000000-0008-0000-0100-0000D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4193</xdr:row>
          <xdr:rowOff>0</xdr:rowOff>
        </xdr:from>
        <xdr:to>
          <xdr:col>7</xdr:col>
          <xdr:colOff>0</xdr:colOff>
          <xdr:row>4193</xdr:row>
          <xdr:rowOff>165100</xdr:rowOff>
        </xdr:to>
        <xdr:sp macro="" textlink="">
          <xdr:nvSpPr>
            <xdr:cNvPr id="13017" name="Button 1753" hidden="1">
              <a:extLst>
                <a:ext uri="{63B3BB69-23CF-44E3-9099-C40C66FF867C}">
                  <a14:compatExt spid="_x0000_s13017"/>
                </a:ext>
                <a:ext uri="{FF2B5EF4-FFF2-40B4-BE49-F238E27FC236}">
                  <a16:creationId xmlns:a16="http://schemas.microsoft.com/office/drawing/2014/main" id="{00000000-0008-0000-0100-0000D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4194</xdr:row>
          <xdr:rowOff>0</xdr:rowOff>
        </xdr:from>
        <xdr:to>
          <xdr:col>7</xdr:col>
          <xdr:colOff>0</xdr:colOff>
          <xdr:row>4194</xdr:row>
          <xdr:rowOff>165100</xdr:rowOff>
        </xdr:to>
        <xdr:sp macro="" textlink="">
          <xdr:nvSpPr>
            <xdr:cNvPr id="13016" name="Button 1752" hidden="1">
              <a:extLst>
                <a:ext uri="{63B3BB69-23CF-44E3-9099-C40C66FF867C}">
                  <a14:compatExt spid="_x0000_s13016"/>
                </a:ext>
                <a:ext uri="{FF2B5EF4-FFF2-40B4-BE49-F238E27FC236}">
                  <a16:creationId xmlns:a16="http://schemas.microsoft.com/office/drawing/2014/main" id="{00000000-0008-0000-0100-0000D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4195</xdr:row>
          <xdr:rowOff>0</xdr:rowOff>
        </xdr:from>
        <xdr:to>
          <xdr:col>7</xdr:col>
          <xdr:colOff>0</xdr:colOff>
          <xdr:row>4195</xdr:row>
          <xdr:rowOff>165100</xdr:rowOff>
        </xdr:to>
        <xdr:sp macro="" textlink="">
          <xdr:nvSpPr>
            <xdr:cNvPr id="13015" name="Button 1751" hidden="1">
              <a:extLst>
                <a:ext uri="{63B3BB69-23CF-44E3-9099-C40C66FF867C}">
                  <a14:compatExt spid="_x0000_s13015"/>
                </a:ext>
                <a:ext uri="{FF2B5EF4-FFF2-40B4-BE49-F238E27FC236}">
                  <a16:creationId xmlns:a16="http://schemas.microsoft.com/office/drawing/2014/main" id="{00000000-0008-0000-0100-0000D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4196</xdr:row>
          <xdr:rowOff>0</xdr:rowOff>
        </xdr:from>
        <xdr:to>
          <xdr:col>7</xdr:col>
          <xdr:colOff>0</xdr:colOff>
          <xdr:row>4196</xdr:row>
          <xdr:rowOff>165100</xdr:rowOff>
        </xdr:to>
        <xdr:sp macro="" textlink="">
          <xdr:nvSpPr>
            <xdr:cNvPr id="13014" name="Button 1750" hidden="1">
              <a:extLst>
                <a:ext uri="{63B3BB69-23CF-44E3-9099-C40C66FF867C}">
                  <a14:compatExt spid="_x0000_s13014"/>
                </a:ext>
                <a:ext uri="{FF2B5EF4-FFF2-40B4-BE49-F238E27FC236}">
                  <a16:creationId xmlns:a16="http://schemas.microsoft.com/office/drawing/2014/main" id="{00000000-0008-0000-0100-0000D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4197</xdr:row>
          <xdr:rowOff>0</xdr:rowOff>
        </xdr:from>
        <xdr:to>
          <xdr:col>7</xdr:col>
          <xdr:colOff>0</xdr:colOff>
          <xdr:row>4197</xdr:row>
          <xdr:rowOff>165100</xdr:rowOff>
        </xdr:to>
        <xdr:sp macro="" textlink="">
          <xdr:nvSpPr>
            <xdr:cNvPr id="13013" name="Button 1749" hidden="1">
              <a:extLst>
                <a:ext uri="{63B3BB69-23CF-44E3-9099-C40C66FF867C}">
                  <a14:compatExt spid="_x0000_s13013"/>
                </a:ext>
                <a:ext uri="{FF2B5EF4-FFF2-40B4-BE49-F238E27FC236}">
                  <a16:creationId xmlns:a16="http://schemas.microsoft.com/office/drawing/2014/main" id="{00000000-0008-0000-0100-0000D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4198</xdr:row>
          <xdr:rowOff>0</xdr:rowOff>
        </xdr:from>
        <xdr:to>
          <xdr:col>7</xdr:col>
          <xdr:colOff>0</xdr:colOff>
          <xdr:row>4198</xdr:row>
          <xdr:rowOff>165100</xdr:rowOff>
        </xdr:to>
        <xdr:sp macro="" textlink="">
          <xdr:nvSpPr>
            <xdr:cNvPr id="13012" name="Button 1748" hidden="1">
              <a:extLst>
                <a:ext uri="{63B3BB69-23CF-44E3-9099-C40C66FF867C}">
                  <a14:compatExt spid="_x0000_s13012"/>
                </a:ext>
                <a:ext uri="{FF2B5EF4-FFF2-40B4-BE49-F238E27FC236}">
                  <a16:creationId xmlns:a16="http://schemas.microsoft.com/office/drawing/2014/main" id="{00000000-0008-0000-0100-0000D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4199</xdr:row>
          <xdr:rowOff>0</xdr:rowOff>
        </xdr:from>
        <xdr:to>
          <xdr:col>7</xdr:col>
          <xdr:colOff>0</xdr:colOff>
          <xdr:row>4199</xdr:row>
          <xdr:rowOff>165100</xdr:rowOff>
        </xdr:to>
        <xdr:sp macro="" textlink="">
          <xdr:nvSpPr>
            <xdr:cNvPr id="13011" name="Button 1747" hidden="1">
              <a:extLst>
                <a:ext uri="{63B3BB69-23CF-44E3-9099-C40C66FF867C}">
                  <a14:compatExt spid="_x0000_s13011"/>
                </a:ext>
                <a:ext uri="{FF2B5EF4-FFF2-40B4-BE49-F238E27FC236}">
                  <a16:creationId xmlns:a16="http://schemas.microsoft.com/office/drawing/2014/main" id="{00000000-0008-0000-0100-0000D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4200</xdr:row>
          <xdr:rowOff>0</xdr:rowOff>
        </xdr:from>
        <xdr:to>
          <xdr:col>7</xdr:col>
          <xdr:colOff>0</xdr:colOff>
          <xdr:row>4200</xdr:row>
          <xdr:rowOff>165100</xdr:rowOff>
        </xdr:to>
        <xdr:sp macro="" textlink="">
          <xdr:nvSpPr>
            <xdr:cNvPr id="13010" name="Button 1746" hidden="1">
              <a:extLst>
                <a:ext uri="{63B3BB69-23CF-44E3-9099-C40C66FF867C}">
                  <a14:compatExt spid="_x0000_s13010"/>
                </a:ext>
                <a:ext uri="{FF2B5EF4-FFF2-40B4-BE49-F238E27FC236}">
                  <a16:creationId xmlns:a16="http://schemas.microsoft.com/office/drawing/2014/main" id="{00000000-0008-0000-0100-0000D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4203</xdr:row>
          <xdr:rowOff>0</xdr:rowOff>
        </xdr:from>
        <xdr:to>
          <xdr:col>7</xdr:col>
          <xdr:colOff>0</xdr:colOff>
          <xdr:row>4204</xdr:row>
          <xdr:rowOff>0</xdr:rowOff>
        </xdr:to>
        <xdr:sp macro="" textlink="">
          <xdr:nvSpPr>
            <xdr:cNvPr id="13009" name="Button 1745" hidden="1">
              <a:extLst>
                <a:ext uri="{63B3BB69-23CF-44E3-9099-C40C66FF867C}">
                  <a14:compatExt spid="_x0000_s13009"/>
                </a:ext>
                <a:ext uri="{FF2B5EF4-FFF2-40B4-BE49-F238E27FC236}">
                  <a16:creationId xmlns:a16="http://schemas.microsoft.com/office/drawing/2014/main" id="{00000000-0008-0000-0100-0000D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4210</xdr:row>
          <xdr:rowOff>0</xdr:rowOff>
        </xdr:from>
        <xdr:to>
          <xdr:col>7</xdr:col>
          <xdr:colOff>0</xdr:colOff>
          <xdr:row>4210</xdr:row>
          <xdr:rowOff>171450</xdr:rowOff>
        </xdr:to>
        <xdr:sp macro="" textlink="">
          <xdr:nvSpPr>
            <xdr:cNvPr id="13008" name="Button 1744" hidden="1">
              <a:extLst>
                <a:ext uri="{63B3BB69-23CF-44E3-9099-C40C66FF867C}">
                  <a14:compatExt spid="_x0000_s13008"/>
                </a:ext>
                <a:ext uri="{FF2B5EF4-FFF2-40B4-BE49-F238E27FC236}">
                  <a16:creationId xmlns:a16="http://schemas.microsoft.com/office/drawing/2014/main" id="{00000000-0008-0000-0100-0000D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4211</xdr:row>
          <xdr:rowOff>0</xdr:rowOff>
        </xdr:from>
        <xdr:to>
          <xdr:col>7</xdr:col>
          <xdr:colOff>0</xdr:colOff>
          <xdr:row>4211</xdr:row>
          <xdr:rowOff>165100</xdr:rowOff>
        </xdr:to>
        <xdr:sp macro="" textlink="">
          <xdr:nvSpPr>
            <xdr:cNvPr id="13007" name="Button 1743" hidden="1">
              <a:extLst>
                <a:ext uri="{63B3BB69-23CF-44E3-9099-C40C66FF867C}">
                  <a14:compatExt spid="_x0000_s13007"/>
                </a:ext>
                <a:ext uri="{FF2B5EF4-FFF2-40B4-BE49-F238E27FC236}">
                  <a16:creationId xmlns:a16="http://schemas.microsoft.com/office/drawing/2014/main" id="{00000000-0008-0000-0100-0000C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4212</xdr:row>
          <xdr:rowOff>0</xdr:rowOff>
        </xdr:from>
        <xdr:to>
          <xdr:col>7</xdr:col>
          <xdr:colOff>0</xdr:colOff>
          <xdr:row>4212</xdr:row>
          <xdr:rowOff>165100</xdr:rowOff>
        </xdr:to>
        <xdr:sp macro="" textlink="">
          <xdr:nvSpPr>
            <xdr:cNvPr id="13006" name="Button 1742" hidden="1">
              <a:extLst>
                <a:ext uri="{63B3BB69-23CF-44E3-9099-C40C66FF867C}">
                  <a14:compatExt spid="_x0000_s13006"/>
                </a:ext>
                <a:ext uri="{FF2B5EF4-FFF2-40B4-BE49-F238E27FC236}">
                  <a16:creationId xmlns:a16="http://schemas.microsoft.com/office/drawing/2014/main" id="{00000000-0008-0000-0100-0000C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4215</xdr:row>
          <xdr:rowOff>0</xdr:rowOff>
        </xdr:from>
        <xdr:to>
          <xdr:col>7</xdr:col>
          <xdr:colOff>0</xdr:colOff>
          <xdr:row>4216</xdr:row>
          <xdr:rowOff>0</xdr:rowOff>
        </xdr:to>
        <xdr:sp macro="" textlink="">
          <xdr:nvSpPr>
            <xdr:cNvPr id="13005" name="Button 1741" hidden="1">
              <a:extLst>
                <a:ext uri="{63B3BB69-23CF-44E3-9099-C40C66FF867C}">
                  <a14:compatExt spid="_x0000_s13005"/>
                </a:ext>
                <a:ext uri="{FF2B5EF4-FFF2-40B4-BE49-F238E27FC236}">
                  <a16:creationId xmlns:a16="http://schemas.microsoft.com/office/drawing/2014/main" id="{00000000-0008-0000-0100-0000C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4222</xdr:row>
          <xdr:rowOff>0</xdr:rowOff>
        </xdr:from>
        <xdr:to>
          <xdr:col>7</xdr:col>
          <xdr:colOff>0</xdr:colOff>
          <xdr:row>4222</xdr:row>
          <xdr:rowOff>171450</xdr:rowOff>
        </xdr:to>
        <xdr:sp macro="" textlink="">
          <xdr:nvSpPr>
            <xdr:cNvPr id="13004" name="Button 1740" hidden="1">
              <a:extLst>
                <a:ext uri="{63B3BB69-23CF-44E3-9099-C40C66FF867C}">
                  <a14:compatExt spid="_x0000_s13004"/>
                </a:ext>
                <a:ext uri="{FF2B5EF4-FFF2-40B4-BE49-F238E27FC236}">
                  <a16:creationId xmlns:a16="http://schemas.microsoft.com/office/drawing/2014/main" id="{00000000-0008-0000-0100-0000C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4223</xdr:row>
          <xdr:rowOff>0</xdr:rowOff>
        </xdr:from>
        <xdr:to>
          <xdr:col>7</xdr:col>
          <xdr:colOff>0</xdr:colOff>
          <xdr:row>4223</xdr:row>
          <xdr:rowOff>165100</xdr:rowOff>
        </xdr:to>
        <xdr:sp macro="" textlink="">
          <xdr:nvSpPr>
            <xdr:cNvPr id="13003" name="Button 1739" hidden="1">
              <a:extLst>
                <a:ext uri="{63B3BB69-23CF-44E3-9099-C40C66FF867C}">
                  <a14:compatExt spid="_x0000_s13003"/>
                </a:ext>
                <a:ext uri="{FF2B5EF4-FFF2-40B4-BE49-F238E27FC236}">
                  <a16:creationId xmlns:a16="http://schemas.microsoft.com/office/drawing/2014/main" id="{00000000-0008-0000-0100-0000C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4224</xdr:row>
          <xdr:rowOff>0</xdr:rowOff>
        </xdr:from>
        <xdr:to>
          <xdr:col>7</xdr:col>
          <xdr:colOff>0</xdr:colOff>
          <xdr:row>4224</xdr:row>
          <xdr:rowOff>165100</xdr:rowOff>
        </xdr:to>
        <xdr:sp macro="" textlink="">
          <xdr:nvSpPr>
            <xdr:cNvPr id="13002" name="Button 1738" hidden="1">
              <a:extLst>
                <a:ext uri="{63B3BB69-23CF-44E3-9099-C40C66FF867C}">
                  <a14:compatExt spid="_x0000_s13002"/>
                </a:ext>
                <a:ext uri="{FF2B5EF4-FFF2-40B4-BE49-F238E27FC236}">
                  <a16:creationId xmlns:a16="http://schemas.microsoft.com/office/drawing/2014/main" id="{00000000-0008-0000-0100-0000C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4227</xdr:row>
          <xdr:rowOff>0</xdr:rowOff>
        </xdr:from>
        <xdr:to>
          <xdr:col>7</xdr:col>
          <xdr:colOff>0</xdr:colOff>
          <xdr:row>4228</xdr:row>
          <xdr:rowOff>0</xdr:rowOff>
        </xdr:to>
        <xdr:sp macro="" textlink="">
          <xdr:nvSpPr>
            <xdr:cNvPr id="13001" name="Button 1737" hidden="1">
              <a:extLst>
                <a:ext uri="{63B3BB69-23CF-44E3-9099-C40C66FF867C}">
                  <a14:compatExt spid="_x0000_s13001"/>
                </a:ext>
                <a:ext uri="{FF2B5EF4-FFF2-40B4-BE49-F238E27FC236}">
                  <a16:creationId xmlns:a16="http://schemas.microsoft.com/office/drawing/2014/main" id="{00000000-0008-0000-0100-0000C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4234</xdr:row>
          <xdr:rowOff>0</xdr:rowOff>
        </xdr:from>
        <xdr:to>
          <xdr:col>7</xdr:col>
          <xdr:colOff>0</xdr:colOff>
          <xdr:row>4234</xdr:row>
          <xdr:rowOff>171450</xdr:rowOff>
        </xdr:to>
        <xdr:sp macro="" textlink="">
          <xdr:nvSpPr>
            <xdr:cNvPr id="13000" name="Button 1736" hidden="1">
              <a:extLst>
                <a:ext uri="{63B3BB69-23CF-44E3-9099-C40C66FF867C}">
                  <a14:compatExt spid="_x0000_s13000"/>
                </a:ext>
                <a:ext uri="{FF2B5EF4-FFF2-40B4-BE49-F238E27FC236}">
                  <a16:creationId xmlns:a16="http://schemas.microsoft.com/office/drawing/2014/main" id="{00000000-0008-0000-0100-0000C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4235</xdr:row>
          <xdr:rowOff>0</xdr:rowOff>
        </xdr:from>
        <xdr:to>
          <xdr:col>7</xdr:col>
          <xdr:colOff>0</xdr:colOff>
          <xdr:row>4235</xdr:row>
          <xdr:rowOff>165100</xdr:rowOff>
        </xdr:to>
        <xdr:sp macro="" textlink="">
          <xdr:nvSpPr>
            <xdr:cNvPr id="12999" name="Button 1735" hidden="1">
              <a:extLst>
                <a:ext uri="{63B3BB69-23CF-44E3-9099-C40C66FF867C}">
                  <a14:compatExt spid="_x0000_s12999"/>
                </a:ext>
                <a:ext uri="{FF2B5EF4-FFF2-40B4-BE49-F238E27FC236}">
                  <a16:creationId xmlns:a16="http://schemas.microsoft.com/office/drawing/2014/main" id="{00000000-0008-0000-0100-0000C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4238</xdr:row>
          <xdr:rowOff>0</xdr:rowOff>
        </xdr:from>
        <xdr:to>
          <xdr:col>7</xdr:col>
          <xdr:colOff>0</xdr:colOff>
          <xdr:row>4239</xdr:row>
          <xdr:rowOff>0</xdr:rowOff>
        </xdr:to>
        <xdr:sp macro="" textlink="">
          <xdr:nvSpPr>
            <xdr:cNvPr id="12998" name="Button 1734" hidden="1">
              <a:extLst>
                <a:ext uri="{63B3BB69-23CF-44E3-9099-C40C66FF867C}">
                  <a14:compatExt spid="_x0000_s12998"/>
                </a:ext>
                <a:ext uri="{FF2B5EF4-FFF2-40B4-BE49-F238E27FC236}">
                  <a16:creationId xmlns:a16="http://schemas.microsoft.com/office/drawing/2014/main" id="{00000000-0008-0000-0100-0000C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4245</xdr:row>
          <xdr:rowOff>0</xdr:rowOff>
        </xdr:from>
        <xdr:to>
          <xdr:col>7</xdr:col>
          <xdr:colOff>0</xdr:colOff>
          <xdr:row>4245</xdr:row>
          <xdr:rowOff>171450</xdr:rowOff>
        </xdr:to>
        <xdr:sp macro="" textlink="">
          <xdr:nvSpPr>
            <xdr:cNvPr id="12997" name="Button 1733" hidden="1">
              <a:extLst>
                <a:ext uri="{63B3BB69-23CF-44E3-9099-C40C66FF867C}">
                  <a14:compatExt spid="_x0000_s12997"/>
                </a:ext>
                <a:ext uri="{FF2B5EF4-FFF2-40B4-BE49-F238E27FC236}">
                  <a16:creationId xmlns:a16="http://schemas.microsoft.com/office/drawing/2014/main" id="{00000000-0008-0000-0100-0000C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4246</xdr:row>
          <xdr:rowOff>0</xdr:rowOff>
        </xdr:from>
        <xdr:to>
          <xdr:col>7</xdr:col>
          <xdr:colOff>0</xdr:colOff>
          <xdr:row>4246</xdr:row>
          <xdr:rowOff>165100</xdr:rowOff>
        </xdr:to>
        <xdr:sp macro="" textlink="">
          <xdr:nvSpPr>
            <xdr:cNvPr id="12996" name="Button 1732" hidden="1">
              <a:extLst>
                <a:ext uri="{63B3BB69-23CF-44E3-9099-C40C66FF867C}">
                  <a14:compatExt spid="_x0000_s12996"/>
                </a:ext>
                <a:ext uri="{FF2B5EF4-FFF2-40B4-BE49-F238E27FC236}">
                  <a16:creationId xmlns:a16="http://schemas.microsoft.com/office/drawing/2014/main" id="{00000000-0008-0000-0100-0000C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4249</xdr:row>
          <xdr:rowOff>0</xdr:rowOff>
        </xdr:from>
        <xdr:to>
          <xdr:col>7</xdr:col>
          <xdr:colOff>0</xdr:colOff>
          <xdr:row>4250</xdr:row>
          <xdr:rowOff>0</xdr:rowOff>
        </xdr:to>
        <xdr:sp macro="" textlink="">
          <xdr:nvSpPr>
            <xdr:cNvPr id="12995" name="Button 1731" hidden="1">
              <a:extLst>
                <a:ext uri="{63B3BB69-23CF-44E3-9099-C40C66FF867C}">
                  <a14:compatExt spid="_x0000_s12995"/>
                </a:ext>
                <a:ext uri="{FF2B5EF4-FFF2-40B4-BE49-F238E27FC236}">
                  <a16:creationId xmlns:a16="http://schemas.microsoft.com/office/drawing/2014/main" id="{00000000-0008-0000-0100-0000C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4256</xdr:row>
          <xdr:rowOff>0</xdr:rowOff>
        </xdr:from>
        <xdr:to>
          <xdr:col>7</xdr:col>
          <xdr:colOff>0</xdr:colOff>
          <xdr:row>4256</xdr:row>
          <xdr:rowOff>171450</xdr:rowOff>
        </xdr:to>
        <xdr:sp macro="" textlink="">
          <xdr:nvSpPr>
            <xdr:cNvPr id="12994" name="Button 1730" hidden="1">
              <a:extLst>
                <a:ext uri="{63B3BB69-23CF-44E3-9099-C40C66FF867C}">
                  <a14:compatExt spid="_x0000_s12994"/>
                </a:ext>
                <a:ext uri="{FF2B5EF4-FFF2-40B4-BE49-F238E27FC236}">
                  <a16:creationId xmlns:a16="http://schemas.microsoft.com/office/drawing/2014/main" id="{00000000-0008-0000-0100-0000C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4257</xdr:row>
          <xdr:rowOff>0</xdr:rowOff>
        </xdr:from>
        <xdr:to>
          <xdr:col>7</xdr:col>
          <xdr:colOff>0</xdr:colOff>
          <xdr:row>4257</xdr:row>
          <xdr:rowOff>165100</xdr:rowOff>
        </xdr:to>
        <xdr:sp macro="" textlink="">
          <xdr:nvSpPr>
            <xdr:cNvPr id="12993" name="Button 1729" hidden="1">
              <a:extLst>
                <a:ext uri="{63B3BB69-23CF-44E3-9099-C40C66FF867C}">
                  <a14:compatExt spid="_x0000_s12993"/>
                </a:ext>
                <a:ext uri="{FF2B5EF4-FFF2-40B4-BE49-F238E27FC236}">
                  <a16:creationId xmlns:a16="http://schemas.microsoft.com/office/drawing/2014/main" id="{00000000-0008-0000-0100-0000C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4258</xdr:row>
          <xdr:rowOff>0</xdr:rowOff>
        </xdr:from>
        <xdr:to>
          <xdr:col>7</xdr:col>
          <xdr:colOff>0</xdr:colOff>
          <xdr:row>4258</xdr:row>
          <xdr:rowOff>165100</xdr:rowOff>
        </xdr:to>
        <xdr:sp macro="" textlink="">
          <xdr:nvSpPr>
            <xdr:cNvPr id="12992" name="Button 1728" hidden="1">
              <a:extLst>
                <a:ext uri="{63B3BB69-23CF-44E3-9099-C40C66FF867C}">
                  <a14:compatExt spid="_x0000_s12992"/>
                </a:ext>
                <a:ext uri="{FF2B5EF4-FFF2-40B4-BE49-F238E27FC236}">
                  <a16:creationId xmlns:a16="http://schemas.microsoft.com/office/drawing/2014/main" id="{00000000-0008-0000-0100-0000C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4261</xdr:row>
          <xdr:rowOff>0</xdr:rowOff>
        </xdr:from>
        <xdr:to>
          <xdr:col>7</xdr:col>
          <xdr:colOff>0</xdr:colOff>
          <xdr:row>4262</xdr:row>
          <xdr:rowOff>0</xdr:rowOff>
        </xdr:to>
        <xdr:sp macro="" textlink="">
          <xdr:nvSpPr>
            <xdr:cNvPr id="12991" name="Button 1727" hidden="1">
              <a:extLst>
                <a:ext uri="{63B3BB69-23CF-44E3-9099-C40C66FF867C}">
                  <a14:compatExt spid="_x0000_s12991"/>
                </a:ext>
                <a:ext uri="{FF2B5EF4-FFF2-40B4-BE49-F238E27FC236}">
                  <a16:creationId xmlns:a16="http://schemas.microsoft.com/office/drawing/2014/main" id="{00000000-0008-0000-0100-0000B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4268</xdr:row>
          <xdr:rowOff>0</xdr:rowOff>
        </xdr:from>
        <xdr:to>
          <xdr:col>7</xdr:col>
          <xdr:colOff>0</xdr:colOff>
          <xdr:row>4268</xdr:row>
          <xdr:rowOff>171450</xdr:rowOff>
        </xdr:to>
        <xdr:sp macro="" textlink="">
          <xdr:nvSpPr>
            <xdr:cNvPr id="12990" name="Button 1726" hidden="1">
              <a:extLst>
                <a:ext uri="{63B3BB69-23CF-44E3-9099-C40C66FF867C}">
                  <a14:compatExt spid="_x0000_s12990"/>
                </a:ext>
                <a:ext uri="{FF2B5EF4-FFF2-40B4-BE49-F238E27FC236}">
                  <a16:creationId xmlns:a16="http://schemas.microsoft.com/office/drawing/2014/main" id="{00000000-0008-0000-0100-0000B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4269</xdr:row>
          <xdr:rowOff>0</xdr:rowOff>
        </xdr:from>
        <xdr:to>
          <xdr:col>7</xdr:col>
          <xdr:colOff>0</xdr:colOff>
          <xdr:row>4269</xdr:row>
          <xdr:rowOff>165100</xdr:rowOff>
        </xdr:to>
        <xdr:sp macro="" textlink="">
          <xdr:nvSpPr>
            <xdr:cNvPr id="12989" name="Button 1725" hidden="1">
              <a:extLst>
                <a:ext uri="{63B3BB69-23CF-44E3-9099-C40C66FF867C}">
                  <a14:compatExt spid="_x0000_s12989"/>
                </a:ext>
                <a:ext uri="{FF2B5EF4-FFF2-40B4-BE49-F238E27FC236}">
                  <a16:creationId xmlns:a16="http://schemas.microsoft.com/office/drawing/2014/main" id="{00000000-0008-0000-0100-0000B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4272</xdr:row>
          <xdr:rowOff>0</xdr:rowOff>
        </xdr:from>
        <xdr:to>
          <xdr:col>7</xdr:col>
          <xdr:colOff>0</xdr:colOff>
          <xdr:row>4273</xdr:row>
          <xdr:rowOff>0</xdr:rowOff>
        </xdr:to>
        <xdr:sp macro="" textlink="">
          <xdr:nvSpPr>
            <xdr:cNvPr id="12988" name="Button 1724" hidden="1">
              <a:extLst>
                <a:ext uri="{63B3BB69-23CF-44E3-9099-C40C66FF867C}">
                  <a14:compatExt spid="_x0000_s12988"/>
                </a:ext>
                <a:ext uri="{FF2B5EF4-FFF2-40B4-BE49-F238E27FC236}">
                  <a16:creationId xmlns:a16="http://schemas.microsoft.com/office/drawing/2014/main" id="{00000000-0008-0000-0100-0000B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4279</xdr:row>
          <xdr:rowOff>0</xdr:rowOff>
        </xdr:from>
        <xdr:to>
          <xdr:col>7</xdr:col>
          <xdr:colOff>0</xdr:colOff>
          <xdr:row>4279</xdr:row>
          <xdr:rowOff>171450</xdr:rowOff>
        </xdr:to>
        <xdr:sp macro="" textlink="">
          <xdr:nvSpPr>
            <xdr:cNvPr id="12987" name="Button 1723" hidden="1">
              <a:extLst>
                <a:ext uri="{63B3BB69-23CF-44E3-9099-C40C66FF867C}">
                  <a14:compatExt spid="_x0000_s12987"/>
                </a:ext>
                <a:ext uri="{FF2B5EF4-FFF2-40B4-BE49-F238E27FC236}">
                  <a16:creationId xmlns:a16="http://schemas.microsoft.com/office/drawing/2014/main" id="{00000000-0008-0000-0100-0000B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4280</xdr:row>
          <xdr:rowOff>0</xdr:rowOff>
        </xdr:from>
        <xdr:to>
          <xdr:col>7</xdr:col>
          <xdr:colOff>0</xdr:colOff>
          <xdr:row>4280</xdr:row>
          <xdr:rowOff>165100</xdr:rowOff>
        </xdr:to>
        <xdr:sp macro="" textlink="">
          <xdr:nvSpPr>
            <xdr:cNvPr id="12986" name="Button 1722" hidden="1">
              <a:extLst>
                <a:ext uri="{63B3BB69-23CF-44E3-9099-C40C66FF867C}">
                  <a14:compatExt spid="_x0000_s12986"/>
                </a:ext>
                <a:ext uri="{FF2B5EF4-FFF2-40B4-BE49-F238E27FC236}">
                  <a16:creationId xmlns:a16="http://schemas.microsoft.com/office/drawing/2014/main" id="{00000000-0008-0000-0100-0000B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4283</xdr:row>
          <xdr:rowOff>0</xdr:rowOff>
        </xdr:from>
        <xdr:to>
          <xdr:col>7</xdr:col>
          <xdr:colOff>0</xdr:colOff>
          <xdr:row>4284</xdr:row>
          <xdr:rowOff>0</xdr:rowOff>
        </xdr:to>
        <xdr:sp macro="" textlink="">
          <xdr:nvSpPr>
            <xdr:cNvPr id="12985" name="Button 1721" hidden="1">
              <a:extLst>
                <a:ext uri="{63B3BB69-23CF-44E3-9099-C40C66FF867C}">
                  <a14:compatExt spid="_x0000_s12985"/>
                </a:ext>
                <a:ext uri="{FF2B5EF4-FFF2-40B4-BE49-F238E27FC236}">
                  <a16:creationId xmlns:a16="http://schemas.microsoft.com/office/drawing/2014/main" id="{00000000-0008-0000-0100-0000B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4290</xdr:row>
          <xdr:rowOff>0</xdr:rowOff>
        </xdr:from>
        <xdr:to>
          <xdr:col>7</xdr:col>
          <xdr:colOff>0</xdr:colOff>
          <xdr:row>4290</xdr:row>
          <xdr:rowOff>171450</xdr:rowOff>
        </xdr:to>
        <xdr:sp macro="" textlink="">
          <xdr:nvSpPr>
            <xdr:cNvPr id="12984" name="Button 1720" hidden="1">
              <a:extLst>
                <a:ext uri="{63B3BB69-23CF-44E3-9099-C40C66FF867C}">
                  <a14:compatExt spid="_x0000_s12984"/>
                </a:ext>
                <a:ext uri="{FF2B5EF4-FFF2-40B4-BE49-F238E27FC236}">
                  <a16:creationId xmlns:a16="http://schemas.microsoft.com/office/drawing/2014/main" id="{00000000-0008-0000-0100-0000B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4291</xdr:row>
          <xdr:rowOff>0</xdr:rowOff>
        </xdr:from>
        <xdr:to>
          <xdr:col>7</xdr:col>
          <xdr:colOff>0</xdr:colOff>
          <xdr:row>4291</xdr:row>
          <xdr:rowOff>165100</xdr:rowOff>
        </xdr:to>
        <xdr:sp macro="" textlink="">
          <xdr:nvSpPr>
            <xdr:cNvPr id="12983" name="Button 1719" hidden="1">
              <a:extLst>
                <a:ext uri="{63B3BB69-23CF-44E3-9099-C40C66FF867C}">
                  <a14:compatExt spid="_x0000_s12983"/>
                </a:ext>
                <a:ext uri="{FF2B5EF4-FFF2-40B4-BE49-F238E27FC236}">
                  <a16:creationId xmlns:a16="http://schemas.microsoft.com/office/drawing/2014/main" id="{00000000-0008-0000-0100-0000B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4294</xdr:row>
          <xdr:rowOff>0</xdr:rowOff>
        </xdr:from>
        <xdr:to>
          <xdr:col>7</xdr:col>
          <xdr:colOff>0</xdr:colOff>
          <xdr:row>4295</xdr:row>
          <xdr:rowOff>0</xdr:rowOff>
        </xdr:to>
        <xdr:sp macro="" textlink="">
          <xdr:nvSpPr>
            <xdr:cNvPr id="12982" name="Button 1718" hidden="1">
              <a:extLst>
                <a:ext uri="{63B3BB69-23CF-44E3-9099-C40C66FF867C}">
                  <a14:compatExt spid="_x0000_s12982"/>
                </a:ext>
                <a:ext uri="{FF2B5EF4-FFF2-40B4-BE49-F238E27FC236}">
                  <a16:creationId xmlns:a16="http://schemas.microsoft.com/office/drawing/2014/main" id="{00000000-0008-0000-0100-0000B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4301</xdr:row>
          <xdr:rowOff>0</xdr:rowOff>
        </xdr:from>
        <xdr:to>
          <xdr:col>7</xdr:col>
          <xdr:colOff>0</xdr:colOff>
          <xdr:row>4301</xdr:row>
          <xdr:rowOff>171450</xdr:rowOff>
        </xdr:to>
        <xdr:sp macro="" textlink="">
          <xdr:nvSpPr>
            <xdr:cNvPr id="12981" name="Button 1717" hidden="1">
              <a:extLst>
                <a:ext uri="{63B3BB69-23CF-44E3-9099-C40C66FF867C}">
                  <a14:compatExt spid="_x0000_s12981"/>
                </a:ext>
                <a:ext uri="{FF2B5EF4-FFF2-40B4-BE49-F238E27FC236}">
                  <a16:creationId xmlns:a16="http://schemas.microsoft.com/office/drawing/2014/main" id="{00000000-0008-0000-0100-0000B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4302</xdr:row>
          <xdr:rowOff>0</xdr:rowOff>
        </xdr:from>
        <xdr:to>
          <xdr:col>7</xdr:col>
          <xdr:colOff>0</xdr:colOff>
          <xdr:row>4302</xdr:row>
          <xdr:rowOff>165100</xdr:rowOff>
        </xdr:to>
        <xdr:sp macro="" textlink="">
          <xdr:nvSpPr>
            <xdr:cNvPr id="12980" name="Button 1716" hidden="1">
              <a:extLst>
                <a:ext uri="{63B3BB69-23CF-44E3-9099-C40C66FF867C}">
                  <a14:compatExt spid="_x0000_s12980"/>
                </a:ext>
                <a:ext uri="{FF2B5EF4-FFF2-40B4-BE49-F238E27FC236}">
                  <a16:creationId xmlns:a16="http://schemas.microsoft.com/office/drawing/2014/main" id="{00000000-0008-0000-0100-0000B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4305</xdr:row>
          <xdr:rowOff>0</xdr:rowOff>
        </xdr:from>
        <xdr:to>
          <xdr:col>7</xdr:col>
          <xdr:colOff>0</xdr:colOff>
          <xdr:row>4306</xdr:row>
          <xdr:rowOff>0</xdr:rowOff>
        </xdr:to>
        <xdr:sp macro="" textlink="">
          <xdr:nvSpPr>
            <xdr:cNvPr id="12979" name="Button 1715" hidden="1">
              <a:extLst>
                <a:ext uri="{63B3BB69-23CF-44E3-9099-C40C66FF867C}">
                  <a14:compatExt spid="_x0000_s12979"/>
                </a:ext>
                <a:ext uri="{FF2B5EF4-FFF2-40B4-BE49-F238E27FC236}">
                  <a16:creationId xmlns:a16="http://schemas.microsoft.com/office/drawing/2014/main" id="{00000000-0008-0000-0100-0000B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4312</xdr:row>
          <xdr:rowOff>0</xdr:rowOff>
        </xdr:from>
        <xdr:to>
          <xdr:col>7</xdr:col>
          <xdr:colOff>0</xdr:colOff>
          <xdr:row>4312</xdr:row>
          <xdr:rowOff>171450</xdr:rowOff>
        </xdr:to>
        <xdr:sp macro="" textlink="">
          <xdr:nvSpPr>
            <xdr:cNvPr id="12978" name="Button 1714" hidden="1">
              <a:extLst>
                <a:ext uri="{63B3BB69-23CF-44E3-9099-C40C66FF867C}">
                  <a14:compatExt spid="_x0000_s12978"/>
                </a:ext>
                <a:ext uri="{FF2B5EF4-FFF2-40B4-BE49-F238E27FC236}">
                  <a16:creationId xmlns:a16="http://schemas.microsoft.com/office/drawing/2014/main" id="{00000000-0008-0000-0100-0000B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4313</xdr:row>
          <xdr:rowOff>0</xdr:rowOff>
        </xdr:from>
        <xdr:to>
          <xdr:col>7</xdr:col>
          <xdr:colOff>0</xdr:colOff>
          <xdr:row>4313</xdr:row>
          <xdr:rowOff>165100</xdr:rowOff>
        </xdr:to>
        <xdr:sp macro="" textlink="">
          <xdr:nvSpPr>
            <xdr:cNvPr id="12977" name="Button 1713" hidden="1">
              <a:extLst>
                <a:ext uri="{63B3BB69-23CF-44E3-9099-C40C66FF867C}">
                  <a14:compatExt spid="_x0000_s12977"/>
                </a:ext>
                <a:ext uri="{FF2B5EF4-FFF2-40B4-BE49-F238E27FC236}">
                  <a16:creationId xmlns:a16="http://schemas.microsoft.com/office/drawing/2014/main" id="{00000000-0008-0000-0100-0000B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4314</xdr:row>
          <xdr:rowOff>0</xdr:rowOff>
        </xdr:from>
        <xdr:to>
          <xdr:col>7</xdr:col>
          <xdr:colOff>0</xdr:colOff>
          <xdr:row>4314</xdr:row>
          <xdr:rowOff>165100</xdr:rowOff>
        </xdr:to>
        <xdr:sp macro="" textlink="">
          <xdr:nvSpPr>
            <xdr:cNvPr id="12976" name="Button 1712" hidden="1">
              <a:extLst>
                <a:ext uri="{63B3BB69-23CF-44E3-9099-C40C66FF867C}">
                  <a14:compatExt spid="_x0000_s12976"/>
                </a:ext>
                <a:ext uri="{FF2B5EF4-FFF2-40B4-BE49-F238E27FC236}">
                  <a16:creationId xmlns:a16="http://schemas.microsoft.com/office/drawing/2014/main" id="{00000000-0008-0000-0100-0000B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4315</xdr:row>
          <xdr:rowOff>0</xdr:rowOff>
        </xdr:from>
        <xdr:to>
          <xdr:col>7</xdr:col>
          <xdr:colOff>0</xdr:colOff>
          <xdr:row>4315</xdr:row>
          <xdr:rowOff>165100</xdr:rowOff>
        </xdr:to>
        <xdr:sp macro="" textlink="">
          <xdr:nvSpPr>
            <xdr:cNvPr id="12975" name="Button 1711" hidden="1">
              <a:extLst>
                <a:ext uri="{63B3BB69-23CF-44E3-9099-C40C66FF867C}">
                  <a14:compatExt spid="_x0000_s12975"/>
                </a:ext>
                <a:ext uri="{FF2B5EF4-FFF2-40B4-BE49-F238E27FC236}">
                  <a16:creationId xmlns:a16="http://schemas.microsoft.com/office/drawing/2014/main" id="{00000000-0008-0000-0100-0000A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4316</xdr:row>
          <xdr:rowOff>0</xdr:rowOff>
        </xdr:from>
        <xdr:to>
          <xdr:col>7</xdr:col>
          <xdr:colOff>0</xdr:colOff>
          <xdr:row>4316</xdr:row>
          <xdr:rowOff>165100</xdr:rowOff>
        </xdr:to>
        <xdr:sp macro="" textlink="">
          <xdr:nvSpPr>
            <xdr:cNvPr id="12974" name="Button 1710" hidden="1">
              <a:extLst>
                <a:ext uri="{63B3BB69-23CF-44E3-9099-C40C66FF867C}">
                  <a14:compatExt spid="_x0000_s12974"/>
                </a:ext>
                <a:ext uri="{FF2B5EF4-FFF2-40B4-BE49-F238E27FC236}">
                  <a16:creationId xmlns:a16="http://schemas.microsoft.com/office/drawing/2014/main" id="{00000000-0008-0000-0100-0000A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4317</xdr:row>
          <xdr:rowOff>0</xdr:rowOff>
        </xdr:from>
        <xdr:to>
          <xdr:col>7</xdr:col>
          <xdr:colOff>0</xdr:colOff>
          <xdr:row>4317</xdr:row>
          <xdr:rowOff>165100</xdr:rowOff>
        </xdr:to>
        <xdr:sp macro="" textlink="">
          <xdr:nvSpPr>
            <xdr:cNvPr id="12973" name="Button 1709" hidden="1">
              <a:extLst>
                <a:ext uri="{63B3BB69-23CF-44E3-9099-C40C66FF867C}">
                  <a14:compatExt spid="_x0000_s12973"/>
                </a:ext>
                <a:ext uri="{FF2B5EF4-FFF2-40B4-BE49-F238E27FC236}">
                  <a16:creationId xmlns:a16="http://schemas.microsoft.com/office/drawing/2014/main" id="{00000000-0008-0000-0100-0000A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4318</xdr:row>
          <xdr:rowOff>0</xdr:rowOff>
        </xdr:from>
        <xdr:to>
          <xdr:col>7</xdr:col>
          <xdr:colOff>0</xdr:colOff>
          <xdr:row>4318</xdr:row>
          <xdr:rowOff>165100</xdr:rowOff>
        </xdr:to>
        <xdr:sp macro="" textlink="">
          <xdr:nvSpPr>
            <xdr:cNvPr id="12972" name="Button 1708" hidden="1">
              <a:extLst>
                <a:ext uri="{63B3BB69-23CF-44E3-9099-C40C66FF867C}">
                  <a14:compatExt spid="_x0000_s12972"/>
                </a:ext>
                <a:ext uri="{FF2B5EF4-FFF2-40B4-BE49-F238E27FC236}">
                  <a16:creationId xmlns:a16="http://schemas.microsoft.com/office/drawing/2014/main" id="{00000000-0008-0000-0100-0000A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4319</xdr:row>
          <xdr:rowOff>0</xdr:rowOff>
        </xdr:from>
        <xdr:to>
          <xdr:col>7</xdr:col>
          <xdr:colOff>0</xdr:colOff>
          <xdr:row>4319</xdr:row>
          <xdr:rowOff>165100</xdr:rowOff>
        </xdr:to>
        <xdr:sp macro="" textlink="">
          <xdr:nvSpPr>
            <xdr:cNvPr id="12971" name="Button 1707" hidden="1">
              <a:extLst>
                <a:ext uri="{63B3BB69-23CF-44E3-9099-C40C66FF867C}">
                  <a14:compatExt spid="_x0000_s12971"/>
                </a:ext>
                <a:ext uri="{FF2B5EF4-FFF2-40B4-BE49-F238E27FC236}">
                  <a16:creationId xmlns:a16="http://schemas.microsoft.com/office/drawing/2014/main" id="{00000000-0008-0000-0100-0000A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4320</xdr:row>
          <xdr:rowOff>0</xdr:rowOff>
        </xdr:from>
        <xdr:to>
          <xdr:col>7</xdr:col>
          <xdr:colOff>0</xdr:colOff>
          <xdr:row>4320</xdr:row>
          <xdr:rowOff>165100</xdr:rowOff>
        </xdr:to>
        <xdr:sp macro="" textlink="">
          <xdr:nvSpPr>
            <xdr:cNvPr id="12970" name="Button 1706" hidden="1">
              <a:extLst>
                <a:ext uri="{63B3BB69-23CF-44E3-9099-C40C66FF867C}">
                  <a14:compatExt spid="_x0000_s12970"/>
                </a:ext>
                <a:ext uri="{FF2B5EF4-FFF2-40B4-BE49-F238E27FC236}">
                  <a16:creationId xmlns:a16="http://schemas.microsoft.com/office/drawing/2014/main" id="{00000000-0008-0000-0100-0000A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4321</xdr:row>
          <xdr:rowOff>0</xdr:rowOff>
        </xdr:from>
        <xdr:to>
          <xdr:col>7</xdr:col>
          <xdr:colOff>0</xdr:colOff>
          <xdr:row>4321</xdr:row>
          <xdr:rowOff>165100</xdr:rowOff>
        </xdr:to>
        <xdr:sp macro="" textlink="">
          <xdr:nvSpPr>
            <xdr:cNvPr id="12969" name="Button 1705" hidden="1">
              <a:extLst>
                <a:ext uri="{63B3BB69-23CF-44E3-9099-C40C66FF867C}">
                  <a14:compatExt spid="_x0000_s12969"/>
                </a:ext>
                <a:ext uri="{FF2B5EF4-FFF2-40B4-BE49-F238E27FC236}">
                  <a16:creationId xmlns:a16="http://schemas.microsoft.com/office/drawing/2014/main" id="{00000000-0008-0000-0100-0000A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4322</xdr:row>
          <xdr:rowOff>0</xdr:rowOff>
        </xdr:from>
        <xdr:to>
          <xdr:col>7</xdr:col>
          <xdr:colOff>0</xdr:colOff>
          <xdr:row>4322</xdr:row>
          <xdr:rowOff>165100</xdr:rowOff>
        </xdr:to>
        <xdr:sp macro="" textlink="">
          <xdr:nvSpPr>
            <xdr:cNvPr id="12968" name="Button 1704" hidden="1">
              <a:extLst>
                <a:ext uri="{63B3BB69-23CF-44E3-9099-C40C66FF867C}">
                  <a14:compatExt spid="_x0000_s12968"/>
                </a:ext>
                <a:ext uri="{FF2B5EF4-FFF2-40B4-BE49-F238E27FC236}">
                  <a16:creationId xmlns:a16="http://schemas.microsoft.com/office/drawing/2014/main" id="{00000000-0008-0000-0100-0000A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4323</xdr:row>
          <xdr:rowOff>0</xdr:rowOff>
        </xdr:from>
        <xdr:to>
          <xdr:col>7</xdr:col>
          <xdr:colOff>0</xdr:colOff>
          <xdr:row>4323</xdr:row>
          <xdr:rowOff>165100</xdr:rowOff>
        </xdr:to>
        <xdr:sp macro="" textlink="">
          <xdr:nvSpPr>
            <xdr:cNvPr id="12967" name="Button 1703" hidden="1">
              <a:extLst>
                <a:ext uri="{63B3BB69-23CF-44E3-9099-C40C66FF867C}">
                  <a14:compatExt spid="_x0000_s12967"/>
                </a:ext>
                <a:ext uri="{FF2B5EF4-FFF2-40B4-BE49-F238E27FC236}">
                  <a16:creationId xmlns:a16="http://schemas.microsoft.com/office/drawing/2014/main" id="{00000000-0008-0000-0100-0000A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4324</xdr:row>
          <xdr:rowOff>0</xdr:rowOff>
        </xdr:from>
        <xdr:to>
          <xdr:col>7</xdr:col>
          <xdr:colOff>0</xdr:colOff>
          <xdr:row>4324</xdr:row>
          <xdr:rowOff>165100</xdr:rowOff>
        </xdr:to>
        <xdr:sp macro="" textlink="">
          <xdr:nvSpPr>
            <xdr:cNvPr id="12966" name="Button 1702" hidden="1">
              <a:extLst>
                <a:ext uri="{63B3BB69-23CF-44E3-9099-C40C66FF867C}">
                  <a14:compatExt spid="_x0000_s12966"/>
                </a:ext>
                <a:ext uri="{FF2B5EF4-FFF2-40B4-BE49-F238E27FC236}">
                  <a16:creationId xmlns:a16="http://schemas.microsoft.com/office/drawing/2014/main" id="{00000000-0008-0000-0100-0000A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4325</xdr:row>
          <xdr:rowOff>0</xdr:rowOff>
        </xdr:from>
        <xdr:to>
          <xdr:col>7</xdr:col>
          <xdr:colOff>0</xdr:colOff>
          <xdr:row>4325</xdr:row>
          <xdr:rowOff>165100</xdr:rowOff>
        </xdr:to>
        <xdr:sp macro="" textlink="">
          <xdr:nvSpPr>
            <xdr:cNvPr id="12965" name="Button 1701" hidden="1">
              <a:extLst>
                <a:ext uri="{63B3BB69-23CF-44E3-9099-C40C66FF867C}">
                  <a14:compatExt spid="_x0000_s12965"/>
                </a:ext>
                <a:ext uri="{FF2B5EF4-FFF2-40B4-BE49-F238E27FC236}">
                  <a16:creationId xmlns:a16="http://schemas.microsoft.com/office/drawing/2014/main" id="{00000000-0008-0000-0100-0000A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4326</xdr:row>
          <xdr:rowOff>0</xdr:rowOff>
        </xdr:from>
        <xdr:to>
          <xdr:col>7</xdr:col>
          <xdr:colOff>0</xdr:colOff>
          <xdr:row>4326</xdr:row>
          <xdr:rowOff>165100</xdr:rowOff>
        </xdr:to>
        <xdr:sp macro="" textlink="">
          <xdr:nvSpPr>
            <xdr:cNvPr id="12964" name="Button 1700" hidden="1">
              <a:extLst>
                <a:ext uri="{63B3BB69-23CF-44E3-9099-C40C66FF867C}">
                  <a14:compatExt spid="_x0000_s12964"/>
                </a:ext>
                <a:ext uri="{FF2B5EF4-FFF2-40B4-BE49-F238E27FC236}">
                  <a16:creationId xmlns:a16="http://schemas.microsoft.com/office/drawing/2014/main" id="{00000000-0008-0000-0100-0000A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4329</xdr:row>
          <xdr:rowOff>0</xdr:rowOff>
        </xdr:from>
        <xdr:to>
          <xdr:col>7</xdr:col>
          <xdr:colOff>0</xdr:colOff>
          <xdr:row>4330</xdr:row>
          <xdr:rowOff>0</xdr:rowOff>
        </xdr:to>
        <xdr:sp macro="" textlink="">
          <xdr:nvSpPr>
            <xdr:cNvPr id="12963" name="Button 1699" hidden="1">
              <a:extLst>
                <a:ext uri="{63B3BB69-23CF-44E3-9099-C40C66FF867C}">
                  <a14:compatExt spid="_x0000_s12963"/>
                </a:ext>
                <a:ext uri="{FF2B5EF4-FFF2-40B4-BE49-F238E27FC236}">
                  <a16:creationId xmlns:a16="http://schemas.microsoft.com/office/drawing/2014/main" id="{00000000-0008-0000-0100-0000A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4336</xdr:row>
          <xdr:rowOff>0</xdr:rowOff>
        </xdr:from>
        <xdr:to>
          <xdr:col>7</xdr:col>
          <xdr:colOff>0</xdr:colOff>
          <xdr:row>4336</xdr:row>
          <xdr:rowOff>171450</xdr:rowOff>
        </xdr:to>
        <xdr:sp macro="" textlink="">
          <xdr:nvSpPr>
            <xdr:cNvPr id="12962" name="Button 1698" hidden="1">
              <a:extLst>
                <a:ext uri="{63B3BB69-23CF-44E3-9099-C40C66FF867C}">
                  <a14:compatExt spid="_x0000_s12962"/>
                </a:ext>
                <a:ext uri="{FF2B5EF4-FFF2-40B4-BE49-F238E27FC236}">
                  <a16:creationId xmlns:a16="http://schemas.microsoft.com/office/drawing/2014/main" id="{00000000-0008-0000-0100-0000A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4337</xdr:row>
          <xdr:rowOff>0</xdr:rowOff>
        </xdr:from>
        <xdr:to>
          <xdr:col>7</xdr:col>
          <xdr:colOff>0</xdr:colOff>
          <xdr:row>4337</xdr:row>
          <xdr:rowOff>165100</xdr:rowOff>
        </xdr:to>
        <xdr:sp macro="" textlink="">
          <xdr:nvSpPr>
            <xdr:cNvPr id="12961" name="Button 1697" hidden="1">
              <a:extLst>
                <a:ext uri="{63B3BB69-23CF-44E3-9099-C40C66FF867C}">
                  <a14:compatExt spid="_x0000_s12961"/>
                </a:ext>
                <a:ext uri="{FF2B5EF4-FFF2-40B4-BE49-F238E27FC236}">
                  <a16:creationId xmlns:a16="http://schemas.microsoft.com/office/drawing/2014/main" id="{00000000-0008-0000-0100-0000A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4338</xdr:row>
          <xdr:rowOff>0</xdr:rowOff>
        </xdr:from>
        <xdr:to>
          <xdr:col>7</xdr:col>
          <xdr:colOff>0</xdr:colOff>
          <xdr:row>4338</xdr:row>
          <xdr:rowOff>165100</xdr:rowOff>
        </xdr:to>
        <xdr:sp macro="" textlink="">
          <xdr:nvSpPr>
            <xdr:cNvPr id="12960" name="Button 1696" hidden="1">
              <a:extLst>
                <a:ext uri="{63B3BB69-23CF-44E3-9099-C40C66FF867C}">
                  <a14:compatExt spid="_x0000_s12960"/>
                </a:ext>
                <a:ext uri="{FF2B5EF4-FFF2-40B4-BE49-F238E27FC236}">
                  <a16:creationId xmlns:a16="http://schemas.microsoft.com/office/drawing/2014/main" id="{00000000-0008-0000-0100-0000A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4339</xdr:row>
          <xdr:rowOff>0</xdr:rowOff>
        </xdr:from>
        <xdr:to>
          <xdr:col>7</xdr:col>
          <xdr:colOff>0</xdr:colOff>
          <xdr:row>4339</xdr:row>
          <xdr:rowOff>165100</xdr:rowOff>
        </xdr:to>
        <xdr:sp macro="" textlink="">
          <xdr:nvSpPr>
            <xdr:cNvPr id="12959" name="Button 1695" hidden="1">
              <a:extLst>
                <a:ext uri="{63B3BB69-23CF-44E3-9099-C40C66FF867C}">
                  <a14:compatExt spid="_x0000_s12959"/>
                </a:ext>
                <a:ext uri="{FF2B5EF4-FFF2-40B4-BE49-F238E27FC236}">
                  <a16:creationId xmlns:a16="http://schemas.microsoft.com/office/drawing/2014/main" id="{00000000-0008-0000-0100-00009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4340</xdr:row>
          <xdr:rowOff>0</xdr:rowOff>
        </xdr:from>
        <xdr:to>
          <xdr:col>7</xdr:col>
          <xdr:colOff>0</xdr:colOff>
          <xdr:row>4340</xdr:row>
          <xdr:rowOff>165100</xdr:rowOff>
        </xdr:to>
        <xdr:sp macro="" textlink="">
          <xdr:nvSpPr>
            <xdr:cNvPr id="12958" name="Button 1694" hidden="1">
              <a:extLst>
                <a:ext uri="{63B3BB69-23CF-44E3-9099-C40C66FF867C}">
                  <a14:compatExt spid="_x0000_s12958"/>
                </a:ext>
                <a:ext uri="{FF2B5EF4-FFF2-40B4-BE49-F238E27FC236}">
                  <a16:creationId xmlns:a16="http://schemas.microsoft.com/office/drawing/2014/main" id="{00000000-0008-0000-0100-00009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4341</xdr:row>
          <xdr:rowOff>0</xdr:rowOff>
        </xdr:from>
        <xdr:to>
          <xdr:col>7</xdr:col>
          <xdr:colOff>0</xdr:colOff>
          <xdr:row>4341</xdr:row>
          <xdr:rowOff>165100</xdr:rowOff>
        </xdr:to>
        <xdr:sp macro="" textlink="">
          <xdr:nvSpPr>
            <xdr:cNvPr id="12957" name="Button 1693" hidden="1">
              <a:extLst>
                <a:ext uri="{63B3BB69-23CF-44E3-9099-C40C66FF867C}">
                  <a14:compatExt spid="_x0000_s12957"/>
                </a:ext>
                <a:ext uri="{FF2B5EF4-FFF2-40B4-BE49-F238E27FC236}">
                  <a16:creationId xmlns:a16="http://schemas.microsoft.com/office/drawing/2014/main" id="{00000000-0008-0000-0100-00009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4342</xdr:row>
          <xdr:rowOff>0</xdr:rowOff>
        </xdr:from>
        <xdr:to>
          <xdr:col>7</xdr:col>
          <xdr:colOff>0</xdr:colOff>
          <xdr:row>4342</xdr:row>
          <xdr:rowOff>165100</xdr:rowOff>
        </xdr:to>
        <xdr:sp macro="" textlink="">
          <xdr:nvSpPr>
            <xdr:cNvPr id="12956" name="Button 1692" hidden="1">
              <a:extLst>
                <a:ext uri="{63B3BB69-23CF-44E3-9099-C40C66FF867C}">
                  <a14:compatExt spid="_x0000_s12956"/>
                </a:ext>
                <a:ext uri="{FF2B5EF4-FFF2-40B4-BE49-F238E27FC236}">
                  <a16:creationId xmlns:a16="http://schemas.microsoft.com/office/drawing/2014/main" id="{00000000-0008-0000-0100-00009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4343</xdr:row>
          <xdr:rowOff>0</xdr:rowOff>
        </xdr:from>
        <xdr:to>
          <xdr:col>7</xdr:col>
          <xdr:colOff>0</xdr:colOff>
          <xdr:row>4343</xdr:row>
          <xdr:rowOff>165100</xdr:rowOff>
        </xdr:to>
        <xdr:sp macro="" textlink="">
          <xdr:nvSpPr>
            <xdr:cNvPr id="12955" name="Button 1691" hidden="1">
              <a:extLst>
                <a:ext uri="{63B3BB69-23CF-44E3-9099-C40C66FF867C}">
                  <a14:compatExt spid="_x0000_s12955"/>
                </a:ext>
                <a:ext uri="{FF2B5EF4-FFF2-40B4-BE49-F238E27FC236}">
                  <a16:creationId xmlns:a16="http://schemas.microsoft.com/office/drawing/2014/main" id="{00000000-0008-0000-0100-00009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4344</xdr:row>
          <xdr:rowOff>0</xdr:rowOff>
        </xdr:from>
        <xdr:to>
          <xdr:col>7</xdr:col>
          <xdr:colOff>0</xdr:colOff>
          <xdr:row>4344</xdr:row>
          <xdr:rowOff>165100</xdr:rowOff>
        </xdr:to>
        <xdr:sp macro="" textlink="">
          <xdr:nvSpPr>
            <xdr:cNvPr id="12954" name="Button 1690" hidden="1">
              <a:extLst>
                <a:ext uri="{63B3BB69-23CF-44E3-9099-C40C66FF867C}">
                  <a14:compatExt spid="_x0000_s12954"/>
                </a:ext>
                <a:ext uri="{FF2B5EF4-FFF2-40B4-BE49-F238E27FC236}">
                  <a16:creationId xmlns:a16="http://schemas.microsoft.com/office/drawing/2014/main" id="{00000000-0008-0000-0100-00009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4345</xdr:row>
          <xdr:rowOff>0</xdr:rowOff>
        </xdr:from>
        <xdr:to>
          <xdr:col>7</xdr:col>
          <xdr:colOff>0</xdr:colOff>
          <xdr:row>4345</xdr:row>
          <xdr:rowOff>165100</xdr:rowOff>
        </xdr:to>
        <xdr:sp macro="" textlink="">
          <xdr:nvSpPr>
            <xdr:cNvPr id="12953" name="Button 1689" hidden="1">
              <a:extLst>
                <a:ext uri="{63B3BB69-23CF-44E3-9099-C40C66FF867C}">
                  <a14:compatExt spid="_x0000_s12953"/>
                </a:ext>
                <a:ext uri="{FF2B5EF4-FFF2-40B4-BE49-F238E27FC236}">
                  <a16:creationId xmlns:a16="http://schemas.microsoft.com/office/drawing/2014/main" id="{00000000-0008-0000-0100-00009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4346</xdr:row>
          <xdr:rowOff>0</xdr:rowOff>
        </xdr:from>
        <xdr:to>
          <xdr:col>7</xdr:col>
          <xdr:colOff>0</xdr:colOff>
          <xdr:row>4346</xdr:row>
          <xdr:rowOff>165100</xdr:rowOff>
        </xdr:to>
        <xdr:sp macro="" textlink="">
          <xdr:nvSpPr>
            <xdr:cNvPr id="12952" name="Button 1688" hidden="1">
              <a:extLst>
                <a:ext uri="{63B3BB69-23CF-44E3-9099-C40C66FF867C}">
                  <a14:compatExt spid="_x0000_s12952"/>
                </a:ext>
                <a:ext uri="{FF2B5EF4-FFF2-40B4-BE49-F238E27FC236}">
                  <a16:creationId xmlns:a16="http://schemas.microsoft.com/office/drawing/2014/main" id="{00000000-0008-0000-0100-00009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4349</xdr:row>
          <xdr:rowOff>0</xdr:rowOff>
        </xdr:from>
        <xdr:to>
          <xdr:col>7</xdr:col>
          <xdr:colOff>0</xdr:colOff>
          <xdr:row>4350</xdr:row>
          <xdr:rowOff>0</xdr:rowOff>
        </xdr:to>
        <xdr:sp macro="" textlink="">
          <xdr:nvSpPr>
            <xdr:cNvPr id="12951" name="Button 1687" hidden="1">
              <a:extLst>
                <a:ext uri="{63B3BB69-23CF-44E3-9099-C40C66FF867C}">
                  <a14:compatExt spid="_x0000_s12951"/>
                </a:ext>
                <a:ext uri="{FF2B5EF4-FFF2-40B4-BE49-F238E27FC236}">
                  <a16:creationId xmlns:a16="http://schemas.microsoft.com/office/drawing/2014/main" id="{00000000-0008-0000-0100-00009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4356</xdr:row>
          <xdr:rowOff>0</xdr:rowOff>
        </xdr:from>
        <xdr:to>
          <xdr:col>7</xdr:col>
          <xdr:colOff>0</xdr:colOff>
          <xdr:row>4356</xdr:row>
          <xdr:rowOff>171450</xdr:rowOff>
        </xdr:to>
        <xdr:sp macro="" textlink="">
          <xdr:nvSpPr>
            <xdr:cNvPr id="12950" name="Button 1686" hidden="1">
              <a:extLst>
                <a:ext uri="{63B3BB69-23CF-44E3-9099-C40C66FF867C}">
                  <a14:compatExt spid="_x0000_s12950"/>
                </a:ext>
                <a:ext uri="{FF2B5EF4-FFF2-40B4-BE49-F238E27FC236}">
                  <a16:creationId xmlns:a16="http://schemas.microsoft.com/office/drawing/2014/main" id="{00000000-0008-0000-0100-00009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4357</xdr:row>
          <xdr:rowOff>0</xdr:rowOff>
        </xdr:from>
        <xdr:to>
          <xdr:col>7</xdr:col>
          <xdr:colOff>0</xdr:colOff>
          <xdr:row>4357</xdr:row>
          <xdr:rowOff>165100</xdr:rowOff>
        </xdr:to>
        <xdr:sp macro="" textlink="">
          <xdr:nvSpPr>
            <xdr:cNvPr id="12949" name="Button 1685" hidden="1">
              <a:extLst>
                <a:ext uri="{63B3BB69-23CF-44E3-9099-C40C66FF867C}">
                  <a14:compatExt spid="_x0000_s12949"/>
                </a:ext>
                <a:ext uri="{FF2B5EF4-FFF2-40B4-BE49-F238E27FC236}">
                  <a16:creationId xmlns:a16="http://schemas.microsoft.com/office/drawing/2014/main" id="{00000000-0008-0000-0100-00009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4360</xdr:row>
          <xdr:rowOff>0</xdr:rowOff>
        </xdr:from>
        <xdr:to>
          <xdr:col>7</xdr:col>
          <xdr:colOff>0</xdr:colOff>
          <xdr:row>4361</xdr:row>
          <xdr:rowOff>0</xdr:rowOff>
        </xdr:to>
        <xdr:sp macro="" textlink="">
          <xdr:nvSpPr>
            <xdr:cNvPr id="12948" name="Button 1684" hidden="1">
              <a:extLst>
                <a:ext uri="{63B3BB69-23CF-44E3-9099-C40C66FF867C}">
                  <a14:compatExt spid="_x0000_s12948"/>
                </a:ext>
                <a:ext uri="{FF2B5EF4-FFF2-40B4-BE49-F238E27FC236}">
                  <a16:creationId xmlns:a16="http://schemas.microsoft.com/office/drawing/2014/main" id="{00000000-0008-0000-0100-00009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4367</xdr:row>
          <xdr:rowOff>0</xdr:rowOff>
        </xdr:from>
        <xdr:to>
          <xdr:col>7</xdr:col>
          <xdr:colOff>0</xdr:colOff>
          <xdr:row>4367</xdr:row>
          <xdr:rowOff>171450</xdr:rowOff>
        </xdr:to>
        <xdr:sp macro="" textlink="">
          <xdr:nvSpPr>
            <xdr:cNvPr id="12947" name="Button 1683" hidden="1">
              <a:extLst>
                <a:ext uri="{63B3BB69-23CF-44E3-9099-C40C66FF867C}">
                  <a14:compatExt spid="_x0000_s12947"/>
                </a:ext>
                <a:ext uri="{FF2B5EF4-FFF2-40B4-BE49-F238E27FC236}">
                  <a16:creationId xmlns:a16="http://schemas.microsoft.com/office/drawing/2014/main" id="{00000000-0008-0000-0100-00009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4368</xdr:row>
          <xdr:rowOff>0</xdr:rowOff>
        </xdr:from>
        <xdr:to>
          <xdr:col>7</xdr:col>
          <xdr:colOff>0</xdr:colOff>
          <xdr:row>4368</xdr:row>
          <xdr:rowOff>165100</xdr:rowOff>
        </xdr:to>
        <xdr:sp macro="" textlink="">
          <xdr:nvSpPr>
            <xdr:cNvPr id="12946" name="Button 1682" hidden="1">
              <a:extLst>
                <a:ext uri="{63B3BB69-23CF-44E3-9099-C40C66FF867C}">
                  <a14:compatExt spid="_x0000_s12946"/>
                </a:ext>
                <a:ext uri="{FF2B5EF4-FFF2-40B4-BE49-F238E27FC236}">
                  <a16:creationId xmlns:a16="http://schemas.microsoft.com/office/drawing/2014/main" id="{00000000-0008-0000-0100-00009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4371</xdr:row>
          <xdr:rowOff>0</xdr:rowOff>
        </xdr:from>
        <xdr:to>
          <xdr:col>7</xdr:col>
          <xdr:colOff>0</xdr:colOff>
          <xdr:row>4372</xdr:row>
          <xdr:rowOff>0</xdr:rowOff>
        </xdr:to>
        <xdr:sp macro="" textlink="">
          <xdr:nvSpPr>
            <xdr:cNvPr id="12945" name="Button 1681" hidden="1">
              <a:extLst>
                <a:ext uri="{63B3BB69-23CF-44E3-9099-C40C66FF867C}">
                  <a14:compatExt spid="_x0000_s12945"/>
                </a:ext>
                <a:ext uri="{FF2B5EF4-FFF2-40B4-BE49-F238E27FC236}">
                  <a16:creationId xmlns:a16="http://schemas.microsoft.com/office/drawing/2014/main" id="{00000000-0008-0000-0100-00009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4378</xdr:row>
          <xdr:rowOff>0</xdr:rowOff>
        </xdr:from>
        <xdr:to>
          <xdr:col>7</xdr:col>
          <xdr:colOff>0</xdr:colOff>
          <xdr:row>4378</xdr:row>
          <xdr:rowOff>171450</xdr:rowOff>
        </xdr:to>
        <xdr:sp macro="" textlink="">
          <xdr:nvSpPr>
            <xdr:cNvPr id="12944" name="Button 1680" hidden="1">
              <a:extLst>
                <a:ext uri="{63B3BB69-23CF-44E3-9099-C40C66FF867C}">
                  <a14:compatExt spid="_x0000_s12944"/>
                </a:ext>
                <a:ext uri="{FF2B5EF4-FFF2-40B4-BE49-F238E27FC236}">
                  <a16:creationId xmlns:a16="http://schemas.microsoft.com/office/drawing/2014/main" id="{00000000-0008-0000-0100-00009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4379</xdr:row>
          <xdr:rowOff>0</xdr:rowOff>
        </xdr:from>
        <xdr:to>
          <xdr:col>7</xdr:col>
          <xdr:colOff>0</xdr:colOff>
          <xdr:row>4379</xdr:row>
          <xdr:rowOff>165100</xdr:rowOff>
        </xdr:to>
        <xdr:sp macro="" textlink="">
          <xdr:nvSpPr>
            <xdr:cNvPr id="12943" name="Button 1679" hidden="1">
              <a:extLst>
                <a:ext uri="{63B3BB69-23CF-44E3-9099-C40C66FF867C}">
                  <a14:compatExt spid="_x0000_s12943"/>
                </a:ext>
                <a:ext uri="{FF2B5EF4-FFF2-40B4-BE49-F238E27FC236}">
                  <a16:creationId xmlns:a16="http://schemas.microsoft.com/office/drawing/2014/main" id="{00000000-0008-0000-0100-00008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4380</xdr:row>
          <xdr:rowOff>0</xdr:rowOff>
        </xdr:from>
        <xdr:to>
          <xdr:col>7</xdr:col>
          <xdr:colOff>0</xdr:colOff>
          <xdr:row>4380</xdr:row>
          <xdr:rowOff>165100</xdr:rowOff>
        </xdr:to>
        <xdr:sp macro="" textlink="">
          <xdr:nvSpPr>
            <xdr:cNvPr id="12942" name="Button 1678" hidden="1">
              <a:extLst>
                <a:ext uri="{63B3BB69-23CF-44E3-9099-C40C66FF867C}">
                  <a14:compatExt spid="_x0000_s12942"/>
                </a:ext>
                <a:ext uri="{FF2B5EF4-FFF2-40B4-BE49-F238E27FC236}">
                  <a16:creationId xmlns:a16="http://schemas.microsoft.com/office/drawing/2014/main" id="{00000000-0008-0000-0100-00008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4381</xdr:row>
          <xdr:rowOff>0</xdr:rowOff>
        </xdr:from>
        <xdr:to>
          <xdr:col>7</xdr:col>
          <xdr:colOff>0</xdr:colOff>
          <xdr:row>4381</xdr:row>
          <xdr:rowOff>165100</xdr:rowOff>
        </xdr:to>
        <xdr:sp macro="" textlink="">
          <xdr:nvSpPr>
            <xdr:cNvPr id="12941" name="Button 1677" hidden="1">
              <a:extLst>
                <a:ext uri="{63B3BB69-23CF-44E3-9099-C40C66FF867C}">
                  <a14:compatExt spid="_x0000_s12941"/>
                </a:ext>
                <a:ext uri="{FF2B5EF4-FFF2-40B4-BE49-F238E27FC236}">
                  <a16:creationId xmlns:a16="http://schemas.microsoft.com/office/drawing/2014/main" id="{00000000-0008-0000-0100-00008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4384</xdr:row>
          <xdr:rowOff>0</xdr:rowOff>
        </xdr:from>
        <xdr:to>
          <xdr:col>7</xdr:col>
          <xdr:colOff>0</xdr:colOff>
          <xdr:row>4385</xdr:row>
          <xdr:rowOff>0</xdr:rowOff>
        </xdr:to>
        <xdr:sp macro="" textlink="">
          <xdr:nvSpPr>
            <xdr:cNvPr id="12940" name="Button 1676" hidden="1">
              <a:extLst>
                <a:ext uri="{63B3BB69-23CF-44E3-9099-C40C66FF867C}">
                  <a14:compatExt spid="_x0000_s12940"/>
                </a:ext>
                <a:ext uri="{FF2B5EF4-FFF2-40B4-BE49-F238E27FC236}">
                  <a16:creationId xmlns:a16="http://schemas.microsoft.com/office/drawing/2014/main" id="{00000000-0008-0000-0100-00008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4391</xdr:row>
          <xdr:rowOff>0</xdr:rowOff>
        </xdr:from>
        <xdr:to>
          <xdr:col>7</xdr:col>
          <xdr:colOff>0</xdr:colOff>
          <xdr:row>4391</xdr:row>
          <xdr:rowOff>171450</xdr:rowOff>
        </xdr:to>
        <xdr:sp macro="" textlink="">
          <xdr:nvSpPr>
            <xdr:cNvPr id="12939" name="Button 1675" hidden="1">
              <a:extLst>
                <a:ext uri="{63B3BB69-23CF-44E3-9099-C40C66FF867C}">
                  <a14:compatExt spid="_x0000_s12939"/>
                </a:ext>
                <a:ext uri="{FF2B5EF4-FFF2-40B4-BE49-F238E27FC236}">
                  <a16:creationId xmlns:a16="http://schemas.microsoft.com/office/drawing/2014/main" id="{00000000-0008-0000-0100-00008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4392</xdr:row>
          <xdr:rowOff>0</xdr:rowOff>
        </xdr:from>
        <xdr:to>
          <xdr:col>7</xdr:col>
          <xdr:colOff>0</xdr:colOff>
          <xdr:row>4392</xdr:row>
          <xdr:rowOff>165100</xdr:rowOff>
        </xdr:to>
        <xdr:sp macro="" textlink="">
          <xdr:nvSpPr>
            <xdr:cNvPr id="12938" name="Button 1674" hidden="1">
              <a:extLst>
                <a:ext uri="{63B3BB69-23CF-44E3-9099-C40C66FF867C}">
                  <a14:compatExt spid="_x0000_s12938"/>
                </a:ext>
                <a:ext uri="{FF2B5EF4-FFF2-40B4-BE49-F238E27FC236}">
                  <a16:creationId xmlns:a16="http://schemas.microsoft.com/office/drawing/2014/main" id="{00000000-0008-0000-0100-00008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4395</xdr:row>
          <xdr:rowOff>0</xdr:rowOff>
        </xdr:from>
        <xdr:to>
          <xdr:col>7</xdr:col>
          <xdr:colOff>0</xdr:colOff>
          <xdr:row>4396</xdr:row>
          <xdr:rowOff>0</xdr:rowOff>
        </xdr:to>
        <xdr:sp macro="" textlink="">
          <xdr:nvSpPr>
            <xdr:cNvPr id="12937" name="Button 1673" hidden="1">
              <a:extLst>
                <a:ext uri="{63B3BB69-23CF-44E3-9099-C40C66FF867C}">
                  <a14:compatExt spid="_x0000_s12937"/>
                </a:ext>
                <a:ext uri="{FF2B5EF4-FFF2-40B4-BE49-F238E27FC236}">
                  <a16:creationId xmlns:a16="http://schemas.microsoft.com/office/drawing/2014/main" id="{00000000-0008-0000-0100-00008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4402</xdr:row>
          <xdr:rowOff>0</xdr:rowOff>
        </xdr:from>
        <xdr:to>
          <xdr:col>7</xdr:col>
          <xdr:colOff>0</xdr:colOff>
          <xdr:row>4402</xdr:row>
          <xdr:rowOff>171450</xdr:rowOff>
        </xdr:to>
        <xdr:sp macro="" textlink="">
          <xdr:nvSpPr>
            <xdr:cNvPr id="12936" name="Button 1672" hidden="1">
              <a:extLst>
                <a:ext uri="{63B3BB69-23CF-44E3-9099-C40C66FF867C}">
                  <a14:compatExt spid="_x0000_s12936"/>
                </a:ext>
                <a:ext uri="{FF2B5EF4-FFF2-40B4-BE49-F238E27FC236}">
                  <a16:creationId xmlns:a16="http://schemas.microsoft.com/office/drawing/2014/main" id="{00000000-0008-0000-0100-00008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4403</xdr:row>
          <xdr:rowOff>0</xdr:rowOff>
        </xdr:from>
        <xdr:to>
          <xdr:col>7</xdr:col>
          <xdr:colOff>0</xdr:colOff>
          <xdr:row>4403</xdr:row>
          <xdr:rowOff>165100</xdr:rowOff>
        </xdr:to>
        <xdr:sp macro="" textlink="">
          <xdr:nvSpPr>
            <xdr:cNvPr id="12935" name="Button 1671" hidden="1">
              <a:extLst>
                <a:ext uri="{63B3BB69-23CF-44E3-9099-C40C66FF867C}">
                  <a14:compatExt spid="_x0000_s12935"/>
                </a:ext>
                <a:ext uri="{FF2B5EF4-FFF2-40B4-BE49-F238E27FC236}">
                  <a16:creationId xmlns:a16="http://schemas.microsoft.com/office/drawing/2014/main" id="{00000000-0008-0000-0100-00008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4406</xdr:row>
          <xdr:rowOff>0</xdr:rowOff>
        </xdr:from>
        <xdr:to>
          <xdr:col>7</xdr:col>
          <xdr:colOff>0</xdr:colOff>
          <xdr:row>4407</xdr:row>
          <xdr:rowOff>0</xdr:rowOff>
        </xdr:to>
        <xdr:sp macro="" textlink="">
          <xdr:nvSpPr>
            <xdr:cNvPr id="12934" name="Button 1670" hidden="1">
              <a:extLst>
                <a:ext uri="{63B3BB69-23CF-44E3-9099-C40C66FF867C}">
                  <a14:compatExt spid="_x0000_s12934"/>
                </a:ext>
                <a:ext uri="{FF2B5EF4-FFF2-40B4-BE49-F238E27FC236}">
                  <a16:creationId xmlns:a16="http://schemas.microsoft.com/office/drawing/2014/main" id="{00000000-0008-0000-0100-00008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4413</xdr:row>
          <xdr:rowOff>0</xdr:rowOff>
        </xdr:from>
        <xdr:to>
          <xdr:col>7</xdr:col>
          <xdr:colOff>0</xdr:colOff>
          <xdr:row>4413</xdr:row>
          <xdr:rowOff>171450</xdr:rowOff>
        </xdr:to>
        <xdr:sp macro="" textlink="">
          <xdr:nvSpPr>
            <xdr:cNvPr id="12933" name="Button 1669" hidden="1">
              <a:extLst>
                <a:ext uri="{63B3BB69-23CF-44E3-9099-C40C66FF867C}">
                  <a14:compatExt spid="_x0000_s12933"/>
                </a:ext>
                <a:ext uri="{FF2B5EF4-FFF2-40B4-BE49-F238E27FC236}">
                  <a16:creationId xmlns:a16="http://schemas.microsoft.com/office/drawing/2014/main" id="{00000000-0008-0000-0100-00008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4414</xdr:row>
          <xdr:rowOff>0</xdr:rowOff>
        </xdr:from>
        <xdr:to>
          <xdr:col>7</xdr:col>
          <xdr:colOff>0</xdr:colOff>
          <xdr:row>4414</xdr:row>
          <xdr:rowOff>165100</xdr:rowOff>
        </xdr:to>
        <xdr:sp macro="" textlink="">
          <xdr:nvSpPr>
            <xdr:cNvPr id="12932" name="Button 1668" hidden="1">
              <a:extLst>
                <a:ext uri="{63B3BB69-23CF-44E3-9099-C40C66FF867C}">
                  <a14:compatExt spid="_x0000_s12932"/>
                </a:ext>
                <a:ext uri="{FF2B5EF4-FFF2-40B4-BE49-F238E27FC236}">
                  <a16:creationId xmlns:a16="http://schemas.microsoft.com/office/drawing/2014/main" id="{00000000-0008-0000-0100-00008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4415</xdr:row>
          <xdr:rowOff>0</xdr:rowOff>
        </xdr:from>
        <xdr:to>
          <xdr:col>7</xdr:col>
          <xdr:colOff>0</xdr:colOff>
          <xdr:row>4415</xdr:row>
          <xdr:rowOff>165100</xdr:rowOff>
        </xdr:to>
        <xdr:sp macro="" textlink="">
          <xdr:nvSpPr>
            <xdr:cNvPr id="12931" name="Button 1667" hidden="1">
              <a:extLst>
                <a:ext uri="{63B3BB69-23CF-44E3-9099-C40C66FF867C}">
                  <a14:compatExt spid="_x0000_s12931"/>
                </a:ext>
                <a:ext uri="{FF2B5EF4-FFF2-40B4-BE49-F238E27FC236}">
                  <a16:creationId xmlns:a16="http://schemas.microsoft.com/office/drawing/2014/main" id="{00000000-0008-0000-0100-00008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4418</xdr:row>
          <xdr:rowOff>0</xdr:rowOff>
        </xdr:from>
        <xdr:to>
          <xdr:col>7</xdr:col>
          <xdr:colOff>0</xdr:colOff>
          <xdr:row>4419</xdr:row>
          <xdr:rowOff>0</xdr:rowOff>
        </xdr:to>
        <xdr:sp macro="" textlink="">
          <xdr:nvSpPr>
            <xdr:cNvPr id="12930" name="Button 1666" hidden="1">
              <a:extLst>
                <a:ext uri="{63B3BB69-23CF-44E3-9099-C40C66FF867C}">
                  <a14:compatExt spid="_x0000_s12930"/>
                </a:ext>
                <a:ext uri="{FF2B5EF4-FFF2-40B4-BE49-F238E27FC236}">
                  <a16:creationId xmlns:a16="http://schemas.microsoft.com/office/drawing/2014/main" id="{00000000-0008-0000-0100-00008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4425</xdr:row>
          <xdr:rowOff>0</xdr:rowOff>
        </xdr:from>
        <xdr:to>
          <xdr:col>7</xdr:col>
          <xdr:colOff>0</xdr:colOff>
          <xdr:row>4425</xdr:row>
          <xdr:rowOff>171450</xdr:rowOff>
        </xdr:to>
        <xdr:sp macro="" textlink="">
          <xdr:nvSpPr>
            <xdr:cNvPr id="12929" name="Button 1665" hidden="1">
              <a:extLst>
                <a:ext uri="{63B3BB69-23CF-44E3-9099-C40C66FF867C}">
                  <a14:compatExt spid="_x0000_s12929"/>
                </a:ext>
                <a:ext uri="{FF2B5EF4-FFF2-40B4-BE49-F238E27FC236}">
                  <a16:creationId xmlns:a16="http://schemas.microsoft.com/office/drawing/2014/main" id="{00000000-0008-0000-0100-00008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4426</xdr:row>
          <xdr:rowOff>0</xdr:rowOff>
        </xdr:from>
        <xdr:to>
          <xdr:col>7</xdr:col>
          <xdr:colOff>0</xdr:colOff>
          <xdr:row>4426</xdr:row>
          <xdr:rowOff>165100</xdr:rowOff>
        </xdr:to>
        <xdr:sp macro="" textlink="">
          <xdr:nvSpPr>
            <xdr:cNvPr id="12928" name="Button 1664" hidden="1">
              <a:extLst>
                <a:ext uri="{63B3BB69-23CF-44E3-9099-C40C66FF867C}">
                  <a14:compatExt spid="_x0000_s12928"/>
                </a:ext>
                <a:ext uri="{FF2B5EF4-FFF2-40B4-BE49-F238E27FC236}">
                  <a16:creationId xmlns:a16="http://schemas.microsoft.com/office/drawing/2014/main" id="{00000000-0008-0000-0100-00008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4427</xdr:row>
          <xdr:rowOff>0</xdr:rowOff>
        </xdr:from>
        <xdr:to>
          <xdr:col>7</xdr:col>
          <xdr:colOff>0</xdr:colOff>
          <xdr:row>4427</xdr:row>
          <xdr:rowOff>165100</xdr:rowOff>
        </xdr:to>
        <xdr:sp macro="" textlink="">
          <xdr:nvSpPr>
            <xdr:cNvPr id="12927" name="Button 1663" hidden="1">
              <a:extLst>
                <a:ext uri="{63B3BB69-23CF-44E3-9099-C40C66FF867C}">
                  <a14:compatExt spid="_x0000_s12927"/>
                </a:ext>
                <a:ext uri="{FF2B5EF4-FFF2-40B4-BE49-F238E27FC236}">
                  <a16:creationId xmlns:a16="http://schemas.microsoft.com/office/drawing/2014/main" id="{00000000-0008-0000-0100-00007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4430</xdr:row>
          <xdr:rowOff>0</xdr:rowOff>
        </xdr:from>
        <xdr:to>
          <xdr:col>7</xdr:col>
          <xdr:colOff>0</xdr:colOff>
          <xdr:row>4431</xdr:row>
          <xdr:rowOff>0</xdr:rowOff>
        </xdr:to>
        <xdr:sp macro="" textlink="">
          <xdr:nvSpPr>
            <xdr:cNvPr id="12926" name="Button 1662" hidden="1">
              <a:extLst>
                <a:ext uri="{63B3BB69-23CF-44E3-9099-C40C66FF867C}">
                  <a14:compatExt spid="_x0000_s12926"/>
                </a:ext>
                <a:ext uri="{FF2B5EF4-FFF2-40B4-BE49-F238E27FC236}">
                  <a16:creationId xmlns:a16="http://schemas.microsoft.com/office/drawing/2014/main" id="{00000000-0008-0000-0100-00007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4437</xdr:row>
          <xdr:rowOff>0</xdr:rowOff>
        </xdr:from>
        <xdr:to>
          <xdr:col>7</xdr:col>
          <xdr:colOff>0</xdr:colOff>
          <xdr:row>4437</xdr:row>
          <xdr:rowOff>171450</xdr:rowOff>
        </xdr:to>
        <xdr:sp macro="" textlink="">
          <xdr:nvSpPr>
            <xdr:cNvPr id="12925" name="Button 1661" hidden="1">
              <a:extLst>
                <a:ext uri="{63B3BB69-23CF-44E3-9099-C40C66FF867C}">
                  <a14:compatExt spid="_x0000_s12925"/>
                </a:ext>
                <a:ext uri="{FF2B5EF4-FFF2-40B4-BE49-F238E27FC236}">
                  <a16:creationId xmlns:a16="http://schemas.microsoft.com/office/drawing/2014/main" id="{00000000-0008-0000-0100-00007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4438</xdr:row>
          <xdr:rowOff>0</xdr:rowOff>
        </xdr:from>
        <xdr:to>
          <xdr:col>7</xdr:col>
          <xdr:colOff>0</xdr:colOff>
          <xdr:row>4438</xdr:row>
          <xdr:rowOff>165100</xdr:rowOff>
        </xdr:to>
        <xdr:sp macro="" textlink="">
          <xdr:nvSpPr>
            <xdr:cNvPr id="12924" name="Button 1660" hidden="1">
              <a:extLst>
                <a:ext uri="{63B3BB69-23CF-44E3-9099-C40C66FF867C}">
                  <a14:compatExt spid="_x0000_s12924"/>
                </a:ext>
                <a:ext uri="{FF2B5EF4-FFF2-40B4-BE49-F238E27FC236}">
                  <a16:creationId xmlns:a16="http://schemas.microsoft.com/office/drawing/2014/main" id="{00000000-0008-0000-0100-00007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4441</xdr:row>
          <xdr:rowOff>0</xdr:rowOff>
        </xdr:from>
        <xdr:to>
          <xdr:col>7</xdr:col>
          <xdr:colOff>0</xdr:colOff>
          <xdr:row>4442</xdr:row>
          <xdr:rowOff>0</xdr:rowOff>
        </xdr:to>
        <xdr:sp macro="" textlink="">
          <xdr:nvSpPr>
            <xdr:cNvPr id="12923" name="Button 1659" hidden="1">
              <a:extLst>
                <a:ext uri="{63B3BB69-23CF-44E3-9099-C40C66FF867C}">
                  <a14:compatExt spid="_x0000_s12923"/>
                </a:ext>
                <a:ext uri="{FF2B5EF4-FFF2-40B4-BE49-F238E27FC236}">
                  <a16:creationId xmlns:a16="http://schemas.microsoft.com/office/drawing/2014/main" id="{00000000-0008-0000-0100-00007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4448</xdr:row>
          <xdr:rowOff>0</xdr:rowOff>
        </xdr:from>
        <xdr:to>
          <xdr:col>7</xdr:col>
          <xdr:colOff>0</xdr:colOff>
          <xdr:row>4448</xdr:row>
          <xdr:rowOff>171450</xdr:rowOff>
        </xdr:to>
        <xdr:sp macro="" textlink="">
          <xdr:nvSpPr>
            <xdr:cNvPr id="12922" name="Button 1658" hidden="1">
              <a:extLst>
                <a:ext uri="{63B3BB69-23CF-44E3-9099-C40C66FF867C}">
                  <a14:compatExt spid="_x0000_s12922"/>
                </a:ext>
                <a:ext uri="{FF2B5EF4-FFF2-40B4-BE49-F238E27FC236}">
                  <a16:creationId xmlns:a16="http://schemas.microsoft.com/office/drawing/2014/main" id="{00000000-0008-0000-0100-00007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4449</xdr:row>
          <xdr:rowOff>0</xdr:rowOff>
        </xdr:from>
        <xdr:to>
          <xdr:col>7</xdr:col>
          <xdr:colOff>0</xdr:colOff>
          <xdr:row>4449</xdr:row>
          <xdr:rowOff>165100</xdr:rowOff>
        </xdr:to>
        <xdr:sp macro="" textlink="">
          <xdr:nvSpPr>
            <xdr:cNvPr id="12921" name="Button 1657" hidden="1">
              <a:extLst>
                <a:ext uri="{63B3BB69-23CF-44E3-9099-C40C66FF867C}">
                  <a14:compatExt spid="_x0000_s12921"/>
                </a:ext>
                <a:ext uri="{FF2B5EF4-FFF2-40B4-BE49-F238E27FC236}">
                  <a16:creationId xmlns:a16="http://schemas.microsoft.com/office/drawing/2014/main" id="{00000000-0008-0000-0100-00007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4452</xdr:row>
          <xdr:rowOff>0</xdr:rowOff>
        </xdr:from>
        <xdr:to>
          <xdr:col>7</xdr:col>
          <xdr:colOff>0</xdr:colOff>
          <xdr:row>4453</xdr:row>
          <xdr:rowOff>0</xdr:rowOff>
        </xdr:to>
        <xdr:sp macro="" textlink="">
          <xdr:nvSpPr>
            <xdr:cNvPr id="12920" name="Button 1656" hidden="1">
              <a:extLst>
                <a:ext uri="{63B3BB69-23CF-44E3-9099-C40C66FF867C}">
                  <a14:compatExt spid="_x0000_s12920"/>
                </a:ext>
                <a:ext uri="{FF2B5EF4-FFF2-40B4-BE49-F238E27FC236}">
                  <a16:creationId xmlns:a16="http://schemas.microsoft.com/office/drawing/2014/main" id="{00000000-0008-0000-0100-00007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4459</xdr:row>
          <xdr:rowOff>0</xdr:rowOff>
        </xdr:from>
        <xdr:to>
          <xdr:col>7</xdr:col>
          <xdr:colOff>0</xdr:colOff>
          <xdr:row>4459</xdr:row>
          <xdr:rowOff>171450</xdr:rowOff>
        </xdr:to>
        <xdr:sp macro="" textlink="">
          <xdr:nvSpPr>
            <xdr:cNvPr id="12919" name="Button 1655" hidden="1">
              <a:extLst>
                <a:ext uri="{63B3BB69-23CF-44E3-9099-C40C66FF867C}">
                  <a14:compatExt spid="_x0000_s12919"/>
                </a:ext>
                <a:ext uri="{FF2B5EF4-FFF2-40B4-BE49-F238E27FC236}">
                  <a16:creationId xmlns:a16="http://schemas.microsoft.com/office/drawing/2014/main" id="{00000000-0008-0000-0100-00007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4460</xdr:row>
          <xdr:rowOff>0</xdr:rowOff>
        </xdr:from>
        <xdr:to>
          <xdr:col>7</xdr:col>
          <xdr:colOff>0</xdr:colOff>
          <xdr:row>4460</xdr:row>
          <xdr:rowOff>165100</xdr:rowOff>
        </xdr:to>
        <xdr:sp macro="" textlink="">
          <xdr:nvSpPr>
            <xdr:cNvPr id="12918" name="Button 1654" hidden="1">
              <a:extLst>
                <a:ext uri="{63B3BB69-23CF-44E3-9099-C40C66FF867C}">
                  <a14:compatExt spid="_x0000_s12918"/>
                </a:ext>
                <a:ext uri="{FF2B5EF4-FFF2-40B4-BE49-F238E27FC236}">
                  <a16:creationId xmlns:a16="http://schemas.microsoft.com/office/drawing/2014/main" id="{00000000-0008-0000-0100-00007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4461</xdr:row>
          <xdr:rowOff>0</xdr:rowOff>
        </xdr:from>
        <xdr:to>
          <xdr:col>7</xdr:col>
          <xdr:colOff>0</xdr:colOff>
          <xdr:row>4461</xdr:row>
          <xdr:rowOff>165100</xdr:rowOff>
        </xdr:to>
        <xdr:sp macro="" textlink="">
          <xdr:nvSpPr>
            <xdr:cNvPr id="12917" name="Button 1653" hidden="1">
              <a:extLst>
                <a:ext uri="{63B3BB69-23CF-44E3-9099-C40C66FF867C}">
                  <a14:compatExt spid="_x0000_s12917"/>
                </a:ext>
                <a:ext uri="{FF2B5EF4-FFF2-40B4-BE49-F238E27FC236}">
                  <a16:creationId xmlns:a16="http://schemas.microsoft.com/office/drawing/2014/main" id="{00000000-0008-0000-0100-00007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4462</xdr:row>
          <xdr:rowOff>0</xdr:rowOff>
        </xdr:from>
        <xdr:to>
          <xdr:col>7</xdr:col>
          <xdr:colOff>0</xdr:colOff>
          <xdr:row>4462</xdr:row>
          <xdr:rowOff>165100</xdr:rowOff>
        </xdr:to>
        <xdr:sp macro="" textlink="">
          <xdr:nvSpPr>
            <xdr:cNvPr id="12916" name="Button 1652" hidden="1">
              <a:extLst>
                <a:ext uri="{63B3BB69-23CF-44E3-9099-C40C66FF867C}">
                  <a14:compatExt spid="_x0000_s12916"/>
                </a:ext>
                <a:ext uri="{FF2B5EF4-FFF2-40B4-BE49-F238E27FC236}">
                  <a16:creationId xmlns:a16="http://schemas.microsoft.com/office/drawing/2014/main" id="{00000000-0008-0000-0100-00007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4463</xdr:row>
          <xdr:rowOff>0</xdr:rowOff>
        </xdr:from>
        <xdr:to>
          <xdr:col>7</xdr:col>
          <xdr:colOff>0</xdr:colOff>
          <xdr:row>4463</xdr:row>
          <xdr:rowOff>165100</xdr:rowOff>
        </xdr:to>
        <xdr:sp macro="" textlink="">
          <xdr:nvSpPr>
            <xdr:cNvPr id="12915" name="Button 1651" hidden="1">
              <a:extLst>
                <a:ext uri="{63B3BB69-23CF-44E3-9099-C40C66FF867C}">
                  <a14:compatExt spid="_x0000_s12915"/>
                </a:ext>
                <a:ext uri="{FF2B5EF4-FFF2-40B4-BE49-F238E27FC236}">
                  <a16:creationId xmlns:a16="http://schemas.microsoft.com/office/drawing/2014/main" id="{00000000-0008-0000-0100-00007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4464</xdr:row>
          <xdr:rowOff>0</xdr:rowOff>
        </xdr:from>
        <xdr:to>
          <xdr:col>7</xdr:col>
          <xdr:colOff>0</xdr:colOff>
          <xdr:row>4464</xdr:row>
          <xdr:rowOff>165100</xdr:rowOff>
        </xdr:to>
        <xdr:sp macro="" textlink="">
          <xdr:nvSpPr>
            <xdr:cNvPr id="12914" name="Button 1650" hidden="1">
              <a:extLst>
                <a:ext uri="{63B3BB69-23CF-44E3-9099-C40C66FF867C}">
                  <a14:compatExt spid="_x0000_s12914"/>
                </a:ext>
                <a:ext uri="{FF2B5EF4-FFF2-40B4-BE49-F238E27FC236}">
                  <a16:creationId xmlns:a16="http://schemas.microsoft.com/office/drawing/2014/main" id="{00000000-0008-0000-0100-00007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4467</xdr:row>
          <xdr:rowOff>0</xdr:rowOff>
        </xdr:from>
        <xdr:to>
          <xdr:col>7</xdr:col>
          <xdr:colOff>0</xdr:colOff>
          <xdr:row>4468</xdr:row>
          <xdr:rowOff>0</xdr:rowOff>
        </xdr:to>
        <xdr:sp macro="" textlink="">
          <xdr:nvSpPr>
            <xdr:cNvPr id="12913" name="Button 1649" hidden="1">
              <a:extLst>
                <a:ext uri="{63B3BB69-23CF-44E3-9099-C40C66FF867C}">
                  <a14:compatExt spid="_x0000_s12913"/>
                </a:ext>
                <a:ext uri="{FF2B5EF4-FFF2-40B4-BE49-F238E27FC236}">
                  <a16:creationId xmlns:a16="http://schemas.microsoft.com/office/drawing/2014/main" id="{00000000-0008-0000-0100-00007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4474</xdr:row>
          <xdr:rowOff>0</xdr:rowOff>
        </xdr:from>
        <xdr:to>
          <xdr:col>7</xdr:col>
          <xdr:colOff>0</xdr:colOff>
          <xdr:row>4474</xdr:row>
          <xdr:rowOff>171450</xdr:rowOff>
        </xdr:to>
        <xdr:sp macro="" textlink="">
          <xdr:nvSpPr>
            <xdr:cNvPr id="12912" name="Button 1648" hidden="1">
              <a:extLst>
                <a:ext uri="{63B3BB69-23CF-44E3-9099-C40C66FF867C}">
                  <a14:compatExt spid="_x0000_s12912"/>
                </a:ext>
                <a:ext uri="{FF2B5EF4-FFF2-40B4-BE49-F238E27FC236}">
                  <a16:creationId xmlns:a16="http://schemas.microsoft.com/office/drawing/2014/main" id="{00000000-0008-0000-0100-00007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4475</xdr:row>
          <xdr:rowOff>0</xdr:rowOff>
        </xdr:from>
        <xdr:to>
          <xdr:col>7</xdr:col>
          <xdr:colOff>0</xdr:colOff>
          <xdr:row>4475</xdr:row>
          <xdr:rowOff>165100</xdr:rowOff>
        </xdr:to>
        <xdr:sp macro="" textlink="">
          <xdr:nvSpPr>
            <xdr:cNvPr id="12911" name="Button 1647" hidden="1">
              <a:extLst>
                <a:ext uri="{63B3BB69-23CF-44E3-9099-C40C66FF867C}">
                  <a14:compatExt spid="_x0000_s12911"/>
                </a:ext>
                <a:ext uri="{FF2B5EF4-FFF2-40B4-BE49-F238E27FC236}">
                  <a16:creationId xmlns:a16="http://schemas.microsoft.com/office/drawing/2014/main" id="{00000000-0008-0000-0100-00006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4476</xdr:row>
          <xdr:rowOff>0</xdr:rowOff>
        </xdr:from>
        <xdr:to>
          <xdr:col>7</xdr:col>
          <xdr:colOff>0</xdr:colOff>
          <xdr:row>4476</xdr:row>
          <xdr:rowOff>165100</xdr:rowOff>
        </xdr:to>
        <xdr:sp macro="" textlink="">
          <xdr:nvSpPr>
            <xdr:cNvPr id="12910" name="Button 1646" hidden="1">
              <a:extLst>
                <a:ext uri="{63B3BB69-23CF-44E3-9099-C40C66FF867C}">
                  <a14:compatExt spid="_x0000_s12910"/>
                </a:ext>
                <a:ext uri="{FF2B5EF4-FFF2-40B4-BE49-F238E27FC236}">
                  <a16:creationId xmlns:a16="http://schemas.microsoft.com/office/drawing/2014/main" id="{00000000-0008-0000-0100-00006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4477</xdr:row>
          <xdr:rowOff>0</xdr:rowOff>
        </xdr:from>
        <xdr:to>
          <xdr:col>7</xdr:col>
          <xdr:colOff>0</xdr:colOff>
          <xdr:row>4477</xdr:row>
          <xdr:rowOff>165100</xdr:rowOff>
        </xdr:to>
        <xdr:sp macro="" textlink="">
          <xdr:nvSpPr>
            <xdr:cNvPr id="12909" name="Button 1645" hidden="1">
              <a:extLst>
                <a:ext uri="{63B3BB69-23CF-44E3-9099-C40C66FF867C}">
                  <a14:compatExt spid="_x0000_s12909"/>
                </a:ext>
                <a:ext uri="{FF2B5EF4-FFF2-40B4-BE49-F238E27FC236}">
                  <a16:creationId xmlns:a16="http://schemas.microsoft.com/office/drawing/2014/main" id="{00000000-0008-0000-0100-00006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4478</xdr:row>
          <xdr:rowOff>0</xdr:rowOff>
        </xdr:from>
        <xdr:to>
          <xdr:col>7</xdr:col>
          <xdr:colOff>0</xdr:colOff>
          <xdr:row>4478</xdr:row>
          <xdr:rowOff>165100</xdr:rowOff>
        </xdr:to>
        <xdr:sp macro="" textlink="">
          <xdr:nvSpPr>
            <xdr:cNvPr id="12908" name="Button 1644" hidden="1">
              <a:extLst>
                <a:ext uri="{63B3BB69-23CF-44E3-9099-C40C66FF867C}">
                  <a14:compatExt spid="_x0000_s12908"/>
                </a:ext>
                <a:ext uri="{FF2B5EF4-FFF2-40B4-BE49-F238E27FC236}">
                  <a16:creationId xmlns:a16="http://schemas.microsoft.com/office/drawing/2014/main" id="{00000000-0008-0000-0100-00006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4479</xdr:row>
          <xdr:rowOff>0</xdr:rowOff>
        </xdr:from>
        <xdr:to>
          <xdr:col>7</xdr:col>
          <xdr:colOff>0</xdr:colOff>
          <xdr:row>4479</xdr:row>
          <xdr:rowOff>165100</xdr:rowOff>
        </xdr:to>
        <xdr:sp macro="" textlink="">
          <xdr:nvSpPr>
            <xdr:cNvPr id="12907" name="Button 1643" hidden="1">
              <a:extLst>
                <a:ext uri="{63B3BB69-23CF-44E3-9099-C40C66FF867C}">
                  <a14:compatExt spid="_x0000_s12907"/>
                </a:ext>
                <a:ext uri="{FF2B5EF4-FFF2-40B4-BE49-F238E27FC236}">
                  <a16:creationId xmlns:a16="http://schemas.microsoft.com/office/drawing/2014/main" id="{00000000-0008-0000-0100-00006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4482</xdr:row>
          <xdr:rowOff>0</xdr:rowOff>
        </xdr:from>
        <xdr:to>
          <xdr:col>7</xdr:col>
          <xdr:colOff>0</xdr:colOff>
          <xdr:row>4483</xdr:row>
          <xdr:rowOff>0</xdr:rowOff>
        </xdr:to>
        <xdr:sp macro="" textlink="">
          <xdr:nvSpPr>
            <xdr:cNvPr id="12906" name="Button 1642" hidden="1">
              <a:extLst>
                <a:ext uri="{63B3BB69-23CF-44E3-9099-C40C66FF867C}">
                  <a14:compatExt spid="_x0000_s12906"/>
                </a:ext>
                <a:ext uri="{FF2B5EF4-FFF2-40B4-BE49-F238E27FC236}">
                  <a16:creationId xmlns:a16="http://schemas.microsoft.com/office/drawing/2014/main" id="{00000000-0008-0000-0100-00006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4489</xdr:row>
          <xdr:rowOff>0</xdr:rowOff>
        </xdr:from>
        <xdr:to>
          <xdr:col>7</xdr:col>
          <xdr:colOff>0</xdr:colOff>
          <xdr:row>4489</xdr:row>
          <xdr:rowOff>171450</xdr:rowOff>
        </xdr:to>
        <xdr:sp macro="" textlink="">
          <xdr:nvSpPr>
            <xdr:cNvPr id="12905" name="Button 1641" hidden="1">
              <a:extLst>
                <a:ext uri="{63B3BB69-23CF-44E3-9099-C40C66FF867C}">
                  <a14:compatExt spid="_x0000_s12905"/>
                </a:ext>
                <a:ext uri="{FF2B5EF4-FFF2-40B4-BE49-F238E27FC236}">
                  <a16:creationId xmlns:a16="http://schemas.microsoft.com/office/drawing/2014/main" id="{00000000-0008-0000-0100-00006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4490</xdr:row>
          <xdr:rowOff>0</xdr:rowOff>
        </xdr:from>
        <xdr:to>
          <xdr:col>7</xdr:col>
          <xdr:colOff>0</xdr:colOff>
          <xdr:row>4490</xdr:row>
          <xdr:rowOff>165100</xdr:rowOff>
        </xdr:to>
        <xdr:sp macro="" textlink="">
          <xdr:nvSpPr>
            <xdr:cNvPr id="12904" name="Button 1640" hidden="1">
              <a:extLst>
                <a:ext uri="{63B3BB69-23CF-44E3-9099-C40C66FF867C}">
                  <a14:compatExt spid="_x0000_s12904"/>
                </a:ext>
                <a:ext uri="{FF2B5EF4-FFF2-40B4-BE49-F238E27FC236}">
                  <a16:creationId xmlns:a16="http://schemas.microsoft.com/office/drawing/2014/main" id="{00000000-0008-0000-0100-00006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4493</xdr:row>
          <xdr:rowOff>0</xdr:rowOff>
        </xdr:from>
        <xdr:to>
          <xdr:col>7</xdr:col>
          <xdr:colOff>0</xdr:colOff>
          <xdr:row>4494</xdr:row>
          <xdr:rowOff>0</xdr:rowOff>
        </xdr:to>
        <xdr:sp macro="" textlink="">
          <xdr:nvSpPr>
            <xdr:cNvPr id="12903" name="Button 1639" hidden="1">
              <a:extLst>
                <a:ext uri="{63B3BB69-23CF-44E3-9099-C40C66FF867C}">
                  <a14:compatExt spid="_x0000_s12903"/>
                </a:ext>
                <a:ext uri="{FF2B5EF4-FFF2-40B4-BE49-F238E27FC236}">
                  <a16:creationId xmlns:a16="http://schemas.microsoft.com/office/drawing/2014/main" id="{00000000-0008-0000-0100-00006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4500</xdr:row>
          <xdr:rowOff>0</xdr:rowOff>
        </xdr:from>
        <xdr:to>
          <xdr:col>7</xdr:col>
          <xdr:colOff>0</xdr:colOff>
          <xdr:row>4500</xdr:row>
          <xdr:rowOff>171450</xdr:rowOff>
        </xdr:to>
        <xdr:sp macro="" textlink="">
          <xdr:nvSpPr>
            <xdr:cNvPr id="12902" name="Button 1638" hidden="1">
              <a:extLst>
                <a:ext uri="{63B3BB69-23CF-44E3-9099-C40C66FF867C}">
                  <a14:compatExt spid="_x0000_s12902"/>
                </a:ext>
                <a:ext uri="{FF2B5EF4-FFF2-40B4-BE49-F238E27FC236}">
                  <a16:creationId xmlns:a16="http://schemas.microsoft.com/office/drawing/2014/main" id="{00000000-0008-0000-0100-00006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4501</xdr:row>
          <xdr:rowOff>0</xdr:rowOff>
        </xdr:from>
        <xdr:to>
          <xdr:col>7</xdr:col>
          <xdr:colOff>0</xdr:colOff>
          <xdr:row>4501</xdr:row>
          <xdr:rowOff>165100</xdr:rowOff>
        </xdr:to>
        <xdr:sp macro="" textlink="">
          <xdr:nvSpPr>
            <xdr:cNvPr id="12901" name="Button 1637" hidden="1">
              <a:extLst>
                <a:ext uri="{63B3BB69-23CF-44E3-9099-C40C66FF867C}">
                  <a14:compatExt spid="_x0000_s12901"/>
                </a:ext>
                <a:ext uri="{FF2B5EF4-FFF2-40B4-BE49-F238E27FC236}">
                  <a16:creationId xmlns:a16="http://schemas.microsoft.com/office/drawing/2014/main" id="{00000000-0008-0000-0100-00006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4504</xdr:row>
          <xdr:rowOff>0</xdr:rowOff>
        </xdr:from>
        <xdr:to>
          <xdr:col>7</xdr:col>
          <xdr:colOff>0</xdr:colOff>
          <xdr:row>4505</xdr:row>
          <xdr:rowOff>0</xdr:rowOff>
        </xdr:to>
        <xdr:sp macro="" textlink="">
          <xdr:nvSpPr>
            <xdr:cNvPr id="12900" name="Button 1636" hidden="1">
              <a:extLst>
                <a:ext uri="{63B3BB69-23CF-44E3-9099-C40C66FF867C}">
                  <a14:compatExt spid="_x0000_s12900"/>
                </a:ext>
                <a:ext uri="{FF2B5EF4-FFF2-40B4-BE49-F238E27FC236}">
                  <a16:creationId xmlns:a16="http://schemas.microsoft.com/office/drawing/2014/main" id="{00000000-0008-0000-0100-00006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4511</xdr:row>
          <xdr:rowOff>0</xdr:rowOff>
        </xdr:from>
        <xdr:to>
          <xdr:col>7</xdr:col>
          <xdr:colOff>0</xdr:colOff>
          <xdr:row>4511</xdr:row>
          <xdr:rowOff>171450</xdr:rowOff>
        </xdr:to>
        <xdr:sp macro="" textlink="">
          <xdr:nvSpPr>
            <xdr:cNvPr id="12899" name="Button 1635" hidden="1">
              <a:extLst>
                <a:ext uri="{63B3BB69-23CF-44E3-9099-C40C66FF867C}">
                  <a14:compatExt spid="_x0000_s12899"/>
                </a:ext>
                <a:ext uri="{FF2B5EF4-FFF2-40B4-BE49-F238E27FC236}">
                  <a16:creationId xmlns:a16="http://schemas.microsoft.com/office/drawing/2014/main" id="{00000000-0008-0000-0100-00006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4512</xdr:row>
          <xdr:rowOff>0</xdr:rowOff>
        </xdr:from>
        <xdr:to>
          <xdr:col>7</xdr:col>
          <xdr:colOff>0</xdr:colOff>
          <xdr:row>4512</xdr:row>
          <xdr:rowOff>165100</xdr:rowOff>
        </xdr:to>
        <xdr:sp macro="" textlink="">
          <xdr:nvSpPr>
            <xdr:cNvPr id="12898" name="Button 1634" hidden="1">
              <a:extLst>
                <a:ext uri="{63B3BB69-23CF-44E3-9099-C40C66FF867C}">
                  <a14:compatExt spid="_x0000_s12898"/>
                </a:ext>
                <a:ext uri="{FF2B5EF4-FFF2-40B4-BE49-F238E27FC236}">
                  <a16:creationId xmlns:a16="http://schemas.microsoft.com/office/drawing/2014/main" id="{00000000-0008-0000-0100-00006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4515</xdr:row>
          <xdr:rowOff>0</xdr:rowOff>
        </xdr:from>
        <xdr:to>
          <xdr:col>7</xdr:col>
          <xdr:colOff>0</xdr:colOff>
          <xdr:row>4516</xdr:row>
          <xdr:rowOff>0</xdr:rowOff>
        </xdr:to>
        <xdr:sp macro="" textlink="">
          <xdr:nvSpPr>
            <xdr:cNvPr id="12897" name="Button 1633" hidden="1">
              <a:extLst>
                <a:ext uri="{63B3BB69-23CF-44E3-9099-C40C66FF867C}">
                  <a14:compatExt spid="_x0000_s12897"/>
                </a:ext>
                <a:ext uri="{FF2B5EF4-FFF2-40B4-BE49-F238E27FC236}">
                  <a16:creationId xmlns:a16="http://schemas.microsoft.com/office/drawing/2014/main" id="{00000000-0008-0000-0100-00006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4522</xdr:row>
          <xdr:rowOff>0</xdr:rowOff>
        </xdr:from>
        <xdr:to>
          <xdr:col>7</xdr:col>
          <xdr:colOff>0</xdr:colOff>
          <xdr:row>4522</xdr:row>
          <xdr:rowOff>171450</xdr:rowOff>
        </xdr:to>
        <xdr:sp macro="" textlink="">
          <xdr:nvSpPr>
            <xdr:cNvPr id="12896" name="Button 1632" hidden="1">
              <a:extLst>
                <a:ext uri="{63B3BB69-23CF-44E3-9099-C40C66FF867C}">
                  <a14:compatExt spid="_x0000_s12896"/>
                </a:ext>
                <a:ext uri="{FF2B5EF4-FFF2-40B4-BE49-F238E27FC236}">
                  <a16:creationId xmlns:a16="http://schemas.microsoft.com/office/drawing/2014/main" id="{00000000-0008-0000-0100-00006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4523</xdr:row>
          <xdr:rowOff>0</xdr:rowOff>
        </xdr:from>
        <xdr:to>
          <xdr:col>7</xdr:col>
          <xdr:colOff>0</xdr:colOff>
          <xdr:row>4523</xdr:row>
          <xdr:rowOff>165100</xdr:rowOff>
        </xdr:to>
        <xdr:sp macro="" textlink="">
          <xdr:nvSpPr>
            <xdr:cNvPr id="12895" name="Button 1631" hidden="1">
              <a:extLst>
                <a:ext uri="{63B3BB69-23CF-44E3-9099-C40C66FF867C}">
                  <a14:compatExt spid="_x0000_s12895"/>
                </a:ext>
                <a:ext uri="{FF2B5EF4-FFF2-40B4-BE49-F238E27FC236}">
                  <a16:creationId xmlns:a16="http://schemas.microsoft.com/office/drawing/2014/main" id="{00000000-0008-0000-0100-00005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4526</xdr:row>
          <xdr:rowOff>0</xdr:rowOff>
        </xdr:from>
        <xdr:to>
          <xdr:col>7</xdr:col>
          <xdr:colOff>0</xdr:colOff>
          <xdr:row>4527</xdr:row>
          <xdr:rowOff>0</xdr:rowOff>
        </xdr:to>
        <xdr:sp macro="" textlink="">
          <xdr:nvSpPr>
            <xdr:cNvPr id="12894" name="Button 1630" hidden="1">
              <a:extLst>
                <a:ext uri="{63B3BB69-23CF-44E3-9099-C40C66FF867C}">
                  <a14:compatExt spid="_x0000_s12894"/>
                </a:ext>
                <a:ext uri="{FF2B5EF4-FFF2-40B4-BE49-F238E27FC236}">
                  <a16:creationId xmlns:a16="http://schemas.microsoft.com/office/drawing/2014/main" id="{00000000-0008-0000-0100-00005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4533</xdr:row>
          <xdr:rowOff>0</xdr:rowOff>
        </xdr:from>
        <xdr:to>
          <xdr:col>7</xdr:col>
          <xdr:colOff>0</xdr:colOff>
          <xdr:row>4533</xdr:row>
          <xdr:rowOff>171450</xdr:rowOff>
        </xdr:to>
        <xdr:sp macro="" textlink="">
          <xdr:nvSpPr>
            <xdr:cNvPr id="12893" name="Button 1629" hidden="1">
              <a:extLst>
                <a:ext uri="{63B3BB69-23CF-44E3-9099-C40C66FF867C}">
                  <a14:compatExt spid="_x0000_s12893"/>
                </a:ext>
                <a:ext uri="{FF2B5EF4-FFF2-40B4-BE49-F238E27FC236}">
                  <a16:creationId xmlns:a16="http://schemas.microsoft.com/office/drawing/2014/main" id="{00000000-0008-0000-0100-00005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4534</xdr:row>
          <xdr:rowOff>0</xdr:rowOff>
        </xdr:from>
        <xdr:to>
          <xdr:col>7</xdr:col>
          <xdr:colOff>0</xdr:colOff>
          <xdr:row>4534</xdr:row>
          <xdr:rowOff>165100</xdr:rowOff>
        </xdr:to>
        <xdr:sp macro="" textlink="">
          <xdr:nvSpPr>
            <xdr:cNvPr id="12892" name="Button 1628" hidden="1">
              <a:extLst>
                <a:ext uri="{63B3BB69-23CF-44E3-9099-C40C66FF867C}">
                  <a14:compatExt spid="_x0000_s12892"/>
                </a:ext>
                <a:ext uri="{FF2B5EF4-FFF2-40B4-BE49-F238E27FC236}">
                  <a16:creationId xmlns:a16="http://schemas.microsoft.com/office/drawing/2014/main" id="{00000000-0008-0000-0100-00005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4537</xdr:row>
          <xdr:rowOff>0</xdr:rowOff>
        </xdr:from>
        <xdr:to>
          <xdr:col>7</xdr:col>
          <xdr:colOff>0</xdr:colOff>
          <xdr:row>4538</xdr:row>
          <xdr:rowOff>0</xdr:rowOff>
        </xdr:to>
        <xdr:sp macro="" textlink="">
          <xdr:nvSpPr>
            <xdr:cNvPr id="12891" name="Button 1627" hidden="1">
              <a:extLst>
                <a:ext uri="{63B3BB69-23CF-44E3-9099-C40C66FF867C}">
                  <a14:compatExt spid="_x0000_s12891"/>
                </a:ext>
                <a:ext uri="{FF2B5EF4-FFF2-40B4-BE49-F238E27FC236}">
                  <a16:creationId xmlns:a16="http://schemas.microsoft.com/office/drawing/2014/main" id="{00000000-0008-0000-0100-00005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4544</xdr:row>
          <xdr:rowOff>0</xdr:rowOff>
        </xdr:from>
        <xdr:to>
          <xdr:col>7</xdr:col>
          <xdr:colOff>0</xdr:colOff>
          <xdr:row>4544</xdr:row>
          <xdr:rowOff>171450</xdr:rowOff>
        </xdr:to>
        <xdr:sp macro="" textlink="">
          <xdr:nvSpPr>
            <xdr:cNvPr id="12890" name="Button 1626" hidden="1">
              <a:extLst>
                <a:ext uri="{63B3BB69-23CF-44E3-9099-C40C66FF867C}">
                  <a14:compatExt spid="_x0000_s12890"/>
                </a:ext>
                <a:ext uri="{FF2B5EF4-FFF2-40B4-BE49-F238E27FC236}">
                  <a16:creationId xmlns:a16="http://schemas.microsoft.com/office/drawing/2014/main" id="{00000000-0008-0000-0100-00005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4545</xdr:row>
          <xdr:rowOff>0</xdr:rowOff>
        </xdr:from>
        <xdr:to>
          <xdr:col>7</xdr:col>
          <xdr:colOff>0</xdr:colOff>
          <xdr:row>4545</xdr:row>
          <xdr:rowOff>165100</xdr:rowOff>
        </xdr:to>
        <xdr:sp macro="" textlink="">
          <xdr:nvSpPr>
            <xdr:cNvPr id="12889" name="Button 1625" hidden="1">
              <a:extLst>
                <a:ext uri="{63B3BB69-23CF-44E3-9099-C40C66FF867C}">
                  <a14:compatExt spid="_x0000_s12889"/>
                </a:ext>
                <a:ext uri="{FF2B5EF4-FFF2-40B4-BE49-F238E27FC236}">
                  <a16:creationId xmlns:a16="http://schemas.microsoft.com/office/drawing/2014/main" id="{00000000-0008-0000-0100-00005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4548</xdr:row>
          <xdr:rowOff>0</xdr:rowOff>
        </xdr:from>
        <xdr:to>
          <xdr:col>7</xdr:col>
          <xdr:colOff>0</xdr:colOff>
          <xdr:row>4549</xdr:row>
          <xdr:rowOff>0</xdr:rowOff>
        </xdr:to>
        <xdr:sp macro="" textlink="">
          <xdr:nvSpPr>
            <xdr:cNvPr id="12888" name="Button 1624" hidden="1">
              <a:extLst>
                <a:ext uri="{63B3BB69-23CF-44E3-9099-C40C66FF867C}">
                  <a14:compatExt spid="_x0000_s12888"/>
                </a:ext>
                <a:ext uri="{FF2B5EF4-FFF2-40B4-BE49-F238E27FC236}">
                  <a16:creationId xmlns:a16="http://schemas.microsoft.com/office/drawing/2014/main" id="{00000000-0008-0000-0100-00005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4555</xdr:row>
          <xdr:rowOff>0</xdr:rowOff>
        </xdr:from>
        <xdr:to>
          <xdr:col>7</xdr:col>
          <xdr:colOff>0</xdr:colOff>
          <xdr:row>4555</xdr:row>
          <xdr:rowOff>171450</xdr:rowOff>
        </xdr:to>
        <xdr:sp macro="" textlink="">
          <xdr:nvSpPr>
            <xdr:cNvPr id="12887" name="Button 1623" hidden="1">
              <a:extLst>
                <a:ext uri="{63B3BB69-23CF-44E3-9099-C40C66FF867C}">
                  <a14:compatExt spid="_x0000_s12887"/>
                </a:ext>
                <a:ext uri="{FF2B5EF4-FFF2-40B4-BE49-F238E27FC236}">
                  <a16:creationId xmlns:a16="http://schemas.microsoft.com/office/drawing/2014/main" id="{00000000-0008-0000-0100-00005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4556</xdr:row>
          <xdr:rowOff>0</xdr:rowOff>
        </xdr:from>
        <xdr:to>
          <xdr:col>7</xdr:col>
          <xdr:colOff>0</xdr:colOff>
          <xdr:row>4556</xdr:row>
          <xdr:rowOff>165100</xdr:rowOff>
        </xdr:to>
        <xdr:sp macro="" textlink="">
          <xdr:nvSpPr>
            <xdr:cNvPr id="12886" name="Button 1622" hidden="1">
              <a:extLst>
                <a:ext uri="{63B3BB69-23CF-44E3-9099-C40C66FF867C}">
                  <a14:compatExt spid="_x0000_s12886"/>
                </a:ext>
                <a:ext uri="{FF2B5EF4-FFF2-40B4-BE49-F238E27FC236}">
                  <a16:creationId xmlns:a16="http://schemas.microsoft.com/office/drawing/2014/main" id="{00000000-0008-0000-0100-00005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4557</xdr:row>
          <xdr:rowOff>0</xdr:rowOff>
        </xdr:from>
        <xdr:to>
          <xdr:col>7</xdr:col>
          <xdr:colOff>0</xdr:colOff>
          <xdr:row>4557</xdr:row>
          <xdr:rowOff>165100</xdr:rowOff>
        </xdr:to>
        <xdr:sp macro="" textlink="">
          <xdr:nvSpPr>
            <xdr:cNvPr id="12885" name="Button 1621" hidden="1">
              <a:extLst>
                <a:ext uri="{63B3BB69-23CF-44E3-9099-C40C66FF867C}">
                  <a14:compatExt spid="_x0000_s12885"/>
                </a:ext>
                <a:ext uri="{FF2B5EF4-FFF2-40B4-BE49-F238E27FC236}">
                  <a16:creationId xmlns:a16="http://schemas.microsoft.com/office/drawing/2014/main" id="{00000000-0008-0000-0100-00005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4558</xdr:row>
          <xdr:rowOff>0</xdr:rowOff>
        </xdr:from>
        <xdr:to>
          <xdr:col>7</xdr:col>
          <xdr:colOff>0</xdr:colOff>
          <xdr:row>4558</xdr:row>
          <xdr:rowOff>165100</xdr:rowOff>
        </xdr:to>
        <xdr:sp macro="" textlink="">
          <xdr:nvSpPr>
            <xdr:cNvPr id="12884" name="Button 1620" hidden="1">
              <a:extLst>
                <a:ext uri="{63B3BB69-23CF-44E3-9099-C40C66FF867C}">
                  <a14:compatExt spid="_x0000_s12884"/>
                </a:ext>
                <a:ext uri="{FF2B5EF4-FFF2-40B4-BE49-F238E27FC236}">
                  <a16:creationId xmlns:a16="http://schemas.microsoft.com/office/drawing/2014/main" id="{00000000-0008-0000-0100-00005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4559</xdr:row>
          <xdr:rowOff>0</xdr:rowOff>
        </xdr:from>
        <xdr:to>
          <xdr:col>7</xdr:col>
          <xdr:colOff>0</xdr:colOff>
          <xdr:row>4559</xdr:row>
          <xdr:rowOff>165100</xdr:rowOff>
        </xdr:to>
        <xdr:sp macro="" textlink="">
          <xdr:nvSpPr>
            <xdr:cNvPr id="12883" name="Button 1619" hidden="1">
              <a:extLst>
                <a:ext uri="{63B3BB69-23CF-44E3-9099-C40C66FF867C}">
                  <a14:compatExt spid="_x0000_s12883"/>
                </a:ext>
                <a:ext uri="{FF2B5EF4-FFF2-40B4-BE49-F238E27FC236}">
                  <a16:creationId xmlns:a16="http://schemas.microsoft.com/office/drawing/2014/main" id="{00000000-0008-0000-0100-00005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4560</xdr:row>
          <xdr:rowOff>0</xdr:rowOff>
        </xdr:from>
        <xdr:to>
          <xdr:col>7</xdr:col>
          <xdr:colOff>0</xdr:colOff>
          <xdr:row>4560</xdr:row>
          <xdr:rowOff>165100</xdr:rowOff>
        </xdr:to>
        <xdr:sp macro="" textlink="">
          <xdr:nvSpPr>
            <xdr:cNvPr id="12882" name="Button 1618" hidden="1">
              <a:extLst>
                <a:ext uri="{63B3BB69-23CF-44E3-9099-C40C66FF867C}">
                  <a14:compatExt spid="_x0000_s12882"/>
                </a:ext>
                <a:ext uri="{FF2B5EF4-FFF2-40B4-BE49-F238E27FC236}">
                  <a16:creationId xmlns:a16="http://schemas.microsoft.com/office/drawing/2014/main" id="{00000000-0008-0000-0100-00005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4563</xdr:row>
          <xdr:rowOff>0</xdr:rowOff>
        </xdr:from>
        <xdr:to>
          <xdr:col>7</xdr:col>
          <xdr:colOff>0</xdr:colOff>
          <xdr:row>4564</xdr:row>
          <xdr:rowOff>0</xdr:rowOff>
        </xdr:to>
        <xdr:sp macro="" textlink="">
          <xdr:nvSpPr>
            <xdr:cNvPr id="12881" name="Button 1617" hidden="1">
              <a:extLst>
                <a:ext uri="{63B3BB69-23CF-44E3-9099-C40C66FF867C}">
                  <a14:compatExt spid="_x0000_s12881"/>
                </a:ext>
                <a:ext uri="{FF2B5EF4-FFF2-40B4-BE49-F238E27FC236}">
                  <a16:creationId xmlns:a16="http://schemas.microsoft.com/office/drawing/2014/main" id="{00000000-0008-0000-0100-00005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4570</xdr:row>
          <xdr:rowOff>0</xdr:rowOff>
        </xdr:from>
        <xdr:to>
          <xdr:col>7</xdr:col>
          <xdr:colOff>0</xdr:colOff>
          <xdr:row>4570</xdr:row>
          <xdr:rowOff>171450</xdr:rowOff>
        </xdr:to>
        <xdr:sp macro="" textlink="">
          <xdr:nvSpPr>
            <xdr:cNvPr id="12880" name="Button 1616" hidden="1">
              <a:extLst>
                <a:ext uri="{63B3BB69-23CF-44E3-9099-C40C66FF867C}">
                  <a14:compatExt spid="_x0000_s12880"/>
                </a:ext>
                <a:ext uri="{FF2B5EF4-FFF2-40B4-BE49-F238E27FC236}">
                  <a16:creationId xmlns:a16="http://schemas.microsoft.com/office/drawing/2014/main" id="{00000000-0008-0000-0100-00005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4571</xdr:row>
          <xdr:rowOff>0</xdr:rowOff>
        </xdr:from>
        <xdr:to>
          <xdr:col>7</xdr:col>
          <xdr:colOff>0</xdr:colOff>
          <xdr:row>4571</xdr:row>
          <xdr:rowOff>165100</xdr:rowOff>
        </xdr:to>
        <xdr:sp macro="" textlink="">
          <xdr:nvSpPr>
            <xdr:cNvPr id="12879" name="Button 1615" hidden="1">
              <a:extLst>
                <a:ext uri="{63B3BB69-23CF-44E3-9099-C40C66FF867C}">
                  <a14:compatExt spid="_x0000_s12879"/>
                </a:ext>
                <a:ext uri="{FF2B5EF4-FFF2-40B4-BE49-F238E27FC236}">
                  <a16:creationId xmlns:a16="http://schemas.microsoft.com/office/drawing/2014/main" id="{00000000-0008-0000-0100-00004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4574</xdr:row>
          <xdr:rowOff>0</xdr:rowOff>
        </xdr:from>
        <xdr:to>
          <xdr:col>7</xdr:col>
          <xdr:colOff>0</xdr:colOff>
          <xdr:row>4575</xdr:row>
          <xdr:rowOff>0</xdr:rowOff>
        </xdr:to>
        <xdr:sp macro="" textlink="">
          <xdr:nvSpPr>
            <xdr:cNvPr id="12878" name="Button 1614" hidden="1">
              <a:extLst>
                <a:ext uri="{63B3BB69-23CF-44E3-9099-C40C66FF867C}">
                  <a14:compatExt spid="_x0000_s12878"/>
                </a:ext>
                <a:ext uri="{FF2B5EF4-FFF2-40B4-BE49-F238E27FC236}">
                  <a16:creationId xmlns:a16="http://schemas.microsoft.com/office/drawing/2014/main" id="{00000000-0008-0000-0100-00004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4581</xdr:row>
          <xdr:rowOff>0</xdr:rowOff>
        </xdr:from>
        <xdr:to>
          <xdr:col>7</xdr:col>
          <xdr:colOff>0</xdr:colOff>
          <xdr:row>4581</xdr:row>
          <xdr:rowOff>171450</xdr:rowOff>
        </xdr:to>
        <xdr:sp macro="" textlink="">
          <xdr:nvSpPr>
            <xdr:cNvPr id="12877" name="Button 1613" hidden="1">
              <a:extLst>
                <a:ext uri="{63B3BB69-23CF-44E3-9099-C40C66FF867C}">
                  <a14:compatExt spid="_x0000_s12877"/>
                </a:ext>
                <a:ext uri="{FF2B5EF4-FFF2-40B4-BE49-F238E27FC236}">
                  <a16:creationId xmlns:a16="http://schemas.microsoft.com/office/drawing/2014/main" id="{00000000-0008-0000-0100-00004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4582</xdr:row>
          <xdr:rowOff>0</xdr:rowOff>
        </xdr:from>
        <xdr:to>
          <xdr:col>7</xdr:col>
          <xdr:colOff>0</xdr:colOff>
          <xdr:row>4582</xdr:row>
          <xdr:rowOff>165100</xdr:rowOff>
        </xdr:to>
        <xdr:sp macro="" textlink="">
          <xdr:nvSpPr>
            <xdr:cNvPr id="12876" name="Button 1612" hidden="1">
              <a:extLst>
                <a:ext uri="{63B3BB69-23CF-44E3-9099-C40C66FF867C}">
                  <a14:compatExt spid="_x0000_s12876"/>
                </a:ext>
                <a:ext uri="{FF2B5EF4-FFF2-40B4-BE49-F238E27FC236}">
                  <a16:creationId xmlns:a16="http://schemas.microsoft.com/office/drawing/2014/main" id="{00000000-0008-0000-0100-00004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4583</xdr:row>
          <xdr:rowOff>0</xdr:rowOff>
        </xdr:from>
        <xdr:to>
          <xdr:col>7</xdr:col>
          <xdr:colOff>0</xdr:colOff>
          <xdr:row>4583</xdr:row>
          <xdr:rowOff>165100</xdr:rowOff>
        </xdr:to>
        <xdr:sp macro="" textlink="">
          <xdr:nvSpPr>
            <xdr:cNvPr id="12875" name="Button 1611" hidden="1">
              <a:extLst>
                <a:ext uri="{63B3BB69-23CF-44E3-9099-C40C66FF867C}">
                  <a14:compatExt spid="_x0000_s12875"/>
                </a:ext>
                <a:ext uri="{FF2B5EF4-FFF2-40B4-BE49-F238E27FC236}">
                  <a16:creationId xmlns:a16="http://schemas.microsoft.com/office/drawing/2014/main" id="{00000000-0008-0000-0100-00004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4586</xdr:row>
          <xdr:rowOff>0</xdr:rowOff>
        </xdr:from>
        <xdr:to>
          <xdr:col>7</xdr:col>
          <xdr:colOff>0</xdr:colOff>
          <xdr:row>4587</xdr:row>
          <xdr:rowOff>0</xdr:rowOff>
        </xdr:to>
        <xdr:sp macro="" textlink="">
          <xdr:nvSpPr>
            <xdr:cNvPr id="12874" name="Button 1610" hidden="1">
              <a:extLst>
                <a:ext uri="{63B3BB69-23CF-44E3-9099-C40C66FF867C}">
                  <a14:compatExt spid="_x0000_s12874"/>
                </a:ext>
                <a:ext uri="{FF2B5EF4-FFF2-40B4-BE49-F238E27FC236}">
                  <a16:creationId xmlns:a16="http://schemas.microsoft.com/office/drawing/2014/main" id="{00000000-0008-0000-0100-00004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4593</xdr:row>
          <xdr:rowOff>0</xdr:rowOff>
        </xdr:from>
        <xdr:to>
          <xdr:col>7</xdr:col>
          <xdr:colOff>0</xdr:colOff>
          <xdr:row>4593</xdr:row>
          <xdr:rowOff>171450</xdr:rowOff>
        </xdr:to>
        <xdr:sp macro="" textlink="">
          <xdr:nvSpPr>
            <xdr:cNvPr id="12873" name="Button 1609" hidden="1">
              <a:extLst>
                <a:ext uri="{63B3BB69-23CF-44E3-9099-C40C66FF867C}">
                  <a14:compatExt spid="_x0000_s12873"/>
                </a:ext>
                <a:ext uri="{FF2B5EF4-FFF2-40B4-BE49-F238E27FC236}">
                  <a16:creationId xmlns:a16="http://schemas.microsoft.com/office/drawing/2014/main" id="{00000000-0008-0000-0100-00004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4594</xdr:row>
          <xdr:rowOff>0</xdr:rowOff>
        </xdr:from>
        <xdr:to>
          <xdr:col>7</xdr:col>
          <xdr:colOff>0</xdr:colOff>
          <xdr:row>4594</xdr:row>
          <xdr:rowOff>165100</xdr:rowOff>
        </xdr:to>
        <xdr:sp macro="" textlink="">
          <xdr:nvSpPr>
            <xdr:cNvPr id="12872" name="Button 1608" hidden="1">
              <a:extLst>
                <a:ext uri="{63B3BB69-23CF-44E3-9099-C40C66FF867C}">
                  <a14:compatExt spid="_x0000_s12872"/>
                </a:ext>
                <a:ext uri="{FF2B5EF4-FFF2-40B4-BE49-F238E27FC236}">
                  <a16:creationId xmlns:a16="http://schemas.microsoft.com/office/drawing/2014/main" id="{00000000-0008-0000-0100-00004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4595</xdr:row>
          <xdr:rowOff>0</xdr:rowOff>
        </xdr:from>
        <xdr:to>
          <xdr:col>7</xdr:col>
          <xdr:colOff>0</xdr:colOff>
          <xdr:row>4595</xdr:row>
          <xdr:rowOff>165100</xdr:rowOff>
        </xdr:to>
        <xdr:sp macro="" textlink="">
          <xdr:nvSpPr>
            <xdr:cNvPr id="12871" name="Button 1607" hidden="1">
              <a:extLst>
                <a:ext uri="{63B3BB69-23CF-44E3-9099-C40C66FF867C}">
                  <a14:compatExt spid="_x0000_s12871"/>
                </a:ext>
                <a:ext uri="{FF2B5EF4-FFF2-40B4-BE49-F238E27FC236}">
                  <a16:creationId xmlns:a16="http://schemas.microsoft.com/office/drawing/2014/main" id="{00000000-0008-0000-0100-00004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4598</xdr:row>
          <xdr:rowOff>0</xdr:rowOff>
        </xdr:from>
        <xdr:to>
          <xdr:col>7</xdr:col>
          <xdr:colOff>0</xdr:colOff>
          <xdr:row>4599</xdr:row>
          <xdr:rowOff>0</xdr:rowOff>
        </xdr:to>
        <xdr:sp macro="" textlink="">
          <xdr:nvSpPr>
            <xdr:cNvPr id="12870" name="Button 1606" hidden="1">
              <a:extLst>
                <a:ext uri="{63B3BB69-23CF-44E3-9099-C40C66FF867C}">
                  <a14:compatExt spid="_x0000_s12870"/>
                </a:ext>
                <a:ext uri="{FF2B5EF4-FFF2-40B4-BE49-F238E27FC236}">
                  <a16:creationId xmlns:a16="http://schemas.microsoft.com/office/drawing/2014/main" id="{00000000-0008-0000-0100-00004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4605</xdr:row>
          <xdr:rowOff>0</xdr:rowOff>
        </xdr:from>
        <xdr:to>
          <xdr:col>7</xdr:col>
          <xdr:colOff>0</xdr:colOff>
          <xdr:row>4605</xdr:row>
          <xdr:rowOff>171450</xdr:rowOff>
        </xdr:to>
        <xdr:sp macro="" textlink="">
          <xdr:nvSpPr>
            <xdr:cNvPr id="12869" name="Button 1605" hidden="1">
              <a:extLst>
                <a:ext uri="{63B3BB69-23CF-44E3-9099-C40C66FF867C}">
                  <a14:compatExt spid="_x0000_s12869"/>
                </a:ext>
                <a:ext uri="{FF2B5EF4-FFF2-40B4-BE49-F238E27FC236}">
                  <a16:creationId xmlns:a16="http://schemas.microsoft.com/office/drawing/2014/main" id="{00000000-0008-0000-0100-00004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4606</xdr:row>
          <xdr:rowOff>0</xdr:rowOff>
        </xdr:from>
        <xdr:to>
          <xdr:col>7</xdr:col>
          <xdr:colOff>0</xdr:colOff>
          <xdr:row>4606</xdr:row>
          <xdr:rowOff>165100</xdr:rowOff>
        </xdr:to>
        <xdr:sp macro="" textlink="">
          <xdr:nvSpPr>
            <xdr:cNvPr id="12868" name="Button 1604" hidden="1">
              <a:extLst>
                <a:ext uri="{63B3BB69-23CF-44E3-9099-C40C66FF867C}">
                  <a14:compatExt spid="_x0000_s12868"/>
                </a:ext>
                <a:ext uri="{FF2B5EF4-FFF2-40B4-BE49-F238E27FC236}">
                  <a16:creationId xmlns:a16="http://schemas.microsoft.com/office/drawing/2014/main" id="{00000000-0008-0000-0100-00004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4609</xdr:row>
          <xdr:rowOff>0</xdr:rowOff>
        </xdr:from>
        <xdr:to>
          <xdr:col>7</xdr:col>
          <xdr:colOff>0</xdr:colOff>
          <xdr:row>4610</xdr:row>
          <xdr:rowOff>0</xdr:rowOff>
        </xdr:to>
        <xdr:sp macro="" textlink="">
          <xdr:nvSpPr>
            <xdr:cNvPr id="12867" name="Button 1603" hidden="1">
              <a:extLst>
                <a:ext uri="{63B3BB69-23CF-44E3-9099-C40C66FF867C}">
                  <a14:compatExt spid="_x0000_s12867"/>
                </a:ext>
                <a:ext uri="{FF2B5EF4-FFF2-40B4-BE49-F238E27FC236}">
                  <a16:creationId xmlns:a16="http://schemas.microsoft.com/office/drawing/2014/main" id="{00000000-0008-0000-0100-00004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4616</xdr:row>
          <xdr:rowOff>0</xdr:rowOff>
        </xdr:from>
        <xdr:to>
          <xdr:col>7</xdr:col>
          <xdr:colOff>0</xdr:colOff>
          <xdr:row>4616</xdr:row>
          <xdr:rowOff>171450</xdr:rowOff>
        </xdr:to>
        <xdr:sp macro="" textlink="">
          <xdr:nvSpPr>
            <xdr:cNvPr id="12866" name="Button 1602" hidden="1">
              <a:extLst>
                <a:ext uri="{63B3BB69-23CF-44E3-9099-C40C66FF867C}">
                  <a14:compatExt spid="_x0000_s12866"/>
                </a:ext>
                <a:ext uri="{FF2B5EF4-FFF2-40B4-BE49-F238E27FC236}">
                  <a16:creationId xmlns:a16="http://schemas.microsoft.com/office/drawing/2014/main" id="{00000000-0008-0000-0100-00004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4617</xdr:row>
          <xdr:rowOff>0</xdr:rowOff>
        </xdr:from>
        <xdr:to>
          <xdr:col>7</xdr:col>
          <xdr:colOff>0</xdr:colOff>
          <xdr:row>4617</xdr:row>
          <xdr:rowOff>165100</xdr:rowOff>
        </xdr:to>
        <xdr:sp macro="" textlink="">
          <xdr:nvSpPr>
            <xdr:cNvPr id="12865" name="Button 1601" hidden="1">
              <a:extLst>
                <a:ext uri="{63B3BB69-23CF-44E3-9099-C40C66FF867C}">
                  <a14:compatExt spid="_x0000_s12865"/>
                </a:ext>
                <a:ext uri="{FF2B5EF4-FFF2-40B4-BE49-F238E27FC236}">
                  <a16:creationId xmlns:a16="http://schemas.microsoft.com/office/drawing/2014/main" id="{00000000-0008-0000-0100-00004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4620</xdr:row>
          <xdr:rowOff>0</xdr:rowOff>
        </xdr:from>
        <xdr:to>
          <xdr:col>7</xdr:col>
          <xdr:colOff>0</xdr:colOff>
          <xdr:row>4621</xdr:row>
          <xdr:rowOff>0</xdr:rowOff>
        </xdr:to>
        <xdr:sp macro="" textlink="">
          <xdr:nvSpPr>
            <xdr:cNvPr id="12864" name="Button 1600" hidden="1">
              <a:extLst>
                <a:ext uri="{63B3BB69-23CF-44E3-9099-C40C66FF867C}">
                  <a14:compatExt spid="_x0000_s12864"/>
                </a:ext>
                <a:ext uri="{FF2B5EF4-FFF2-40B4-BE49-F238E27FC236}">
                  <a16:creationId xmlns:a16="http://schemas.microsoft.com/office/drawing/2014/main" id="{00000000-0008-0000-0100-00004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4627</xdr:row>
          <xdr:rowOff>0</xdr:rowOff>
        </xdr:from>
        <xdr:to>
          <xdr:col>7</xdr:col>
          <xdr:colOff>0</xdr:colOff>
          <xdr:row>4627</xdr:row>
          <xdr:rowOff>171450</xdr:rowOff>
        </xdr:to>
        <xdr:sp macro="" textlink="">
          <xdr:nvSpPr>
            <xdr:cNvPr id="12863" name="Button 1599" hidden="1">
              <a:extLst>
                <a:ext uri="{63B3BB69-23CF-44E3-9099-C40C66FF867C}">
                  <a14:compatExt spid="_x0000_s12863"/>
                </a:ext>
                <a:ext uri="{FF2B5EF4-FFF2-40B4-BE49-F238E27FC236}">
                  <a16:creationId xmlns:a16="http://schemas.microsoft.com/office/drawing/2014/main" id="{00000000-0008-0000-0100-00003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4628</xdr:row>
          <xdr:rowOff>0</xdr:rowOff>
        </xdr:from>
        <xdr:to>
          <xdr:col>7</xdr:col>
          <xdr:colOff>0</xdr:colOff>
          <xdr:row>4628</xdr:row>
          <xdr:rowOff>165100</xdr:rowOff>
        </xdr:to>
        <xdr:sp macro="" textlink="">
          <xdr:nvSpPr>
            <xdr:cNvPr id="12862" name="Button 1598" hidden="1">
              <a:extLst>
                <a:ext uri="{63B3BB69-23CF-44E3-9099-C40C66FF867C}">
                  <a14:compatExt spid="_x0000_s12862"/>
                </a:ext>
                <a:ext uri="{FF2B5EF4-FFF2-40B4-BE49-F238E27FC236}">
                  <a16:creationId xmlns:a16="http://schemas.microsoft.com/office/drawing/2014/main" id="{00000000-0008-0000-0100-00003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4629</xdr:row>
          <xdr:rowOff>0</xdr:rowOff>
        </xdr:from>
        <xdr:to>
          <xdr:col>7</xdr:col>
          <xdr:colOff>0</xdr:colOff>
          <xdr:row>4629</xdr:row>
          <xdr:rowOff>165100</xdr:rowOff>
        </xdr:to>
        <xdr:sp macro="" textlink="">
          <xdr:nvSpPr>
            <xdr:cNvPr id="12861" name="Button 1597" hidden="1">
              <a:extLst>
                <a:ext uri="{63B3BB69-23CF-44E3-9099-C40C66FF867C}">
                  <a14:compatExt spid="_x0000_s12861"/>
                </a:ext>
                <a:ext uri="{FF2B5EF4-FFF2-40B4-BE49-F238E27FC236}">
                  <a16:creationId xmlns:a16="http://schemas.microsoft.com/office/drawing/2014/main" id="{00000000-0008-0000-0100-00003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4630</xdr:row>
          <xdr:rowOff>0</xdr:rowOff>
        </xdr:from>
        <xdr:to>
          <xdr:col>7</xdr:col>
          <xdr:colOff>0</xdr:colOff>
          <xdr:row>4630</xdr:row>
          <xdr:rowOff>165100</xdr:rowOff>
        </xdr:to>
        <xdr:sp macro="" textlink="">
          <xdr:nvSpPr>
            <xdr:cNvPr id="12860" name="Button 1596" hidden="1">
              <a:extLst>
                <a:ext uri="{63B3BB69-23CF-44E3-9099-C40C66FF867C}">
                  <a14:compatExt spid="_x0000_s12860"/>
                </a:ext>
                <a:ext uri="{FF2B5EF4-FFF2-40B4-BE49-F238E27FC236}">
                  <a16:creationId xmlns:a16="http://schemas.microsoft.com/office/drawing/2014/main" id="{00000000-0008-0000-0100-00003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4633</xdr:row>
          <xdr:rowOff>0</xdr:rowOff>
        </xdr:from>
        <xdr:to>
          <xdr:col>7</xdr:col>
          <xdr:colOff>0</xdr:colOff>
          <xdr:row>4634</xdr:row>
          <xdr:rowOff>0</xdr:rowOff>
        </xdr:to>
        <xdr:sp macro="" textlink="">
          <xdr:nvSpPr>
            <xdr:cNvPr id="12859" name="Button 1595" hidden="1">
              <a:extLst>
                <a:ext uri="{63B3BB69-23CF-44E3-9099-C40C66FF867C}">
                  <a14:compatExt spid="_x0000_s12859"/>
                </a:ext>
                <a:ext uri="{FF2B5EF4-FFF2-40B4-BE49-F238E27FC236}">
                  <a16:creationId xmlns:a16="http://schemas.microsoft.com/office/drawing/2014/main" id="{00000000-0008-0000-0100-00003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4640</xdr:row>
          <xdr:rowOff>0</xdr:rowOff>
        </xdr:from>
        <xdr:to>
          <xdr:col>7</xdr:col>
          <xdr:colOff>0</xdr:colOff>
          <xdr:row>4640</xdr:row>
          <xdr:rowOff>171450</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id="{00000000-0008-0000-0100-00003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4641</xdr:row>
          <xdr:rowOff>0</xdr:rowOff>
        </xdr:from>
        <xdr:to>
          <xdr:col>7</xdr:col>
          <xdr:colOff>0</xdr:colOff>
          <xdr:row>4641</xdr:row>
          <xdr:rowOff>165100</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id="{00000000-0008-0000-0100-00003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4642</xdr:row>
          <xdr:rowOff>0</xdr:rowOff>
        </xdr:from>
        <xdr:to>
          <xdr:col>7</xdr:col>
          <xdr:colOff>0</xdr:colOff>
          <xdr:row>4642</xdr:row>
          <xdr:rowOff>165100</xdr:rowOff>
        </xdr:to>
        <xdr:sp macro="" textlink="">
          <xdr:nvSpPr>
            <xdr:cNvPr id="12856" name="Button 1592" hidden="1">
              <a:extLst>
                <a:ext uri="{63B3BB69-23CF-44E3-9099-C40C66FF867C}">
                  <a14:compatExt spid="_x0000_s12856"/>
                </a:ext>
                <a:ext uri="{FF2B5EF4-FFF2-40B4-BE49-F238E27FC236}">
                  <a16:creationId xmlns:a16="http://schemas.microsoft.com/office/drawing/2014/main" id="{00000000-0008-0000-0100-00003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4643</xdr:row>
          <xdr:rowOff>0</xdr:rowOff>
        </xdr:from>
        <xdr:to>
          <xdr:col>7</xdr:col>
          <xdr:colOff>0</xdr:colOff>
          <xdr:row>4643</xdr:row>
          <xdr:rowOff>165100</xdr:rowOff>
        </xdr:to>
        <xdr:sp macro="" textlink="">
          <xdr:nvSpPr>
            <xdr:cNvPr id="12855" name="Button 1591" hidden="1">
              <a:extLst>
                <a:ext uri="{63B3BB69-23CF-44E3-9099-C40C66FF867C}">
                  <a14:compatExt spid="_x0000_s12855"/>
                </a:ext>
                <a:ext uri="{FF2B5EF4-FFF2-40B4-BE49-F238E27FC236}">
                  <a16:creationId xmlns:a16="http://schemas.microsoft.com/office/drawing/2014/main" id="{00000000-0008-0000-0100-00003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4644</xdr:row>
          <xdr:rowOff>0</xdr:rowOff>
        </xdr:from>
        <xdr:to>
          <xdr:col>7</xdr:col>
          <xdr:colOff>0</xdr:colOff>
          <xdr:row>4644</xdr:row>
          <xdr:rowOff>165100</xdr:rowOff>
        </xdr:to>
        <xdr:sp macro="" textlink="">
          <xdr:nvSpPr>
            <xdr:cNvPr id="12854" name="Button 1590" hidden="1">
              <a:extLst>
                <a:ext uri="{63B3BB69-23CF-44E3-9099-C40C66FF867C}">
                  <a14:compatExt spid="_x0000_s12854"/>
                </a:ext>
                <a:ext uri="{FF2B5EF4-FFF2-40B4-BE49-F238E27FC236}">
                  <a16:creationId xmlns:a16="http://schemas.microsoft.com/office/drawing/2014/main" id="{00000000-0008-0000-0100-00003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4645</xdr:row>
          <xdr:rowOff>0</xdr:rowOff>
        </xdr:from>
        <xdr:to>
          <xdr:col>7</xdr:col>
          <xdr:colOff>0</xdr:colOff>
          <xdr:row>4645</xdr:row>
          <xdr:rowOff>165100</xdr:rowOff>
        </xdr:to>
        <xdr:sp macro="" textlink="">
          <xdr:nvSpPr>
            <xdr:cNvPr id="12853" name="Button 1589" hidden="1">
              <a:extLst>
                <a:ext uri="{63B3BB69-23CF-44E3-9099-C40C66FF867C}">
                  <a14:compatExt spid="_x0000_s12853"/>
                </a:ext>
                <a:ext uri="{FF2B5EF4-FFF2-40B4-BE49-F238E27FC236}">
                  <a16:creationId xmlns:a16="http://schemas.microsoft.com/office/drawing/2014/main" id="{00000000-0008-0000-0100-00003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4646</xdr:row>
          <xdr:rowOff>0</xdr:rowOff>
        </xdr:from>
        <xdr:to>
          <xdr:col>7</xdr:col>
          <xdr:colOff>0</xdr:colOff>
          <xdr:row>4646</xdr:row>
          <xdr:rowOff>165100</xdr:rowOff>
        </xdr:to>
        <xdr:sp macro="" textlink="">
          <xdr:nvSpPr>
            <xdr:cNvPr id="12852" name="Button 1588" hidden="1">
              <a:extLst>
                <a:ext uri="{63B3BB69-23CF-44E3-9099-C40C66FF867C}">
                  <a14:compatExt spid="_x0000_s12852"/>
                </a:ext>
                <a:ext uri="{FF2B5EF4-FFF2-40B4-BE49-F238E27FC236}">
                  <a16:creationId xmlns:a16="http://schemas.microsoft.com/office/drawing/2014/main" id="{00000000-0008-0000-0100-00003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4647</xdr:row>
          <xdr:rowOff>0</xdr:rowOff>
        </xdr:from>
        <xdr:to>
          <xdr:col>7</xdr:col>
          <xdr:colOff>0</xdr:colOff>
          <xdr:row>4647</xdr:row>
          <xdr:rowOff>165100</xdr:rowOff>
        </xdr:to>
        <xdr:sp macro="" textlink="">
          <xdr:nvSpPr>
            <xdr:cNvPr id="12851" name="Button 1587" hidden="1">
              <a:extLst>
                <a:ext uri="{63B3BB69-23CF-44E3-9099-C40C66FF867C}">
                  <a14:compatExt spid="_x0000_s12851"/>
                </a:ext>
                <a:ext uri="{FF2B5EF4-FFF2-40B4-BE49-F238E27FC236}">
                  <a16:creationId xmlns:a16="http://schemas.microsoft.com/office/drawing/2014/main" id="{00000000-0008-0000-0100-00003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4648</xdr:row>
          <xdr:rowOff>0</xdr:rowOff>
        </xdr:from>
        <xdr:to>
          <xdr:col>7</xdr:col>
          <xdr:colOff>0</xdr:colOff>
          <xdr:row>4648</xdr:row>
          <xdr:rowOff>165100</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id="{00000000-0008-0000-0100-00003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4649</xdr:row>
          <xdr:rowOff>0</xdr:rowOff>
        </xdr:from>
        <xdr:to>
          <xdr:col>7</xdr:col>
          <xdr:colOff>0</xdr:colOff>
          <xdr:row>4649</xdr:row>
          <xdr:rowOff>165100</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id="{00000000-0008-0000-0100-00003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4650</xdr:row>
          <xdr:rowOff>0</xdr:rowOff>
        </xdr:from>
        <xdr:to>
          <xdr:col>7</xdr:col>
          <xdr:colOff>0</xdr:colOff>
          <xdr:row>4650</xdr:row>
          <xdr:rowOff>165100</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4651</xdr:row>
          <xdr:rowOff>0</xdr:rowOff>
        </xdr:from>
        <xdr:to>
          <xdr:col>7</xdr:col>
          <xdr:colOff>0</xdr:colOff>
          <xdr:row>4651</xdr:row>
          <xdr:rowOff>165100</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4652</xdr:row>
          <xdr:rowOff>0</xdr:rowOff>
        </xdr:from>
        <xdr:to>
          <xdr:col>7</xdr:col>
          <xdr:colOff>0</xdr:colOff>
          <xdr:row>4652</xdr:row>
          <xdr:rowOff>165100</xdr:rowOff>
        </xdr:to>
        <xdr:sp macro="" textlink="">
          <xdr:nvSpPr>
            <xdr:cNvPr id="12846" name="Button 1582" hidden="1">
              <a:extLst>
                <a:ext uri="{63B3BB69-23CF-44E3-9099-C40C66FF867C}">
                  <a14:compatExt spid="_x0000_s12846"/>
                </a:ext>
                <a:ext uri="{FF2B5EF4-FFF2-40B4-BE49-F238E27FC236}">
                  <a16:creationId xmlns:a16="http://schemas.microsoft.com/office/drawing/2014/main" id="{00000000-0008-0000-0100-00002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4653</xdr:row>
          <xdr:rowOff>0</xdr:rowOff>
        </xdr:from>
        <xdr:to>
          <xdr:col>7</xdr:col>
          <xdr:colOff>0</xdr:colOff>
          <xdr:row>4653</xdr:row>
          <xdr:rowOff>165100</xdr:rowOff>
        </xdr:to>
        <xdr:sp macro="" textlink="">
          <xdr:nvSpPr>
            <xdr:cNvPr id="12845" name="Button 1581" hidden="1">
              <a:extLst>
                <a:ext uri="{63B3BB69-23CF-44E3-9099-C40C66FF867C}">
                  <a14:compatExt spid="_x0000_s12845"/>
                </a:ext>
                <a:ext uri="{FF2B5EF4-FFF2-40B4-BE49-F238E27FC236}">
                  <a16:creationId xmlns:a16="http://schemas.microsoft.com/office/drawing/2014/main" id="{00000000-0008-0000-0100-00002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4654</xdr:row>
          <xdr:rowOff>0</xdr:rowOff>
        </xdr:from>
        <xdr:to>
          <xdr:col>7</xdr:col>
          <xdr:colOff>0</xdr:colOff>
          <xdr:row>4654</xdr:row>
          <xdr:rowOff>165100</xdr:rowOff>
        </xdr:to>
        <xdr:sp macro="" textlink="">
          <xdr:nvSpPr>
            <xdr:cNvPr id="12844" name="Button 1580" hidden="1">
              <a:extLst>
                <a:ext uri="{63B3BB69-23CF-44E3-9099-C40C66FF867C}">
                  <a14:compatExt spid="_x0000_s12844"/>
                </a:ext>
                <a:ext uri="{FF2B5EF4-FFF2-40B4-BE49-F238E27FC236}">
                  <a16:creationId xmlns:a16="http://schemas.microsoft.com/office/drawing/2014/main" id="{00000000-0008-0000-0100-00002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4657</xdr:row>
          <xdr:rowOff>0</xdr:rowOff>
        </xdr:from>
        <xdr:to>
          <xdr:col>7</xdr:col>
          <xdr:colOff>0</xdr:colOff>
          <xdr:row>4658</xdr:row>
          <xdr:rowOff>0</xdr:rowOff>
        </xdr:to>
        <xdr:sp macro="" textlink="">
          <xdr:nvSpPr>
            <xdr:cNvPr id="12843" name="Button 1579" hidden="1">
              <a:extLst>
                <a:ext uri="{63B3BB69-23CF-44E3-9099-C40C66FF867C}">
                  <a14:compatExt spid="_x0000_s12843"/>
                </a:ext>
                <a:ext uri="{FF2B5EF4-FFF2-40B4-BE49-F238E27FC236}">
                  <a16:creationId xmlns:a16="http://schemas.microsoft.com/office/drawing/2014/main" id="{00000000-0008-0000-0100-00002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4664</xdr:row>
          <xdr:rowOff>0</xdr:rowOff>
        </xdr:from>
        <xdr:to>
          <xdr:col>7</xdr:col>
          <xdr:colOff>0</xdr:colOff>
          <xdr:row>4664</xdr:row>
          <xdr:rowOff>171450</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id="{00000000-0008-0000-0100-00002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4665</xdr:row>
          <xdr:rowOff>0</xdr:rowOff>
        </xdr:from>
        <xdr:to>
          <xdr:col>7</xdr:col>
          <xdr:colOff>0</xdr:colOff>
          <xdr:row>4665</xdr:row>
          <xdr:rowOff>165100</xdr:rowOff>
        </xdr:to>
        <xdr:sp macro="" textlink="">
          <xdr:nvSpPr>
            <xdr:cNvPr id="12841" name="Button 1577" hidden="1">
              <a:extLst>
                <a:ext uri="{63B3BB69-23CF-44E3-9099-C40C66FF867C}">
                  <a14:compatExt spid="_x0000_s12841"/>
                </a:ext>
                <a:ext uri="{FF2B5EF4-FFF2-40B4-BE49-F238E27FC236}">
                  <a16:creationId xmlns:a16="http://schemas.microsoft.com/office/drawing/2014/main" id="{00000000-0008-0000-0100-00002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4668</xdr:row>
          <xdr:rowOff>0</xdr:rowOff>
        </xdr:from>
        <xdr:to>
          <xdr:col>7</xdr:col>
          <xdr:colOff>0</xdr:colOff>
          <xdr:row>4669</xdr:row>
          <xdr:rowOff>0</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id="{00000000-0008-0000-0100-00002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4675</xdr:row>
          <xdr:rowOff>0</xdr:rowOff>
        </xdr:from>
        <xdr:to>
          <xdr:col>7</xdr:col>
          <xdr:colOff>0</xdr:colOff>
          <xdr:row>4675</xdr:row>
          <xdr:rowOff>171450</xdr:rowOff>
        </xdr:to>
        <xdr:sp macro="" textlink="">
          <xdr:nvSpPr>
            <xdr:cNvPr id="12839" name="Button 1575" hidden="1">
              <a:extLst>
                <a:ext uri="{63B3BB69-23CF-44E3-9099-C40C66FF867C}">
                  <a14:compatExt spid="_x0000_s12839"/>
                </a:ext>
                <a:ext uri="{FF2B5EF4-FFF2-40B4-BE49-F238E27FC236}">
                  <a16:creationId xmlns:a16="http://schemas.microsoft.com/office/drawing/2014/main" id="{00000000-0008-0000-0100-00002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4676</xdr:row>
          <xdr:rowOff>0</xdr:rowOff>
        </xdr:from>
        <xdr:to>
          <xdr:col>7</xdr:col>
          <xdr:colOff>0</xdr:colOff>
          <xdr:row>4676</xdr:row>
          <xdr:rowOff>165100</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4679</xdr:row>
          <xdr:rowOff>0</xdr:rowOff>
        </xdr:from>
        <xdr:to>
          <xdr:col>7</xdr:col>
          <xdr:colOff>0</xdr:colOff>
          <xdr:row>4680</xdr:row>
          <xdr:rowOff>0</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4686</xdr:row>
          <xdr:rowOff>0</xdr:rowOff>
        </xdr:from>
        <xdr:to>
          <xdr:col>7</xdr:col>
          <xdr:colOff>0</xdr:colOff>
          <xdr:row>4686</xdr:row>
          <xdr:rowOff>171450</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4687</xdr:row>
          <xdr:rowOff>0</xdr:rowOff>
        </xdr:from>
        <xdr:to>
          <xdr:col>7</xdr:col>
          <xdr:colOff>0</xdr:colOff>
          <xdr:row>4687</xdr:row>
          <xdr:rowOff>165100</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4688</xdr:row>
          <xdr:rowOff>0</xdr:rowOff>
        </xdr:from>
        <xdr:to>
          <xdr:col>7</xdr:col>
          <xdr:colOff>0</xdr:colOff>
          <xdr:row>4688</xdr:row>
          <xdr:rowOff>165100</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4691</xdr:row>
          <xdr:rowOff>0</xdr:rowOff>
        </xdr:from>
        <xdr:to>
          <xdr:col>7</xdr:col>
          <xdr:colOff>0</xdr:colOff>
          <xdr:row>4692</xdr:row>
          <xdr:rowOff>0</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4698</xdr:row>
          <xdr:rowOff>0</xdr:rowOff>
        </xdr:from>
        <xdr:to>
          <xdr:col>7</xdr:col>
          <xdr:colOff>0</xdr:colOff>
          <xdr:row>4698</xdr:row>
          <xdr:rowOff>171450</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4699</xdr:row>
          <xdr:rowOff>0</xdr:rowOff>
        </xdr:from>
        <xdr:to>
          <xdr:col>7</xdr:col>
          <xdr:colOff>0</xdr:colOff>
          <xdr:row>4699</xdr:row>
          <xdr:rowOff>165100</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4702</xdr:row>
          <xdr:rowOff>0</xdr:rowOff>
        </xdr:from>
        <xdr:to>
          <xdr:col>7</xdr:col>
          <xdr:colOff>0</xdr:colOff>
          <xdr:row>4703</xdr:row>
          <xdr:rowOff>0</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id="{00000000-0008-0000-0100-00001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4709</xdr:row>
          <xdr:rowOff>0</xdr:rowOff>
        </xdr:from>
        <xdr:to>
          <xdr:col>7</xdr:col>
          <xdr:colOff>0</xdr:colOff>
          <xdr:row>4709</xdr:row>
          <xdr:rowOff>171450</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4710</xdr:row>
          <xdr:rowOff>0</xdr:rowOff>
        </xdr:from>
        <xdr:to>
          <xdr:col>7</xdr:col>
          <xdr:colOff>0</xdr:colOff>
          <xdr:row>4710</xdr:row>
          <xdr:rowOff>165100</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4711</xdr:row>
          <xdr:rowOff>0</xdr:rowOff>
        </xdr:from>
        <xdr:to>
          <xdr:col>7</xdr:col>
          <xdr:colOff>0</xdr:colOff>
          <xdr:row>4711</xdr:row>
          <xdr:rowOff>165100</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4714</xdr:row>
          <xdr:rowOff>0</xdr:rowOff>
        </xdr:from>
        <xdr:to>
          <xdr:col>7</xdr:col>
          <xdr:colOff>0</xdr:colOff>
          <xdr:row>4715</xdr:row>
          <xdr:rowOff>0</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4721</xdr:row>
          <xdr:rowOff>0</xdr:rowOff>
        </xdr:from>
        <xdr:to>
          <xdr:col>7</xdr:col>
          <xdr:colOff>0</xdr:colOff>
          <xdr:row>4721</xdr:row>
          <xdr:rowOff>171450</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4722</xdr:row>
          <xdr:rowOff>0</xdr:rowOff>
        </xdr:from>
        <xdr:to>
          <xdr:col>7</xdr:col>
          <xdr:colOff>0</xdr:colOff>
          <xdr:row>4722</xdr:row>
          <xdr:rowOff>165100</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4723</xdr:row>
          <xdr:rowOff>0</xdr:rowOff>
        </xdr:from>
        <xdr:to>
          <xdr:col>7</xdr:col>
          <xdr:colOff>0</xdr:colOff>
          <xdr:row>4723</xdr:row>
          <xdr:rowOff>165100</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4724</xdr:row>
          <xdr:rowOff>0</xdr:rowOff>
        </xdr:from>
        <xdr:to>
          <xdr:col>7</xdr:col>
          <xdr:colOff>0</xdr:colOff>
          <xdr:row>4724</xdr:row>
          <xdr:rowOff>165100</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4727</xdr:row>
          <xdr:rowOff>0</xdr:rowOff>
        </xdr:from>
        <xdr:to>
          <xdr:col>7</xdr:col>
          <xdr:colOff>0</xdr:colOff>
          <xdr:row>4728</xdr:row>
          <xdr:rowOff>0</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4734</xdr:row>
          <xdr:rowOff>0</xdr:rowOff>
        </xdr:from>
        <xdr:to>
          <xdr:col>7</xdr:col>
          <xdr:colOff>0</xdr:colOff>
          <xdr:row>4734</xdr:row>
          <xdr:rowOff>171450</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4735</xdr:row>
          <xdr:rowOff>0</xdr:rowOff>
        </xdr:from>
        <xdr:to>
          <xdr:col>7</xdr:col>
          <xdr:colOff>0</xdr:colOff>
          <xdr:row>4735</xdr:row>
          <xdr:rowOff>165100</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4736</xdr:row>
          <xdr:rowOff>0</xdr:rowOff>
        </xdr:from>
        <xdr:to>
          <xdr:col>7</xdr:col>
          <xdr:colOff>0</xdr:colOff>
          <xdr:row>4736</xdr:row>
          <xdr:rowOff>165100</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id="{00000000-0008-0000-0100-00001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4737</xdr:row>
          <xdr:rowOff>0</xdr:rowOff>
        </xdr:from>
        <xdr:to>
          <xdr:col>7</xdr:col>
          <xdr:colOff>0</xdr:colOff>
          <xdr:row>4737</xdr:row>
          <xdr:rowOff>165100</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4740</xdr:row>
          <xdr:rowOff>0</xdr:rowOff>
        </xdr:from>
        <xdr:to>
          <xdr:col>7</xdr:col>
          <xdr:colOff>0</xdr:colOff>
          <xdr:row>4741</xdr:row>
          <xdr:rowOff>0</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4747</xdr:row>
          <xdr:rowOff>0</xdr:rowOff>
        </xdr:from>
        <xdr:to>
          <xdr:col>7</xdr:col>
          <xdr:colOff>0</xdr:colOff>
          <xdr:row>4747</xdr:row>
          <xdr:rowOff>171450</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4748</xdr:row>
          <xdr:rowOff>0</xdr:rowOff>
        </xdr:from>
        <xdr:to>
          <xdr:col>7</xdr:col>
          <xdr:colOff>0</xdr:colOff>
          <xdr:row>4748</xdr:row>
          <xdr:rowOff>165100</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4749</xdr:row>
          <xdr:rowOff>0</xdr:rowOff>
        </xdr:from>
        <xdr:to>
          <xdr:col>7</xdr:col>
          <xdr:colOff>0</xdr:colOff>
          <xdr:row>4749</xdr:row>
          <xdr:rowOff>165100</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4752</xdr:row>
          <xdr:rowOff>0</xdr:rowOff>
        </xdr:from>
        <xdr:to>
          <xdr:col>7</xdr:col>
          <xdr:colOff>0</xdr:colOff>
          <xdr:row>4753</xdr:row>
          <xdr:rowOff>0</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id="{00000000-0008-0000-0100-00000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4759</xdr:row>
          <xdr:rowOff>0</xdr:rowOff>
        </xdr:from>
        <xdr:to>
          <xdr:col>7</xdr:col>
          <xdr:colOff>0</xdr:colOff>
          <xdr:row>4759</xdr:row>
          <xdr:rowOff>171450</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id="{00000000-0008-0000-0100-00000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4760</xdr:row>
          <xdr:rowOff>0</xdr:rowOff>
        </xdr:from>
        <xdr:to>
          <xdr:col>7</xdr:col>
          <xdr:colOff>0</xdr:colOff>
          <xdr:row>4760</xdr:row>
          <xdr:rowOff>165100</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id="{00000000-0008-0000-0100-00000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4763</xdr:row>
          <xdr:rowOff>0</xdr:rowOff>
        </xdr:from>
        <xdr:to>
          <xdr:col>7</xdr:col>
          <xdr:colOff>0</xdr:colOff>
          <xdr:row>4764</xdr:row>
          <xdr:rowOff>0</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id="{00000000-0008-0000-0100-00000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4770</xdr:row>
          <xdr:rowOff>0</xdr:rowOff>
        </xdr:from>
        <xdr:to>
          <xdr:col>7</xdr:col>
          <xdr:colOff>0</xdr:colOff>
          <xdr:row>4770</xdr:row>
          <xdr:rowOff>171450</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id="{00000000-0008-0000-0100-00000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4771</xdr:row>
          <xdr:rowOff>0</xdr:rowOff>
        </xdr:from>
        <xdr:to>
          <xdr:col>7</xdr:col>
          <xdr:colOff>0</xdr:colOff>
          <xdr:row>4771</xdr:row>
          <xdr:rowOff>165100</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4772</xdr:row>
          <xdr:rowOff>0</xdr:rowOff>
        </xdr:from>
        <xdr:to>
          <xdr:col>7</xdr:col>
          <xdr:colOff>0</xdr:colOff>
          <xdr:row>4772</xdr:row>
          <xdr:rowOff>165100</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4773</xdr:row>
          <xdr:rowOff>0</xdr:rowOff>
        </xdr:from>
        <xdr:to>
          <xdr:col>7</xdr:col>
          <xdr:colOff>0</xdr:colOff>
          <xdr:row>4773</xdr:row>
          <xdr:rowOff>165100</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id="{00000000-0008-0000-0100-00000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4774</xdr:row>
          <xdr:rowOff>0</xdr:rowOff>
        </xdr:from>
        <xdr:to>
          <xdr:col>7</xdr:col>
          <xdr:colOff>0</xdr:colOff>
          <xdr:row>4774</xdr:row>
          <xdr:rowOff>165100</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4775</xdr:row>
          <xdr:rowOff>0</xdr:rowOff>
        </xdr:from>
        <xdr:to>
          <xdr:col>7</xdr:col>
          <xdr:colOff>0</xdr:colOff>
          <xdr:row>4775</xdr:row>
          <xdr:rowOff>165100</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4776</xdr:row>
          <xdr:rowOff>0</xdr:rowOff>
        </xdr:from>
        <xdr:to>
          <xdr:col>7</xdr:col>
          <xdr:colOff>0</xdr:colOff>
          <xdr:row>4776</xdr:row>
          <xdr:rowOff>165100</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4777</xdr:row>
          <xdr:rowOff>0</xdr:rowOff>
        </xdr:from>
        <xdr:to>
          <xdr:col>7</xdr:col>
          <xdr:colOff>0</xdr:colOff>
          <xdr:row>4777</xdr:row>
          <xdr:rowOff>165100</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4778</xdr:row>
          <xdr:rowOff>0</xdr:rowOff>
        </xdr:from>
        <xdr:to>
          <xdr:col>7</xdr:col>
          <xdr:colOff>0</xdr:colOff>
          <xdr:row>4778</xdr:row>
          <xdr:rowOff>165100</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4779</xdr:row>
          <xdr:rowOff>0</xdr:rowOff>
        </xdr:from>
        <xdr:to>
          <xdr:col>7</xdr:col>
          <xdr:colOff>0</xdr:colOff>
          <xdr:row>4779</xdr:row>
          <xdr:rowOff>165100</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4780</xdr:row>
          <xdr:rowOff>0</xdr:rowOff>
        </xdr:from>
        <xdr:to>
          <xdr:col>7</xdr:col>
          <xdr:colOff>0</xdr:colOff>
          <xdr:row>4780</xdr:row>
          <xdr:rowOff>165100</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4781</xdr:row>
          <xdr:rowOff>0</xdr:rowOff>
        </xdr:from>
        <xdr:to>
          <xdr:col>7</xdr:col>
          <xdr:colOff>0</xdr:colOff>
          <xdr:row>4781</xdr:row>
          <xdr:rowOff>165100</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4782</xdr:row>
          <xdr:rowOff>0</xdr:rowOff>
        </xdr:from>
        <xdr:to>
          <xdr:col>7</xdr:col>
          <xdr:colOff>0</xdr:colOff>
          <xdr:row>4782</xdr:row>
          <xdr:rowOff>165100</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4783</xdr:row>
          <xdr:rowOff>0</xdr:rowOff>
        </xdr:from>
        <xdr:to>
          <xdr:col>7</xdr:col>
          <xdr:colOff>0</xdr:colOff>
          <xdr:row>4783</xdr:row>
          <xdr:rowOff>165100</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4786</xdr:row>
          <xdr:rowOff>0</xdr:rowOff>
        </xdr:from>
        <xdr:to>
          <xdr:col>7</xdr:col>
          <xdr:colOff>0</xdr:colOff>
          <xdr:row>4787</xdr:row>
          <xdr:rowOff>0</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4793</xdr:row>
          <xdr:rowOff>0</xdr:rowOff>
        </xdr:from>
        <xdr:to>
          <xdr:col>7</xdr:col>
          <xdr:colOff>0</xdr:colOff>
          <xdr:row>4793</xdr:row>
          <xdr:rowOff>171450</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4794</xdr:row>
          <xdr:rowOff>0</xdr:rowOff>
        </xdr:from>
        <xdr:to>
          <xdr:col>7</xdr:col>
          <xdr:colOff>0</xdr:colOff>
          <xdr:row>4794</xdr:row>
          <xdr:rowOff>165100</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4797</xdr:row>
          <xdr:rowOff>0</xdr:rowOff>
        </xdr:from>
        <xdr:to>
          <xdr:col>7</xdr:col>
          <xdr:colOff>0</xdr:colOff>
          <xdr:row>4798</xdr:row>
          <xdr:rowOff>0</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4804</xdr:row>
          <xdr:rowOff>0</xdr:rowOff>
        </xdr:from>
        <xdr:to>
          <xdr:col>7</xdr:col>
          <xdr:colOff>0</xdr:colOff>
          <xdr:row>4804</xdr:row>
          <xdr:rowOff>171450</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4805</xdr:row>
          <xdr:rowOff>0</xdr:rowOff>
        </xdr:from>
        <xdr:to>
          <xdr:col>7</xdr:col>
          <xdr:colOff>0</xdr:colOff>
          <xdr:row>4805</xdr:row>
          <xdr:rowOff>165100</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4808</xdr:row>
          <xdr:rowOff>0</xdr:rowOff>
        </xdr:from>
        <xdr:to>
          <xdr:col>7</xdr:col>
          <xdr:colOff>0</xdr:colOff>
          <xdr:row>4809</xdr:row>
          <xdr:rowOff>0</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4815</xdr:row>
          <xdr:rowOff>0</xdr:rowOff>
        </xdr:from>
        <xdr:to>
          <xdr:col>7</xdr:col>
          <xdr:colOff>0</xdr:colOff>
          <xdr:row>4815</xdr:row>
          <xdr:rowOff>171450</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4816</xdr:row>
          <xdr:rowOff>0</xdr:rowOff>
        </xdr:from>
        <xdr:to>
          <xdr:col>7</xdr:col>
          <xdr:colOff>0</xdr:colOff>
          <xdr:row>4816</xdr:row>
          <xdr:rowOff>165100</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4817</xdr:row>
          <xdr:rowOff>0</xdr:rowOff>
        </xdr:from>
        <xdr:to>
          <xdr:col>7</xdr:col>
          <xdr:colOff>0</xdr:colOff>
          <xdr:row>4817</xdr:row>
          <xdr:rowOff>165100</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4820</xdr:row>
          <xdr:rowOff>0</xdr:rowOff>
        </xdr:from>
        <xdr:to>
          <xdr:col>7</xdr:col>
          <xdr:colOff>0</xdr:colOff>
          <xdr:row>4821</xdr:row>
          <xdr:rowOff>0</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4827</xdr:row>
          <xdr:rowOff>0</xdr:rowOff>
        </xdr:from>
        <xdr:to>
          <xdr:col>7</xdr:col>
          <xdr:colOff>0</xdr:colOff>
          <xdr:row>4827</xdr:row>
          <xdr:rowOff>171450</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4828</xdr:row>
          <xdr:rowOff>0</xdr:rowOff>
        </xdr:from>
        <xdr:to>
          <xdr:col>7</xdr:col>
          <xdr:colOff>0</xdr:colOff>
          <xdr:row>4828</xdr:row>
          <xdr:rowOff>165100</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4829</xdr:row>
          <xdr:rowOff>0</xdr:rowOff>
        </xdr:from>
        <xdr:to>
          <xdr:col>7</xdr:col>
          <xdr:colOff>0</xdr:colOff>
          <xdr:row>4829</xdr:row>
          <xdr:rowOff>165100</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4830</xdr:row>
          <xdr:rowOff>0</xdr:rowOff>
        </xdr:from>
        <xdr:to>
          <xdr:col>7</xdr:col>
          <xdr:colOff>0</xdr:colOff>
          <xdr:row>4830</xdr:row>
          <xdr:rowOff>165100</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4831</xdr:row>
          <xdr:rowOff>0</xdr:rowOff>
        </xdr:from>
        <xdr:to>
          <xdr:col>7</xdr:col>
          <xdr:colOff>0</xdr:colOff>
          <xdr:row>4831</xdr:row>
          <xdr:rowOff>165100</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4832</xdr:row>
          <xdr:rowOff>0</xdr:rowOff>
        </xdr:from>
        <xdr:to>
          <xdr:col>7</xdr:col>
          <xdr:colOff>0</xdr:colOff>
          <xdr:row>4832</xdr:row>
          <xdr:rowOff>165100</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4833</xdr:row>
          <xdr:rowOff>0</xdr:rowOff>
        </xdr:from>
        <xdr:to>
          <xdr:col>7</xdr:col>
          <xdr:colOff>0</xdr:colOff>
          <xdr:row>4833</xdr:row>
          <xdr:rowOff>165100</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4834</xdr:row>
          <xdr:rowOff>0</xdr:rowOff>
        </xdr:from>
        <xdr:to>
          <xdr:col>7</xdr:col>
          <xdr:colOff>0</xdr:colOff>
          <xdr:row>4834</xdr:row>
          <xdr:rowOff>165100</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4835</xdr:row>
          <xdr:rowOff>0</xdr:rowOff>
        </xdr:from>
        <xdr:to>
          <xdr:col>7</xdr:col>
          <xdr:colOff>0</xdr:colOff>
          <xdr:row>4835</xdr:row>
          <xdr:rowOff>165100</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4836</xdr:row>
          <xdr:rowOff>0</xdr:rowOff>
        </xdr:from>
        <xdr:to>
          <xdr:col>7</xdr:col>
          <xdr:colOff>0</xdr:colOff>
          <xdr:row>4836</xdr:row>
          <xdr:rowOff>165100</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4837</xdr:row>
          <xdr:rowOff>0</xdr:rowOff>
        </xdr:from>
        <xdr:to>
          <xdr:col>7</xdr:col>
          <xdr:colOff>0</xdr:colOff>
          <xdr:row>4837</xdr:row>
          <xdr:rowOff>165100</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4840</xdr:row>
          <xdr:rowOff>0</xdr:rowOff>
        </xdr:from>
        <xdr:to>
          <xdr:col>7</xdr:col>
          <xdr:colOff>0</xdr:colOff>
          <xdr:row>4841</xdr:row>
          <xdr:rowOff>0</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4847</xdr:row>
          <xdr:rowOff>0</xdr:rowOff>
        </xdr:from>
        <xdr:to>
          <xdr:col>7</xdr:col>
          <xdr:colOff>0</xdr:colOff>
          <xdr:row>4847</xdr:row>
          <xdr:rowOff>171450</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4848</xdr:row>
          <xdr:rowOff>0</xdr:rowOff>
        </xdr:from>
        <xdr:to>
          <xdr:col>7</xdr:col>
          <xdr:colOff>0</xdr:colOff>
          <xdr:row>4848</xdr:row>
          <xdr:rowOff>165100</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4849</xdr:row>
          <xdr:rowOff>0</xdr:rowOff>
        </xdr:from>
        <xdr:to>
          <xdr:col>7</xdr:col>
          <xdr:colOff>0</xdr:colOff>
          <xdr:row>4849</xdr:row>
          <xdr:rowOff>165100</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4850</xdr:row>
          <xdr:rowOff>0</xdr:rowOff>
        </xdr:from>
        <xdr:to>
          <xdr:col>7</xdr:col>
          <xdr:colOff>0</xdr:colOff>
          <xdr:row>4850</xdr:row>
          <xdr:rowOff>165100</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4851</xdr:row>
          <xdr:rowOff>0</xdr:rowOff>
        </xdr:from>
        <xdr:to>
          <xdr:col>7</xdr:col>
          <xdr:colOff>0</xdr:colOff>
          <xdr:row>4851</xdr:row>
          <xdr:rowOff>165100</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4852</xdr:row>
          <xdr:rowOff>0</xdr:rowOff>
        </xdr:from>
        <xdr:to>
          <xdr:col>7</xdr:col>
          <xdr:colOff>0</xdr:colOff>
          <xdr:row>4852</xdr:row>
          <xdr:rowOff>165100</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4853</xdr:row>
          <xdr:rowOff>0</xdr:rowOff>
        </xdr:from>
        <xdr:to>
          <xdr:col>7</xdr:col>
          <xdr:colOff>0</xdr:colOff>
          <xdr:row>4853</xdr:row>
          <xdr:rowOff>165100</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4854</xdr:row>
          <xdr:rowOff>0</xdr:rowOff>
        </xdr:from>
        <xdr:to>
          <xdr:col>7</xdr:col>
          <xdr:colOff>0</xdr:colOff>
          <xdr:row>4854</xdr:row>
          <xdr:rowOff>165100</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4855</xdr:row>
          <xdr:rowOff>0</xdr:rowOff>
        </xdr:from>
        <xdr:to>
          <xdr:col>7</xdr:col>
          <xdr:colOff>0</xdr:colOff>
          <xdr:row>4855</xdr:row>
          <xdr:rowOff>165100</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4856</xdr:row>
          <xdr:rowOff>0</xdr:rowOff>
        </xdr:from>
        <xdr:to>
          <xdr:col>7</xdr:col>
          <xdr:colOff>0</xdr:colOff>
          <xdr:row>4856</xdr:row>
          <xdr:rowOff>165100</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4857</xdr:row>
          <xdr:rowOff>0</xdr:rowOff>
        </xdr:from>
        <xdr:to>
          <xdr:col>7</xdr:col>
          <xdr:colOff>0</xdr:colOff>
          <xdr:row>4857</xdr:row>
          <xdr:rowOff>165100</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4858</xdr:row>
          <xdr:rowOff>0</xdr:rowOff>
        </xdr:from>
        <xdr:to>
          <xdr:col>7</xdr:col>
          <xdr:colOff>0</xdr:colOff>
          <xdr:row>4858</xdr:row>
          <xdr:rowOff>165100</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4859</xdr:row>
          <xdr:rowOff>0</xdr:rowOff>
        </xdr:from>
        <xdr:to>
          <xdr:col>7</xdr:col>
          <xdr:colOff>0</xdr:colOff>
          <xdr:row>4859</xdr:row>
          <xdr:rowOff>165100</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4860</xdr:row>
          <xdr:rowOff>0</xdr:rowOff>
        </xdr:from>
        <xdr:to>
          <xdr:col>7</xdr:col>
          <xdr:colOff>0</xdr:colOff>
          <xdr:row>4860</xdr:row>
          <xdr:rowOff>165100</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4861</xdr:row>
          <xdr:rowOff>0</xdr:rowOff>
        </xdr:from>
        <xdr:to>
          <xdr:col>7</xdr:col>
          <xdr:colOff>0</xdr:colOff>
          <xdr:row>4861</xdr:row>
          <xdr:rowOff>165100</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4862</xdr:row>
          <xdr:rowOff>0</xdr:rowOff>
        </xdr:from>
        <xdr:to>
          <xdr:col>7</xdr:col>
          <xdr:colOff>0</xdr:colOff>
          <xdr:row>4862</xdr:row>
          <xdr:rowOff>165100</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4863</xdr:row>
          <xdr:rowOff>0</xdr:rowOff>
        </xdr:from>
        <xdr:to>
          <xdr:col>7</xdr:col>
          <xdr:colOff>0</xdr:colOff>
          <xdr:row>4863</xdr:row>
          <xdr:rowOff>165100</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4866</xdr:row>
          <xdr:rowOff>0</xdr:rowOff>
        </xdr:from>
        <xdr:to>
          <xdr:col>7</xdr:col>
          <xdr:colOff>0</xdr:colOff>
          <xdr:row>4867</xdr:row>
          <xdr:rowOff>0</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4873</xdr:row>
          <xdr:rowOff>0</xdr:rowOff>
        </xdr:from>
        <xdr:to>
          <xdr:col>7</xdr:col>
          <xdr:colOff>0</xdr:colOff>
          <xdr:row>4873</xdr:row>
          <xdr:rowOff>171450</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4874</xdr:row>
          <xdr:rowOff>0</xdr:rowOff>
        </xdr:from>
        <xdr:to>
          <xdr:col>7</xdr:col>
          <xdr:colOff>0</xdr:colOff>
          <xdr:row>4874</xdr:row>
          <xdr:rowOff>165100</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4875</xdr:row>
          <xdr:rowOff>0</xdr:rowOff>
        </xdr:from>
        <xdr:to>
          <xdr:col>7</xdr:col>
          <xdr:colOff>0</xdr:colOff>
          <xdr:row>4875</xdr:row>
          <xdr:rowOff>165100</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4876</xdr:row>
          <xdr:rowOff>0</xdr:rowOff>
        </xdr:from>
        <xdr:to>
          <xdr:col>7</xdr:col>
          <xdr:colOff>0</xdr:colOff>
          <xdr:row>4876</xdr:row>
          <xdr:rowOff>165100</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4877</xdr:row>
          <xdr:rowOff>0</xdr:rowOff>
        </xdr:from>
        <xdr:to>
          <xdr:col>7</xdr:col>
          <xdr:colOff>0</xdr:colOff>
          <xdr:row>4877</xdr:row>
          <xdr:rowOff>165100</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4878</xdr:row>
          <xdr:rowOff>0</xdr:rowOff>
        </xdr:from>
        <xdr:to>
          <xdr:col>7</xdr:col>
          <xdr:colOff>0</xdr:colOff>
          <xdr:row>4878</xdr:row>
          <xdr:rowOff>165100</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4879</xdr:row>
          <xdr:rowOff>0</xdr:rowOff>
        </xdr:from>
        <xdr:to>
          <xdr:col>7</xdr:col>
          <xdr:colOff>0</xdr:colOff>
          <xdr:row>4879</xdr:row>
          <xdr:rowOff>165100</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4880</xdr:row>
          <xdr:rowOff>0</xdr:rowOff>
        </xdr:from>
        <xdr:to>
          <xdr:col>7</xdr:col>
          <xdr:colOff>0</xdr:colOff>
          <xdr:row>4880</xdr:row>
          <xdr:rowOff>165100</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4881</xdr:row>
          <xdr:rowOff>0</xdr:rowOff>
        </xdr:from>
        <xdr:to>
          <xdr:col>7</xdr:col>
          <xdr:colOff>0</xdr:colOff>
          <xdr:row>4881</xdr:row>
          <xdr:rowOff>165100</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4882</xdr:row>
          <xdr:rowOff>0</xdr:rowOff>
        </xdr:from>
        <xdr:to>
          <xdr:col>7</xdr:col>
          <xdr:colOff>0</xdr:colOff>
          <xdr:row>4882</xdr:row>
          <xdr:rowOff>165100</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4883</xdr:row>
          <xdr:rowOff>0</xdr:rowOff>
        </xdr:from>
        <xdr:to>
          <xdr:col>7</xdr:col>
          <xdr:colOff>0</xdr:colOff>
          <xdr:row>4883</xdr:row>
          <xdr:rowOff>165100</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4884</xdr:row>
          <xdr:rowOff>0</xdr:rowOff>
        </xdr:from>
        <xdr:to>
          <xdr:col>7</xdr:col>
          <xdr:colOff>0</xdr:colOff>
          <xdr:row>4884</xdr:row>
          <xdr:rowOff>165100</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4885</xdr:row>
          <xdr:rowOff>0</xdr:rowOff>
        </xdr:from>
        <xdr:to>
          <xdr:col>7</xdr:col>
          <xdr:colOff>0</xdr:colOff>
          <xdr:row>4885</xdr:row>
          <xdr:rowOff>165100</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4886</xdr:row>
          <xdr:rowOff>0</xdr:rowOff>
        </xdr:from>
        <xdr:to>
          <xdr:col>7</xdr:col>
          <xdr:colOff>0</xdr:colOff>
          <xdr:row>4886</xdr:row>
          <xdr:rowOff>165100</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4889</xdr:row>
          <xdr:rowOff>0</xdr:rowOff>
        </xdr:from>
        <xdr:to>
          <xdr:col>7</xdr:col>
          <xdr:colOff>0</xdr:colOff>
          <xdr:row>4890</xdr:row>
          <xdr:rowOff>0</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4896</xdr:row>
          <xdr:rowOff>0</xdr:rowOff>
        </xdr:from>
        <xdr:to>
          <xdr:col>7</xdr:col>
          <xdr:colOff>0</xdr:colOff>
          <xdr:row>4896</xdr:row>
          <xdr:rowOff>171450</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4897</xdr:row>
          <xdr:rowOff>0</xdr:rowOff>
        </xdr:from>
        <xdr:to>
          <xdr:col>7</xdr:col>
          <xdr:colOff>0</xdr:colOff>
          <xdr:row>4897</xdr:row>
          <xdr:rowOff>165100</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4898</xdr:row>
          <xdr:rowOff>0</xdr:rowOff>
        </xdr:from>
        <xdr:to>
          <xdr:col>7</xdr:col>
          <xdr:colOff>0</xdr:colOff>
          <xdr:row>4898</xdr:row>
          <xdr:rowOff>165100</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4899</xdr:row>
          <xdr:rowOff>0</xdr:rowOff>
        </xdr:from>
        <xdr:to>
          <xdr:col>7</xdr:col>
          <xdr:colOff>0</xdr:colOff>
          <xdr:row>4899</xdr:row>
          <xdr:rowOff>165100</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4900</xdr:row>
          <xdr:rowOff>0</xdr:rowOff>
        </xdr:from>
        <xdr:to>
          <xdr:col>7</xdr:col>
          <xdr:colOff>0</xdr:colOff>
          <xdr:row>4900</xdr:row>
          <xdr:rowOff>165100</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4901</xdr:row>
          <xdr:rowOff>0</xdr:rowOff>
        </xdr:from>
        <xdr:to>
          <xdr:col>7</xdr:col>
          <xdr:colOff>0</xdr:colOff>
          <xdr:row>4901</xdr:row>
          <xdr:rowOff>165100</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4902</xdr:row>
          <xdr:rowOff>0</xdr:rowOff>
        </xdr:from>
        <xdr:to>
          <xdr:col>7</xdr:col>
          <xdr:colOff>0</xdr:colOff>
          <xdr:row>4902</xdr:row>
          <xdr:rowOff>165100</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4903</xdr:row>
          <xdr:rowOff>0</xdr:rowOff>
        </xdr:from>
        <xdr:to>
          <xdr:col>7</xdr:col>
          <xdr:colOff>0</xdr:colOff>
          <xdr:row>4903</xdr:row>
          <xdr:rowOff>165100</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4904</xdr:row>
          <xdr:rowOff>0</xdr:rowOff>
        </xdr:from>
        <xdr:to>
          <xdr:col>7</xdr:col>
          <xdr:colOff>0</xdr:colOff>
          <xdr:row>4904</xdr:row>
          <xdr:rowOff>165100</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4905</xdr:row>
          <xdr:rowOff>0</xdr:rowOff>
        </xdr:from>
        <xdr:to>
          <xdr:col>7</xdr:col>
          <xdr:colOff>0</xdr:colOff>
          <xdr:row>4905</xdr:row>
          <xdr:rowOff>165100</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4906</xdr:row>
          <xdr:rowOff>0</xdr:rowOff>
        </xdr:from>
        <xdr:to>
          <xdr:col>7</xdr:col>
          <xdr:colOff>0</xdr:colOff>
          <xdr:row>4906</xdr:row>
          <xdr:rowOff>165100</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4907</xdr:row>
          <xdr:rowOff>0</xdr:rowOff>
        </xdr:from>
        <xdr:to>
          <xdr:col>7</xdr:col>
          <xdr:colOff>0</xdr:colOff>
          <xdr:row>4907</xdr:row>
          <xdr:rowOff>165100</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4908</xdr:row>
          <xdr:rowOff>0</xdr:rowOff>
        </xdr:from>
        <xdr:to>
          <xdr:col>7</xdr:col>
          <xdr:colOff>0</xdr:colOff>
          <xdr:row>4908</xdr:row>
          <xdr:rowOff>165100</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4909</xdr:row>
          <xdr:rowOff>0</xdr:rowOff>
        </xdr:from>
        <xdr:to>
          <xdr:col>7</xdr:col>
          <xdr:colOff>0</xdr:colOff>
          <xdr:row>4909</xdr:row>
          <xdr:rowOff>165100</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4912</xdr:row>
          <xdr:rowOff>0</xdr:rowOff>
        </xdr:from>
        <xdr:to>
          <xdr:col>7</xdr:col>
          <xdr:colOff>0</xdr:colOff>
          <xdr:row>4913</xdr:row>
          <xdr:rowOff>0</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4919</xdr:row>
          <xdr:rowOff>0</xdr:rowOff>
        </xdr:from>
        <xdr:to>
          <xdr:col>7</xdr:col>
          <xdr:colOff>0</xdr:colOff>
          <xdr:row>4919</xdr:row>
          <xdr:rowOff>171450</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4920</xdr:row>
          <xdr:rowOff>0</xdr:rowOff>
        </xdr:from>
        <xdr:to>
          <xdr:col>7</xdr:col>
          <xdr:colOff>0</xdr:colOff>
          <xdr:row>4920</xdr:row>
          <xdr:rowOff>165100</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4921</xdr:row>
          <xdr:rowOff>0</xdr:rowOff>
        </xdr:from>
        <xdr:to>
          <xdr:col>7</xdr:col>
          <xdr:colOff>0</xdr:colOff>
          <xdr:row>4921</xdr:row>
          <xdr:rowOff>165100</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4922</xdr:row>
          <xdr:rowOff>0</xdr:rowOff>
        </xdr:from>
        <xdr:to>
          <xdr:col>7</xdr:col>
          <xdr:colOff>0</xdr:colOff>
          <xdr:row>4922</xdr:row>
          <xdr:rowOff>165100</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4925</xdr:row>
          <xdr:rowOff>0</xdr:rowOff>
        </xdr:from>
        <xdr:to>
          <xdr:col>7</xdr:col>
          <xdr:colOff>0</xdr:colOff>
          <xdr:row>4926</xdr:row>
          <xdr:rowOff>0</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4932</xdr:row>
          <xdr:rowOff>0</xdr:rowOff>
        </xdr:from>
        <xdr:to>
          <xdr:col>7</xdr:col>
          <xdr:colOff>0</xdr:colOff>
          <xdr:row>4932</xdr:row>
          <xdr:rowOff>171450</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4933</xdr:row>
          <xdr:rowOff>0</xdr:rowOff>
        </xdr:from>
        <xdr:to>
          <xdr:col>7</xdr:col>
          <xdr:colOff>0</xdr:colOff>
          <xdr:row>4933</xdr:row>
          <xdr:rowOff>165100</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4934</xdr:row>
          <xdr:rowOff>0</xdr:rowOff>
        </xdr:from>
        <xdr:to>
          <xdr:col>7</xdr:col>
          <xdr:colOff>0</xdr:colOff>
          <xdr:row>4934</xdr:row>
          <xdr:rowOff>165100</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4935</xdr:row>
          <xdr:rowOff>0</xdr:rowOff>
        </xdr:from>
        <xdr:to>
          <xdr:col>7</xdr:col>
          <xdr:colOff>0</xdr:colOff>
          <xdr:row>4935</xdr:row>
          <xdr:rowOff>165100</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4936</xdr:row>
          <xdr:rowOff>0</xdr:rowOff>
        </xdr:from>
        <xdr:to>
          <xdr:col>7</xdr:col>
          <xdr:colOff>0</xdr:colOff>
          <xdr:row>4936</xdr:row>
          <xdr:rowOff>165100</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4939</xdr:row>
          <xdr:rowOff>0</xdr:rowOff>
        </xdr:from>
        <xdr:to>
          <xdr:col>7</xdr:col>
          <xdr:colOff>0</xdr:colOff>
          <xdr:row>4940</xdr:row>
          <xdr:rowOff>0</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4946</xdr:row>
          <xdr:rowOff>0</xdr:rowOff>
        </xdr:from>
        <xdr:to>
          <xdr:col>7</xdr:col>
          <xdr:colOff>0</xdr:colOff>
          <xdr:row>4946</xdr:row>
          <xdr:rowOff>171450</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4947</xdr:row>
          <xdr:rowOff>0</xdr:rowOff>
        </xdr:from>
        <xdr:to>
          <xdr:col>7</xdr:col>
          <xdr:colOff>0</xdr:colOff>
          <xdr:row>4947</xdr:row>
          <xdr:rowOff>165100</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4948</xdr:row>
          <xdr:rowOff>0</xdr:rowOff>
        </xdr:from>
        <xdr:to>
          <xdr:col>7</xdr:col>
          <xdr:colOff>0</xdr:colOff>
          <xdr:row>4948</xdr:row>
          <xdr:rowOff>165100</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4951</xdr:row>
          <xdr:rowOff>0</xdr:rowOff>
        </xdr:from>
        <xdr:to>
          <xdr:col>7</xdr:col>
          <xdr:colOff>0</xdr:colOff>
          <xdr:row>4952</xdr:row>
          <xdr:rowOff>0</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4958</xdr:row>
          <xdr:rowOff>0</xdr:rowOff>
        </xdr:from>
        <xdr:to>
          <xdr:col>7</xdr:col>
          <xdr:colOff>0</xdr:colOff>
          <xdr:row>4958</xdr:row>
          <xdr:rowOff>171450</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4959</xdr:row>
          <xdr:rowOff>0</xdr:rowOff>
        </xdr:from>
        <xdr:to>
          <xdr:col>7</xdr:col>
          <xdr:colOff>0</xdr:colOff>
          <xdr:row>4959</xdr:row>
          <xdr:rowOff>165100</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4960</xdr:row>
          <xdr:rowOff>0</xdr:rowOff>
        </xdr:from>
        <xdr:to>
          <xdr:col>7</xdr:col>
          <xdr:colOff>0</xdr:colOff>
          <xdr:row>4960</xdr:row>
          <xdr:rowOff>165100</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4963</xdr:row>
          <xdr:rowOff>0</xdr:rowOff>
        </xdr:from>
        <xdr:to>
          <xdr:col>7</xdr:col>
          <xdr:colOff>0</xdr:colOff>
          <xdr:row>4964</xdr:row>
          <xdr:rowOff>0</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4970</xdr:row>
          <xdr:rowOff>0</xdr:rowOff>
        </xdr:from>
        <xdr:to>
          <xdr:col>7</xdr:col>
          <xdr:colOff>0</xdr:colOff>
          <xdr:row>4970</xdr:row>
          <xdr:rowOff>171450</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4971</xdr:row>
          <xdr:rowOff>0</xdr:rowOff>
        </xdr:from>
        <xdr:to>
          <xdr:col>7</xdr:col>
          <xdr:colOff>0</xdr:colOff>
          <xdr:row>4971</xdr:row>
          <xdr:rowOff>165100</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4974</xdr:row>
          <xdr:rowOff>0</xdr:rowOff>
        </xdr:from>
        <xdr:to>
          <xdr:col>7</xdr:col>
          <xdr:colOff>0</xdr:colOff>
          <xdr:row>4975</xdr:row>
          <xdr:rowOff>0</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4981</xdr:row>
          <xdr:rowOff>0</xdr:rowOff>
        </xdr:from>
        <xdr:to>
          <xdr:col>7</xdr:col>
          <xdr:colOff>0</xdr:colOff>
          <xdr:row>4981</xdr:row>
          <xdr:rowOff>171450</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4982</xdr:row>
          <xdr:rowOff>0</xdr:rowOff>
        </xdr:from>
        <xdr:to>
          <xdr:col>7</xdr:col>
          <xdr:colOff>0</xdr:colOff>
          <xdr:row>4982</xdr:row>
          <xdr:rowOff>165100</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4983</xdr:row>
          <xdr:rowOff>0</xdr:rowOff>
        </xdr:from>
        <xdr:to>
          <xdr:col>7</xdr:col>
          <xdr:colOff>0</xdr:colOff>
          <xdr:row>4983</xdr:row>
          <xdr:rowOff>165100</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4984</xdr:row>
          <xdr:rowOff>0</xdr:rowOff>
        </xdr:from>
        <xdr:to>
          <xdr:col>7</xdr:col>
          <xdr:colOff>0</xdr:colOff>
          <xdr:row>4984</xdr:row>
          <xdr:rowOff>165100</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4985</xdr:row>
          <xdr:rowOff>0</xdr:rowOff>
        </xdr:from>
        <xdr:to>
          <xdr:col>7</xdr:col>
          <xdr:colOff>0</xdr:colOff>
          <xdr:row>4985</xdr:row>
          <xdr:rowOff>165100</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4986</xdr:row>
          <xdr:rowOff>0</xdr:rowOff>
        </xdr:from>
        <xdr:to>
          <xdr:col>7</xdr:col>
          <xdr:colOff>0</xdr:colOff>
          <xdr:row>4986</xdr:row>
          <xdr:rowOff>165100</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4987</xdr:row>
          <xdr:rowOff>0</xdr:rowOff>
        </xdr:from>
        <xdr:to>
          <xdr:col>7</xdr:col>
          <xdr:colOff>0</xdr:colOff>
          <xdr:row>4987</xdr:row>
          <xdr:rowOff>165100</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4990</xdr:row>
          <xdr:rowOff>0</xdr:rowOff>
        </xdr:from>
        <xdr:to>
          <xdr:col>7</xdr:col>
          <xdr:colOff>0</xdr:colOff>
          <xdr:row>4991</xdr:row>
          <xdr:rowOff>0</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4997</xdr:row>
          <xdr:rowOff>0</xdr:rowOff>
        </xdr:from>
        <xdr:to>
          <xdr:col>7</xdr:col>
          <xdr:colOff>0</xdr:colOff>
          <xdr:row>4997</xdr:row>
          <xdr:rowOff>171450</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4998</xdr:row>
          <xdr:rowOff>0</xdr:rowOff>
        </xdr:from>
        <xdr:to>
          <xdr:col>7</xdr:col>
          <xdr:colOff>0</xdr:colOff>
          <xdr:row>4998</xdr:row>
          <xdr:rowOff>165100</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4999</xdr:row>
          <xdr:rowOff>0</xdr:rowOff>
        </xdr:from>
        <xdr:to>
          <xdr:col>7</xdr:col>
          <xdr:colOff>0</xdr:colOff>
          <xdr:row>4999</xdr:row>
          <xdr:rowOff>165100</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5000</xdr:row>
          <xdr:rowOff>0</xdr:rowOff>
        </xdr:from>
        <xdr:to>
          <xdr:col>7</xdr:col>
          <xdr:colOff>0</xdr:colOff>
          <xdr:row>5000</xdr:row>
          <xdr:rowOff>165100</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5001</xdr:row>
          <xdr:rowOff>0</xdr:rowOff>
        </xdr:from>
        <xdr:to>
          <xdr:col>7</xdr:col>
          <xdr:colOff>0</xdr:colOff>
          <xdr:row>5001</xdr:row>
          <xdr:rowOff>165100</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5002</xdr:row>
          <xdr:rowOff>0</xdr:rowOff>
        </xdr:from>
        <xdr:to>
          <xdr:col>7</xdr:col>
          <xdr:colOff>0</xdr:colOff>
          <xdr:row>5002</xdr:row>
          <xdr:rowOff>165100</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5003</xdr:row>
          <xdr:rowOff>0</xdr:rowOff>
        </xdr:from>
        <xdr:to>
          <xdr:col>7</xdr:col>
          <xdr:colOff>0</xdr:colOff>
          <xdr:row>5003</xdr:row>
          <xdr:rowOff>165100</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5006</xdr:row>
          <xdr:rowOff>0</xdr:rowOff>
        </xdr:from>
        <xdr:to>
          <xdr:col>7</xdr:col>
          <xdr:colOff>0</xdr:colOff>
          <xdr:row>5007</xdr:row>
          <xdr:rowOff>0</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5013</xdr:row>
          <xdr:rowOff>0</xdr:rowOff>
        </xdr:from>
        <xdr:to>
          <xdr:col>7</xdr:col>
          <xdr:colOff>0</xdr:colOff>
          <xdr:row>5013</xdr:row>
          <xdr:rowOff>171450</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5014</xdr:row>
          <xdr:rowOff>0</xdr:rowOff>
        </xdr:from>
        <xdr:to>
          <xdr:col>7</xdr:col>
          <xdr:colOff>0</xdr:colOff>
          <xdr:row>5014</xdr:row>
          <xdr:rowOff>165100</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5015</xdr:row>
          <xdr:rowOff>0</xdr:rowOff>
        </xdr:from>
        <xdr:to>
          <xdr:col>7</xdr:col>
          <xdr:colOff>0</xdr:colOff>
          <xdr:row>5015</xdr:row>
          <xdr:rowOff>165100</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5016</xdr:row>
          <xdr:rowOff>0</xdr:rowOff>
        </xdr:from>
        <xdr:to>
          <xdr:col>7</xdr:col>
          <xdr:colOff>0</xdr:colOff>
          <xdr:row>5016</xdr:row>
          <xdr:rowOff>165100</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5017</xdr:row>
          <xdr:rowOff>0</xdr:rowOff>
        </xdr:from>
        <xdr:to>
          <xdr:col>7</xdr:col>
          <xdr:colOff>0</xdr:colOff>
          <xdr:row>5017</xdr:row>
          <xdr:rowOff>165100</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5018</xdr:row>
          <xdr:rowOff>0</xdr:rowOff>
        </xdr:from>
        <xdr:to>
          <xdr:col>7</xdr:col>
          <xdr:colOff>0</xdr:colOff>
          <xdr:row>5018</xdr:row>
          <xdr:rowOff>165100</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5021</xdr:row>
          <xdr:rowOff>0</xdr:rowOff>
        </xdr:from>
        <xdr:to>
          <xdr:col>7</xdr:col>
          <xdr:colOff>0</xdr:colOff>
          <xdr:row>5022</xdr:row>
          <xdr:rowOff>0</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5028</xdr:row>
          <xdr:rowOff>0</xdr:rowOff>
        </xdr:from>
        <xdr:to>
          <xdr:col>7</xdr:col>
          <xdr:colOff>0</xdr:colOff>
          <xdr:row>5028</xdr:row>
          <xdr:rowOff>171450</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5029</xdr:row>
          <xdr:rowOff>0</xdr:rowOff>
        </xdr:from>
        <xdr:to>
          <xdr:col>7</xdr:col>
          <xdr:colOff>0</xdr:colOff>
          <xdr:row>5029</xdr:row>
          <xdr:rowOff>165100</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5030</xdr:row>
          <xdr:rowOff>0</xdr:rowOff>
        </xdr:from>
        <xdr:to>
          <xdr:col>7</xdr:col>
          <xdr:colOff>0</xdr:colOff>
          <xdr:row>5030</xdr:row>
          <xdr:rowOff>165100</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5031</xdr:row>
          <xdr:rowOff>0</xdr:rowOff>
        </xdr:from>
        <xdr:to>
          <xdr:col>7</xdr:col>
          <xdr:colOff>0</xdr:colOff>
          <xdr:row>5031</xdr:row>
          <xdr:rowOff>165100</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5034</xdr:row>
          <xdr:rowOff>0</xdr:rowOff>
        </xdr:from>
        <xdr:to>
          <xdr:col>7</xdr:col>
          <xdr:colOff>0</xdr:colOff>
          <xdr:row>5035</xdr:row>
          <xdr:rowOff>0</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5041</xdr:row>
          <xdr:rowOff>0</xdr:rowOff>
        </xdr:from>
        <xdr:to>
          <xdr:col>7</xdr:col>
          <xdr:colOff>0</xdr:colOff>
          <xdr:row>5041</xdr:row>
          <xdr:rowOff>171450</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5042</xdr:row>
          <xdr:rowOff>0</xdr:rowOff>
        </xdr:from>
        <xdr:to>
          <xdr:col>7</xdr:col>
          <xdr:colOff>0</xdr:colOff>
          <xdr:row>5042</xdr:row>
          <xdr:rowOff>165100</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5043</xdr:row>
          <xdr:rowOff>0</xdr:rowOff>
        </xdr:from>
        <xdr:to>
          <xdr:col>7</xdr:col>
          <xdr:colOff>0</xdr:colOff>
          <xdr:row>5043</xdr:row>
          <xdr:rowOff>165100</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5044</xdr:row>
          <xdr:rowOff>0</xdr:rowOff>
        </xdr:from>
        <xdr:to>
          <xdr:col>7</xdr:col>
          <xdr:colOff>0</xdr:colOff>
          <xdr:row>5044</xdr:row>
          <xdr:rowOff>165100</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5045</xdr:row>
          <xdr:rowOff>0</xdr:rowOff>
        </xdr:from>
        <xdr:to>
          <xdr:col>7</xdr:col>
          <xdr:colOff>0</xdr:colOff>
          <xdr:row>5045</xdr:row>
          <xdr:rowOff>165100</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5046</xdr:row>
          <xdr:rowOff>0</xdr:rowOff>
        </xdr:from>
        <xdr:to>
          <xdr:col>7</xdr:col>
          <xdr:colOff>0</xdr:colOff>
          <xdr:row>5046</xdr:row>
          <xdr:rowOff>165100</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5047</xdr:row>
          <xdr:rowOff>0</xdr:rowOff>
        </xdr:from>
        <xdr:to>
          <xdr:col>7</xdr:col>
          <xdr:colOff>0</xdr:colOff>
          <xdr:row>5047</xdr:row>
          <xdr:rowOff>165100</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5050</xdr:row>
          <xdr:rowOff>0</xdr:rowOff>
        </xdr:from>
        <xdr:to>
          <xdr:col>7</xdr:col>
          <xdr:colOff>0</xdr:colOff>
          <xdr:row>5051</xdr:row>
          <xdr:rowOff>0</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5057</xdr:row>
          <xdr:rowOff>0</xdr:rowOff>
        </xdr:from>
        <xdr:to>
          <xdr:col>7</xdr:col>
          <xdr:colOff>0</xdr:colOff>
          <xdr:row>5057</xdr:row>
          <xdr:rowOff>171450</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5058</xdr:row>
          <xdr:rowOff>0</xdr:rowOff>
        </xdr:from>
        <xdr:to>
          <xdr:col>7</xdr:col>
          <xdr:colOff>0</xdr:colOff>
          <xdr:row>5058</xdr:row>
          <xdr:rowOff>165100</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5059</xdr:row>
          <xdr:rowOff>0</xdr:rowOff>
        </xdr:from>
        <xdr:to>
          <xdr:col>7</xdr:col>
          <xdr:colOff>0</xdr:colOff>
          <xdr:row>5059</xdr:row>
          <xdr:rowOff>165100</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5062</xdr:row>
          <xdr:rowOff>0</xdr:rowOff>
        </xdr:from>
        <xdr:to>
          <xdr:col>7</xdr:col>
          <xdr:colOff>0</xdr:colOff>
          <xdr:row>5063</xdr:row>
          <xdr:rowOff>0</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5069</xdr:row>
          <xdr:rowOff>0</xdr:rowOff>
        </xdr:from>
        <xdr:to>
          <xdr:col>7</xdr:col>
          <xdr:colOff>0</xdr:colOff>
          <xdr:row>5069</xdr:row>
          <xdr:rowOff>171450</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5070</xdr:row>
          <xdr:rowOff>0</xdr:rowOff>
        </xdr:from>
        <xdr:to>
          <xdr:col>7</xdr:col>
          <xdr:colOff>0</xdr:colOff>
          <xdr:row>5070</xdr:row>
          <xdr:rowOff>165100</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5071</xdr:row>
          <xdr:rowOff>0</xdr:rowOff>
        </xdr:from>
        <xdr:to>
          <xdr:col>7</xdr:col>
          <xdr:colOff>0</xdr:colOff>
          <xdr:row>5071</xdr:row>
          <xdr:rowOff>165100</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5074</xdr:row>
          <xdr:rowOff>0</xdr:rowOff>
        </xdr:from>
        <xdr:to>
          <xdr:col>7</xdr:col>
          <xdr:colOff>0</xdr:colOff>
          <xdr:row>5075</xdr:row>
          <xdr:rowOff>0</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5081</xdr:row>
          <xdr:rowOff>0</xdr:rowOff>
        </xdr:from>
        <xdr:to>
          <xdr:col>7</xdr:col>
          <xdr:colOff>0</xdr:colOff>
          <xdr:row>5081</xdr:row>
          <xdr:rowOff>171450</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5082</xdr:row>
          <xdr:rowOff>0</xdr:rowOff>
        </xdr:from>
        <xdr:to>
          <xdr:col>7</xdr:col>
          <xdr:colOff>0</xdr:colOff>
          <xdr:row>5082</xdr:row>
          <xdr:rowOff>165100</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5083</xdr:row>
          <xdr:rowOff>0</xdr:rowOff>
        </xdr:from>
        <xdr:to>
          <xdr:col>7</xdr:col>
          <xdr:colOff>0</xdr:colOff>
          <xdr:row>5083</xdr:row>
          <xdr:rowOff>165100</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5084</xdr:row>
          <xdr:rowOff>0</xdr:rowOff>
        </xdr:from>
        <xdr:to>
          <xdr:col>7</xdr:col>
          <xdr:colOff>0</xdr:colOff>
          <xdr:row>5084</xdr:row>
          <xdr:rowOff>165100</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5085</xdr:row>
          <xdr:rowOff>0</xdr:rowOff>
        </xdr:from>
        <xdr:to>
          <xdr:col>7</xdr:col>
          <xdr:colOff>0</xdr:colOff>
          <xdr:row>5085</xdr:row>
          <xdr:rowOff>165100</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5086</xdr:row>
          <xdr:rowOff>0</xdr:rowOff>
        </xdr:from>
        <xdr:to>
          <xdr:col>7</xdr:col>
          <xdr:colOff>0</xdr:colOff>
          <xdr:row>5086</xdr:row>
          <xdr:rowOff>165100</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5087</xdr:row>
          <xdr:rowOff>0</xdr:rowOff>
        </xdr:from>
        <xdr:to>
          <xdr:col>7</xdr:col>
          <xdr:colOff>0</xdr:colOff>
          <xdr:row>5087</xdr:row>
          <xdr:rowOff>165100</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5090</xdr:row>
          <xdr:rowOff>0</xdr:rowOff>
        </xdr:from>
        <xdr:to>
          <xdr:col>7</xdr:col>
          <xdr:colOff>0</xdr:colOff>
          <xdr:row>5091</xdr:row>
          <xdr:rowOff>0</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5097</xdr:row>
          <xdr:rowOff>0</xdr:rowOff>
        </xdr:from>
        <xdr:to>
          <xdr:col>7</xdr:col>
          <xdr:colOff>0</xdr:colOff>
          <xdr:row>5097</xdr:row>
          <xdr:rowOff>171450</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5098</xdr:row>
          <xdr:rowOff>0</xdr:rowOff>
        </xdr:from>
        <xdr:to>
          <xdr:col>7</xdr:col>
          <xdr:colOff>0</xdr:colOff>
          <xdr:row>5098</xdr:row>
          <xdr:rowOff>165100</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5099</xdr:row>
          <xdr:rowOff>0</xdr:rowOff>
        </xdr:from>
        <xdr:to>
          <xdr:col>7</xdr:col>
          <xdr:colOff>0</xdr:colOff>
          <xdr:row>5099</xdr:row>
          <xdr:rowOff>165100</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5100</xdr:row>
          <xdr:rowOff>0</xdr:rowOff>
        </xdr:from>
        <xdr:to>
          <xdr:col>7</xdr:col>
          <xdr:colOff>0</xdr:colOff>
          <xdr:row>5100</xdr:row>
          <xdr:rowOff>165100</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5101</xdr:row>
          <xdr:rowOff>0</xdr:rowOff>
        </xdr:from>
        <xdr:to>
          <xdr:col>7</xdr:col>
          <xdr:colOff>0</xdr:colOff>
          <xdr:row>5101</xdr:row>
          <xdr:rowOff>165100</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5104</xdr:row>
          <xdr:rowOff>0</xdr:rowOff>
        </xdr:from>
        <xdr:to>
          <xdr:col>7</xdr:col>
          <xdr:colOff>0</xdr:colOff>
          <xdr:row>5105</xdr:row>
          <xdr:rowOff>0</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5111</xdr:row>
          <xdr:rowOff>0</xdr:rowOff>
        </xdr:from>
        <xdr:to>
          <xdr:col>7</xdr:col>
          <xdr:colOff>0</xdr:colOff>
          <xdr:row>5111</xdr:row>
          <xdr:rowOff>171450</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5112</xdr:row>
          <xdr:rowOff>0</xdr:rowOff>
        </xdr:from>
        <xdr:to>
          <xdr:col>7</xdr:col>
          <xdr:colOff>0</xdr:colOff>
          <xdr:row>5112</xdr:row>
          <xdr:rowOff>165100</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5113</xdr:row>
          <xdr:rowOff>0</xdr:rowOff>
        </xdr:from>
        <xdr:to>
          <xdr:col>7</xdr:col>
          <xdr:colOff>0</xdr:colOff>
          <xdr:row>5113</xdr:row>
          <xdr:rowOff>165100</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5114</xdr:row>
          <xdr:rowOff>0</xdr:rowOff>
        </xdr:from>
        <xdr:to>
          <xdr:col>7</xdr:col>
          <xdr:colOff>0</xdr:colOff>
          <xdr:row>5114</xdr:row>
          <xdr:rowOff>165100</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5117</xdr:row>
          <xdr:rowOff>0</xdr:rowOff>
        </xdr:from>
        <xdr:to>
          <xdr:col>7</xdr:col>
          <xdr:colOff>0</xdr:colOff>
          <xdr:row>5118</xdr:row>
          <xdr:rowOff>0</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5124</xdr:row>
          <xdr:rowOff>0</xdr:rowOff>
        </xdr:from>
        <xdr:to>
          <xdr:col>7</xdr:col>
          <xdr:colOff>0</xdr:colOff>
          <xdr:row>5124</xdr:row>
          <xdr:rowOff>171450</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5125</xdr:row>
          <xdr:rowOff>0</xdr:rowOff>
        </xdr:from>
        <xdr:to>
          <xdr:col>7</xdr:col>
          <xdr:colOff>0</xdr:colOff>
          <xdr:row>5125</xdr:row>
          <xdr:rowOff>165100</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5128</xdr:row>
          <xdr:rowOff>0</xdr:rowOff>
        </xdr:from>
        <xdr:to>
          <xdr:col>7</xdr:col>
          <xdr:colOff>0</xdr:colOff>
          <xdr:row>5129</xdr:row>
          <xdr:rowOff>0</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5135</xdr:row>
          <xdr:rowOff>0</xdr:rowOff>
        </xdr:from>
        <xdr:to>
          <xdr:col>7</xdr:col>
          <xdr:colOff>0</xdr:colOff>
          <xdr:row>5135</xdr:row>
          <xdr:rowOff>171450</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5136</xdr:row>
          <xdr:rowOff>0</xdr:rowOff>
        </xdr:from>
        <xdr:to>
          <xdr:col>7</xdr:col>
          <xdr:colOff>0</xdr:colOff>
          <xdr:row>5136</xdr:row>
          <xdr:rowOff>165100</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5139</xdr:row>
          <xdr:rowOff>0</xdr:rowOff>
        </xdr:from>
        <xdr:to>
          <xdr:col>7</xdr:col>
          <xdr:colOff>0</xdr:colOff>
          <xdr:row>5140</xdr:row>
          <xdr:rowOff>0</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5146</xdr:row>
          <xdr:rowOff>0</xdr:rowOff>
        </xdr:from>
        <xdr:to>
          <xdr:col>7</xdr:col>
          <xdr:colOff>0</xdr:colOff>
          <xdr:row>5146</xdr:row>
          <xdr:rowOff>171450</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5147</xdr:row>
          <xdr:rowOff>0</xdr:rowOff>
        </xdr:from>
        <xdr:to>
          <xdr:col>7</xdr:col>
          <xdr:colOff>0</xdr:colOff>
          <xdr:row>5147</xdr:row>
          <xdr:rowOff>165100</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5148</xdr:row>
          <xdr:rowOff>0</xdr:rowOff>
        </xdr:from>
        <xdr:to>
          <xdr:col>7</xdr:col>
          <xdr:colOff>0</xdr:colOff>
          <xdr:row>5148</xdr:row>
          <xdr:rowOff>165100</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5149</xdr:row>
          <xdr:rowOff>0</xdr:rowOff>
        </xdr:from>
        <xdr:to>
          <xdr:col>7</xdr:col>
          <xdr:colOff>0</xdr:colOff>
          <xdr:row>5149</xdr:row>
          <xdr:rowOff>165100</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5152</xdr:row>
          <xdr:rowOff>0</xdr:rowOff>
        </xdr:from>
        <xdr:to>
          <xdr:col>7</xdr:col>
          <xdr:colOff>0</xdr:colOff>
          <xdr:row>5153</xdr:row>
          <xdr:rowOff>0</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5159</xdr:row>
          <xdr:rowOff>0</xdr:rowOff>
        </xdr:from>
        <xdr:to>
          <xdr:col>7</xdr:col>
          <xdr:colOff>0</xdr:colOff>
          <xdr:row>5159</xdr:row>
          <xdr:rowOff>171450</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5160</xdr:row>
          <xdr:rowOff>0</xdr:rowOff>
        </xdr:from>
        <xdr:to>
          <xdr:col>7</xdr:col>
          <xdr:colOff>0</xdr:colOff>
          <xdr:row>5160</xdr:row>
          <xdr:rowOff>165100</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5163</xdr:row>
          <xdr:rowOff>0</xdr:rowOff>
        </xdr:from>
        <xdr:to>
          <xdr:col>7</xdr:col>
          <xdr:colOff>0</xdr:colOff>
          <xdr:row>5164</xdr:row>
          <xdr:rowOff>0</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5170</xdr:row>
          <xdr:rowOff>0</xdr:rowOff>
        </xdr:from>
        <xdr:to>
          <xdr:col>7</xdr:col>
          <xdr:colOff>0</xdr:colOff>
          <xdr:row>5170</xdr:row>
          <xdr:rowOff>171450</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5171</xdr:row>
          <xdr:rowOff>0</xdr:rowOff>
        </xdr:from>
        <xdr:to>
          <xdr:col>7</xdr:col>
          <xdr:colOff>0</xdr:colOff>
          <xdr:row>5171</xdr:row>
          <xdr:rowOff>165100</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5174</xdr:row>
          <xdr:rowOff>0</xdr:rowOff>
        </xdr:from>
        <xdr:to>
          <xdr:col>7</xdr:col>
          <xdr:colOff>0</xdr:colOff>
          <xdr:row>5175</xdr:row>
          <xdr:rowOff>0</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5181</xdr:row>
          <xdr:rowOff>0</xdr:rowOff>
        </xdr:from>
        <xdr:to>
          <xdr:col>7</xdr:col>
          <xdr:colOff>0</xdr:colOff>
          <xdr:row>5181</xdr:row>
          <xdr:rowOff>171450</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5182</xdr:row>
          <xdr:rowOff>0</xdr:rowOff>
        </xdr:from>
        <xdr:to>
          <xdr:col>7</xdr:col>
          <xdr:colOff>0</xdr:colOff>
          <xdr:row>5182</xdr:row>
          <xdr:rowOff>165100</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5185</xdr:row>
          <xdr:rowOff>0</xdr:rowOff>
        </xdr:from>
        <xdr:to>
          <xdr:col>7</xdr:col>
          <xdr:colOff>0</xdr:colOff>
          <xdr:row>5186</xdr:row>
          <xdr:rowOff>0</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5192</xdr:row>
          <xdr:rowOff>0</xdr:rowOff>
        </xdr:from>
        <xdr:to>
          <xdr:col>7</xdr:col>
          <xdr:colOff>0</xdr:colOff>
          <xdr:row>5192</xdr:row>
          <xdr:rowOff>171450</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5193</xdr:row>
          <xdr:rowOff>0</xdr:rowOff>
        </xdr:from>
        <xdr:to>
          <xdr:col>7</xdr:col>
          <xdr:colOff>0</xdr:colOff>
          <xdr:row>5193</xdr:row>
          <xdr:rowOff>165100</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5196</xdr:row>
          <xdr:rowOff>0</xdr:rowOff>
        </xdr:from>
        <xdr:to>
          <xdr:col>7</xdr:col>
          <xdr:colOff>0</xdr:colOff>
          <xdr:row>5197</xdr:row>
          <xdr:rowOff>0</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5203</xdr:row>
          <xdr:rowOff>0</xdr:rowOff>
        </xdr:from>
        <xdr:to>
          <xdr:col>7</xdr:col>
          <xdr:colOff>0</xdr:colOff>
          <xdr:row>5203</xdr:row>
          <xdr:rowOff>171450</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5204</xdr:row>
          <xdr:rowOff>0</xdr:rowOff>
        </xdr:from>
        <xdr:to>
          <xdr:col>7</xdr:col>
          <xdr:colOff>0</xdr:colOff>
          <xdr:row>5204</xdr:row>
          <xdr:rowOff>165100</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5205</xdr:row>
          <xdr:rowOff>0</xdr:rowOff>
        </xdr:from>
        <xdr:to>
          <xdr:col>7</xdr:col>
          <xdr:colOff>0</xdr:colOff>
          <xdr:row>5205</xdr:row>
          <xdr:rowOff>165100</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5208</xdr:row>
          <xdr:rowOff>0</xdr:rowOff>
        </xdr:from>
        <xdr:to>
          <xdr:col>7</xdr:col>
          <xdr:colOff>0</xdr:colOff>
          <xdr:row>5209</xdr:row>
          <xdr:rowOff>0</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5215</xdr:row>
          <xdr:rowOff>0</xdr:rowOff>
        </xdr:from>
        <xdr:to>
          <xdr:col>7</xdr:col>
          <xdr:colOff>0</xdr:colOff>
          <xdr:row>5215</xdr:row>
          <xdr:rowOff>171450</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5216</xdr:row>
          <xdr:rowOff>0</xdr:rowOff>
        </xdr:from>
        <xdr:to>
          <xdr:col>7</xdr:col>
          <xdr:colOff>0</xdr:colOff>
          <xdr:row>5216</xdr:row>
          <xdr:rowOff>165100</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5217</xdr:row>
          <xdr:rowOff>0</xdr:rowOff>
        </xdr:from>
        <xdr:to>
          <xdr:col>7</xdr:col>
          <xdr:colOff>0</xdr:colOff>
          <xdr:row>5217</xdr:row>
          <xdr:rowOff>165100</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5220</xdr:row>
          <xdr:rowOff>0</xdr:rowOff>
        </xdr:from>
        <xdr:to>
          <xdr:col>7</xdr:col>
          <xdr:colOff>0</xdr:colOff>
          <xdr:row>5221</xdr:row>
          <xdr:rowOff>0</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5227</xdr:row>
          <xdr:rowOff>0</xdr:rowOff>
        </xdr:from>
        <xdr:to>
          <xdr:col>7</xdr:col>
          <xdr:colOff>0</xdr:colOff>
          <xdr:row>5227</xdr:row>
          <xdr:rowOff>171450</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5228</xdr:row>
          <xdr:rowOff>0</xdr:rowOff>
        </xdr:from>
        <xdr:to>
          <xdr:col>7</xdr:col>
          <xdr:colOff>0</xdr:colOff>
          <xdr:row>5228</xdr:row>
          <xdr:rowOff>165100</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5229</xdr:row>
          <xdr:rowOff>0</xdr:rowOff>
        </xdr:from>
        <xdr:to>
          <xdr:col>7</xdr:col>
          <xdr:colOff>0</xdr:colOff>
          <xdr:row>5229</xdr:row>
          <xdr:rowOff>165100</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5232</xdr:row>
          <xdr:rowOff>0</xdr:rowOff>
        </xdr:from>
        <xdr:to>
          <xdr:col>7</xdr:col>
          <xdr:colOff>0</xdr:colOff>
          <xdr:row>5233</xdr:row>
          <xdr:rowOff>0</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5239</xdr:row>
          <xdr:rowOff>0</xdr:rowOff>
        </xdr:from>
        <xdr:to>
          <xdr:col>7</xdr:col>
          <xdr:colOff>0</xdr:colOff>
          <xdr:row>5239</xdr:row>
          <xdr:rowOff>171450</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5240</xdr:row>
          <xdr:rowOff>0</xdr:rowOff>
        </xdr:from>
        <xdr:to>
          <xdr:col>7</xdr:col>
          <xdr:colOff>0</xdr:colOff>
          <xdr:row>5240</xdr:row>
          <xdr:rowOff>165100</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5241</xdr:row>
          <xdr:rowOff>0</xdr:rowOff>
        </xdr:from>
        <xdr:to>
          <xdr:col>7</xdr:col>
          <xdr:colOff>0</xdr:colOff>
          <xdr:row>5241</xdr:row>
          <xdr:rowOff>165100</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5244</xdr:row>
          <xdr:rowOff>0</xdr:rowOff>
        </xdr:from>
        <xdr:to>
          <xdr:col>7</xdr:col>
          <xdr:colOff>0</xdr:colOff>
          <xdr:row>5245</xdr:row>
          <xdr:rowOff>0</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5251</xdr:row>
          <xdr:rowOff>0</xdr:rowOff>
        </xdr:from>
        <xdr:to>
          <xdr:col>7</xdr:col>
          <xdr:colOff>0</xdr:colOff>
          <xdr:row>5251</xdr:row>
          <xdr:rowOff>171450</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5252</xdr:row>
          <xdr:rowOff>0</xdr:rowOff>
        </xdr:from>
        <xdr:to>
          <xdr:col>7</xdr:col>
          <xdr:colOff>0</xdr:colOff>
          <xdr:row>5252</xdr:row>
          <xdr:rowOff>165100</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5253</xdr:row>
          <xdr:rowOff>0</xdr:rowOff>
        </xdr:from>
        <xdr:to>
          <xdr:col>7</xdr:col>
          <xdr:colOff>0</xdr:colOff>
          <xdr:row>5253</xdr:row>
          <xdr:rowOff>165100</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5254</xdr:row>
          <xdr:rowOff>0</xdr:rowOff>
        </xdr:from>
        <xdr:to>
          <xdr:col>7</xdr:col>
          <xdr:colOff>0</xdr:colOff>
          <xdr:row>5254</xdr:row>
          <xdr:rowOff>165100</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5255</xdr:row>
          <xdr:rowOff>0</xdr:rowOff>
        </xdr:from>
        <xdr:to>
          <xdr:col>7</xdr:col>
          <xdr:colOff>0</xdr:colOff>
          <xdr:row>5255</xdr:row>
          <xdr:rowOff>165100</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5256</xdr:row>
          <xdr:rowOff>0</xdr:rowOff>
        </xdr:from>
        <xdr:to>
          <xdr:col>7</xdr:col>
          <xdr:colOff>0</xdr:colOff>
          <xdr:row>5256</xdr:row>
          <xdr:rowOff>165100</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5257</xdr:row>
          <xdr:rowOff>0</xdr:rowOff>
        </xdr:from>
        <xdr:to>
          <xdr:col>7</xdr:col>
          <xdr:colOff>0</xdr:colOff>
          <xdr:row>5257</xdr:row>
          <xdr:rowOff>165100</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5258</xdr:row>
          <xdr:rowOff>0</xdr:rowOff>
        </xdr:from>
        <xdr:to>
          <xdr:col>7</xdr:col>
          <xdr:colOff>0</xdr:colOff>
          <xdr:row>5258</xdr:row>
          <xdr:rowOff>165100</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5259</xdr:row>
          <xdr:rowOff>0</xdr:rowOff>
        </xdr:from>
        <xdr:to>
          <xdr:col>7</xdr:col>
          <xdr:colOff>0</xdr:colOff>
          <xdr:row>5259</xdr:row>
          <xdr:rowOff>165100</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5260</xdr:row>
          <xdr:rowOff>0</xdr:rowOff>
        </xdr:from>
        <xdr:to>
          <xdr:col>7</xdr:col>
          <xdr:colOff>0</xdr:colOff>
          <xdr:row>5260</xdr:row>
          <xdr:rowOff>165100</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5261</xdr:row>
          <xdr:rowOff>0</xdr:rowOff>
        </xdr:from>
        <xdr:to>
          <xdr:col>7</xdr:col>
          <xdr:colOff>0</xdr:colOff>
          <xdr:row>5261</xdr:row>
          <xdr:rowOff>165100</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5262</xdr:row>
          <xdr:rowOff>0</xdr:rowOff>
        </xdr:from>
        <xdr:to>
          <xdr:col>7</xdr:col>
          <xdr:colOff>0</xdr:colOff>
          <xdr:row>5262</xdr:row>
          <xdr:rowOff>165100</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5263</xdr:row>
          <xdr:rowOff>0</xdr:rowOff>
        </xdr:from>
        <xdr:to>
          <xdr:col>7</xdr:col>
          <xdr:colOff>0</xdr:colOff>
          <xdr:row>5263</xdr:row>
          <xdr:rowOff>165100</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5264</xdr:row>
          <xdr:rowOff>0</xdr:rowOff>
        </xdr:from>
        <xdr:to>
          <xdr:col>7</xdr:col>
          <xdr:colOff>0</xdr:colOff>
          <xdr:row>5264</xdr:row>
          <xdr:rowOff>165100</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5265</xdr:row>
          <xdr:rowOff>0</xdr:rowOff>
        </xdr:from>
        <xdr:to>
          <xdr:col>7</xdr:col>
          <xdr:colOff>0</xdr:colOff>
          <xdr:row>5265</xdr:row>
          <xdr:rowOff>165100</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5266</xdr:row>
          <xdr:rowOff>0</xdr:rowOff>
        </xdr:from>
        <xdr:to>
          <xdr:col>7</xdr:col>
          <xdr:colOff>0</xdr:colOff>
          <xdr:row>5266</xdr:row>
          <xdr:rowOff>165100</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5267</xdr:row>
          <xdr:rowOff>0</xdr:rowOff>
        </xdr:from>
        <xdr:to>
          <xdr:col>7</xdr:col>
          <xdr:colOff>0</xdr:colOff>
          <xdr:row>5267</xdr:row>
          <xdr:rowOff>165100</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5268</xdr:row>
          <xdr:rowOff>0</xdr:rowOff>
        </xdr:from>
        <xdr:to>
          <xdr:col>7</xdr:col>
          <xdr:colOff>0</xdr:colOff>
          <xdr:row>5268</xdr:row>
          <xdr:rowOff>165100</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5269</xdr:row>
          <xdr:rowOff>0</xdr:rowOff>
        </xdr:from>
        <xdr:to>
          <xdr:col>7</xdr:col>
          <xdr:colOff>0</xdr:colOff>
          <xdr:row>5269</xdr:row>
          <xdr:rowOff>165100</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5270</xdr:row>
          <xdr:rowOff>0</xdr:rowOff>
        </xdr:from>
        <xdr:to>
          <xdr:col>7</xdr:col>
          <xdr:colOff>0</xdr:colOff>
          <xdr:row>5270</xdr:row>
          <xdr:rowOff>165100</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5271</xdr:row>
          <xdr:rowOff>0</xdr:rowOff>
        </xdr:from>
        <xdr:to>
          <xdr:col>7</xdr:col>
          <xdr:colOff>0</xdr:colOff>
          <xdr:row>5271</xdr:row>
          <xdr:rowOff>165100</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5272</xdr:row>
          <xdr:rowOff>0</xdr:rowOff>
        </xdr:from>
        <xdr:to>
          <xdr:col>7</xdr:col>
          <xdr:colOff>0</xdr:colOff>
          <xdr:row>5272</xdr:row>
          <xdr:rowOff>165100</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5275</xdr:row>
          <xdr:rowOff>0</xdr:rowOff>
        </xdr:from>
        <xdr:to>
          <xdr:col>7</xdr:col>
          <xdr:colOff>0</xdr:colOff>
          <xdr:row>5276</xdr:row>
          <xdr:rowOff>0</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5282</xdr:row>
          <xdr:rowOff>0</xdr:rowOff>
        </xdr:from>
        <xdr:to>
          <xdr:col>7</xdr:col>
          <xdr:colOff>0</xdr:colOff>
          <xdr:row>5282</xdr:row>
          <xdr:rowOff>171450</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5283</xdr:row>
          <xdr:rowOff>0</xdr:rowOff>
        </xdr:from>
        <xdr:to>
          <xdr:col>7</xdr:col>
          <xdr:colOff>0</xdr:colOff>
          <xdr:row>5283</xdr:row>
          <xdr:rowOff>165100</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5284</xdr:row>
          <xdr:rowOff>0</xdr:rowOff>
        </xdr:from>
        <xdr:to>
          <xdr:col>7</xdr:col>
          <xdr:colOff>0</xdr:colOff>
          <xdr:row>5284</xdr:row>
          <xdr:rowOff>165100</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5285</xdr:row>
          <xdr:rowOff>0</xdr:rowOff>
        </xdr:from>
        <xdr:to>
          <xdr:col>7</xdr:col>
          <xdr:colOff>0</xdr:colOff>
          <xdr:row>5285</xdr:row>
          <xdr:rowOff>165100</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5286</xdr:row>
          <xdr:rowOff>0</xdr:rowOff>
        </xdr:from>
        <xdr:to>
          <xdr:col>7</xdr:col>
          <xdr:colOff>0</xdr:colOff>
          <xdr:row>5286</xdr:row>
          <xdr:rowOff>165100</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5287</xdr:row>
          <xdr:rowOff>0</xdr:rowOff>
        </xdr:from>
        <xdr:to>
          <xdr:col>7</xdr:col>
          <xdr:colOff>0</xdr:colOff>
          <xdr:row>5287</xdr:row>
          <xdr:rowOff>165100</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5288</xdr:row>
          <xdr:rowOff>0</xdr:rowOff>
        </xdr:from>
        <xdr:to>
          <xdr:col>7</xdr:col>
          <xdr:colOff>0</xdr:colOff>
          <xdr:row>5288</xdr:row>
          <xdr:rowOff>165100</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5289</xdr:row>
          <xdr:rowOff>0</xdr:rowOff>
        </xdr:from>
        <xdr:to>
          <xdr:col>7</xdr:col>
          <xdr:colOff>0</xdr:colOff>
          <xdr:row>5289</xdr:row>
          <xdr:rowOff>165100</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5290</xdr:row>
          <xdr:rowOff>0</xdr:rowOff>
        </xdr:from>
        <xdr:to>
          <xdr:col>7</xdr:col>
          <xdr:colOff>0</xdr:colOff>
          <xdr:row>5290</xdr:row>
          <xdr:rowOff>165100</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5291</xdr:row>
          <xdr:rowOff>0</xdr:rowOff>
        </xdr:from>
        <xdr:to>
          <xdr:col>7</xdr:col>
          <xdr:colOff>0</xdr:colOff>
          <xdr:row>5291</xdr:row>
          <xdr:rowOff>165100</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5292</xdr:row>
          <xdr:rowOff>0</xdr:rowOff>
        </xdr:from>
        <xdr:to>
          <xdr:col>7</xdr:col>
          <xdr:colOff>0</xdr:colOff>
          <xdr:row>5292</xdr:row>
          <xdr:rowOff>165100</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5293</xdr:row>
          <xdr:rowOff>0</xdr:rowOff>
        </xdr:from>
        <xdr:to>
          <xdr:col>7</xdr:col>
          <xdr:colOff>0</xdr:colOff>
          <xdr:row>5293</xdr:row>
          <xdr:rowOff>165100</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5294</xdr:row>
          <xdr:rowOff>0</xdr:rowOff>
        </xdr:from>
        <xdr:to>
          <xdr:col>7</xdr:col>
          <xdr:colOff>0</xdr:colOff>
          <xdr:row>5294</xdr:row>
          <xdr:rowOff>165100</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5295</xdr:row>
          <xdr:rowOff>0</xdr:rowOff>
        </xdr:from>
        <xdr:to>
          <xdr:col>7</xdr:col>
          <xdr:colOff>0</xdr:colOff>
          <xdr:row>5295</xdr:row>
          <xdr:rowOff>165100</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5296</xdr:row>
          <xdr:rowOff>0</xdr:rowOff>
        </xdr:from>
        <xdr:to>
          <xdr:col>7</xdr:col>
          <xdr:colOff>0</xdr:colOff>
          <xdr:row>5296</xdr:row>
          <xdr:rowOff>165100</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5297</xdr:row>
          <xdr:rowOff>0</xdr:rowOff>
        </xdr:from>
        <xdr:to>
          <xdr:col>7</xdr:col>
          <xdr:colOff>0</xdr:colOff>
          <xdr:row>5297</xdr:row>
          <xdr:rowOff>165100</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5298</xdr:row>
          <xdr:rowOff>0</xdr:rowOff>
        </xdr:from>
        <xdr:to>
          <xdr:col>7</xdr:col>
          <xdr:colOff>0</xdr:colOff>
          <xdr:row>5298</xdr:row>
          <xdr:rowOff>165100</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5299</xdr:row>
          <xdr:rowOff>0</xdr:rowOff>
        </xdr:from>
        <xdr:to>
          <xdr:col>7</xdr:col>
          <xdr:colOff>0</xdr:colOff>
          <xdr:row>5299</xdr:row>
          <xdr:rowOff>165100</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5302</xdr:row>
          <xdr:rowOff>0</xdr:rowOff>
        </xdr:from>
        <xdr:to>
          <xdr:col>7</xdr:col>
          <xdr:colOff>0</xdr:colOff>
          <xdr:row>5303</xdr:row>
          <xdr:rowOff>0</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5309</xdr:row>
          <xdr:rowOff>0</xdr:rowOff>
        </xdr:from>
        <xdr:to>
          <xdr:col>7</xdr:col>
          <xdr:colOff>0</xdr:colOff>
          <xdr:row>5309</xdr:row>
          <xdr:rowOff>171450</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5310</xdr:row>
          <xdr:rowOff>0</xdr:rowOff>
        </xdr:from>
        <xdr:to>
          <xdr:col>7</xdr:col>
          <xdr:colOff>0</xdr:colOff>
          <xdr:row>5310</xdr:row>
          <xdr:rowOff>165100</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5311</xdr:row>
          <xdr:rowOff>0</xdr:rowOff>
        </xdr:from>
        <xdr:to>
          <xdr:col>7</xdr:col>
          <xdr:colOff>0</xdr:colOff>
          <xdr:row>5311</xdr:row>
          <xdr:rowOff>165100</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5312</xdr:row>
          <xdr:rowOff>0</xdr:rowOff>
        </xdr:from>
        <xdr:to>
          <xdr:col>7</xdr:col>
          <xdr:colOff>0</xdr:colOff>
          <xdr:row>5312</xdr:row>
          <xdr:rowOff>165100</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5313</xdr:row>
          <xdr:rowOff>0</xdr:rowOff>
        </xdr:from>
        <xdr:to>
          <xdr:col>7</xdr:col>
          <xdr:colOff>0</xdr:colOff>
          <xdr:row>5313</xdr:row>
          <xdr:rowOff>165100</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5314</xdr:row>
          <xdr:rowOff>0</xdr:rowOff>
        </xdr:from>
        <xdr:to>
          <xdr:col>7</xdr:col>
          <xdr:colOff>0</xdr:colOff>
          <xdr:row>5314</xdr:row>
          <xdr:rowOff>165100</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5315</xdr:row>
          <xdr:rowOff>0</xdr:rowOff>
        </xdr:from>
        <xdr:to>
          <xdr:col>7</xdr:col>
          <xdr:colOff>0</xdr:colOff>
          <xdr:row>5315</xdr:row>
          <xdr:rowOff>165100</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5316</xdr:row>
          <xdr:rowOff>0</xdr:rowOff>
        </xdr:from>
        <xdr:to>
          <xdr:col>7</xdr:col>
          <xdr:colOff>0</xdr:colOff>
          <xdr:row>5316</xdr:row>
          <xdr:rowOff>165100</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5317</xdr:row>
          <xdr:rowOff>0</xdr:rowOff>
        </xdr:from>
        <xdr:to>
          <xdr:col>7</xdr:col>
          <xdr:colOff>0</xdr:colOff>
          <xdr:row>5317</xdr:row>
          <xdr:rowOff>165100</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5318</xdr:row>
          <xdr:rowOff>0</xdr:rowOff>
        </xdr:from>
        <xdr:to>
          <xdr:col>7</xdr:col>
          <xdr:colOff>0</xdr:colOff>
          <xdr:row>5318</xdr:row>
          <xdr:rowOff>165100</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5319</xdr:row>
          <xdr:rowOff>0</xdr:rowOff>
        </xdr:from>
        <xdr:to>
          <xdr:col>7</xdr:col>
          <xdr:colOff>0</xdr:colOff>
          <xdr:row>5319</xdr:row>
          <xdr:rowOff>165100</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5320</xdr:row>
          <xdr:rowOff>0</xdr:rowOff>
        </xdr:from>
        <xdr:to>
          <xdr:col>7</xdr:col>
          <xdr:colOff>0</xdr:colOff>
          <xdr:row>5320</xdr:row>
          <xdr:rowOff>165100</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5321</xdr:row>
          <xdr:rowOff>0</xdr:rowOff>
        </xdr:from>
        <xdr:to>
          <xdr:col>7</xdr:col>
          <xdr:colOff>0</xdr:colOff>
          <xdr:row>5321</xdr:row>
          <xdr:rowOff>165100</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5322</xdr:row>
          <xdr:rowOff>0</xdr:rowOff>
        </xdr:from>
        <xdr:to>
          <xdr:col>7</xdr:col>
          <xdr:colOff>0</xdr:colOff>
          <xdr:row>5322</xdr:row>
          <xdr:rowOff>165100</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5323</xdr:row>
          <xdr:rowOff>0</xdr:rowOff>
        </xdr:from>
        <xdr:to>
          <xdr:col>7</xdr:col>
          <xdr:colOff>0</xdr:colOff>
          <xdr:row>5323</xdr:row>
          <xdr:rowOff>165100</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5324</xdr:row>
          <xdr:rowOff>0</xdr:rowOff>
        </xdr:from>
        <xdr:to>
          <xdr:col>7</xdr:col>
          <xdr:colOff>0</xdr:colOff>
          <xdr:row>5324</xdr:row>
          <xdr:rowOff>165100</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5325</xdr:row>
          <xdr:rowOff>0</xdr:rowOff>
        </xdr:from>
        <xdr:to>
          <xdr:col>7</xdr:col>
          <xdr:colOff>0</xdr:colOff>
          <xdr:row>5325</xdr:row>
          <xdr:rowOff>165100</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5326</xdr:row>
          <xdr:rowOff>0</xdr:rowOff>
        </xdr:from>
        <xdr:to>
          <xdr:col>7</xdr:col>
          <xdr:colOff>0</xdr:colOff>
          <xdr:row>5326</xdr:row>
          <xdr:rowOff>165100</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5327</xdr:row>
          <xdr:rowOff>0</xdr:rowOff>
        </xdr:from>
        <xdr:to>
          <xdr:col>7</xdr:col>
          <xdr:colOff>0</xdr:colOff>
          <xdr:row>5327</xdr:row>
          <xdr:rowOff>165100</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5328</xdr:row>
          <xdr:rowOff>0</xdr:rowOff>
        </xdr:from>
        <xdr:to>
          <xdr:col>7</xdr:col>
          <xdr:colOff>0</xdr:colOff>
          <xdr:row>5328</xdr:row>
          <xdr:rowOff>165100</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5329</xdr:row>
          <xdr:rowOff>0</xdr:rowOff>
        </xdr:from>
        <xdr:to>
          <xdr:col>7</xdr:col>
          <xdr:colOff>0</xdr:colOff>
          <xdr:row>5329</xdr:row>
          <xdr:rowOff>165100</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5332</xdr:row>
          <xdr:rowOff>0</xdr:rowOff>
        </xdr:from>
        <xdr:to>
          <xdr:col>7</xdr:col>
          <xdr:colOff>0</xdr:colOff>
          <xdr:row>5333</xdr:row>
          <xdr:rowOff>0</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5339</xdr:row>
          <xdr:rowOff>0</xdr:rowOff>
        </xdr:from>
        <xdr:to>
          <xdr:col>7</xdr:col>
          <xdr:colOff>0</xdr:colOff>
          <xdr:row>5339</xdr:row>
          <xdr:rowOff>171450</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5340</xdr:row>
          <xdr:rowOff>0</xdr:rowOff>
        </xdr:from>
        <xdr:to>
          <xdr:col>7</xdr:col>
          <xdr:colOff>0</xdr:colOff>
          <xdr:row>5340</xdr:row>
          <xdr:rowOff>165100</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5341</xdr:row>
          <xdr:rowOff>0</xdr:rowOff>
        </xdr:from>
        <xdr:to>
          <xdr:col>7</xdr:col>
          <xdr:colOff>0</xdr:colOff>
          <xdr:row>5341</xdr:row>
          <xdr:rowOff>165100</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5342</xdr:row>
          <xdr:rowOff>0</xdr:rowOff>
        </xdr:from>
        <xdr:to>
          <xdr:col>7</xdr:col>
          <xdr:colOff>0</xdr:colOff>
          <xdr:row>5342</xdr:row>
          <xdr:rowOff>165100</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5343</xdr:row>
          <xdr:rowOff>0</xdr:rowOff>
        </xdr:from>
        <xdr:to>
          <xdr:col>7</xdr:col>
          <xdr:colOff>0</xdr:colOff>
          <xdr:row>5343</xdr:row>
          <xdr:rowOff>165100</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5344</xdr:row>
          <xdr:rowOff>0</xdr:rowOff>
        </xdr:from>
        <xdr:to>
          <xdr:col>7</xdr:col>
          <xdr:colOff>0</xdr:colOff>
          <xdr:row>5344</xdr:row>
          <xdr:rowOff>165100</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5345</xdr:row>
          <xdr:rowOff>0</xdr:rowOff>
        </xdr:from>
        <xdr:to>
          <xdr:col>7</xdr:col>
          <xdr:colOff>0</xdr:colOff>
          <xdr:row>5345</xdr:row>
          <xdr:rowOff>165100</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5346</xdr:row>
          <xdr:rowOff>0</xdr:rowOff>
        </xdr:from>
        <xdr:to>
          <xdr:col>7</xdr:col>
          <xdr:colOff>0</xdr:colOff>
          <xdr:row>5346</xdr:row>
          <xdr:rowOff>165100</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5347</xdr:row>
          <xdr:rowOff>0</xdr:rowOff>
        </xdr:from>
        <xdr:to>
          <xdr:col>7</xdr:col>
          <xdr:colOff>0</xdr:colOff>
          <xdr:row>5347</xdr:row>
          <xdr:rowOff>165100</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5348</xdr:row>
          <xdr:rowOff>0</xdr:rowOff>
        </xdr:from>
        <xdr:to>
          <xdr:col>7</xdr:col>
          <xdr:colOff>0</xdr:colOff>
          <xdr:row>5348</xdr:row>
          <xdr:rowOff>165100</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5349</xdr:row>
          <xdr:rowOff>0</xdr:rowOff>
        </xdr:from>
        <xdr:to>
          <xdr:col>7</xdr:col>
          <xdr:colOff>0</xdr:colOff>
          <xdr:row>5349</xdr:row>
          <xdr:rowOff>165100</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5350</xdr:row>
          <xdr:rowOff>0</xdr:rowOff>
        </xdr:from>
        <xdr:to>
          <xdr:col>7</xdr:col>
          <xdr:colOff>0</xdr:colOff>
          <xdr:row>5350</xdr:row>
          <xdr:rowOff>165100</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5351</xdr:row>
          <xdr:rowOff>0</xdr:rowOff>
        </xdr:from>
        <xdr:to>
          <xdr:col>7</xdr:col>
          <xdr:colOff>0</xdr:colOff>
          <xdr:row>5351</xdr:row>
          <xdr:rowOff>165100</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5352</xdr:row>
          <xdr:rowOff>0</xdr:rowOff>
        </xdr:from>
        <xdr:to>
          <xdr:col>7</xdr:col>
          <xdr:colOff>0</xdr:colOff>
          <xdr:row>5352</xdr:row>
          <xdr:rowOff>165100</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5353</xdr:row>
          <xdr:rowOff>0</xdr:rowOff>
        </xdr:from>
        <xdr:to>
          <xdr:col>7</xdr:col>
          <xdr:colOff>0</xdr:colOff>
          <xdr:row>5353</xdr:row>
          <xdr:rowOff>165100</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5354</xdr:row>
          <xdr:rowOff>0</xdr:rowOff>
        </xdr:from>
        <xdr:to>
          <xdr:col>7</xdr:col>
          <xdr:colOff>0</xdr:colOff>
          <xdr:row>5354</xdr:row>
          <xdr:rowOff>165100</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5355</xdr:row>
          <xdr:rowOff>0</xdr:rowOff>
        </xdr:from>
        <xdr:to>
          <xdr:col>7</xdr:col>
          <xdr:colOff>0</xdr:colOff>
          <xdr:row>5355</xdr:row>
          <xdr:rowOff>165100</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5358</xdr:row>
          <xdr:rowOff>0</xdr:rowOff>
        </xdr:from>
        <xdr:to>
          <xdr:col>7</xdr:col>
          <xdr:colOff>0</xdr:colOff>
          <xdr:row>5359</xdr:row>
          <xdr:rowOff>0</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5365</xdr:row>
          <xdr:rowOff>0</xdr:rowOff>
        </xdr:from>
        <xdr:to>
          <xdr:col>7</xdr:col>
          <xdr:colOff>0</xdr:colOff>
          <xdr:row>5365</xdr:row>
          <xdr:rowOff>171450</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5366</xdr:row>
          <xdr:rowOff>0</xdr:rowOff>
        </xdr:from>
        <xdr:to>
          <xdr:col>7</xdr:col>
          <xdr:colOff>0</xdr:colOff>
          <xdr:row>5366</xdr:row>
          <xdr:rowOff>165100</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5367</xdr:row>
          <xdr:rowOff>0</xdr:rowOff>
        </xdr:from>
        <xdr:to>
          <xdr:col>7</xdr:col>
          <xdr:colOff>0</xdr:colOff>
          <xdr:row>5367</xdr:row>
          <xdr:rowOff>165100</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5368</xdr:row>
          <xdr:rowOff>0</xdr:rowOff>
        </xdr:from>
        <xdr:to>
          <xdr:col>7</xdr:col>
          <xdr:colOff>0</xdr:colOff>
          <xdr:row>5368</xdr:row>
          <xdr:rowOff>165100</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5371</xdr:row>
          <xdr:rowOff>0</xdr:rowOff>
        </xdr:from>
        <xdr:to>
          <xdr:col>7</xdr:col>
          <xdr:colOff>0</xdr:colOff>
          <xdr:row>5372</xdr:row>
          <xdr:rowOff>0</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5378</xdr:row>
          <xdr:rowOff>0</xdr:rowOff>
        </xdr:from>
        <xdr:to>
          <xdr:col>7</xdr:col>
          <xdr:colOff>0</xdr:colOff>
          <xdr:row>5378</xdr:row>
          <xdr:rowOff>171450</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5379</xdr:row>
          <xdr:rowOff>0</xdr:rowOff>
        </xdr:from>
        <xdr:to>
          <xdr:col>7</xdr:col>
          <xdr:colOff>0</xdr:colOff>
          <xdr:row>5379</xdr:row>
          <xdr:rowOff>165100</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5380</xdr:row>
          <xdr:rowOff>0</xdr:rowOff>
        </xdr:from>
        <xdr:to>
          <xdr:col>7</xdr:col>
          <xdr:colOff>0</xdr:colOff>
          <xdr:row>5380</xdr:row>
          <xdr:rowOff>165100</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5381</xdr:row>
          <xdr:rowOff>0</xdr:rowOff>
        </xdr:from>
        <xdr:to>
          <xdr:col>7</xdr:col>
          <xdr:colOff>0</xdr:colOff>
          <xdr:row>5381</xdr:row>
          <xdr:rowOff>165100</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5382</xdr:row>
          <xdr:rowOff>0</xdr:rowOff>
        </xdr:from>
        <xdr:to>
          <xdr:col>7</xdr:col>
          <xdr:colOff>0</xdr:colOff>
          <xdr:row>5382</xdr:row>
          <xdr:rowOff>165100</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5383</xdr:row>
          <xdr:rowOff>0</xdr:rowOff>
        </xdr:from>
        <xdr:to>
          <xdr:col>7</xdr:col>
          <xdr:colOff>0</xdr:colOff>
          <xdr:row>5383</xdr:row>
          <xdr:rowOff>165100</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5384</xdr:row>
          <xdr:rowOff>0</xdr:rowOff>
        </xdr:from>
        <xdr:to>
          <xdr:col>7</xdr:col>
          <xdr:colOff>0</xdr:colOff>
          <xdr:row>5384</xdr:row>
          <xdr:rowOff>165100</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5385</xdr:row>
          <xdr:rowOff>0</xdr:rowOff>
        </xdr:from>
        <xdr:to>
          <xdr:col>7</xdr:col>
          <xdr:colOff>0</xdr:colOff>
          <xdr:row>5385</xdr:row>
          <xdr:rowOff>165100</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5386</xdr:row>
          <xdr:rowOff>0</xdr:rowOff>
        </xdr:from>
        <xdr:to>
          <xdr:col>7</xdr:col>
          <xdr:colOff>0</xdr:colOff>
          <xdr:row>5386</xdr:row>
          <xdr:rowOff>165100</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5389</xdr:row>
          <xdr:rowOff>0</xdr:rowOff>
        </xdr:from>
        <xdr:to>
          <xdr:col>7</xdr:col>
          <xdr:colOff>0</xdr:colOff>
          <xdr:row>5390</xdr:row>
          <xdr:rowOff>0</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5396</xdr:row>
          <xdr:rowOff>0</xdr:rowOff>
        </xdr:from>
        <xdr:to>
          <xdr:col>7</xdr:col>
          <xdr:colOff>0</xdr:colOff>
          <xdr:row>5396</xdr:row>
          <xdr:rowOff>171450</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5397</xdr:row>
          <xdr:rowOff>0</xdr:rowOff>
        </xdr:from>
        <xdr:to>
          <xdr:col>7</xdr:col>
          <xdr:colOff>0</xdr:colOff>
          <xdr:row>5397</xdr:row>
          <xdr:rowOff>165100</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5398</xdr:row>
          <xdr:rowOff>0</xdr:rowOff>
        </xdr:from>
        <xdr:to>
          <xdr:col>7</xdr:col>
          <xdr:colOff>0</xdr:colOff>
          <xdr:row>5398</xdr:row>
          <xdr:rowOff>165100</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5399</xdr:row>
          <xdr:rowOff>0</xdr:rowOff>
        </xdr:from>
        <xdr:to>
          <xdr:col>7</xdr:col>
          <xdr:colOff>0</xdr:colOff>
          <xdr:row>5399</xdr:row>
          <xdr:rowOff>165100</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5400</xdr:row>
          <xdr:rowOff>0</xdr:rowOff>
        </xdr:from>
        <xdr:to>
          <xdr:col>7</xdr:col>
          <xdr:colOff>0</xdr:colOff>
          <xdr:row>5400</xdr:row>
          <xdr:rowOff>165100</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5403</xdr:row>
          <xdr:rowOff>0</xdr:rowOff>
        </xdr:from>
        <xdr:to>
          <xdr:col>7</xdr:col>
          <xdr:colOff>0</xdr:colOff>
          <xdr:row>5404</xdr:row>
          <xdr:rowOff>0</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5410</xdr:row>
          <xdr:rowOff>0</xdr:rowOff>
        </xdr:from>
        <xdr:to>
          <xdr:col>7</xdr:col>
          <xdr:colOff>0</xdr:colOff>
          <xdr:row>5410</xdr:row>
          <xdr:rowOff>171450</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5411</xdr:row>
          <xdr:rowOff>0</xdr:rowOff>
        </xdr:from>
        <xdr:to>
          <xdr:col>7</xdr:col>
          <xdr:colOff>0</xdr:colOff>
          <xdr:row>5411</xdr:row>
          <xdr:rowOff>165100</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5412</xdr:row>
          <xdr:rowOff>0</xdr:rowOff>
        </xdr:from>
        <xdr:to>
          <xdr:col>7</xdr:col>
          <xdr:colOff>0</xdr:colOff>
          <xdr:row>5412</xdr:row>
          <xdr:rowOff>165100</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5415</xdr:row>
          <xdr:rowOff>0</xdr:rowOff>
        </xdr:from>
        <xdr:to>
          <xdr:col>7</xdr:col>
          <xdr:colOff>0</xdr:colOff>
          <xdr:row>5416</xdr:row>
          <xdr:rowOff>0</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5422</xdr:row>
          <xdr:rowOff>0</xdr:rowOff>
        </xdr:from>
        <xdr:to>
          <xdr:col>7</xdr:col>
          <xdr:colOff>0</xdr:colOff>
          <xdr:row>5422</xdr:row>
          <xdr:rowOff>171450</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5423</xdr:row>
          <xdr:rowOff>0</xdr:rowOff>
        </xdr:from>
        <xdr:to>
          <xdr:col>7</xdr:col>
          <xdr:colOff>0</xdr:colOff>
          <xdr:row>5423</xdr:row>
          <xdr:rowOff>165100</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5424</xdr:row>
          <xdr:rowOff>0</xdr:rowOff>
        </xdr:from>
        <xdr:to>
          <xdr:col>7</xdr:col>
          <xdr:colOff>0</xdr:colOff>
          <xdr:row>5424</xdr:row>
          <xdr:rowOff>165100</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5427</xdr:row>
          <xdr:rowOff>0</xdr:rowOff>
        </xdr:from>
        <xdr:to>
          <xdr:col>7</xdr:col>
          <xdr:colOff>0</xdr:colOff>
          <xdr:row>5428</xdr:row>
          <xdr:rowOff>0</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5434</xdr:row>
          <xdr:rowOff>0</xdr:rowOff>
        </xdr:from>
        <xdr:to>
          <xdr:col>7</xdr:col>
          <xdr:colOff>0</xdr:colOff>
          <xdr:row>5434</xdr:row>
          <xdr:rowOff>171450</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5435</xdr:row>
          <xdr:rowOff>0</xdr:rowOff>
        </xdr:from>
        <xdr:to>
          <xdr:col>7</xdr:col>
          <xdr:colOff>0</xdr:colOff>
          <xdr:row>5435</xdr:row>
          <xdr:rowOff>165100</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5436</xdr:row>
          <xdr:rowOff>0</xdr:rowOff>
        </xdr:from>
        <xdr:to>
          <xdr:col>7</xdr:col>
          <xdr:colOff>0</xdr:colOff>
          <xdr:row>5436</xdr:row>
          <xdr:rowOff>165100</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5437</xdr:row>
          <xdr:rowOff>0</xdr:rowOff>
        </xdr:from>
        <xdr:to>
          <xdr:col>7</xdr:col>
          <xdr:colOff>0</xdr:colOff>
          <xdr:row>5437</xdr:row>
          <xdr:rowOff>165100</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5440</xdr:row>
          <xdr:rowOff>0</xdr:rowOff>
        </xdr:from>
        <xdr:to>
          <xdr:col>7</xdr:col>
          <xdr:colOff>0</xdr:colOff>
          <xdr:row>5441</xdr:row>
          <xdr:rowOff>0</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5447</xdr:row>
          <xdr:rowOff>0</xdr:rowOff>
        </xdr:from>
        <xdr:to>
          <xdr:col>7</xdr:col>
          <xdr:colOff>0</xdr:colOff>
          <xdr:row>5447</xdr:row>
          <xdr:rowOff>171450</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5448</xdr:row>
          <xdr:rowOff>0</xdr:rowOff>
        </xdr:from>
        <xdr:to>
          <xdr:col>7</xdr:col>
          <xdr:colOff>0</xdr:colOff>
          <xdr:row>5448</xdr:row>
          <xdr:rowOff>165100</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5449</xdr:row>
          <xdr:rowOff>0</xdr:rowOff>
        </xdr:from>
        <xdr:to>
          <xdr:col>7</xdr:col>
          <xdr:colOff>0</xdr:colOff>
          <xdr:row>5449</xdr:row>
          <xdr:rowOff>165100</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5450</xdr:row>
          <xdr:rowOff>0</xdr:rowOff>
        </xdr:from>
        <xdr:to>
          <xdr:col>7</xdr:col>
          <xdr:colOff>0</xdr:colOff>
          <xdr:row>5450</xdr:row>
          <xdr:rowOff>165100</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5451</xdr:row>
          <xdr:rowOff>0</xdr:rowOff>
        </xdr:from>
        <xdr:to>
          <xdr:col>7</xdr:col>
          <xdr:colOff>0</xdr:colOff>
          <xdr:row>5451</xdr:row>
          <xdr:rowOff>165100</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5452</xdr:row>
          <xdr:rowOff>0</xdr:rowOff>
        </xdr:from>
        <xdr:to>
          <xdr:col>7</xdr:col>
          <xdr:colOff>0</xdr:colOff>
          <xdr:row>5452</xdr:row>
          <xdr:rowOff>165100</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5453</xdr:row>
          <xdr:rowOff>0</xdr:rowOff>
        </xdr:from>
        <xdr:to>
          <xdr:col>7</xdr:col>
          <xdr:colOff>0</xdr:colOff>
          <xdr:row>5453</xdr:row>
          <xdr:rowOff>165100</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5454</xdr:row>
          <xdr:rowOff>0</xdr:rowOff>
        </xdr:from>
        <xdr:to>
          <xdr:col>7</xdr:col>
          <xdr:colOff>0</xdr:colOff>
          <xdr:row>5454</xdr:row>
          <xdr:rowOff>165100</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5455</xdr:row>
          <xdr:rowOff>0</xdr:rowOff>
        </xdr:from>
        <xdr:to>
          <xdr:col>7</xdr:col>
          <xdr:colOff>0</xdr:colOff>
          <xdr:row>5455</xdr:row>
          <xdr:rowOff>165100</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5456</xdr:row>
          <xdr:rowOff>0</xdr:rowOff>
        </xdr:from>
        <xdr:to>
          <xdr:col>7</xdr:col>
          <xdr:colOff>0</xdr:colOff>
          <xdr:row>5456</xdr:row>
          <xdr:rowOff>165100</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5457</xdr:row>
          <xdr:rowOff>0</xdr:rowOff>
        </xdr:from>
        <xdr:to>
          <xdr:col>7</xdr:col>
          <xdr:colOff>0</xdr:colOff>
          <xdr:row>5457</xdr:row>
          <xdr:rowOff>165100</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5458</xdr:row>
          <xdr:rowOff>0</xdr:rowOff>
        </xdr:from>
        <xdr:to>
          <xdr:col>7</xdr:col>
          <xdr:colOff>0</xdr:colOff>
          <xdr:row>5458</xdr:row>
          <xdr:rowOff>165100</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5459</xdr:row>
          <xdr:rowOff>0</xdr:rowOff>
        </xdr:from>
        <xdr:to>
          <xdr:col>7</xdr:col>
          <xdr:colOff>0</xdr:colOff>
          <xdr:row>5459</xdr:row>
          <xdr:rowOff>165100</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5460</xdr:row>
          <xdr:rowOff>0</xdr:rowOff>
        </xdr:from>
        <xdr:to>
          <xdr:col>7</xdr:col>
          <xdr:colOff>0</xdr:colOff>
          <xdr:row>5460</xdr:row>
          <xdr:rowOff>165100</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5461</xdr:row>
          <xdr:rowOff>0</xdr:rowOff>
        </xdr:from>
        <xdr:to>
          <xdr:col>7</xdr:col>
          <xdr:colOff>0</xdr:colOff>
          <xdr:row>5461</xdr:row>
          <xdr:rowOff>165100</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5462</xdr:row>
          <xdr:rowOff>0</xdr:rowOff>
        </xdr:from>
        <xdr:to>
          <xdr:col>7</xdr:col>
          <xdr:colOff>0</xdr:colOff>
          <xdr:row>5462</xdr:row>
          <xdr:rowOff>165100</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5463</xdr:row>
          <xdr:rowOff>0</xdr:rowOff>
        </xdr:from>
        <xdr:to>
          <xdr:col>7</xdr:col>
          <xdr:colOff>0</xdr:colOff>
          <xdr:row>5463</xdr:row>
          <xdr:rowOff>165100</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5464</xdr:row>
          <xdr:rowOff>0</xdr:rowOff>
        </xdr:from>
        <xdr:to>
          <xdr:col>7</xdr:col>
          <xdr:colOff>0</xdr:colOff>
          <xdr:row>5464</xdr:row>
          <xdr:rowOff>165100</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5465</xdr:row>
          <xdr:rowOff>0</xdr:rowOff>
        </xdr:from>
        <xdr:to>
          <xdr:col>7</xdr:col>
          <xdr:colOff>0</xdr:colOff>
          <xdr:row>5465</xdr:row>
          <xdr:rowOff>165100</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5466</xdr:row>
          <xdr:rowOff>0</xdr:rowOff>
        </xdr:from>
        <xdr:to>
          <xdr:col>7</xdr:col>
          <xdr:colOff>0</xdr:colOff>
          <xdr:row>5466</xdr:row>
          <xdr:rowOff>165100</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5467</xdr:row>
          <xdr:rowOff>0</xdr:rowOff>
        </xdr:from>
        <xdr:to>
          <xdr:col>7</xdr:col>
          <xdr:colOff>0</xdr:colOff>
          <xdr:row>5467</xdr:row>
          <xdr:rowOff>165100</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5468</xdr:row>
          <xdr:rowOff>0</xdr:rowOff>
        </xdr:from>
        <xdr:to>
          <xdr:col>7</xdr:col>
          <xdr:colOff>0</xdr:colOff>
          <xdr:row>5468</xdr:row>
          <xdr:rowOff>165100</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5469</xdr:row>
          <xdr:rowOff>0</xdr:rowOff>
        </xdr:from>
        <xdr:to>
          <xdr:col>7</xdr:col>
          <xdr:colOff>0</xdr:colOff>
          <xdr:row>5469</xdr:row>
          <xdr:rowOff>165100</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5470</xdr:row>
          <xdr:rowOff>0</xdr:rowOff>
        </xdr:from>
        <xdr:to>
          <xdr:col>7</xdr:col>
          <xdr:colOff>0</xdr:colOff>
          <xdr:row>5470</xdr:row>
          <xdr:rowOff>165100</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5471</xdr:row>
          <xdr:rowOff>0</xdr:rowOff>
        </xdr:from>
        <xdr:to>
          <xdr:col>7</xdr:col>
          <xdr:colOff>0</xdr:colOff>
          <xdr:row>5471</xdr:row>
          <xdr:rowOff>165100</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5472</xdr:row>
          <xdr:rowOff>0</xdr:rowOff>
        </xdr:from>
        <xdr:to>
          <xdr:col>7</xdr:col>
          <xdr:colOff>0</xdr:colOff>
          <xdr:row>5472</xdr:row>
          <xdr:rowOff>165100</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5473</xdr:row>
          <xdr:rowOff>0</xdr:rowOff>
        </xdr:from>
        <xdr:to>
          <xdr:col>7</xdr:col>
          <xdr:colOff>0</xdr:colOff>
          <xdr:row>5473</xdr:row>
          <xdr:rowOff>165100</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5474</xdr:row>
          <xdr:rowOff>0</xdr:rowOff>
        </xdr:from>
        <xdr:to>
          <xdr:col>7</xdr:col>
          <xdr:colOff>0</xdr:colOff>
          <xdr:row>5474</xdr:row>
          <xdr:rowOff>165100</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5475</xdr:row>
          <xdr:rowOff>0</xdr:rowOff>
        </xdr:from>
        <xdr:to>
          <xdr:col>7</xdr:col>
          <xdr:colOff>0</xdr:colOff>
          <xdr:row>5475</xdr:row>
          <xdr:rowOff>165100</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5476</xdr:row>
          <xdr:rowOff>0</xdr:rowOff>
        </xdr:from>
        <xdr:to>
          <xdr:col>7</xdr:col>
          <xdr:colOff>0</xdr:colOff>
          <xdr:row>5476</xdr:row>
          <xdr:rowOff>165100</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5477</xdr:row>
          <xdr:rowOff>0</xdr:rowOff>
        </xdr:from>
        <xdr:to>
          <xdr:col>7</xdr:col>
          <xdr:colOff>0</xdr:colOff>
          <xdr:row>5477</xdr:row>
          <xdr:rowOff>165100</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5478</xdr:row>
          <xdr:rowOff>0</xdr:rowOff>
        </xdr:from>
        <xdr:to>
          <xdr:col>7</xdr:col>
          <xdr:colOff>0</xdr:colOff>
          <xdr:row>5478</xdr:row>
          <xdr:rowOff>165100</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5479</xdr:row>
          <xdr:rowOff>0</xdr:rowOff>
        </xdr:from>
        <xdr:to>
          <xdr:col>7</xdr:col>
          <xdr:colOff>0</xdr:colOff>
          <xdr:row>5479</xdr:row>
          <xdr:rowOff>165100</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5480</xdr:row>
          <xdr:rowOff>0</xdr:rowOff>
        </xdr:from>
        <xdr:to>
          <xdr:col>7</xdr:col>
          <xdr:colOff>0</xdr:colOff>
          <xdr:row>5480</xdr:row>
          <xdr:rowOff>165100</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5481</xdr:row>
          <xdr:rowOff>0</xdr:rowOff>
        </xdr:from>
        <xdr:to>
          <xdr:col>7</xdr:col>
          <xdr:colOff>0</xdr:colOff>
          <xdr:row>5481</xdr:row>
          <xdr:rowOff>165100</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5482</xdr:row>
          <xdr:rowOff>0</xdr:rowOff>
        </xdr:from>
        <xdr:to>
          <xdr:col>7</xdr:col>
          <xdr:colOff>0</xdr:colOff>
          <xdr:row>5482</xdr:row>
          <xdr:rowOff>165100</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5483</xdr:row>
          <xdr:rowOff>0</xdr:rowOff>
        </xdr:from>
        <xdr:to>
          <xdr:col>7</xdr:col>
          <xdr:colOff>0</xdr:colOff>
          <xdr:row>5483</xdr:row>
          <xdr:rowOff>165100</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5484</xdr:row>
          <xdr:rowOff>0</xdr:rowOff>
        </xdr:from>
        <xdr:to>
          <xdr:col>7</xdr:col>
          <xdr:colOff>0</xdr:colOff>
          <xdr:row>5484</xdr:row>
          <xdr:rowOff>165100</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5487</xdr:row>
          <xdr:rowOff>0</xdr:rowOff>
        </xdr:from>
        <xdr:to>
          <xdr:col>7</xdr:col>
          <xdr:colOff>0</xdr:colOff>
          <xdr:row>5488</xdr:row>
          <xdr:rowOff>0</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5494</xdr:row>
          <xdr:rowOff>0</xdr:rowOff>
        </xdr:from>
        <xdr:to>
          <xdr:col>7</xdr:col>
          <xdr:colOff>0</xdr:colOff>
          <xdr:row>5494</xdr:row>
          <xdr:rowOff>171450</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5495</xdr:row>
          <xdr:rowOff>0</xdr:rowOff>
        </xdr:from>
        <xdr:to>
          <xdr:col>7</xdr:col>
          <xdr:colOff>0</xdr:colOff>
          <xdr:row>5495</xdr:row>
          <xdr:rowOff>165100</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5496</xdr:row>
          <xdr:rowOff>0</xdr:rowOff>
        </xdr:from>
        <xdr:to>
          <xdr:col>7</xdr:col>
          <xdr:colOff>0</xdr:colOff>
          <xdr:row>5496</xdr:row>
          <xdr:rowOff>165100</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5497</xdr:row>
          <xdr:rowOff>0</xdr:rowOff>
        </xdr:from>
        <xdr:to>
          <xdr:col>7</xdr:col>
          <xdr:colOff>0</xdr:colOff>
          <xdr:row>5497</xdr:row>
          <xdr:rowOff>165100</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5498</xdr:row>
          <xdr:rowOff>0</xdr:rowOff>
        </xdr:from>
        <xdr:to>
          <xdr:col>7</xdr:col>
          <xdr:colOff>0</xdr:colOff>
          <xdr:row>5498</xdr:row>
          <xdr:rowOff>165100</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5501</xdr:row>
          <xdr:rowOff>0</xdr:rowOff>
        </xdr:from>
        <xdr:to>
          <xdr:col>7</xdr:col>
          <xdr:colOff>0</xdr:colOff>
          <xdr:row>5502</xdr:row>
          <xdr:rowOff>0</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5508</xdr:row>
          <xdr:rowOff>0</xdr:rowOff>
        </xdr:from>
        <xdr:to>
          <xdr:col>7</xdr:col>
          <xdr:colOff>0</xdr:colOff>
          <xdr:row>5508</xdr:row>
          <xdr:rowOff>171450</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5509</xdr:row>
          <xdr:rowOff>0</xdr:rowOff>
        </xdr:from>
        <xdr:to>
          <xdr:col>7</xdr:col>
          <xdr:colOff>0</xdr:colOff>
          <xdr:row>5509</xdr:row>
          <xdr:rowOff>165100</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5510</xdr:row>
          <xdr:rowOff>0</xdr:rowOff>
        </xdr:from>
        <xdr:to>
          <xdr:col>7</xdr:col>
          <xdr:colOff>0</xdr:colOff>
          <xdr:row>5510</xdr:row>
          <xdr:rowOff>165100</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5511</xdr:row>
          <xdr:rowOff>0</xdr:rowOff>
        </xdr:from>
        <xdr:to>
          <xdr:col>7</xdr:col>
          <xdr:colOff>0</xdr:colOff>
          <xdr:row>5511</xdr:row>
          <xdr:rowOff>165100</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5512</xdr:row>
          <xdr:rowOff>0</xdr:rowOff>
        </xdr:from>
        <xdr:to>
          <xdr:col>7</xdr:col>
          <xdr:colOff>0</xdr:colOff>
          <xdr:row>5512</xdr:row>
          <xdr:rowOff>165100</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5513</xdr:row>
          <xdr:rowOff>0</xdr:rowOff>
        </xdr:from>
        <xdr:to>
          <xdr:col>7</xdr:col>
          <xdr:colOff>0</xdr:colOff>
          <xdr:row>5513</xdr:row>
          <xdr:rowOff>165100</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5514</xdr:row>
          <xdr:rowOff>0</xdr:rowOff>
        </xdr:from>
        <xdr:to>
          <xdr:col>7</xdr:col>
          <xdr:colOff>0</xdr:colOff>
          <xdr:row>5514</xdr:row>
          <xdr:rowOff>165100</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5515</xdr:row>
          <xdr:rowOff>0</xdr:rowOff>
        </xdr:from>
        <xdr:to>
          <xdr:col>7</xdr:col>
          <xdr:colOff>0</xdr:colOff>
          <xdr:row>5515</xdr:row>
          <xdr:rowOff>165100</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5516</xdr:row>
          <xdr:rowOff>0</xdr:rowOff>
        </xdr:from>
        <xdr:to>
          <xdr:col>7</xdr:col>
          <xdr:colOff>0</xdr:colOff>
          <xdr:row>5516</xdr:row>
          <xdr:rowOff>165100</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5517</xdr:row>
          <xdr:rowOff>0</xdr:rowOff>
        </xdr:from>
        <xdr:to>
          <xdr:col>7</xdr:col>
          <xdr:colOff>0</xdr:colOff>
          <xdr:row>5517</xdr:row>
          <xdr:rowOff>165100</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5518</xdr:row>
          <xdr:rowOff>0</xdr:rowOff>
        </xdr:from>
        <xdr:to>
          <xdr:col>7</xdr:col>
          <xdr:colOff>0</xdr:colOff>
          <xdr:row>5518</xdr:row>
          <xdr:rowOff>165100</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5521</xdr:row>
          <xdr:rowOff>0</xdr:rowOff>
        </xdr:from>
        <xdr:to>
          <xdr:col>7</xdr:col>
          <xdr:colOff>0</xdr:colOff>
          <xdr:row>5522</xdr:row>
          <xdr:rowOff>0</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5528</xdr:row>
          <xdr:rowOff>0</xdr:rowOff>
        </xdr:from>
        <xdr:to>
          <xdr:col>7</xdr:col>
          <xdr:colOff>0</xdr:colOff>
          <xdr:row>5528</xdr:row>
          <xdr:rowOff>171450</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5529</xdr:row>
          <xdr:rowOff>0</xdr:rowOff>
        </xdr:from>
        <xdr:to>
          <xdr:col>7</xdr:col>
          <xdr:colOff>0</xdr:colOff>
          <xdr:row>5529</xdr:row>
          <xdr:rowOff>165100</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5530</xdr:row>
          <xdr:rowOff>0</xdr:rowOff>
        </xdr:from>
        <xdr:to>
          <xdr:col>7</xdr:col>
          <xdr:colOff>0</xdr:colOff>
          <xdr:row>5530</xdr:row>
          <xdr:rowOff>165100</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5531</xdr:row>
          <xdr:rowOff>0</xdr:rowOff>
        </xdr:from>
        <xdr:to>
          <xdr:col>7</xdr:col>
          <xdr:colOff>0</xdr:colOff>
          <xdr:row>5531</xdr:row>
          <xdr:rowOff>165100</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5532</xdr:row>
          <xdr:rowOff>0</xdr:rowOff>
        </xdr:from>
        <xdr:to>
          <xdr:col>7</xdr:col>
          <xdr:colOff>0</xdr:colOff>
          <xdr:row>5532</xdr:row>
          <xdr:rowOff>165100</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5533</xdr:row>
          <xdr:rowOff>0</xdr:rowOff>
        </xdr:from>
        <xdr:to>
          <xdr:col>7</xdr:col>
          <xdr:colOff>0</xdr:colOff>
          <xdr:row>5533</xdr:row>
          <xdr:rowOff>165100</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5536</xdr:row>
          <xdr:rowOff>0</xdr:rowOff>
        </xdr:from>
        <xdr:to>
          <xdr:col>7</xdr:col>
          <xdr:colOff>0</xdr:colOff>
          <xdr:row>5537</xdr:row>
          <xdr:rowOff>0</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5543</xdr:row>
          <xdr:rowOff>0</xdr:rowOff>
        </xdr:from>
        <xdr:to>
          <xdr:col>7</xdr:col>
          <xdr:colOff>0</xdr:colOff>
          <xdr:row>5543</xdr:row>
          <xdr:rowOff>171450</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5544</xdr:row>
          <xdr:rowOff>0</xdr:rowOff>
        </xdr:from>
        <xdr:to>
          <xdr:col>7</xdr:col>
          <xdr:colOff>0</xdr:colOff>
          <xdr:row>5544</xdr:row>
          <xdr:rowOff>165100</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5545</xdr:row>
          <xdr:rowOff>0</xdr:rowOff>
        </xdr:from>
        <xdr:to>
          <xdr:col>7</xdr:col>
          <xdr:colOff>0</xdr:colOff>
          <xdr:row>5545</xdr:row>
          <xdr:rowOff>165100</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5546</xdr:row>
          <xdr:rowOff>0</xdr:rowOff>
        </xdr:from>
        <xdr:to>
          <xdr:col>7</xdr:col>
          <xdr:colOff>0</xdr:colOff>
          <xdr:row>5546</xdr:row>
          <xdr:rowOff>165100</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5547</xdr:row>
          <xdr:rowOff>0</xdr:rowOff>
        </xdr:from>
        <xdr:to>
          <xdr:col>7</xdr:col>
          <xdr:colOff>0</xdr:colOff>
          <xdr:row>5547</xdr:row>
          <xdr:rowOff>165100</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5548</xdr:row>
          <xdr:rowOff>0</xdr:rowOff>
        </xdr:from>
        <xdr:to>
          <xdr:col>7</xdr:col>
          <xdr:colOff>0</xdr:colOff>
          <xdr:row>5548</xdr:row>
          <xdr:rowOff>165100</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5549</xdr:row>
          <xdr:rowOff>0</xdr:rowOff>
        </xdr:from>
        <xdr:to>
          <xdr:col>7</xdr:col>
          <xdr:colOff>0</xdr:colOff>
          <xdr:row>5549</xdr:row>
          <xdr:rowOff>165100</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5552</xdr:row>
          <xdr:rowOff>0</xdr:rowOff>
        </xdr:from>
        <xdr:to>
          <xdr:col>7</xdr:col>
          <xdr:colOff>0</xdr:colOff>
          <xdr:row>5553</xdr:row>
          <xdr:rowOff>0</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5559</xdr:row>
          <xdr:rowOff>0</xdr:rowOff>
        </xdr:from>
        <xdr:to>
          <xdr:col>7</xdr:col>
          <xdr:colOff>0</xdr:colOff>
          <xdr:row>5559</xdr:row>
          <xdr:rowOff>171450</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5560</xdr:row>
          <xdr:rowOff>0</xdr:rowOff>
        </xdr:from>
        <xdr:to>
          <xdr:col>7</xdr:col>
          <xdr:colOff>0</xdr:colOff>
          <xdr:row>5560</xdr:row>
          <xdr:rowOff>165100</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5561</xdr:row>
          <xdr:rowOff>0</xdr:rowOff>
        </xdr:from>
        <xdr:to>
          <xdr:col>7</xdr:col>
          <xdr:colOff>0</xdr:colOff>
          <xdr:row>5561</xdr:row>
          <xdr:rowOff>165100</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5562</xdr:row>
          <xdr:rowOff>0</xdr:rowOff>
        </xdr:from>
        <xdr:to>
          <xdr:col>7</xdr:col>
          <xdr:colOff>0</xdr:colOff>
          <xdr:row>5562</xdr:row>
          <xdr:rowOff>165100</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5563</xdr:row>
          <xdr:rowOff>0</xdr:rowOff>
        </xdr:from>
        <xdr:to>
          <xdr:col>7</xdr:col>
          <xdr:colOff>0</xdr:colOff>
          <xdr:row>5563</xdr:row>
          <xdr:rowOff>165100</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5566</xdr:row>
          <xdr:rowOff>0</xdr:rowOff>
        </xdr:from>
        <xdr:to>
          <xdr:col>7</xdr:col>
          <xdr:colOff>0</xdr:colOff>
          <xdr:row>5567</xdr:row>
          <xdr:rowOff>0</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5573</xdr:row>
          <xdr:rowOff>0</xdr:rowOff>
        </xdr:from>
        <xdr:to>
          <xdr:col>7</xdr:col>
          <xdr:colOff>0</xdr:colOff>
          <xdr:row>5573</xdr:row>
          <xdr:rowOff>171450</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5574</xdr:row>
          <xdr:rowOff>0</xdr:rowOff>
        </xdr:from>
        <xdr:to>
          <xdr:col>7</xdr:col>
          <xdr:colOff>0</xdr:colOff>
          <xdr:row>5574</xdr:row>
          <xdr:rowOff>165100</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5575</xdr:row>
          <xdr:rowOff>0</xdr:rowOff>
        </xdr:from>
        <xdr:to>
          <xdr:col>7</xdr:col>
          <xdr:colOff>0</xdr:colOff>
          <xdr:row>5575</xdr:row>
          <xdr:rowOff>165100</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5576</xdr:row>
          <xdr:rowOff>0</xdr:rowOff>
        </xdr:from>
        <xdr:to>
          <xdr:col>7</xdr:col>
          <xdr:colOff>0</xdr:colOff>
          <xdr:row>5576</xdr:row>
          <xdr:rowOff>165100</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5579</xdr:row>
          <xdr:rowOff>0</xdr:rowOff>
        </xdr:from>
        <xdr:to>
          <xdr:col>7</xdr:col>
          <xdr:colOff>0</xdr:colOff>
          <xdr:row>5580</xdr:row>
          <xdr:rowOff>0</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5586</xdr:row>
          <xdr:rowOff>0</xdr:rowOff>
        </xdr:from>
        <xdr:to>
          <xdr:col>7</xdr:col>
          <xdr:colOff>0</xdr:colOff>
          <xdr:row>5586</xdr:row>
          <xdr:rowOff>171450</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5587</xdr:row>
          <xdr:rowOff>0</xdr:rowOff>
        </xdr:from>
        <xdr:to>
          <xdr:col>7</xdr:col>
          <xdr:colOff>0</xdr:colOff>
          <xdr:row>5587</xdr:row>
          <xdr:rowOff>165100</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5588</xdr:row>
          <xdr:rowOff>0</xdr:rowOff>
        </xdr:from>
        <xdr:to>
          <xdr:col>7</xdr:col>
          <xdr:colOff>0</xdr:colOff>
          <xdr:row>5588</xdr:row>
          <xdr:rowOff>165100</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5591</xdr:row>
          <xdr:rowOff>0</xdr:rowOff>
        </xdr:from>
        <xdr:to>
          <xdr:col>7</xdr:col>
          <xdr:colOff>0</xdr:colOff>
          <xdr:row>5592</xdr:row>
          <xdr:rowOff>0</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5598</xdr:row>
          <xdr:rowOff>0</xdr:rowOff>
        </xdr:from>
        <xdr:to>
          <xdr:col>7</xdr:col>
          <xdr:colOff>0</xdr:colOff>
          <xdr:row>5598</xdr:row>
          <xdr:rowOff>171450</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5599</xdr:row>
          <xdr:rowOff>0</xdr:rowOff>
        </xdr:from>
        <xdr:to>
          <xdr:col>7</xdr:col>
          <xdr:colOff>0</xdr:colOff>
          <xdr:row>5599</xdr:row>
          <xdr:rowOff>165100</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5602</xdr:row>
          <xdr:rowOff>0</xdr:rowOff>
        </xdr:from>
        <xdr:to>
          <xdr:col>7</xdr:col>
          <xdr:colOff>0</xdr:colOff>
          <xdr:row>5603</xdr:row>
          <xdr:rowOff>0</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5609</xdr:row>
          <xdr:rowOff>0</xdr:rowOff>
        </xdr:from>
        <xdr:to>
          <xdr:col>7</xdr:col>
          <xdr:colOff>0</xdr:colOff>
          <xdr:row>5609</xdr:row>
          <xdr:rowOff>171450</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5610</xdr:row>
          <xdr:rowOff>0</xdr:rowOff>
        </xdr:from>
        <xdr:to>
          <xdr:col>7</xdr:col>
          <xdr:colOff>0</xdr:colOff>
          <xdr:row>5610</xdr:row>
          <xdr:rowOff>165100</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5613</xdr:row>
          <xdr:rowOff>0</xdr:rowOff>
        </xdr:from>
        <xdr:to>
          <xdr:col>7</xdr:col>
          <xdr:colOff>0</xdr:colOff>
          <xdr:row>5614</xdr:row>
          <xdr:rowOff>0</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5620</xdr:row>
          <xdr:rowOff>0</xdr:rowOff>
        </xdr:from>
        <xdr:to>
          <xdr:col>7</xdr:col>
          <xdr:colOff>0</xdr:colOff>
          <xdr:row>5620</xdr:row>
          <xdr:rowOff>171450</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5621</xdr:row>
          <xdr:rowOff>0</xdr:rowOff>
        </xdr:from>
        <xdr:to>
          <xdr:col>7</xdr:col>
          <xdr:colOff>0</xdr:colOff>
          <xdr:row>5621</xdr:row>
          <xdr:rowOff>165100</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5622</xdr:row>
          <xdr:rowOff>0</xdr:rowOff>
        </xdr:from>
        <xdr:to>
          <xdr:col>7</xdr:col>
          <xdr:colOff>0</xdr:colOff>
          <xdr:row>5622</xdr:row>
          <xdr:rowOff>165100</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5623</xdr:row>
          <xdr:rowOff>0</xdr:rowOff>
        </xdr:from>
        <xdr:to>
          <xdr:col>7</xdr:col>
          <xdr:colOff>0</xdr:colOff>
          <xdr:row>5623</xdr:row>
          <xdr:rowOff>165100</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5626</xdr:row>
          <xdr:rowOff>0</xdr:rowOff>
        </xdr:from>
        <xdr:to>
          <xdr:col>7</xdr:col>
          <xdr:colOff>0</xdr:colOff>
          <xdr:row>5627</xdr:row>
          <xdr:rowOff>0</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5633</xdr:row>
          <xdr:rowOff>0</xdr:rowOff>
        </xdr:from>
        <xdr:to>
          <xdr:col>7</xdr:col>
          <xdr:colOff>0</xdr:colOff>
          <xdr:row>5633</xdr:row>
          <xdr:rowOff>171450</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5634</xdr:row>
          <xdr:rowOff>0</xdr:rowOff>
        </xdr:from>
        <xdr:to>
          <xdr:col>7</xdr:col>
          <xdr:colOff>0</xdr:colOff>
          <xdr:row>5634</xdr:row>
          <xdr:rowOff>165100</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5637</xdr:row>
          <xdr:rowOff>0</xdr:rowOff>
        </xdr:from>
        <xdr:to>
          <xdr:col>7</xdr:col>
          <xdr:colOff>0</xdr:colOff>
          <xdr:row>5638</xdr:row>
          <xdr:rowOff>0</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5644</xdr:row>
          <xdr:rowOff>0</xdr:rowOff>
        </xdr:from>
        <xdr:to>
          <xdr:col>7</xdr:col>
          <xdr:colOff>0</xdr:colOff>
          <xdr:row>5644</xdr:row>
          <xdr:rowOff>171450</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5645</xdr:row>
          <xdr:rowOff>0</xdr:rowOff>
        </xdr:from>
        <xdr:to>
          <xdr:col>7</xdr:col>
          <xdr:colOff>0</xdr:colOff>
          <xdr:row>5645</xdr:row>
          <xdr:rowOff>165100</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5648</xdr:row>
          <xdr:rowOff>0</xdr:rowOff>
        </xdr:from>
        <xdr:to>
          <xdr:col>7</xdr:col>
          <xdr:colOff>0</xdr:colOff>
          <xdr:row>5649</xdr:row>
          <xdr:rowOff>0</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5655</xdr:row>
          <xdr:rowOff>0</xdr:rowOff>
        </xdr:from>
        <xdr:to>
          <xdr:col>7</xdr:col>
          <xdr:colOff>0</xdr:colOff>
          <xdr:row>5655</xdr:row>
          <xdr:rowOff>171450</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5656</xdr:row>
          <xdr:rowOff>0</xdr:rowOff>
        </xdr:from>
        <xdr:to>
          <xdr:col>7</xdr:col>
          <xdr:colOff>0</xdr:colOff>
          <xdr:row>5656</xdr:row>
          <xdr:rowOff>165100</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5659</xdr:row>
          <xdr:rowOff>0</xdr:rowOff>
        </xdr:from>
        <xdr:to>
          <xdr:col>7</xdr:col>
          <xdr:colOff>0</xdr:colOff>
          <xdr:row>5660</xdr:row>
          <xdr:rowOff>0</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5666</xdr:row>
          <xdr:rowOff>0</xdr:rowOff>
        </xdr:from>
        <xdr:to>
          <xdr:col>7</xdr:col>
          <xdr:colOff>0</xdr:colOff>
          <xdr:row>5666</xdr:row>
          <xdr:rowOff>171450</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5667</xdr:row>
          <xdr:rowOff>0</xdr:rowOff>
        </xdr:from>
        <xdr:to>
          <xdr:col>7</xdr:col>
          <xdr:colOff>0</xdr:colOff>
          <xdr:row>5667</xdr:row>
          <xdr:rowOff>165100</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5668</xdr:row>
          <xdr:rowOff>0</xdr:rowOff>
        </xdr:from>
        <xdr:to>
          <xdr:col>7</xdr:col>
          <xdr:colOff>0</xdr:colOff>
          <xdr:row>5668</xdr:row>
          <xdr:rowOff>165100</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5669</xdr:row>
          <xdr:rowOff>0</xdr:rowOff>
        </xdr:from>
        <xdr:to>
          <xdr:col>7</xdr:col>
          <xdr:colOff>0</xdr:colOff>
          <xdr:row>5669</xdr:row>
          <xdr:rowOff>165100</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5670</xdr:row>
          <xdr:rowOff>0</xdr:rowOff>
        </xdr:from>
        <xdr:to>
          <xdr:col>7</xdr:col>
          <xdr:colOff>0</xdr:colOff>
          <xdr:row>5670</xdr:row>
          <xdr:rowOff>165100</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5671</xdr:row>
          <xdr:rowOff>0</xdr:rowOff>
        </xdr:from>
        <xdr:to>
          <xdr:col>7</xdr:col>
          <xdr:colOff>0</xdr:colOff>
          <xdr:row>5671</xdr:row>
          <xdr:rowOff>165100</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5672</xdr:row>
          <xdr:rowOff>0</xdr:rowOff>
        </xdr:from>
        <xdr:to>
          <xdr:col>7</xdr:col>
          <xdr:colOff>0</xdr:colOff>
          <xdr:row>5672</xdr:row>
          <xdr:rowOff>165100</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5673</xdr:row>
          <xdr:rowOff>0</xdr:rowOff>
        </xdr:from>
        <xdr:to>
          <xdr:col>7</xdr:col>
          <xdr:colOff>0</xdr:colOff>
          <xdr:row>5673</xdr:row>
          <xdr:rowOff>165100</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5674</xdr:row>
          <xdr:rowOff>0</xdr:rowOff>
        </xdr:from>
        <xdr:to>
          <xdr:col>7</xdr:col>
          <xdr:colOff>0</xdr:colOff>
          <xdr:row>5674</xdr:row>
          <xdr:rowOff>165100</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5675</xdr:row>
          <xdr:rowOff>0</xdr:rowOff>
        </xdr:from>
        <xdr:to>
          <xdr:col>7</xdr:col>
          <xdr:colOff>0</xdr:colOff>
          <xdr:row>5675</xdr:row>
          <xdr:rowOff>165100</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5676</xdr:row>
          <xdr:rowOff>0</xdr:rowOff>
        </xdr:from>
        <xdr:to>
          <xdr:col>7</xdr:col>
          <xdr:colOff>0</xdr:colOff>
          <xdr:row>5676</xdr:row>
          <xdr:rowOff>165100</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5677</xdr:row>
          <xdr:rowOff>0</xdr:rowOff>
        </xdr:from>
        <xdr:to>
          <xdr:col>7</xdr:col>
          <xdr:colOff>0</xdr:colOff>
          <xdr:row>5677</xdr:row>
          <xdr:rowOff>165100</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5678</xdr:row>
          <xdr:rowOff>0</xdr:rowOff>
        </xdr:from>
        <xdr:to>
          <xdr:col>7</xdr:col>
          <xdr:colOff>0</xdr:colOff>
          <xdr:row>5678</xdr:row>
          <xdr:rowOff>165100</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5679</xdr:row>
          <xdr:rowOff>0</xdr:rowOff>
        </xdr:from>
        <xdr:to>
          <xdr:col>7</xdr:col>
          <xdr:colOff>0</xdr:colOff>
          <xdr:row>5679</xdr:row>
          <xdr:rowOff>165100</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5680</xdr:row>
          <xdr:rowOff>0</xdr:rowOff>
        </xdr:from>
        <xdr:to>
          <xdr:col>7</xdr:col>
          <xdr:colOff>0</xdr:colOff>
          <xdr:row>5680</xdr:row>
          <xdr:rowOff>165100</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5681</xdr:row>
          <xdr:rowOff>0</xdr:rowOff>
        </xdr:from>
        <xdr:to>
          <xdr:col>7</xdr:col>
          <xdr:colOff>0</xdr:colOff>
          <xdr:row>5681</xdr:row>
          <xdr:rowOff>165100</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5682</xdr:row>
          <xdr:rowOff>0</xdr:rowOff>
        </xdr:from>
        <xdr:to>
          <xdr:col>7</xdr:col>
          <xdr:colOff>0</xdr:colOff>
          <xdr:row>5682</xdr:row>
          <xdr:rowOff>165100</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5683</xdr:row>
          <xdr:rowOff>0</xdr:rowOff>
        </xdr:from>
        <xdr:to>
          <xdr:col>7</xdr:col>
          <xdr:colOff>0</xdr:colOff>
          <xdr:row>5683</xdr:row>
          <xdr:rowOff>165100</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5684</xdr:row>
          <xdr:rowOff>0</xdr:rowOff>
        </xdr:from>
        <xdr:to>
          <xdr:col>7</xdr:col>
          <xdr:colOff>0</xdr:colOff>
          <xdr:row>5684</xdr:row>
          <xdr:rowOff>165100</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5685</xdr:row>
          <xdr:rowOff>0</xdr:rowOff>
        </xdr:from>
        <xdr:to>
          <xdr:col>7</xdr:col>
          <xdr:colOff>0</xdr:colOff>
          <xdr:row>5685</xdr:row>
          <xdr:rowOff>165100</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5688</xdr:row>
          <xdr:rowOff>0</xdr:rowOff>
        </xdr:from>
        <xdr:to>
          <xdr:col>7</xdr:col>
          <xdr:colOff>0</xdr:colOff>
          <xdr:row>5689</xdr:row>
          <xdr:rowOff>0</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5695</xdr:row>
          <xdr:rowOff>0</xdr:rowOff>
        </xdr:from>
        <xdr:to>
          <xdr:col>7</xdr:col>
          <xdr:colOff>0</xdr:colOff>
          <xdr:row>5695</xdr:row>
          <xdr:rowOff>171450</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5696</xdr:row>
          <xdr:rowOff>0</xdr:rowOff>
        </xdr:from>
        <xdr:to>
          <xdr:col>7</xdr:col>
          <xdr:colOff>0</xdr:colOff>
          <xdr:row>5696</xdr:row>
          <xdr:rowOff>165100</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5697</xdr:row>
          <xdr:rowOff>0</xdr:rowOff>
        </xdr:from>
        <xdr:to>
          <xdr:col>7</xdr:col>
          <xdr:colOff>0</xdr:colOff>
          <xdr:row>5697</xdr:row>
          <xdr:rowOff>165100</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5698</xdr:row>
          <xdr:rowOff>0</xdr:rowOff>
        </xdr:from>
        <xdr:to>
          <xdr:col>7</xdr:col>
          <xdr:colOff>0</xdr:colOff>
          <xdr:row>5698</xdr:row>
          <xdr:rowOff>165100</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5699</xdr:row>
          <xdr:rowOff>0</xdr:rowOff>
        </xdr:from>
        <xdr:to>
          <xdr:col>7</xdr:col>
          <xdr:colOff>0</xdr:colOff>
          <xdr:row>5699</xdr:row>
          <xdr:rowOff>165100</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5700</xdr:row>
          <xdr:rowOff>0</xdr:rowOff>
        </xdr:from>
        <xdr:to>
          <xdr:col>7</xdr:col>
          <xdr:colOff>0</xdr:colOff>
          <xdr:row>5700</xdr:row>
          <xdr:rowOff>165100</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5701</xdr:row>
          <xdr:rowOff>0</xdr:rowOff>
        </xdr:from>
        <xdr:to>
          <xdr:col>7</xdr:col>
          <xdr:colOff>0</xdr:colOff>
          <xdr:row>5701</xdr:row>
          <xdr:rowOff>165100</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5702</xdr:row>
          <xdr:rowOff>0</xdr:rowOff>
        </xdr:from>
        <xdr:to>
          <xdr:col>7</xdr:col>
          <xdr:colOff>0</xdr:colOff>
          <xdr:row>5702</xdr:row>
          <xdr:rowOff>165100</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5703</xdr:row>
          <xdr:rowOff>0</xdr:rowOff>
        </xdr:from>
        <xdr:to>
          <xdr:col>7</xdr:col>
          <xdr:colOff>0</xdr:colOff>
          <xdr:row>5703</xdr:row>
          <xdr:rowOff>165100</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5704</xdr:row>
          <xdr:rowOff>0</xdr:rowOff>
        </xdr:from>
        <xdr:to>
          <xdr:col>7</xdr:col>
          <xdr:colOff>0</xdr:colOff>
          <xdr:row>5704</xdr:row>
          <xdr:rowOff>165100</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5705</xdr:row>
          <xdr:rowOff>0</xdr:rowOff>
        </xdr:from>
        <xdr:to>
          <xdr:col>7</xdr:col>
          <xdr:colOff>0</xdr:colOff>
          <xdr:row>5705</xdr:row>
          <xdr:rowOff>165100</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5706</xdr:row>
          <xdr:rowOff>0</xdr:rowOff>
        </xdr:from>
        <xdr:to>
          <xdr:col>7</xdr:col>
          <xdr:colOff>0</xdr:colOff>
          <xdr:row>5706</xdr:row>
          <xdr:rowOff>165100</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5707</xdr:row>
          <xdr:rowOff>0</xdr:rowOff>
        </xdr:from>
        <xdr:to>
          <xdr:col>7</xdr:col>
          <xdr:colOff>0</xdr:colOff>
          <xdr:row>5707</xdr:row>
          <xdr:rowOff>165100</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5708</xdr:row>
          <xdr:rowOff>0</xdr:rowOff>
        </xdr:from>
        <xdr:to>
          <xdr:col>7</xdr:col>
          <xdr:colOff>0</xdr:colOff>
          <xdr:row>5708</xdr:row>
          <xdr:rowOff>165100</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5709</xdr:row>
          <xdr:rowOff>0</xdr:rowOff>
        </xdr:from>
        <xdr:to>
          <xdr:col>7</xdr:col>
          <xdr:colOff>0</xdr:colOff>
          <xdr:row>5709</xdr:row>
          <xdr:rowOff>165100</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5710</xdr:row>
          <xdr:rowOff>0</xdr:rowOff>
        </xdr:from>
        <xdr:to>
          <xdr:col>7</xdr:col>
          <xdr:colOff>0</xdr:colOff>
          <xdr:row>5710</xdr:row>
          <xdr:rowOff>165100</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5711</xdr:row>
          <xdr:rowOff>0</xdr:rowOff>
        </xdr:from>
        <xdr:to>
          <xdr:col>7</xdr:col>
          <xdr:colOff>0</xdr:colOff>
          <xdr:row>5711</xdr:row>
          <xdr:rowOff>165100</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5712</xdr:row>
          <xdr:rowOff>0</xdr:rowOff>
        </xdr:from>
        <xdr:to>
          <xdr:col>7</xdr:col>
          <xdr:colOff>0</xdr:colOff>
          <xdr:row>5712</xdr:row>
          <xdr:rowOff>165100</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5713</xdr:row>
          <xdr:rowOff>0</xdr:rowOff>
        </xdr:from>
        <xdr:to>
          <xdr:col>7</xdr:col>
          <xdr:colOff>0</xdr:colOff>
          <xdr:row>5713</xdr:row>
          <xdr:rowOff>165100</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5714</xdr:row>
          <xdr:rowOff>0</xdr:rowOff>
        </xdr:from>
        <xdr:to>
          <xdr:col>7</xdr:col>
          <xdr:colOff>0</xdr:colOff>
          <xdr:row>5714</xdr:row>
          <xdr:rowOff>165100</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5715</xdr:row>
          <xdr:rowOff>0</xdr:rowOff>
        </xdr:from>
        <xdr:to>
          <xdr:col>7</xdr:col>
          <xdr:colOff>0</xdr:colOff>
          <xdr:row>5715</xdr:row>
          <xdr:rowOff>165100</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5716</xdr:row>
          <xdr:rowOff>0</xdr:rowOff>
        </xdr:from>
        <xdr:to>
          <xdr:col>7</xdr:col>
          <xdr:colOff>0</xdr:colOff>
          <xdr:row>5716</xdr:row>
          <xdr:rowOff>165100</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5719</xdr:row>
          <xdr:rowOff>0</xdr:rowOff>
        </xdr:from>
        <xdr:to>
          <xdr:col>7</xdr:col>
          <xdr:colOff>0</xdr:colOff>
          <xdr:row>5720</xdr:row>
          <xdr:rowOff>0</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5726</xdr:row>
          <xdr:rowOff>0</xdr:rowOff>
        </xdr:from>
        <xdr:to>
          <xdr:col>7</xdr:col>
          <xdr:colOff>0</xdr:colOff>
          <xdr:row>5726</xdr:row>
          <xdr:rowOff>171450</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5727</xdr:row>
          <xdr:rowOff>0</xdr:rowOff>
        </xdr:from>
        <xdr:to>
          <xdr:col>7</xdr:col>
          <xdr:colOff>0</xdr:colOff>
          <xdr:row>5727</xdr:row>
          <xdr:rowOff>165100</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5728</xdr:row>
          <xdr:rowOff>0</xdr:rowOff>
        </xdr:from>
        <xdr:to>
          <xdr:col>7</xdr:col>
          <xdr:colOff>0</xdr:colOff>
          <xdr:row>5728</xdr:row>
          <xdr:rowOff>165100</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5729</xdr:row>
          <xdr:rowOff>0</xdr:rowOff>
        </xdr:from>
        <xdr:to>
          <xdr:col>7</xdr:col>
          <xdr:colOff>0</xdr:colOff>
          <xdr:row>5729</xdr:row>
          <xdr:rowOff>165100</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5730</xdr:row>
          <xdr:rowOff>0</xdr:rowOff>
        </xdr:from>
        <xdr:to>
          <xdr:col>7</xdr:col>
          <xdr:colOff>0</xdr:colOff>
          <xdr:row>5730</xdr:row>
          <xdr:rowOff>165100</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5731</xdr:row>
          <xdr:rowOff>0</xdr:rowOff>
        </xdr:from>
        <xdr:to>
          <xdr:col>7</xdr:col>
          <xdr:colOff>0</xdr:colOff>
          <xdr:row>5731</xdr:row>
          <xdr:rowOff>165100</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5732</xdr:row>
          <xdr:rowOff>0</xdr:rowOff>
        </xdr:from>
        <xdr:to>
          <xdr:col>7</xdr:col>
          <xdr:colOff>0</xdr:colOff>
          <xdr:row>5732</xdr:row>
          <xdr:rowOff>165100</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5733</xdr:row>
          <xdr:rowOff>0</xdr:rowOff>
        </xdr:from>
        <xdr:to>
          <xdr:col>7</xdr:col>
          <xdr:colOff>0</xdr:colOff>
          <xdr:row>5733</xdr:row>
          <xdr:rowOff>165100</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5734</xdr:row>
          <xdr:rowOff>0</xdr:rowOff>
        </xdr:from>
        <xdr:to>
          <xdr:col>7</xdr:col>
          <xdr:colOff>0</xdr:colOff>
          <xdr:row>5734</xdr:row>
          <xdr:rowOff>165100</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5735</xdr:row>
          <xdr:rowOff>0</xdr:rowOff>
        </xdr:from>
        <xdr:to>
          <xdr:col>7</xdr:col>
          <xdr:colOff>0</xdr:colOff>
          <xdr:row>5735</xdr:row>
          <xdr:rowOff>165100</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5736</xdr:row>
          <xdr:rowOff>0</xdr:rowOff>
        </xdr:from>
        <xdr:to>
          <xdr:col>7</xdr:col>
          <xdr:colOff>0</xdr:colOff>
          <xdr:row>5736</xdr:row>
          <xdr:rowOff>165100</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5737</xdr:row>
          <xdr:rowOff>0</xdr:rowOff>
        </xdr:from>
        <xdr:to>
          <xdr:col>7</xdr:col>
          <xdr:colOff>0</xdr:colOff>
          <xdr:row>5737</xdr:row>
          <xdr:rowOff>165100</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5738</xdr:row>
          <xdr:rowOff>0</xdr:rowOff>
        </xdr:from>
        <xdr:to>
          <xdr:col>7</xdr:col>
          <xdr:colOff>0</xdr:colOff>
          <xdr:row>5738</xdr:row>
          <xdr:rowOff>165100</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5739</xdr:row>
          <xdr:rowOff>0</xdr:rowOff>
        </xdr:from>
        <xdr:to>
          <xdr:col>7</xdr:col>
          <xdr:colOff>0</xdr:colOff>
          <xdr:row>5739</xdr:row>
          <xdr:rowOff>165100</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5740</xdr:row>
          <xdr:rowOff>0</xdr:rowOff>
        </xdr:from>
        <xdr:to>
          <xdr:col>7</xdr:col>
          <xdr:colOff>0</xdr:colOff>
          <xdr:row>5740</xdr:row>
          <xdr:rowOff>165100</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5741</xdr:row>
          <xdr:rowOff>0</xdr:rowOff>
        </xdr:from>
        <xdr:to>
          <xdr:col>7</xdr:col>
          <xdr:colOff>0</xdr:colOff>
          <xdr:row>5741</xdr:row>
          <xdr:rowOff>165100</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5742</xdr:row>
          <xdr:rowOff>0</xdr:rowOff>
        </xdr:from>
        <xdr:to>
          <xdr:col>7</xdr:col>
          <xdr:colOff>0</xdr:colOff>
          <xdr:row>5742</xdr:row>
          <xdr:rowOff>165100</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5743</xdr:row>
          <xdr:rowOff>0</xdr:rowOff>
        </xdr:from>
        <xdr:to>
          <xdr:col>7</xdr:col>
          <xdr:colOff>0</xdr:colOff>
          <xdr:row>5743</xdr:row>
          <xdr:rowOff>165100</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5744</xdr:row>
          <xdr:rowOff>0</xdr:rowOff>
        </xdr:from>
        <xdr:to>
          <xdr:col>7</xdr:col>
          <xdr:colOff>0</xdr:colOff>
          <xdr:row>5744</xdr:row>
          <xdr:rowOff>165100</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5745</xdr:row>
          <xdr:rowOff>0</xdr:rowOff>
        </xdr:from>
        <xdr:to>
          <xdr:col>7</xdr:col>
          <xdr:colOff>0</xdr:colOff>
          <xdr:row>5745</xdr:row>
          <xdr:rowOff>165100</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5746</xdr:row>
          <xdr:rowOff>0</xdr:rowOff>
        </xdr:from>
        <xdr:to>
          <xdr:col>7</xdr:col>
          <xdr:colOff>0</xdr:colOff>
          <xdr:row>5746</xdr:row>
          <xdr:rowOff>165100</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5747</xdr:row>
          <xdr:rowOff>0</xdr:rowOff>
        </xdr:from>
        <xdr:to>
          <xdr:col>7</xdr:col>
          <xdr:colOff>0</xdr:colOff>
          <xdr:row>5747</xdr:row>
          <xdr:rowOff>165100</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5748</xdr:row>
          <xdr:rowOff>0</xdr:rowOff>
        </xdr:from>
        <xdr:to>
          <xdr:col>7</xdr:col>
          <xdr:colOff>0</xdr:colOff>
          <xdr:row>5748</xdr:row>
          <xdr:rowOff>165100</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5749</xdr:row>
          <xdr:rowOff>0</xdr:rowOff>
        </xdr:from>
        <xdr:to>
          <xdr:col>7</xdr:col>
          <xdr:colOff>0</xdr:colOff>
          <xdr:row>5749</xdr:row>
          <xdr:rowOff>165100</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5750</xdr:row>
          <xdr:rowOff>0</xdr:rowOff>
        </xdr:from>
        <xdr:to>
          <xdr:col>7</xdr:col>
          <xdr:colOff>0</xdr:colOff>
          <xdr:row>5750</xdr:row>
          <xdr:rowOff>165100</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5753</xdr:row>
          <xdr:rowOff>0</xdr:rowOff>
        </xdr:from>
        <xdr:to>
          <xdr:col>7</xdr:col>
          <xdr:colOff>0</xdr:colOff>
          <xdr:row>5754</xdr:row>
          <xdr:rowOff>0</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5760</xdr:row>
          <xdr:rowOff>0</xdr:rowOff>
        </xdr:from>
        <xdr:to>
          <xdr:col>7</xdr:col>
          <xdr:colOff>0</xdr:colOff>
          <xdr:row>5760</xdr:row>
          <xdr:rowOff>171450</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5761</xdr:row>
          <xdr:rowOff>0</xdr:rowOff>
        </xdr:from>
        <xdr:to>
          <xdr:col>7</xdr:col>
          <xdr:colOff>0</xdr:colOff>
          <xdr:row>5761</xdr:row>
          <xdr:rowOff>165100</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5762</xdr:row>
          <xdr:rowOff>0</xdr:rowOff>
        </xdr:from>
        <xdr:to>
          <xdr:col>7</xdr:col>
          <xdr:colOff>0</xdr:colOff>
          <xdr:row>5762</xdr:row>
          <xdr:rowOff>165100</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5763</xdr:row>
          <xdr:rowOff>0</xdr:rowOff>
        </xdr:from>
        <xdr:to>
          <xdr:col>7</xdr:col>
          <xdr:colOff>0</xdr:colOff>
          <xdr:row>5763</xdr:row>
          <xdr:rowOff>165100</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5764</xdr:row>
          <xdr:rowOff>0</xdr:rowOff>
        </xdr:from>
        <xdr:to>
          <xdr:col>7</xdr:col>
          <xdr:colOff>0</xdr:colOff>
          <xdr:row>5764</xdr:row>
          <xdr:rowOff>165100</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5765</xdr:row>
          <xdr:rowOff>0</xdr:rowOff>
        </xdr:from>
        <xdr:to>
          <xdr:col>7</xdr:col>
          <xdr:colOff>0</xdr:colOff>
          <xdr:row>5765</xdr:row>
          <xdr:rowOff>165100</xdr:rowOff>
        </xdr:to>
        <xdr:sp macro="" textlink="">
          <xdr:nvSpPr>
            <xdr:cNvPr id="12301" name="Button 1037" hidden="1">
              <a:extLst>
                <a:ext uri="{63B3BB69-23CF-44E3-9099-C40C66FF867C}">
                  <a14:compatExt spid="_x0000_s12301"/>
                </a:ext>
                <a:ext uri="{FF2B5EF4-FFF2-40B4-BE49-F238E27FC236}">
                  <a16:creationId xmlns:a16="http://schemas.microsoft.com/office/drawing/2014/main" id="{00000000-0008-0000-01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5766</xdr:row>
          <xdr:rowOff>0</xdr:rowOff>
        </xdr:from>
        <xdr:to>
          <xdr:col>7</xdr:col>
          <xdr:colOff>0</xdr:colOff>
          <xdr:row>5766</xdr:row>
          <xdr:rowOff>165100</xdr:rowOff>
        </xdr:to>
        <xdr:sp macro="" textlink="">
          <xdr:nvSpPr>
            <xdr:cNvPr id="12300" name="Button 1036" hidden="1">
              <a:extLst>
                <a:ext uri="{63B3BB69-23CF-44E3-9099-C40C66FF867C}">
                  <a14:compatExt spid="_x0000_s12300"/>
                </a:ext>
                <a:ext uri="{FF2B5EF4-FFF2-40B4-BE49-F238E27FC236}">
                  <a16:creationId xmlns:a16="http://schemas.microsoft.com/office/drawing/2014/main" id="{00000000-0008-0000-01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5767</xdr:row>
          <xdr:rowOff>0</xdr:rowOff>
        </xdr:from>
        <xdr:to>
          <xdr:col>7</xdr:col>
          <xdr:colOff>0</xdr:colOff>
          <xdr:row>5767</xdr:row>
          <xdr:rowOff>165100</xdr:rowOff>
        </xdr:to>
        <xdr:sp macro="" textlink="">
          <xdr:nvSpPr>
            <xdr:cNvPr id="12299" name="Button 1035" hidden="1">
              <a:extLst>
                <a:ext uri="{63B3BB69-23CF-44E3-9099-C40C66FF867C}">
                  <a14:compatExt spid="_x0000_s12299"/>
                </a:ext>
                <a:ext uri="{FF2B5EF4-FFF2-40B4-BE49-F238E27FC236}">
                  <a16:creationId xmlns:a16="http://schemas.microsoft.com/office/drawing/2014/main" id="{00000000-0008-0000-0100-00000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5768</xdr:row>
          <xdr:rowOff>0</xdr:rowOff>
        </xdr:from>
        <xdr:to>
          <xdr:col>7</xdr:col>
          <xdr:colOff>0</xdr:colOff>
          <xdr:row>5768</xdr:row>
          <xdr:rowOff>165100</xdr:rowOff>
        </xdr:to>
        <xdr:sp macro="" textlink="">
          <xdr:nvSpPr>
            <xdr:cNvPr id="12298" name="Button 1034"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5769</xdr:row>
          <xdr:rowOff>0</xdr:rowOff>
        </xdr:from>
        <xdr:to>
          <xdr:col>7</xdr:col>
          <xdr:colOff>0</xdr:colOff>
          <xdr:row>5769</xdr:row>
          <xdr:rowOff>165100</xdr:rowOff>
        </xdr:to>
        <xdr:sp macro="" textlink="">
          <xdr:nvSpPr>
            <xdr:cNvPr id="12297" name="Button 1033"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5770</xdr:row>
          <xdr:rowOff>0</xdr:rowOff>
        </xdr:from>
        <xdr:to>
          <xdr:col>7</xdr:col>
          <xdr:colOff>0</xdr:colOff>
          <xdr:row>5770</xdr:row>
          <xdr:rowOff>165100</xdr:rowOff>
        </xdr:to>
        <xdr:sp macro="" textlink="">
          <xdr:nvSpPr>
            <xdr:cNvPr id="12296" name="Button 1032"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5771</xdr:row>
          <xdr:rowOff>0</xdr:rowOff>
        </xdr:from>
        <xdr:to>
          <xdr:col>7</xdr:col>
          <xdr:colOff>0</xdr:colOff>
          <xdr:row>5771</xdr:row>
          <xdr:rowOff>165100</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5772</xdr:row>
          <xdr:rowOff>0</xdr:rowOff>
        </xdr:from>
        <xdr:to>
          <xdr:col>7</xdr:col>
          <xdr:colOff>0</xdr:colOff>
          <xdr:row>5772</xdr:row>
          <xdr:rowOff>165100</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5773</xdr:row>
          <xdr:rowOff>0</xdr:rowOff>
        </xdr:from>
        <xdr:to>
          <xdr:col>7</xdr:col>
          <xdr:colOff>0</xdr:colOff>
          <xdr:row>5773</xdr:row>
          <xdr:rowOff>165100</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5778</xdr:row>
          <xdr:rowOff>0</xdr:rowOff>
        </xdr:from>
        <xdr:to>
          <xdr:col>1</xdr:col>
          <xdr:colOff>203200</xdr:colOff>
          <xdr:row>5780</xdr:row>
          <xdr:rowOff>31750</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8000"/>
                  </a:solidFill>
                  <a:latin typeface="Arial"/>
                  <a:cs typeface="Arial"/>
                </a:rPr>
                <a:t>Agregar Procedimiento</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86875" y="571500"/>
          <a:ext cx="771525"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86875" y="95250"/>
          <a:ext cx="771525"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86875" y="1571625"/>
          <a:ext cx="771525"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38100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6</xdr:col>
      <xdr:colOff>0</xdr:colOff>
      <xdr:row>0</xdr:row>
      <xdr:rowOff>292100</xdr:rowOff>
    </xdr:from>
    <xdr:to>
      <xdr:col>7</xdr:col>
      <xdr:colOff>0</xdr:colOff>
      <xdr:row>1</xdr:row>
      <xdr:rowOff>127000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0</xdr:col>
      <xdr:colOff>152400</xdr:colOff>
      <xdr:row>20</xdr:row>
      <xdr:rowOff>50800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31750</xdr:rowOff>
        </xdr:to>
        <xdr:sp macro="" textlink="">
          <xdr:nvSpPr>
            <xdr:cNvPr id="21508" name="Button 4" hidden="1">
              <a:extLst>
                <a:ext uri="{63B3BB69-23CF-44E3-9099-C40C66FF867C}">
                  <a14:compatExt spid="_x0000_s21508"/>
                </a:ext>
                <a:ext uri="{FF2B5EF4-FFF2-40B4-BE49-F238E27FC236}">
                  <a16:creationId xmlns:a16="http://schemas.microsoft.com/office/drawing/2014/main" id="{00000000-0008-0000-0400-0000045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222250</xdr:rowOff>
        </xdr:from>
        <xdr:to>
          <xdr:col>7</xdr:col>
          <xdr:colOff>0</xdr:colOff>
          <xdr:row>1</xdr:row>
          <xdr:rowOff>95250</xdr:rowOff>
        </xdr:to>
        <xdr:sp macro="" textlink="">
          <xdr:nvSpPr>
            <xdr:cNvPr id="21507" name="Button 3" hidden="1">
              <a:extLst>
                <a:ext uri="{63B3BB69-23CF-44E3-9099-C40C66FF867C}">
                  <a14:compatExt spid="_x0000_s21507"/>
                </a:ext>
                <a:ext uri="{FF2B5EF4-FFF2-40B4-BE49-F238E27FC236}">
                  <a16:creationId xmlns:a16="http://schemas.microsoft.com/office/drawing/2014/main" id="{00000000-0008-0000-0400-0000035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19</xdr:row>
          <xdr:rowOff>38100</xdr:rowOff>
        </xdr:from>
        <xdr:to>
          <xdr:col>1</xdr:col>
          <xdr:colOff>488950</xdr:colOff>
          <xdr:row>22</xdr:row>
          <xdr:rowOff>0</xdr:rowOff>
        </xdr:to>
        <xdr:sp macro="" textlink="">
          <xdr:nvSpPr>
            <xdr:cNvPr id="21506" name="Button 2" hidden="1">
              <a:extLst>
                <a:ext uri="{63B3BB69-23CF-44E3-9099-C40C66FF867C}">
                  <a14:compatExt spid="_x0000_s21506"/>
                </a:ext>
                <a:ext uri="{FF2B5EF4-FFF2-40B4-BE49-F238E27FC236}">
                  <a16:creationId xmlns:a16="http://schemas.microsoft.com/office/drawing/2014/main" id="{00000000-0008-0000-0400-0000025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21505" name="Button 1" hidden="1">
              <a:extLst>
                <a:ext uri="{63B3BB69-23CF-44E3-9099-C40C66FF867C}">
                  <a14:compatExt spid="_x0000_s21505"/>
                </a:ext>
                <a:ext uri="{FF2B5EF4-FFF2-40B4-BE49-F238E27FC236}">
                  <a16:creationId xmlns:a16="http://schemas.microsoft.com/office/drawing/2014/main" id="{00000000-0008-0000-0400-0000015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00000000-000C-0000-FFFF-FFFF00000000}" name="Table123" displayName="Table123" ref="A2229:F2231"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09000000}" name="Table57" displayName="Table57" ref="A886:F892" totalsRowShown="0">
  <tableColumns count="6">
    <tableColumn id="1" xr3:uid="{00000000-0010-0000-0900-000001000000}" name="CÓDIGO CATÁLOGO"/>
    <tableColumn id="2" xr3:uid="{00000000-0010-0000-0900-000002000000}" name="ARTÍCULO"/>
    <tableColumn id="3" xr3:uid="{00000000-0010-0000-0900-000003000000}" name="UNIDAD DE MEDIDA"/>
    <tableColumn id="4" xr3:uid="{00000000-0010-0000-0900-000004000000}" name="CANTIDAD TOTAL ESTIMADA"/>
    <tableColumn id="5" xr3:uid="{00000000-0010-0000-0900-000005000000}" name="PRECIO UNITARIO ESTIMADO"/>
    <tableColumn id="6" xr3:uid="{00000000-0010-0000-0900-000006000000}" name="MONTO TOTAL ESTIMADO"/>
  </tableColumns>
  <tableStyleInfo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8" xr:uid="{00000000-000C-0000-FFFF-FFFF63000000}" name="Table158" displayName="Table158" ref="A3172:F3173" totalsRowShown="0">
  <tableColumns count="6">
    <tableColumn id="1" xr3:uid="{00000000-0010-0000-6300-000001000000}" name="CÓDIGO CATÁLOGO"/>
    <tableColumn id="2" xr3:uid="{00000000-0010-0000-6300-000002000000}" name="ARTÍCULO"/>
    <tableColumn id="3" xr3:uid="{00000000-0010-0000-6300-000003000000}" name="UNIDAD DE MEDIDA"/>
    <tableColumn id="4" xr3:uid="{00000000-0010-0000-6300-000004000000}" name="CANTIDAD TOTAL ESTIMADA"/>
    <tableColumn id="5" xr3:uid="{00000000-0010-0000-6300-000005000000}" name="PRECIO UNITARIO ESTIMADO"/>
    <tableColumn id="6" xr3:uid="{00000000-0010-0000-6300-000006000000}" name="MONTO TOTAL ESTIMADO"/>
  </tableColumns>
  <tableStyleInfo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1" xr:uid="{00000000-000C-0000-FFFF-FFFF64000000}" name="Table151" displayName="Table151" ref="A3091:F3094" totalsRowShown="0">
  <tableColumns count="6">
    <tableColumn id="1" xr3:uid="{00000000-0010-0000-6400-000001000000}" name="CÓDIGO CATÁLOGO"/>
    <tableColumn id="2" xr3:uid="{00000000-0010-0000-6400-000002000000}" name="ARTÍCULO"/>
    <tableColumn id="3" xr3:uid="{00000000-0010-0000-6400-000003000000}" name="UNIDAD DE MEDIDA"/>
    <tableColumn id="4" xr3:uid="{00000000-0010-0000-6400-000004000000}" name="CANTIDAD TOTAL ESTIMADA"/>
    <tableColumn id="5" xr3:uid="{00000000-0010-0000-6400-000005000000}" name="PRECIO UNITARIO ESTIMADO"/>
    <tableColumn id="6" xr3:uid="{00000000-0010-0000-6400-000006000000}" name="MONTO TOTAL ESTIMADO"/>
  </tableColumns>
  <tableStyleInfo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65000000}" name="Table79" displayName="Table79" ref="A1291:F1294" totalsRowShown="0">
  <tableColumns count="6">
    <tableColumn id="1" xr3:uid="{00000000-0010-0000-6500-000001000000}" name="CÓDIGO CATÁLOGO"/>
    <tableColumn id="2" xr3:uid="{00000000-0010-0000-6500-000002000000}" name="ARTÍCULO"/>
    <tableColumn id="3" xr3:uid="{00000000-0010-0000-6500-000003000000}" name="UNIDAD DE MEDIDA"/>
    <tableColumn id="4" xr3:uid="{00000000-0010-0000-6500-000004000000}" name="CANTIDAD TOTAL ESTIMADA"/>
    <tableColumn id="5" xr3:uid="{00000000-0010-0000-6500-000005000000}" name="PRECIO UNITARIO ESTIMADO"/>
    <tableColumn id="6" xr3:uid="{00000000-0010-0000-6500-000006000000}" name="MONTO TOTAL ESTIMADO"/>
  </tableColumns>
  <tableStyleInfo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66000000}" name="Table35" displayName="Table35" ref="A576:F588" totalsRowShown="0">
  <tableColumns count="6">
    <tableColumn id="1" xr3:uid="{00000000-0010-0000-6600-000001000000}" name="CÓDIGO CATÁLOGO"/>
    <tableColumn id="2" xr3:uid="{00000000-0010-0000-6600-000002000000}" name="ARTÍCULO"/>
    <tableColumn id="3" xr3:uid="{00000000-0010-0000-6600-000003000000}" name="UNIDAD DE MEDIDA"/>
    <tableColumn id="4" xr3:uid="{00000000-0010-0000-6600-000004000000}" name="CANTIDAD TOTAL ESTIMADA"/>
    <tableColumn id="5" xr3:uid="{00000000-0010-0000-6600-000005000000}" name="PRECIO UNITARIO ESTIMADO"/>
    <tableColumn id="6" xr3:uid="{00000000-0010-0000-6600-000006000000}" name="MONTO TOTAL ESTIMADO"/>
  </tableColumns>
  <tableStyleInfo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00000000-000C-0000-FFFF-FFFF67000000}" name="Table254" displayName="Table254" ref="A4641:F4655" totalsRowShown="0">
  <tableColumns count="6">
    <tableColumn id="1" xr3:uid="{00000000-0010-0000-6700-000001000000}" name="CÓDIGO CATÁLOGO"/>
    <tableColumn id="2" xr3:uid="{00000000-0010-0000-6700-000002000000}" name="ARTÍCULO"/>
    <tableColumn id="3" xr3:uid="{00000000-0010-0000-6700-000003000000}" name="UNIDAD DE MEDIDA"/>
    <tableColumn id="4" xr3:uid="{00000000-0010-0000-6700-000004000000}" name="CANTIDAD TOTAL ESTIMADA"/>
    <tableColumn id="5" xr3:uid="{00000000-0010-0000-6700-000005000000}" name="PRECIO UNITARIO ESTIMADO"/>
    <tableColumn id="6" xr3:uid="{00000000-0010-0000-6700-000006000000}" name="MONTO TOTAL ESTIMADO"/>
  </tableColumns>
  <tableStyleInfo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9" xr:uid="{00000000-000C-0000-FFFF-FFFF68000000}" name="Table159" displayName="Table159" ref="A3183:F3184" totalsRowShown="0">
  <tableColumns count="6">
    <tableColumn id="1" xr3:uid="{00000000-0010-0000-6800-000001000000}" name="CÓDIGO CATÁLOGO"/>
    <tableColumn id="2" xr3:uid="{00000000-0010-0000-6800-000002000000}" name="ARTÍCULO"/>
    <tableColumn id="3" xr3:uid="{00000000-0010-0000-6800-000003000000}" name="UNIDAD DE MEDIDA"/>
    <tableColumn id="4" xr3:uid="{00000000-0010-0000-6800-000004000000}" name="CANTIDAD TOTAL ESTIMADA"/>
    <tableColumn id="5" xr3:uid="{00000000-0010-0000-6800-000005000000}" name="PRECIO UNITARIO ESTIMADO"/>
    <tableColumn id="6" xr3:uid="{00000000-0010-0000-6800-000006000000}" name="MONTO TOTAL ESTIMADO"/>
  </tableColumns>
  <tableStyleInfo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4" xr:uid="{00000000-000C-0000-FFFF-FFFF69000000}" name="Table314" displayName="Table314" ref="A5574:F5577" totalsRowShown="0">
  <tableColumns count="6">
    <tableColumn id="1" xr3:uid="{00000000-0010-0000-6900-000001000000}" name="CÓDIGO CATÁLOGO"/>
    <tableColumn id="2" xr3:uid="{00000000-0010-0000-6900-000002000000}" name="ARTÍCULO"/>
    <tableColumn id="3" xr3:uid="{00000000-0010-0000-6900-000003000000}" name="UNIDAD DE MEDIDA"/>
    <tableColumn id="4" xr3:uid="{00000000-0010-0000-6900-000004000000}" name="CANTIDAD TOTAL ESTIMADA"/>
    <tableColumn id="5" xr3:uid="{00000000-0010-0000-6900-000005000000}" name="PRECIO UNITARIO ESTIMADO"/>
    <tableColumn id="6" xr3:uid="{00000000-0010-0000-6900-000006000000}" name="MONTO TOTAL ESTIMADO"/>
  </tableColumns>
  <tableStyleInfo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6A000000}" name="Table61" displayName="Table61" ref="A938:F939" totalsRowShown="0">
  <tableColumns count="6">
    <tableColumn id="1" xr3:uid="{00000000-0010-0000-6A00-000001000000}" name="CÓDIGO CATÁLOGO"/>
    <tableColumn id="2" xr3:uid="{00000000-0010-0000-6A00-000002000000}" name="ARTÍCULO"/>
    <tableColumn id="3" xr3:uid="{00000000-0010-0000-6A00-000003000000}" name="UNIDAD DE MEDIDA"/>
    <tableColumn id="4" xr3:uid="{00000000-0010-0000-6A00-000004000000}" name="CANTIDAD TOTAL ESTIMADA"/>
    <tableColumn id="5" xr3:uid="{00000000-0010-0000-6A00-000005000000}" name="PRECIO UNITARIO ESTIMADO"/>
    <tableColumn id="6" xr3:uid="{00000000-0010-0000-6A00-000006000000}" name="MONTO TOTAL ESTIMADO"/>
  </tableColumns>
  <tableStyleInfo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2" xr:uid="{00000000-000C-0000-FFFF-FFFF6B000000}" name="Table302" displayName="Table302" ref="A5366:F5369" totalsRowShown="0">
  <tableColumns count="6">
    <tableColumn id="1" xr3:uid="{00000000-0010-0000-6B00-000001000000}" name="CÓDIGO CATÁLOGO"/>
    <tableColumn id="2" xr3:uid="{00000000-0010-0000-6B00-000002000000}" name="ARTÍCULO"/>
    <tableColumn id="3" xr3:uid="{00000000-0010-0000-6B00-000003000000}" name="UNIDAD DE MEDIDA"/>
    <tableColumn id="4" xr3:uid="{00000000-0010-0000-6B00-000004000000}" name="CANTIDAD TOTAL ESTIMADA"/>
    <tableColumn id="5" xr3:uid="{00000000-0010-0000-6B00-000005000000}" name="PRECIO UNITARIO ESTIMADO"/>
    <tableColumn id="6" xr3:uid="{00000000-0010-0000-6B00-000006000000}" name="MONTO TOTAL ESTIMADO"/>
  </tableColumns>
  <tableStyleInfo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6C000000}" name="Table47" displayName="Table47" ref="A756:F757" totalsRowShown="0">
  <tableColumns count="6">
    <tableColumn id="1" xr3:uid="{00000000-0010-0000-6C00-000001000000}" name="CÓDIGO CATÁLOGO"/>
    <tableColumn id="2" xr3:uid="{00000000-0010-0000-6C00-000002000000}" name="ARTÍCULO"/>
    <tableColumn id="3" xr3:uid="{00000000-0010-0000-6C00-000003000000}" name="UNIDAD DE MEDIDA"/>
    <tableColumn id="4" xr3:uid="{00000000-0010-0000-6C00-000004000000}" name="CANTIDAD TOTAL ESTIMADA"/>
    <tableColumn id="5" xr3:uid="{00000000-0010-0000-6C00-000005000000}" name="PRECIO UNITARIO ESTIMADO"/>
    <tableColumn id="6" xr3:uid="{00000000-0010-0000-6C00-000006000000}" name="MONTO TOTAL ESTIMADO"/>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0A000000}" name="Table110" displayName="Table110" ref="A2045:F2051" totalsRowShown="0">
  <tableColumns count="6">
    <tableColumn id="1" xr3:uid="{00000000-0010-0000-0A00-000001000000}" name="CÓDIGO CATÁLOGO"/>
    <tableColumn id="2" xr3:uid="{00000000-0010-0000-0A00-000002000000}" name="ARTÍCULO"/>
    <tableColumn id="3" xr3:uid="{00000000-0010-0000-0A00-000003000000}" name="UNIDAD DE MEDIDA"/>
    <tableColumn id="4" xr3:uid="{00000000-0010-0000-0A00-000004000000}" name="CANTIDAD TOTAL ESTIMADA"/>
    <tableColumn id="5" xr3:uid="{00000000-0010-0000-0A00-000005000000}" name="PRECIO UNITARIO ESTIMADO"/>
    <tableColumn id="6" xr3:uid="{00000000-0010-0000-0A00-000006000000}" name="MONTO TOTAL ESTIMADO"/>
  </tableColumns>
  <tableStyleInfo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6D000000}" name="Table71" displayName="Table71" ref="A1187:F1196" totalsRowShown="0">
  <tableColumns count="6">
    <tableColumn id="1" xr3:uid="{00000000-0010-0000-6D00-000001000000}" name="CÓDIGO CATÁLOGO"/>
    <tableColumn id="2" xr3:uid="{00000000-0010-0000-6D00-000002000000}" name="ARTÍCULO"/>
    <tableColumn id="3" xr3:uid="{00000000-0010-0000-6D00-000003000000}" name="UNIDAD DE MEDIDA"/>
    <tableColumn id="4" xr3:uid="{00000000-0010-0000-6D00-000004000000}" name="CANTIDAD TOTAL ESTIMADA"/>
    <tableColumn id="5" xr3:uid="{00000000-0010-0000-6D00-000005000000}" name="PRECIO UNITARIO ESTIMADO"/>
    <tableColumn id="6" xr3:uid="{00000000-0010-0000-6D00-000006000000}" name="MONTO TOTAL ESTIMADO"/>
  </tableColumns>
  <tableStyleInfo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6E000000}" name="Table87" displayName="Table87" ref="A1409:F1425" totalsRowShown="0">
  <tableColumns count="6">
    <tableColumn id="1" xr3:uid="{00000000-0010-0000-6E00-000001000000}" name="CÓDIGO CATÁLOGO"/>
    <tableColumn id="2" xr3:uid="{00000000-0010-0000-6E00-000002000000}" name="ARTÍCULO"/>
    <tableColumn id="3" xr3:uid="{00000000-0010-0000-6E00-000003000000}" name="UNIDAD DE MEDIDA"/>
    <tableColumn id="4" xr3:uid="{00000000-0010-0000-6E00-000004000000}" name="CANTIDAD TOTAL ESTIMADA"/>
    <tableColumn id="5" xr3:uid="{00000000-0010-0000-6E00-000005000000}" name="PRECIO UNITARIO ESTIMADO"/>
    <tableColumn id="6" xr3:uid="{00000000-0010-0000-6E00-000006000000}" name="MONTO TOTAL ESTIMADO"/>
  </tableColumns>
  <tableStyleInfo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6F000000}" name="Table214" displayName="Table214" ref="A4102:F4106" totalsRowShown="0">
  <tableColumns count="6">
    <tableColumn id="1" xr3:uid="{00000000-0010-0000-6F00-000001000000}" name="CÓDIGO CATÁLOGO"/>
    <tableColumn id="2" xr3:uid="{00000000-0010-0000-6F00-000002000000}" name="ARTÍCULO"/>
    <tableColumn id="3" xr3:uid="{00000000-0010-0000-6F00-000003000000}" name="UNIDAD DE MEDIDA"/>
    <tableColumn id="4" xr3:uid="{00000000-0010-0000-6F00-000004000000}" name="CANTIDAD TOTAL ESTIMADA"/>
    <tableColumn id="5" xr3:uid="{00000000-0010-0000-6F00-000005000000}" name="PRECIO UNITARIO ESTIMADO"/>
    <tableColumn id="6" xr3:uid="{00000000-0010-0000-6F00-000006000000}" name="MONTO TOTAL ESTIMADO"/>
  </tableColumns>
  <tableStyleInfo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00000000-000C-0000-FFFF-FFFF70000000}" name="Table128" displayName="Table128" ref="A2306:F2311" totalsRowShown="0">
  <tableColumns count="6">
    <tableColumn id="1" xr3:uid="{00000000-0010-0000-7000-000001000000}" name="CÓDIGO CATÁLOGO"/>
    <tableColumn id="2" xr3:uid="{00000000-0010-0000-7000-000002000000}" name="ARTÍCULO"/>
    <tableColumn id="3" xr3:uid="{00000000-0010-0000-7000-000003000000}" name="UNIDAD DE MEDIDA"/>
    <tableColumn id="4" xr3:uid="{00000000-0010-0000-7000-000004000000}" name="CANTIDAD TOTAL ESTIMADA"/>
    <tableColumn id="5" xr3:uid="{00000000-0010-0000-7000-000005000000}" name="PRECIO UNITARIO ESTIMADO"/>
    <tableColumn id="6" xr3:uid="{00000000-0010-0000-7000-000006000000}" name="MONTO TOTAL ESTIMADO"/>
  </tableColumns>
  <tableStyleInfo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71000000}" name="Table210" displayName="Table210" ref="A3954:F4000" totalsRowShown="0">
  <tableColumns count="6">
    <tableColumn id="1" xr3:uid="{00000000-0010-0000-7100-000001000000}" name="CÓDIGO CATÁLOGO"/>
    <tableColumn id="2" xr3:uid="{00000000-0010-0000-7100-000002000000}" name="ARTÍCULO"/>
    <tableColumn id="3" xr3:uid="{00000000-0010-0000-7100-000003000000}" name="UNIDAD DE MEDIDA"/>
    <tableColumn id="4" xr3:uid="{00000000-0010-0000-7100-000004000000}" name="CANTIDAD TOTAL ESTIMADA"/>
    <tableColumn id="5" xr3:uid="{00000000-0010-0000-7100-000005000000}" name="PRECIO UNITARIO ESTIMADO"/>
    <tableColumn id="6" xr3:uid="{00000000-0010-0000-7100-000006000000}" name="MONTO TOTAL ESTIMADO"/>
  </tableColumns>
  <tableStyleInfo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5" xr:uid="{00000000-000C-0000-FFFF-FFFF72000000}" name="Table295" displayName="Table295" ref="A5216:F5218" totalsRowShown="0">
  <tableColumns count="6">
    <tableColumn id="1" xr3:uid="{00000000-0010-0000-7200-000001000000}" name="CÓDIGO CATÁLOGO"/>
    <tableColumn id="2" xr3:uid="{00000000-0010-0000-7200-000002000000}" name="ARTÍCULO"/>
    <tableColumn id="3" xr3:uid="{00000000-0010-0000-7200-000003000000}" name="UNIDAD DE MEDIDA"/>
    <tableColumn id="4" xr3:uid="{00000000-0010-0000-7200-000004000000}" name="CANTIDAD TOTAL ESTIMADA"/>
    <tableColumn id="5" xr3:uid="{00000000-0010-0000-7200-000005000000}" name="PRECIO UNITARIO ESTIMADO"/>
    <tableColumn id="6" xr3:uid="{00000000-0010-0000-7200-000006000000}" name="MONTO TOTAL ESTIMADO"/>
  </tableColumns>
  <tableStyleInfo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73000000}" name="Table18" displayName="Table18" ref="A353:F354" totalsRowShown="0">
  <tableColumns count="6">
    <tableColumn id="1" xr3:uid="{00000000-0010-0000-7300-000001000000}" name="CÓDIGO CATÁLOGO"/>
    <tableColumn id="2" xr3:uid="{00000000-0010-0000-7300-000002000000}" name="ARTÍCULO"/>
    <tableColumn id="3" xr3:uid="{00000000-0010-0000-7300-000003000000}" name="UNIDAD DE MEDIDA"/>
    <tableColumn id="4" xr3:uid="{00000000-0010-0000-7300-000004000000}" name="CANTIDAD TOTAL ESTIMADA"/>
    <tableColumn id="5" xr3:uid="{00000000-0010-0000-7300-000005000000}" name="PRECIO UNITARIO ESTIMADO"/>
    <tableColumn id="6" xr3:uid="{00000000-0010-0000-7300-000006000000}" name="MONTO TOTAL ESTIMADO"/>
  </tableColumns>
  <tableStyleInfo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74000000}" name="Table242" displayName="Table242" ref="A4501:F4502" totalsRowShown="0">
  <tableColumns count="6">
    <tableColumn id="1" xr3:uid="{00000000-0010-0000-7400-000001000000}" name="CÓDIGO CATÁLOGO"/>
    <tableColumn id="2" xr3:uid="{00000000-0010-0000-7400-000002000000}" name="ARTÍCULO"/>
    <tableColumn id="3" xr3:uid="{00000000-0010-0000-7400-000003000000}" name="UNIDAD DE MEDIDA"/>
    <tableColumn id="4" xr3:uid="{00000000-0010-0000-7400-000004000000}" name="CANTIDAD TOTAL ESTIMADA"/>
    <tableColumn id="5" xr3:uid="{00000000-0010-0000-7400-000005000000}" name="PRECIO UNITARIO ESTIMADO"/>
    <tableColumn id="6" xr3:uid="{00000000-0010-0000-7400-000006000000}" name="MONTO TOTAL ESTIMADO"/>
  </tableColumns>
  <tableStyleInfo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1" xr:uid="{00000000-000C-0000-FFFF-FFFF75000000}" name="Table141" displayName="Table141" ref="A2981:F2982" totalsRowShown="0">
  <tableColumns count="6">
    <tableColumn id="1" xr3:uid="{00000000-0010-0000-7500-000001000000}" name="CÓDIGO CATÁLOGO"/>
    <tableColumn id="2" xr3:uid="{00000000-0010-0000-7500-000002000000}" name="ARTÍCULO"/>
    <tableColumn id="3" xr3:uid="{00000000-0010-0000-7500-000003000000}" name="UNIDAD DE MEDIDA"/>
    <tableColumn id="4" xr3:uid="{00000000-0010-0000-7500-000004000000}" name="CANTIDAD TOTAL ESTIMADA"/>
    <tableColumn id="5" xr3:uid="{00000000-0010-0000-7500-000005000000}" name="PRECIO UNITARIO ESTIMADO"/>
    <tableColumn id="6" xr3:uid="{00000000-0010-0000-7500-000006000000}" name="MONTO TOTAL ESTIMADO"/>
  </tableColumns>
  <tableStyleInfo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5" xr:uid="{00000000-000C-0000-FFFF-FFFF76000000}" name="Table235" displayName="Table235" ref="A4414:F4416" totalsRowShown="0">
  <tableColumns count="6">
    <tableColumn id="1" xr3:uid="{00000000-0010-0000-7600-000001000000}" name="CÓDIGO CATÁLOGO"/>
    <tableColumn id="2" xr3:uid="{00000000-0010-0000-7600-000002000000}" name="ARTÍCULO"/>
    <tableColumn id="3" xr3:uid="{00000000-0010-0000-7600-000003000000}" name="UNIDAD DE MEDIDA"/>
    <tableColumn id="4" xr3:uid="{00000000-0010-0000-7600-000004000000}" name="CANTIDAD TOTAL ESTIMADA"/>
    <tableColumn id="5" xr3:uid="{00000000-0010-0000-7600-000005000000}" name="PRECIO UNITARIO ESTIMADO"/>
    <tableColumn id="6" xr3:uid="{00000000-0010-0000-7600-000006000000}" name="MONTO TOTAL ESTIMADO"/>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0B000000}" name="Table186" displayName="Table186" ref="A3586:F3587" totalsRowShown="0">
  <tableColumns count="6">
    <tableColumn id="1" xr3:uid="{00000000-0010-0000-0B00-000001000000}" name="CÓDIGO CATÁLOGO"/>
    <tableColumn id="2" xr3:uid="{00000000-0010-0000-0B00-000002000000}" name="ARTÍCULO"/>
    <tableColumn id="3" xr3:uid="{00000000-0010-0000-0B00-000003000000}" name="UNIDAD DE MEDIDA"/>
    <tableColumn id="4" xr3:uid="{00000000-0010-0000-0B00-000004000000}" name="CANTIDAD TOTAL ESTIMADA"/>
    <tableColumn id="5" xr3:uid="{00000000-0010-0000-0B00-000005000000}" name="PRECIO UNITARIO ESTIMADO"/>
    <tableColumn id="6" xr3:uid="{00000000-0010-0000-0B00-000006000000}" name="MONTO TOTAL ESTIMADO"/>
  </tableColumns>
  <tableStyleInfo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77000000}" name="Table65" displayName="Table65" ref="A995:F997" totalsRowShown="0">
  <tableColumns count="6">
    <tableColumn id="1" xr3:uid="{00000000-0010-0000-7700-000001000000}" name="CÓDIGO CATÁLOGO"/>
    <tableColumn id="2" xr3:uid="{00000000-0010-0000-7700-000002000000}" name="ARTÍCULO"/>
    <tableColumn id="3" xr3:uid="{00000000-0010-0000-7700-000003000000}" name="UNIDAD DE MEDIDA"/>
    <tableColumn id="4" xr3:uid="{00000000-0010-0000-7700-000004000000}" name="CANTIDAD TOTAL ESTIMADA"/>
    <tableColumn id="5" xr3:uid="{00000000-0010-0000-7700-000005000000}" name="PRECIO UNITARIO ESTIMADO"/>
    <tableColumn id="6" xr3:uid="{00000000-0010-0000-7700-000006000000}" name="MONTO TOTAL ESTIMADO"/>
  </tableColumns>
  <tableStyleInfo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78000000}" name="Table23" displayName="Table23" ref="A408:F411" totalsRowShown="0">
  <tableColumns count="6">
    <tableColumn id="1" xr3:uid="{00000000-0010-0000-7800-000001000000}" name="CÓDIGO CATÁLOGO"/>
    <tableColumn id="2" xr3:uid="{00000000-0010-0000-7800-000002000000}" name="ARTÍCULO"/>
    <tableColumn id="3" xr3:uid="{00000000-0010-0000-7800-000003000000}" name="UNIDAD DE MEDIDA"/>
    <tableColumn id="4" xr3:uid="{00000000-0010-0000-7800-000004000000}" name="CANTIDAD TOTAL ESTIMADA"/>
    <tableColumn id="5" xr3:uid="{00000000-0010-0000-7800-000005000000}" name="PRECIO UNITARIO ESTIMADO"/>
    <tableColumn id="6" xr3:uid="{00000000-0010-0000-7800-000006000000}" name="MONTO TOTAL ESTIMADO"/>
  </tableColumns>
  <tableStyleInfo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79000000}" name="Table72" displayName="Table72" ref="A1206:F1209" totalsRowShown="0">
  <tableColumns count="6">
    <tableColumn id="1" xr3:uid="{00000000-0010-0000-7900-000001000000}" name="CÓDIGO CATÁLOGO"/>
    <tableColumn id="2" xr3:uid="{00000000-0010-0000-7900-000002000000}" name="ARTÍCULO"/>
    <tableColumn id="3" xr3:uid="{00000000-0010-0000-7900-000003000000}" name="UNIDAD DE MEDIDA"/>
    <tableColumn id="4" xr3:uid="{00000000-0010-0000-7900-000004000000}" name="CANTIDAD TOTAL ESTIMADA"/>
    <tableColumn id="5" xr3:uid="{00000000-0010-0000-7900-000005000000}" name="PRECIO UNITARIO ESTIMADO"/>
    <tableColumn id="6" xr3:uid="{00000000-0010-0000-7900-000006000000}" name="MONTO TOTAL ESTIMADO"/>
  </tableColumns>
  <tableStyleInfo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7A000000}" name="Table52" displayName="Table52" ref="A816:F817" totalsRowShown="0">
  <tableColumns count="6">
    <tableColumn id="1" xr3:uid="{00000000-0010-0000-7A00-000001000000}" name="CÓDIGO CATÁLOGO"/>
    <tableColumn id="2" xr3:uid="{00000000-0010-0000-7A00-000002000000}" name="ARTÍCULO"/>
    <tableColumn id="3" xr3:uid="{00000000-0010-0000-7A00-000003000000}" name="UNIDAD DE MEDIDA"/>
    <tableColumn id="4" xr3:uid="{00000000-0010-0000-7A00-000004000000}" name="CANTIDAD TOTAL ESTIMADA"/>
    <tableColumn id="5" xr3:uid="{00000000-0010-0000-7A00-000005000000}" name="PRECIO UNITARIO ESTIMADO"/>
    <tableColumn id="6" xr3:uid="{00000000-0010-0000-7A00-000006000000}" name="MONTO TOTAL ESTIMADO"/>
  </tableColumns>
  <tableStyleInfo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9" xr:uid="{00000000-000C-0000-FFFF-FFFF7B000000}" name="Table319" displayName="Table319" ref="A5634:F5635" totalsRowShown="0">
  <tableColumns count="6">
    <tableColumn id="1" xr3:uid="{00000000-0010-0000-7B00-000001000000}" name="CÓDIGO CATÁLOGO"/>
    <tableColumn id="2" xr3:uid="{00000000-0010-0000-7B00-000002000000}" name="ARTÍCULO"/>
    <tableColumn id="3" xr3:uid="{00000000-0010-0000-7B00-000003000000}" name="UNIDAD DE MEDIDA"/>
    <tableColumn id="4" xr3:uid="{00000000-0010-0000-7B00-000004000000}" name="CANTIDAD TOTAL ESTIMADA"/>
    <tableColumn id="5" xr3:uid="{00000000-0010-0000-7B00-000005000000}" name="PRECIO UNITARIO ESTIMADO"/>
    <tableColumn id="6" xr3:uid="{00000000-0010-0000-7B00-000006000000}" name="MONTO TOTAL ESTIMADO"/>
  </tableColumns>
  <tableStyleInfo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7C000000}" name="Table54" displayName="Table54" ref="A840:F841" totalsRowShown="0">
  <tableColumns count="6">
    <tableColumn id="1" xr3:uid="{00000000-0010-0000-7C00-000001000000}" name="CÓDIGO CATÁLOGO"/>
    <tableColumn id="2" xr3:uid="{00000000-0010-0000-7C00-000002000000}" name="ARTÍCULO"/>
    <tableColumn id="3" xr3:uid="{00000000-0010-0000-7C00-000003000000}" name="UNIDAD DE MEDIDA"/>
    <tableColumn id="4" xr3:uid="{00000000-0010-0000-7C00-000004000000}" name="CANTIDAD TOTAL ESTIMADA"/>
    <tableColumn id="5" xr3:uid="{00000000-0010-0000-7C00-000005000000}" name="PRECIO UNITARIO ESTIMADO"/>
    <tableColumn id="6" xr3:uid="{00000000-0010-0000-7C00-000006000000}" name="MONTO TOTAL ESTIMADO"/>
  </tableColumns>
  <tableStyleInfo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0" xr:uid="{00000000-000C-0000-FFFF-FFFF7D000000}" name="Table220" displayName="Table220" ref="A4223:F4225" totalsRowShown="0">
  <tableColumns count="6">
    <tableColumn id="1" xr3:uid="{00000000-0010-0000-7D00-000001000000}" name="CÓDIGO CATÁLOGO"/>
    <tableColumn id="2" xr3:uid="{00000000-0010-0000-7D00-000002000000}" name="ARTÍCULO"/>
    <tableColumn id="3" xr3:uid="{00000000-0010-0000-7D00-000003000000}" name="UNIDAD DE MEDIDA"/>
    <tableColumn id="4" xr3:uid="{00000000-0010-0000-7D00-000004000000}" name="CANTIDAD TOTAL ESTIMADA"/>
    <tableColumn id="5" xr3:uid="{00000000-0010-0000-7D00-000005000000}" name="PRECIO UNITARIO ESTIMADO"/>
    <tableColumn id="6" xr3:uid="{00000000-0010-0000-7D00-000006000000}" name="MONTO TOTAL ESTIMADO"/>
  </tableColumns>
  <tableStyleInfo showFirstColumn="0"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6" xr:uid="{00000000-000C-0000-FFFF-FFFF7E000000}" name="Table286" displayName="Table286" ref="A5112:F5115" totalsRowShown="0">
  <tableColumns count="6">
    <tableColumn id="1" xr3:uid="{00000000-0010-0000-7E00-000001000000}" name="CÓDIGO CATÁLOGO"/>
    <tableColumn id="2" xr3:uid="{00000000-0010-0000-7E00-000002000000}" name="ARTÍCULO"/>
    <tableColumn id="3" xr3:uid="{00000000-0010-0000-7E00-000003000000}" name="UNIDAD DE MEDIDA"/>
    <tableColumn id="4" xr3:uid="{00000000-0010-0000-7E00-000004000000}" name="CANTIDAD TOTAL ESTIMADA"/>
    <tableColumn id="5" xr3:uid="{00000000-0010-0000-7E00-000005000000}" name="PRECIO UNITARIO ESTIMADO"/>
    <tableColumn id="6" xr3:uid="{00000000-0010-0000-7E00-000006000000}" name="MONTO TOTAL ESTIMADO"/>
  </tableColumns>
  <tableStyleInfo showFirstColumn="0" showLastColumn="0"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7F000000}" name="Table37" displayName="Table37" ref="A622:F634" totalsRowShown="0">
  <tableColumns count="6">
    <tableColumn id="1" xr3:uid="{00000000-0010-0000-7F00-000001000000}" name="CÓDIGO CATÁLOGO"/>
    <tableColumn id="2" xr3:uid="{00000000-0010-0000-7F00-000002000000}" name="ARTÍCULO"/>
    <tableColumn id="3" xr3:uid="{00000000-0010-0000-7F00-000003000000}" name="UNIDAD DE MEDIDA"/>
    <tableColumn id="4" xr3:uid="{00000000-0010-0000-7F00-000004000000}" name="CANTIDAD TOTAL ESTIMADA"/>
    <tableColumn id="5" xr3:uid="{00000000-0010-0000-7F00-000005000000}" name="PRECIO UNITARIO ESTIMADO"/>
    <tableColumn id="6" xr3:uid="{00000000-0010-0000-7F00-000006000000}" name="MONTO TOTAL ESTIMADO"/>
  </tableColumns>
  <tableStyleInfo showFirstColumn="0" showLastColumn="0"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0000000-000C-0000-FFFF-FFFF80000000}" name="Table100" displayName="Table100" ref="A1835:F1872" totalsRowShown="0">
  <tableColumns count="6">
    <tableColumn id="1" xr3:uid="{00000000-0010-0000-8000-000001000000}" name="CÓDIGO CATÁLOGO"/>
    <tableColumn id="2" xr3:uid="{00000000-0010-0000-8000-000002000000}" name="ARTÍCULO"/>
    <tableColumn id="3" xr3:uid="{00000000-0010-0000-8000-000003000000}" name="UNIDAD DE MEDIDA"/>
    <tableColumn id="4" xr3:uid="{00000000-0010-0000-8000-000004000000}" name="CANTIDAD TOTAL ESTIMADA"/>
    <tableColumn id="5" xr3:uid="{00000000-0010-0000-8000-000005000000}" name="PRECIO UNITARIO ESTIMADO"/>
    <tableColumn id="6" xr3:uid="{00000000-0010-0000-8000-000006000000}" name="MONTO TOTAL ESTIMADO"/>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7" xr:uid="{00000000-000C-0000-FFFF-FFFF0C000000}" name="Table167" displayName="Table167" ref="A3285:F3286" totalsRowShown="0">
  <tableColumns count="6">
    <tableColumn id="1" xr3:uid="{00000000-0010-0000-0C00-000001000000}" name="CÓDIGO CATÁLOGO"/>
    <tableColumn id="2" xr3:uid="{00000000-0010-0000-0C00-000002000000}" name="ARTÍCULO"/>
    <tableColumn id="3" xr3:uid="{00000000-0010-0000-0C00-000003000000}" name="UNIDAD DE MEDIDA"/>
    <tableColumn id="4" xr3:uid="{00000000-0010-0000-0C00-000004000000}" name="CANTIDAD TOTAL ESTIMADA"/>
    <tableColumn id="5" xr3:uid="{00000000-0010-0000-0C00-000005000000}" name="PRECIO UNITARIO ESTIMADO"/>
    <tableColumn id="6" xr3:uid="{00000000-0010-0000-0C00-000006000000}" name="MONTO TOTAL ESTIMADO"/>
  </tableColumns>
  <tableStyleInfo showFirstColumn="0" showLastColumn="0"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7" xr:uid="{00000000-000C-0000-FFFF-FFFF81000000}" name="Table277" displayName="Table277" ref="A4982:F4988" totalsRowShown="0">
  <tableColumns count="6">
    <tableColumn id="1" xr3:uid="{00000000-0010-0000-8100-000001000000}" name="CÓDIGO CATÁLOGO"/>
    <tableColumn id="2" xr3:uid="{00000000-0010-0000-8100-000002000000}" name="ARTÍCULO"/>
    <tableColumn id="3" xr3:uid="{00000000-0010-0000-8100-000003000000}" name="UNIDAD DE MEDIDA"/>
    <tableColumn id="4" xr3:uid="{00000000-0010-0000-8100-000004000000}" name="CANTIDAD TOTAL ESTIMADA"/>
    <tableColumn id="5" xr3:uid="{00000000-0010-0000-8100-000005000000}" name="PRECIO UNITARIO ESTIMADO"/>
    <tableColumn id="6" xr3:uid="{00000000-0010-0000-8100-000006000000}" name="MONTO TOTAL ESTIMADO"/>
  </tableColumns>
  <tableStyleInfo showFirstColumn="0" showLastColumn="0"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4" xr:uid="{00000000-000C-0000-FFFF-FFFF82000000}" name="Table284" displayName="Table284" ref="A5082:F5088" totalsRowShown="0">
  <tableColumns count="6">
    <tableColumn id="1" xr3:uid="{00000000-0010-0000-8200-000001000000}" name="CÓDIGO CATÁLOGO"/>
    <tableColumn id="2" xr3:uid="{00000000-0010-0000-8200-000002000000}" name="ARTÍCULO"/>
    <tableColumn id="3" xr3:uid="{00000000-0010-0000-8200-000003000000}" name="UNIDAD DE MEDIDA"/>
    <tableColumn id="4" xr3:uid="{00000000-0010-0000-8200-000004000000}" name="CANTIDAD TOTAL ESTIMADA"/>
    <tableColumn id="5" xr3:uid="{00000000-0010-0000-8200-000005000000}" name="PRECIO UNITARIO ESTIMADO"/>
    <tableColumn id="6" xr3:uid="{00000000-0010-0000-8200-000006000000}" name="MONTO TOTAL ESTIMADO"/>
  </tableColumns>
  <tableStyleInfo showFirstColumn="0" showLastColumn="0"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3" xr:uid="{00000000-000C-0000-FFFF-FFFF83000000}" name="Table313" displayName="Table313" ref="A5560:F5564" totalsRowShown="0">
  <tableColumns count="6">
    <tableColumn id="1" xr3:uid="{00000000-0010-0000-8300-000001000000}" name="CÓDIGO CATÁLOGO"/>
    <tableColumn id="2" xr3:uid="{00000000-0010-0000-8300-000002000000}" name="ARTÍCULO"/>
    <tableColumn id="3" xr3:uid="{00000000-0010-0000-8300-000003000000}" name="UNIDAD DE MEDIDA"/>
    <tableColumn id="4" xr3:uid="{00000000-0010-0000-8300-000004000000}" name="CANTIDAD TOTAL ESTIMADA"/>
    <tableColumn id="5" xr3:uid="{00000000-0010-0000-8300-000005000000}" name="PRECIO UNITARIO ESTIMADO"/>
    <tableColumn id="6" xr3:uid="{00000000-0010-0000-8300-000006000000}" name="MONTO TOTAL ESTIMADO"/>
  </tableColumns>
  <tableStyleInfo showFirstColumn="0" showLastColumn="0" showRowStripes="1" showColumnStripes="0"/>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84000000}" name="Table12" displayName="Table12" ref="A284:F286" totalsRowShown="0">
  <tableColumns count="6">
    <tableColumn id="1" xr3:uid="{00000000-0010-0000-8400-000001000000}" name="CÓDIGO CATÁLOGO"/>
    <tableColumn id="2" xr3:uid="{00000000-0010-0000-8400-000002000000}" name="ARTÍCULO"/>
    <tableColumn id="3" xr3:uid="{00000000-0010-0000-8400-000003000000}" name="UNIDAD DE MEDIDA"/>
    <tableColumn id="4" xr3:uid="{00000000-0010-0000-8400-000004000000}" name="CANTIDAD TOTAL ESTIMADA"/>
    <tableColumn id="5" xr3:uid="{00000000-0010-0000-8400-000005000000}" name="PRECIO UNITARIO ESTIMADO"/>
    <tableColumn id="6" xr3:uid="{00000000-0010-0000-8400-000006000000}" name="MONTO TOTAL ESTIMADO"/>
  </tableColumns>
  <tableStyleInfo showFirstColumn="0" showLastColumn="0" showRowStripes="1" showColumnStripes="0"/>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3" xr:uid="{00000000-000C-0000-FFFF-FFFF85000000}" name="Table293" displayName="Table293" ref="A5193:F5194" totalsRowShown="0">
  <tableColumns count="6">
    <tableColumn id="1" xr3:uid="{00000000-0010-0000-8500-000001000000}" name="CÓDIGO CATÁLOGO"/>
    <tableColumn id="2" xr3:uid="{00000000-0010-0000-8500-000002000000}" name="ARTÍCULO"/>
    <tableColumn id="3" xr3:uid="{00000000-0010-0000-8500-000003000000}" name="UNIDAD DE MEDIDA"/>
    <tableColumn id="4" xr3:uid="{00000000-0010-0000-8500-000004000000}" name="CANTIDAD TOTAL ESTIMADA"/>
    <tableColumn id="5" xr3:uid="{00000000-0010-0000-8500-000005000000}" name="PRECIO UNITARIO ESTIMADO"/>
    <tableColumn id="6" xr3:uid="{00000000-0010-0000-8500-000006000000}" name="MONTO TOTAL ESTIMADO"/>
  </tableColumns>
  <tableStyleInfo showFirstColumn="0" showLastColumn="0" showRowStripes="1" showColumnStripes="0"/>
</table>
</file>

<file path=xl/tables/table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0" xr:uid="{00000000-000C-0000-FFFF-FFFF86000000}" name="Table150" displayName="Table150" ref="A3080:F3081" totalsRowShown="0">
  <tableColumns count="6">
    <tableColumn id="1" xr3:uid="{00000000-0010-0000-8600-000001000000}" name="CÓDIGO CATÁLOGO"/>
    <tableColumn id="2" xr3:uid="{00000000-0010-0000-8600-000002000000}" name="ARTÍCULO"/>
    <tableColumn id="3" xr3:uid="{00000000-0010-0000-8600-000003000000}" name="UNIDAD DE MEDIDA"/>
    <tableColumn id="4" xr3:uid="{00000000-0010-0000-8600-000004000000}" name="CANTIDAD TOTAL ESTIMADA"/>
    <tableColumn id="5" xr3:uid="{00000000-0010-0000-8600-000005000000}" name="PRECIO UNITARIO ESTIMADO"/>
    <tableColumn id="6" xr3:uid="{00000000-0010-0000-8600-000006000000}" name="MONTO TOTAL ESTIMADO"/>
  </tableColumns>
  <tableStyleInfo showFirstColumn="0" showLastColumn="0" showRowStripes="1" showColumnStripes="0"/>
</table>
</file>

<file path=xl/tables/table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7" xr:uid="{00000000-000C-0000-FFFF-FFFF87000000}" name="Table257" displayName="Table257" ref="A4687:F4689" totalsRowShown="0">
  <tableColumns count="6">
    <tableColumn id="1" xr3:uid="{00000000-0010-0000-8700-000001000000}" name="CÓDIGO CATÁLOGO"/>
    <tableColumn id="2" xr3:uid="{00000000-0010-0000-8700-000002000000}" name="ARTÍCULO"/>
    <tableColumn id="3" xr3:uid="{00000000-0010-0000-8700-000003000000}" name="UNIDAD DE MEDIDA"/>
    <tableColumn id="4" xr3:uid="{00000000-0010-0000-8700-000004000000}" name="CANTIDAD TOTAL ESTIMADA"/>
    <tableColumn id="5" xr3:uid="{00000000-0010-0000-8700-000005000000}" name="PRECIO UNITARIO ESTIMADO"/>
    <tableColumn id="6" xr3:uid="{00000000-0010-0000-8700-000006000000}" name="MONTO TOTAL ESTIMADO"/>
  </tableColumns>
  <tableStyleInfo showFirstColumn="0" showLastColumn="0" showRowStripes="1" showColumnStripes="0"/>
</table>
</file>

<file path=xl/tables/table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00000000-000C-0000-FFFF-FFFF88000000}" name="Table247" displayName="Table247" ref="A4556:F4561" totalsRowShown="0">
  <tableColumns count="6">
    <tableColumn id="1" xr3:uid="{00000000-0010-0000-8800-000001000000}" name="CÓDIGO CATÁLOGO"/>
    <tableColumn id="2" xr3:uid="{00000000-0010-0000-8800-000002000000}" name="ARTÍCULO"/>
    <tableColumn id="3" xr3:uid="{00000000-0010-0000-8800-000003000000}" name="UNIDAD DE MEDIDA"/>
    <tableColumn id="4" xr3:uid="{00000000-0010-0000-8800-000004000000}" name="CANTIDAD TOTAL ESTIMADA"/>
    <tableColumn id="5" xr3:uid="{00000000-0010-0000-8800-000005000000}" name="PRECIO UNITARIO ESTIMADO"/>
    <tableColumn id="6" xr3:uid="{00000000-0010-0000-8800-000006000000}" name="MONTO TOTAL ESTIMADO"/>
  </tableColumns>
  <tableStyleInfo showFirstColumn="0" showLastColumn="0" showRowStripes="1" showColumnStripes="0"/>
</table>
</file>

<file path=xl/tables/table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89000000}" name="Table178" displayName="Table178" ref="A3491:F3496" totalsRowShown="0">
  <tableColumns count="6">
    <tableColumn id="1" xr3:uid="{00000000-0010-0000-8900-000001000000}" name="CÓDIGO CATÁLOGO"/>
    <tableColumn id="2" xr3:uid="{00000000-0010-0000-8900-000002000000}" name="ARTÍCULO"/>
    <tableColumn id="3" xr3:uid="{00000000-0010-0000-8900-000003000000}" name="UNIDAD DE MEDIDA"/>
    <tableColumn id="4" xr3:uid="{00000000-0010-0000-8900-000004000000}" name="CANTIDAD TOTAL ESTIMADA"/>
    <tableColumn id="5" xr3:uid="{00000000-0010-0000-8900-000005000000}" name="PRECIO UNITARIO ESTIMADO"/>
    <tableColumn id="6" xr3:uid="{00000000-0010-0000-8900-000006000000}" name="MONTO TOTAL ESTIMADO"/>
  </tableColumns>
  <tableStyleInfo showFirstColumn="0" showLastColumn="0" showRowStripes="1" showColumnStripes="0"/>
</table>
</file>

<file path=xl/tables/table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00000000-000C-0000-FFFF-FFFF8A000000}" name="Table137" displayName="Table137" ref="A2929:F2933" totalsRowShown="0">
  <tableColumns count="6">
    <tableColumn id="1" xr3:uid="{00000000-0010-0000-8A00-000001000000}" name="CÓDIGO CATÁLOGO"/>
    <tableColumn id="2" xr3:uid="{00000000-0010-0000-8A00-000002000000}" name="ARTÍCULO"/>
    <tableColumn id="3" xr3:uid="{00000000-0010-0000-8A00-000003000000}" name="UNIDAD DE MEDIDA"/>
    <tableColumn id="4" xr3:uid="{00000000-0010-0000-8A00-000004000000}" name="CANTIDAD TOTAL ESTIMADA"/>
    <tableColumn id="5" xr3:uid="{00000000-0010-0000-8A00-000005000000}" name="PRECIO UNITARIO ESTIMADO"/>
    <tableColumn id="6" xr3:uid="{00000000-0010-0000-8A00-000006000000}" name="MONTO TOTAL ESTIMADO"/>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0D000000}" name="Table86" displayName="Table86" ref="A1398:F1399" totalsRowShown="0">
  <tableColumns count="6">
    <tableColumn id="1" xr3:uid="{00000000-0010-0000-0D00-000001000000}" name="CÓDIGO CATÁLOGO"/>
    <tableColumn id="2" xr3:uid="{00000000-0010-0000-0D00-000002000000}" name="ARTÍCULO"/>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tableColumns>
  <tableStyleInfo showFirstColumn="0" showLastColumn="0" showRowStripes="1" showColumnStripes="0"/>
</table>
</file>

<file path=xl/tables/table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4" xr:uid="{00000000-000C-0000-FFFF-FFFF8B000000}" name="Table294" displayName="Table294" ref="A5204:F5206" totalsRowShown="0">
  <tableColumns count="6">
    <tableColumn id="1" xr3:uid="{00000000-0010-0000-8B00-000001000000}" name="CÓDIGO CATÁLOGO"/>
    <tableColumn id="2" xr3:uid="{00000000-0010-0000-8B00-000002000000}" name="ARTÍCULO"/>
    <tableColumn id="3" xr3:uid="{00000000-0010-0000-8B00-000003000000}" name="UNIDAD DE MEDIDA"/>
    <tableColumn id="4" xr3:uid="{00000000-0010-0000-8B00-000004000000}" name="CANTIDAD TOTAL ESTIMADA"/>
    <tableColumn id="5" xr3:uid="{00000000-0010-0000-8B00-000005000000}" name="PRECIO UNITARIO ESTIMADO"/>
    <tableColumn id="6" xr3:uid="{00000000-0010-0000-8B00-000006000000}" name="MONTO TOTAL ESTIMADO"/>
  </tableColumns>
  <tableStyleInfo showFirstColumn="0" showLastColumn="0" showRowStripes="1" showColumnStripes="0"/>
</table>
</file>

<file path=xl/tables/table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7" xr:uid="{00000000-000C-0000-FFFF-FFFF8C000000}" name="Table227" displayName="Table227" ref="A4302:F4303" totalsRowShown="0">
  <tableColumns count="6">
    <tableColumn id="1" xr3:uid="{00000000-0010-0000-8C00-000001000000}" name="CÓDIGO CATÁLOGO"/>
    <tableColumn id="2" xr3:uid="{00000000-0010-0000-8C00-000002000000}" name="ARTÍCULO"/>
    <tableColumn id="3" xr3:uid="{00000000-0010-0000-8C00-000003000000}" name="UNIDAD DE MEDIDA"/>
    <tableColumn id="4" xr3:uid="{00000000-0010-0000-8C00-000004000000}" name="CANTIDAD TOTAL ESTIMADA"/>
    <tableColumn id="5" xr3:uid="{00000000-0010-0000-8C00-000005000000}" name="PRECIO UNITARIO ESTIMADO"/>
    <tableColumn id="6" xr3:uid="{00000000-0010-0000-8C00-000006000000}" name="MONTO TOTAL ESTIMADO"/>
  </tableColumns>
  <tableStyleInfo showFirstColumn="0" showLastColumn="0" showRowStripes="1" showColumnStripes="0"/>
</table>
</file>

<file path=xl/tables/table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0" xr:uid="{00000000-000C-0000-FFFF-FFFF8D000000}" name="Table290" displayName="Table290" ref="A5160:F5161" totalsRowShown="0">
  <tableColumns count="6">
    <tableColumn id="1" xr3:uid="{00000000-0010-0000-8D00-000001000000}" name="CÓDIGO CATÁLOGO"/>
    <tableColumn id="2" xr3:uid="{00000000-0010-0000-8D00-000002000000}" name="ARTÍCULO"/>
    <tableColumn id="3" xr3:uid="{00000000-0010-0000-8D00-000003000000}" name="UNIDAD DE MEDIDA"/>
    <tableColumn id="4" xr3:uid="{00000000-0010-0000-8D00-000004000000}" name="CANTIDAD TOTAL ESTIMADA"/>
    <tableColumn id="5" xr3:uid="{00000000-0010-0000-8D00-000005000000}" name="PRECIO UNITARIO ESTIMADO"/>
    <tableColumn id="6" xr3:uid="{00000000-0010-0000-8D00-000006000000}" name="MONTO TOTAL ESTIMADO"/>
  </tableColumns>
  <tableStyleInfo showFirstColumn="0" showLastColumn="0" showRowStripes="1" showColumnStripes="0"/>
</table>
</file>

<file path=xl/tables/table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8E000000}" name="Table75" displayName="Table75" ref="A1245:F1247" totalsRowShown="0">
  <tableColumns count="6">
    <tableColumn id="1" xr3:uid="{00000000-0010-0000-8E00-000001000000}" name="CÓDIGO CATÁLOGO"/>
    <tableColumn id="2" xr3:uid="{00000000-0010-0000-8E00-000002000000}" name="ARTÍCULO"/>
    <tableColumn id="3" xr3:uid="{00000000-0010-0000-8E00-000003000000}" name="UNIDAD DE MEDIDA"/>
    <tableColumn id="4" xr3:uid="{00000000-0010-0000-8E00-000004000000}" name="CANTIDAD TOTAL ESTIMADA"/>
    <tableColumn id="5" xr3:uid="{00000000-0010-0000-8E00-000005000000}" name="PRECIO UNITARIO ESTIMADO"/>
    <tableColumn id="6" xr3:uid="{00000000-0010-0000-8E00-000006000000}" name="MONTO TOTAL ESTIMADO"/>
  </tableColumns>
  <tableStyleInfo showFirstColumn="0" showLastColumn="0" showRowStripes="1" showColumnStripes="0"/>
</table>
</file>

<file path=xl/tables/table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8F000000}" name="Table53" displayName="Table53" ref="A827:F830" totalsRowShown="0">
  <tableColumns count="6">
    <tableColumn id="1" xr3:uid="{00000000-0010-0000-8F00-000001000000}" name="CÓDIGO CATÁLOGO"/>
    <tableColumn id="2" xr3:uid="{00000000-0010-0000-8F00-000002000000}" name="ARTÍCULO"/>
    <tableColumn id="3" xr3:uid="{00000000-0010-0000-8F00-000003000000}" name="UNIDAD DE MEDIDA"/>
    <tableColumn id="4" xr3:uid="{00000000-0010-0000-8F00-000004000000}" name="CANTIDAD TOTAL ESTIMADA"/>
    <tableColumn id="5" xr3:uid="{00000000-0010-0000-8F00-000005000000}" name="PRECIO UNITARIO ESTIMADO"/>
    <tableColumn id="6" xr3:uid="{00000000-0010-0000-8F00-000006000000}" name="MONTO TOTAL ESTIMADO"/>
  </tableColumns>
  <tableStyleInfo showFirstColumn="0" showLastColumn="0" showRowStripes="1" showColumnStripes="0"/>
</table>
</file>

<file path=xl/tables/table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90000000}" name="Table199" displayName="Table199" ref="A3741:F3750" totalsRowShown="0">
  <tableColumns count="6">
    <tableColumn id="1" xr3:uid="{00000000-0010-0000-9000-000001000000}" name="CÓDIGO CATÁLOGO"/>
    <tableColumn id="2" xr3:uid="{00000000-0010-0000-9000-000002000000}" name="ARTÍCULO"/>
    <tableColumn id="3" xr3:uid="{00000000-0010-0000-9000-000003000000}" name="UNIDAD DE MEDIDA"/>
    <tableColumn id="4" xr3:uid="{00000000-0010-0000-9000-000004000000}" name="CANTIDAD TOTAL ESTIMADA"/>
    <tableColumn id="5" xr3:uid="{00000000-0010-0000-9000-000005000000}" name="PRECIO UNITARIO ESTIMADO"/>
    <tableColumn id="6" xr3:uid="{00000000-0010-0000-9000-000006000000}" name="MONTO TOTAL ESTIMADO"/>
  </tableColumns>
  <tableStyleInfo showFirstColumn="0" showLastColumn="0" showRowStripes="1" showColumnStripes="0"/>
</table>
</file>

<file path=xl/tables/table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00000000-000C-0000-FFFF-FFFF91000000}" name="Table120" displayName="Table120" ref="A2185:F2186" totalsRowShown="0">
  <tableColumns count="6">
    <tableColumn id="1" xr3:uid="{00000000-0010-0000-9100-000001000000}" name="CÓDIGO CATÁLOGO"/>
    <tableColumn id="2" xr3:uid="{00000000-0010-0000-9100-000002000000}" name="ARTÍCULO"/>
    <tableColumn id="3" xr3:uid="{00000000-0010-0000-9100-000003000000}" name="UNIDAD DE MEDIDA"/>
    <tableColumn id="4" xr3:uid="{00000000-0010-0000-9100-000004000000}" name="CANTIDAD TOTAL ESTIMADA"/>
    <tableColumn id="5" xr3:uid="{00000000-0010-0000-9100-000005000000}" name="PRECIO UNITARIO ESTIMADO"/>
    <tableColumn id="6" xr3:uid="{00000000-0010-0000-9100-000006000000}" name="MONTO TOTAL ESTIMADO"/>
  </tableColumns>
  <tableStyleInfo showFirstColumn="0" showLastColumn="0" showRowStripes="1" showColumnStripes="0"/>
</table>
</file>

<file path=xl/tables/table1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3" xr:uid="{00000000-000C-0000-FFFF-FFFF92000000}" name="Table223" displayName="Table223" ref="A4257:F4259" totalsRowShown="0">
  <tableColumns count="6">
    <tableColumn id="1" xr3:uid="{00000000-0010-0000-9200-000001000000}" name="CÓDIGO CATÁLOGO"/>
    <tableColumn id="2" xr3:uid="{00000000-0010-0000-9200-000002000000}" name="ARTÍCULO"/>
    <tableColumn id="3" xr3:uid="{00000000-0010-0000-9200-000003000000}" name="UNIDAD DE MEDIDA"/>
    <tableColumn id="4" xr3:uid="{00000000-0010-0000-9200-000004000000}" name="CANTIDAD TOTAL ESTIMADA"/>
    <tableColumn id="5" xr3:uid="{00000000-0010-0000-9200-000005000000}" name="PRECIO UNITARIO ESTIMADO"/>
    <tableColumn id="6" xr3:uid="{00000000-0010-0000-9200-000006000000}" name="MONTO TOTAL ESTIMADO"/>
  </tableColumns>
  <tableStyleInfo showFirstColumn="0" showLastColumn="0" showRowStripes="1" showColumnStripes="0"/>
</table>
</file>

<file path=xl/tables/table1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93000000}" name="Table81" displayName="Table81" ref="A1318:F1327" totalsRowShown="0">
  <tableColumns count="6">
    <tableColumn id="1" xr3:uid="{00000000-0010-0000-9300-000001000000}" name="CÓDIGO CATÁLOGO"/>
    <tableColumn id="2" xr3:uid="{00000000-0010-0000-9300-000002000000}" name="ARTÍCULO"/>
    <tableColumn id="3" xr3:uid="{00000000-0010-0000-9300-000003000000}" name="UNIDAD DE MEDIDA"/>
    <tableColumn id="4" xr3:uid="{00000000-0010-0000-9300-000004000000}" name="CANTIDAD TOTAL ESTIMADA"/>
    <tableColumn id="5" xr3:uid="{00000000-0010-0000-9300-000005000000}" name="PRECIO UNITARIO ESTIMADO"/>
    <tableColumn id="6" xr3:uid="{00000000-0010-0000-9300-000006000000}" name="MONTO TOTAL ESTIMADO"/>
  </tableColumns>
  <tableStyleInfo showFirstColumn="0" showLastColumn="0" showRowStripes="1" showColumnStripes="0"/>
</table>
</file>

<file path=xl/tables/table1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94000000}" name="Table50" displayName="Table50" ref="A792:F795" totalsRowShown="0">
  <tableColumns count="6">
    <tableColumn id="1" xr3:uid="{00000000-0010-0000-9400-000001000000}" name="CÓDIGO CATÁLOGO"/>
    <tableColumn id="2" xr3:uid="{00000000-0010-0000-9400-000002000000}" name="ARTÍCULO"/>
    <tableColumn id="3" xr3:uid="{00000000-0010-0000-9400-000003000000}" name="UNIDAD DE MEDIDA"/>
    <tableColumn id="4" xr3:uid="{00000000-0010-0000-9400-000004000000}" name="CANTIDAD TOTAL ESTIMADA"/>
    <tableColumn id="5" xr3:uid="{00000000-0010-0000-9400-000005000000}" name="PRECIO UNITARIO ESTIMADO"/>
    <tableColumn id="6" xr3:uid="{00000000-0010-0000-9400-000006000000}" name="MONTO TOTAL ESTIMADO"/>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6" xr:uid="{00000000-000C-0000-FFFF-FFFF0E000000}" name="Table316" displayName="Table316" ref="A5599:F5600" totalsRowShown="0">
  <tableColumns count="6">
    <tableColumn id="1" xr3:uid="{00000000-0010-0000-0E00-000001000000}" name="CÓDIGO CATÁLOGO"/>
    <tableColumn id="2" xr3:uid="{00000000-0010-0000-0E00-000002000000}" name="ARTÍCULO"/>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tableColumns>
  <tableStyleInfo showFirstColumn="0" showLastColumn="0" showRowStripes="1" showColumnStripes="0"/>
</table>
</file>

<file path=xl/tables/table1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95000000}" name="Table74" displayName="Table74" ref="A1232:F1235" totalsRowShown="0">
  <tableColumns count="6">
    <tableColumn id="1" xr3:uid="{00000000-0010-0000-9500-000001000000}" name="CÓDIGO CATÁLOGO"/>
    <tableColumn id="2" xr3:uid="{00000000-0010-0000-9500-000002000000}" name="ARTÍCULO"/>
    <tableColumn id="3" xr3:uid="{00000000-0010-0000-9500-000003000000}" name="UNIDAD DE MEDIDA"/>
    <tableColumn id="4" xr3:uid="{00000000-0010-0000-9500-000004000000}" name="CANTIDAD TOTAL ESTIMADA"/>
    <tableColumn id="5" xr3:uid="{00000000-0010-0000-9500-000005000000}" name="PRECIO UNITARIO ESTIMADO"/>
    <tableColumn id="6" xr3:uid="{00000000-0010-0000-9500-000006000000}" name="MONTO TOTAL ESTIMADO"/>
  </tableColumns>
  <tableStyleInfo showFirstColumn="0" showLastColumn="0" showRowStripes="1" showColumnStripes="0"/>
</table>
</file>

<file path=xl/tables/table1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96000000}" name="Table208" displayName="Table208" ref="A3922:F3931" totalsRowShown="0">
  <tableColumns count="6">
    <tableColumn id="1" xr3:uid="{00000000-0010-0000-9600-000001000000}" name="CÓDIGO CATÁLOGO"/>
    <tableColumn id="2" xr3:uid="{00000000-0010-0000-9600-000002000000}" name="ARTÍCULO"/>
    <tableColumn id="3" xr3:uid="{00000000-0010-0000-9600-000003000000}" name="UNIDAD DE MEDIDA"/>
    <tableColumn id="4" xr3:uid="{00000000-0010-0000-9600-000004000000}" name="CANTIDAD TOTAL ESTIMADA"/>
    <tableColumn id="5" xr3:uid="{00000000-0010-0000-9600-000005000000}" name="PRECIO UNITARIO ESTIMADO"/>
    <tableColumn id="6" xr3:uid="{00000000-0010-0000-9600-000006000000}" name="MONTO TOTAL ESTIMADO"/>
  </tableColumns>
  <tableStyleInfo showFirstColumn="0" showLastColumn="0" showRowStripes="1" showColumnStripes="0"/>
</table>
</file>

<file path=xl/tables/table1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6" xr:uid="{00000000-000C-0000-FFFF-FFFF97000000}" name="Table256" displayName="Table256" ref="A4676:F4677" totalsRowShown="0">
  <tableColumns count="6">
    <tableColumn id="1" xr3:uid="{00000000-0010-0000-9700-000001000000}" name="CÓDIGO CATÁLOGO"/>
    <tableColumn id="2" xr3:uid="{00000000-0010-0000-9700-000002000000}" name="ARTÍCULO"/>
    <tableColumn id="3" xr3:uid="{00000000-0010-0000-9700-000003000000}" name="UNIDAD DE MEDIDA"/>
    <tableColumn id="4" xr3:uid="{00000000-0010-0000-9700-000004000000}" name="CANTIDAD TOTAL ESTIMADA"/>
    <tableColumn id="5" xr3:uid="{00000000-0010-0000-9700-000005000000}" name="PRECIO UNITARIO ESTIMADO"/>
    <tableColumn id="6" xr3:uid="{00000000-0010-0000-9700-000006000000}" name="MONTO TOTAL ESTIMADO"/>
  </tableColumns>
  <tableStyleInfo showFirstColumn="0" showLastColumn="0" showRowStripes="1" showColumnStripes="0"/>
</table>
</file>

<file path=xl/tables/table1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98000000}" name="Table25" displayName="Table25" ref="A437:F438" totalsRowShown="0">
  <tableColumns count="6">
    <tableColumn id="1" xr3:uid="{00000000-0010-0000-9800-000001000000}" name="CÓDIGO CATÁLOGO"/>
    <tableColumn id="2" xr3:uid="{00000000-0010-0000-9800-000002000000}" name="ARTÍCULO"/>
    <tableColumn id="3" xr3:uid="{00000000-0010-0000-9800-000003000000}" name="UNIDAD DE MEDIDA"/>
    <tableColumn id="4" xr3:uid="{00000000-0010-0000-9800-000004000000}" name="CANTIDAD TOTAL ESTIMADA"/>
    <tableColumn id="5" xr3:uid="{00000000-0010-0000-9800-000005000000}" name="PRECIO UNITARIO ESTIMADO"/>
    <tableColumn id="6" xr3:uid="{00000000-0010-0000-9800-000006000000}" name="MONTO TOTAL ESTIMADO"/>
  </tableColumns>
  <tableStyleInfo showFirstColumn="0" showLastColumn="0" showRowStripes="1" showColumnStripes="0"/>
</table>
</file>

<file path=xl/tables/table1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99000000}" name="Table13" displayName="Table13" ref="A296:F297" totalsRowShown="0">
  <tableColumns count="6">
    <tableColumn id="1" xr3:uid="{00000000-0010-0000-9900-000001000000}" name="CÓDIGO CATÁLOGO"/>
    <tableColumn id="2" xr3:uid="{00000000-0010-0000-9900-000002000000}" name="ARTÍCULO"/>
    <tableColumn id="3" xr3:uid="{00000000-0010-0000-9900-000003000000}" name="UNIDAD DE MEDIDA"/>
    <tableColumn id="4" xr3:uid="{00000000-0010-0000-9900-000004000000}" name="CANTIDAD TOTAL ESTIMADA"/>
    <tableColumn id="5" xr3:uid="{00000000-0010-0000-9900-000005000000}" name="PRECIO UNITARIO ESTIMADO"/>
    <tableColumn id="6" xr3:uid="{00000000-0010-0000-9900-000006000000}" name="MONTO TOTAL ESTIMADO"/>
  </tableColumns>
  <tableStyleInfo showFirstColumn="0" showLastColumn="0" showRowStripes="1" showColumnStripes="0"/>
</table>
</file>

<file path=xl/tables/table1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1" xr:uid="{00000000-000C-0000-FFFF-FFFF9A000000}" name="Table311" displayName="Table311" ref="A5529:F5534" totalsRowShown="0">
  <tableColumns count="6">
    <tableColumn id="1" xr3:uid="{00000000-0010-0000-9A00-000001000000}" name="CÓDIGO CATÁLOGO"/>
    <tableColumn id="2" xr3:uid="{00000000-0010-0000-9A00-000002000000}" name="ARTÍCULO"/>
    <tableColumn id="3" xr3:uid="{00000000-0010-0000-9A00-000003000000}" name="UNIDAD DE MEDIDA"/>
    <tableColumn id="4" xr3:uid="{00000000-0010-0000-9A00-000004000000}" name="CANTIDAD TOTAL ESTIMADA"/>
    <tableColumn id="5" xr3:uid="{00000000-0010-0000-9A00-000005000000}" name="PRECIO UNITARIO ESTIMADO"/>
    <tableColumn id="6" xr3:uid="{00000000-0010-0000-9A00-000006000000}" name="MONTO TOTAL ESTIMADO"/>
  </tableColumns>
  <tableStyleInfo showFirstColumn="0" showLastColumn="0" showRowStripes="1" showColumnStripes="0"/>
</table>
</file>

<file path=xl/tables/table1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9" xr:uid="{00000000-000C-0000-FFFF-FFFF9B000000}" name="Table279" displayName="Table279" ref="A5014:F5019" totalsRowShown="0">
  <tableColumns count="6">
    <tableColumn id="1" xr3:uid="{00000000-0010-0000-9B00-000001000000}" name="CÓDIGO CATÁLOGO"/>
    <tableColumn id="2" xr3:uid="{00000000-0010-0000-9B00-000002000000}" name="ARTÍCULO"/>
    <tableColumn id="3" xr3:uid="{00000000-0010-0000-9B00-000003000000}" name="UNIDAD DE MEDIDA"/>
    <tableColumn id="4" xr3:uid="{00000000-0010-0000-9B00-000004000000}" name="CANTIDAD TOTAL ESTIMADA"/>
    <tableColumn id="5" xr3:uid="{00000000-0010-0000-9B00-000005000000}" name="PRECIO UNITARIO ESTIMADO"/>
    <tableColumn id="6" xr3:uid="{00000000-0010-0000-9B00-000006000000}" name="MONTO TOTAL ESTIMADO"/>
  </tableColumns>
  <tableStyleInfo showFirstColumn="0" showLastColumn="0" showRowStripes="1" showColumnStripes="0"/>
</table>
</file>

<file path=xl/tables/table1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3" xr:uid="{00000000-000C-0000-FFFF-FFFF9C000000}" name="Table303" displayName="Table303" ref="A5379:F5387" totalsRowShown="0">
  <tableColumns count="6">
    <tableColumn id="1" xr3:uid="{00000000-0010-0000-9C00-000001000000}" name="CÓDIGO CATÁLOGO"/>
    <tableColumn id="2" xr3:uid="{00000000-0010-0000-9C00-000002000000}" name="ARTÍCULO"/>
    <tableColumn id="3" xr3:uid="{00000000-0010-0000-9C00-000003000000}" name="UNIDAD DE MEDIDA"/>
    <tableColumn id="4" xr3:uid="{00000000-0010-0000-9C00-000004000000}" name="CANTIDAD TOTAL ESTIMADA"/>
    <tableColumn id="5" xr3:uid="{00000000-0010-0000-9C00-000005000000}" name="PRECIO UNITARIO ESTIMADO"/>
    <tableColumn id="6" xr3:uid="{00000000-0010-0000-9C00-000006000000}" name="MONTO TOTAL ESTIMADO"/>
  </tableColumns>
  <tableStyleInfo showFirstColumn="0" showLastColumn="0" showRowStripes="1" showColumnStripes="0"/>
</table>
</file>

<file path=xl/tables/table1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9D000000}" name="Table26" displayName="Table26" ref="A448:F450" totalsRowShown="0">
  <tableColumns count="6">
    <tableColumn id="1" xr3:uid="{00000000-0010-0000-9D00-000001000000}" name="CÓDIGO CATÁLOGO"/>
    <tableColumn id="2" xr3:uid="{00000000-0010-0000-9D00-000002000000}" name="ARTÍCULO"/>
    <tableColumn id="3" xr3:uid="{00000000-0010-0000-9D00-000003000000}" name="UNIDAD DE MEDIDA"/>
    <tableColumn id="4" xr3:uid="{00000000-0010-0000-9D00-000004000000}" name="CANTIDAD TOTAL ESTIMADA"/>
    <tableColumn id="5" xr3:uid="{00000000-0010-0000-9D00-000005000000}" name="PRECIO UNITARIO ESTIMADO"/>
    <tableColumn id="6" xr3:uid="{00000000-0010-0000-9D00-000006000000}" name="MONTO TOTAL ESTIMADO"/>
  </tableColumns>
  <tableStyleInfo showFirstColumn="0" showLastColumn="0" showRowStripes="1" showColumnStripes="0"/>
</table>
</file>

<file path=xl/tables/table1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9E000000}" name="Table183" displayName="Table183" ref="A3553:F3554" totalsRowShown="0">
  <tableColumns count="6">
    <tableColumn id="1" xr3:uid="{00000000-0010-0000-9E00-000001000000}" name="CÓDIGO CATÁLOGO"/>
    <tableColumn id="2" xr3:uid="{00000000-0010-0000-9E00-000002000000}" name="ARTÍCULO"/>
    <tableColumn id="3" xr3:uid="{00000000-0010-0000-9E00-000003000000}" name="UNIDAD DE MEDIDA"/>
    <tableColumn id="4" xr3:uid="{00000000-0010-0000-9E00-000004000000}" name="CANTIDAD TOTAL ESTIMADA"/>
    <tableColumn id="5" xr3:uid="{00000000-0010-0000-9E00-000005000000}" name="PRECIO UNITARIO ESTIMADO"/>
    <tableColumn id="6" xr3:uid="{00000000-0010-0000-9E00-000006000000}" name="MONTO TOTAL ESTIMADO"/>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0000000-000C-0000-FFFF-FFFF0F000000}" name="Table96" displayName="Table96" ref="A1697:F1745" totalsRowShown="0">
  <tableColumns count="6">
    <tableColumn id="1" xr3:uid="{00000000-0010-0000-0F00-000001000000}" name="CÓDIGO CATÁLOGO"/>
    <tableColumn id="2" xr3:uid="{00000000-0010-0000-0F00-000002000000}" name="ARTÍCULO"/>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tableColumns>
  <tableStyleInfo showFirstColumn="0" showLastColumn="0" showRowStripes="1" showColumnStripes="0"/>
</table>
</file>

<file path=xl/tables/table1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00000000-000C-0000-FFFF-FFFF9F000000}" name="Table253" displayName="Table253" ref="A4628:F4631" totalsRowShown="0">
  <tableColumns count="6">
    <tableColumn id="1" xr3:uid="{00000000-0010-0000-9F00-000001000000}" name="CÓDIGO CATÁLOGO"/>
    <tableColumn id="2" xr3:uid="{00000000-0010-0000-9F00-000002000000}" name="ARTÍCULO"/>
    <tableColumn id="3" xr3:uid="{00000000-0010-0000-9F00-000003000000}" name="UNIDAD DE MEDIDA"/>
    <tableColumn id="4" xr3:uid="{00000000-0010-0000-9F00-000004000000}" name="CANTIDAD TOTAL ESTIMADA"/>
    <tableColumn id="5" xr3:uid="{00000000-0010-0000-9F00-000005000000}" name="PRECIO UNITARIO ESTIMADO"/>
    <tableColumn id="6" xr3:uid="{00000000-0010-0000-9F00-000006000000}" name="MONTO TOTAL ESTIMADO"/>
  </tableColumns>
  <tableStyleInfo showFirstColumn="0" showLastColumn="0" showRowStripes="1" showColumnStripes="0"/>
</table>
</file>

<file path=xl/tables/table1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A0000000}" name="Table55" displayName="Table55" ref="A851:F864" totalsRowShown="0">
  <tableColumns count="6">
    <tableColumn id="1" xr3:uid="{00000000-0010-0000-A000-000001000000}" name="CÓDIGO CATÁLOGO"/>
    <tableColumn id="2" xr3:uid="{00000000-0010-0000-A000-000002000000}" name="ARTÍCULO"/>
    <tableColumn id="3" xr3:uid="{00000000-0010-0000-A000-000003000000}" name="UNIDAD DE MEDIDA"/>
    <tableColumn id="4" xr3:uid="{00000000-0010-0000-A000-000004000000}" name="CANTIDAD TOTAL ESTIMADA"/>
    <tableColumn id="5" xr3:uid="{00000000-0010-0000-A000-000005000000}" name="PRECIO UNITARIO ESTIMADO"/>
    <tableColumn id="6" xr3:uid="{00000000-0010-0000-A000-000006000000}" name="MONTO TOTAL ESTIMADO"/>
  </tableColumns>
  <tableStyleInfo showFirstColumn="0" showLastColumn="0" showRowStripes="1" showColumnStripes="0"/>
</table>
</file>

<file path=xl/tables/table1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2" xr:uid="{00000000-000C-0000-FFFF-FFFFA1000000}" name="Table152" displayName="Table152" ref="A3104:F3105" totalsRowShown="0">
  <tableColumns count="6">
    <tableColumn id="1" xr3:uid="{00000000-0010-0000-A100-000001000000}" name="CÓDIGO CATÁLOGO"/>
    <tableColumn id="2" xr3:uid="{00000000-0010-0000-A100-000002000000}" name="ARTÍCULO"/>
    <tableColumn id="3" xr3:uid="{00000000-0010-0000-A100-000003000000}" name="UNIDAD DE MEDIDA"/>
    <tableColumn id="4" xr3:uid="{00000000-0010-0000-A100-000004000000}" name="CANTIDAD TOTAL ESTIMADA"/>
    <tableColumn id="5" xr3:uid="{00000000-0010-0000-A100-000005000000}" name="PRECIO UNITARIO ESTIMADO"/>
    <tableColumn id="6" xr3:uid="{00000000-0010-0000-A100-000006000000}" name="MONTO TOTAL ESTIMADO"/>
  </tableColumns>
  <tableStyleInfo showFirstColumn="0" showLastColumn="0" showRowStripes="1" showColumnStripes="0"/>
</table>
</file>

<file path=xl/tables/table1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6" xr:uid="{00000000-000C-0000-FFFF-FFFFA2000000}" name="Table236" displayName="Table236" ref="A4426:F4428" totalsRowShown="0">
  <tableColumns count="6">
    <tableColumn id="1" xr3:uid="{00000000-0010-0000-A200-000001000000}" name="CÓDIGO CATÁLOGO"/>
    <tableColumn id="2" xr3:uid="{00000000-0010-0000-A200-000002000000}" name="ARTÍCULO"/>
    <tableColumn id="3" xr3:uid="{00000000-0010-0000-A200-000003000000}" name="UNIDAD DE MEDIDA"/>
    <tableColumn id="4" xr3:uid="{00000000-0010-0000-A200-000004000000}" name="CANTIDAD TOTAL ESTIMADA"/>
    <tableColumn id="5" xr3:uid="{00000000-0010-0000-A200-000005000000}" name="PRECIO UNITARIO ESTIMADO"/>
    <tableColumn id="6" xr3:uid="{00000000-0010-0000-A200-000006000000}" name="MONTO TOTAL ESTIMADO"/>
  </tableColumns>
  <tableStyleInfo showFirstColumn="0" showLastColumn="0" showRowStripes="1" showColumnStripes="0"/>
</table>
</file>

<file path=xl/tables/table1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5" xr:uid="{00000000-000C-0000-FFFF-FFFFA3000000}" name="Table305" displayName="Table305" ref="A5411:F5413" totalsRowShown="0">
  <tableColumns count="6">
    <tableColumn id="1" xr3:uid="{00000000-0010-0000-A300-000001000000}" name="CÓDIGO CATÁLOGO"/>
    <tableColumn id="2" xr3:uid="{00000000-0010-0000-A300-000002000000}" name="ARTÍCULO"/>
    <tableColumn id="3" xr3:uid="{00000000-0010-0000-A300-000003000000}" name="UNIDAD DE MEDIDA"/>
    <tableColumn id="4" xr3:uid="{00000000-0010-0000-A300-000004000000}" name="CANTIDAD TOTAL ESTIMADA"/>
    <tableColumn id="5" xr3:uid="{00000000-0010-0000-A300-000005000000}" name="PRECIO UNITARIO ESTIMADO"/>
    <tableColumn id="6" xr3:uid="{00000000-0010-0000-A300-000006000000}" name="MONTO TOTAL ESTIMADO"/>
  </tableColumns>
  <tableStyleInfo showFirstColumn="0" showLastColumn="0" showRowStripes="1" showColumnStripes="0"/>
</table>
</file>

<file path=xl/tables/table1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5" xr:uid="{00000000-000C-0000-FFFF-FFFFA4000000}" name="Table285" displayName="Table285" ref="A5098:F5102" totalsRowShown="0">
  <tableColumns count="6">
    <tableColumn id="1" xr3:uid="{00000000-0010-0000-A400-000001000000}" name="CÓDIGO CATÁLOGO"/>
    <tableColumn id="2" xr3:uid="{00000000-0010-0000-A400-000002000000}" name="ARTÍCULO"/>
    <tableColumn id="3" xr3:uid="{00000000-0010-0000-A400-000003000000}" name="UNIDAD DE MEDIDA"/>
    <tableColumn id="4" xr3:uid="{00000000-0010-0000-A400-000004000000}" name="CANTIDAD TOTAL ESTIMADA"/>
    <tableColumn id="5" xr3:uid="{00000000-0010-0000-A400-000005000000}" name="PRECIO UNITARIO ESTIMADO"/>
    <tableColumn id="6" xr3:uid="{00000000-0010-0000-A400-000006000000}" name="MONTO TOTAL ESTIMADO"/>
  </tableColumns>
  <tableStyleInfo showFirstColumn="0" showLastColumn="0" showRowStripes="1" showColumnStripes="0"/>
</table>
</file>

<file path=xl/tables/table1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A5000000}" name="Table33" displayName="Table33" ref="A549:F550" totalsRowShown="0">
  <tableColumns count="6">
    <tableColumn id="1" xr3:uid="{00000000-0010-0000-A500-000001000000}" name="CÓDIGO CATÁLOGO"/>
    <tableColumn id="2" xr3:uid="{00000000-0010-0000-A500-000002000000}" name="ARTÍCULO"/>
    <tableColumn id="3" xr3:uid="{00000000-0010-0000-A500-000003000000}" name="UNIDAD DE MEDIDA"/>
    <tableColumn id="4" xr3:uid="{00000000-0010-0000-A500-000004000000}" name="CANTIDAD TOTAL ESTIMADA"/>
    <tableColumn id="5" xr3:uid="{00000000-0010-0000-A500-000005000000}" name="PRECIO UNITARIO ESTIMADO"/>
    <tableColumn id="6" xr3:uid="{00000000-0010-0000-A500-000006000000}" name="MONTO TOTAL ESTIMADO"/>
  </tableColumns>
  <tableStyleInfo showFirstColumn="0" showLastColumn="0" showRowStripes="1" showColumnStripes="0"/>
</table>
</file>

<file path=xl/tables/table1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4" xr:uid="{00000000-000C-0000-FFFF-FFFFA6000000}" name="Table224" displayName="Table224" ref="A4269:F4270" totalsRowShown="0">
  <tableColumns count="6">
    <tableColumn id="1" xr3:uid="{00000000-0010-0000-A600-000001000000}" name="CÓDIGO CATÁLOGO"/>
    <tableColumn id="2" xr3:uid="{00000000-0010-0000-A600-000002000000}" name="ARTÍCULO"/>
    <tableColumn id="3" xr3:uid="{00000000-0010-0000-A600-000003000000}" name="UNIDAD DE MEDIDA"/>
    <tableColumn id="4" xr3:uid="{00000000-0010-0000-A600-000004000000}" name="CANTIDAD TOTAL ESTIMADA"/>
    <tableColumn id="5" xr3:uid="{00000000-0010-0000-A600-000005000000}" name="PRECIO UNITARIO ESTIMADO"/>
    <tableColumn id="6" xr3:uid="{00000000-0010-0000-A600-000006000000}" name="MONTO TOTAL ESTIMADO"/>
  </tableColumns>
  <tableStyleInfo showFirstColumn="0" showLastColumn="0" showRowStripes="1" showColumnStripes="0"/>
</table>
</file>

<file path=xl/tables/table1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0" xr:uid="{00000000-000C-0000-FFFF-FFFFA7000000}" name="Table310" displayName="Table310" ref="A5509:F5519" totalsRowShown="0">
  <tableColumns count="6">
    <tableColumn id="1" xr3:uid="{00000000-0010-0000-A700-000001000000}" name="CÓDIGO CATÁLOGO"/>
    <tableColumn id="2" xr3:uid="{00000000-0010-0000-A700-000002000000}" name="ARTÍCULO"/>
    <tableColumn id="3" xr3:uid="{00000000-0010-0000-A700-000003000000}" name="UNIDAD DE MEDIDA"/>
    <tableColumn id="4" xr3:uid="{00000000-0010-0000-A700-000004000000}" name="CANTIDAD TOTAL ESTIMADA"/>
    <tableColumn id="5" xr3:uid="{00000000-0010-0000-A700-000005000000}" name="PRECIO UNITARIO ESTIMADO"/>
    <tableColumn id="6" xr3:uid="{00000000-0010-0000-A700-000006000000}" name="MONTO TOTAL ESTIMADO"/>
  </tableColumns>
  <tableStyleInfo showFirstColumn="0" showLastColumn="0" showRowStripes="1" showColumnStripes="0"/>
</table>
</file>

<file path=xl/tables/table1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A8000000}" name="Table211" displayName="Table211" ref="A4010:F4039" totalsRowShown="0">
  <tableColumns count="6">
    <tableColumn id="1" xr3:uid="{00000000-0010-0000-A800-000001000000}" name="CÓDIGO CATÁLOGO"/>
    <tableColumn id="2" xr3:uid="{00000000-0010-0000-A800-000002000000}" name="ARTÍCULO"/>
    <tableColumn id="3" xr3:uid="{00000000-0010-0000-A800-000003000000}" name="UNIDAD DE MEDIDA"/>
    <tableColumn id="4" xr3:uid="{00000000-0010-0000-A800-000004000000}" name="CANTIDAD TOTAL ESTIMADA"/>
    <tableColumn id="5" xr3:uid="{00000000-0010-0000-A800-000005000000}" name="PRECIO UNITARIO ESTIMADO"/>
    <tableColumn id="6" xr3:uid="{00000000-0010-0000-A800-000006000000}" name="MONTO TOTAL ESTIMADO"/>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00000000-000C-0000-FFFF-FFFF10000000}" name="Table121" displayName="Table121" ref="A2196:F2206" totalsRowShown="0">
  <tableColumns count="6">
    <tableColumn id="1" xr3:uid="{00000000-0010-0000-1000-000001000000}" name="CÓDIGO CATÁLOGO"/>
    <tableColumn id="2" xr3:uid="{00000000-0010-0000-1000-000002000000}" name="ARTÍCULO"/>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tableColumns>
  <tableStyleInfo showFirstColumn="0" showLastColumn="0" showRowStripes="1" showColumnStripes="0"/>
</table>
</file>

<file path=xl/tables/table1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00000000-000C-0000-FFFF-FFFFA9000000}" name="Table245" displayName="Table245" ref="A4534:F4535" totalsRowShown="0">
  <tableColumns count="6">
    <tableColumn id="1" xr3:uid="{00000000-0010-0000-A900-000001000000}" name="CÓDIGO CATÁLOGO"/>
    <tableColumn id="2" xr3:uid="{00000000-0010-0000-A900-000002000000}" name="ARTÍCULO"/>
    <tableColumn id="3" xr3:uid="{00000000-0010-0000-A900-000003000000}" name="UNIDAD DE MEDIDA"/>
    <tableColumn id="4" xr3:uid="{00000000-0010-0000-A900-000004000000}" name="CANTIDAD TOTAL ESTIMADA"/>
    <tableColumn id="5" xr3:uid="{00000000-0010-0000-A900-000005000000}" name="PRECIO UNITARIO ESTIMADO"/>
    <tableColumn id="6" xr3:uid="{00000000-0010-0000-A900-000006000000}" name="MONTO TOTAL ESTIMADO"/>
  </tableColumns>
  <tableStyleInfo showFirstColumn="0" showLastColumn="0" showRowStripes="1" showColumnStripes="0"/>
</table>
</file>

<file path=xl/tables/table1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9" xr:uid="{00000000-000C-0000-FFFF-FFFFAA000000}" name="Table289" displayName="Table289" ref="A5147:F5150" totalsRowShown="0">
  <tableColumns count="6">
    <tableColumn id="1" xr3:uid="{00000000-0010-0000-AA00-000001000000}" name="CÓDIGO CATÁLOGO"/>
    <tableColumn id="2" xr3:uid="{00000000-0010-0000-AA00-000002000000}" name="ARTÍCULO"/>
    <tableColumn id="3" xr3:uid="{00000000-0010-0000-AA00-000003000000}" name="UNIDAD DE MEDIDA"/>
    <tableColumn id="4" xr3:uid="{00000000-0010-0000-AA00-000004000000}" name="CANTIDAD TOTAL ESTIMADA"/>
    <tableColumn id="5" xr3:uid="{00000000-0010-0000-AA00-000005000000}" name="PRECIO UNITARIO ESTIMADO"/>
    <tableColumn id="6" xr3:uid="{00000000-0010-0000-AA00-000006000000}" name="MONTO TOTAL ESTIMADO"/>
  </tableColumns>
  <tableStyleInfo showFirstColumn="0" showLastColumn="0" showRowStripes="1" showColumnStripes="0"/>
</table>
</file>

<file path=xl/tables/table1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3" xr:uid="{00000000-000C-0000-FFFF-FFFFAB000000}" name="Table263" displayName="Table263" ref="A4760:F4761" totalsRowShown="0">
  <tableColumns count="6">
    <tableColumn id="1" xr3:uid="{00000000-0010-0000-AB00-000001000000}" name="CÓDIGO CATÁLOGO"/>
    <tableColumn id="2" xr3:uid="{00000000-0010-0000-AB00-000002000000}" name="ARTÍCULO"/>
    <tableColumn id="3" xr3:uid="{00000000-0010-0000-AB00-000003000000}" name="UNIDAD DE MEDIDA"/>
    <tableColumn id="4" xr3:uid="{00000000-0010-0000-AB00-000004000000}" name="CANTIDAD TOTAL ESTIMADA"/>
    <tableColumn id="5" xr3:uid="{00000000-0010-0000-AB00-000005000000}" name="PRECIO UNITARIO ESTIMADO"/>
    <tableColumn id="6" xr3:uid="{00000000-0010-0000-AB00-000006000000}" name="MONTO TOTAL ESTIMADO"/>
  </tableColumns>
  <tableStyleInfo showFirstColumn="0" showLastColumn="0" showRowStripes="1" showColumnStripes="0"/>
</table>
</file>

<file path=xl/tables/table1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AC000000}" name="Table238" displayName="Table238" ref="A4449:F4450" totalsRowShown="0">
  <tableColumns count="6">
    <tableColumn id="1" xr3:uid="{00000000-0010-0000-AC00-000001000000}" name="CÓDIGO CATÁLOGO"/>
    <tableColumn id="2" xr3:uid="{00000000-0010-0000-AC00-000002000000}" name="ARTÍCULO"/>
    <tableColumn id="3" xr3:uid="{00000000-0010-0000-AC00-000003000000}" name="UNIDAD DE MEDIDA"/>
    <tableColumn id="4" xr3:uid="{00000000-0010-0000-AC00-000004000000}" name="CANTIDAD TOTAL ESTIMADA"/>
    <tableColumn id="5" xr3:uid="{00000000-0010-0000-AC00-000005000000}" name="PRECIO UNITARIO ESTIMADO"/>
    <tableColumn id="6" xr3:uid="{00000000-0010-0000-AC00-000006000000}" name="MONTO TOTAL ESTIMADO"/>
  </tableColumns>
  <tableStyleInfo showFirstColumn="0" showLastColumn="0" showRowStripes="1" showColumnStripes="0"/>
</table>
</file>

<file path=xl/tables/table1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4" xr:uid="{00000000-000C-0000-FFFF-FFFFAD000000}" name="Table324" displayName="Table324" ref="A5727:F5751" totalsRowShown="0">
  <tableColumns count="6">
    <tableColumn id="1" xr3:uid="{00000000-0010-0000-AD00-000001000000}" name="CÓDIGO CATÁLOGO"/>
    <tableColumn id="2" xr3:uid="{00000000-0010-0000-AD00-000002000000}" name="ARTÍCULO"/>
    <tableColumn id="3" xr3:uid="{00000000-0010-0000-AD00-000003000000}" name="UNIDAD DE MEDIDA"/>
    <tableColumn id="4" xr3:uid="{00000000-0010-0000-AD00-000004000000}" name="CANTIDAD TOTAL ESTIMADA"/>
    <tableColumn id="5" xr3:uid="{00000000-0010-0000-AD00-000005000000}" name="PRECIO UNITARIO ESTIMADO"/>
    <tableColumn id="6" xr3:uid="{00000000-0010-0000-AD00-000006000000}" name="MONTO TOTAL ESTIMADO"/>
  </tableColumns>
  <tableStyleInfo showFirstColumn="0" showLastColumn="0" showRowStripes="1" showColumnStripes="0"/>
</table>
</file>

<file path=xl/tables/table1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AE000000}" name="Table194" displayName="Table194" ref="A3682:F3684" totalsRowShown="0">
  <tableColumns count="6">
    <tableColumn id="1" xr3:uid="{00000000-0010-0000-AE00-000001000000}" name="CÓDIGO CATÁLOGO"/>
    <tableColumn id="2" xr3:uid="{00000000-0010-0000-AE00-000002000000}" name="ARTÍCULO"/>
    <tableColumn id="3" xr3:uid="{00000000-0010-0000-AE00-000003000000}" name="UNIDAD DE MEDIDA"/>
    <tableColumn id="4" xr3:uid="{00000000-0010-0000-AE00-000004000000}" name="CANTIDAD TOTAL ESTIMADA"/>
    <tableColumn id="5" xr3:uid="{00000000-0010-0000-AE00-000005000000}" name="PRECIO UNITARIO ESTIMADO"/>
    <tableColumn id="6" xr3:uid="{00000000-0010-0000-AE00-000006000000}" name="MONTO TOTAL ESTIMADO"/>
  </tableColumns>
  <tableStyleInfo showFirstColumn="0" showLastColumn="0" showRowStripes="1" showColumnStripes="0"/>
</table>
</file>

<file path=xl/tables/table1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6" xr:uid="{00000000-000C-0000-FFFF-FFFFAF000000}" name="Table296" displayName="Table296" ref="A5228:F5230" totalsRowShown="0">
  <tableColumns count="6">
    <tableColumn id="1" xr3:uid="{00000000-0010-0000-AF00-000001000000}" name="CÓDIGO CATÁLOGO"/>
    <tableColumn id="2" xr3:uid="{00000000-0010-0000-AF00-000002000000}" name="ARTÍCULO"/>
    <tableColumn id="3" xr3:uid="{00000000-0010-0000-AF00-000003000000}" name="UNIDAD DE MEDIDA"/>
    <tableColumn id="4" xr3:uid="{00000000-0010-0000-AF00-000004000000}" name="CANTIDAD TOTAL ESTIMADA"/>
    <tableColumn id="5" xr3:uid="{00000000-0010-0000-AF00-000005000000}" name="PRECIO UNITARIO ESTIMADO"/>
    <tableColumn id="6" xr3:uid="{00000000-0010-0000-AF00-000006000000}" name="MONTO TOTAL ESTIMADO"/>
  </tableColumns>
  <tableStyleInfo showFirstColumn="0" showLastColumn="0" showRowStripes="1" showColumnStripes="0"/>
</table>
</file>

<file path=xl/tables/table1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B0000000}" name="Table240" displayName="Table240" ref="A4475:F4480" totalsRowShown="0">
  <tableColumns count="6">
    <tableColumn id="1" xr3:uid="{00000000-0010-0000-B000-000001000000}" name="CÓDIGO CATÁLOGO"/>
    <tableColumn id="2" xr3:uid="{00000000-0010-0000-B000-000002000000}" name="ARTÍCULO"/>
    <tableColumn id="3" xr3:uid="{00000000-0010-0000-B000-000003000000}" name="UNIDAD DE MEDIDA"/>
    <tableColumn id="4" xr3:uid="{00000000-0010-0000-B000-000004000000}" name="CANTIDAD TOTAL ESTIMADA"/>
    <tableColumn id="5" xr3:uid="{00000000-0010-0000-B000-000005000000}" name="PRECIO UNITARIO ESTIMADO"/>
    <tableColumn id="6" xr3:uid="{00000000-0010-0000-B000-000006000000}" name="MONTO TOTAL ESTIMADO"/>
  </tableColumns>
  <tableStyleInfo showFirstColumn="0" showLastColumn="0" showRowStripes="1" showColumnStripes="0"/>
</table>
</file>

<file path=xl/tables/table1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8" xr:uid="{00000000-000C-0000-FFFF-FFFFB1000000}" name="Table318" displayName="Table318" ref="A5621:F5624" totalsRowShown="0">
  <tableColumns count="6">
    <tableColumn id="1" xr3:uid="{00000000-0010-0000-B100-000001000000}" name="CÓDIGO CATÁLOGO"/>
    <tableColumn id="2" xr3:uid="{00000000-0010-0000-B100-000002000000}" name="ARTÍCULO"/>
    <tableColumn id="3" xr3:uid="{00000000-0010-0000-B100-000003000000}" name="UNIDAD DE MEDIDA"/>
    <tableColumn id="4" xr3:uid="{00000000-0010-0000-B100-000004000000}" name="CANTIDAD TOTAL ESTIMADA"/>
    <tableColumn id="5" xr3:uid="{00000000-0010-0000-B100-000005000000}" name="PRECIO UNITARIO ESTIMADO"/>
    <tableColumn id="6" xr3:uid="{00000000-0010-0000-B100-000006000000}" name="MONTO TOTAL ESTIMADO"/>
  </tableColumns>
  <tableStyleInfo showFirstColumn="0" showLastColumn="0" showRowStripes="1" showColumnStripes="0"/>
</table>
</file>

<file path=xl/tables/table1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B2000000}" name="Table184" displayName="Table184" ref="A3564:F3565" totalsRowShown="0">
  <tableColumns count="6">
    <tableColumn id="1" xr3:uid="{00000000-0010-0000-B200-000001000000}" name="CÓDIGO CATÁLOGO"/>
    <tableColumn id="2" xr3:uid="{00000000-0010-0000-B200-000002000000}" name="ARTÍCULO"/>
    <tableColumn id="3" xr3:uid="{00000000-0010-0000-B200-000003000000}" name="UNIDAD DE MEDIDA"/>
    <tableColumn id="4" xr3:uid="{00000000-0010-0000-B200-000004000000}" name="CANTIDAD TOTAL ESTIMADA"/>
    <tableColumn id="5" xr3:uid="{00000000-0010-0000-B200-000005000000}" name="PRECIO UNITARIO ESTIMADO"/>
    <tableColumn id="6" xr3:uid="{00000000-0010-0000-B200-000006000000}" name="MONTO TOTAL ESTIMADO"/>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11000000}" name="Table56" displayName="Table56" ref="A874:F876" totalsRowShown="0">
  <tableColumns count="6">
    <tableColumn id="1" xr3:uid="{00000000-0010-0000-1100-000001000000}" name="CÓDIGO CATÁLOGO"/>
    <tableColumn id="2" xr3:uid="{00000000-0010-0000-1100-000002000000}" name="ARTÍCULO"/>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tableColumns>
  <tableStyleInfo showFirstColumn="0" showLastColumn="0" showRowStripes="1" showColumnStripes="0"/>
</table>
</file>

<file path=xl/tables/table1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6" xr:uid="{00000000-000C-0000-FFFF-FFFFB3000000}" name="Table166" displayName="Table166" ref="A3260:F3275" totalsRowShown="0">
  <tableColumns count="6">
    <tableColumn id="1" xr3:uid="{00000000-0010-0000-B300-000001000000}" name="CÓDIGO CATÁLOGO"/>
    <tableColumn id="2" xr3:uid="{00000000-0010-0000-B300-000002000000}" name="ARTÍCULO"/>
    <tableColumn id="3" xr3:uid="{00000000-0010-0000-B300-000003000000}" name="UNIDAD DE MEDIDA"/>
    <tableColumn id="4" xr3:uid="{00000000-0010-0000-B300-000004000000}" name="CANTIDAD TOTAL ESTIMADA"/>
    <tableColumn id="5" xr3:uid="{00000000-0010-0000-B300-000005000000}" name="PRECIO UNITARIO ESTIMADO"/>
    <tableColumn id="6" xr3:uid="{00000000-0010-0000-B300-000006000000}" name="MONTO TOTAL ESTIMADO"/>
  </tableColumns>
  <tableStyleInfo showFirstColumn="0" showLastColumn="0" showRowStripes="1" showColumnStripes="0"/>
</table>
</file>

<file path=xl/tables/table1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1" xr:uid="{00000000-000C-0000-FFFF-FFFFB4000000}" name="Table271" displayName="Table271" ref="A4897:F4910" totalsRowShown="0">
  <tableColumns count="6">
    <tableColumn id="1" xr3:uid="{00000000-0010-0000-B400-000001000000}" name="CÓDIGO CATÁLOGO"/>
    <tableColumn id="2" xr3:uid="{00000000-0010-0000-B400-000002000000}" name="ARTÍCULO"/>
    <tableColumn id="3" xr3:uid="{00000000-0010-0000-B400-000003000000}" name="UNIDAD DE MEDIDA"/>
    <tableColumn id="4" xr3:uid="{00000000-0010-0000-B400-000004000000}" name="CANTIDAD TOTAL ESTIMADA"/>
    <tableColumn id="5" xr3:uid="{00000000-0010-0000-B400-000005000000}" name="PRECIO UNITARIO ESTIMADO"/>
    <tableColumn id="6" xr3:uid="{00000000-0010-0000-B400-000006000000}" name="MONTO TOTAL ESTIMADO"/>
  </tableColumns>
  <tableStyleInfo showFirstColumn="0" showLastColumn="0" showRowStripes="1" showColumnStripes="0"/>
</table>
</file>

<file path=xl/tables/table1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B5000000}" name="Table101" displayName="Table101" ref="A1882:F1886" totalsRowShown="0">
  <tableColumns count="6">
    <tableColumn id="1" xr3:uid="{00000000-0010-0000-B500-000001000000}" name="CÓDIGO CATÁLOGO"/>
    <tableColumn id="2" xr3:uid="{00000000-0010-0000-B500-000002000000}" name="ARTÍCULO"/>
    <tableColumn id="3" xr3:uid="{00000000-0010-0000-B500-000003000000}" name="UNIDAD DE MEDIDA"/>
    <tableColumn id="4" xr3:uid="{00000000-0010-0000-B500-000004000000}" name="CANTIDAD TOTAL ESTIMADA"/>
    <tableColumn id="5" xr3:uid="{00000000-0010-0000-B500-000005000000}" name="PRECIO UNITARIO ESTIMADO"/>
    <tableColumn id="6" xr3:uid="{00000000-0010-0000-B500-000006000000}" name="MONTO TOTAL ESTIMADO"/>
  </tableColumns>
  <tableStyleInfo showFirstColumn="0" showLastColumn="0" showRowStripes="1" showColumnStripes="0"/>
</table>
</file>

<file path=xl/tables/table1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B6000000}" name="Table189" displayName="Table189" ref="A3620:F3626" totalsRowShown="0">
  <tableColumns count="6">
    <tableColumn id="1" xr3:uid="{00000000-0010-0000-B600-000001000000}" name="CÓDIGO CATÁLOGO"/>
    <tableColumn id="2" xr3:uid="{00000000-0010-0000-B600-000002000000}" name="ARTÍCULO"/>
    <tableColumn id="3" xr3:uid="{00000000-0010-0000-B600-000003000000}" name="UNIDAD DE MEDIDA"/>
    <tableColumn id="4" xr3:uid="{00000000-0010-0000-B600-000004000000}" name="CANTIDAD TOTAL ESTIMADA"/>
    <tableColumn id="5" xr3:uid="{00000000-0010-0000-B600-000005000000}" name="PRECIO UNITARIO ESTIMADO"/>
    <tableColumn id="6" xr3:uid="{00000000-0010-0000-B600-000006000000}" name="MONTO TOTAL ESTIMADO"/>
  </tableColumns>
  <tableStyleInfo showFirstColumn="0" showLastColumn="0" showRowStripes="1" showColumnStripes="0"/>
</table>
</file>

<file path=xl/tables/table1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00000000-000C-0000-FFFF-FFFFB7000000}" name="Table126" displayName="Table126" ref="A2264:F2269" totalsRowShown="0">
  <tableColumns count="6">
    <tableColumn id="1" xr3:uid="{00000000-0010-0000-B700-000001000000}" name="CÓDIGO CATÁLOGO"/>
    <tableColumn id="2" xr3:uid="{00000000-0010-0000-B700-000002000000}" name="ARTÍCULO"/>
    <tableColumn id="3" xr3:uid="{00000000-0010-0000-B700-000003000000}" name="UNIDAD DE MEDIDA"/>
    <tableColumn id="4" xr3:uid="{00000000-0010-0000-B700-000004000000}" name="CANTIDAD TOTAL ESTIMADA"/>
    <tableColumn id="5" xr3:uid="{00000000-0010-0000-B700-000005000000}" name="PRECIO UNITARIO ESTIMADO"/>
    <tableColumn id="6" xr3:uid="{00000000-0010-0000-B700-000006000000}" name="MONTO TOTAL ESTIMADO"/>
  </tableColumns>
  <tableStyleInfo showFirstColumn="0" showLastColumn="0" showRowStripes="1" showColumnStripes="0"/>
</table>
</file>

<file path=xl/tables/table1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B8000000}" name="Table107" displayName="Table107" ref="A1978:F1984" totalsRowShown="0">
  <tableColumns count="6">
    <tableColumn id="1" xr3:uid="{00000000-0010-0000-B800-000001000000}" name="CÓDIGO CATÁLOGO"/>
    <tableColumn id="2" xr3:uid="{00000000-0010-0000-B800-000002000000}" name="ARTÍCULO"/>
    <tableColumn id="3" xr3:uid="{00000000-0010-0000-B800-000003000000}" name="UNIDAD DE MEDIDA"/>
    <tableColumn id="4" xr3:uid="{00000000-0010-0000-B800-000004000000}" name="CANTIDAD TOTAL ESTIMADA"/>
    <tableColumn id="5" xr3:uid="{00000000-0010-0000-B800-000005000000}" name="PRECIO UNITARIO ESTIMADO"/>
    <tableColumn id="6" xr3:uid="{00000000-0010-0000-B800-000006000000}" name="MONTO TOTAL ESTIMADO"/>
  </tableColumns>
  <tableStyleInfo showFirstColumn="0" showLastColumn="0" showRowStripes="1" showColumnStripes="0"/>
</table>
</file>

<file path=xl/tables/table1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3" xr:uid="{00000000-000C-0000-FFFF-FFFFB9000000}" name="Table173" displayName="Table173" ref="A3435:F3436" totalsRowShown="0">
  <tableColumns count="6">
    <tableColumn id="1" xr3:uid="{00000000-0010-0000-B900-000001000000}" name="CÓDIGO CATÁLOGO"/>
    <tableColumn id="2" xr3:uid="{00000000-0010-0000-B900-000002000000}" name="ARTÍCULO"/>
    <tableColumn id="3" xr3:uid="{00000000-0010-0000-B900-000003000000}" name="UNIDAD DE MEDIDA"/>
    <tableColumn id="4" xr3:uid="{00000000-0010-0000-B900-000004000000}" name="CANTIDAD TOTAL ESTIMADA"/>
    <tableColumn id="5" xr3:uid="{00000000-0010-0000-B900-000005000000}" name="PRECIO UNITARIO ESTIMADO"/>
    <tableColumn id="6" xr3:uid="{00000000-0010-0000-B900-000006000000}" name="MONTO TOTAL ESTIMADO"/>
  </tableColumns>
  <tableStyleInfo showFirstColumn="0" showLastColumn="0" showRowStripes="1" showColumnStripes="0"/>
</table>
</file>

<file path=xl/tables/table1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2" xr:uid="{00000000-000C-0000-FFFF-FFFFBA000000}" name="Table232" displayName="Table232" ref="A4379:F4382" totalsRowShown="0">
  <tableColumns count="6">
    <tableColumn id="1" xr3:uid="{00000000-0010-0000-BA00-000001000000}" name="CÓDIGO CATÁLOGO"/>
    <tableColumn id="2" xr3:uid="{00000000-0010-0000-BA00-000002000000}" name="ARTÍCULO"/>
    <tableColumn id="3" xr3:uid="{00000000-0010-0000-BA00-000003000000}" name="UNIDAD DE MEDIDA"/>
    <tableColumn id="4" xr3:uid="{00000000-0010-0000-BA00-000004000000}" name="CANTIDAD TOTAL ESTIMADA"/>
    <tableColumn id="5" xr3:uid="{00000000-0010-0000-BA00-000005000000}" name="PRECIO UNITARIO ESTIMADO"/>
    <tableColumn id="6" xr3:uid="{00000000-0010-0000-BA00-000006000000}" name="MONTO TOTAL ESTIMADO"/>
  </tableColumns>
  <tableStyleInfo showFirstColumn="0" showLastColumn="0" showRowStripes="1" showColumnStripes="0"/>
</table>
</file>

<file path=xl/tables/table1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BB000000}" name="Table7" displayName="Table7" ref="A223:F226" totalsRowShown="0">
  <tableColumns count="6">
    <tableColumn id="1" xr3:uid="{00000000-0010-0000-BB00-000001000000}" name="CÓDIGO CATÁLOGO"/>
    <tableColumn id="2" xr3:uid="{00000000-0010-0000-BB00-000002000000}" name="ARTÍCULO"/>
    <tableColumn id="3" xr3:uid="{00000000-0010-0000-BB00-000003000000}" name="UNIDAD DE MEDIDA"/>
    <tableColumn id="4" xr3:uid="{00000000-0010-0000-BB00-000004000000}" name="CANTIDAD TOTAL ESTIMADA"/>
    <tableColumn id="5" xr3:uid="{00000000-0010-0000-BB00-000005000000}" name="PRECIO UNITARIO ESTIMADO"/>
    <tableColumn id="6" xr3:uid="{00000000-0010-0000-BB00-000006000000}" name="MONTO TOTAL ESTIMADO"/>
  </tableColumns>
  <tableStyleInfo showFirstColumn="0" showLastColumn="0" showRowStripes="1" showColumnStripes="0"/>
</table>
</file>

<file path=xl/tables/table1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1" xr:uid="{00000000-000C-0000-FFFF-FFFFBC000000}" name="Table231" displayName="Table231" ref="A4368:F4369" totalsRowShown="0">
  <tableColumns count="6">
    <tableColumn id="1" xr3:uid="{00000000-0010-0000-BC00-000001000000}" name="CÓDIGO CATÁLOGO"/>
    <tableColumn id="2" xr3:uid="{00000000-0010-0000-BC00-000002000000}" name="ARTÍCULO"/>
    <tableColumn id="3" xr3:uid="{00000000-0010-0000-BC00-000003000000}" name="UNIDAD DE MEDIDA"/>
    <tableColumn id="4" xr3:uid="{00000000-0010-0000-BC00-000004000000}" name="CANTIDAD TOTAL ESTIMADA"/>
    <tableColumn id="5" xr3:uid="{00000000-0010-0000-BC00-000005000000}" name="PRECIO UNITARIO ESTIMADO"/>
    <tableColumn id="6" xr3:uid="{00000000-0010-0000-BC00-000006000000}" name="MONTO TOTAL ESTIMADO"/>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12000000}" name="Table85" displayName="Table85" ref="A1386:F1388" totalsRowShown="0">
  <tableColumns count="6">
    <tableColumn id="1" xr3:uid="{00000000-0010-0000-1200-000001000000}" name="CÓDIGO CATÁLOGO"/>
    <tableColumn id="2" xr3:uid="{00000000-0010-0000-1200-000002000000}" name="ARTÍCULO"/>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tableColumns>
  <tableStyleInfo showFirstColumn="0" showLastColumn="0" showRowStripes="1" showColumnStripes="0"/>
</table>
</file>

<file path=xl/tables/table1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BD000000}" name="Table58" displayName="Table58" ref="A902:F904" totalsRowShown="0">
  <tableColumns count="6">
    <tableColumn id="1" xr3:uid="{00000000-0010-0000-BD00-000001000000}" name="CÓDIGO CATÁLOGO"/>
    <tableColumn id="2" xr3:uid="{00000000-0010-0000-BD00-000002000000}" name="ARTÍCULO"/>
    <tableColumn id="3" xr3:uid="{00000000-0010-0000-BD00-000003000000}" name="UNIDAD DE MEDIDA"/>
    <tableColumn id="4" xr3:uid="{00000000-0010-0000-BD00-000004000000}" name="CANTIDAD TOTAL ESTIMADA"/>
    <tableColumn id="5" xr3:uid="{00000000-0010-0000-BD00-000005000000}" name="PRECIO UNITARIO ESTIMADO"/>
    <tableColumn id="6" xr3:uid="{00000000-0010-0000-BD00-000006000000}" name="MONTO TOTAL ESTIMADO"/>
  </tableColumns>
  <tableStyleInfo showFirstColumn="0" showLastColumn="0" showRowStripes="1" showColumnStripes="0"/>
</table>
</file>

<file path=xl/tables/table1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BE000000}" name="Table201" displayName="Table201" ref="A3784:F3795" totalsRowShown="0">
  <tableColumns count="6">
    <tableColumn id="1" xr3:uid="{00000000-0010-0000-BE00-000001000000}" name="CÓDIGO CATÁLOGO"/>
    <tableColumn id="2" xr3:uid="{00000000-0010-0000-BE00-000002000000}" name="ARTÍCULO"/>
    <tableColumn id="3" xr3:uid="{00000000-0010-0000-BE00-000003000000}" name="UNIDAD DE MEDIDA"/>
    <tableColumn id="4" xr3:uid="{00000000-0010-0000-BE00-000004000000}" name="CANTIDAD TOTAL ESTIMADA"/>
    <tableColumn id="5" xr3:uid="{00000000-0010-0000-BE00-000005000000}" name="PRECIO UNITARIO ESTIMADO"/>
    <tableColumn id="6" xr3:uid="{00000000-0010-0000-BE00-000006000000}" name="MONTO TOTAL ESTIMADO"/>
  </tableColumns>
  <tableStyleInfo showFirstColumn="0" showLastColumn="0" showRowStripes="1" showColumnStripes="0"/>
</table>
</file>

<file path=xl/tables/table1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9" xr:uid="{00000000-000C-0000-FFFF-FFFFBF000000}" name="Table309" displayName="Table309" ref="A5495:F5499" totalsRowShown="0">
  <tableColumns count="6">
    <tableColumn id="1" xr3:uid="{00000000-0010-0000-BF00-000001000000}" name="CÓDIGO CATÁLOGO"/>
    <tableColumn id="2" xr3:uid="{00000000-0010-0000-BF00-000002000000}" name="ARTÍCULO"/>
    <tableColumn id="3" xr3:uid="{00000000-0010-0000-BF00-000003000000}" name="UNIDAD DE MEDIDA"/>
    <tableColumn id="4" xr3:uid="{00000000-0010-0000-BF00-000004000000}" name="CANTIDAD TOTAL ESTIMADA"/>
    <tableColumn id="5" xr3:uid="{00000000-0010-0000-BF00-000005000000}" name="PRECIO UNITARIO ESTIMADO"/>
    <tableColumn id="6" xr3:uid="{00000000-0010-0000-BF00-000006000000}" name="MONTO TOTAL ESTIMADO"/>
  </tableColumns>
  <tableStyleInfo showFirstColumn="0" showLastColumn="0" showRowStripes="1" showColumnStripes="0"/>
</table>
</file>

<file path=xl/tables/table1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5" xr:uid="{00000000-000C-0000-FFFF-FFFFC0000000}" name="Table155" displayName="Table155" ref="A3139:F3140" totalsRowShown="0">
  <tableColumns count="6">
    <tableColumn id="1" xr3:uid="{00000000-0010-0000-C000-000001000000}" name="CÓDIGO CATÁLOGO"/>
    <tableColumn id="2" xr3:uid="{00000000-0010-0000-C000-000002000000}" name="ARTÍCULO"/>
    <tableColumn id="3" xr3:uid="{00000000-0010-0000-C000-000003000000}" name="UNIDAD DE MEDIDA"/>
    <tableColumn id="4" xr3:uid="{00000000-0010-0000-C000-000004000000}" name="CANTIDAD TOTAL ESTIMADA"/>
    <tableColumn id="5" xr3:uid="{00000000-0010-0000-C000-000005000000}" name="PRECIO UNITARIO ESTIMADO"/>
    <tableColumn id="6" xr3:uid="{00000000-0010-0000-C000-000006000000}" name="MONTO TOTAL ESTIMADO"/>
  </tableColumns>
  <tableStyleInfo showFirstColumn="0" showLastColumn="0" showRowStripes="1" showColumnStripes="0"/>
</table>
</file>

<file path=xl/tables/table1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C1000000}" name="Table272" displayName="Table272" ref="A4920:F4923" totalsRowShown="0">
  <tableColumns count="6">
    <tableColumn id="1" xr3:uid="{00000000-0010-0000-C100-000001000000}" name="CÓDIGO CATÁLOGO"/>
    <tableColumn id="2" xr3:uid="{00000000-0010-0000-C100-000002000000}" name="ARTÍCULO"/>
    <tableColumn id="3" xr3:uid="{00000000-0010-0000-C100-000003000000}" name="UNIDAD DE MEDIDA"/>
    <tableColumn id="4" xr3:uid="{00000000-0010-0000-C100-000004000000}" name="CANTIDAD TOTAL ESTIMADA"/>
    <tableColumn id="5" xr3:uid="{00000000-0010-0000-C100-000005000000}" name="PRECIO UNITARIO ESTIMADO"/>
    <tableColumn id="6" xr3:uid="{00000000-0010-0000-C100-000006000000}" name="MONTO TOTAL ESTIMADO"/>
  </tableColumns>
  <tableStyleInfo showFirstColumn="0" showLastColumn="0" showRowStripes="1" showColumnStripes="0"/>
</table>
</file>

<file path=xl/tables/table1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5" xr:uid="{00000000-000C-0000-FFFF-FFFFC2000000}" name="Table275" displayName="Table275" ref="A4959:F4961" totalsRowShown="0">
  <tableColumns count="6">
    <tableColumn id="1" xr3:uid="{00000000-0010-0000-C200-000001000000}" name="CÓDIGO CATÁLOGO"/>
    <tableColumn id="2" xr3:uid="{00000000-0010-0000-C200-000002000000}" name="ARTÍCULO"/>
    <tableColumn id="3" xr3:uid="{00000000-0010-0000-C200-000003000000}" name="UNIDAD DE MEDIDA"/>
    <tableColumn id="4" xr3:uid="{00000000-0010-0000-C200-000004000000}" name="CANTIDAD TOTAL ESTIMADA"/>
    <tableColumn id="5" xr3:uid="{00000000-0010-0000-C200-000005000000}" name="PRECIO UNITARIO ESTIMADO"/>
    <tableColumn id="6" xr3:uid="{00000000-0010-0000-C200-000006000000}" name="MONTO TOTAL ESTIMADO"/>
  </tableColumns>
  <tableStyleInfo showFirstColumn="0" showLastColumn="0" showRowStripes="1" showColumnStripes="0"/>
</table>
</file>

<file path=xl/tables/table1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1" xr:uid="{00000000-000C-0000-FFFF-FFFFC3000000}" name="Table161" displayName="Table161" ref="A3205:F3206" totalsRowShown="0">
  <tableColumns count="6">
    <tableColumn id="1" xr3:uid="{00000000-0010-0000-C300-000001000000}" name="CÓDIGO CATÁLOGO"/>
    <tableColumn id="2" xr3:uid="{00000000-0010-0000-C300-000002000000}" name="ARTÍCULO"/>
    <tableColumn id="3" xr3:uid="{00000000-0010-0000-C300-000003000000}" name="UNIDAD DE MEDIDA"/>
    <tableColumn id="4" xr3:uid="{00000000-0010-0000-C300-000004000000}" name="CANTIDAD TOTAL ESTIMADA"/>
    <tableColumn id="5" xr3:uid="{00000000-0010-0000-C300-000005000000}" name="PRECIO UNITARIO ESTIMADO"/>
    <tableColumn id="6" xr3:uid="{00000000-0010-0000-C300-000006000000}" name="MONTO TOTAL ESTIMADO"/>
  </tableColumns>
  <tableStyleInfo showFirstColumn="0" showLastColumn="0" showRowStripes="1" showColumnStripes="0"/>
</table>
</file>

<file path=xl/tables/table1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5" xr:uid="{00000000-000C-0000-FFFF-FFFFC4000000}" name="Table315" displayName="Table315" ref="A5587:F5589" totalsRowShown="0">
  <tableColumns count="6">
    <tableColumn id="1" xr3:uid="{00000000-0010-0000-C400-000001000000}" name="CÓDIGO CATÁLOGO"/>
    <tableColumn id="2" xr3:uid="{00000000-0010-0000-C400-000002000000}" name="ARTÍCULO"/>
    <tableColumn id="3" xr3:uid="{00000000-0010-0000-C400-000003000000}" name="UNIDAD DE MEDIDA"/>
    <tableColumn id="4" xr3:uid="{00000000-0010-0000-C400-000004000000}" name="CANTIDAD TOTAL ESTIMADA"/>
    <tableColumn id="5" xr3:uid="{00000000-0010-0000-C400-000005000000}" name="PRECIO UNITARIO ESTIMADO"/>
    <tableColumn id="6" xr3:uid="{00000000-0010-0000-C400-000006000000}" name="MONTO TOTAL ESTIMADO"/>
  </tableColumns>
  <tableStyleInfo showFirstColumn="0" showLastColumn="0" showRowStripes="1" showColumnStripes="0"/>
</table>
</file>

<file path=xl/tables/table1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4" xr:uid="{00000000-000C-0000-FFFF-FFFFC5000000}" name="Table274" displayName="Table274" ref="A4947:F4949" totalsRowShown="0">
  <tableColumns count="6">
    <tableColumn id="1" xr3:uid="{00000000-0010-0000-C500-000001000000}" name="CÓDIGO CATÁLOGO"/>
    <tableColumn id="2" xr3:uid="{00000000-0010-0000-C500-000002000000}" name="ARTÍCULO"/>
    <tableColumn id="3" xr3:uid="{00000000-0010-0000-C500-000003000000}" name="UNIDAD DE MEDIDA"/>
    <tableColumn id="4" xr3:uid="{00000000-0010-0000-C500-000004000000}" name="CANTIDAD TOTAL ESTIMADA"/>
    <tableColumn id="5" xr3:uid="{00000000-0010-0000-C500-000005000000}" name="PRECIO UNITARIO ESTIMADO"/>
    <tableColumn id="6" xr3:uid="{00000000-0010-0000-C500-000006000000}" name="MONTO TOTAL ESTIMADO"/>
  </tableColumns>
  <tableStyleInfo showFirstColumn="0" showLastColumn="0" showRowStripes="1" showColumnStripes="0"/>
</table>
</file>

<file path=xl/tables/table1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C6000000}" name="Table6" displayName="Table6" ref="A210:F213" totalsRowShown="0">
  <tableColumns count="6">
    <tableColumn id="1" xr3:uid="{00000000-0010-0000-C600-000001000000}" name="CÓDIGO CATÁLOGO"/>
    <tableColumn id="2" xr3:uid="{00000000-0010-0000-C600-000002000000}" name="ARTÍCULO"/>
    <tableColumn id="3" xr3:uid="{00000000-0010-0000-C600-000003000000}" name="UNIDAD DE MEDIDA"/>
    <tableColumn id="4" xr3:uid="{00000000-0010-0000-C600-000004000000}" name="CANTIDAD TOTAL ESTIMADA"/>
    <tableColumn id="5" xr3:uid="{00000000-0010-0000-C600-000005000000}" name="PRECIO UNITARIO ESTIMADO"/>
    <tableColumn id="6" xr3:uid="{00000000-0010-0000-C600-000006000000}" name="MONTO TOTAL ESTIMADO"/>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01000000}" name="Table205" displayName="Table205" ref="A3846:F3859" totalsRowShown="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13000000}" name="Table9" displayName="Table9" ref="A249:F250" totalsRowShown="0">
  <tableColumns count="6">
    <tableColumn id="1" xr3:uid="{00000000-0010-0000-1300-000001000000}" name="CÓDIGO CATÁLOGO"/>
    <tableColumn id="2" xr3:uid="{00000000-0010-0000-1300-000002000000}" name="ARTÍCULO"/>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tableColumns>
  <tableStyleInfo showFirstColumn="0" showLastColumn="0" showRowStripes="1" showColumnStripes="0"/>
</table>
</file>

<file path=xl/tables/table2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C7000000}" name="Table187" displayName="Table187" ref="A3597:F3599" totalsRowShown="0">
  <tableColumns count="6">
    <tableColumn id="1" xr3:uid="{00000000-0010-0000-C700-000001000000}" name="CÓDIGO CATÁLOGO"/>
    <tableColumn id="2" xr3:uid="{00000000-0010-0000-C700-000002000000}" name="ARTÍCULO"/>
    <tableColumn id="3" xr3:uid="{00000000-0010-0000-C700-000003000000}" name="UNIDAD DE MEDIDA"/>
    <tableColumn id="4" xr3:uid="{00000000-0010-0000-C700-000004000000}" name="CANTIDAD TOTAL ESTIMADA"/>
    <tableColumn id="5" xr3:uid="{00000000-0010-0000-C700-000005000000}" name="PRECIO UNITARIO ESTIMADO"/>
    <tableColumn id="6" xr3:uid="{00000000-0010-0000-C700-000006000000}" name="MONTO TOTAL ESTIMADO"/>
  </tableColumns>
  <tableStyleInfo showFirstColumn="0" showLastColumn="0" showRowStripes="1" showColumnStripes="0"/>
</table>
</file>

<file path=xl/tables/table2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C8000000}" name="Table70" displayName="Table70" ref="A1176:F1177" totalsRowShown="0">
  <tableColumns count="6">
    <tableColumn id="1" xr3:uid="{00000000-0010-0000-C800-000001000000}" name="CÓDIGO CATÁLOGO"/>
    <tableColumn id="2" xr3:uid="{00000000-0010-0000-C800-000002000000}" name="ARTÍCULO"/>
    <tableColumn id="3" xr3:uid="{00000000-0010-0000-C800-000003000000}" name="UNIDAD DE MEDIDA"/>
    <tableColumn id="4" xr3:uid="{00000000-0010-0000-C800-000004000000}" name="CANTIDAD TOTAL ESTIMADA"/>
    <tableColumn id="5" xr3:uid="{00000000-0010-0000-C800-000005000000}" name="PRECIO UNITARIO ESTIMADO"/>
    <tableColumn id="6" xr3:uid="{00000000-0010-0000-C800-000006000000}" name="MONTO TOTAL ESTIMADO"/>
  </tableColumns>
  <tableStyleInfo showFirstColumn="0" showLastColumn="0" showRowStripes="1" showColumnStripes="0"/>
</table>
</file>

<file path=xl/tables/table2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5" xr:uid="{00000000-000C-0000-FFFF-FFFFC9000000}" name="Table165" displayName="Table165" ref="A3249:F3250" totalsRowShown="0">
  <tableColumns count="6">
    <tableColumn id="1" xr3:uid="{00000000-0010-0000-C900-000001000000}" name="CÓDIGO CATÁLOGO"/>
    <tableColumn id="2" xr3:uid="{00000000-0010-0000-C900-000002000000}" name="ARTÍCULO"/>
    <tableColumn id="3" xr3:uid="{00000000-0010-0000-C900-000003000000}" name="UNIDAD DE MEDIDA"/>
    <tableColumn id="4" xr3:uid="{00000000-0010-0000-C900-000004000000}" name="CANTIDAD TOTAL ESTIMADA"/>
    <tableColumn id="5" xr3:uid="{00000000-0010-0000-C900-000005000000}" name="PRECIO UNITARIO ESTIMADO"/>
    <tableColumn id="6" xr3:uid="{00000000-0010-0000-C900-000006000000}" name="MONTO TOTAL ESTIMADO"/>
  </tableColumns>
  <tableStyleInfo showFirstColumn="0" showLastColumn="0" showRowStripes="1" showColumnStripes="0"/>
</table>
</file>

<file path=xl/tables/table2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CA000000}" name="Table116" displayName="Table116" ref="A2130:F2140" totalsRowShown="0">
  <tableColumns count="6">
    <tableColumn id="1" xr3:uid="{00000000-0010-0000-CA00-000001000000}" name="CÓDIGO CATÁLOGO"/>
    <tableColumn id="2" xr3:uid="{00000000-0010-0000-CA00-000002000000}" name="ARTÍCULO"/>
    <tableColumn id="3" xr3:uid="{00000000-0010-0000-CA00-000003000000}" name="UNIDAD DE MEDIDA"/>
    <tableColumn id="4" xr3:uid="{00000000-0010-0000-CA00-000004000000}" name="CANTIDAD TOTAL ESTIMADA"/>
    <tableColumn id="5" xr3:uid="{00000000-0010-0000-CA00-000005000000}" name="PRECIO UNITARIO ESTIMADO"/>
    <tableColumn id="6" xr3:uid="{00000000-0010-0000-CA00-000006000000}" name="MONTO TOTAL ESTIMADO"/>
  </tableColumns>
  <tableStyleInfo showFirstColumn="0" showLastColumn="0" showRowStripes="1" showColumnStripes="0"/>
</table>
</file>

<file path=xl/tables/table2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5" xr:uid="{00000000-000C-0000-FFFF-FFFFCB000000}" name="Table225" displayName="Table225" ref="A4280:F4281" totalsRowShown="0">
  <tableColumns count="6">
    <tableColumn id="1" xr3:uid="{00000000-0010-0000-CB00-000001000000}" name="CÓDIGO CATÁLOGO"/>
    <tableColumn id="2" xr3:uid="{00000000-0010-0000-CB00-000002000000}" name="ARTÍCULO"/>
    <tableColumn id="3" xr3:uid="{00000000-0010-0000-CB00-000003000000}" name="UNIDAD DE MEDIDA"/>
    <tableColumn id="4" xr3:uid="{00000000-0010-0000-CB00-000004000000}" name="CANTIDAD TOTAL ESTIMADA"/>
    <tableColumn id="5" xr3:uid="{00000000-0010-0000-CB00-000005000000}" name="PRECIO UNITARIO ESTIMADO"/>
    <tableColumn id="6" xr3:uid="{00000000-0010-0000-CB00-000006000000}" name="MONTO TOTAL ESTIMADO"/>
  </tableColumns>
  <tableStyleInfo showFirstColumn="0" showLastColumn="0" showRowStripes="1" showColumnStripes="0"/>
</table>
</file>

<file path=xl/tables/table2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CC000000}" name="Table204" displayName="Table204" ref="A3833:F3836" totalsRowShown="0">
  <tableColumns count="6">
    <tableColumn id="1" xr3:uid="{00000000-0010-0000-CC00-000001000000}" name="CÓDIGO CATÁLOGO"/>
    <tableColumn id="2" xr3:uid="{00000000-0010-0000-CC00-000002000000}" name="ARTÍCULO"/>
    <tableColumn id="3" xr3:uid="{00000000-0010-0000-CC00-000003000000}" name="UNIDAD DE MEDIDA"/>
    <tableColumn id="4" xr3:uid="{00000000-0010-0000-CC00-000004000000}" name="CANTIDAD TOTAL ESTIMADA"/>
    <tableColumn id="5" xr3:uid="{00000000-0010-0000-CC00-000005000000}" name="PRECIO UNITARIO ESTIMADO"/>
    <tableColumn id="6" xr3:uid="{00000000-0010-0000-CC00-000006000000}" name="MONTO TOTAL ESTIMADO"/>
  </tableColumns>
  <tableStyleInfo showFirstColumn="0" showLastColumn="0" showRowStripes="1" showColumnStripes="0"/>
</table>
</file>

<file path=xl/tables/table2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CD000000}" name="Table195" displayName="Table195" ref="A3694:F3698" totalsRowShown="0">
  <tableColumns count="6">
    <tableColumn id="1" xr3:uid="{00000000-0010-0000-CD00-000001000000}" name="CÓDIGO CATÁLOGO"/>
    <tableColumn id="2" xr3:uid="{00000000-0010-0000-CD00-000002000000}" name="ARTÍCULO"/>
    <tableColumn id="3" xr3:uid="{00000000-0010-0000-CD00-000003000000}" name="UNIDAD DE MEDIDA"/>
    <tableColumn id="4" xr3:uid="{00000000-0010-0000-CD00-000004000000}" name="CANTIDAD TOTAL ESTIMADA"/>
    <tableColumn id="5" xr3:uid="{00000000-0010-0000-CD00-000005000000}" name="PRECIO UNITARIO ESTIMADO"/>
    <tableColumn id="6" xr3:uid="{00000000-0010-0000-CD00-000006000000}" name="MONTO TOTAL ESTIMADO"/>
  </tableColumns>
  <tableStyleInfo showFirstColumn="0" showLastColumn="0" showRowStripes="1" showColumnStripes="0"/>
</table>
</file>

<file path=xl/tables/table2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8" xr:uid="{00000000-000C-0000-FFFF-FFFFCE000000}" name="Table228" displayName="Table228" ref="A4313:F4327" totalsRowShown="0">
  <tableColumns count="6">
    <tableColumn id="1" xr3:uid="{00000000-0010-0000-CE00-000001000000}" name="CÓDIGO CATÁLOGO"/>
    <tableColumn id="2" xr3:uid="{00000000-0010-0000-CE00-000002000000}" name="ARTÍCULO"/>
    <tableColumn id="3" xr3:uid="{00000000-0010-0000-CE00-000003000000}" name="UNIDAD DE MEDIDA"/>
    <tableColumn id="4" xr3:uid="{00000000-0010-0000-CE00-000004000000}" name="CANTIDAD TOTAL ESTIMADA"/>
    <tableColumn id="5" xr3:uid="{00000000-0010-0000-CE00-000005000000}" name="PRECIO UNITARIO ESTIMADO"/>
    <tableColumn id="6" xr3:uid="{00000000-0010-0000-CE00-000006000000}" name="MONTO TOTAL ESTIMADO"/>
  </tableColumns>
  <tableStyleInfo showFirstColumn="0" showLastColumn="0" showRowStripes="1" showColumnStripes="0"/>
</table>
</file>

<file path=xl/tables/table2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CF000000}" name="Table64" displayName="Table64" ref="A983:F985" totalsRowShown="0">
  <tableColumns count="6">
    <tableColumn id="1" xr3:uid="{00000000-0010-0000-CF00-000001000000}" name="CÓDIGO CATÁLOGO"/>
    <tableColumn id="2" xr3:uid="{00000000-0010-0000-CF00-000002000000}" name="ARTÍCULO"/>
    <tableColumn id="3" xr3:uid="{00000000-0010-0000-CF00-000003000000}" name="UNIDAD DE MEDIDA"/>
    <tableColumn id="4" xr3:uid="{00000000-0010-0000-CF00-000004000000}" name="CANTIDAD TOTAL ESTIMADA"/>
    <tableColumn id="5" xr3:uid="{00000000-0010-0000-CF00-000005000000}" name="PRECIO UNITARIO ESTIMADO"/>
    <tableColumn id="6" xr3:uid="{00000000-0010-0000-CF00-000006000000}" name="MONTO TOTAL ESTIMADO"/>
  </tableColumns>
  <tableStyleInfo showFirstColumn="0" showLastColumn="0" showRowStripes="1" showColumnStripes="0"/>
</table>
</file>

<file path=xl/tables/table2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0" xr:uid="{00000000-000C-0000-FFFF-FFFFD0000000}" name="Table300" displayName="Table300" ref="A5310:F5330" totalsRowShown="0">
  <tableColumns count="6">
    <tableColumn id="1" xr3:uid="{00000000-0010-0000-D000-000001000000}" name="CÓDIGO CATÁLOGO"/>
    <tableColumn id="2" xr3:uid="{00000000-0010-0000-D000-000002000000}" name="ARTÍCULO"/>
    <tableColumn id="3" xr3:uid="{00000000-0010-0000-D000-000003000000}" name="UNIDAD DE MEDIDA"/>
    <tableColumn id="4" xr3:uid="{00000000-0010-0000-D000-000004000000}" name="CANTIDAD TOTAL ESTIMADA"/>
    <tableColumn id="5" xr3:uid="{00000000-0010-0000-D000-000005000000}" name="PRECIO UNITARIO ESTIMADO"/>
    <tableColumn id="6" xr3:uid="{00000000-0010-0000-D000-000006000000}" name="MONTO TOTAL ESTIMADO"/>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3" xr:uid="{00000000-000C-0000-FFFF-FFFF14000000}" name="Table283" displayName="Table283" ref="A5070:F5072" totalsRowShown="0">
  <tableColumns count="6">
    <tableColumn id="1" xr3:uid="{00000000-0010-0000-1400-000001000000}" name="CÓDIGO CATÁLOGO"/>
    <tableColumn id="2" xr3:uid="{00000000-0010-0000-1400-000002000000}" name="ARTÍCULO"/>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tableColumns>
  <tableStyleInfo showFirstColumn="0" showLastColumn="0" showRowStripes="1" showColumnStripes="0"/>
</table>
</file>

<file path=xl/tables/table2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7" xr:uid="{00000000-000C-0000-FFFF-FFFFD1000000}" name="Table267" displayName="Table267" ref="A4816:F4818" totalsRowShown="0">
  <tableColumns count="6">
    <tableColumn id="1" xr3:uid="{00000000-0010-0000-D100-000001000000}" name="CÓDIGO CATÁLOGO"/>
    <tableColumn id="2" xr3:uid="{00000000-0010-0000-D100-000002000000}" name="ARTÍCULO"/>
    <tableColumn id="3" xr3:uid="{00000000-0010-0000-D100-000003000000}" name="UNIDAD DE MEDIDA"/>
    <tableColumn id="4" xr3:uid="{00000000-0010-0000-D100-000004000000}" name="CANTIDAD TOTAL ESTIMADA"/>
    <tableColumn id="5" xr3:uid="{00000000-0010-0000-D100-000005000000}" name="PRECIO UNITARIO ESTIMADO"/>
    <tableColumn id="6" xr3:uid="{00000000-0010-0000-D100-000006000000}" name="MONTO TOTAL ESTIMADO"/>
  </tableColumns>
  <tableStyleInfo showFirstColumn="0" showLastColumn="0" showRowStripes="1" showColumnStripes="0"/>
</table>
</file>

<file path=xl/tables/table2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D2000000}" name="Table176" displayName="Table176" ref="A3468:F3469" totalsRowShown="0">
  <tableColumns count="6">
    <tableColumn id="1" xr3:uid="{00000000-0010-0000-D200-000001000000}" name="CÓDIGO CATÁLOGO"/>
    <tableColumn id="2" xr3:uid="{00000000-0010-0000-D200-000002000000}" name="ARTÍCULO"/>
    <tableColumn id="3" xr3:uid="{00000000-0010-0000-D200-000003000000}" name="UNIDAD DE MEDIDA"/>
    <tableColumn id="4" xr3:uid="{00000000-0010-0000-D200-000004000000}" name="CANTIDAD TOTAL ESTIMADA"/>
    <tableColumn id="5" xr3:uid="{00000000-0010-0000-D200-000005000000}" name="PRECIO UNITARIO ESTIMADO"/>
    <tableColumn id="6" xr3:uid="{00000000-0010-0000-D200-000006000000}" name="MONTO TOTAL ESTIMADO"/>
  </tableColumns>
  <tableStyleInfo showFirstColumn="0" showLastColumn="0" showRowStripes="1" showColumnStripes="0"/>
</table>
</file>

<file path=xl/tables/table2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D3000000}" name="Table73" displayName="Table73" ref="A1219:F1222" totalsRowShown="0">
  <tableColumns count="6">
    <tableColumn id="1" xr3:uid="{00000000-0010-0000-D300-000001000000}" name="CÓDIGO CATÁLOGO"/>
    <tableColumn id="2" xr3:uid="{00000000-0010-0000-D300-000002000000}" name="ARTÍCULO"/>
    <tableColumn id="3" xr3:uid="{00000000-0010-0000-D300-000003000000}" name="UNIDAD DE MEDIDA"/>
    <tableColumn id="4" xr3:uid="{00000000-0010-0000-D300-000004000000}" name="CANTIDAD TOTAL ESTIMADA"/>
    <tableColumn id="5" xr3:uid="{00000000-0010-0000-D300-000005000000}" name="PRECIO UNITARIO ESTIMADO"/>
    <tableColumn id="6" xr3:uid="{00000000-0010-0000-D300-000006000000}" name="MONTO TOTAL ESTIMADO"/>
  </tableColumns>
  <tableStyleInfo showFirstColumn="0" showLastColumn="0" showRowStripes="1" showColumnStripes="0"/>
</table>
</file>

<file path=xl/tables/table2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D4000000}" name="Table113" displayName="Table113" ref="A2087:F2092" totalsRowShown="0">
  <tableColumns count="6">
    <tableColumn id="1" xr3:uid="{00000000-0010-0000-D400-000001000000}" name="CÓDIGO CATÁLOGO"/>
    <tableColumn id="2" xr3:uid="{00000000-0010-0000-D400-000002000000}" name="ARTÍCULO"/>
    <tableColumn id="3" xr3:uid="{00000000-0010-0000-D400-000003000000}" name="UNIDAD DE MEDIDA"/>
    <tableColumn id="4" xr3:uid="{00000000-0010-0000-D400-000004000000}" name="CANTIDAD TOTAL ESTIMADA"/>
    <tableColumn id="5" xr3:uid="{00000000-0010-0000-D400-000005000000}" name="PRECIO UNITARIO ESTIMADO"/>
    <tableColumn id="6" xr3:uid="{00000000-0010-0000-D400-000006000000}" name="MONTO TOTAL ESTIMADO"/>
  </tableColumns>
  <tableStyleInfo showFirstColumn="0" showLastColumn="0" showRowStripes="1" showColumnStripes="0"/>
</table>
</file>

<file path=xl/tables/table2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D5000000}" name="Table62" displayName="Table62" ref="A949:F951" totalsRowShown="0">
  <tableColumns count="6">
    <tableColumn id="1" xr3:uid="{00000000-0010-0000-D500-000001000000}" name="CÓDIGO CATÁLOGO"/>
    <tableColumn id="2" xr3:uid="{00000000-0010-0000-D500-000002000000}" name="ARTÍCULO"/>
    <tableColumn id="3" xr3:uid="{00000000-0010-0000-D500-000003000000}" name="UNIDAD DE MEDIDA"/>
    <tableColumn id="4" xr3:uid="{00000000-0010-0000-D500-000004000000}" name="CANTIDAD TOTAL ESTIMADA"/>
    <tableColumn id="5" xr3:uid="{00000000-0010-0000-D500-000005000000}" name="PRECIO UNITARIO ESTIMADO"/>
    <tableColumn id="6" xr3:uid="{00000000-0010-0000-D500-000006000000}" name="MONTO TOTAL ESTIMADO"/>
  </tableColumns>
  <tableStyleInfo showFirstColumn="0" showLastColumn="0" showRowStripes="1" showColumnStripes="0"/>
</table>
</file>

<file path=xl/tables/table2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6" xr:uid="{00000000-000C-0000-FFFF-FFFFD6000000}" name="Table226" displayName="Table226" ref="A4291:F4292" totalsRowShown="0">
  <tableColumns count="6">
    <tableColumn id="1" xr3:uid="{00000000-0010-0000-D600-000001000000}" name="CÓDIGO CATÁLOGO"/>
    <tableColumn id="2" xr3:uid="{00000000-0010-0000-D600-000002000000}" name="ARTÍCULO"/>
    <tableColumn id="3" xr3:uid="{00000000-0010-0000-D600-000003000000}" name="UNIDAD DE MEDIDA"/>
    <tableColumn id="4" xr3:uid="{00000000-0010-0000-D600-000004000000}" name="CANTIDAD TOTAL ESTIMADA"/>
    <tableColumn id="5" xr3:uid="{00000000-0010-0000-D600-000005000000}" name="PRECIO UNITARIO ESTIMADO"/>
    <tableColumn id="6" xr3:uid="{00000000-0010-0000-D600-000006000000}" name="MONTO TOTAL ESTIMADO"/>
  </tableColumns>
  <tableStyleInfo showFirstColumn="0" showLastColumn="0" showRowStripes="1" showColumnStripes="0"/>
</table>
</file>

<file path=xl/tables/table2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D7000000}" name="Table190" displayName="Table190" ref="A3636:F3638" totalsRowShown="0">
  <tableColumns count="6">
    <tableColumn id="1" xr3:uid="{00000000-0010-0000-D700-000001000000}" name="CÓDIGO CATÁLOGO"/>
    <tableColumn id="2" xr3:uid="{00000000-0010-0000-D700-000002000000}" name="ARTÍCULO"/>
    <tableColumn id="3" xr3:uid="{00000000-0010-0000-D700-000003000000}" name="UNIDAD DE MEDIDA"/>
    <tableColumn id="4" xr3:uid="{00000000-0010-0000-D700-000004000000}" name="CANTIDAD TOTAL ESTIMADA"/>
    <tableColumn id="5" xr3:uid="{00000000-0010-0000-D700-000005000000}" name="PRECIO UNITARIO ESTIMADO"/>
    <tableColumn id="6" xr3:uid="{00000000-0010-0000-D700-000006000000}" name="MONTO TOTAL ESTIMADO"/>
  </tableColumns>
  <tableStyleInfo showFirstColumn="0" showLastColumn="0" showRowStripes="1" showColumnStripes="0"/>
</table>
</file>

<file path=xl/tables/table2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D8000000}" name="Table31" displayName="Table31" ref="A522:F528" totalsRowShown="0">
  <tableColumns count="6">
    <tableColumn id="1" xr3:uid="{00000000-0010-0000-D800-000001000000}" name="CÓDIGO CATÁLOGO"/>
    <tableColumn id="2" xr3:uid="{00000000-0010-0000-D800-000002000000}" name="ARTÍCULO"/>
    <tableColumn id="3" xr3:uid="{00000000-0010-0000-D800-000003000000}" name="UNIDAD DE MEDIDA"/>
    <tableColumn id="4" xr3:uid="{00000000-0010-0000-D800-000004000000}" name="CANTIDAD TOTAL ESTIMADA"/>
    <tableColumn id="5" xr3:uid="{00000000-0010-0000-D800-000005000000}" name="PRECIO UNITARIO ESTIMADO"/>
    <tableColumn id="6" xr3:uid="{00000000-0010-0000-D800-000006000000}" name="MONTO TOTAL ESTIMADO"/>
  </tableColumns>
  <tableStyleInfo showFirstColumn="0" showLastColumn="0" showRowStripes="1" showColumnStripes="0"/>
</table>
</file>

<file path=xl/tables/table2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D9000000}" name="Table43" displayName="Table43" ref="A708:F711" totalsRowShown="0">
  <tableColumns count="6">
    <tableColumn id="1" xr3:uid="{00000000-0010-0000-D900-000001000000}" name="CÓDIGO CATÁLOGO"/>
    <tableColumn id="2" xr3:uid="{00000000-0010-0000-D900-000002000000}" name="ARTÍCULO"/>
    <tableColumn id="3" xr3:uid="{00000000-0010-0000-D900-000003000000}" name="UNIDAD DE MEDIDA"/>
    <tableColumn id="4" xr3:uid="{00000000-0010-0000-D900-000004000000}" name="CANTIDAD TOTAL ESTIMADA"/>
    <tableColumn id="5" xr3:uid="{00000000-0010-0000-D900-000005000000}" name="PRECIO UNITARIO ESTIMADO"/>
    <tableColumn id="6" xr3:uid="{00000000-0010-0000-D900-000006000000}" name="MONTO TOTAL ESTIMADO"/>
  </tableColumns>
  <tableStyleInfo showFirstColumn="0" showLastColumn="0" showRowStripes="1" showColumnStripes="0"/>
</table>
</file>

<file path=xl/tables/table2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DA000000}" name="Table196" displayName="Table196" ref="A3708:F3709" totalsRowShown="0">
  <tableColumns count="6">
    <tableColumn id="1" xr3:uid="{00000000-0010-0000-DA00-000001000000}" name="CÓDIGO CATÁLOGO"/>
    <tableColumn id="2" xr3:uid="{00000000-0010-0000-DA00-000002000000}" name="ARTÍCULO"/>
    <tableColumn id="3" xr3:uid="{00000000-0010-0000-DA00-000003000000}" name="UNIDAD DE MEDIDA"/>
    <tableColumn id="4" xr3:uid="{00000000-0010-0000-DA00-000004000000}" name="CANTIDAD TOTAL ESTIMADA"/>
    <tableColumn id="5" xr3:uid="{00000000-0010-0000-DA00-000005000000}" name="PRECIO UNITARIO ESTIMADO"/>
    <tableColumn id="6" xr3:uid="{00000000-0010-0000-DA00-000006000000}" name="MONTO TOTAL ESTIMADO"/>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00000000-000C-0000-FFFF-FFFF15000000}" name="Table127" displayName="Table127" ref="A2279:F2296" totalsRowShown="0">
  <tableColumns count="6">
    <tableColumn id="1" xr3:uid="{00000000-0010-0000-1500-000001000000}" name="CÓDIGO CATÁLOGO"/>
    <tableColumn id="2" xr3:uid="{00000000-0010-0000-1500-000002000000}" name="ARTÍCULO"/>
    <tableColumn id="3" xr3:uid="{00000000-0010-0000-1500-000003000000}" name="UNIDAD DE MEDIDA"/>
    <tableColumn id="4" xr3:uid="{00000000-0010-0000-1500-000004000000}" name="CANTIDAD TOTAL ESTIMADA"/>
    <tableColumn id="5" xr3:uid="{00000000-0010-0000-1500-000005000000}" name="PRECIO UNITARIO ESTIMADO"/>
    <tableColumn id="6" xr3:uid="{00000000-0010-0000-1500-000006000000}" name="MONTO TOTAL ESTIMADO"/>
  </tableColumns>
  <tableStyleInfo showFirstColumn="0" showLastColumn="0" showRowStripes="1" showColumnStripes="0"/>
</table>
</file>

<file path=xl/tables/table2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00000000-000C-0000-FFFF-FFFFDB000000}" name="Table145" displayName="Table145" ref="A3025:F3026" totalsRowShown="0">
  <tableColumns count="6">
    <tableColumn id="1" xr3:uid="{00000000-0010-0000-DB00-000001000000}" name="CÓDIGO CATÁLOGO"/>
    <tableColumn id="2" xr3:uid="{00000000-0010-0000-DB00-000002000000}" name="ARTÍCULO"/>
    <tableColumn id="3" xr3:uid="{00000000-0010-0000-DB00-000003000000}" name="UNIDAD DE MEDIDA"/>
    <tableColumn id="4" xr3:uid="{00000000-0010-0000-DB00-000004000000}" name="CANTIDAD TOTAL ESTIMADA"/>
    <tableColumn id="5" xr3:uid="{00000000-0010-0000-DB00-000005000000}" name="PRECIO UNITARIO ESTIMADO"/>
    <tableColumn id="6" xr3:uid="{00000000-0010-0000-DB00-000006000000}" name="MONTO TOTAL ESTIMADO"/>
  </tableColumns>
  <tableStyleInfo showFirstColumn="0" showLastColumn="0" showRowStripes="1" showColumnStripes="0"/>
</table>
</file>

<file path=xl/tables/table2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DC000000}" name="Table200" displayName="Table200" ref="A3760:F3774" totalsRowShown="0">
  <tableColumns count="6">
    <tableColumn id="1" xr3:uid="{00000000-0010-0000-DC00-000001000000}" name="CÓDIGO CATÁLOGO"/>
    <tableColumn id="2" xr3:uid="{00000000-0010-0000-DC00-000002000000}" name="ARTÍCULO"/>
    <tableColumn id="3" xr3:uid="{00000000-0010-0000-DC00-000003000000}" name="UNIDAD DE MEDIDA"/>
    <tableColumn id="4" xr3:uid="{00000000-0010-0000-DC00-000004000000}" name="CANTIDAD TOTAL ESTIMADA"/>
    <tableColumn id="5" xr3:uid="{00000000-0010-0000-DC00-000005000000}" name="PRECIO UNITARIO ESTIMADO"/>
    <tableColumn id="6" xr3:uid="{00000000-0010-0000-DC00-000006000000}" name="MONTO TOTAL ESTIMADO"/>
  </tableColumns>
  <tableStyleInfo showFirstColumn="0" showLastColumn="0" showRowStripes="1" showColumnStripes="0"/>
</table>
</file>

<file path=xl/tables/table2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DD000000}" name="Table197" displayName="Table197" ref="A3719:F3720" totalsRowShown="0">
  <tableColumns count="6">
    <tableColumn id="1" xr3:uid="{00000000-0010-0000-DD00-000001000000}" name="CÓDIGO CATÁLOGO"/>
    <tableColumn id="2" xr3:uid="{00000000-0010-0000-DD00-000002000000}" name="ARTÍCULO"/>
    <tableColumn id="3" xr3:uid="{00000000-0010-0000-DD00-000003000000}" name="UNIDAD DE MEDIDA"/>
    <tableColumn id="4" xr3:uid="{00000000-0010-0000-DD00-000004000000}" name="CANTIDAD TOTAL ESTIMADA"/>
    <tableColumn id="5" xr3:uid="{00000000-0010-0000-DD00-000005000000}" name="PRECIO UNITARIO ESTIMADO"/>
    <tableColumn id="6" xr3:uid="{00000000-0010-0000-DD00-000006000000}" name="MONTO TOTAL ESTIMADO"/>
  </tableColumns>
  <tableStyleInfo showFirstColumn="0" showLastColumn="0" showRowStripes="1" showColumnStripes="0"/>
</table>
</file>

<file path=xl/tables/table2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8" xr:uid="{00000000-000C-0000-FFFF-FFFFDE000000}" name="Table148" displayName="Table148" ref="A3058:F3059" totalsRowShown="0">
  <tableColumns count="6">
    <tableColumn id="1" xr3:uid="{00000000-0010-0000-DE00-000001000000}" name="CÓDIGO CATÁLOGO"/>
    <tableColumn id="2" xr3:uid="{00000000-0010-0000-DE00-000002000000}" name="ARTÍCULO"/>
    <tableColumn id="3" xr3:uid="{00000000-0010-0000-DE00-000003000000}" name="UNIDAD DE MEDIDA"/>
    <tableColumn id="4" xr3:uid="{00000000-0010-0000-DE00-000004000000}" name="CANTIDAD TOTAL ESTIMADA"/>
    <tableColumn id="5" xr3:uid="{00000000-0010-0000-DE00-000005000000}" name="PRECIO UNITARIO ESTIMADO"/>
    <tableColumn id="6" xr3:uid="{00000000-0010-0000-DE00-000006000000}" name="MONTO TOTAL ESTIMADO"/>
  </tableColumns>
  <tableStyleInfo showFirstColumn="0" showLastColumn="0" showRowStripes="1" showColumnStripes="0"/>
</table>
</file>

<file path=xl/tables/table2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00000000-000C-0000-FFFF-FFFFDF000000}" name="Table136" displayName="Table136" ref="A2873:F2919" totalsRowShown="0">
  <tableColumns count="6">
    <tableColumn id="1" xr3:uid="{00000000-0010-0000-DF00-000001000000}" name="CÓDIGO CATÁLOGO"/>
    <tableColumn id="2" xr3:uid="{00000000-0010-0000-DF00-000002000000}" name="ARTÍCULO"/>
    <tableColumn id="3" xr3:uid="{00000000-0010-0000-DF00-000003000000}" name="UNIDAD DE MEDIDA"/>
    <tableColumn id="4" xr3:uid="{00000000-0010-0000-DF00-000004000000}" name="CANTIDAD TOTAL ESTIMADA"/>
    <tableColumn id="5" xr3:uid="{00000000-0010-0000-DF00-000005000000}" name="PRECIO UNITARIO ESTIMADO"/>
    <tableColumn id="6" xr3:uid="{00000000-0010-0000-DF00-000006000000}" name="MONTO TOTAL ESTIMADO"/>
  </tableColumns>
  <tableStyleInfo showFirstColumn="0" showLastColumn="0" showRowStripes="1" showColumnStripes="0"/>
</table>
</file>

<file path=xl/tables/table2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2" xr:uid="{00000000-000C-0000-FFFF-FFFFE0000000}" name="Table322" displayName="Table322" ref="A5667:F5686" totalsRowShown="0">
  <tableColumns count="6">
    <tableColumn id="1" xr3:uid="{00000000-0010-0000-E000-000001000000}" name="CÓDIGO CATÁLOGO"/>
    <tableColumn id="2" xr3:uid="{00000000-0010-0000-E000-000002000000}" name="ARTÍCULO"/>
    <tableColumn id="3" xr3:uid="{00000000-0010-0000-E000-000003000000}" name="UNIDAD DE MEDIDA"/>
    <tableColumn id="4" xr3:uid="{00000000-0010-0000-E000-000004000000}" name="CANTIDAD TOTAL ESTIMADA"/>
    <tableColumn id="5" xr3:uid="{00000000-0010-0000-E000-000005000000}" name="PRECIO UNITARIO ESTIMADO"/>
    <tableColumn id="6" xr3:uid="{00000000-0010-0000-E000-000006000000}" name="MONTO TOTAL ESTIMADO"/>
  </tableColumns>
  <tableStyleInfo showFirstColumn="0" showLastColumn="0" showRowStripes="1" showColumnStripes="0"/>
</table>
</file>

<file path=xl/tables/table2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E1000000}" name="Table48" displayName="Table48" ref="A767:F769" totalsRowShown="0">
  <tableColumns count="6">
    <tableColumn id="1" xr3:uid="{00000000-0010-0000-E100-000001000000}" name="CÓDIGO CATÁLOGO"/>
    <tableColumn id="2" xr3:uid="{00000000-0010-0000-E100-000002000000}" name="ARTÍCULO"/>
    <tableColumn id="3" xr3:uid="{00000000-0010-0000-E100-000003000000}" name="UNIDAD DE MEDIDA"/>
    <tableColumn id="4" xr3:uid="{00000000-0010-0000-E100-000004000000}" name="CANTIDAD TOTAL ESTIMADA"/>
    <tableColumn id="5" xr3:uid="{00000000-0010-0000-E100-000005000000}" name="PRECIO UNITARIO ESTIMADO"/>
    <tableColumn id="6" xr3:uid="{00000000-0010-0000-E100-000006000000}" name="MONTO TOTAL ESTIMADO"/>
  </tableColumns>
  <tableStyleInfo showFirstColumn="0" showLastColumn="0" showRowStripes="1" showColumnStripes="0"/>
</table>
</file>

<file path=xl/tables/table2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5" xr:uid="{00000000-000C-0000-FFFF-FFFFE2000000}" name="Table265" displayName="Table265" ref="A4794:F4795" totalsRowShown="0">
  <tableColumns count="6">
    <tableColumn id="1" xr3:uid="{00000000-0010-0000-E200-000001000000}" name="CÓDIGO CATÁLOGO"/>
    <tableColumn id="2" xr3:uid="{00000000-0010-0000-E200-000002000000}" name="ARTÍCULO"/>
    <tableColumn id="3" xr3:uid="{00000000-0010-0000-E200-000003000000}" name="UNIDAD DE MEDIDA"/>
    <tableColumn id="4" xr3:uid="{00000000-0010-0000-E200-000004000000}" name="CANTIDAD TOTAL ESTIMADA"/>
    <tableColumn id="5" xr3:uid="{00000000-0010-0000-E200-000005000000}" name="PRECIO UNITARIO ESTIMADO"/>
    <tableColumn id="6" xr3:uid="{00000000-0010-0000-E200-000006000000}" name="MONTO TOTAL ESTIMADO"/>
  </tableColumns>
  <tableStyleInfo showFirstColumn="0" showLastColumn="0" showRowStripes="1" showColumnStripes="0"/>
</table>
</file>

<file path=xl/tables/table2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4" xr:uid="{00000000-000C-0000-FFFF-FFFFE3000000}" name="Table174" displayName="Table174" ref="A3446:F3447" totalsRowShown="0">
  <tableColumns count="6">
    <tableColumn id="1" xr3:uid="{00000000-0010-0000-E300-000001000000}" name="CÓDIGO CATÁLOGO"/>
    <tableColumn id="2" xr3:uid="{00000000-0010-0000-E300-000002000000}" name="ARTÍCULO"/>
    <tableColumn id="3" xr3:uid="{00000000-0010-0000-E300-000003000000}" name="UNIDAD DE MEDIDA"/>
    <tableColumn id="4" xr3:uid="{00000000-0010-0000-E300-000004000000}" name="CANTIDAD TOTAL ESTIMADA"/>
    <tableColumn id="5" xr3:uid="{00000000-0010-0000-E300-000005000000}" name="PRECIO UNITARIO ESTIMADO"/>
    <tableColumn id="6" xr3:uid="{00000000-0010-0000-E300-000006000000}" name="MONTO TOTAL ESTIMADO"/>
  </tableColumns>
  <tableStyleInfo showFirstColumn="0" showLastColumn="0" showRowStripes="1" showColumnStripes="0"/>
</table>
</file>

<file path=xl/tables/table2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E4000000}" name="Table108" displayName="Table108" ref="A1994:F1999" totalsRowShown="0">
  <tableColumns count="6">
    <tableColumn id="1" xr3:uid="{00000000-0010-0000-E400-000001000000}" name="CÓDIGO CATÁLOGO"/>
    <tableColumn id="2" xr3:uid="{00000000-0010-0000-E400-000002000000}" name="ARTÍCULO"/>
    <tableColumn id="3" xr3:uid="{00000000-0010-0000-E400-000003000000}" name="UNIDAD DE MEDIDA"/>
    <tableColumn id="4" xr3:uid="{00000000-0010-0000-E400-000004000000}" name="CANTIDAD TOTAL ESTIMADA"/>
    <tableColumn id="5" xr3:uid="{00000000-0010-0000-E400-000005000000}" name="PRECIO UNITARIO ESTIMADO"/>
    <tableColumn id="6" xr3:uid="{00000000-0010-0000-E400-000006000000}" name="MONTO TOTAL ESTIMADO"/>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16000000}" name="Table8" displayName="Table8" ref="A236:F239" totalsRowShown="0">
  <tableColumns count="6">
    <tableColumn id="1" xr3:uid="{00000000-0010-0000-1600-000001000000}" name="CÓDIGO CATÁLOGO"/>
    <tableColumn id="2" xr3:uid="{00000000-0010-0000-1600-000002000000}" name="ARTÍCULO"/>
    <tableColumn id="3" xr3:uid="{00000000-0010-0000-1600-000003000000}" name="UNIDAD DE MEDIDA"/>
    <tableColumn id="4" xr3:uid="{00000000-0010-0000-1600-000004000000}" name="CANTIDAD TOTAL ESTIMADA"/>
    <tableColumn id="5" xr3:uid="{00000000-0010-0000-1600-000005000000}" name="PRECIO UNITARIO ESTIMADO"/>
    <tableColumn id="6" xr3:uid="{00000000-0010-0000-1600-000006000000}" name="MONTO TOTAL ESTIMADO"/>
  </tableColumns>
  <tableStyleInfo showFirstColumn="0" showLastColumn="0" showRowStripes="1" showColumnStripes="0"/>
</table>
</file>

<file path=xl/tables/table2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E5000000}" name="Table239" displayName="Table239" ref="A4460:F4465" totalsRowShown="0">
  <tableColumns count="6">
    <tableColumn id="1" xr3:uid="{00000000-0010-0000-E500-000001000000}" name="CÓDIGO CATÁLOGO"/>
    <tableColumn id="2" xr3:uid="{00000000-0010-0000-E500-000002000000}" name="ARTÍCULO"/>
    <tableColumn id="3" xr3:uid="{00000000-0010-0000-E500-000003000000}" name="UNIDAD DE MEDIDA"/>
    <tableColumn id="4" xr3:uid="{00000000-0010-0000-E500-000004000000}" name="CANTIDAD TOTAL ESTIMADA"/>
    <tableColumn id="5" xr3:uid="{00000000-0010-0000-E500-000005000000}" name="PRECIO UNITARIO ESTIMADO"/>
    <tableColumn id="6" xr3:uid="{00000000-0010-0000-E500-000006000000}" name="MONTO TOTAL ESTIMADO"/>
  </tableColumns>
  <tableStyleInfo showFirstColumn="0" showLastColumn="0" showRowStripes="1" showColumnStripes="0"/>
</table>
</file>

<file path=xl/tables/table2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2" xr:uid="{00000000-000C-0000-FFFF-FFFFE6000000}" name="Table262" displayName="Table262" ref="A4748:F4750" totalsRowShown="0">
  <tableColumns count="6">
    <tableColumn id="1" xr3:uid="{00000000-0010-0000-E600-000001000000}" name="CÓDIGO CATÁLOGO"/>
    <tableColumn id="2" xr3:uid="{00000000-0010-0000-E600-000002000000}" name="ARTÍCULO"/>
    <tableColumn id="3" xr3:uid="{00000000-0010-0000-E600-000003000000}" name="UNIDAD DE MEDIDA"/>
    <tableColumn id="4" xr3:uid="{00000000-0010-0000-E600-000004000000}" name="CANTIDAD TOTAL ESTIMADA"/>
    <tableColumn id="5" xr3:uid="{00000000-0010-0000-E600-000005000000}" name="PRECIO UNITARIO ESTIMADO"/>
    <tableColumn id="6" xr3:uid="{00000000-0010-0000-E600-000006000000}" name="MONTO TOTAL ESTIMADO"/>
  </tableColumns>
  <tableStyleInfo showFirstColumn="0" showLastColumn="0" showRowStripes="1" showColumnStripes="0"/>
</table>
</file>

<file path=xl/tables/table2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0" xr:uid="{00000000-000C-0000-FFFF-FFFFE7000000}" name="Table160" displayName="Table160" ref="A3194:F3195" totalsRowShown="0">
  <tableColumns count="6">
    <tableColumn id="1" xr3:uid="{00000000-0010-0000-E700-000001000000}" name="CÓDIGO CATÁLOGO"/>
    <tableColumn id="2" xr3:uid="{00000000-0010-0000-E700-000002000000}" name="ARTÍCULO"/>
    <tableColumn id="3" xr3:uid="{00000000-0010-0000-E700-000003000000}" name="UNIDAD DE MEDIDA"/>
    <tableColumn id="4" xr3:uid="{00000000-0010-0000-E700-000004000000}" name="CANTIDAD TOTAL ESTIMADA"/>
    <tableColumn id="5" xr3:uid="{00000000-0010-0000-E700-000005000000}" name="PRECIO UNITARIO ESTIMADO"/>
    <tableColumn id="6" xr3:uid="{00000000-0010-0000-E700-000006000000}" name="MONTO TOTAL ESTIMADO"/>
  </tableColumns>
  <tableStyleInfo showFirstColumn="0" showLastColumn="0" showRowStripes="1" showColumnStripes="0"/>
</table>
</file>

<file path=xl/tables/table2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0" xr:uid="{00000000-000C-0000-FFFF-FFFFE8000000}" name="Table230" displayName="Table230" ref="A4357:F4358" totalsRowShown="0">
  <tableColumns count="6">
    <tableColumn id="1" xr3:uid="{00000000-0010-0000-E800-000001000000}" name="CÓDIGO CATÁLOGO"/>
    <tableColumn id="2" xr3:uid="{00000000-0010-0000-E800-000002000000}" name="ARTÍCULO"/>
    <tableColumn id="3" xr3:uid="{00000000-0010-0000-E800-000003000000}" name="UNIDAD DE MEDIDA"/>
    <tableColumn id="4" xr3:uid="{00000000-0010-0000-E800-000004000000}" name="CANTIDAD TOTAL ESTIMADA"/>
    <tableColumn id="5" xr3:uid="{00000000-0010-0000-E800-000005000000}" name="PRECIO UNITARIO ESTIMADO"/>
    <tableColumn id="6" xr3:uid="{00000000-0010-0000-E800-000006000000}" name="MONTO TOTAL ESTIMADO"/>
  </tableColumns>
  <tableStyleInfo showFirstColumn="0" showLastColumn="0" showRowStripes="1" showColumnStripes="0"/>
</table>
</file>

<file path=xl/tables/table2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2" xr:uid="{00000000-000C-0000-FFFF-FFFFE9000000}" name="Table292" displayName="Table292" ref="A5182:F5183" totalsRowShown="0">
  <tableColumns count="6">
    <tableColumn id="1" xr3:uid="{00000000-0010-0000-E900-000001000000}" name="CÓDIGO CATÁLOGO"/>
    <tableColumn id="2" xr3:uid="{00000000-0010-0000-E900-000002000000}" name="ARTÍCULO"/>
    <tableColumn id="3" xr3:uid="{00000000-0010-0000-E900-000003000000}" name="UNIDAD DE MEDIDA"/>
    <tableColumn id="4" xr3:uid="{00000000-0010-0000-E900-000004000000}" name="CANTIDAD TOTAL ESTIMADA"/>
    <tableColumn id="5" xr3:uid="{00000000-0010-0000-E900-000005000000}" name="PRECIO UNITARIO ESTIMADO"/>
    <tableColumn id="6" xr3:uid="{00000000-0010-0000-E900-000006000000}" name="MONTO TOTAL ESTIMADO"/>
  </tableColumns>
  <tableStyleInfo showFirstColumn="0" showLastColumn="0" showRowStripes="1" showColumnStripes="0"/>
</table>
</file>

<file path=xl/tables/table2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00000000-000C-0000-FFFF-FFFFEA000000}" name="Table134" displayName="Table134" ref="A2729:F2797" totalsRowShown="0">
  <tableColumns count="6">
    <tableColumn id="1" xr3:uid="{00000000-0010-0000-EA00-000001000000}" name="CÓDIGO CATÁLOGO"/>
    <tableColumn id="2" xr3:uid="{00000000-0010-0000-EA00-000002000000}" name="ARTÍCULO"/>
    <tableColumn id="3" xr3:uid="{00000000-0010-0000-EA00-000003000000}" name="UNIDAD DE MEDIDA"/>
    <tableColumn id="4" xr3:uid="{00000000-0010-0000-EA00-000004000000}" name="CANTIDAD TOTAL ESTIMADA"/>
    <tableColumn id="5" xr3:uid="{00000000-0010-0000-EA00-000005000000}" name="PRECIO UNITARIO ESTIMADO"/>
    <tableColumn id="6" xr3:uid="{00000000-0010-0000-EA00-000006000000}" name="MONTO TOTAL ESTIMADO"/>
  </tableColumns>
  <tableStyleInfo showFirstColumn="0" showLastColumn="0" showRowStripes="1" showColumnStripes="0"/>
</table>
</file>

<file path=xl/tables/table2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00000000-000C-0000-FFFF-FFFFEB000000}" name="Table131" displayName="Table131" ref="A2641:F2643" totalsRowShown="0">
  <tableColumns count="6">
    <tableColumn id="1" xr3:uid="{00000000-0010-0000-EB00-000001000000}" name="CÓDIGO CATÁLOGO"/>
    <tableColumn id="2" xr3:uid="{00000000-0010-0000-EB00-000002000000}" name="ARTÍCULO"/>
    <tableColumn id="3" xr3:uid="{00000000-0010-0000-EB00-000003000000}" name="UNIDAD DE MEDIDA"/>
    <tableColumn id="4" xr3:uid="{00000000-0010-0000-EB00-000004000000}" name="CANTIDAD TOTAL ESTIMADA"/>
    <tableColumn id="5" xr3:uid="{00000000-0010-0000-EB00-000005000000}" name="PRECIO UNITARIO ESTIMADO"/>
    <tableColumn id="6" xr3:uid="{00000000-0010-0000-EB00-000006000000}" name="MONTO TOTAL ESTIMADO"/>
  </tableColumns>
  <tableStyleInfo showFirstColumn="0" showLastColumn="0" showRowStripes="1" showColumnStripes="0"/>
</table>
</file>

<file path=xl/tables/table2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0" xr:uid="{00000000-000C-0000-FFFF-FFFFEC000000}" name="Table170" displayName="Table170" ref="A3402:F3403" totalsRowShown="0">
  <tableColumns count="6">
    <tableColumn id="1" xr3:uid="{00000000-0010-0000-EC00-000001000000}" name="CÓDIGO CATÁLOGO"/>
    <tableColumn id="2" xr3:uid="{00000000-0010-0000-EC00-000002000000}" name="ARTÍCULO"/>
    <tableColumn id="3" xr3:uid="{00000000-0010-0000-EC00-000003000000}" name="UNIDAD DE MEDIDA"/>
    <tableColumn id="4" xr3:uid="{00000000-0010-0000-EC00-000004000000}" name="CANTIDAD TOTAL ESTIMADA"/>
    <tableColumn id="5" xr3:uid="{00000000-0010-0000-EC00-000005000000}" name="PRECIO UNITARIO ESTIMADO"/>
    <tableColumn id="6" xr3:uid="{00000000-0010-0000-EC00-000006000000}" name="MONTO TOTAL ESTIMADO"/>
  </tableColumns>
  <tableStyleInfo showFirstColumn="0" showLastColumn="0" showRowStripes="1" showColumnStripes="0"/>
</table>
</file>

<file path=xl/tables/table2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2" xr:uid="{00000000-000C-0000-FFFF-FFFFED000000}" name="Table162" displayName="Table162" ref="A3216:F3217" totalsRowShown="0">
  <tableColumns count="6">
    <tableColumn id="1" xr3:uid="{00000000-0010-0000-ED00-000001000000}" name="CÓDIGO CATÁLOGO"/>
    <tableColumn id="2" xr3:uid="{00000000-0010-0000-ED00-000002000000}" name="ARTÍCULO"/>
    <tableColumn id="3" xr3:uid="{00000000-0010-0000-ED00-000003000000}" name="UNIDAD DE MEDIDA"/>
    <tableColumn id="4" xr3:uid="{00000000-0010-0000-ED00-000004000000}" name="CANTIDAD TOTAL ESTIMADA"/>
    <tableColumn id="5" xr3:uid="{00000000-0010-0000-ED00-000005000000}" name="PRECIO UNITARIO ESTIMADO"/>
    <tableColumn id="6" xr3:uid="{00000000-0010-0000-ED00-000006000000}" name="MONTO TOTAL ESTIMADO"/>
  </tableColumns>
  <tableStyleInfo showFirstColumn="0" showLastColumn="0" showRowStripes="1" showColumnStripes="0"/>
</table>
</file>

<file path=xl/tables/table2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EE000000}" name="Table68" displayName="Table68" ref="A1118:F1141" totalsRowShown="0">
  <tableColumns count="6">
    <tableColumn id="1" xr3:uid="{00000000-0010-0000-EE00-000001000000}" name="CÓDIGO CATÁLOGO"/>
    <tableColumn id="2" xr3:uid="{00000000-0010-0000-EE00-000002000000}" name="ARTÍCULO"/>
    <tableColumn id="3" xr3:uid="{00000000-0010-0000-EE00-000003000000}" name="UNIDAD DE MEDIDA"/>
    <tableColumn id="4" xr3:uid="{00000000-0010-0000-EE00-000004000000}" name="CANTIDAD TOTAL ESTIMADA"/>
    <tableColumn id="5" xr3:uid="{00000000-0010-0000-EE00-000005000000}" name="PRECIO UNITARIO ESTIMADO"/>
    <tableColumn id="6" xr3:uid="{00000000-0010-0000-EE00-000006000000}" name="MONTO TOTAL ESTIMADO"/>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4" xr:uid="{00000000-000C-0000-FFFF-FFFF17000000}" name="Table154" displayName="Table154" ref="A3128:F3129" totalsRowShown="0">
  <tableColumns count="6">
    <tableColumn id="1" xr3:uid="{00000000-0010-0000-1700-000001000000}" name="CÓDIGO CATÁLOGO"/>
    <tableColumn id="2" xr3:uid="{00000000-0010-0000-1700-000002000000}" name="ARTÍCULO"/>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tableColumns>
  <tableStyleInfo showFirstColumn="0" showLastColumn="0" showRowStripes="1" showColumnStripes="0"/>
</table>
</file>

<file path=xl/tables/table2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00000000-000C-0000-FFFF-FFFFEF000000}" name="Table252" displayName="Table252" ref="A4617:F4618" totalsRowShown="0">
  <tableColumns count="6">
    <tableColumn id="1" xr3:uid="{00000000-0010-0000-EF00-000001000000}" name="CÓDIGO CATÁLOGO"/>
    <tableColumn id="2" xr3:uid="{00000000-0010-0000-EF00-000002000000}" name="ARTÍCULO"/>
    <tableColumn id="3" xr3:uid="{00000000-0010-0000-EF00-000003000000}" name="UNIDAD DE MEDIDA"/>
    <tableColumn id="4" xr3:uid="{00000000-0010-0000-EF00-000004000000}" name="CANTIDAD TOTAL ESTIMADA"/>
    <tableColumn id="5" xr3:uid="{00000000-0010-0000-EF00-000005000000}" name="PRECIO UNITARIO ESTIMADO"/>
    <tableColumn id="6" xr3:uid="{00000000-0010-0000-EF00-000006000000}" name="MONTO TOTAL ESTIMADO"/>
  </tableColumns>
  <tableStyleInfo showFirstColumn="0" showLastColumn="0" showRowStripes="1" showColumnStripes="0"/>
</table>
</file>

<file path=xl/tables/table2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00000000-000C-0000-FFFF-FFFFF0000000}" name="Table143" displayName="Table143" ref="A3003:F3004" totalsRowShown="0">
  <tableColumns count="6">
    <tableColumn id="1" xr3:uid="{00000000-0010-0000-F000-000001000000}" name="CÓDIGO CATÁLOGO"/>
    <tableColumn id="2" xr3:uid="{00000000-0010-0000-F000-000002000000}" name="ARTÍCULO"/>
    <tableColumn id="3" xr3:uid="{00000000-0010-0000-F000-000003000000}" name="UNIDAD DE MEDIDA"/>
    <tableColumn id="4" xr3:uid="{00000000-0010-0000-F000-000004000000}" name="CANTIDAD TOTAL ESTIMADA"/>
    <tableColumn id="5" xr3:uid="{00000000-0010-0000-F000-000005000000}" name="PRECIO UNITARIO ESTIMADO"/>
    <tableColumn id="6" xr3:uid="{00000000-0010-0000-F000-000006000000}" name="MONTO TOTAL ESTIMADO"/>
  </tableColumns>
  <tableStyleInfo showFirstColumn="0" showLastColumn="0" showRowStripes="1" showColumnStripes="0"/>
</table>
</file>

<file path=xl/tables/table2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F1000000}" name="Table11" displayName="Table11" ref="A272:F274" totalsRowShown="0">
  <tableColumns count="6">
    <tableColumn id="1" xr3:uid="{00000000-0010-0000-F100-000001000000}" name="CÓDIGO CATÁLOGO"/>
    <tableColumn id="2" xr3:uid="{00000000-0010-0000-F100-000002000000}" name="ARTÍCULO"/>
    <tableColumn id="3" xr3:uid="{00000000-0010-0000-F100-000003000000}" name="UNIDAD DE MEDIDA"/>
    <tableColumn id="4" xr3:uid="{00000000-0010-0000-F100-000004000000}" name="CANTIDAD TOTAL ESTIMADA"/>
    <tableColumn id="5" xr3:uid="{00000000-0010-0000-F100-000005000000}" name="PRECIO UNITARIO ESTIMADO"/>
    <tableColumn id="6" xr3:uid="{00000000-0010-0000-F100-000006000000}" name="MONTO TOTAL ESTIMADO"/>
  </tableColumns>
  <tableStyleInfo showFirstColumn="0" showLastColumn="0" showRowStripes="1" showColumnStripes="0"/>
</table>
</file>

<file path=xl/tables/table2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F2000000}" name="Table66" displayName="Table66" ref="A1007:F1009" totalsRowShown="0">
  <tableColumns count="6">
    <tableColumn id="1" xr3:uid="{00000000-0010-0000-F200-000001000000}" name="CÓDIGO CATÁLOGO"/>
    <tableColumn id="2" xr3:uid="{00000000-0010-0000-F200-000002000000}" name="ARTÍCULO"/>
    <tableColumn id="3" xr3:uid="{00000000-0010-0000-F200-000003000000}" name="UNIDAD DE MEDIDA"/>
    <tableColumn id="4" xr3:uid="{00000000-0010-0000-F200-000004000000}" name="CANTIDAD TOTAL ESTIMADA"/>
    <tableColumn id="5" xr3:uid="{00000000-0010-0000-F200-000005000000}" name="PRECIO UNITARIO ESTIMADO"/>
    <tableColumn id="6" xr3:uid="{00000000-0010-0000-F200-000006000000}" name="MONTO TOTAL ESTIMADO"/>
  </tableColumns>
  <tableStyleInfo showFirstColumn="0" showLastColumn="0" showRowStripes="1" showColumnStripes="0"/>
</table>
</file>

<file path=xl/tables/table2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8" xr:uid="{00000000-000C-0000-FFFF-FFFFF3000000}" name="Table298" displayName="Table298" ref="A5252:F5273" totalsRowShown="0">
  <tableColumns count="6">
    <tableColumn id="1" xr3:uid="{00000000-0010-0000-F300-000001000000}" name="CÓDIGO CATÁLOGO"/>
    <tableColumn id="2" xr3:uid="{00000000-0010-0000-F300-000002000000}" name="ARTÍCULO"/>
    <tableColumn id="3" xr3:uid="{00000000-0010-0000-F300-000003000000}" name="UNIDAD DE MEDIDA"/>
    <tableColumn id="4" xr3:uid="{00000000-0010-0000-F300-000004000000}" name="CANTIDAD TOTAL ESTIMADA"/>
    <tableColumn id="5" xr3:uid="{00000000-0010-0000-F300-000005000000}" name="PRECIO UNITARIO ESTIMADO"/>
    <tableColumn id="6" xr3:uid="{00000000-0010-0000-F300-000006000000}" name="MONTO TOTAL ESTIMADO"/>
  </tableColumns>
  <tableStyleInfo showFirstColumn="0" showLastColumn="0" showRowStripes="1" showColumnStripes="0"/>
</table>
</file>

<file path=xl/tables/table2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00000000-000C-0000-FFFF-FFFFF4000000}" name="Table251" displayName="Table251" ref="A4606:F4607" totalsRowShown="0">
  <tableColumns count="6">
    <tableColumn id="1" xr3:uid="{00000000-0010-0000-F400-000001000000}" name="CÓDIGO CATÁLOGO"/>
    <tableColumn id="2" xr3:uid="{00000000-0010-0000-F400-000002000000}" name="ARTÍCULO"/>
    <tableColumn id="3" xr3:uid="{00000000-0010-0000-F400-000003000000}" name="UNIDAD DE MEDIDA"/>
    <tableColumn id="4" xr3:uid="{00000000-0010-0000-F400-000004000000}" name="CANTIDAD TOTAL ESTIMADA"/>
    <tableColumn id="5" xr3:uid="{00000000-0010-0000-F400-000005000000}" name="PRECIO UNITARIO ESTIMADO"/>
    <tableColumn id="6" xr3:uid="{00000000-0010-0000-F400-000006000000}" name="MONTO TOTAL ESTIMADO"/>
  </tableColumns>
  <tableStyleInfo showFirstColumn="0" showLastColumn="0" showRowStripes="1" showColumnStripes="0"/>
</table>
</file>

<file path=xl/tables/table2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00000000-000C-0000-FFFF-FFFFF5000000}" name="Table132" displayName="Table132" ref="A2653:F2665" totalsRowShown="0">
  <tableColumns count="6">
    <tableColumn id="1" xr3:uid="{00000000-0010-0000-F500-000001000000}" name="CÓDIGO CATÁLOGO"/>
    <tableColumn id="2" xr3:uid="{00000000-0010-0000-F500-000002000000}" name="ARTÍCULO"/>
    <tableColumn id="3" xr3:uid="{00000000-0010-0000-F500-000003000000}" name="UNIDAD DE MEDIDA"/>
    <tableColumn id="4" xr3:uid="{00000000-0010-0000-F500-000004000000}" name="CANTIDAD TOTAL ESTIMADA"/>
    <tableColumn id="5" xr3:uid="{00000000-0010-0000-F500-000005000000}" name="PRECIO UNITARIO ESTIMADO"/>
    <tableColumn id="6" xr3:uid="{00000000-0010-0000-F500-000006000000}" name="MONTO TOTAL ESTIMADO"/>
  </tableColumns>
  <tableStyleInfo showFirstColumn="0" showLastColumn="0" showRowStripes="1" showColumnStripes="0"/>
</table>
</file>

<file path=xl/tables/table2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0000000-000C-0000-FFFF-FFFFF6000000}" name="Table129" displayName="Table129" ref="A2321:F2328" totalsRowShown="0">
  <tableColumns count="6">
    <tableColumn id="1" xr3:uid="{00000000-0010-0000-F600-000001000000}" name="CÓDIGO CATÁLOGO"/>
    <tableColumn id="2" xr3:uid="{00000000-0010-0000-F600-000002000000}" name="ARTÍCULO"/>
    <tableColumn id="3" xr3:uid="{00000000-0010-0000-F600-000003000000}" name="UNIDAD DE MEDIDA"/>
    <tableColumn id="4" xr3:uid="{00000000-0010-0000-F600-000004000000}" name="CANTIDAD TOTAL ESTIMADA"/>
    <tableColumn id="5" xr3:uid="{00000000-0010-0000-F600-000005000000}" name="PRECIO UNITARIO ESTIMADO"/>
    <tableColumn id="6" xr3:uid="{00000000-0010-0000-F600-000006000000}" name="MONTO TOTAL ESTIMADO"/>
  </tableColumns>
  <tableStyleInfo showFirstColumn="0" showLastColumn="0" showRowStripes="1" showColumnStripes="0"/>
</table>
</file>

<file path=xl/tables/table2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F7000000}" name="Table27" displayName="Table27" ref="A460:F461" totalsRowShown="0">
  <tableColumns count="6">
    <tableColumn id="1" xr3:uid="{00000000-0010-0000-F700-000001000000}" name="CÓDIGO CATÁLOGO"/>
    <tableColumn id="2" xr3:uid="{00000000-0010-0000-F700-000002000000}" name="ARTÍCULO"/>
    <tableColumn id="3" xr3:uid="{00000000-0010-0000-F700-000003000000}" name="UNIDAD DE MEDIDA"/>
    <tableColumn id="4" xr3:uid="{00000000-0010-0000-F700-000004000000}" name="CANTIDAD TOTAL ESTIMADA"/>
    <tableColumn id="5" xr3:uid="{00000000-0010-0000-F700-000005000000}" name="PRECIO UNITARIO ESTIMADO"/>
    <tableColumn id="6" xr3:uid="{00000000-0010-0000-F700-000006000000}" name="MONTO TOTAL ESTIMADO"/>
  </tableColumns>
  <tableStyleInfo showFirstColumn="0" showLastColumn="0" showRowStripes="1" showColumnStripes="0"/>
</table>
</file>

<file path=xl/tables/table2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F8000000}" name="Table243" displayName="Table243" ref="A4512:F4513" totalsRowShown="0">
  <tableColumns count="6">
    <tableColumn id="1" xr3:uid="{00000000-0010-0000-F800-000001000000}" name="CÓDIGO CATÁLOGO"/>
    <tableColumn id="2" xr3:uid="{00000000-0010-0000-F800-000002000000}" name="ARTÍCULO"/>
    <tableColumn id="3" xr3:uid="{00000000-0010-0000-F800-000003000000}" name="UNIDAD DE MEDIDA"/>
    <tableColumn id="4" xr3:uid="{00000000-0010-0000-F800-000004000000}" name="CANTIDAD TOTAL ESTIMADA"/>
    <tableColumn id="5" xr3:uid="{00000000-0010-0000-F800-000005000000}" name="PRECIO UNITARIO ESTIMADO"/>
    <tableColumn id="6" xr3:uid="{00000000-0010-0000-F800-000006000000}" name="MONTO TOTAL ESTIMADO"/>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18000000}" name="Table209" displayName="Table209" ref="A3941:F3944" totalsRowShown="0">
  <tableColumns count="6">
    <tableColumn id="1" xr3:uid="{00000000-0010-0000-1800-000001000000}" name="CÓDIGO CATÁLOGO"/>
    <tableColumn id="2" xr3:uid="{00000000-0010-0000-1800-000002000000}" name="ARTÍCULO"/>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tableColumns>
  <tableStyleInfo showFirstColumn="0" showLastColumn="0" showRowStripes="1" showColumnStripes="0"/>
</table>
</file>

<file path=xl/tables/table2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F9000000}" name="Table203" displayName="Table203" ref="A3821:F3823" totalsRowShown="0">
  <tableColumns count="6">
    <tableColumn id="1" xr3:uid="{00000000-0010-0000-F900-000001000000}" name="CÓDIGO CATÁLOGO"/>
    <tableColumn id="2" xr3:uid="{00000000-0010-0000-F900-000002000000}" name="ARTÍCULO"/>
    <tableColumn id="3" xr3:uid="{00000000-0010-0000-F900-000003000000}" name="UNIDAD DE MEDIDA"/>
    <tableColumn id="4" xr3:uid="{00000000-0010-0000-F900-000004000000}" name="CANTIDAD TOTAL ESTIMADA"/>
    <tableColumn id="5" xr3:uid="{00000000-0010-0000-F900-000005000000}" name="PRECIO UNITARIO ESTIMADO"/>
    <tableColumn id="6" xr3:uid="{00000000-0010-0000-F900-000006000000}" name="MONTO TOTAL ESTIMADO"/>
  </tableColumns>
  <tableStyleInfo showFirstColumn="0" showLastColumn="0" showRowStripes="1" showColumnStripes="0"/>
</table>
</file>

<file path=xl/tables/table2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1" xr:uid="{00000000-000C-0000-FFFF-FFFFFA000000}" name="Table291" displayName="Table291" ref="A5171:F5172" totalsRowShown="0">
  <tableColumns count="6">
    <tableColumn id="1" xr3:uid="{00000000-0010-0000-FA00-000001000000}" name="CÓDIGO CATÁLOGO"/>
    <tableColumn id="2" xr3:uid="{00000000-0010-0000-FA00-000002000000}" name="ARTÍCULO"/>
    <tableColumn id="3" xr3:uid="{00000000-0010-0000-FA00-000003000000}" name="UNIDAD DE MEDIDA"/>
    <tableColumn id="4" xr3:uid="{00000000-0010-0000-FA00-000004000000}" name="CANTIDAD TOTAL ESTIMADA"/>
    <tableColumn id="5" xr3:uid="{00000000-0010-0000-FA00-000005000000}" name="PRECIO UNITARIO ESTIMADO"/>
    <tableColumn id="6" xr3:uid="{00000000-0010-0000-FA00-000006000000}" name="MONTO TOTAL ESTIMADO"/>
  </tableColumns>
  <tableStyleInfo showFirstColumn="0" showLastColumn="0" showRowStripes="1" showColumnStripes="0"/>
</table>
</file>

<file path=xl/tables/table2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FB000000}" name="Table77" displayName="Table77" ref="A1269:F1270" totalsRowShown="0">
  <tableColumns count="6">
    <tableColumn id="1" xr3:uid="{00000000-0010-0000-FB00-000001000000}" name="CÓDIGO CATÁLOGO"/>
    <tableColumn id="2" xr3:uid="{00000000-0010-0000-FB00-000002000000}" name="ARTÍCULO"/>
    <tableColumn id="3" xr3:uid="{00000000-0010-0000-FB00-000003000000}" name="UNIDAD DE MEDIDA"/>
    <tableColumn id="4" xr3:uid="{00000000-0010-0000-FB00-000004000000}" name="CANTIDAD TOTAL ESTIMADA"/>
    <tableColumn id="5" xr3:uid="{00000000-0010-0000-FB00-000005000000}" name="PRECIO UNITARIO ESTIMADO"/>
    <tableColumn id="6" xr3:uid="{00000000-0010-0000-FB00-000006000000}" name="MONTO TOTAL ESTIMADO"/>
  </tableColumns>
  <tableStyleInfo showFirstColumn="0" showLastColumn="0" showRowStripes="1" showColumnStripes="0"/>
</table>
</file>

<file path=xl/tables/table2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FC000000}" name="Table191" displayName="Table191" ref="A3648:F3649" totalsRowShown="0">
  <tableColumns count="6">
    <tableColumn id="1" xr3:uid="{00000000-0010-0000-FC00-000001000000}" name="CÓDIGO CATÁLOGO"/>
    <tableColumn id="2" xr3:uid="{00000000-0010-0000-FC00-000002000000}" name="ARTÍCULO"/>
    <tableColumn id="3" xr3:uid="{00000000-0010-0000-FC00-000003000000}" name="UNIDAD DE MEDIDA"/>
    <tableColumn id="4" xr3:uid="{00000000-0010-0000-FC00-000004000000}" name="CANTIDAD TOTAL ESTIMADA"/>
    <tableColumn id="5" xr3:uid="{00000000-0010-0000-FC00-000005000000}" name="PRECIO UNITARIO ESTIMADO"/>
    <tableColumn id="6" xr3:uid="{00000000-0010-0000-FC00-000006000000}" name="MONTO TOTAL ESTIMADO"/>
  </tableColumns>
  <tableStyleInfo showFirstColumn="0" showLastColumn="0" showRowStripes="1" showColumnStripes="0"/>
</table>
</file>

<file path=xl/tables/table2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FD000000}" name="Table93" displayName="Table93" ref="A1504:F1567" totalsRowShown="0">
  <tableColumns count="6">
    <tableColumn id="1" xr3:uid="{00000000-0010-0000-FD00-000001000000}" name="CÓDIGO CATÁLOGO"/>
    <tableColumn id="2" xr3:uid="{00000000-0010-0000-FD00-000002000000}" name="ARTÍCULO"/>
    <tableColumn id="3" xr3:uid="{00000000-0010-0000-FD00-000003000000}" name="UNIDAD DE MEDIDA"/>
    <tableColumn id="4" xr3:uid="{00000000-0010-0000-FD00-000004000000}" name="CANTIDAD TOTAL ESTIMADA"/>
    <tableColumn id="5" xr3:uid="{00000000-0010-0000-FD00-000005000000}" name="PRECIO UNITARIO ESTIMADO"/>
    <tableColumn id="6" xr3:uid="{00000000-0010-0000-FD00-000006000000}" name="MONTO TOTAL ESTIMADO"/>
  </tableColumns>
  <tableStyleInfo showFirstColumn="0" showLastColumn="0" showRowStripes="1" showColumnStripes="0"/>
</table>
</file>

<file path=xl/tables/table2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8" xr:uid="{00000000-000C-0000-FFFF-FFFFFE000000}" name="Table168" displayName="Table168" ref="A3296:F3371" totalsRowShown="0">
  <tableColumns count="6">
    <tableColumn id="1" xr3:uid="{00000000-0010-0000-FE00-000001000000}" name="CÓDIGO CATÁLOGO"/>
    <tableColumn id="2" xr3:uid="{00000000-0010-0000-FE00-000002000000}" name="ARTÍCULO"/>
    <tableColumn id="3" xr3:uid="{00000000-0010-0000-FE00-000003000000}" name="UNIDAD DE MEDIDA"/>
    <tableColumn id="4" xr3:uid="{00000000-0010-0000-FE00-000004000000}" name="CANTIDAD TOTAL ESTIMADA"/>
    <tableColumn id="5" xr3:uid="{00000000-0010-0000-FE00-000005000000}" name="PRECIO UNITARIO ESTIMADO"/>
    <tableColumn id="6" xr3:uid="{00000000-0010-0000-FE00-000006000000}" name="MONTO TOTAL ESTIMADO"/>
  </tableColumns>
  <tableStyleInfo showFirstColumn="0" showLastColumn="0" showRowStripes="1" showColumnStripes="0"/>
</table>
</file>

<file path=xl/tables/table2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FF000000}" name="Table117" displayName="Table117" ref="A2150:F2153" totalsRowShown="0">
  <tableColumns count="6">
    <tableColumn id="1" xr3:uid="{00000000-0010-0000-FF00-000001000000}" name="CÓDIGO CATÁLOGO"/>
    <tableColumn id="2" xr3:uid="{00000000-0010-0000-FF00-000002000000}" name="ARTÍCULO"/>
    <tableColumn id="3" xr3:uid="{00000000-0010-0000-FF00-000003000000}" name="UNIDAD DE MEDIDA"/>
    <tableColumn id="4" xr3:uid="{00000000-0010-0000-FF00-000004000000}" name="CANTIDAD TOTAL ESTIMADA"/>
    <tableColumn id="5" xr3:uid="{00000000-0010-0000-FF00-000005000000}" name="PRECIO UNITARIO ESTIMADO"/>
    <tableColumn id="6" xr3:uid="{00000000-0010-0000-FF00-000006000000}" name="MONTO TOTAL ESTIMADO"/>
  </tableColumns>
  <tableStyleInfo showFirstColumn="0" showLastColumn="0" showRowStripes="1" showColumnStripes="0"/>
</table>
</file>

<file path=xl/tables/table2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00010000}" name="Table84" displayName="Table84" ref="A1371:F1376" totalsRowShown="0">
  <tableColumns count="6">
    <tableColumn id="1" xr3:uid="{00000000-0010-0000-0001-000001000000}" name="CÓDIGO CATÁLOGO"/>
    <tableColumn id="2" xr3:uid="{00000000-0010-0000-0001-000002000000}" name="ARTÍCULO"/>
    <tableColumn id="3" xr3:uid="{00000000-0010-0000-0001-000003000000}" name="UNIDAD DE MEDIDA"/>
    <tableColumn id="4" xr3:uid="{00000000-0010-0000-0001-000004000000}" name="CANTIDAD TOTAL ESTIMADA"/>
    <tableColumn id="5" xr3:uid="{00000000-0010-0000-0001-000005000000}" name="PRECIO UNITARIO ESTIMADO"/>
    <tableColumn id="6" xr3:uid="{00000000-0010-0000-0001-000006000000}" name="MONTO TOTAL ESTIMADO"/>
  </tableColumns>
  <tableStyleInfo showFirstColumn="0" showLastColumn="0" showRowStripes="1" showColumnStripes="0"/>
</table>
</file>

<file path=xl/tables/table2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01010000}" name="Table95" displayName="Table95" ref="A1639:F1687" totalsRowShown="0">
  <tableColumns count="6">
    <tableColumn id="1" xr3:uid="{00000000-0010-0000-0101-000001000000}" name="CÓDIGO CATÁLOGO"/>
    <tableColumn id="2" xr3:uid="{00000000-0010-0000-0101-000002000000}" name="ARTÍCULO"/>
    <tableColumn id="3" xr3:uid="{00000000-0010-0000-0101-000003000000}" name="UNIDAD DE MEDIDA"/>
    <tableColumn id="4" xr3:uid="{00000000-0010-0000-0101-000004000000}" name="CANTIDAD TOTAL ESTIMADA"/>
    <tableColumn id="5" xr3:uid="{00000000-0010-0000-0101-000005000000}" name="PRECIO UNITARIO ESTIMADO"/>
    <tableColumn id="6" xr3:uid="{00000000-0010-0000-0101-000006000000}" name="MONTO TOTAL ESTIMADO"/>
  </tableColumns>
  <tableStyleInfo showFirstColumn="0" showLastColumn="0" showRowStripes="1" showColumnStripes="0"/>
</table>
</file>

<file path=xl/tables/table2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02010000}" name="Table60" displayName="Table60" ref="A925:F928" totalsRowShown="0">
  <tableColumns count="6">
    <tableColumn id="1" xr3:uid="{00000000-0010-0000-0201-000001000000}" name="CÓDIGO CATÁLOGO"/>
    <tableColumn id="2" xr3:uid="{00000000-0010-0000-0201-000002000000}" name="ARTÍCULO"/>
    <tableColumn id="3" xr3:uid="{00000000-0010-0000-0201-000003000000}" name="UNIDAD DE MEDIDA"/>
    <tableColumn id="4" xr3:uid="{00000000-0010-0000-0201-000004000000}" name="CANTIDAD TOTAL ESTIMADA"/>
    <tableColumn id="5" xr3:uid="{00000000-0010-0000-0201-000005000000}" name="PRECIO UNITARIO ESTIMADO"/>
    <tableColumn id="6" xr3:uid="{00000000-0010-0000-0201-000006000000}" name="MONTO TOTAL ESTIMADO"/>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6" xr:uid="{00000000-000C-0000-FFFF-FFFF19000000}" name="Table306" displayName="Table306" ref="A5423:F5425" totalsRowShown="0">
  <tableColumns count="6">
    <tableColumn id="1" xr3:uid="{00000000-0010-0000-1900-000001000000}" name="CÓDIGO CATÁLOGO"/>
    <tableColumn id="2" xr3:uid="{00000000-0010-0000-1900-000002000000}" name="ARTÍCULO"/>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tableColumns>
  <tableStyleInfo showFirstColumn="0" showLastColumn="0" showRowStripes="1" showColumnStripes="0"/>
</table>
</file>

<file path=xl/tables/table2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03010000}" name="Table105" displayName="Table105" ref="A1932:F1952" totalsRowShown="0">
  <tableColumns count="6">
    <tableColumn id="1" xr3:uid="{00000000-0010-0000-0301-000001000000}" name="CÓDIGO CATÁLOGO"/>
    <tableColumn id="2" xr3:uid="{00000000-0010-0000-0301-000002000000}" name="ARTÍCULO"/>
    <tableColumn id="3" xr3:uid="{00000000-0010-0000-0301-000003000000}" name="UNIDAD DE MEDIDA"/>
    <tableColumn id="4" xr3:uid="{00000000-0010-0000-0301-000004000000}" name="CANTIDAD TOTAL ESTIMADA"/>
    <tableColumn id="5" xr3:uid="{00000000-0010-0000-0301-000005000000}" name="PRECIO UNITARIO ESTIMADO"/>
    <tableColumn id="6" xr3:uid="{00000000-0010-0000-0301-000006000000}" name="MONTO TOTAL ESTIMADO"/>
  </tableColumns>
  <tableStyleInfo showFirstColumn="0" showLastColumn="0" showRowStripes="1" showColumnStripes="0"/>
</table>
</file>

<file path=xl/tables/table2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7" xr:uid="{00000000-000C-0000-FFFF-FFFF04010000}" name="Table297" displayName="Table297" ref="A5240:F5242" totalsRowShown="0">
  <tableColumns count="6">
    <tableColumn id="1" xr3:uid="{00000000-0010-0000-0401-000001000000}" name="CÓDIGO CATÁLOGO"/>
    <tableColumn id="2" xr3:uid="{00000000-0010-0000-0401-000002000000}" name="ARTÍCULO"/>
    <tableColumn id="3" xr3:uid="{00000000-0010-0000-0401-000003000000}" name="UNIDAD DE MEDIDA"/>
    <tableColumn id="4" xr3:uid="{00000000-0010-0000-0401-000004000000}" name="CANTIDAD TOTAL ESTIMADA"/>
    <tableColumn id="5" xr3:uid="{00000000-0010-0000-0401-000005000000}" name="PRECIO UNITARIO ESTIMADO"/>
    <tableColumn id="6" xr3:uid="{00000000-0010-0000-0401-000006000000}" name="MONTO TOTAL ESTIMADO"/>
  </tableColumns>
  <tableStyleInfo showFirstColumn="0" showLastColumn="0" showRowStripes="1" showColumnStripes="0"/>
</table>
</file>

<file path=xl/tables/table2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05010000}" name="Table82" displayName="Table82" ref="A1337:F1348" totalsRowShown="0">
  <tableColumns count="6">
    <tableColumn id="1" xr3:uid="{00000000-0010-0000-0501-000001000000}" name="CÓDIGO CATÁLOGO"/>
    <tableColumn id="2" xr3:uid="{00000000-0010-0000-0501-000002000000}" name="ARTÍCULO"/>
    <tableColumn id="3" xr3:uid="{00000000-0010-0000-0501-000003000000}" name="UNIDAD DE MEDIDA"/>
    <tableColumn id="4" xr3:uid="{00000000-0010-0000-0501-000004000000}" name="CANTIDAD TOTAL ESTIMADA"/>
    <tableColumn id="5" xr3:uid="{00000000-0010-0000-0501-000005000000}" name="PRECIO UNITARIO ESTIMADO"/>
    <tableColumn id="6" xr3:uid="{00000000-0010-0000-0501-000006000000}" name="MONTO TOTAL ESTIMADO"/>
  </tableColumns>
  <tableStyleInfo showFirstColumn="0" showLastColumn="0" showRowStripes="1" showColumnStripes="0"/>
</table>
</file>

<file path=xl/tables/table2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2" xr:uid="{00000000-000C-0000-FFFF-FFFF06010000}" name="Table222" displayName="Table222" ref="A4246:F4247" totalsRowShown="0">
  <tableColumns count="6">
    <tableColumn id="1" xr3:uid="{00000000-0010-0000-0601-000001000000}" name="CÓDIGO CATÁLOGO"/>
    <tableColumn id="2" xr3:uid="{00000000-0010-0000-0601-000002000000}" name="ARTÍCULO"/>
    <tableColumn id="3" xr3:uid="{00000000-0010-0000-0601-000003000000}" name="UNIDAD DE MEDIDA"/>
    <tableColumn id="4" xr3:uid="{00000000-0010-0000-0601-000004000000}" name="CANTIDAD TOTAL ESTIMADA"/>
    <tableColumn id="5" xr3:uid="{00000000-0010-0000-0601-000005000000}" name="PRECIO UNITARIO ESTIMADO"/>
    <tableColumn id="6" xr3:uid="{00000000-0010-0000-0601-000006000000}" name="MONTO TOTAL ESTIMADO"/>
  </tableColumns>
  <tableStyleInfo showFirstColumn="0" showLastColumn="0" showRowStripes="1" showColumnStripes="0"/>
</table>
</file>

<file path=xl/tables/table2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2" xr:uid="{00000000-000C-0000-FFFF-FFFF07010000}" name="Table142" displayName="Table142" ref="A2992:F2993" totalsRowShown="0">
  <tableColumns count="6">
    <tableColumn id="1" xr3:uid="{00000000-0010-0000-0701-000001000000}" name="CÓDIGO CATÁLOGO"/>
    <tableColumn id="2" xr3:uid="{00000000-0010-0000-0701-000002000000}" name="ARTÍCULO"/>
    <tableColumn id="3" xr3:uid="{00000000-0010-0000-0701-000003000000}" name="UNIDAD DE MEDIDA"/>
    <tableColumn id="4" xr3:uid="{00000000-0010-0000-0701-000004000000}" name="CANTIDAD TOTAL ESTIMADA"/>
    <tableColumn id="5" xr3:uid="{00000000-0010-0000-0701-000005000000}" name="PRECIO UNITARIO ESTIMADO"/>
    <tableColumn id="6" xr3:uid="{00000000-0010-0000-0701-000006000000}" name="MONTO TOTAL ESTIMADO"/>
  </tableColumns>
  <tableStyleInfo showFirstColumn="0" showLastColumn="0" showRowStripes="1" showColumnStripes="0"/>
</table>
</file>

<file path=xl/tables/table2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4" xr:uid="{00000000-000C-0000-FFFF-FFFF08010000}" name="Table264" displayName="Table264" ref="A4771:F4784" totalsRowShown="0">
  <tableColumns count="6">
    <tableColumn id="1" xr3:uid="{00000000-0010-0000-0801-000001000000}" name="CÓDIGO CATÁLOGO"/>
    <tableColumn id="2" xr3:uid="{00000000-0010-0000-0801-000002000000}" name="ARTÍCULO"/>
    <tableColumn id="3" xr3:uid="{00000000-0010-0000-0801-000003000000}" name="UNIDAD DE MEDIDA"/>
    <tableColumn id="4" xr3:uid="{00000000-0010-0000-0801-000004000000}" name="CANTIDAD TOTAL ESTIMADA"/>
    <tableColumn id="5" xr3:uid="{00000000-0010-0000-0801-000005000000}" name="PRECIO UNITARIO ESTIMADO"/>
    <tableColumn id="6" xr3:uid="{00000000-0010-0000-0801-000006000000}" name="MONTO TOTAL ESTIMADO"/>
  </tableColumns>
  <tableStyleInfo showFirstColumn="0" showLastColumn="0" showRowStripes="1" showColumnStripes="0"/>
</table>
</file>

<file path=xl/tables/table2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9" xr:uid="{00000000-000C-0000-FFFF-FFFF09010000}" name="Table259" displayName="Table259" ref="A4710:F4712" totalsRowShown="0">
  <tableColumns count="6">
    <tableColumn id="1" xr3:uid="{00000000-0010-0000-0901-000001000000}" name="CÓDIGO CATÁLOGO"/>
    <tableColumn id="2" xr3:uid="{00000000-0010-0000-0901-000002000000}" name="ARTÍCULO"/>
    <tableColumn id="3" xr3:uid="{00000000-0010-0000-0901-000003000000}" name="UNIDAD DE MEDIDA"/>
    <tableColumn id="4" xr3:uid="{00000000-0010-0000-0901-000004000000}" name="CANTIDAD TOTAL ESTIMADA"/>
    <tableColumn id="5" xr3:uid="{00000000-0010-0000-0901-000005000000}" name="PRECIO UNITARIO ESTIMADO"/>
    <tableColumn id="6" xr3:uid="{00000000-0010-0000-0901-000006000000}" name="MONTO TOTAL ESTIMADO"/>
  </tableColumns>
  <tableStyleInfo showFirstColumn="0" showLastColumn="0" showRowStripes="1" showColumnStripes="0"/>
</table>
</file>

<file path=xl/tables/table2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9" xr:uid="{00000000-000C-0000-FFFF-FFFF0A010000}" name="Table169" displayName="Table169" ref="A3381:F3392" totalsRowShown="0">
  <tableColumns count="6">
    <tableColumn id="1" xr3:uid="{00000000-0010-0000-0A01-000001000000}" name="CÓDIGO CATÁLOGO"/>
    <tableColumn id="2" xr3:uid="{00000000-0010-0000-0A01-000002000000}" name="ARTÍCULO"/>
    <tableColumn id="3" xr3:uid="{00000000-0010-0000-0A01-000003000000}" name="UNIDAD DE MEDIDA"/>
    <tableColumn id="4" xr3:uid="{00000000-0010-0000-0A01-000004000000}" name="CANTIDAD TOTAL ESTIMADA"/>
    <tableColumn id="5" xr3:uid="{00000000-0010-0000-0A01-000005000000}" name="PRECIO UNITARIO ESTIMADO"/>
    <tableColumn id="6" xr3:uid="{00000000-0010-0000-0A01-000006000000}" name="MONTO TOTAL ESTIMADO"/>
  </tableColumns>
  <tableStyleInfo showFirstColumn="0" showLastColumn="0" showRowStripes="1" showColumnStripes="0"/>
</table>
</file>

<file path=xl/tables/table2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0B010000}" name="Table206" displayName="Table206" ref="A3869:F3890" totalsRowShown="0">
  <tableColumns count="6">
    <tableColumn id="1" xr3:uid="{00000000-0010-0000-0B01-000001000000}" name="CÓDIGO CATÁLOGO"/>
    <tableColumn id="2" xr3:uid="{00000000-0010-0000-0B01-000002000000}" name="ARTÍCULO"/>
    <tableColumn id="3" xr3:uid="{00000000-0010-0000-0B01-000003000000}" name="UNIDAD DE MEDIDA"/>
    <tableColumn id="4" xr3:uid="{00000000-0010-0000-0B01-000004000000}" name="CANTIDAD TOTAL ESTIMADA"/>
    <tableColumn id="5" xr3:uid="{00000000-0010-0000-0B01-000005000000}" name="PRECIO UNITARIO ESTIMADO"/>
    <tableColumn id="6" xr3:uid="{00000000-0010-0000-0B01-000006000000}" name="MONTO TOTAL ESTIMADO"/>
  </tableColumns>
  <tableStyleInfo showFirstColumn="0" showLastColumn="0" showRowStripes="1" showColumnStripes="0"/>
</table>
</file>

<file path=xl/tables/table2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0" xr:uid="{00000000-000C-0000-FFFF-FFFF0C010000}" name="Table320" displayName="Table320" ref="A5645:F5646" totalsRowShown="0">
  <tableColumns count="6">
    <tableColumn id="1" xr3:uid="{00000000-0010-0000-0C01-000001000000}" name="CÓDIGO CATÁLOGO"/>
    <tableColumn id="2" xr3:uid="{00000000-0010-0000-0C01-000002000000}" name="ARTÍCULO"/>
    <tableColumn id="3" xr3:uid="{00000000-0010-0000-0C01-000003000000}" name="UNIDAD DE MEDIDA"/>
    <tableColumn id="4" xr3:uid="{00000000-0010-0000-0C01-000004000000}" name="CANTIDAD TOTAL ESTIMADA"/>
    <tableColumn id="5" xr3:uid="{00000000-0010-0000-0C01-000005000000}" name="PRECIO UNITARIO ESTIMADO"/>
    <tableColumn id="6" xr3:uid="{00000000-0010-0000-0C01-000006000000}" name="MONTO TOTAL ESTIMADO"/>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1A000000}" name="Table83" displayName="Table83" ref="A1358:F1361" totalsRowShown="0">
  <tableColumns count="6">
    <tableColumn id="1" xr3:uid="{00000000-0010-0000-1A00-000001000000}" name="CÓDIGO CATÁLOGO"/>
    <tableColumn id="2" xr3:uid="{00000000-0010-0000-1A00-000002000000}" name="ARTÍCULO"/>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tableColumns>
  <tableStyleInfo showFirstColumn="0" showLastColumn="0" showRowStripes="1" showColumnStripes="0"/>
</table>
</file>

<file path=xl/tables/table2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2" xr:uid="{00000000-000C-0000-FFFF-FFFF0D010000}" name="Table282" displayName="Table282" ref="A5058:F5060" totalsRowShown="0">
  <tableColumns count="6">
    <tableColumn id="1" xr3:uid="{00000000-0010-0000-0D01-000001000000}" name="CÓDIGO CATÁLOGO"/>
    <tableColumn id="2" xr3:uid="{00000000-0010-0000-0D01-000002000000}" name="ARTÍCULO"/>
    <tableColumn id="3" xr3:uid="{00000000-0010-0000-0D01-000003000000}" name="UNIDAD DE MEDIDA"/>
    <tableColumn id="4" xr3:uid="{00000000-0010-0000-0D01-000004000000}" name="CANTIDAD TOTAL ESTIMADA"/>
    <tableColumn id="5" xr3:uid="{00000000-0010-0000-0D01-000005000000}" name="PRECIO UNITARIO ESTIMADO"/>
    <tableColumn id="6" xr3:uid="{00000000-0010-0000-0D01-000006000000}" name="MONTO TOTAL ESTIMADO"/>
  </tableColumns>
  <tableStyleInfo showFirstColumn="0" showLastColumn="0" showRowStripes="1" showColumnStripes="0"/>
</table>
</file>

<file path=xl/tables/table2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0E010000}" name="Table22" displayName="Table22" ref="A397:F398" totalsRowShown="0">
  <tableColumns count="6">
    <tableColumn id="1" xr3:uid="{00000000-0010-0000-0E01-000001000000}" name="CÓDIGO CATÁLOGO"/>
    <tableColumn id="2" xr3:uid="{00000000-0010-0000-0E01-000002000000}" name="ARTÍCULO"/>
    <tableColumn id="3" xr3:uid="{00000000-0010-0000-0E01-000003000000}" name="UNIDAD DE MEDIDA"/>
    <tableColumn id="4" xr3:uid="{00000000-0010-0000-0E01-000004000000}" name="CANTIDAD TOTAL ESTIMADA"/>
    <tableColumn id="5" xr3:uid="{00000000-0010-0000-0E01-000005000000}" name="PRECIO UNITARIO ESTIMADO"/>
    <tableColumn id="6" xr3:uid="{00000000-0010-0000-0E01-000006000000}" name="MONTO TOTAL ESTIMADO"/>
  </tableColumns>
  <tableStyleInfo showFirstColumn="0" showLastColumn="0" showRowStripes="1" showColumnStripes="0"/>
</table>
</file>

<file path=xl/tables/table2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0F010000}" name="Table45" displayName="Table45" ref="A733:F734" totalsRowShown="0">
  <tableColumns count="6">
    <tableColumn id="1" xr3:uid="{00000000-0010-0000-0F01-000001000000}" name="CÓDIGO CATÁLOGO"/>
    <tableColumn id="2" xr3:uid="{00000000-0010-0000-0F01-000002000000}" name="ARTÍCULO"/>
    <tableColumn id="3" xr3:uid="{00000000-0010-0000-0F01-000003000000}" name="UNIDAD DE MEDIDA"/>
    <tableColumn id="4" xr3:uid="{00000000-0010-0000-0F01-000004000000}" name="CANTIDAD TOTAL ESTIMADA"/>
    <tableColumn id="5" xr3:uid="{00000000-0010-0000-0F01-000005000000}" name="PRECIO UNITARIO ESTIMADO"/>
    <tableColumn id="6" xr3:uid="{00000000-0010-0000-0F01-000006000000}" name="MONTO TOTAL ESTIMADO"/>
  </tableColumns>
  <tableStyleInfo showFirstColumn="0" showLastColumn="0" showRowStripes="1" showColumnStripes="0"/>
</table>
</file>

<file path=xl/tables/table2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00000000-000C-0000-FFFF-FFFF10010000}" name="Table255" displayName="Table255" ref="A4665:F4666" totalsRowShown="0">
  <tableColumns count="6">
    <tableColumn id="1" xr3:uid="{00000000-0010-0000-1001-000001000000}" name="CÓDIGO CATÁLOGO"/>
    <tableColumn id="2" xr3:uid="{00000000-0010-0000-1001-000002000000}" name="ARTÍCULO"/>
    <tableColumn id="3" xr3:uid="{00000000-0010-0000-1001-000003000000}" name="UNIDAD DE MEDIDA"/>
    <tableColumn id="4" xr3:uid="{00000000-0010-0000-1001-000004000000}" name="CANTIDAD TOTAL ESTIMADA"/>
    <tableColumn id="5" xr3:uid="{00000000-0010-0000-1001-000005000000}" name="PRECIO UNITARIO ESTIMADO"/>
    <tableColumn id="6" xr3:uid="{00000000-0010-0000-1001-000006000000}" name="MONTO TOTAL ESTIMADO"/>
  </tableColumns>
  <tableStyleInfo showFirstColumn="0" showLastColumn="0" showRowStripes="1" showColumnStripes="0"/>
</table>
</file>

<file path=xl/tables/table2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4" xr:uid="{00000000-000C-0000-FFFF-FFFF11010000}" name="Table144" displayName="Table144" ref="A3014:F3015" totalsRowShown="0">
  <tableColumns count="6">
    <tableColumn id="1" xr3:uid="{00000000-0010-0000-1101-000001000000}" name="CÓDIGO CATÁLOGO"/>
    <tableColumn id="2" xr3:uid="{00000000-0010-0000-1101-000002000000}" name="ARTÍCULO"/>
    <tableColumn id="3" xr3:uid="{00000000-0010-0000-1101-000003000000}" name="UNIDAD DE MEDIDA"/>
    <tableColumn id="4" xr3:uid="{00000000-0010-0000-1101-000004000000}" name="CANTIDAD TOTAL ESTIMADA"/>
    <tableColumn id="5" xr3:uid="{00000000-0010-0000-1101-000005000000}" name="PRECIO UNITARIO ESTIMADO"/>
    <tableColumn id="6" xr3:uid="{00000000-0010-0000-1101-000006000000}" name="MONTO TOTAL ESTIMADO"/>
  </tableColumns>
  <tableStyleInfo showFirstColumn="0" showLastColumn="0" showRowStripes="1" showColumnStripes="0"/>
</table>
</file>

<file path=xl/tables/table2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3" xr:uid="{00000000-000C-0000-FFFF-FFFF12010000}" name="Table233" displayName="Table233" ref="A4392:F4393" totalsRowShown="0">
  <tableColumns count="6">
    <tableColumn id="1" xr3:uid="{00000000-0010-0000-1201-000001000000}" name="CÓDIGO CATÁLOGO"/>
    <tableColumn id="2" xr3:uid="{00000000-0010-0000-1201-000002000000}" name="ARTÍCULO"/>
    <tableColumn id="3" xr3:uid="{00000000-0010-0000-1201-000003000000}" name="UNIDAD DE MEDIDA"/>
    <tableColumn id="4" xr3:uid="{00000000-0010-0000-1201-000004000000}" name="CANTIDAD TOTAL ESTIMADA"/>
    <tableColumn id="5" xr3:uid="{00000000-0010-0000-1201-000005000000}" name="PRECIO UNITARIO ESTIMADO"/>
    <tableColumn id="6" xr3:uid="{00000000-0010-0000-1201-000006000000}" name="MONTO TOTAL ESTIMADO"/>
  </tableColumns>
  <tableStyleInfo showFirstColumn="0" showLastColumn="0" showRowStripes="1" showColumnStripes="0"/>
</table>
</file>

<file path=xl/tables/table2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7" xr:uid="{00000000-000C-0000-FFFF-FFFF13010000}" name="Table307" displayName="Table307" ref="A5435:F5438" totalsRowShown="0">
  <tableColumns count="6">
    <tableColumn id="1" xr3:uid="{00000000-0010-0000-1301-000001000000}" name="CÓDIGO CATÁLOGO"/>
    <tableColumn id="2" xr3:uid="{00000000-0010-0000-1301-000002000000}" name="ARTÍCULO"/>
    <tableColumn id="3" xr3:uid="{00000000-0010-0000-1301-000003000000}" name="UNIDAD DE MEDIDA"/>
    <tableColumn id="4" xr3:uid="{00000000-0010-0000-1301-000004000000}" name="CANTIDAD TOTAL ESTIMADA"/>
    <tableColumn id="5" xr3:uid="{00000000-0010-0000-1301-000005000000}" name="PRECIO UNITARIO ESTIMADO"/>
    <tableColumn id="6" xr3:uid="{00000000-0010-0000-1301-000006000000}" name="MONTO TOTAL ESTIMADO"/>
  </tableColumns>
  <tableStyleInfo showFirstColumn="0" showLastColumn="0" showRowStripes="1" showColumnStripes="0"/>
</table>
</file>

<file path=xl/tables/table2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2" xr:uid="{00000000-000C-0000-FFFF-FFFF14010000}" name="Table312" displayName="Table312" ref="A5544:F5550" totalsRowShown="0">
  <tableColumns count="6">
    <tableColumn id="1" xr3:uid="{00000000-0010-0000-1401-000001000000}" name="CÓDIGO CATÁLOGO"/>
    <tableColumn id="2" xr3:uid="{00000000-0010-0000-1401-000002000000}" name="ARTÍCULO"/>
    <tableColumn id="3" xr3:uid="{00000000-0010-0000-1401-000003000000}" name="UNIDAD DE MEDIDA"/>
    <tableColumn id="4" xr3:uid="{00000000-0010-0000-1401-000004000000}" name="CANTIDAD TOTAL ESTIMADA"/>
    <tableColumn id="5" xr3:uid="{00000000-0010-0000-1401-000005000000}" name="PRECIO UNITARIO ESTIMADO"/>
    <tableColumn id="6" xr3:uid="{00000000-0010-0000-1401-000006000000}" name="MONTO TOTAL ESTIMADO"/>
  </tableColumns>
  <tableStyleInfo showFirstColumn="0" showLastColumn="0" showRowStripes="1" showColumnStripes="0"/>
</table>
</file>

<file path=xl/tables/table2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15010000}" name="Table198" displayName="Table198" ref="A3730:F3731" totalsRowShown="0">
  <tableColumns count="6">
    <tableColumn id="1" xr3:uid="{00000000-0010-0000-1501-000001000000}" name="CÓDIGO CATÁLOGO"/>
    <tableColumn id="2" xr3:uid="{00000000-0010-0000-1501-000002000000}" name="ARTÍCULO"/>
    <tableColumn id="3" xr3:uid="{00000000-0010-0000-1501-000003000000}" name="UNIDAD DE MEDIDA"/>
    <tableColumn id="4" xr3:uid="{00000000-0010-0000-1501-000004000000}" name="CANTIDAD TOTAL ESTIMADA"/>
    <tableColumn id="5" xr3:uid="{00000000-0010-0000-1501-000005000000}" name="PRECIO UNITARIO ESTIMADO"/>
    <tableColumn id="6" xr3:uid="{00000000-0010-0000-1501-000006000000}" name="MONTO TOTAL ESTIMADO"/>
  </tableColumns>
  <tableStyleInfo showFirstColumn="0" showLastColumn="0" showRowStripes="1" showColumnStripes="0"/>
</table>
</file>

<file path=xl/tables/table2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16010000}" name="Table92" displayName="Table92" ref="A1491:F1494" totalsRowShown="0">
  <tableColumns count="6">
    <tableColumn id="1" xr3:uid="{00000000-0010-0000-1601-000001000000}" name="CÓDIGO CATÁLOGO"/>
    <tableColumn id="2" xr3:uid="{00000000-0010-0000-1601-000002000000}" name="ARTÍCULO"/>
    <tableColumn id="3" xr3:uid="{00000000-0010-0000-1601-000003000000}" name="UNIDAD DE MEDIDA"/>
    <tableColumn id="4" xr3:uid="{00000000-0010-0000-1601-000004000000}" name="CANTIDAD TOTAL ESTIMADA"/>
    <tableColumn id="5" xr3:uid="{00000000-0010-0000-1601-000005000000}" name="PRECIO UNITARIO ESTIMADO"/>
    <tableColumn id="6" xr3:uid="{00000000-0010-0000-1601-000006000000}" name="MONTO TOTAL ESTIMADO"/>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8" xr:uid="{00000000-000C-0000-FFFF-FFFF1B000000}" name="Table308" displayName="Table308" ref="A5448:F5485" totalsRowShown="0">
  <tableColumns count="6">
    <tableColumn id="1" xr3:uid="{00000000-0010-0000-1B00-000001000000}" name="CÓDIGO CATÁLOGO"/>
    <tableColumn id="2" xr3:uid="{00000000-0010-0000-1B00-000002000000}" name="ARTÍCULO"/>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tableColumns>
  <tableStyleInfo showFirstColumn="0" showLastColumn="0" showRowStripes="1" showColumnStripes="0"/>
</table>
</file>

<file path=xl/tables/table2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17010000}" name="Table273" displayName="Table273" ref="A4933:F4937" totalsRowShown="0">
  <tableColumns count="6">
    <tableColumn id="1" xr3:uid="{00000000-0010-0000-1701-000001000000}" name="CÓDIGO CATÁLOGO"/>
    <tableColumn id="2" xr3:uid="{00000000-0010-0000-1701-000002000000}" name="ARTÍCULO"/>
    <tableColumn id="3" xr3:uid="{00000000-0010-0000-1701-000003000000}" name="UNIDAD DE MEDIDA"/>
    <tableColumn id="4" xr3:uid="{00000000-0010-0000-1701-000004000000}" name="CANTIDAD TOTAL ESTIMADA"/>
    <tableColumn id="5" xr3:uid="{00000000-0010-0000-1701-000005000000}" name="PRECIO UNITARIO ESTIMADO"/>
    <tableColumn id="6" xr3:uid="{00000000-0010-0000-1701-000006000000}" name="MONTO TOTAL ESTIMADO"/>
  </tableColumns>
  <tableStyleInfo showFirstColumn="0" showLastColumn="0" showRowStripes="1" showColumnStripes="0"/>
</table>
</file>

<file path=xl/tables/table2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18010000}" name="Table216" displayName="Table216" ref="A4129:F4130" totalsRowShown="0">
  <tableColumns count="6">
    <tableColumn id="1" xr3:uid="{00000000-0010-0000-1801-000001000000}" name="CÓDIGO CATÁLOGO"/>
    <tableColumn id="2" xr3:uid="{00000000-0010-0000-1801-000002000000}" name="ARTÍCULO"/>
    <tableColumn id="3" xr3:uid="{00000000-0010-0000-1801-000003000000}" name="UNIDAD DE MEDIDA"/>
    <tableColumn id="4" xr3:uid="{00000000-0010-0000-1801-000004000000}" name="CANTIDAD TOTAL ESTIMADA"/>
    <tableColumn id="5" xr3:uid="{00000000-0010-0000-1801-000005000000}" name="PRECIO UNITARIO ESTIMADO"/>
    <tableColumn id="6" xr3:uid="{00000000-0010-0000-1801-000006000000}" name="MONTO TOTAL ESTIMADO"/>
  </tableColumns>
  <tableStyleInfo showFirstColumn="0" showLastColumn="0" showRowStripes="1" showColumnStripes="0"/>
</table>
</file>

<file path=xl/tables/table2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9" xr:uid="{00000000-000C-0000-FFFF-FFFF19010000}" name="Table269" displayName="Table269" ref="A4848:F4864" totalsRowShown="0">
  <tableColumns count="6">
    <tableColumn id="1" xr3:uid="{00000000-0010-0000-1901-000001000000}" name="CÓDIGO CATÁLOGO"/>
    <tableColumn id="2" xr3:uid="{00000000-0010-0000-1901-000002000000}" name="ARTÍCULO"/>
    <tableColumn id="3" xr3:uid="{00000000-0010-0000-1901-000003000000}" name="UNIDAD DE MEDIDA"/>
    <tableColumn id="4" xr3:uid="{00000000-0010-0000-1901-000004000000}" name="CANTIDAD TOTAL ESTIMADA"/>
    <tableColumn id="5" xr3:uid="{00000000-0010-0000-1901-000005000000}" name="PRECIO UNITARIO ESTIMADO"/>
    <tableColumn id="6" xr3:uid="{00000000-0010-0000-1901-000006000000}" name="MONTO TOTAL ESTIMADO"/>
  </tableColumns>
  <tableStyleInfo showFirstColumn="0" showLastColumn="0" showRowStripes="1" showColumnStripes="0"/>
</table>
</file>

<file path=xl/tables/table2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1A010000}" name="Table80" displayName="Table80" ref="A1304:F1308" totalsRowShown="0">
  <tableColumns count="6">
    <tableColumn id="1" xr3:uid="{00000000-0010-0000-1A01-000001000000}" name="CÓDIGO CATÁLOGO"/>
    <tableColumn id="2" xr3:uid="{00000000-0010-0000-1A01-000002000000}" name="ARTÍCULO"/>
    <tableColumn id="3" xr3:uid="{00000000-0010-0000-1A01-000003000000}" name="UNIDAD DE MEDIDA"/>
    <tableColumn id="4" xr3:uid="{00000000-0010-0000-1A01-000004000000}" name="CANTIDAD TOTAL ESTIMADA"/>
    <tableColumn id="5" xr3:uid="{00000000-0010-0000-1A01-000005000000}" name="PRECIO UNITARIO ESTIMADO"/>
    <tableColumn id="6" xr3:uid="{00000000-0010-0000-1A01-000006000000}" name="MONTO TOTAL ESTIMADO"/>
  </tableColumns>
  <tableStyleInfo showFirstColumn="0" showLastColumn="0" showRowStripes="1" showColumnStripes="0"/>
</table>
</file>

<file path=xl/tables/table2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1B010000}" name="Table88" displayName="Table88" ref="A1435:F1446" totalsRowShown="0">
  <tableColumns count="6">
    <tableColumn id="1" xr3:uid="{00000000-0010-0000-1B01-000001000000}" name="CÓDIGO CATÁLOGO"/>
    <tableColumn id="2" xr3:uid="{00000000-0010-0000-1B01-000002000000}" name="ARTÍCULO"/>
    <tableColumn id="3" xr3:uid="{00000000-0010-0000-1B01-000003000000}" name="UNIDAD DE MEDIDA"/>
    <tableColumn id="4" xr3:uid="{00000000-0010-0000-1B01-000004000000}" name="CANTIDAD TOTAL ESTIMADA"/>
    <tableColumn id="5" xr3:uid="{00000000-0010-0000-1B01-000005000000}" name="PRECIO UNITARIO ESTIMADO"/>
    <tableColumn id="6" xr3:uid="{00000000-0010-0000-1B01-000006000000}" name="MONTO TOTAL ESTIMADO"/>
  </tableColumns>
  <tableStyleInfo showFirstColumn="0" showLastColumn="0" showRowStripes="1" showColumnStripes="0"/>
</table>
</file>

<file path=xl/tables/table2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1C010000}" name="Table185" displayName="Table185" ref="A3575:F3576" totalsRowShown="0">
  <tableColumns count="6">
    <tableColumn id="1" xr3:uid="{00000000-0010-0000-1C01-000001000000}" name="CÓDIGO CATÁLOGO"/>
    <tableColumn id="2" xr3:uid="{00000000-0010-0000-1C01-000002000000}" name="ARTÍCULO"/>
    <tableColumn id="3" xr3:uid="{00000000-0010-0000-1C01-000003000000}" name="UNIDAD DE MEDIDA"/>
    <tableColumn id="4" xr3:uid="{00000000-0010-0000-1C01-000004000000}" name="CANTIDAD TOTAL ESTIMADA"/>
    <tableColumn id="5" xr3:uid="{00000000-0010-0000-1C01-000005000000}" name="PRECIO UNITARIO ESTIMADO"/>
    <tableColumn id="6" xr3:uid="{00000000-0010-0000-1C01-000006000000}" name="MONTO TOTAL ESTIMADO"/>
  </tableColumns>
  <tableStyleInfo showFirstColumn="0" showLastColumn="0" showRowStripes="1" showColumnStripes="0"/>
</table>
</file>

<file path=xl/tables/table2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3" xr:uid="{00000000-000C-0000-FFFF-FFFF1D010000}" name="Table163" displayName="Table163" ref="A3227:F3228" totalsRowShown="0">
  <tableColumns count="6">
    <tableColumn id="1" xr3:uid="{00000000-0010-0000-1D01-000001000000}" name="CÓDIGO CATÁLOGO"/>
    <tableColumn id="2" xr3:uid="{00000000-0010-0000-1D01-000002000000}" name="ARTÍCULO"/>
    <tableColumn id="3" xr3:uid="{00000000-0010-0000-1D01-000003000000}" name="UNIDAD DE MEDIDA"/>
    <tableColumn id="4" xr3:uid="{00000000-0010-0000-1D01-000004000000}" name="CANTIDAD TOTAL ESTIMADA"/>
    <tableColumn id="5" xr3:uid="{00000000-0010-0000-1D01-000005000000}" name="PRECIO UNITARIO ESTIMADO"/>
    <tableColumn id="6" xr3:uid="{00000000-0010-0000-1D01-000006000000}" name="MONTO TOTAL ESTIMADO"/>
  </tableColumns>
  <tableStyleInfo showFirstColumn="0" showLastColumn="0" showRowStripes="1" showColumnStripes="0"/>
</table>
</file>

<file path=xl/tables/table2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1E010000}" name="Table69" displayName="Table69" ref="A1151:F1166" totalsRowShown="0">
  <tableColumns count="6">
    <tableColumn id="1" xr3:uid="{00000000-0010-0000-1E01-000001000000}" name="CÓDIGO CATÁLOGO"/>
    <tableColumn id="2" xr3:uid="{00000000-0010-0000-1E01-000002000000}" name="ARTÍCULO"/>
    <tableColumn id="3" xr3:uid="{00000000-0010-0000-1E01-000003000000}" name="UNIDAD DE MEDIDA"/>
    <tableColumn id="4" xr3:uid="{00000000-0010-0000-1E01-000004000000}" name="CANTIDAD TOTAL ESTIMADA"/>
    <tableColumn id="5" xr3:uid="{00000000-0010-0000-1E01-000005000000}" name="PRECIO UNITARIO ESTIMADO"/>
    <tableColumn id="6" xr3:uid="{00000000-0010-0000-1E01-000006000000}" name="MONTO TOTAL ESTIMADO"/>
  </tableColumns>
  <tableStyleInfo showFirstColumn="0" showLastColumn="0" showRowStripes="1" showColumnStripes="0"/>
</table>
</file>

<file path=xl/tables/table2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F010000}" name="Table17" displayName="Table17" ref="A341:F343" totalsRowShown="0">
  <tableColumns count="6">
    <tableColumn id="1" xr3:uid="{00000000-0010-0000-1F01-000001000000}" name="CÓDIGO CATÁLOGO"/>
    <tableColumn id="2" xr3:uid="{00000000-0010-0000-1F01-000002000000}" name="ARTÍCULO"/>
    <tableColumn id="3" xr3:uid="{00000000-0010-0000-1F01-000003000000}" name="UNIDAD DE MEDIDA"/>
    <tableColumn id="4" xr3:uid="{00000000-0010-0000-1F01-000004000000}" name="CANTIDAD TOTAL ESTIMADA"/>
    <tableColumn id="5" xr3:uid="{00000000-0010-0000-1F01-000005000000}" name="PRECIO UNITARIO ESTIMADO"/>
    <tableColumn id="6" xr3:uid="{00000000-0010-0000-1F01-000006000000}" name="MONTO TOTAL ESTIMADO"/>
  </tableColumns>
  <tableStyleInfo showFirstColumn="0" showLastColumn="0" showRowStripes="1" showColumnStripes="0"/>
</table>
</file>

<file path=xl/tables/table2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00000000-000C-0000-FFFF-FFFF20010000}" name="Table133" displayName="Table133" ref="A2675:F2719" totalsRowShown="0">
  <tableColumns count="6">
    <tableColumn id="1" xr3:uid="{00000000-0010-0000-2001-000001000000}" name="CÓDIGO CATÁLOGO"/>
    <tableColumn id="2" xr3:uid="{00000000-0010-0000-2001-000002000000}" name="ARTÍCULO"/>
    <tableColumn id="3" xr3:uid="{00000000-0010-0000-2001-000003000000}" name="UNIDAD DE MEDIDA"/>
    <tableColumn id="4" xr3:uid="{00000000-0010-0000-2001-000004000000}" name="CANTIDAD TOTAL ESTIMADA"/>
    <tableColumn id="5" xr3:uid="{00000000-0010-0000-2001-000005000000}" name="PRECIO UNITARIO ESTIMADO"/>
    <tableColumn id="6" xr3:uid="{00000000-0010-0000-2001-000006000000}" name="MONTO TOTAL ESTIMADO"/>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8" xr:uid="{00000000-000C-0000-FFFF-FFFF1C000000}" name="Table268" displayName="Table268" ref="A4828:F4838" totalsRowShown="0">
  <tableColumns count="6">
    <tableColumn id="1" xr3:uid="{00000000-0010-0000-1C00-000001000000}" name="CÓDIGO CATÁLOGO"/>
    <tableColumn id="2" xr3:uid="{00000000-0010-0000-1C00-000002000000}" name="ARTÍCULO"/>
    <tableColumn id="3" xr3:uid="{00000000-0010-0000-1C00-000003000000}" name="UNIDAD DE MEDIDA"/>
    <tableColumn id="4" xr3:uid="{00000000-0010-0000-1C00-000004000000}" name="CANTIDAD TOTAL ESTIMADA"/>
    <tableColumn id="5" xr3:uid="{00000000-0010-0000-1C00-000005000000}" name="PRECIO UNITARIO ESTIMADO"/>
    <tableColumn id="6" xr3:uid="{00000000-0010-0000-1C00-000006000000}" name="MONTO TOTAL ESTIMADO"/>
  </tableColumns>
  <tableStyleInfo showFirstColumn="0" showLastColumn="0" showRowStripes="1" showColumnStripes="0"/>
</table>
</file>

<file path=xl/tables/table2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21010000}" name="Table109" displayName="Table109" ref="A2009:F2035" totalsRowShown="0">
  <tableColumns count="6">
    <tableColumn id="1" xr3:uid="{00000000-0010-0000-2101-000001000000}" name="CÓDIGO CATÁLOGO"/>
    <tableColumn id="2" xr3:uid="{00000000-0010-0000-2101-000002000000}" name="ARTÍCULO"/>
    <tableColumn id="3" xr3:uid="{00000000-0010-0000-2101-000003000000}" name="UNIDAD DE MEDIDA"/>
    <tableColumn id="4" xr3:uid="{00000000-0010-0000-2101-000004000000}" name="CANTIDAD TOTAL ESTIMADA"/>
    <tableColumn id="5" xr3:uid="{00000000-0010-0000-2101-000005000000}" name="PRECIO UNITARIO ESTIMADO"/>
    <tableColumn id="6" xr3:uid="{00000000-0010-0000-2101-000006000000}" name="MONTO TOTAL ESTIMADO"/>
  </tableColumns>
  <tableStyleInfo showFirstColumn="0" showLastColumn="0" showRowStripes="1" showColumnStripes="0"/>
</table>
</file>

<file path=xl/tables/table2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22010000}" name="Table40" displayName="Table40" ref="A673:F674" totalsRowShown="0">
  <tableColumns count="6">
    <tableColumn id="1" xr3:uid="{00000000-0010-0000-2201-000001000000}" name="CÓDIGO CATÁLOGO"/>
    <tableColumn id="2" xr3:uid="{00000000-0010-0000-2201-000002000000}" name="ARTÍCULO"/>
    <tableColumn id="3" xr3:uid="{00000000-0010-0000-2201-000003000000}" name="UNIDAD DE MEDIDA"/>
    <tableColumn id="4" xr3:uid="{00000000-0010-0000-2201-000004000000}" name="CANTIDAD TOTAL ESTIMADA"/>
    <tableColumn id="5" xr3:uid="{00000000-0010-0000-2201-000005000000}" name="PRECIO UNITARIO ESTIMADO"/>
    <tableColumn id="6" xr3:uid="{00000000-0010-0000-2201-000006000000}" name="MONTO TOTAL ESTIMADO"/>
  </tableColumns>
  <tableStyleInfo showFirstColumn="0" showLastColumn="0" showRowStripes="1" showColumnStripes="0"/>
</table>
</file>

<file path=xl/tables/table2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8" xr:uid="{00000000-000C-0000-FFFF-FFFF23010000}" name="Table278" displayName="Table278" ref="A4998:F5004" totalsRowShown="0">
  <tableColumns count="6">
    <tableColumn id="1" xr3:uid="{00000000-0010-0000-2301-000001000000}" name="CÓDIGO CATÁLOGO"/>
    <tableColumn id="2" xr3:uid="{00000000-0010-0000-2301-000002000000}" name="ARTÍCULO"/>
    <tableColumn id="3" xr3:uid="{00000000-0010-0000-2301-000003000000}" name="UNIDAD DE MEDIDA"/>
    <tableColumn id="4" xr3:uid="{00000000-0010-0000-2301-000004000000}" name="CANTIDAD TOTAL ESTIMADA"/>
    <tableColumn id="5" xr3:uid="{00000000-0010-0000-2301-000005000000}" name="PRECIO UNITARIO ESTIMADO"/>
    <tableColumn id="6" xr3:uid="{00000000-0010-0000-2301-000006000000}" name="MONTO TOTAL ESTIMADO"/>
  </tableColumns>
  <tableStyleInfo showFirstColumn="0" showLastColumn="0" showRowStripes="1" showColumnStripes="0"/>
</table>
</file>

<file path=xl/tables/table2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24010000}" name="Table49" displayName="Table49" ref="A779:F782" totalsRowShown="0">
  <tableColumns count="6">
    <tableColumn id="1" xr3:uid="{00000000-0010-0000-2401-000001000000}" name="CÓDIGO CATÁLOGO"/>
    <tableColumn id="2" xr3:uid="{00000000-0010-0000-2401-000002000000}" name="ARTÍCULO"/>
    <tableColumn id="3" xr3:uid="{00000000-0010-0000-2401-000003000000}" name="UNIDAD DE MEDIDA"/>
    <tableColumn id="4" xr3:uid="{00000000-0010-0000-2401-000004000000}" name="CANTIDAD TOTAL ESTIMADA"/>
    <tableColumn id="5" xr3:uid="{00000000-0010-0000-2401-000005000000}" name="PRECIO UNITARIO ESTIMADO"/>
    <tableColumn id="6" xr3:uid="{00000000-0010-0000-2401-000006000000}" name="MONTO TOTAL ESTIMADO"/>
  </tableColumns>
  <tableStyleInfo showFirstColumn="0" showLastColumn="0" showRowStripes="1" showColumnStripes="0"/>
</table>
</file>

<file path=xl/tables/table2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0000000-000C-0000-FFFF-FFFF25010000}" name="Table98" displayName="Table98" ref="A1769:F1771" totalsRowShown="0">
  <tableColumns count="6">
    <tableColumn id="1" xr3:uid="{00000000-0010-0000-2501-000001000000}" name="CÓDIGO CATÁLOGO"/>
    <tableColumn id="2" xr3:uid="{00000000-0010-0000-2501-000002000000}" name="ARTÍCULO"/>
    <tableColumn id="3" xr3:uid="{00000000-0010-0000-2501-000003000000}" name="UNIDAD DE MEDIDA"/>
    <tableColumn id="4" xr3:uid="{00000000-0010-0000-2501-000004000000}" name="CANTIDAD TOTAL ESTIMADA"/>
    <tableColumn id="5" xr3:uid="{00000000-0010-0000-2501-000005000000}" name="PRECIO UNITARIO ESTIMADO"/>
    <tableColumn id="6" xr3:uid="{00000000-0010-0000-2501-000006000000}" name="MONTO TOTAL ESTIMADO"/>
  </tableColumns>
  <tableStyleInfo showFirstColumn="0" showLastColumn="0" showRowStripes="1" showColumnStripes="0"/>
</table>
</file>

<file path=xl/tables/table2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26010000}" name="Table177" displayName="Table177" ref="A3479:F3481" totalsRowShown="0">
  <tableColumns count="6">
    <tableColumn id="1" xr3:uid="{00000000-0010-0000-2601-000001000000}" name="CÓDIGO CATÁLOGO"/>
    <tableColumn id="2" xr3:uid="{00000000-0010-0000-2601-000002000000}" name="ARTÍCULO"/>
    <tableColumn id="3" xr3:uid="{00000000-0010-0000-2601-000003000000}" name="UNIDAD DE MEDIDA"/>
    <tableColumn id="4" xr3:uid="{00000000-0010-0000-2601-000004000000}" name="CANTIDAD TOTAL ESTIMADA"/>
    <tableColumn id="5" xr3:uid="{00000000-0010-0000-2601-000005000000}" name="PRECIO UNITARIO ESTIMADO"/>
    <tableColumn id="6" xr3:uid="{00000000-0010-0000-2601-000006000000}" name="MONTO TOTAL ESTIMADO"/>
  </tableColumns>
  <tableStyleInfo showFirstColumn="0" showLastColumn="0" showRowStripes="1" showColumnStripes="0"/>
</table>
</file>

<file path=xl/tables/table2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7" xr:uid="{00000000-000C-0000-FFFF-FFFF27010000}" name="Table287" displayName="Table287" ref="A5125:F5126" totalsRowShown="0">
  <tableColumns count="6">
    <tableColumn id="1" xr3:uid="{00000000-0010-0000-2701-000001000000}" name="CÓDIGO CATÁLOGO"/>
    <tableColumn id="2" xr3:uid="{00000000-0010-0000-2701-000002000000}" name="ARTÍCULO"/>
    <tableColumn id="3" xr3:uid="{00000000-0010-0000-2701-000003000000}" name="UNIDAD DE MEDIDA"/>
    <tableColumn id="4" xr3:uid="{00000000-0010-0000-2701-000004000000}" name="CANTIDAD TOTAL ESTIMADA"/>
    <tableColumn id="5" xr3:uid="{00000000-0010-0000-2701-000005000000}" name="PRECIO UNITARIO ESTIMADO"/>
    <tableColumn id="6" xr3:uid="{00000000-0010-0000-2701-000006000000}" name="MONTO TOTAL ESTIMADO"/>
  </tableColumns>
  <tableStyleInfo showFirstColumn="0" showLastColumn="0" showRowStripes="1" showColumnStripes="0"/>
</table>
</file>

<file path=xl/tables/table2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28010000}" name="Table179" displayName="Table179" ref="A3506:F3507" totalsRowShown="0">
  <tableColumns count="6">
    <tableColumn id="1" xr3:uid="{00000000-0010-0000-2801-000001000000}" name="CÓDIGO CATÁLOGO"/>
    <tableColumn id="2" xr3:uid="{00000000-0010-0000-2801-000002000000}" name="ARTÍCULO"/>
    <tableColumn id="3" xr3:uid="{00000000-0010-0000-2801-000003000000}" name="UNIDAD DE MEDIDA"/>
    <tableColumn id="4" xr3:uid="{00000000-0010-0000-2801-000004000000}" name="CANTIDAD TOTAL ESTIMADA"/>
    <tableColumn id="5" xr3:uid="{00000000-0010-0000-2801-000005000000}" name="PRECIO UNITARIO ESTIMADO"/>
    <tableColumn id="6" xr3:uid="{00000000-0010-0000-2801-000006000000}" name="MONTO TOTAL ESTIMADO"/>
  </tableColumns>
  <tableStyleInfo showFirstColumn="0" showLastColumn="0" showRowStripes="1" showColumnStripes="0"/>
</table>
</file>

<file path=xl/tables/table2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00000000-000C-0000-FFFF-FFFF29010000}" name="Table122" displayName="Table122" ref="A2216:F2219" totalsRowShown="0">
  <tableColumns count="6">
    <tableColumn id="1" xr3:uid="{00000000-0010-0000-2901-000001000000}" name="CÓDIGO CATÁLOGO"/>
    <tableColumn id="2" xr3:uid="{00000000-0010-0000-2901-000002000000}" name="ARTÍCULO"/>
    <tableColumn id="3" xr3:uid="{00000000-0010-0000-2901-000003000000}" name="UNIDAD DE MEDIDA"/>
    <tableColumn id="4" xr3:uid="{00000000-0010-0000-2901-000004000000}" name="CANTIDAD TOTAL ESTIMADA"/>
    <tableColumn id="5" xr3:uid="{00000000-0010-0000-2901-000005000000}" name="PRECIO UNITARIO ESTIMADO"/>
    <tableColumn id="6" xr3:uid="{00000000-0010-0000-2901-000006000000}" name="MONTO TOTAL ESTIMADO"/>
  </tableColumns>
  <tableStyleInfo showFirstColumn="0" showLastColumn="0" showRowStripes="1" showColumnStripes="0"/>
</table>
</file>

<file path=xl/tables/table2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00000000-000C-0000-FFFF-FFFF2A010000}" name="Table246" displayName="Table246" ref="A4545:F4546" totalsRowShown="0">
  <tableColumns count="6">
    <tableColumn id="1" xr3:uid="{00000000-0010-0000-2A01-000001000000}" name="CÓDIGO CATÁLOGO"/>
    <tableColumn id="2" xr3:uid="{00000000-0010-0000-2A01-000002000000}" name="ARTÍCULO"/>
    <tableColumn id="3" xr3:uid="{00000000-0010-0000-2A01-000003000000}" name="UNIDAD DE MEDIDA"/>
    <tableColumn id="4" xr3:uid="{00000000-0010-0000-2A01-000004000000}" name="CANTIDAD TOTAL ESTIMADA"/>
    <tableColumn id="5" xr3:uid="{00000000-0010-0000-2A01-000005000000}" name="PRECIO UNITARIO ESTIMADO"/>
    <tableColumn id="6" xr3:uid="{00000000-0010-0000-2A01-000006000000}" name="MONTO TOTAL ESTIMADO"/>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1" xr:uid="{00000000-000C-0000-FFFF-FFFF02000000}" name="Table301" displayName="Table301" ref="A5340:F5356" totalsRowShown="0">
  <tableColumns count="6">
    <tableColumn id="1" xr3:uid="{00000000-0010-0000-0200-000001000000}" name="CÓDIGO CATÁLOGO"/>
    <tableColumn id="2" xr3:uid="{00000000-0010-0000-0200-000002000000}" name="ARTÍCULO"/>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1D000000}" name="Table182" displayName="Table182" ref="A3541:F3543" totalsRowShown="0">
  <tableColumns count="6">
    <tableColumn id="1" xr3:uid="{00000000-0010-0000-1D00-000001000000}" name="CÓDIGO CATÁLOGO"/>
    <tableColumn id="2" xr3:uid="{00000000-0010-0000-1D00-000002000000}" name="ARTÍCULO"/>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tableColumns>
  <tableStyleInfo showFirstColumn="0" showLastColumn="0" showRowStripes="1" showColumnStripes="0"/>
</table>
</file>

<file path=xl/tables/table3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2B010000}" name="Table29" displayName="Table29" ref="A491:F498" totalsRowShown="0">
  <tableColumns count="6">
    <tableColumn id="1" xr3:uid="{00000000-0010-0000-2B01-000001000000}" name="CÓDIGO CATÁLOGO"/>
    <tableColumn id="2" xr3:uid="{00000000-0010-0000-2B01-000002000000}" name="ARTÍCULO"/>
    <tableColumn id="3" xr3:uid="{00000000-0010-0000-2B01-000003000000}" name="UNIDAD DE MEDIDA"/>
    <tableColumn id="4" xr3:uid="{00000000-0010-0000-2B01-000004000000}" name="CANTIDAD TOTAL ESTIMADA"/>
    <tableColumn id="5" xr3:uid="{00000000-0010-0000-2B01-000005000000}" name="PRECIO UNITARIO ESTIMADO"/>
    <tableColumn id="6" xr3:uid="{00000000-0010-0000-2B01-000006000000}" name="MONTO TOTAL ESTIMADO"/>
  </tableColumns>
  <tableStyleInfo showFirstColumn="0" showLastColumn="0" showRowStripes="1" showColumnStripes="0"/>
</table>
</file>

<file path=xl/tables/table3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2C010000}" name="Table42" displayName="Table42" ref="A696:F698" totalsRowShown="0">
  <tableColumns count="6">
    <tableColumn id="1" xr3:uid="{00000000-0010-0000-2C01-000001000000}" name="CÓDIGO CATÁLOGO"/>
    <tableColumn id="2" xr3:uid="{00000000-0010-0000-2C01-000002000000}" name="ARTÍCULO"/>
    <tableColumn id="3" xr3:uid="{00000000-0010-0000-2C01-000003000000}" name="UNIDAD DE MEDIDA"/>
    <tableColumn id="4" xr3:uid="{00000000-0010-0000-2C01-000004000000}" name="CANTIDAD TOTAL ESTIMADA"/>
    <tableColumn id="5" xr3:uid="{00000000-0010-0000-2C01-000005000000}" name="PRECIO UNITARIO ESTIMADO"/>
    <tableColumn id="6" xr3:uid="{00000000-0010-0000-2C01-000006000000}" name="MONTO TOTAL ESTIMADO"/>
  </tableColumns>
  <tableStyleInfo showFirstColumn="0" showLastColumn="0" showRowStripes="1" showColumnStripes="0"/>
</table>
</file>

<file path=xl/tables/table3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0000000-000C-0000-FFFF-FFFF2D010000}" name="Table130" displayName="Table130" ref="A2338:F2631" totalsRowShown="0">
  <tableColumns count="6">
    <tableColumn id="1" xr3:uid="{00000000-0010-0000-2D01-000001000000}" name="CÓDIGO CATÁLOGO"/>
    <tableColumn id="2" xr3:uid="{00000000-0010-0000-2D01-000002000000}" name="ARTÍCULO"/>
    <tableColumn id="3" xr3:uid="{00000000-0010-0000-2D01-000003000000}" name="UNIDAD DE MEDIDA"/>
    <tableColumn id="4" xr3:uid="{00000000-0010-0000-2D01-000004000000}" name="CANTIDAD TOTAL ESTIMADA"/>
    <tableColumn id="5" xr3:uid="{00000000-0010-0000-2D01-000005000000}" name="PRECIO UNITARIO ESTIMADO"/>
    <tableColumn id="6" xr3:uid="{00000000-0010-0000-2D01-000006000000}" name="MONTO TOTAL ESTIMADO"/>
  </tableColumns>
  <tableStyleInfo showFirstColumn="0" showLastColumn="0" showRowStripes="1" showColumnStripes="0"/>
</table>
</file>

<file path=xl/tables/table3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0000000-000C-0000-FFFF-FFFF2E010000}" name="Table104" displayName="Table104" ref="A1921:F1922" totalsRowShown="0">
  <tableColumns count="6">
    <tableColumn id="1" xr3:uid="{00000000-0010-0000-2E01-000001000000}" name="CÓDIGO CATÁLOGO"/>
    <tableColumn id="2" xr3:uid="{00000000-0010-0000-2E01-000002000000}" name="ARTÍCULO"/>
    <tableColumn id="3" xr3:uid="{00000000-0010-0000-2E01-000003000000}" name="UNIDAD DE MEDIDA"/>
    <tableColumn id="4" xr3:uid="{00000000-0010-0000-2E01-000004000000}" name="CANTIDAD TOTAL ESTIMADA"/>
    <tableColumn id="5" xr3:uid="{00000000-0010-0000-2E01-000005000000}" name="PRECIO UNITARIO ESTIMADO"/>
    <tableColumn id="6" xr3:uid="{00000000-0010-0000-2E01-000006000000}" name="MONTO TOTAL ESTIMADO"/>
  </tableColumns>
  <tableStyleInfo showFirstColumn="0" showLastColumn="0" showRowStripes="1" showColumnStripes="0"/>
</table>
</file>

<file path=xl/tables/table3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6" xr:uid="{00000000-000C-0000-FFFF-FFFF2F010000}" name="Table266" displayName="Table266" ref="A4805:F4806" totalsRowShown="0">
  <tableColumns count="6">
    <tableColumn id="1" xr3:uid="{00000000-0010-0000-2F01-000001000000}" name="CÓDIGO CATÁLOGO"/>
    <tableColumn id="2" xr3:uid="{00000000-0010-0000-2F01-000002000000}" name="ARTÍCULO"/>
    <tableColumn id="3" xr3:uid="{00000000-0010-0000-2F01-000003000000}" name="UNIDAD DE MEDIDA"/>
    <tableColumn id="4" xr3:uid="{00000000-0010-0000-2F01-000004000000}" name="CANTIDAD TOTAL ESTIMADA"/>
    <tableColumn id="5" xr3:uid="{00000000-0010-0000-2F01-000005000000}" name="PRECIO UNITARIO ESTIMADO"/>
    <tableColumn id="6" xr3:uid="{00000000-0010-0000-2F01-000006000000}" name="MONTO TOTAL ESTIMADO"/>
  </tableColumns>
  <tableStyleInfo showFirstColumn="0" showLastColumn="0" showRowStripes="1" showColumnStripes="0"/>
</table>
</file>

<file path=xl/tables/table3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30010000}" name="Table188" displayName="Table188" ref="A3609:F3610" totalsRowShown="0">
  <tableColumns count="6">
    <tableColumn id="1" xr3:uid="{00000000-0010-0000-3001-000001000000}" name="CÓDIGO CATÁLOGO"/>
    <tableColumn id="2" xr3:uid="{00000000-0010-0000-3001-000002000000}" name="ARTÍCULO"/>
    <tableColumn id="3" xr3:uid="{00000000-0010-0000-3001-000003000000}" name="UNIDAD DE MEDIDA"/>
    <tableColumn id="4" xr3:uid="{00000000-0010-0000-3001-000004000000}" name="CANTIDAD TOTAL ESTIMADA"/>
    <tableColumn id="5" xr3:uid="{00000000-0010-0000-3001-000005000000}" name="PRECIO UNITARIO ESTIMADO"/>
    <tableColumn id="6" xr3:uid="{00000000-0010-0000-3001-000006000000}" name="MONTO TOTAL ESTIMADO"/>
  </tableColumns>
  <tableStyleInfo showFirstColumn="0" showLastColumn="0" showRowStripes="1" showColumnStripes="0"/>
</table>
</file>

<file path=xl/tables/table3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2" xr:uid="{00000000-000C-0000-FFFF-FFFF31010000}" name="Table172" displayName="Table172" ref="A3424:F3425" totalsRowShown="0">
  <tableColumns count="6">
    <tableColumn id="1" xr3:uid="{00000000-0010-0000-3101-000001000000}" name="CÓDIGO CATÁLOGO"/>
    <tableColumn id="2" xr3:uid="{00000000-0010-0000-3101-000002000000}" name="ARTÍCULO"/>
    <tableColumn id="3" xr3:uid="{00000000-0010-0000-3101-000003000000}" name="UNIDAD DE MEDIDA"/>
    <tableColumn id="4" xr3:uid="{00000000-0010-0000-3101-000004000000}" name="CANTIDAD TOTAL ESTIMADA"/>
    <tableColumn id="5" xr3:uid="{00000000-0010-0000-3101-000005000000}" name="PRECIO UNITARIO ESTIMADO"/>
    <tableColumn id="6" xr3:uid="{00000000-0010-0000-3101-000006000000}" name="MONTO TOTAL ESTIMADO"/>
  </tableColumns>
  <tableStyleInfo showFirstColumn="0" showLastColumn="0" showRowStripes="1" showColumnStripes="0"/>
</table>
</file>

<file path=xl/tables/table3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32010000}" name="Table38" displayName="Table38" ref="A644:F652" totalsRowShown="0">
  <tableColumns count="6">
    <tableColumn id="1" xr3:uid="{00000000-0010-0000-3201-000001000000}" name="CÓDIGO CATÁLOGO"/>
    <tableColumn id="2" xr3:uid="{00000000-0010-0000-3201-000002000000}" name="ARTÍCULO"/>
    <tableColumn id="3" xr3:uid="{00000000-0010-0000-3201-000003000000}" name="UNIDAD DE MEDIDA"/>
    <tableColumn id="4" xr3:uid="{00000000-0010-0000-3201-000004000000}" name="CANTIDAD TOTAL ESTIMADA"/>
    <tableColumn id="5" xr3:uid="{00000000-0010-0000-3201-000005000000}" name="PRECIO UNITARIO ESTIMADO"/>
    <tableColumn id="6" xr3:uid="{00000000-0010-0000-3201-000006000000}" name="MONTO TOTAL ESTIMADO"/>
  </tableColumns>
  <tableStyleInfo showFirstColumn="0" showLastColumn="0" showRowStripes="1" showColumnStripes="0"/>
</table>
</file>

<file path=xl/tables/table3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00000000-000C-0000-FFFF-FFFF33010000}" name="Table260" displayName="Table260" ref="A4722:F4725" totalsRowShown="0">
  <tableColumns count="6">
    <tableColumn id="1" xr3:uid="{00000000-0010-0000-3301-000001000000}" name="CÓDIGO CATÁLOGO"/>
    <tableColumn id="2" xr3:uid="{00000000-0010-0000-3301-000002000000}" name="ARTÍCULO"/>
    <tableColumn id="3" xr3:uid="{00000000-0010-0000-3301-000003000000}" name="UNIDAD DE MEDIDA"/>
    <tableColumn id="4" xr3:uid="{00000000-0010-0000-3301-000004000000}" name="CANTIDAD TOTAL ESTIMADA"/>
    <tableColumn id="5" xr3:uid="{00000000-0010-0000-3301-000005000000}" name="PRECIO UNITARIO ESTIMADO"/>
    <tableColumn id="6" xr3:uid="{00000000-0010-0000-3301-000006000000}" name="MONTO TOTAL ESTIMADO"/>
  </tableColumns>
  <tableStyleInfo showFirstColumn="0" showLastColumn="0" showRowStripes="1" showColumnStripes="0"/>
</table>
</file>

<file path=xl/tables/table3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34010000}" name="Table91" displayName="Table91" ref="A1478:F1481" totalsRowShown="0">
  <tableColumns count="6">
    <tableColumn id="1" xr3:uid="{00000000-0010-0000-3401-000001000000}" name="CÓDIGO CATÁLOGO"/>
    <tableColumn id="2" xr3:uid="{00000000-0010-0000-3401-000002000000}" name="ARTÍCULO"/>
    <tableColumn id="3" xr3:uid="{00000000-0010-0000-3401-000003000000}" name="UNIDAD DE MEDIDA"/>
    <tableColumn id="4" xr3:uid="{00000000-0010-0000-3401-000004000000}" name="CANTIDAD TOTAL ESTIMADA"/>
    <tableColumn id="5" xr3:uid="{00000000-0010-0000-3401-000005000000}" name="PRECIO UNITARIO ESTIMADO"/>
    <tableColumn id="6" xr3:uid="{00000000-0010-0000-3401-000006000000}" name="MONTO TOTAL ESTIMADO"/>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1E000000}" name="Table46" displayName="Table46" ref="A744:F746" totalsRowShown="0">
  <tableColumns count="6">
    <tableColumn id="1" xr3:uid="{00000000-0010-0000-1E00-000001000000}" name="CÓDIGO CATÁLOGO"/>
    <tableColumn id="2" xr3:uid="{00000000-0010-0000-1E00-000002000000}" name="ARTÍCULO"/>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tableColumns>
  <tableStyleInfo showFirstColumn="0" showLastColumn="0" showRowStripes="1" showColumnStripes="0"/>
</table>
</file>

<file path=xl/tables/table3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4" xr:uid="{00000000-000C-0000-FFFF-FFFF35010000}" name="Table304" displayName="Table304" ref="A5397:F5401" totalsRowShown="0">
  <tableColumns count="6">
    <tableColumn id="1" xr3:uid="{00000000-0010-0000-3501-000001000000}" name="CÓDIGO CATÁLOGO"/>
    <tableColumn id="2" xr3:uid="{00000000-0010-0000-3501-000002000000}" name="ARTÍCULO"/>
    <tableColumn id="3" xr3:uid="{00000000-0010-0000-3501-000003000000}" name="UNIDAD DE MEDIDA"/>
    <tableColumn id="4" xr3:uid="{00000000-0010-0000-3501-000004000000}" name="CANTIDAD TOTAL ESTIMADA"/>
    <tableColumn id="5" xr3:uid="{00000000-0010-0000-3501-000005000000}" name="PRECIO UNITARIO ESTIMADO"/>
    <tableColumn id="6" xr3:uid="{00000000-0010-0000-3501-000006000000}" name="MONTO TOTAL ESTIMADO"/>
  </tableColumns>
  <tableStyleInfo showFirstColumn="0" showLastColumn="0" showRowStripes="1" showColumnStripes="0"/>
</table>
</file>

<file path=xl/tables/table3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36010000}" name="Table39" displayName="Table39" ref="A662:F663" totalsRowShown="0">
  <tableColumns count="6">
    <tableColumn id="1" xr3:uid="{00000000-0010-0000-3601-000001000000}" name="CÓDIGO CATÁLOGO"/>
    <tableColumn id="2" xr3:uid="{00000000-0010-0000-3601-000002000000}" name="ARTÍCULO"/>
    <tableColumn id="3" xr3:uid="{00000000-0010-0000-3601-000003000000}" name="UNIDAD DE MEDIDA"/>
    <tableColumn id="4" xr3:uid="{00000000-0010-0000-3601-000004000000}" name="CANTIDAD TOTAL ESTIMADA"/>
    <tableColumn id="5" xr3:uid="{00000000-0010-0000-3601-000005000000}" name="PRECIO UNITARIO ESTIMADO"/>
    <tableColumn id="6" xr3:uid="{00000000-0010-0000-3601-000006000000}" name="MONTO TOTAL ESTIMADO"/>
  </tableColumns>
  <tableStyleInfo showFirstColumn="0" showLastColumn="0" showRowStripes="1" showColumnStripes="0"/>
</table>
</file>

<file path=xl/tables/table3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37010000}" name="Table111" displayName="Table111" ref="A2061:F2063" totalsRowShown="0">
  <tableColumns count="6">
    <tableColumn id="1" xr3:uid="{00000000-0010-0000-3701-000001000000}" name="CÓDIGO CATÁLOGO"/>
    <tableColumn id="2" xr3:uid="{00000000-0010-0000-3701-000002000000}" name="ARTÍCULO"/>
    <tableColumn id="3" xr3:uid="{00000000-0010-0000-3701-000003000000}" name="UNIDAD DE MEDIDA"/>
    <tableColumn id="4" xr3:uid="{00000000-0010-0000-3701-000004000000}" name="CANTIDAD TOTAL ESTIMADA"/>
    <tableColumn id="5" xr3:uid="{00000000-0010-0000-3701-000005000000}" name="PRECIO UNITARIO ESTIMADO"/>
    <tableColumn id="6" xr3:uid="{00000000-0010-0000-3701-000006000000}" name="MONTO TOTAL ESTIMADO"/>
  </tableColumns>
  <tableStyleInfo showFirstColumn="0" showLastColumn="0" showRowStripes="1" showColumnStripes="0"/>
</table>
</file>

<file path=xl/tables/table3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1" xr:uid="{00000000-000C-0000-FFFF-FFFF38010000}" name="Table261" displayName="Table261" ref="A4735:F4738" totalsRowShown="0">
  <tableColumns count="6">
    <tableColumn id="1" xr3:uid="{00000000-0010-0000-3801-000001000000}" name="CÓDIGO CATÁLOGO"/>
    <tableColumn id="2" xr3:uid="{00000000-0010-0000-3801-000002000000}" name="ARTÍCULO"/>
    <tableColumn id="3" xr3:uid="{00000000-0010-0000-3801-000003000000}" name="UNIDAD DE MEDIDA"/>
    <tableColumn id="4" xr3:uid="{00000000-0010-0000-3801-000004000000}" name="CANTIDAD TOTAL ESTIMADA"/>
    <tableColumn id="5" xr3:uid="{00000000-0010-0000-3801-000005000000}" name="PRECIO UNITARIO ESTIMADO"/>
    <tableColumn id="6" xr3:uid="{00000000-0010-0000-3801-000006000000}" name="MONTO TOTAL ESTIMADO"/>
  </tableColumns>
  <tableStyleInfo showFirstColumn="0" showLastColumn="0" showRowStripes="1" showColumnStripes="0"/>
</table>
</file>

<file path=xl/tables/table3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39010000}" name="Table14" displayName="Table14" ref="A307:F308" totalsRowShown="0">
  <tableColumns count="6">
    <tableColumn id="1" xr3:uid="{00000000-0010-0000-3901-000001000000}" name="CÓDIGO CATÁLOGO"/>
    <tableColumn id="2" xr3:uid="{00000000-0010-0000-3901-000002000000}" name="ARTÍCULO"/>
    <tableColumn id="3" xr3:uid="{00000000-0010-0000-3901-000003000000}" name="UNIDAD DE MEDIDA"/>
    <tableColumn id="4" xr3:uid="{00000000-0010-0000-3901-000004000000}" name="CANTIDAD TOTAL ESTIMADA"/>
    <tableColumn id="5" xr3:uid="{00000000-0010-0000-3901-000005000000}" name="PRECIO UNITARIO ESTIMADO"/>
    <tableColumn id="6" xr3:uid="{00000000-0010-0000-3901-000006000000}" name="MONTO TOTAL ESTIMADO"/>
  </tableColumns>
  <tableStyleInfo showFirstColumn="0" showLastColumn="0" showRowStripes="1" showColumnStripes="0"/>
</table>
</file>

<file path=xl/tables/table3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3" xr:uid="{00000000-000C-0000-FFFF-FFFF3A010000}" name="Table323" displayName="Table323" ref="A5696:F5717" totalsRowShown="0">
  <tableColumns count="6">
    <tableColumn id="1" xr3:uid="{00000000-0010-0000-3A01-000001000000}" name="CÓDIGO CATÁLOGO"/>
    <tableColumn id="2" xr3:uid="{00000000-0010-0000-3A01-000002000000}" name="ARTÍCULO"/>
    <tableColumn id="3" xr3:uid="{00000000-0010-0000-3A01-000003000000}" name="UNIDAD DE MEDIDA"/>
    <tableColumn id="4" xr3:uid="{00000000-0010-0000-3A01-000004000000}" name="CANTIDAD TOTAL ESTIMADA"/>
    <tableColumn id="5" xr3:uid="{00000000-0010-0000-3A01-000005000000}" name="PRECIO UNITARIO ESTIMADO"/>
    <tableColumn id="6" xr3:uid="{00000000-0010-0000-3A01-000006000000}" name="MONTO TOTAL ESTIMADO"/>
  </tableColumns>
  <tableStyleInfo showFirstColumn="0" showLastColumn="0" showRowStripes="1" showColumnStripes="0"/>
</table>
</file>

<file path=xl/tables/table3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3B010000}" name="Table67" displayName="Table67" ref="A1019:F1108" totalsRowShown="0">
  <tableColumns count="6">
    <tableColumn id="1" xr3:uid="{00000000-0010-0000-3B01-000001000000}" name="CÓDIGO CATÁLOGO"/>
    <tableColumn id="2" xr3:uid="{00000000-0010-0000-3B01-000002000000}" name="ARTÍCULO"/>
    <tableColumn id="3" xr3:uid="{00000000-0010-0000-3B01-000003000000}" name="UNIDAD DE MEDIDA"/>
    <tableColumn id="4" xr3:uid="{00000000-0010-0000-3B01-000004000000}" name="CANTIDAD TOTAL ESTIMADA"/>
    <tableColumn id="5" xr3:uid="{00000000-0010-0000-3B01-000005000000}" name="PRECIO UNITARIO ESTIMADO"/>
    <tableColumn id="6" xr3:uid="{00000000-0010-0000-3B01-000006000000}" name="MONTO TOTAL ESTIMADO"/>
  </tableColumns>
  <tableStyleInfo showFirstColumn="0" showLastColumn="0" showRowStripes="1" showColumnStripes="0"/>
</table>
</file>

<file path=xl/tables/table3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3C010000}" name="Table41" displayName="Table41" ref="A684:F686" totalsRowShown="0">
  <tableColumns count="6">
    <tableColumn id="1" xr3:uid="{00000000-0010-0000-3C01-000001000000}" name="CÓDIGO CATÁLOGO"/>
    <tableColumn id="2" xr3:uid="{00000000-0010-0000-3C01-000002000000}" name="ARTÍCULO"/>
    <tableColumn id="3" xr3:uid="{00000000-0010-0000-3C01-000003000000}" name="UNIDAD DE MEDIDA"/>
    <tableColumn id="4" xr3:uid="{00000000-0010-0000-3C01-000004000000}" name="CANTIDAD TOTAL ESTIMADA"/>
    <tableColumn id="5" xr3:uid="{00000000-0010-0000-3C01-000005000000}" name="PRECIO UNITARIO ESTIMADO"/>
    <tableColumn id="6" xr3:uid="{00000000-0010-0000-3C01-000006000000}" name="MONTO TOTAL ESTIMADO"/>
  </tableColumns>
  <tableStyleInfo showFirstColumn="0" showLastColumn="0" showRowStripes="1" showColumnStripes="0"/>
</table>
</file>

<file path=xl/tables/table3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3D010000}" name="Table34" displayName="Table34" ref="A560:F566" totalsRowShown="0">
  <tableColumns count="6">
    <tableColumn id="1" xr3:uid="{00000000-0010-0000-3D01-000001000000}" name="CÓDIGO CATÁLOGO"/>
    <tableColumn id="2" xr3:uid="{00000000-0010-0000-3D01-000002000000}" name="ARTÍCULO"/>
    <tableColumn id="3" xr3:uid="{00000000-0010-0000-3D01-000003000000}" name="UNIDAD DE MEDIDA"/>
    <tableColumn id="4" xr3:uid="{00000000-0010-0000-3D01-000004000000}" name="CANTIDAD TOTAL ESTIMADA"/>
    <tableColumn id="5" xr3:uid="{00000000-0010-0000-3D01-000005000000}" name="PRECIO UNITARIO ESTIMADO"/>
    <tableColumn id="6" xr3:uid="{00000000-0010-0000-3D01-000006000000}" name="MONTO TOTAL ESTIMADO"/>
  </tableColumns>
  <tableStyleInfo showFirstColumn="0" showLastColumn="0" showRowStripes="1" showColumnStripes="0"/>
</table>
</file>

<file path=xl/tables/table3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5" xr:uid="{00000000-000C-0000-FFFF-FFFF3E010000}" name="Table325" displayName="Table325" ref="A5761:F5774" totalsRowShown="0">
  <tableColumns count="6">
    <tableColumn id="1" xr3:uid="{00000000-0010-0000-3E01-000001000000}" name="CÓDIGO CATÁLOGO"/>
    <tableColumn id="2" xr3:uid="{00000000-0010-0000-3E01-000002000000}" name="ARTÍCULO"/>
    <tableColumn id="3" xr3:uid="{00000000-0010-0000-3E01-000003000000}" name="UNIDAD DE MEDIDA"/>
    <tableColumn id="4" xr3:uid="{00000000-0010-0000-3E01-000004000000}" name="CANTIDAD TOTAL ESTIMADA"/>
    <tableColumn id="5" xr3:uid="{00000000-0010-0000-3E01-000005000000}" name="PRECIO UNITARIO ESTIMADO"/>
    <tableColumn id="6" xr3:uid="{00000000-0010-0000-3E01-000006000000}" name="MONTO TOTAL ESTIMADO"/>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F000000}" name="Table16" displayName="Table16" ref="A330:F331" totalsRowShown="0">
  <tableColumns count="6">
    <tableColumn id="1" xr3:uid="{00000000-0010-0000-1F00-000001000000}" name="CÓDIGO CATÁLOGO"/>
    <tableColumn id="2" xr3:uid="{00000000-0010-0000-1F00-000002000000}" name="ARTÍCULO"/>
    <tableColumn id="3" xr3:uid="{00000000-0010-0000-1F00-000003000000}" name="UNIDAD DE MEDIDA"/>
    <tableColumn id="4" xr3:uid="{00000000-0010-0000-1F00-000004000000}" name="CANTIDAD TOTAL ESTIMADA"/>
    <tableColumn id="5" xr3:uid="{00000000-0010-0000-1F00-000005000000}" name="PRECIO UNITARIO ESTIMADO"/>
    <tableColumn id="6" xr3:uid="{00000000-0010-0000-1F00-000006000000}" name="MONTO TOTAL ESTIMADO"/>
  </tableColumns>
  <tableStyleInfo showFirstColumn="0" showLastColumn="0" showRowStripes="1" showColumnStripes="0"/>
</table>
</file>

<file path=xl/tables/table3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00000000-000C-0000-FFFF-FFFF3F010000}" name="Table249" displayName="Table249" ref="A4582:F4584" totalsRowShown="0">
  <tableColumns count="6">
    <tableColumn id="1" xr3:uid="{00000000-0010-0000-3F01-000001000000}" name="CÓDIGO CATÁLOGO"/>
    <tableColumn id="2" xr3:uid="{00000000-0010-0000-3F01-000002000000}" name="ARTÍCULO"/>
    <tableColumn id="3" xr3:uid="{00000000-0010-0000-3F01-000003000000}" name="UNIDAD DE MEDIDA"/>
    <tableColumn id="4" xr3:uid="{00000000-0010-0000-3F01-000004000000}" name="CANTIDAD TOTAL ESTIMADA"/>
    <tableColumn id="5" xr3:uid="{00000000-0010-0000-3F01-000005000000}" name="PRECIO UNITARIO ESTIMADO"/>
    <tableColumn id="6" xr3:uid="{00000000-0010-0000-3F01-000006000000}" name="MONTO TOTAL ESTIMADO"/>
  </tableColumns>
  <tableStyleInfo showFirstColumn="0" showLastColumn="0" showRowStripes="1" showColumnStripes="0"/>
</table>
</file>

<file path=xl/tables/table3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0" xr:uid="{00000000-000C-0000-FFFF-FFFF40010000}" name="Table140" displayName="Table140" ref="A2969:F2971" totalsRowShown="0">
  <tableColumns count="6">
    <tableColumn id="1" xr3:uid="{00000000-0010-0000-4001-000001000000}" name="CÓDIGO CATÁLOGO"/>
    <tableColumn id="2" xr3:uid="{00000000-0010-0000-4001-000002000000}" name="ARTÍCULO"/>
    <tableColumn id="3" xr3:uid="{00000000-0010-0000-4001-000003000000}" name="UNIDAD DE MEDIDA"/>
    <tableColumn id="4" xr3:uid="{00000000-0010-0000-4001-000004000000}" name="CANTIDAD TOTAL ESTIMADA"/>
    <tableColumn id="5" xr3:uid="{00000000-0010-0000-4001-000005000000}" name="PRECIO UNITARIO ESTIMADO"/>
    <tableColumn id="6" xr3:uid="{00000000-0010-0000-4001-000006000000}" name="MONTO TOTAL ESTIMADO"/>
  </tableColumns>
  <tableStyleInfo showFirstColumn="0" showLastColumn="0" showRowStripes="1" showColumnStripes="0"/>
</table>
</file>

<file path=xl/tables/table3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41010000}" name="Table10" displayName="Table10" ref="A260:F262" totalsRowShown="0">
  <tableColumns count="6">
    <tableColumn id="1" xr3:uid="{00000000-0010-0000-4101-000001000000}" name="CÓDIGO CATÁLOGO"/>
    <tableColumn id="2" xr3:uid="{00000000-0010-0000-4101-000002000000}" name="ARTÍCULO"/>
    <tableColumn id="3" xr3:uid="{00000000-0010-0000-4101-000003000000}" name="UNIDAD DE MEDIDA"/>
    <tableColumn id="4" xr3:uid="{00000000-0010-0000-4101-000004000000}" name="CANTIDAD TOTAL ESTIMADA"/>
    <tableColumn id="5" xr3:uid="{00000000-0010-0000-4101-000005000000}" name="PRECIO UNITARIO ESTIMADO"/>
    <tableColumn id="6" xr3:uid="{00000000-0010-0000-4101-000006000000}" name="MONTO TOTAL ESTIMADO"/>
  </tableColumns>
  <tableStyleInfo showFirstColumn="0" showLastColumn="0" showRowStripes="1" showColumnStripes="0"/>
</table>
</file>

<file path=xl/tables/table3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42010000}" name="Table3" displayName="Table3" ref="A8:F9" totalsRowShown="0">
  <autoFilter ref="A8:F9" xr:uid="{00000000-0009-0000-0100-000003000000}"/>
  <tableColumns count="6">
    <tableColumn id="1" xr3:uid="{00000000-0010-0000-4201-000001000000}" name="CÓDIGO CATÁLOGO"/>
    <tableColumn id="2" xr3:uid="{00000000-0010-0000-4201-000002000000}" name="ARTÍCULO"/>
    <tableColumn id="3" xr3:uid="{00000000-0010-0000-4201-000003000000}" name="UNIDAD DE MEDIDA"/>
    <tableColumn id="4" xr3:uid="{00000000-0010-0000-4201-000004000000}" name="CANTIDAD TOTAL ESTIMADA"/>
    <tableColumn id="5" xr3:uid="{00000000-0010-0000-4201-000005000000}" name="PRECIO UNITARIO ESTIMADO"/>
    <tableColumn id="6" xr3:uid="{00000000-0010-0000-4201-000006000000}" name="MONTO TOTAL ESTIMADO"/>
  </tableColumns>
  <tableStyleInfo name="None"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7" xr:uid="{00000000-000C-0000-FFFF-FFFF20000000}" name="Table157" displayName="Table157" ref="A3161:F3162" totalsRowShown="0">
  <tableColumns count="6">
    <tableColumn id="1" xr3:uid="{00000000-0010-0000-2000-000001000000}" name="CÓDIGO CATÁLOGO"/>
    <tableColumn id="2" xr3:uid="{00000000-0010-0000-2000-000002000000}" name="ARTÍCULO"/>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4" xr:uid="{00000000-000C-0000-FFFF-FFFF21000000}" name="Table164" displayName="Table164" ref="A3238:F3239" totalsRowShown="0">
  <tableColumns count="6">
    <tableColumn id="1" xr3:uid="{00000000-0010-0000-2100-000001000000}" name="CÓDIGO CATÁLOGO"/>
    <tableColumn id="2" xr3:uid="{00000000-0010-0000-2100-000002000000}" name="ARTÍCULO"/>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3" xr:uid="{00000000-000C-0000-FFFF-FFFF22000000}" name="Table153" displayName="Table153" ref="A3115:F3118" totalsRowShown="0">
  <tableColumns count="6">
    <tableColumn id="1" xr3:uid="{00000000-0010-0000-2200-000001000000}" name="CÓDIGO CATÁLOGO"/>
    <tableColumn id="2" xr3:uid="{00000000-0010-0000-2200-000002000000}" name="ARTÍCULO"/>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23000000}" name="Table102" displayName="Table102" ref="A1896:F1897" totalsRowShown="0">
  <tableColumns count="6">
    <tableColumn id="1" xr3:uid="{00000000-0010-0000-2300-000001000000}" name="CÓDIGO CATÁLOGO"/>
    <tableColumn id="2" xr3:uid="{00000000-0010-0000-2300-000002000000}" name="ARTÍCULO"/>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24000000}" name="Table20" displayName="Table20" ref="A375:F376" totalsRowShown="0">
  <tableColumns count="6">
    <tableColumn id="1" xr3:uid="{00000000-0010-0000-2400-000001000000}" name="CÓDIGO CATÁLOGO"/>
    <tableColumn id="2" xr3:uid="{00000000-0010-0000-2400-000002000000}" name="ARTÍCULO"/>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0000000-000C-0000-FFFF-FFFF25000000}" name="Table119" displayName="Table119" ref="A2174:F2175" totalsRowShown="0">
  <tableColumns count="6">
    <tableColumn id="1" xr3:uid="{00000000-0010-0000-2500-000001000000}" name="CÓDIGO CATÁLOGO"/>
    <tableColumn id="2" xr3:uid="{00000000-0010-0000-2500-000002000000}" name="ARTÍCULO"/>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00000000-000C-0000-FFFF-FFFF26000000}" name="Table244" displayName="Table244" ref="A4523:F4524" totalsRowShown="0">
  <tableColumns count="6">
    <tableColumn id="1" xr3:uid="{00000000-0010-0000-2600-000001000000}" name="CÓDIGO CATÁLOGO"/>
    <tableColumn id="2" xr3:uid="{00000000-0010-0000-2600-000002000000}" name="ARTÍCULO"/>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3000000}" name="Table5" displayName="Table5" ref="A199:F200" totalsRowShown="0">
  <tableColumns count="6">
    <tableColumn id="1" xr3:uid="{00000000-0010-0000-0300-000001000000}" name="CÓDIGO CATÁLOGO"/>
    <tableColumn id="2" xr3:uid="{00000000-0010-0000-0300-000002000000}" name="ARTÍCULO"/>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27000000}" name="Table59" displayName="Table59" ref="A914:F915" totalsRowShown="0">
  <tableColumns count="6">
    <tableColumn id="1" xr3:uid="{00000000-0010-0000-2700-000001000000}" name="CÓDIGO CATÁLOGO"/>
    <tableColumn id="2" xr3:uid="{00000000-0010-0000-2700-000002000000}" name="ARTÍCULO"/>
    <tableColumn id="3" xr3:uid="{00000000-0010-0000-2700-000003000000}" name="UNIDAD DE MEDIDA"/>
    <tableColumn id="4" xr3:uid="{00000000-0010-0000-2700-000004000000}" name="CANTIDAD TOTAL ESTIMADA"/>
    <tableColumn id="5" xr3:uid="{00000000-0010-0000-2700-000005000000}" name="PRECIO UNITARIO ESTIMADO"/>
    <tableColumn id="6" xr3:uid="{00000000-0010-0000-2700-000006000000}" name="MONTO TOTAL ESTIMADO"/>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28000000}" name="Table15" displayName="Table15" ref="A318:F320" totalsRowShown="0">
  <tableColumns count="6">
    <tableColumn id="1" xr3:uid="{00000000-0010-0000-2800-000001000000}" name="CÓDIGO CATÁLOGO"/>
    <tableColumn id="2" xr3:uid="{00000000-0010-0000-2800-000002000000}" name="ARTÍCULO"/>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7" xr:uid="{00000000-000C-0000-FFFF-FFFF29000000}" name="Table317" displayName="Table317" ref="A5610:F5611" totalsRowShown="0">
  <tableColumns count="6">
    <tableColumn id="1" xr3:uid="{00000000-0010-0000-2900-000001000000}" name="CÓDIGO CATÁLOGO"/>
    <tableColumn id="2" xr3:uid="{00000000-0010-0000-2900-000002000000}" name="ARTÍCULO"/>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2A000000}" name="Table192" displayName="Table192" ref="A3659:F3661" totalsRowShown="0">
  <tableColumns count="6">
    <tableColumn id="1" xr3:uid="{00000000-0010-0000-2A00-000001000000}" name="CÓDIGO CATÁLOGO"/>
    <tableColumn id="2" xr3:uid="{00000000-0010-0000-2A00-000002000000}" name="ARTÍCULO"/>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00000000-000C-0000-FFFF-FFFF2B000000}" name="Table97" displayName="Table97" ref="A1755:F1759" totalsRowShown="0">
  <tableColumns count="6">
    <tableColumn id="1" xr3:uid="{00000000-0010-0000-2B00-000001000000}" name="CÓDIGO CATÁLOGO"/>
    <tableColumn id="2" xr3:uid="{00000000-0010-0000-2B00-000002000000}" name="ARTÍCULO"/>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2C000000}" name="Table217" displayName="Table217" ref="A4140:F4141" totalsRowShown="0">
  <tableColumns count="6">
    <tableColumn id="1" xr3:uid="{00000000-0010-0000-2C00-000001000000}" name="CÓDIGO CATÁLOGO"/>
    <tableColumn id="2" xr3:uid="{00000000-0010-0000-2C00-000002000000}" name="ARTÍCULO"/>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2D000000}" name="Table215" displayName="Table215" ref="A4116:F4119" totalsRowShown="0">
  <tableColumns count="6">
    <tableColumn id="1" xr3:uid="{00000000-0010-0000-2D00-000001000000}" name="CÓDIGO CATÁLOGO"/>
    <tableColumn id="2" xr3:uid="{00000000-0010-0000-2D00-000002000000}" name="ARTÍCULO"/>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2E000000}" name="Table78" displayName="Table78" ref="A1280:F1281" totalsRowShown="0">
  <tableColumns count="6">
    <tableColumn id="1" xr3:uid="{00000000-0010-0000-2E00-000001000000}" name="CÓDIGO CATÁLOGO"/>
    <tableColumn id="2" xr3:uid="{00000000-0010-0000-2E00-000002000000}" name="ARTÍCULO"/>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00000000-000C-0000-FFFF-FFFF2F000000}" name="Table125" displayName="Table125" ref="A2252:F2254" totalsRowShown="0">
  <tableColumns count="6">
    <tableColumn id="1" xr3:uid="{00000000-0010-0000-2F00-000001000000}" name="CÓDIGO CATÁLOGO"/>
    <tableColumn id="2" xr3:uid="{00000000-0010-0000-2F00-000002000000}" name="ARTÍCULO"/>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00000000-000C-0000-FFFF-FFFF30000000}" name="Table149" displayName="Table149" ref="A3069:F3070" totalsRowShown="0">
  <tableColumns count="6">
    <tableColumn id="1" xr3:uid="{00000000-0010-0000-3000-000001000000}" name="CÓDIGO CATÁLOGO"/>
    <tableColumn id="2" xr3:uid="{00000000-0010-0000-3000-000002000000}" name="ARTÍCULO"/>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9" xr:uid="{00000000-000C-0000-FFFF-FFFF04000000}" name="Table299" displayName="Table299" ref="A5283:F5300" totalsRowShown="0">
  <tableColumns count="6">
    <tableColumn id="1" xr3:uid="{00000000-0010-0000-0400-000001000000}" name="CÓDIGO CATÁLOGO"/>
    <tableColumn id="2" xr3:uid="{00000000-0010-0000-0400-000002000000}" name="ARTÍCULO"/>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31000000}" name="Table63" displayName="Table63" ref="A961:F973" totalsRowShown="0">
  <tableColumns count="6">
    <tableColumn id="1" xr3:uid="{00000000-0010-0000-3100-000001000000}" name="CÓDIGO CATÁLOGO"/>
    <tableColumn id="2" xr3:uid="{00000000-0010-0000-3100-000002000000}" name="ARTÍCULO"/>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00000000-000C-0000-FFFF-FFFF32000000}" name="Table139" displayName="Table139" ref="A2956:F2959" totalsRowShown="0">
  <tableColumns count="6">
    <tableColumn id="1" xr3:uid="{00000000-0010-0000-3200-000001000000}" name="CÓDIGO CATÁLOGO"/>
    <tableColumn id="2" xr3:uid="{00000000-0010-0000-3200-000002000000}" name="ARTÍCULO"/>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8" xr:uid="{00000000-000C-0000-FFFF-FFFF33000000}" name="Table258" displayName="Table258" ref="A4699:F4700" totalsRowShown="0">
  <tableColumns count="6">
    <tableColumn id="1" xr3:uid="{00000000-0010-0000-3300-000001000000}" name="CÓDIGO CATÁLOGO"/>
    <tableColumn id="2" xr3:uid="{00000000-0010-0000-3300-000002000000}" name="ARTÍCULO"/>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34000000}" name="Table28" displayName="Table28" ref="A471:F481" totalsRowShown="0">
  <tableColumns count="6">
    <tableColumn id="1" xr3:uid="{00000000-0010-0000-3400-000001000000}" name="CÓDIGO CATÁLOGO"/>
    <tableColumn id="2" xr3:uid="{00000000-0010-0000-3400-000002000000}" name="ARTÍCULO"/>
    <tableColumn id="3" xr3:uid="{00000000-0010-0000-3400-000003000000}" name="UNIDAD DE MEDIDA"/>
    <tableColumn id="4" xr3:uid="{00000000-0010-0000-3400-000004000000}" name="CANTIDAD TOTAL ESTIMADA"/>
    <tableColumn id="5" xr3:uid="{00000000-0010-0000-3400-000005000000}" name="PRECIO UNITARIO ESTIMADO"/>
    <tableColumn id="6" xr3:uid="{00000000-0010-0000-3400-000006000000}" name="MONTO TOTAL ESTIMADO"/>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35000000}" name="Table21" displayName="Table21" ref="A386:F387" totalsRowShown="0">
  <tableColumns count="6">
    <tableColumn id="1" xr3:uid="{00000000-0010-0000-3500-000001000000}" name="CÓDIGO CATÁLOGO"/>
    <tableColumn id="2" xr3:uid="{00000000-0010-0000-3500-000002000000}" name="ARTÍCULO"/>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36000000}" name="Table181" displayName="Table181" ref="A3528:F3531" totalsRowShown="0">
  <tableColumns count="6">
    <tableColumn id="1" xr3:uid="{00000000-0010-0000-3600-000001000000}" name="CÓDIGO CATÁLOGO"/>
    <tableColumn id="2" xr3:uid="{00000000-0010-0000-3600-000002000000}" name="ARTÍCULO"/>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9" xr:uid="{00000000-000C-0000-FFFF-FFFF37000000}" name="Table219" displayName="Table219" ref="A4211:F4213" totalsRowShown="0">
  <tableColumns count="6">
    <tableColumn id="1" xr3:uid="{00000000-0010-0000-3700-000001000000}" name="CÓDIGO CATÁLOGO"/>
    <tableColumn id="2" xr3:uid="{00000000-0010-0000-3700-000002000000}" name="ARTÍCULO"/>
    <tableColumn id="3" xr3:uid="{00000000-0010-0000-3700-000003000000}" name="UNIDAD DE MEDIDA"/>
    <tableColumn id="4" xr3:uid="{00000000-0010-0000-3700-000004000000}" name="CANTIDAD TOTAL ESTIMADA"/>
    <tableColumn id="5" xr3:uid="{00000000-0010-0000-3700-000005000000}" name="PRECIO UNITARIO ESTIMADO"/>
    <tableColumn id="6" xr3:uid="{00000000-0010-0000-3700-000006000000}" name="MONTO TOTAL ESTIMADO"/>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1" xr:uid="{00000000-000C-0000-FFFF-FFFF38000000}" name="Table281" displayName="Table281" ref="A5042:F5048" totalsRowShown="0">
  <tableColumns count="6">
    <tableColumn id="1" xr3:uid="{00000000-0010-0000-3800-000001000000}" name="CÓDIGO CATÁLOGO"/>
    <tableColumn id="2" xr3:uid="{00000000-0010-0000-3800-000002000000}" name="ARTÍCULO"/>
    <tableColumn id="3" xr3:uid="{00000000-0010-0000-3800-000003000000}" name="UNIDAD DE MEDIDA"/>
    <tableColumn id="4" xr3:uid="{00000000-0010-0000-3800-000004000000}" name="CANTIDAD TOTAL ESTIMADA"/>
    <tableColumn id="5" xr3:uid="{00000000-0010-0000-3800-000005000000}" name="PRECIO UNITARIO ESTIMADO"/>
    <tableColumn id="6" xr3:uid="{00000000-0010-0000-3800-000006000000}" name="MONTO TOTAL ESTIMADO"/>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39000000}" name="Table36" displayName="Table36" ref="A598:F612" totalsRowShown="0">
  <tableColumns count="6">
    <tableColumn id="1" xr3:uid="{00000000-0010-0000-3900-000001000000}" name="CÓDIGO CATÁLOGO"/>
    <tableColumn id="2" xr3:uid="{00000000-0010-0000-3900-000002000000}" name="ARTÍCULO"/>
    <tableColumn id="3" xr3:uid="{00000000-0010-0000-3900-000003000000}" name="UNIDAD DE MEDIDA"/>
    <tableColumn id="4" xr3:uid="{00000000-0010-0000-3900-000004000000}" name="CANTIDAD TOTAL ESTIMADA"/>
    <tableColumn id="5" xr3:uid="{00000000-0010-0000-3900-000005000000}" name="PRECIO UNITARIO ESTIMADO"/>
    <tableColumn id="6" xr3:uid="{00000000-0010-0000-3900-000006000000}" name="MONTO TOTAL ESTIMADO"/>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3A000000}" name="Table106" displayName="Table106" ref="A1962:F1968" totalsRowShown="0">
  <tableColumns count="6">
    <tableColumn id="1" xr3:uid="{00000000-0010-0000-3A00-000001000000}" name="CÓDIGO CATÁLOGO"/>
    <tableColumn id="2" xr3:uid="{00000000-0010-0000-3A00-000002000000}" name="ARTÍCULO"/>
    <tableColumn id="3" xr3:uid="{00000000-0010-0000-3A00-000003000000}" name="UNIDAD DE MEDIDA"/>
    <tableColumn id="4" xr3:uid="{00000000-0010-0000-3A00-000004000000}" name="CANTIDAD TOTAL ESTIMADA"/>
    <tableColumn id="5" xr3:uid="{00000000-0010-0000-3A00-000005000000}" name="PRECIO UNITARIO ESTIMADO"/>
    <tableColumn id="6" xr3:uid="{00000000-0010-0000-3A00-000006000000}" name="MONTO TOTAL ESTIMADO"/>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1" xr:uid="{00000000-000C-0000-FFFF-FFFF05000000}" name="Table171" displayName="Table171" ref="A3413:F3414" totalsRowShown="0">
  <tableColumns count="6">
    <tableColumn id="1" xr3:uid="{00000000-0010-0000-0500-000001000000}" name="CÓDIGO CATÁLOGO"/>
    <tableColumn id="2" xr3:uid="{00000000-0010-0000-0500-000002000000}" name="ARTÍCULO"/>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3B000000}" name="Table218" displayName="Table218" ref="A4151:F4201" totalsRowShown="0">
  <tableColumns count="6">
    <tableColumn id="1" xr3:uid="{00000000-0010-0000-3B00-000001000000}" name="CÓDIGO CATÁLOGO"/>
    <tableColumn id="2" xr3:uid="{00000000-0010-0000-3B00-000002000000}" name="ARTÍCULO"/>
    <tableColumn id="3" xr3:uid="{00000000-0010-0000-3B00-000003000000}" name="UNIDAD DE MEDIDA"/>
    <tableColumn id="4" xr3:uid="{00000000-0010-0000-3B00-000004000000}" name="CANTIDAD TOTAL ESTIMADA"/>
    <tableColumn id="5" xr3:uid="{00000000-0010-0000-3B00-000005000000}" name="PRECIO UNITARIO ESTIMADO"/>
    <tableColumn id="6" xr3:uid="{00000000-0010-0000-3B00-000006000000}" name="MONTO TOTAL ESTIMADO"/>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5" xr:uid="{00000000-000C-0000-FFFF-FFFF3C000000}" name="Table175" displayName="Table175" ref="A3457:F3458" totalsRowShown="0">
  <tableColumns count="6">
    <tableColumn id="1" xr3:uid="{00000000-0010-0000-3C00-000001000000}" name="CÓDIGO CATÁLOGO"/>
    <tableColumn id="2" xr3:uid="{00000000-0010-0000-3C00-000002000000}" name="ARTÍCULO"/>
    <tableColumn id="3" xr3:uid="{00000000-0010-0000-3C00-000003000000}" name="UNIDAD DE MEDIDA"/>
    <tableColumn id="4" xr3:uid="{00000000-0010-0000-3C00-000004000000}" name="CANTIDAD TOTAL ESTIMADA"/>
    <tableColumn id="5" xr3:uid="{00000000-0010-0000-3C00-000005000000}" name="PRECIO UNITARIO ESTIMADO"/>
    <tableColumn id="6" xr3:uid="{00000000-0010-0000-3C00-000006000000}" name="MONTO TOTAL ESTIMADO"/>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3D000000}" name="Table207" displayName="Table207" ref="A3900:F3912" totalsRowShown="0">
  <tableColumns count="6">
    <tableColumn id="1" xr3:uid="{00000000-0010-0000-3D00-000001000000}" name="CÓDIGO CATÁLOGO"/>
    <tableColumn id="2" xr3:uid="{00000000-0010-0000-3D00-000002000000}" name="ARTÍCULO"/>
    <tableColumn id="3" xr3:uid="{00000000-0010-0000-3D00-000003000000}" name="UNIDAD DE MEDIDA"/>
    <tableColumn id="4" xr3:uid="{00000000-0010-0000-3D00-000004000000}" name="CANTIDAD TOTAL ESTIMADA"/>
    <tableColumn id="5" xr3:uid="{00000000-0010-0000-3D00-000005000000}" name="PRECIO UNITARIO ESTIMADO"/>
    <tableColumn id="6" xr3:uid="{00000000-0010-0000-3D00-000006000000}" name="MONTO TOTAL ESTIMADO"/>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3E000000}" name="Table44" displayName="Table44" ref="A721:F723" totalsRowShown="0">
  <tableColumns count="6">
    <tableColumn id="1" xr3:uid="{00000000-0010-0000-3E00-000001000000}" name="CÓDIGO CATÁLOGO"/>
    <tableColumn id="2" xr3:uid="{00000000-0010-0000-3E00-000002000000}" name="ARTÍCULO"/>
    <tableColumn id="3" xr3:uid="{00000000-0010-0000-3E00-000003000000}" name="UNIDAD DE MEDIDA"/>
    <tableColumn id="4" xr3:uid="{00000000-0010-0000-3E00-000004000000}" name="CANTIDAD TOTAL ESTIMADA"/>
    <tableColumn id="5" xr3:uid="{00000000-0010-0000-3E00-000005000000}" name="PRECIO UNITARIO ESTIMADO"/>
    <tableColumn id="6" xr3:uid="{00000000-0010-0000-3E00-000006000000}" name="MONTO TOTAL ESTIMADO"/>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3F000000}" name="Table94" displayName="Table94" ref="A1577:F1629" totalsRowShown="0">
  <tableColumns count="6">
    <tableColumn id="1" xr3:uid="{00000000-0010-0000-3F00-000001000000}" name="CÓDIGO CATÁLOGO"/>
    <tableColumn id="2" xr3:uid="{00000000-0010-0000-3F00-000002000000}" name="ARTÍCULO"/>
    <tableColumn id="3" xr3:uid="{00000000-0010-0000-3F00-000003000000}" name="UNIDAD DE MEDIDA"/>
    <tableColumn id="4" xr3:uid="{00000000-0010-0000-3F00-000004000000}" name="CANTIDAD TOTAL ESTIMADA"/>
    <tableColumn id="5" xr3:uid="{00000000-0010-0000-3F00-000005000000}" name="PRECIO UNITARIO ESTIMADO"/>
    <tableColumn id="6" xr3:uid="{00000000-0010-0000-3F00-000006000000}" name="MONTO TOTAL ESTIMADO"/>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00000000-000C-0000-FFFF-FFFF40000000}" name="Table250" displayName="Table250" ref="A4594:F4596" totalsRowShown="0">
  <tableColumns count="6">
    <tableColumn id="1" xr3:uid="{00000000-0010-0000-4000-000001000000}" name="CÓDIGO CATÁLOGO"/>
    <tableColumn id="2" xr3:uid="{00000000-0010-0000-4000-000002000000}" name="ARTÍCULO"/>
    <tableColumn id="3" xr3:uid="{00000000-0010-0000-4000-000003000000}" name="UNIDAD DE MEDIDA"/>
    <tableColumn id="4" xr3:uid="{00000000-0010-0000-4000-000004000000}" name="CANTIDAD TOTAL ESTIMADA"/>
    <tableColumn id="5" xr3:uid="{00000000-0010-0000-4000-000005000000}" name="PRECIO UNITARIO ESTIMADO"/>
    <tableColumn id="6" xr3:uid="{00000000-0010-0000-4000-000006000000}" name="MONTO TOTAL ESTIMADO"/>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00000000-000C-0000-FFFF-FFFF41000000}" name="Table248" displayName="Table248" ref="A4571:F4572" totalsRowShown="0">
  <tableColumns count="6">
    <tableColumn id="1" xr3:uid="{00000000-0010-0000-4100-000001000000}" name="CÓDIGO CATÁLOGO"/>
    <tableColumn id="2" xr3:uid="{00000000-0010-0000-4100-000002000000}" name="ARTÍCULO"/>
    <tableColumn id="3" xr3:uid="{00000000-0010-0000-4100-000003000000}" name="UNIDAD DE MEDIDA"/>
    <tableColumn id="4" xr3:uid="{00000000-0010-0000-4100-000004000000}" name="CANTIDAD TOTAL ESTIMADA"/>
    <tableColumn id="5" xr3:uid="{00000000-0010-0000-4100-000005000000}" name="PRECIO UNITARIO ESTIMADO"/>
    <tableColumn id="6" xr3:uid="{00000000-0010-0000-4100-000006000000}" name="MONTO TOTAL ESTIMADO"/>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42000000}" name="Table4" displayName="Table4" ref="A22:F189" totalsRowShown="0">
  <tableColumns count="6">
    <tableColumn id="1" xr3:uid="{00000000-0010-0000-4200-000001000000}" name="CÓDIGO CATÁLOGO"/>
    <tableColumn id="2" xr3:uid="{00000000-0010-0000-4200-000002000000}" name="ARTÍCULO"/>
    <tableColumn id="3" xr3:uid="{00000000-0010-0000-4200-000003000000}" name="UNIDAD DE MEDIDA"/>
    <tableColumn id="4" xr3:uid="{00000000-0010-0000-4200-000004000000}" name="CANTIDAD TOTAL ESTIMADA"/>
    <tableColumn id="5" xr3:uid="{00000000-0010-0000-4200-000005000000}" name="PRECIO UNITARIO ESTIMADO"/>
    <tableColumn id="6" xr3:uid="{00000000-0010-0000-4200-000006000000}" name="MONTO TOTAL ESTIMADO"/>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43000000}" name="Table202" displayName="Table202" ref="A3805:F3811" totalsRowShown="0">
  <tableColumns count="6">
    <tableColumn id="1" xr3:uid="{00000000-0010-0000-4300-000001000000}" name="CÓDIGO CATÁLOGO"/>
    <tableColumn id="2" xr3:uid="{00000000-0010-0000-4300-000002000000}" name="ARTÍCULO"/>
    <tableColumn id="3" xr3:uid="{00000000-0010-0000-4300-000003000000}" name="UNIDAD DE MEDIDA"/>
    <tableColumn id="4" xr3:uid="{00000000-0010-0000-4300-000004000000}" name="CANTIDAD TOTAL ESTIMADA"/>
    <tableColumn id="5" xr3:uid="{00000000-0010-0000-4300-000005000000}" name="PRECIO UNITARIO ESTIMADO"/>
    <tableColumn id="6" xr3:uid="{00000000-0010-0000-4300-000006000000}" name="MONTO TOTAL ESTIMADO"/>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00000000-000C-0000-FFFF-FFFF44000000}" name="Table103" displayName="Table103" ref="A1907:F1911" totalsRowShown="0">
  <tableColumns count="6">
    <tableColumn id="1" xr3:uid="{00000000-0010-0000-4400-000001000000}" name="CÓDIGO CATÁLOGO"/>
    <tableColumn id="2" xr3:uid="{00000000-0010-0000-4400-000002000000}" name="ARTÍCULO"/>
    <tableColumn id="3" xr3:uid="{00000000-0010-0000-4400-000003000000}" name="UNIDAD DE MEDIDA"/>
    <tableColumn id="4" xr3:uid="{00000000-0010-0000-4400-000004000000}" name="CANTIDAD TOTAL ESTIMADA"/>
    <tableColumn id="5" xr3:uid="{00000000-0010-0000-4400-000005000000}" name="PRECIO UNITARIO ESTIMADO"/>
    <tableColumn id="6" xr3:uid="{00000000-0010-0000-4400-000006000000}" name="MONTO TOTAL ESTIMADO"/>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06000000}" name="Table30" displayName="Table30" ref="A508:F512" totalsRowShown="0">
  <tableColumns count="6">
    <tableColumn id="1" xr3:uid="{00000000-0010-0000-0600-000001000000}" name="CÓDIGO CATÁLOGO"/>
    <tableColumn id="2" xr3:uid="{00000000-0010-0000-0600-000002000000}" name="ARTÍCULO"/>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45000000}" name="Table112" displayName="Table112" ref="A2073:F2077" totalsRowShown="0">
  <tableColumns count="6">
    <tableColumn id="1" xr3:uid="{00000000-0010-0000-4500-000001000000}" name="CÓDIGO CATÁLOGO"/>
    <tableColumn id="2" xr3:uid="{00000000-0010-0000-4500-000002000000}" name="ARTÍCULO"/>
    <tableColumn id="3" xr3:uid="{00000000-0010-0000-4500-000003000000}" name="UNIDAD DE MEDIDA"/>
    <tableColumn id="4" xr3:uid="{00000000-0010-0000-4500-000004000000}" name="CANTIDAD TOTAL ESTIMADA"/>
    <tableColumn id="5" xr3:uid="{00000000-0010-0000-4500-000005000000}" name="PRECIO UNITARIO ESTIMADO"/>
    <tableColumn id="6" xr3:uid="{00000000-0010-0000-4500-000006000000}" name="MONTO TOTAL ESTIMADO"/>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0" xr:uid="{00000000-000C-0000-FFFF-FFFF46000000}" name="Table280" displayName="Table280" ref="A5029:F5032" totalsRowShown="0">
  <tableColumns count="6">
    <tableColumn id="1" xr3:uid="{00000000-0010-0000-4600-000001000000}" name="CÓDIGO CATÁLOGO"/>
    <tableColumn id="2" xr3:uid="{00000000-0010-0000-4600-000002000000}" name="ARTÍCULO"/>
    <tableColumn id="3" xr3:uid="{00000000-0010-0000-4600-000003000000}" name="UNIDAD DE MEDIDA"/>
    <tableColumn id="4" xr3:uid="{00000000-0010-0000-4600-000004000000}" name="CANTIDAD TOTAL ESTIMADA"/>
    <tableColumn id="5" xr3:uid="{00000000-0010-0000-4600-000005000000}" name="PRECIO UNITARIO ESTIMADO"/>
    <tableColumn id="6" xr3:uid="{00000000-0010-0000-4600-000006000000}" name="MONTO TOTAL ESTIMADO"/>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47000000}" name="Table24" displayName="Table24" ref="A421:F427" totalsRowShown="0">
  <tableColumns count="6">
    <tableColumn id="1" xr3:uid="{00000000-0010-0000-4700-000001000000}" name="CÓDIGO CATÁLOGO"/>
    <tableColumn id="2" xr3:uid="{00000000-0010-0000-4700-000002000000}" name="ARTÍCULO"/>
    <tableColumn id="3" xr3:uid="{00000000-0010-0000-4700-000003000000}" name="UNIDAD DE MEDIDA"/>
    <tableColumn id="4" xr3:uid="{00000000-0010-0000-4700-000004000000}" name="CANTIDAD TOTAL ESTIMADA"/>
    <tableColumn id="5" xr3:uid="{00000000-0010-0000-4700-000005000000}" name="PRECIO UNITARIO ESTIMADO"/>
    <tableColumn id="6" xr3:uid="{00000000-0010-0000-4700-000006000000}" name="MONTO TOTAL ESTIMADO"/>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48000000}" name="Table180" displayName="Table180" ref="A3517:F3518" totalsRowShown="0">
  <tableColumns count="6">
    <tableColumn id="1" xr3:uid="{00000000-0010-0000-4800-000001000000}" name="CÓDIGO CATÁLOGO"/>
    <tableColumn id="2" xr3:uid="{00000000-0010-0000-4800-000002000000}" name="ARTÍCULO"/>
    <tableColumn id="3" xr3:uid="{00000000-0010-0000-4800-000003000000}" name="UNIDAD DE MEDIDA"/>
    <tableColumn id="4" xr3:uid="{00000000-0010-0000-4800-000004000000}" name="CANTIDAD TOTAL ESTIMADA"/>
    <tableColumn id="5" xr3:uid="{00000000-0010-0000-4800-000005000000}" name="PRECIO UNITARIO ESTIMADO"/>
    <tableColumn id="6" xr3:uid="{00000000-0010-0000-4800-000006000000}" name="MONTO TOTAL ESTIMADO"/>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6" xr:uid="{00000000-000C-0000-FFFF-FFFF49000000}" name="Table146" displayName="Table146" ref="A3036:F3037" totalsRowShown="0">
  <tableColumns count="6">
    <tableColumn id="1" xr3:uid="{00000000-0010-0000-4900-000001000000}" name="CÓDIGO CATÁLOGO"/>
    <tableColumn id="2" xr3:uid="{00000000-0010-0000-4900-000002000000}" name="ARTÍCULO"/>
    <tableColumn id="3" xr3:uid="{00000000-0010-0000-4900-000003000000}" name="UNIDAD DE MEDIDA"/>
    <tableColumn id="4" xr3:uid="{00000000-0010-0000-4900-000004000000}" name="CANTIDAD TOTAL ESTIMADA"/>
    <tableColumn id="5" xr3:uid="{00000000-0010-0000-4900-000005000000}" name="PRECIO UNITARIO ESTIMADO"/>
    <tableColumn id="6" xr3:uid="{00000000-0010-0000-4900-000006000000}" name="MONTO TOTAL ESTIMADO"/>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1" xr:uid="{00000000-000C-0000-FFFF-FFFF4A000000}" name="Table221" displayName="Table221" ref="A4235:F4236" totalsRowShown="0">
  <tableColumns count="6">
    <tableColumn id="1" xr3:uid="{00000000-0010-0000-4A00-000001000000}" name="CÓDIGO CATÁLOGO"/>
    <tableColumn id="2" xr3:uid="{00000000-0010-0000-4A00-000002000000}" name="ARTÍCULO"/>
    <tableColumn id="3" xr3:uid="{00000000-0010-0000-4A00-000003000000}" name="UNIDAD DE MEDIDA"/>
    <tableColumn id="4" xr3:uid="{00000000-0010-0000-4A00-000004000000}" name="CANTIDAD TOTAL ESTIMADA"/>
    <tableColumn id="5" xr3:uid="{00000000-0010-0000-4A00-000005000000}" name="PRECIO UNITARIO ESTIMADO"/>
    <tableColumn id="6" xr3:uid="{00000000-0010-0000-4A00-000006000000}" name="MONTO TOTAL ESTIMADO"/>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4B000000}" name="Table212" displayName="Table212" ref="A4049:F4067" totalsRowShown="0">
  <tableColumns count="6">
    <tableColumn id="1" xr3:uid="{00000000-0010-0000-4B00-000001000000}" name="CÓDIGO CATÁLOGO"/>
    <tableColumn id="2" xr3:uid="{00000000-0010-0000-4B00-000002000000}" name="ARTÍCULO"/>
    <tableColumn id="3" xr3:uid="{00000000-0010-0000-4B00-000003000000}" name="UNIDAD DE MEDIDA"/>
    <tableColumn id="4" xr3:uid="{00000000-0010-0000-4B00-000004000000}" name="CANTIDAD TOTAL ESTIMADA"/>
    <tableColumn id="5" xr3:uid="{00000000-0010-0000-4B00-000005000000}" name="PRECIO UNITARIO ESTIMADO"/>
    <tableColumn id="6" xr3:uid="{00000000-0010-0000-4B00-000006000000}" name="MONTO TOTAL ESTIMADO"/>
  </tableColumns>
  <tableStyleInfo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4C000000}" name="Table193" displayName="Table193" ref="A3671:F3672" totalsRowShown="0">
  <tableColumns count="6">
    <tableColumn id="1" xr3:uid="{00000000-0010-0000-4C00-000001000000}" name="CÓDIGO CATÁLOGO"/>
    <tableColumn id="2" xr3:uid="{00000000-0010-0000-4C00-000002000000}" name="ARTÍCULO"/>
    <tableColumn id="3" xr3:uid="{00000000-0010-0000-4C00-000003000000}" name="UNIDAD DE MEDIDA"/>
    <tableColumn id="4" xr3:uid="{00000000-0010-0000-4C00-000004000000}" name="CANTIDAD TOTAL ESTIMADA"/>
    <tableColumn id="5" xr3:uid="{00000000-0010-0000-4C00-000005000000}" name="PRECIO UNITARIO ESTIMADO"/>
    <tableColumn id="6" xr3:uid="{00000000-0010-0000-4C00-000006000000}" name="MONTO TOTAL ESTIMADO"/>
  </tableColumns>
  <tableStyleInfo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4D000000}" name="Table237" displayName="Table237" ref="A4438:F4439" totalsRowShown="0">
  <tableColumns count="6">
    <tableColumn id="1" xr3:uid="{00000000-0010-0000-4D00-000001000000}" name="CÓDIGO CATÁLOGO"/>
    <tableColumn id="2" xr3:uid="{00000000-0010-0000-4D00-000002000000}" name="ARTÍCULO"/>
    <tableColumn id="3" xr3:uid="{00000000-0010-0000-4D00-000003000000}" name="UNIDAD DE MEDIDA"/>
    <tableColumn id="4" xr3:uid="{00000000-0010-0000-4D00-000004000000}" name="CANTIDAD TOTAL ESTIMADA"/>
    <tableColumn id="5" xr3:uid="{00000000-0010-0000-4D00-000005000000}" name="PRECIO UNITARIO ESTIMADO"/>
    <tableColumn id="6" xr3:uid="{00000000-0010-0000-4D00-000006000000}" name="MONTO TOTAL ESTIMADO"/>
  </tableColumns>
  <tableStyleInfo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4E000000}" name="Table51" displayName="Table51" ref="A805:F806" totalsRowShown="0">
  <tableColumns count="6">
    <tableColumn id="1" xr3:uid="{00000000-0010-0000-4E00-000001000000}" name="CÓDIGO CATÁLOGO"/>
    <tableColumn id="2" xr3:uid="{00000000-0010-0000-4E00-000002000000}" name="ARTÍCULO"/>
    <tableColumn id="3" xr3:uid="{00000000-0010-0000-4E00-000003000000}" name="UNIDAD DE MEDIDA"/>
    <tableColumn id="4" xr3:uid="{00000000-0010-0000-4E00-000004000000}" name="CANTIDAD TOTAL ESTIMADA"/>
    <tableColumn id="5" xr3:uid="{00000000-0010-0000-4E00-000005000000}" name="PRECIO UNITARIO ESTIMADO"/>
    <tableColumn id="6" xr3:uid="{00000000-0010-0000-4E00-000006000000}" name="MONTO TOTAL ESTIMADO"/>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07000000}" name="Table213" displayName="Table213" ref="A4077:F4092" totalsRowShown="0">
  <tableColumns count="6">
    <tableColumn id="1" xr3:uid="{00000000-0010-0000-0700-000001000000}" name="CÓDIGO CATÁLOGO"/>
    <tableColumn id="2" xr3:uid="{00000000-0010-0000-0700-000002000000}" name="ARTÍCULO"/>
    <tableColumn id="3" xr3:uid="{00000000-0010-0000-0700-000003000000}" name="UNIDAD DE MEDIDA"/>
    <tableColumn id="4" xr3:uid="{00000000-0010-0000-0700-000004000000}" name="CANTIDAD TOTAL ESTIMADA"/>
    <tableColumn id="5" xr3:uid="{00000000-0010-0000-0700-000005000000}" name="PRECIO UNITARIO ESTIMADO"/>
    <tableColumn id="6" xr3:uid="{00000000-0010-0000-0700-000006000000}" name="MONTO TOTAL ESTIMADO"/>
  </tableColumns>
  <tableStyleInfo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4F000000}" name="Table19" displayName="Table19" ref="A364:F365" totalsRowShown="0">
  <tableColumns count="6">
    <tableColumn id="1" xr3:uid="{00000000-0010-0000-4F00-000001000000}" name="CÓDIGO CATÁLOGO"/>
    <tableColumn id="2" xr3:uid="{00000000-0010-0000-4F00-000002000000}" name="ARTÍCULO"/>
    <tableColumn id="3" xr3:uid="{00000000-0010-0000-4F00-000003000000}" name="UNIDAD DE MEDIDA"/>
    <tableColumn id="4" xr3:uid="{00000000-0010-0000-4F00-000004000000}" name="CANTIDAD TOTAL ESTIMADA"/>
    <tableColumn id="5" xr3:uid="{00000000-0010-0000-4F00-000005000000}" name="PRECIO UNITARIO ESTIMADO"/>
    <tableColumn id="6" xr3:uid="{00000000-0010-0000-4F00-000006000000}" name="MONTO TOTAL ESTIMADO"/>
  </tableColumns>
  <tableStyleInfo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6" xr:uid="{00000000-000C-0000-FFFF-FFFF50000000}" name="Table156" displayName="Table156" ref="A3150:F3151" totalsRowShown="0">
  <tableColumns count="6">
    <tableColumn id="1" xr3:uid="{00000000-0010-0000-5000-000001000000}" name="CÓDIGO CATÁLOGO"/>
    <tableColumn id="2" xr3:uid="{00000000-0010-0000-5000-000002000000}" name="ARTÍCULO"/>
    <tableColumn id="3" xr3:uid="{00000000-0010-0000-5000-000003000000}" name="UNIDAD DE MEDIDA"/>
    <tableColumn id="4" xr3:uid="{00000000-0010-0000-5000-000004000000}" name="CANTIDAD TOTAL ESTIMADA"/>
    <tableColumn id="5" xr3:uid="{00000000-0010-0000-5000-000005000000}" name="PRECIO UNITARIO ESTIMADO"/>
    <tableColumn id="6" xr3:uid="{00000000-0010-0000-5000-000006000000}" name="MONTO TOTAL ESTIMADO"/>
  </tableColumns>
  <tableStyleInfo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51000000}" name="Table76" displayName="Table76" ref="A1257:F1259" totalsRowShown="0">
  <tableColumns count="6">
    <tableColumn id="1" xr3:uid="{00000000-0010-0000-5100-000001000000}" name="CÓDIGO CATÁLOGO"/>
    <tableColumn id="2" xr3:uid="{00000000-0010-0000-5100-000002000000}" name="ARTÍCULO"/>
    <tableColumn id="3" xr3:uid="{00000000-0010-0000-5100-000003000000}" name="UNIDAD DE MEDIDA"/>
    <tableColumn id="4" xr3:uid="{00000000-0010-0000-5100-000004000000}" name="CANTIDAD TOTAL ESTIMADA"/>
    <tableColumn id="5" xr3:uid="{00000000-0010-0000-5100-000005000000}" name="PRECIO UNITARIO ESTIMADO"/>
    <tableColumn id="6" xr3:uid="{00000000-0010-0000-5100-000006000000}" name="MONTO TOTAL ESTIMADO"/>
  </tableColumns>
  <tableStyleInfo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0000000-000C-0000-FFFF-FFFF52000000}" name="Table118" displayName="Table118" ref="A2163:F2164" totalsRowShown="0">
  <tableColumns count="6">
    <tableColumn id="1" xr3:uid="{00000000-0010-0000-5200-000001000000}" name="CÓDIGO CATÁLOGO"/>
    <tableColumn id="2" xr3:uid="{00000000-0010-0000-5200-000002000000}" name="ARTÍCULO"/>
    <tableColumn id="3" xr3:uid="{00000000-0010-0000-5200-000003000000}" name="UNIDAD DE MEDIDA"/>
    <tableColumn id="4" xr3:uid="{00000000-0010-0000-5200-000004000000}" name="CANTIDAD TOTAL ESTIMADA"/>
    <tableColumn id="5" xr3:uid="{00000000-0010-0000-5200-000005000000}" name="PRECIO UNITARIO ESTIMADO"/>
    <tableColumn id="6" xr3:uid="{00000000-0010-0000-5200-000006000000}" name="MONTO TOTAL ESTIMADO"/>
  </tableColumns>
  <tableStyleInfo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4" xr:uid="{00000000-000C-0000-FFFF-FFFF53000000}" name="Table234" displayName="Table234" ref="A4403:F4404" totalsRowShown="0">
  <tableColumns count="6">
    <tableColumn id="1" xr3:uid="{00000000-0010-0000-5300-000001000000}" name="CÓDIGO CATÁLOGO"/>
    <tableColumn id="2" xr3:uid="{00000000-0010-0000-5300-000002000000}" name="ARTÍCULO"/>
    <tableColumn id="3" xr3:uid="{00000000-0010-0000-5300-000003000000}" name="UNIDAD DE MEDIDA"/>
    <tableColumn id="4" xr3:uid="{00000000-0010-0000-5300-000004000000}" name="CANTIDAD TOTAL ESTIMADA"/>
    <tableColumn id="5" xr3:uid="{00000000-0010-0000-5300-000005000000}" name="PRECIO UNITARIO ESTIMADO"/>
    <tableColumn id="6" xr3:uid="{00000000-0010-0000-5300-000006000000}" name="MONTO TOTAL ESTIMADO"/>
  </tableColumns>
  <tableStyleInfo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54000000}" name="Table241" displayName="Table241" ref="A4490:F4491" totalsRowShown="0">
  <tableColumns count="6">
    <tableColumn id="1" xr3:uid="{00000000-0010-0000-5400-000001000000}" name="CÓDIGO CATÁLOGO"/>
    <tableColumn id="2" xr3:uid="{00000000-0010-0000-5400-000002000000}" name="ARTÍCULO"/>
    <tableColumn id="3" xr3:uid="{00000000-0010-0000-5400-000003000000}" name="UNIDAD DE MEDIDA"/>
    <tableColumn id="4" xr3:uid="{00000000-0010-0000-5400-000004000000}" name="CANTIDAD TOTAL ESTIMADA"/>
    <tableColumn id="5" xr3:uid="{00000000-0010-0000-5400-000005000000}" name="PRECIO UNITARIO ESTIMADO"/>
    <tableColumn id="6" xr3:uid="{00000000-0010-0000-5400-000006000000}" name="MONTO TOTAL ESTIMADO"/>
  </tableColumns>
  <tableStyleInfo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00000000-000C-0000-FFFF-FFFF55000000}" name="Table99" displayName="Table99" ref="A1781:F1825" totalsRowShown="0">
  <tableColumns count="6">
    <tableColumn id="1" xr3:uid="{00000000-0010-0000-5500-000001000000}" name="CÓDIGO CATÁLOGO"/>
    <tableColumn id="2" xr3:uid="{00000000-0010-0000-5500-000002000000}" name="ARTÍCULO"/>
    <tableColumn id="3" xr3:uid="{00000000-0010-0000-5500-000003000000}" name="UNIDAD DE MEDIDA"/>
    <tableColumn id="4" xr3:uid="{00000000-0010-0000-5500-000004000000}" name="CANTIDAD TOTAL ESTIMADA"/>
    <tableColumn id="5" xr3:uid="{00000000-0010-0000-5500-000005000000}" name="PRECIO UNITARIO ESTIMADO"/>
    <tableColumn id="6" xr3:uid="{00000000-0010-0000-5500-000006000000}" name="MONTO TOTAL ESTIMADO"/>
  </tableColumns>
  <tableStyleInfo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00000000-000C-0000-FFFF-FFFF56000000}" name="Table138" displayName="Table138" ref="A2943:F2946" totalsRowShown="0">
  <tableColumns count="6">
    <tableColumn id="1" xr3:uid="{00000000-0010-0000-5600-000001000000}" name="CÓDIGO CATÁLOGO"/>
    <tableColumn id="2" xr3:uid="{00000000-0010-0000-5600-000002000000}" name="ARTÍCULO"/>
    <tableColumn id="3" xr3:uid="{00000000-0010-0000-5600-000003000000}" name="UNIDAD DE MEDIDA"/>
    <tableColumn id="4" xr3:uid="{00000000-0010-0000-5600-000004000000}" name="CANTIDAD TOTAL ESTIMADA"/>
    <tableColumn id="5" xr3:uid="{00000000-0010-0000-5600-000005000000}" name="PRECIO UNITARIO ESTIMADO"/>
    <tableColumn id="6" xr3:uid="{00000000-0010-0000-5600-000006000000}" name="MONTO TOTAL ESTIMADO"/>
  </tableColumns>
  <tableStyleInfo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9" xr:uid="{00000000-000C-0000-FFFF-FFFF57000000}" name="Table229" displayName="Table229" ref="A4337:F4347" totalsRowShown="0">
  <tableColumns count="6">
    <tableColumn id="1" xr3:uid="{00000000-0010-0000-5700-000001000000}" name="CÓDIGO CATÁLOGO"/>
    <tableColumn id="2" xr3:uid="{00000000-0010-0000-5700-000002000000}" name="ARTÍCULO"/>
    <tableColumn id="3" xr3:uid="{00000000-0010-0000-5700-000003000000}" name="UNIDAD DE MEDIDA"/>
    <tableColumn id="4" xr3:uid="{00000000-0010-0000-5700-000004000000}" name="CANTIDAD TOTAL ESTIMADA"/>
    <tableColumn id="5" xr3:uid="{00000000-0010-0000-5700-000005000000}" name="PRECIO UNITARIO ESTIMADO"/>
    <tableColumn id="6" xr3:uid="{00000000-0010-0000-5700-000006000000}" name="MONTO TOTAL ESTIMADO"/>
  </tableColumns>
  <tableStyleInfo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00000000-000C-0000-FFFF-FFFF58000000}" name="Table124" displayName="Table124" ref="A2241:F2242" totalsRowShown="0">
  <tableColumns count="6">
    <tableColumn id="1" xr3:uid="{00000000-0010-0000-5800-000001000000}" name="CÓDIGO CATÁLOGO"/>
    <tableColumn id="2" xr3:uid="{00000000-0010-0000-5800-000002000000}" name="ARTÍCULO"/>
    <tableColumn id="3" xr3:uid="{00000000-0010-0000-5800-000003000000}" name="UNIDAD DE MEDIDA"/>
    <tableColumn id="4" xr3:uid="{00000000-0010-0000-5800-000004000000}" name="CANTIDAD TOTAL ESTIMADA"/>
    <tableColumn id="5" xr3:uid="{00000000-0010-0000-5800-000005000000}" name="PRECIO UNITARIO ESTIMADO"/>
    <tableColumn id="6" xr3:uid="{00000000-0010-0000-5800-000006000000}" name="MONTO TOTAL ESTIMADO"/>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08000000}" name="Table115" displayName="Table115" ref="A2116:F2120" totalsRowShown="0">
  <tableColumns count="6">
    <tableColumn id="1" xr3:uid="{00000000-0010-0000-0800-000001000000}" name="CÓDIGO CATÁLOGO"/>
    <tableColumn id="2" xr3:uid="{00000000-0010-0000-0800-000002000000}" name="ARTÍCULO"/>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tableColumns>
  <tableStyleInfo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59000000}" name="Table32" displayName="Table32" ref="A538:F539" totalsRowShown="0">
  <tableColumns count="6">
    <tableColumn id="1" xr3:uid="{00000000-0010-0000-5900-000001000000}" name="CÓDIGO CATÁLOGO"/>
    <tableColumn id="2" xr3:uid="{00000000-0010-0000-5900-000002000000}" name="ARTÍCULO"/>
    <tableColumn id="3" xr3:uid="{00000000-0010-0000-5900-000003000000}" name="UNIDAD DE MEDIDA"/>
    <tableColumn id="4" xr3:uid="{00000000-0010-0000-5900-000004000000}" name="CANTIDAD TOTAL ESTIMADA"/>
    <tableColumn id="5" xr3:uid="{00000000-0010-0000-5900-000005000000}" name="PRECIO UNITARIO ESTIMADO"/>
    <tableColumn id="6" xr3:uid="{00000000-0010-0000-5900-000006000000}" name="MONTO TOTAL ESTIMADO"/>
  </tableColumns>
  <tableStyleInfo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1" xr:uid="{00000000-000C-0000-FFFF-FFFF5A000000}" name="Table321" displayName="Table321" ref="A5656:F5657" totalsRowShown="0">
  <tableColumns count="6">
    <tableColumn id="1" xr3:uid="{00000000-0010-0000-5A00-000001000000}" name="CÓDIGO CATÁLOGO"/>
    <tableColumn id="2" xr3:uid="{00000000-0010-0000-5A00-000002000000}" name="ARTÍCULO"/>
    <tableColumn id="3" xr3:uid="{00000000-0010-0000-5A00-000003000000}" name="UNIDAD DE MEDIDA"/>
    <tableColumn id="4" xr3:uid="{00000000-0010-0000-5A00-000004000000}" name="CANTIDAD TOTAL ESTIMADA"/>
    <tableColumn id="5" xr3:uid="{00000000-0010-0000-5A00-000005000000}" name="PRECIO UNITARIO ESTIMADO"/>
    <tableColumn id="6" xr3:uid="{00000000-0010-0000-5A00-000006000000}" name="MONTO TOTAL ESTIMADO"/>
  </tableColumns>
  <tableStyleInfo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5B000000}" name="Table89" displayName="Table89" ref="A1456:F1457" totalsRowShown="0">
  <tableColumns count="6">
    <tableColumn id="1" xr3:uid="{00000000-0010-0000-5B00-000001000000}" name="CÓDIGO CATÁLOGO"/>
    <tableColumn id="2" xr3:uid="{00000000-0010-0000-5B00-000002000000}" name="ARTÍCULO"/>
    <tableColumn id="3" xr3:uid="{00000000-0010-0000-5B00-000003000000}" name="UNIDAD DE MEDIDA"/>
    <tableColumn id="4" xr3:uid="{00000000-0010-0000-5B00-000004000000}" name="CANTIDAD TOTAL ESTIMADA"/>
    <tableColumn id="5" xr3:uid="{00000000-0010-0000-5B00-000005000000}" name="PRECIO UNITARIO ESTIMADO"/>
    <tableColumn id="6" xr3:uid="{00000000-0010-0000-5B00-000006000000}" name="MONTO TOTAL ESTIMADO"/>
  </tableColumns>
  <tableStyleInfo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7" xr:uid="{00000000-000C-0000-FFFF-FFFF5C000000}" name="Table147" displayName="Table147" ref="A3047:F3048" totalsRowShown="0">
  <tableColumns count="6">
    <tableColumn id="1" xr3:uid="{00000000-0010-0000-5C00-000001000000}" name="CÓDIGO CATÁLOGO"/>
    <tableColumn id="2" xr3:uid="{00000000-0010-0000-5C00-000002000000}" name="ARTÍCULO"/>
    <tableColumn id="3" xr3:uid="{00000000-0010-0000-5C00-000003000000}" name="UNIDAD DE MEDIDA"/>
    <tableColumn id="4" xr3:uid="{00000000-0010-0000-5C00-000004000000}" name="CANTIDAD TOTAL ESTIMADA"/>
    <tableColumn id="5" xr3:uid="{00000000-0010-0000-5C00-000005000000}" name="PRECIO UNITARIO ESTIMADO"/>
    <tableColumn id="6" xr3:uid="{00000000-0010-0000-5C00-000006000000}" name="MONTO TOTAL ESTIMADO"/>
  </tableColumns>
  <tableStyleInfo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00000000-000C-0000-FFFF-FFFF5D000000}" name="Table135" displayName="Table135" ref="A2807:F2863" totalsRowShown="0">
  <tableColumns count="6">
    <tableColumn id="1" xr3:uid="{00000000-0010-0000-5D00-000001000000}" name="CÓDIGO CATÁLOGO"/>
    <tableColumn id="2" xr3:uid="{00000000-0010-0000-5D00-000002000000}" name="ARTÍCULO"/>
    <tableColumn id="3" xr3:uid="{00000000-0010-0000-5D00-000003000000}" name="UNIDAD DE MEDIDA"/>
    <tableColumn id="4" xr3:uid="{00000000-0010-0000-5D00-000004000000}" name="CANTIDAD TOTAL ESTIMADA"/>
    <tableColumn id="5" xr3:uid="{00000000-0010-0000-5D00-000005000000}" name="PRECIO UNITARIO ESTIMADO"/>
    <tableColumn id="6" xr3:uid="{00000000-0010-0000-5D00-000006000000}" name="MONTO TOTAL ESTIMADO"/>
  </tableColumns>
  <tableStyleInfo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5E000000}" name="Table114" displayName="Table114" ref="A2102:F2106" totalsRowShown="0">
  <tableColumns count="6">
    <tableColumn id="1" xr3:uid="{00000000-0010-0000-5E00-000001000000}" name="CÓDIGO CATÁLOGO"/>
    <tableColumn id="2" xr3:uid="{00000000-0010-0000-5E00-000002000000}" name="ARTÍCULO"/>
    <tableColumn id="3" xr3:uid="{00000000-0010-0000-5E00-000003000000}" name="UNIDAD DE MEDIDA"/>
    <tableColumn id="4" xr3:uid="{00000000-0010-0000-5E00-000004000000}" name="CANTIDAD TOTAL ESTIMADA"/>
    <tableColumn id="5" xr3:uid="{00000000-0010-0000-5E00-000005000000}" name="PRECIO UNITARIO ESTIMADO"/>
    <tableColumn id="6" xr3:uid="{00000000-0010-0000-5E00-000006000000}" name="MONTO TOTAL ESTIMADO"/>
  </tableColumns>
  <tableStyleInfo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8" xr:uid="{00000000-000C-0000-FFFF-FFFF5F000000}" name="Table288" displayName="Table288" ref="A5136:F5137" totalsRowShown="0">
  <tableColumns count="6">
    <tableColumn id="1" xr3:uid="{00000000-0010-0000-5F00-000001000000}" name="CÓDIGO CATÁLOGO"/>
    <tableColumn id="2" xr3:uid="{00000000-0010-0000-5F00-000002000000}" name="ARTÍCULO"/>
    <tableColumn id="3" xr3:uid="{00000000-0010-0000-5F00-000003000000}" name="UNIDAD DE MEDIDA"/>
    <tableColumn id="4" xr3:uid="{00000000-0010-0000-5F00-000004000000}" name="CANTIDAD TOTAL ESTIMADA"/>
    <tableColumn id="5" xr3:uid="{00000000-0010-0000-5F00-000005000000}" name="PRECIO UNITARIO ESTIMADO"/>
    <tableColumn id="6" xr3:uid="{00000000-0010-0000-5F00-000006000000}" name="MONTO TOTAL ESTIMADO"/>
  </tableColumns>
  <tableStyleInfo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60000000}" name="Table90" displayName="Table90" ref="A1467:F1468" totalsRowShown="0">
  <tableColumns count="6">
    <tableColumn id="1" xr3:uid="{00000000-0010-0000-6000-000001000000}" name="CÓDIGO CATÁLOGO"/>
    <tableColumn id="2" xr3:uid="{00000000-0010-0000-6000-000002000000}" name="ARTÍCULO"/>
    <tableColumn id="3" xr3:uid="{00000000-0010-0000-6000-000003000000}" name="UNIDAD DE MEDIDA"/>
    <tableColumn id="4" xr3:uid="{00000000-0010-0000-6000-000004000000}" name="CANTIDAD TOTAL ESTIMADA"/>
    <tableColumn id="5" xr3:uid="{00000000-0010-0000-6000-000005000000}" name="PRECIO UNITARIO ESTIMADO"/>
    <tableColumn id="6" xr3:uid="{00000000-0010-0000-6000-000006000000}" name="MONTO TOTAL ESTIMADO"/>
  </tableColumns>
  <tableStyleInfo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6" xr:uid="{00000000-000C-0000-FFFF-FFFF61000000}" name="Table276" displayName="Table276" ref="A4971:F4972" totalsRowShown="0">
  <tableColumns count="6">
    <tableColumn id="1" xr3:uid="{00000000-0010-0000-6100-000001000000}" name="CÓDIGO CATÁLOGO"/>
    <tableColumn id="2" xr3:uid="{00000000-0010-0000-6100-000002000000}" name="ARTÍCULO"/>
    <tableColumn id="3" xr3:uid="{00000000-0010-0000-6100-000003000000}" name="UNIDAD DE MEDIDA"/>
    <tableColumn id="4" xr3:uid="{00000000-0010-0000-6100-000004000000}" name="CANTIDAD TOTAL ESTIMADA"/>
    <tableColumn id="5" xr3:uid="{00000000-0010-0000-6100-000005000000}" name="PRECIO UNITARIO ESTIMADO"/>
    <tableColumn id="6" xr3:uid="{00000000-0010-0000-6100-000006000000}" name="MONTO TOTAL ESTIMADO"/>
  </tableColumns>
  <tableStyleInfo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0" xr:uid="{00000000-000C-0000-FFFF-FFFF62000000}" name="Table270" displayName="Table270" ref="A4874:F4887" totalsRowShown="0">
  <tableColumns count="6">
    <tableColumn id="1" xr3:uid="{00000000-0010-0000-6200-000001000000}" name="CÓDIGO CATÁLOGO"/>
    <tableColumn id="2" xr3:uid="{00000000-0010-0000-6200-000002000000}" name="ARTÍCULO"/>
    <tableColumn id="3" xr3:uid="{00000000-0010-0000-6200-000003000000}" name="UNIDAD DE MEDIDA"/>
    <tableColumn id="4" xr3:uid="{00000000-0010-0000-6200-000004000000}" name="CANTIDAD TOTAL ESTIMADA"/>
    <tableColumn id="5" xr3:uid="{00000000-0010-0000-6200-000005000000}" name="PRECIO UNITARIO ESTIMADO"/>
    <tableColumn id="6" xr3:uid="{00000000-0010-0000-6200-000006000000}"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827" Type="http://schemas.openxmlformats.org/officeDocument/2006/relationships/ctrlProp" Target="../ctrlProps/ctrlProp1825.xml"/><Relationship Id="rId3182" Type="http://schemas.openxmlformats.org/officeDocument/2006/relationships/ctrlProp" Target="../ctrlProps/ctrlProp3180.xml"/><Relationship Id="rId3042" Type="http://schemas.openxmlformats.org/officeDocument/2006/relationships/ctrlProp" Target="../ctrlProps/ctrlProp3040.xml"/><Relationship Id="rId170" Type="http://schemas.openxmlformats.org/officeDocument/2006/relationships/ctrlProp" Target="../ctrlProps/ctrlProp168.xml"/><Relationship Id="rId987" Type="http://schemas.openxmlformats.org/officeDocument/2006/relationships/ctrlProp" Target="../ctrlProps/ctrlProp985.xml"/><Relationship Id="rId2668" Type="http://schemas.openxmlformats.org/officeDocument/2006/relationships/ctrlProp" Target="../ctrlProps/ctrlProp2666.xml"/><Relationship Id="rId2875" Type="http://schemas.openxmlformats.org/officeDocument/2006/relationships/ctrlProp" Target="../ctrlProps/ctrlProp2873.xml"/><Relationship Id="rId847" Type="http://schemas.openxmlformats.org/officeDocument/2006/relationships/ctrlProp" Target="../ctrlProps/ctrlProp845.xml"/><Relationship Id="rId1477" Type="http://schemas.openxmlformats.org/officeDocument/2006/relationships/ctrlProp" Target="../ctrlProps/ctrlProp1475.xml"/><Relationship Id="rId1684" Type="http://schemas.openxmlformats.org/officeDocument/2006/relationships/ctrlProp" Target="../ctrlProps/ctrlProp1682.xml"/><Relationship Id="rId1891" Type="http://schemas.openxmlformats.org/officeDocument/2006/relationships/ctrlProp" Target="../ctrlProps/ctrlProp1889.xml"/><Relationship Id="rId2528" Type="http://schemas.openxmlformats.org/officeDocument/2006/relationships/ctrlProp" Target="../ctrlProps/ctrlProp2526.xml"/><Relationship Id="rId2735" Type="http://schemas.openxmlformats.org/officeDocument/2006/relationships/ctrlProp" Target="../ctrlProps/ctrlProp2733.xml"/><Relationship Id="rId2942" Type="http://schemas.openxmlformats.org/officeDocument/2006/relationships/ctrlProp" Target="../ctrlProps/ctrlProp2940.xml"/><Relationship Id="rId707" Type="http://schemas.openxmlformats.org/officeDocument/2006/relationships/ctrlProp" Target="../ctrlProps/ctrlProp705.xml"/><Relationship Id="rId914" Type="http://schemas.openxmlformats.org/officeDocument/2006/relationships/ctrlProp" Target="../ctrlProps/ctrlProp912.xml"/><Relationship Id="rId1337" Type="http://schemas.openxmlformats.org/officeDocument/2006/relationships/ctrlProp" Target="../ctrlProps/ctrlProp1335.xml"/><Relationship Id="rId1544" Type="http://schemas.openxmlformats.org/officeDocument/2006/relationships/ctrlProp" Target="../ctrlProps/ctrlProp1542.xml"/><Relationship Id="rId1751" Type="http://schemas.openxmlformats.org/officeDocument/2006/relationships/ctrlProp" Target="../ctrlProps/ctrlProp1749.xml"/><Relationship Id="rId2802" Type="http://schemas.openxmlformats.org/officeDocument/2006/relationships/ctrlProp" Target="../ctrlProps/ctrlProp2800.xml"/><Relationship Id="rId43" Type="http://schemas.openxmlformats.org/officeDocument/2006/relationships/ctrlProp" Target="../ctrlProps/ctrlProp41.xml"/><Relationship Id="rId1404" Type="http://schemas.openxmlformats.org/officeDocument/2006/relationships/ctrlProp" Target="../ctrlProps/ctrlProp1402.xml"/><Relationship Id="rId1611" Type="http://schemas.openxmlformats.org/officeDocument/2006/relationships/ctrlProp" Target="../ctrlProps/ctrlProp1609.xml"/><Relationship Id="rId3369" Type="http://schemas.openxmlformats.org/officeDocument/2006/relationships/table" Target="../tables/table180.xml"/><Relationship Id="rId497" Type="http://schemas.openxmlformats.org/officeDocument/2006/relationships/ctrlProp" Target="../ctrlProps/ctrlProp495.xml"/><Relationship Id="rId2178" Type="http://schemas.openxmlformats.org/officeDocument/2006/relationships/ctrlProp" Target="../ctrlProps/ctrlProp2176.xml"/><Relationship Id="rId2385" Type="http://schemas.openxmlformats.org/officeDocument/2006/relationships/ctrlProp" Target="../ctrlProps/ctrlProp2383.xml"/><Relationship Id="rId3229" Type="http://schemas.openxmlformats.org/officeDocument/2006/relationships/table" Target="../tables/table40.xml"/><Relationship Id="rId357" Type="http://schemas.openxmlformats.org/officeDocument/2006/relationships/ctrlProp" Target="../ctrlProps/ctrlProp355.xml"/><Relationship Id="rId1194" Type="http://schemas.openxmlformats.org/officeDocument/2006/relationships/ctrlProp" Target="../ctrlProps/ctrlProp1192.xml"/><Relationship Id="rId2038" Type="http://schemas.openxmlformats.org/officeDocument/2006/relationships/ctrlProp" Target="../ctrlProps/ctrlProp2036.xml"/><Relationship Id="rId2592" Type="http://schemas.openxmlformats.org/officeDocument/2006/relationships/ctrlProp" Target="../ctrlProps/ctrlProp2590.xml"/><Relationship Id="rId3436" Type="http://schemas.openxmlformats.org/officeDocument/2006/relationships/table" Target="../tables/table247.xml"/><Relationship Id="rId217" Type="http://schemas.openxmlformats.org/officeDocument/2006/relationships/ctrlProp" Target="../ctrlProps/ctrlProp215.xml"/><Relationship Id="rId564" Type="http://schemas.openxmlformats.org/officeDocument/2006/relationships/ctrlProp" Target="../ctrlProps/ctrlProp562.xml"/><Relationship Id="rId771" Type="http://schemas.openxmlformats.org/officeDocument/2006/relationships/ctrlProp" Target="../ctrlProps/ctrlProp769.xml"/><Relationship Id="rId2245" Type="http://schemas.openxmlformats.org/officeDocument/2006/relationships/ctrlProp" Target="../ctrlProps/ctrlProp2243.xml"/><Relationship Id="rId2452" Type="http://schemas.openxmlformats.org/officeDocument/2006/relationships/ctrlProp" Target="../ctrlProps/ctrlProp2450.xml"/><Relationship Id="rId3503" Type="http://schemas.openxmlformats.org/officeDocument/2006/relationships/table" Target="../tables/table314.xml"/><Relationship Id="rId424" Type="http://schemas.openxmlformats.org/officeDocument/2006/relationships/ctrlProp" Target="../ctrlProps/ctrlProp422.xml"/><Relationship Id="rId631" Type="http://schemas.openxmlformats.org/officeDocument/2006/relationships/ctrlProp" Target="../ctrlProps/ctrlProp629.xml"/><Relationship Id="rId1054" Type="http://schemas.openxmlformats.org/officeDocument/2006/relationships/ctrlProp" Target="../ctrlProps/ctrlProp1052.xml"/><Relationship Id="rId1261" Type="http://schemas.openxmlformats.org/officeDocument/2006/relationships/ctrlProp" Target="../ctrlProps/ctrlProp1259.xml"/><Relationship Id="rId2105" Type="http://schemas.openxmlformats.org/officeDocument/2006/relationships/ctrlProp" Target="../ctrlProps/ctrlProp2103.xml"/><Relationship Id="rId2312" Type="http://schemas.openxmlformats.org/officeDocument/2006/relationships/ctrlProp" Target="../ctrlProps/ctrlProp2310.xml"/><Relationship Id="rId1121" Type="http://schemas.openxmlformats.org/officeDocument/2006/relationships/ctrlProp" Target="../ctrlProps/ctrlProp1119.xml"/><Relationship Id="rId3086" Type="http://schemas.openxmlformats.org/officeDocument/2006/relationships/ctrlProp" Target="../ctrlProps/ctrlProp3084.xml"/><Relationship Id="rId3293" Type="http://schemas.openxmlformats.org/officeDocument/2006/relationships/table" Target="../tables/table104.xml"/><Relationship Id="rId1938" Type="http://schemas.openxmlformats.org/officeDocument/2006/relationships/ctrlProp" Target="../ctrlProps/ctrlProp1936.xml"/><Relationship Id="rId3153" Type="http://schemas.openxmlformats.org/officeDocument/2006/relationships/ctrlProp" Target="../ctrlProps/ctrlProp3151.xml"/><Relationship Id="rId3360" Type="http://schemas.openxmlformats.org/officeDocument/2006/relationships/table" Target="../tables/table171.xml"/><Relationship Id="rId281" Type="http://schemas.openxmlformats.org/officeDocument/2006/relationships/ctrlProp" Target="../ctrlProps/ctrlProp279.xml"/><Relationship Id="rId3013" Type="http://schemas.openxmlformats.org/officeDocument/2006/relationships/ctrlProp" Target="../ctrlProps/ctrlProp3011.xml"/><Relationship Id="rId141" Type="http://schemas.openxmlformats.org/officeDocument/2006/relationships/ctrlProp" Target="../ctrlProps/ctrlProp139.xml"/><Relationship Id="rId3220" Type="http://schemas.openxmlformats.org/officeDocument/2006/relationships/table" Target="../tables/table31.xml"/><Relationship Id="rId7" Type="http://schemas.openxmlformats.org/officeDocument/2006/relationships/ctrlProp" Target="../ctrlProps/ctrlProp5.xml"/><Relationship Id="rId2779" Type="http://schemas.openxmlformats.org/officeDocument/2006/relationships/ctrlProp" Target="../ctrlProps/ctrlProp2777.xml"/><Relationship Id="rId2986" Type="http://schemas.openxmlformats.org/officeDocument/2006/relationships/ctrlProp" Target="../ctrlProps/ctrlProp2984.xml"/><Relationship Id="rId958" Type="http://schemas.openxmlformats.org/officeDocument/2006/relationships/ctrlProp" Target="../ctrlProps/ctrlProp956.xml"/><Relationship Id="rId1588" Type="http://schemas.openxmlformats.org/officeDocument/2006/relationships/ctrlProp" Target="../ctrlProps/ctrlProp1586.xml"/><Relationship Id="rId1795" Type="http://schemas.openxmlformats.org/officeDocument/2006/relationships/ctrlProp" Target="../ctrlProps/ctrlProp1793.xml"/><Relationship Id="rId2639" Type="http://schemas.openxmlformats.org/officeDocument/2006/relationships/ctrlProp" Target="../ctrlProps/ctrlProp2637.xml"/><Relationship Id="rId2846" Type="http://schemas.openxmlformats.org/officeDocument/2006/relationships/ctrlProp" Target="../ctrlProps/ctrlProp2844.xml"/><Relationship Id="rId87" Type="http://schemas.openxmlformats.org/officeDocument/2006/relationships/ctrlProp" Target="../ctrlProps/ctrlProp85.xml"/><Relationship Id="rId818" Type="http://schemas.openxmlformats.org/officeDocument/2006/relationships/ctrlProp" Target="../ctrlProps/ctrlProp816.xml"/><Relationship Id="rId1448" Type="http://schemas.openxmlformats.org/officeDocument/2006/relationships/ctrlProp" Target="../ctrlProps/ctrlProp1446.xml"/><Relationship Id="rId1655" Type="http://schemas.openxmlformats.org/officeDocument/2006/relationships/ctrlProp" Target="../ctrlProps/ctrlProp1653.xml"/><Relationship Id="rId2706" Type="http://schemas.openxmlformats.org/officeDocument/2006/relationships/ctrlProp" Target="../ctrlProps/ctrlProp2704.xml"/><Relationship Id="rId1308" Type="http://schemas.openxmlformats.org/officeDocument/2006/relationships/ctrlProp" Target="../ctrlProps/ctrlProp1306.xml"/><Relationship Id="rId1862" Type="http://schemas.openxmlformats.org/officeDocument/2006/relationships/ctrlProp" Target="../ctrlProps/ctrlProp1860.xml"/><Relationship Id="rId2913" Type="http://schemas.openxmlformats.org/officeDocument/2006/relationships/ctrlProp" Target="../ctrlProps/ctrlProp2911.xml"/><Relationship Id="rId1515" Type="http://schemas.openxmlformats.org/officeDocument/2006/relationships/ctrlProp" Target="../ctrlProps/ctrlProp1513.xml"/><Relationship Id="rId1722" Type="http://schemas.openxmlformats.org/officeDocument/2006/relationships/ctrlProp" Target="../ctrlProps/ctrlProp1720.xml"/><Relationship Id="rId14" Type="http://schemas.openxmlformats.org/officeDocument/2006/relationships/ctrlProp" Target="../ctrlProps/ctrlProp12.xml"/><Relationship Id="rId2289" Type="http://schemas.openxmlformats.org/officeDocument/2006/relationships/ctrlProp" Target="../ctrlProps/ctrlProp2287.xml"/><Relationship Id="rId2496" Type="http://schemas.openxmlformats.org/officeDocument/2006/relationships/ctrlProp" Target="../ctrlProps/ctrlProp2494.xml"/><Relationship Id="rId468" Type="http://schemas.openxmlformats.org/officeDocument/2006/relationships/ctrlProp" Target="../ctrlProps/ctrlProp466.xml"/><Relationship Id="rId675" Type="http://schemas.openxmlformats.org/officeDocument/2006/relationships/ctrlProp" Target="../ctrlProps/ctrlProp673.xml"/><Relationship Id="rId882" Type="http://schemas.openxmlformats.org/officeDocument/2006/relationships/ctrlProp" Target="../ctrlProps/ctrlProp880.xml"/><Relationship Id="rId1098" Type="http://schemas.openxmlformats.org/officeDocument/2006/relationships/ctrlProp" Target="../ctrlProps/ctrlProp1096.xml"/><Relationship Id="rId2149" Type="http://schemas.openxmlformats.org/officeDocument/2006/relationships/ctrlProp" Target="../ctrlProps/ctrlProp2147.xml"/><Relationship Id="rId2356" Type="http://schemas.openxmlformats.org/officeDocument/2006/relationships/ctrlProp" Target="../ctrlProps/ctrlProp2354.xml"/><Relationship Id="rId2563" Type="http://schemas.openxmlformats.org/officeDocument/2006/relationships/ctrlProp" Target="../ctrlProps/ctrlProp2561.xml"/><Relationship Id="rId2770" Type="http://schemas.openxmlformats.org/officeDocument/2006/relationships/ctrlProp" Target="../ctrlProps/ctrlProp2768.xml"/><Relationship Id="rId3407" Type="http://schemas.openxmlformats.org/officeDocument/2006/relationships/table" Target="../tables/table218.xml"/><Relationship Id="rId328" Type="http://schemas.openxmlformats.org/officeDocument/2006/relationships/ctrlProp" Target="../ctrlProps/ctrlProp326.xml"/><Relationship Id="rId535" Type="http://schemas.openxmlformats.org/officeDocument/2006/relationships/ctrlProp" Target="../ctrlProps/ctrlProp533.xml"/><Relationship Id="rId742" Type="http://schemas.openxmlformats.org/officeDocument/2006/relationships/ctrlProp" Target="../ctrlProps/ctrlProp740.xml"/><Relationship Id="rId1165" Type="http://schemas.openxmlformats.org/officeDocument/2006/relationships/ctrlProp" Target="../ctrlProps/ctrlProp1163.xml"/><Relationship Id="rId1372" Type="http://schemas.openxmlformats.org/officeDocument/2006/relationships/ctrlProp" Target="../ctrlProps/ctrlProp1370.xml"/><Relationship Id="rId2009" Type="http://schemas.openxmlformats.org/officeDocument/2006/relationships/ctrlProp" Target="../ctrlProps/ctrlProp2007.xml"/><Relationship Id="rId2216" Type="http://schemas.openxmlformats.org/officeDocument/2006/relationships/ctrlProp" Target="../ctrlProps/ctrlProp2214.xml"/><Relationship Id="rId2423" Type="http://schemas.openxmlformats.org/officeDocument/2006/relationships/ctrlProp" Target="../ctrlProps/ctrlProp2421.xml"/><Relationship Id="rId2630" Type="http://schemas.openxmlformats.org/officeDocument/2006/relationships/ctrlProp" Target="../ctrlProps/ctrlProp2628.xml"/><Relationship Id="rId602" Type="http://schemas.openxmlformats.org/officeDocument/2006/relationships/ctrlProp" Target="../ctrlProps/ctrlProp600.xml"/><Relationship Id="rId1025" Type="http://schemas.openxmlformats.org/officeDocument/2006/relationships/ctrlProp" Target="../ctrlProps/ctrlProp1023.xml"/><Relationship Id="rId1232" Type="http://schemas.openxmlformats.org/officeDocument/2006/relationships/ctrlProp" Target="../ctrlProps/ctrlProp1230.xml"/><Relationship Id="rId3197" Type="http://schemas.openxmlformats.org/officeDocument/2006/relationships/table" Target="../tables/table8.xml"/><Relationship Id="rId3057" Type="http://schemas.openxmlformats.org/officeDocument/2006/relationships/ctrlProp" Target="../ctrlProps/ctrlProp3055.xml"/><Relationship Id="rId185" Type="http://schemas.openxmlformats.org/officeDocument/2006/relationships/ctrlProp" Target="../ctrlProps/ctrlProp183.xml"/><Relationship Id="rId1909" Type="http://schemas.openxmlformats.org/officeDocument/2006/relationships/ctrlProp" Target="../ctrlProps/ctrlProp1907.xml"/><Relationship Id="rId3264" Type="http://schemas.openxmlformats.org/officeDocument/2006/relationships/table" Target="../tables/table75.xml"/><Relationship Id="rId3471" Type="http://schemas.openxmlformats.org/officeDocument/2006/relationships/table" Target="../tables/table282.xml"/><Relationship Id="rId392" Type="http://schemas.openxmlformats.org/officeDocument/2006/relationships/ctrlProp" Target="../ctrlProps/ctrlProp390.xml"/><Relationship Id="rId2073" Type="http://schemas.openxmlformats.org/officeDocument/2006/relationships/ctrlProp" Target="../ctrlProps/ctrlProp2071.xml"/><Relationship Id="rId2280" Type="http://schemas.openxmlformats.org/officeDocument/2006/relationships/ctrlProp" Target="../ctrlProps/ctrlProp2278.xml"/><Relationship Id="rId3124" Type="http://schemas.openxmlformats.org/officeDocument/2006/relationships/ctrlProp" Target="../ctrlProps/ctrlProp3122.xml"/><Relationship Id="rId3331" Type="http://schemas.openxmlformats.org/officeDocument/2006/relationships/table" Target="../tables/table142.xml"/><Relationship Id="rId252" Type="http://schemas.openxmlformats.org/officeDocument/2006/relationships/ctrlProp" Target="../ctrlProps/ctrlProp250.xml"/><Relationship Id="rId2140" Type="http://schemas.openxmlformats.org/officeDocument/2006/relationships/ctrlProp" Target="../ctrlProps/ctrlProp2138.xml"/><Relationship Id="rId112" Type="http://schemas.openxmlformats.org/officeDocument/2006/relationships/ctrlProp" Target="../ctrlProps/ctrlProp110.xml"/><Relationship Id="rId1699" Type="http://schemas.openxmlformats.org/officeDocument/2006/relationships/ctrlProp" Target="../ctrlProps/ctrlProp1697.xml"/><Relationship Id="rId2000" Type="http://schemas.openxmlformats.org/officeDocument/2006/relationships/ctrlProp" Target="../ctrlProps/ctrlProp1998.xml"/><Relationship Id="rId2957" Type="http://schemas.openxmlformats.org/officeDocument/2006/relationships/ctrlProp" Target="../ctrlProps/ctrlProp2955.xml"/><Relationship Id="rId929" Type="http://schemas.openxmlformats.org/officeDocument/2006/relationships/ctrlProp" Target="../ctrlProps/ctrlProp927.xml"/><Relationship Id="rId1559" Type="http://schemas.openxmlformats.org/officeDocument/2006/relationships/ctrlProp" Target="../ctrlProps/ctrlProp1557.xml"/><Relationship Id="rId1766" Type="http://schemas.openxmlformats.org/officeDocument/2006/relationships/ctrlProp" Target="../ctrlProps/ctrlProp1764.xml"/><Relationship Id="rId1973" Type="http://schemas.openxmlformats.org/officeDocument/2006/relationships/ctrlProp" Target="../ctrlProps/ctrlProp1971.xml"/><Relationship Id="rId2817" Type="http://schemas.openxmlformats.org/officeDocument/2006/relationships/ctrlProp" Target="../ctrlProps/ctrlProp2815.xml"/><Relationship Id="rId58" Type="http://schemas.openxmlformats.org/officeDocument/2006/relationships/ctrlProp" Target="../ctrlProps/ctrlProp56.xml"/><Relationship Id="rId1419" Type="http://schemas.openxmlformats.org/officeDocument/2006/relationships/ctrlProp" Target="../ctrlProps/ctrlProp1417.xml"/><Relationship Id="rId1626" Type="http://schemas.openxmlformats.org/officeDocument/2006/relationships/ctrlProp" Target="../ctrlProps/ctrlProp1624.xml"/><Relationship Id="rId1833" Type="http://schemas.openxmlformats.org/officeDocument/2006/relationships/ctrlProp" Target="../ctrlProps/ctrlProp1831.xml"/><Relationship Id="rId1900" Type="http://schemas.openxmlformats.org/officeDocument/2006/relationships/ctrlProp" Target="../ctrlProps/ctrlProp1898.xml"/><Relationship Id="rId579" Type="http://schemas.openxmlformats.org/officeDocument/2006/relationships/ctrlProp" Target="../ctrlProps/ctrlProp577.xml"/><Relationship Id="rId786" Type="http://schemas.openxmlformats.org/officeDocument/2006/relationships/ctrlProp" Target="../ctrlProps/ctrlProp784.xml"/><Relationship Id="rId993" Type="http://schemas.openxmlformats.org/officeDocument/2006/relationships/ctrlProp" Target="../ctrlProps/ctrlProp991.xml"/><Relationship Id="rId2467" Type="http://schemas.openxmlformats.org/officeDocument/2006/relationships/ctrlProp" Target="../ctrlProps/ctrlProp2465.xml"/><Relationship Id="rId2674" Type="http://schemas.openxmlformats.org/officeDocument/2006/relationships/ctrlProp" Target="../ctrlProps/ctrlProp2672.xml"/><Relationship Id="rId439" Type="http://schemas.openxmlformats.org/officeDocument/2006/relationships/ctrlProp" Target="../ctrlProps/ctrlProp437.xml"/><Relationship Id="rId646" Type="http://schemas.openxmlformats.org/officeDocument/2006/relationships/ctrlProp" Target="../ctrlProps/ctrlProp644.xml"/><Relationship Id="rId1069" Type="http://schemas.openxmlformats.org/officeDocument/2006/relationships/ctrlProp" Target="../ctrlProps/ctrlProp1067.xml"/><Relationship Id="rId1276" Type="http://schemas.openxmlformats.org/officeDocument/2006/relationships/ctrlProp" Target="../ctrlProps/ctrlProp1274.xml"/><Relationship Id="rId1483" Type="http://schemas.openxmlformats.org/officeDocument/2006/relationships/ctrlProp" Target="../ctrlProps/ctrlProp1481.xml"/><Relationship Id="rId2327" Type="http://schemas.openxmlformats.org/officeDocument/2006/relationships/ctrlProp" Target="../ctrlProps/ctrlProp2325.xml"/><Relationship Id="rId2881" Type="http://schemas.openxmlformats.org/officeDocument/2006/relationships/ctrlProp" Target="../ctrlProps/ctrlProp2879.xml"/><Relationship Id="rId506" Type="http://schemas.openxmlformats.org/officeDocument/2006/relationships/ctrlProp" Target="../ctrlProps/ctrlProp504.xml"/><Relationship Id="rId853" Type="http://schemas.openxmlformats.org/officeDocument/2006/relationships/ctrlProp" Target="../ctrlProps/ctrlProp851.xml"/><Relationship Id="rId1136" Type="http://schemas.openxmlformats.org/officeDocument/2006/relationships/ctrlProp" Target="../ctrlProps/ctrlProp1134.xml"/><Relationship Id="rId1690" Type="http://schemas.openxmlformats.org/officeDocument/2006/relationships/ctrlProp" Target="../ctrlProps/ctrlProp1688.xml"/><Relationship Id="rId2534" Type="http://schemas.openxmlformats.org/officeDocument/2006/relationships/ctrlProp" Target="../ctrlProps/ctrlProp2532.xml"/><Relationship Id="rId2741" Type="http://schemas.openxmlformats.org/officeDocument/2006/relationships/ctrlProp" Target="../ctrlProps/ctrlProp2739.xml"/><Relationship Id="rId713" Type="http://schemas.openxmlformats.org/officeDocument/2006/relationships/ctrlProp" Target="../ctrlProps/ctrlProp711.xml"/><Relationship Id="rId920" Type="http://schemas.openxmlformats.org/officeDocument/2006/relationships/ctrlProp" Target="../ctrlProps/ctrlProp918.xml"/><Relationship Id="rId1343" Type="http://schemas.openxmlformats.org/officeDocument/2006/relationships/ctrlProp" Target="../ctrlProps/ctrlProp1341.xml"/><Relationship Id="rId1550" Type="http://schemas.openxmlformats.org/officeDocument/2006/relationships/ctrlProp" Target="../ctrlProps/ctrlProp1548.xml"/><Relationship Id="rId2601" Type="http://schemas.openxmlformats.org/officeDocument/2006/relationships/ctrlProp" Target="../ctrlProps/ctrlProp2599.xml"/><Relationship Id="rId1203" Type="http://schemas.openxmlformats.org/officeDocument/2006/relationships/ctrlProp" Target="../ctrlProps/ctrlProp1201.xml"/><Relationship Id="rId1410" Type="http://schemas.openxmlformats.org/officeDocument/2006/relationships/ctrlProp" Target="../ctrlProps/ctrlProp1408.xml"/><Relationship Id="rId3168" Type="http://schemas.openxmlformats.org/officeDocument/2006/relationships/ctrlProp" Target="../ctrlProps/ctrlProp3166.xml"/><Relationship Id="rId3375" Type="http://schemas.openxmlformats.org/officeDocument/2006/relationships/table" Target="../tables/table186.xml"/><Relationship Id="rId296" Type="http://schemas.openxmlformats.org/officeDocument/2006/relationships/ctrlProp" Target="../ctrlProps/ctrlProp294.xml"/><Relationship Id="rId2184" Type="http://schemas.openxmlformats.org/officeDocument/2006/relationships/ctrlProp" Target="../ctrlProps/ctrlProp2182.xml"/><Relationship Id="rId2391" Type="http://schemas.openxmlformats.org/officeDocument/2006/relationships/ctrlProp" Target="../ctrlProps/ctrlProp2389.xml"/><Relationship Id="rId3028" Type="http://schemas.openxmlformats.org/officeDocument/2006/relationships/ctrlProp" Target="../ctrlProps/ctrlProp3026.xml"/><Relationship Id="rId3235" Type="http://schemas.openxmlformats.org/officeDocument/2006/relationships/table" Target="../tables/table46.xml"/><Relationship Id="rId3442" Type="http://schemas.openxmlformats.org/officeDocument/2006/relationships/table" Target="../tables/table253.xml"/><Relationship Id="rId156" Type="http://schemas.openxmlformats.org/officeDocument/2006/relationships/ctrlProp" Target="../ctrlProps/ctrlProp154.xml"/><Relationship Id="rId363" Type="http://schemas.openxmlformats.org/officeDocument/2006/relationships/ctrlProp" Target="../ctrlProps/ctrlProp361.xml"/><Relationship Id="rId570" Type="http://schemas.openxmlformats.org/officeDocument/2006/relationships/ctrlProp" Target="../ctrlProps/ctrlProp568.xml"/><Relationship Id="rId2044" Type="http://schemas.openxmlformats.org/officeDocument/2006/relationships/ctrlProp" Target="../ctrlProps/ctrlProp2042.xml"/><Relationship Id="rId2251" Type="http://schemas.openxmlformats.org/officeDocument/2006/relationships/ctrlProp" Target="../ctrlProps/ctrlProp2249.xml"/><Relationship Id="rId3302" Type="http://schemas.openxmlformats.org/officeDocument/2006/relationships/table" Target="../tables/table113.xml"/><Relationship Id="rId223" Type="http://schemas.openxmlformats.org/officeDocument/2006/relationships/ctrlProp" Target="../ctrlProps/ctrlProp221.xml"/><Relationship Id="rId430" Type="http://schemas.openxmlformats.org/officeDocument/2006/relationships/ctrlProp" Target="../ctrlProps/ctrlProp428.xml"/><Relationship Id="rId1060" Type="http://schemas.openxmlformats.org/officeDocument/2006/relationships/ctrlProp" Target="../ctrlProps/ctrlProp1058.xml"/><Relationship Id="rId2111" Type="http://schemas.openxmlformats.org/officeDocument/2006/relationships/ctrlProp" Target="../ctrlProps/ctrlProp2109.xml"/><Relationship Id="rId1877" Type="http://schemas.openxmlformats.org/officeDocument/2006/relationships/ctrlProp" Target="../ctrlProps/ctrlProp1875.xml"/><Relationship Id="rId2928" Type="http://schemas.openxmlformats.org/officeDocument/2006/relationships/ctrlProp" Target="../ctrlProps/ctrlProp2926.xml"/><Relationship Id="rId1737" Type="http://schemas.openxmlformats.org/officeDocument/2006/relationships/ctrlProp" Target="../ctrlProps/ctrlProp1735.xml"/><Relationship Id="rId1944" Type="http://schemas.openxmlformats.org/officeDocument/2006/relationships/ctrlProp" Target="../ctrlProps/ctrlProp1942.xml"/><Relationship Id="rId3092" Type="http://schemas.openxmlformats.org/officeDocument/2006/relationships/ctrlProp" Target="../ctrlProps/ctrlProp3090.xml"/><Relationship Id="rId29" Type="http://schemas.openxmlformats.org/officeDocument/2006/relationships/ctrlProp" Target="../ctrlProps/ctrlProp27.xml"/><Relationship Id="rId1804" Type="http://schemas.openxmlformats.org/officeDocument/2006/relationships/ctrlProp" Target="../ctrlProps/ctrlProp1802.xml"/><Relationship Id="rId897" Type="http://schemas.openxmlformats.org/officeDocument/2006/relationships/ctrlProp" Target="../ctrlProps/ctrlProp895.xml"/><Relationship Id="rId2578" Type="http://schemas.openxmlformats.org/officeDocument/2006/relationships/ctrlProp" Target="../ctrlProps/ctrlProp2576.xml"/><Relationship Id="rId2785" Type="http://schemas.openxmlformats.org/officeDocument/2006/relationships/ctrlProp" Target="../ctrlProps/ctrlProp2783.xml"/><Relationship Id="rId2992" Type="http://schemas.openxmlformats.org/officeDocument/2006/relationships/ctrlProp" Target="../ctrlProps/ctrlProp2990.xml"/><Relationship Id="rId757" Type="http://schemas.openxmlformats.org/officeDocument/2006/relationships/ctrlProp" Target="../ctrlProps/ctrlProp755.xml"/><Relationship Id="rId964" Type="http://schemas.openxmlformats.org/officeDocument/2006/relationships/ctrlProp" Target="../ctrlProps/ctrlProp962.xml"/><Relationship Id="rId1387" Type="http://schemas.openxmlformats.org/officeDocument/2006/relationships/ctrlProp" Target="../ctrlProps/ctrlProp1385.xml"/><Relationship Id="rId1594" Type="http://schemas.openxmlformats.org/officeDocument/2006/relationships/ctrlProp" Target="../ctrlProps/ctrlProp1592.xml"/><Relationship Id="rId2438" Type="http://schemas.openxmlformats.org/officeDocument/2006/relationships/ctrlProp" Target="../ctrlProps/ctrlProp2436.xml"/><Relationship Id="rId2645" Type="http://schemas.openxmlformats.org/officeDocument/2006/relationships/ctrlProp" Target="../ctrlProps/ctrlProp2643.xml"/><Relationship Id="rId2852" Type="http://schemas.openxmlformats.org/officeDocument/2006/relationships/ctrlProp" Target="../ctrlProps/ctrlProp2850.xml"/><Relationship Id="rId93" Type="http://schemas.openxmlformats.org/officeDocument/2006/relationships/ctrlProp" Target="../ctrlProps/ctrlProp91.xml"/><Relationship Id="rId617" Type="http://schemas.openxmlformats.org/officeDocument/2006/relationships/ctrlProp" Target="../ctrlProps/ctrlProp615.xml"/><Relationship Id="rId824" Type="http://schemas.openxmlformats.org/officeDocument/2006/relationships/ctrlProp" Target="../ctrlProps/ctrlProp822.xml"/><Relationship Id="rId1247" Type="http://schemas.openxmlformats.org/officeDocument/2006/relationships/ctrlProp" Target="../ctrlProps/ctrlProp1245.xml"/><Relationship Id="rId1454" Type="http://schemas.openxmlformats.org/officeDocument/2006/relationships/ctrlProp" Target="../ctrlProps/ctrlProp1452.xml"/><Relationship Id="rId1661" Type="http://schemas.openxmlformats.org/officeDocument/2006/relationships/ctrlProp" Target="../ctrlProps/ctrlProp1659.xml"/><Relationship Id="rId2505" Type="http://schemas.openxmlformats.org/officeDocument/2006/relationships/ctrlProp" Target="../ctrlProps/ctrlProp2503.xml"/><Relationship Id="rId2712" Type="http://schemas.openxmlformats.org/officeDocument/2006/relationships/ctrlProp" Target="../ctrlProps/ctrlProp2710.xml"/><Relationship Id="rId1107" Type="http://schemas.openxmlformats.org/officeDocument/2006/relationships/ctrlProp" Target="../ctrlProps/ctrlProp1105.xml"/><Relationship Id="rId1314" Type="http://schemas.openxmlformats.org/officeDocument/2006/relationships/ctrlProp" Target="../ctrlProps/ctrlProp1312.xml"/><Relationship Id="rId1521" Type="http://schemas.openxmlformats.org/officeDocument/2006/relationships/ctrlProp" Target="../ctrlProps/ctrlProp1519.xml"/><Relationship Id="rId3279" Type="http://schemas.openxmlformats.org/officeDocument/2006/relationships/table" Target="../tables/table90.xml"/><Relationship Id="rId3486" Type="http://schemas.openxmlformats.org/officeDocument/2006/relationships/table" Target="../tables/table297.xml"/><Relationship Id="rId20" Type="http://schemas.openxmlformats.org/officeDocument/2006/relationships/ctrlProp" Target="../ctrlProps/ctrlProp18.xml"/><Relationship Id="rId2088" Type="http://schemas.openxmlformats.org/officeDocument/2006/relationships/ctrlProp" Target="../ctrlProps/ctrlProp2086.xml"/><Relationship Id="rId2295" Type="http://schemas.openxmlformats.org/officeDocument/2006/relationships/ctrlProp" Target="../ctrlProps/ctrlProp2293.xml"/><Relationship Id="rId3139" Type="http://schemas.openxmlformats.org/officeDocument/2006/relationships/ctrlProp" Target="../ctrlProps/ctrlProp3137.xml"/><Relationship Id="rId3346" Type="http://schemas.openxmlformats.org/officeDocument/2006/relationships/table" Target="../tables/table157.xml"/><Relationship Id="rId267" Type="http://schemas.openxmlformats.org/officeDocument/2006/relationships/ctrlProp" Target="../ctrlProps/ctrlProp265.xml"/><Relationship Id="rId474" Type="http://schemas.openxmlformats.org/officeDocument/2006/relationships/ctrlProp" Target="../ctrlProps/ctrlProp472.xml"/><Relationship Id="rId2155" Type="http://schemas.openxmlformats.org/officeDocument/2006/relationships/ctrlProp" Target="../ctrlProps/ctrlProp2153.xml"/><Relationship Id="rId127" Type="http://schemas.openxmlformats.org/officeDocument/2006/relationships/ctrlProp" Target="../ctrlProps/ctrlProp125.xml"/><Relationship Id="rId681" Type="http://schemas.openxmlformats.org/officeDocument/2006/relationships/ctrlProp" Target="../ctrlProps/ctrlProp679.xml"/><Relationship Id="rId2362" Type="http://schemas.openxmlformats.org/officeDocument/2006/relationships/ctrlProp" Target="../ctrlProps/ctrlProp2360.xml"/><Relationship Id="rId3206" Type="http://schemas.openxmlformats.org/officeDocument/2006/relationships/table" Target="../tables/table17.xml"/><Relationship Id="rId3413" Type="http://schemas.openxmlformats.org/officeDocument/2006/relationships/table" Target="../tables/table224.xml"/><Relationship Id="rId334" Type="http://schemas.openxmlformats.org/officeDocument/2006/relationships/ctrlProp" Target="../ctrlProps/ctrlProp332.xml"/><Relationship Id="rId541" Type="http://schemas.openxmlformats.org/officeDocument/2006/relationships/ctrlProp" Target="../ctrlProps/ctrlProp539.xml"/><Relationship Id="rId1171" Type="http://schemas.openxmlformats.org/officeDocument/2006/relationships/ctrlProp" Target="../ctrlProps/ctrlProp1169.xml"/><Relationship Id="rId2015" Type="http://schemas.openxmlformats.org/officeDocument/2006/relationships/ctrlProp" Target="../ctrlProps/ctrlProp2013.xml"/><Relationship Id="rId2222" Type="http://schemas.openxmlformats.org/officeDocument/2006/relationships/ctrlProp" Target="../ctrlProps/ctrlProp2220.xml"/><Relationship Id="rId401" Type="http://schemas.openxmlformats.org/officeDocument/2006/relationships/ctrlProp" Target="../ctrlProps/ctrlProp399.xml"/><Relationship Id="rId1031" Type="http://schemas.openxmlformats.org/officeDocument/2006/relationships/ctrlProp" Target="../ctrlProps/ctrlProp1029.xml"/><Relationship Id="rId1988" Type="http://schemas.openxmlformats.org/officeDocument/2006/relationships/ctrlProp" Target="../ctrlProps/ctrlProp1986.xml"/><Relationship Id="rId1848" Type="http://schemas.openxmlformats.org/officeDocument/2006/relationships/ctrlProp" Target="../ctrlProps/ctrlProp1846.xml"/><Relationship Id="rId3063" Type="http://schemas.openxmlformats.org/officeDocument/2006/relationships/ctrlProp" Target="../ctrlProps/ctrlProp3061.xml"/><Relationship Id="rId3270" Type="http://schemas.openxmlformats.org/officeDocument/2006/relationships/table" Target="../tables/table81.xml"/><Relationship Id="rId191" Type="http://schemas.openxmlformats.org/officeDocument/2006/relationships/ctrlProp" Target="../ctrlProps/ctrlProp189.xml"/><Relationship Id="rId1708" Type="http://schemas.openxmlformats.org/officeDocument/2006/relationships/ctrlProp" Target="../ctrlProps/ctrlProp1706.xml"/><Relationship Id="rId1915" Type="http://schemas.openxmlformats.org/officeDocument/2006/relationships/ctrlProp" Target="../ctrlProps/ctrlProp1913.xml"/><Relationship Id="rId3130" Type="http://schemas.openxmlformats.org/officeDocument/2006/relationships/ctrlProp" Target="../ctrlProps/ctrlProp3128.xml"/><Relationship Id="rId2689" Type="http://schemas.openxmlformats.org/officeDocument/2006/relationships/ctrlProp" Target="../ctrlProps/ctrlProp2687.xml"/><Relationship Id="rId2896" Type="http://schemas.openxmlformats.org/officeDocument/2006/relationships/ctrlProp" Target="../ctrlProps/ctrlProp2894.xml"/><Relationship Id="rId868" Type="http://schemas.openxmlformats.org/officeDocument/2006/relationships/ctrlProp" Target="../ctrlProps/ctrlProp866.xml"/><Relationship Id="rId1498" Type="http://schemas.openxmlformats.org/officeDocument/2006/relationships/ctrlProp" Target="../ctrlProps/ctrlProp1496.xml"/><Relationship Id="rId2549" Type="http://schemas.openxmlformats.org/officeDocument/2006/relationships/ctrlProp" Target="../ctrlProps/ctrlProp2547.xml"/><Relationship Id="rId2756" Type="http://schemas.openxmlformats.org/officeDocument/2006/relationships/ctrlProp" Target="../ctrlProps/ctrlProp2754.xml"/><Relationship Id="rId2963" Type="http://schemas.openxmlformats.org/officeDocument/2006/relationships/ctrlProp" Target="../ctrlProps/ctrlProp2961.xml"/><Relationship Id="rId728" Type="http://schemas.openxmlformats.org/officeDocument/2006/relationships/ctrlProp" Target="../ctrlProps/ctrlProp726.xml"/><Relationship Id="rId935" Type="http://schemas.openxmlformats.org/officeDocument/2006/relationships/ctrlProp" Target="../ctrlProps/ctrlProp933.xml"/><Relationship Id="rId1358" Type="http://schemas.openxmlformats.org/officeDocument/2006/relationships/ctrlProp" Target="../ctrlProps/ctrlProp1356.xml"/><Relationship Id="rId1565" Type="http://schemas.openxmlformats.org/officeDocument/2006/relationships/ctrlProp" Target="../ctrlProps/ctrlProp1563.xml"/><Relationship Id="rId1772" Type="http://schemas.openxmlformats.org/officeDocument/2006/relationships/ctrlProp" Target="../ctrlProps/ctrlProp1770.xml"/><Relationship Id="rId2409" Type="http://schemas.openxmlformats.org/officeDocument/2006/relationships/ctrlProp" Target="../ctrlProps/ctrlProp2407.xml"/><Relationship Id="rId2616" Type="http://schemas.openxmlformats.org/officeDocument/2006/relationships/ctrlProp" Target="../ctrlProps/ctrlProp2614.xml"/><Relationship Id="rId64" Type="http://schemas.openxmlformats.org/officeDocument/2006/relationships/ctrlProp" Target="../ctrlProps/ctrlProp62.xml"/><Relationship Id="rId1218" Type="http://schemas.openxmlformats.org/officeDocument/2006/relationships/ctrlProp" Target="../ctrlProps/ctrlProp1216.xml"/><Relationship Id="rId1425" Type="http://schemas.openxmlformats.org/officeDocument/2006/relationships/ctrlProp" Target="../ctrlProps/ctrlProp1423.xml"/><Relationship Id="rId2823" Type="http://schemas.openxmlformats.org/officeDocument/2006/relationships/ctrlProp" Target="../ctrlProps/ctrlProp2821.xml"/><Relationship Id="rId1632" Type="http://schemas.openxmlformats.org/officeDocument/2006/relationships/ctrlProp" Target="../ctrlProps/ctrlProp1630.xml"/><Relationship Id="rId2199" Type="http://schemas.openxmlformats.org/officeDocument/2006/relationships/ctrlProp" Target="../ctrlProps/ctrlProp2197.xml"/><Relationship Id="rId3457" Type="http://schemas.openxmlformats.org/officeDocument/2006/relationships/table" Target="../tables/table268.xml"/><Relationship Id="rId378" Type="http://schemas.openxmlformats.org/officeDocument/2006/relationships/ctrlProp" Target="../ctrlProps/ctrlProp376.xml"/><Relationship Id="rId585" Type="http://schemas.openxmlformats.org/officeDocument/2006/relationships/ctrlProp" Target="../ctrlProps/ctrlProp583.xml"/><Relationship Id="rId792" Type="http://schemas.openxmlformats.org/officeDocument/2006/relationships/ctrlProp" Target="../ctrlProps/ctrlProp790.xml"/><Relationship Id="rId2059" Type="http://schemas.openxmlformats.org/officeDocument/2006/relationships/ctrlProp" Target="../ctrlProps/ctrlProp2057.xml"/><Relationship Id="rId2266" Type="http://schemas.openxmlformats.org/officeDocument/2006/relationships/ctrlProp" Target="../ctrlProps/ctrlProp2264.xml"/><Relationship Id="rId2473" Type="http://schemas.openxmlformats.org/officeDocument/2006/relationships/ctrlProp" Target="../ctrlProps/ctrlProp2471.xml"/><Relationship Id="rId2680" Type="http://schemas.openxmlformats.org/officeDocument/2006/relationships/ctrlProp" Target="../ctrlProps/ctrlProp2678.xml"/><Relationship Id="rId3317" Type="http://schemas.openxmlformats.org/officeDocument/2006/relationships/table" Target="../tables/table128.xml"/><Relationship Id="rId238" Type="http://schemas.openxmlformats.org/officeDocument/2006/relationships/ctrlProp" Target="../ctrlProps/ctrlProp236.xml"/><Relationship Id="rId445" Type="http://schemas.openxmlformats.org/officeDocument/2006/relationships/ctrlProp" Target="../ctrlProps/ctrlProp443.xml"/><Relationship Id="rId652" Type="http://schemas.openxmlformats.org/officeDocument/2006/relationships/ctrlProp" Target="../ctrlProps/ctrlProp650.xml"/><Relationship Id="rId1075" Type="http://schemas.openxmlformats.org/officeDocument/2006/relationships/ctrlProp" Target="../ctrlProps/ctrlProp1073.xml"/><Relationship Id="rId1282" Type="http://schemas.openxmlformats.org/officeDocument/2006/relationships/ctrlProp" Target="../ctrlProps/ctrlProp1280.xml"/><Relationship Id="rId2126" Type="http://schemas.openxmlformats.org/officeDocument/2006/relationships/ctrlProp" Target="../ctrlProps/ctrlProp2124.xml"/><Relationship Id="rId2333" Type="http://schemas.openxmlformats.org/officeDocument/2006/relationships/ctrlProp" Target="../ctrlProps/ctrlProp2331.xml"/><Relationship Id="rId2540" Type="http://schemas.openxmlformats.org/officeDocument/2006/relationships/ctrlProp" Target="../ctrlProps/ctrlProp2538.xml"/><Relationship Id="rId305" Type="http://schemas.openxmlformats.org/officeDocument/2006/relationships/ctrlProp" Target="../ctrlProps/ctrlProp303.xml"/><Relationship Id="rId512" Type="http://schemas.openxmlformats.org/officeDocument/2006/relationships/ctrlProp" Target="../ctrlProps/ctrlProp510.xml"/><Relationship Id="rId1142" Type="http://schemas.openxmlformats.org/officeDocument/2006/relationships/ctrlProp" Target="../ctrlProps/ctrlProp1140.xml"/><Relationship Id="rId2400" Type="http://schemas.openxmlformats.org/officeDocument/2006/relationships/ctrlProp" Target="../ctrlProps/ctrlProp2398.xml"/><Relationship Id="rId1002" Type="http://schemas.openxmlformats.org/officeDocument/2006/relationships/ctrlProp" Target="../ctrlProps/ctrlProp1000.xml"/><Relationship Id="rId1959" Type="http://schemas.openxmlformats.org/officeDocument/2006/relationships/ctrlProp" Target="../ctrlProps/ctrlProp1957.xml"/><Relationship Id="rId3174" Type="http://schemas.openxmlformats.org/officeDocument/2006/relationships/ctrlProp" Target="../ctrlProps/ctrlProp3172.xml"/><Relationship Id="rId1819" Type="http://schemas.openxmlformats.org/officeDocument/2006/relationships/ctrlProp" Target="../ctrlProps/ctrlProp1817.xml"/><Relationship Id="rId3381" Type="http://schemas.openxmlformats.org/officeDocument/2006/relationships/table" Target="../tables/table192.xml"/><Relationship Id="rId2190" Type="http://schemas.openxmlformats.org/officeDocument/2006/relationships/ctrlProp" Target="../ctrlProps/ctrlProp2188.xml"/><Relationship Id="rId3034" Type="http://schemas.openxmlformats.org/officeDocument/2006/relationships/ctrlProp" Target="../ctrlProps/ctrlProp3032.xml"/><Relationship Id="rId3241" Type="http://schemas.openxmlformats.org/officeDocument/2006/relationships/table" Target="../tables/table52.xml"/><Relationship Id="rId162" Type="http://schemas.openxmlformats.org/officeDocument/2006/relationships/ctrlProp" Target="../ctrlProps/ctrlProp160.xml"/><Relationship Id="rId2050" Type="http://schemas.openxmlformats.org/officeDocument/2006/relationships/ctrlProp" Target="../ctrlProps/ctrlProp2048.xml"/><Relationship Id="rId3101" Type="http://schemas.openxmlformats.org/officeDocument/2006/relationships/ctrlProp" Target="../ctrlProps/ctrlProp3099.xml"/><Relationship Id="rId979" Type="http://schemas.openxmlformats.org/officeDocument/2006/relationships/ctrlProp" Target="../ctrlProps/ctrlProp977.xml"/><Relationship Id="rId839" Type="http://schemas.openxmlformats.org/officeDocument/2006/relationships/ctrlProp" Target="../ctrlProps/ctrlProp837.xml"/><Relationship Id="rId1469" Type="http://schemas.openxmlformats.org/officeDocument/2006/relationships/ctrlProp" Target="../ctrlProps/ctrlProp1467.xml"/><Relationship Id="rId2867" Type="http://schemas.openxmlformats.org/officeDocument/2006/relationships/ctrlProp" Target="../ctrlProps/ctrlProp2865.xml"/><Relationship Id="rId1676" Type="http://schemas.openxmlformats.org/officeDocument/2006/relationships/ctrlProp" Target="../ctrlProps/ctrlProp1674.xml"/><Relationship Id="rId1883" Type="http://schemas.openxmlformats.org/officeDocument/2006/relationships/ctrlProp" Target="../ctrlProps/ctrlProp1881.xml"/><Relationship Id="rId2727" Type="http://schemas.openxmlformats.org/officeDocument/2006/relationships/ctrlProp" Target="../ctrlProps/ctrlProp2725.xml"/><Relationship Id="rId2934" Type="http://schemas.openxmlformats.org/officeDocument/2006/relationships/ctrlProp" Target="../ctrlProps/ctrlProp2932.xml"/><Relationship Id="rId906" Type="http://schemas.openxmlformats.org/officeDocument/2006/relationships/ctrlProp" Target="../ctrlProps/ctrlProp904.xml"/><Relationship Id="rId1329" Type="http://schemas.openxmlformats.org/officeDocument/2006/relationships/ctrlProp" Target="../ctrlProps/ctrlProp1327.xml"/><Relationship Id="rId1536" Type="http://schemas.openxmlformats.org/officeDocument/2006/relationships/ctrlProp" Target="../ctrlProps/ctrlProp1534.xml"/><Relationship Id="rId1743" Type="http://schemas.openxmlformats.org/officeDocument/2006/relationships/ctrlProp" Target="../ctrlProps/ctrlProp1741.xml"/><Relationship Id="rId1950" Type="http://schemas.openxmlformats.org/officeDocument/2006/relationships/ctrlProp" Target="../ctrlProps/ctrlProp1948.xml"/><Relationship Id="rId35" Type="http://schemas.openxmlformats.org/officeDocument/2006/relationships/ctrlProp" Target="../ctrlProps/ctrlProp33.xml"/><Relationship Id="rId1603" Type="http://schemas.openxmlformats.org/officeDocument/2006/relationships/ctrlProp" Target="../ctrlProps/ctrlProp1601.xml"/><Relationship Id="rId1810" Type="http://schemas.openxmlformats.org/officeDocument/2006/relationships/ctrlProp" Target="../ctrlProps/ctrlProp1808.xml"/><Relationship Id="rId489" Type="http://schemas.openxmlformats.org/officeDocument/2006/relationships/ctrlProp" Target="../ctrlProps/ctrlProp487.xml"/><Relationship Id="rId696" Type="http://schemas.openxmlformats.org/officeDocument/2006/relationships/ctrlProp" Target="../ctrlProps/ctrlProp694.xml"/><Relationship Id="rId2377" Type="http://schemas.openxmlformats.org/officeDocument/2006/relationships/ctrlProp" Target="../ctrlProps/ctrlProp2375.xml"/><Relationship Id="rId2584" Type="http://schemas.openxmlformats.org/officeDocument/2006/relationships/ctrlProp" Target="../ctrlProps/ctrlProp2582.xml"/><Relationship Id="rId2791" Type="http://schemas.openxmlformats.org/officeDocument/2006/relationships/ctrlProp" Target="../ctrlProps/ctrlProp2789.xml"/><Relationship Id="rId3428" Type="http://schemas.openxmlformats.org/officeDocument/2006/relationships/table" Target="../tables/table239.xml"/><Relationship Id="rId349" Type="http://schemas.openxmlformats.org/officeDocument/2006/relationships/ctrlProp" Target="../ctrlProps/ctrlProp347.xml"/><Relationship Id="rId556" Type="http://schemas.openxmlformats.org/officeDocument/2006/relationships/ctrlProp" Target="../ctrlProps/ctrlProp554.xml"/><Relationship Id="rId763" Type="http://schemas.openxmlformats.org/officeDocument/2006/relationships/ctrlProp" Target="../ctrlProps/ctrlProp761.xml"/><Relationship Id="rId1186" Type="http://schemas.openxmlformats.org/officeDocument/2006/relationships/ctrlProp" Target="../ctrlProps/ctrlProp1184.xml"/><Relationship Id="rId1393" Type="http://schemas.openxmlformats.org/officeDocument/2006/relationships/ctrlProp" Target="../ctrlProps/ctrlProp1391.xml"/><Relationship Id="rId2237" Type="http://schemas.openxmlformats.org/officeDocument/2006/relationships/ctrlProp" Target="../ctrlProps/ctrlProp2235.xml"/><Relationship Id="rId2444" Type="http://schemas.openxmlformats.org/officeDocument/2006/relationships/ctrlProp" Target="../ctrlProps/ctrlProp2442.xml"/><Relationship Id="rId209" Type="http://schemas.openxmlformats.org/officeDocument/2006/relationships/ctrlProp" Target="../ctrlProps/ctrlProp207.xml"/><Relationship Id="rId416" Type="http://schemas.openxmlformats.org/officeDocument/2006/relationships/ctrlProp" Target="../ctrlProps/ctrlProp414.xml"/><Relationship Id="rId970" Type="http://schemas.openxmlformats.org/officeDocument/2006/relationships/ctrlProp" Target="../ctrlProps/ctrlProp968.xml"/><Relationship Id="rId1046" Type="http://schemas.openxmlformats.org/officeDocument/2006/relationships/ctrlProp" Target="../ctrlProps/ctrlProp1044.xml"/><Relationship Id="rId1253" Type="http://schemas.openxmlformats.org/officeDocument/2006/relationships/ctrlProp" Target="../ctrlProps/ctrlProp1251.xml"/><Relationship Id="rId2651" Type="http://schemas.openxmlformats.org/officeDocument/2006/relationships/ctrlProp" Target="../ctrlProps/ctrlProp2649.xml"/><Relationship Id="rId623" Type="http://schemas.openxmlformats.org/officeDocument/2006/relationships/ctrlProp" Target="../ctrlProps/ctrlProp621.xml"/><Relationship Id="rId830" Type="http://schemas.openxmlformats.org/officeDocument/2006/relationships/ctrlProp" Target="../ctrlProps/ctrlProp828.xml"/><Relationship Id="rId1460" Type="http://schemas.openxmlformats.org/officeDocument/2006/relationships/ctrlProp" Target="../ctrlProps/ctrlProp1458.xml"/><Relationship Id="rId2304" Type="http://schemas.openxmlformats.org/officeDocument/2006/relationships/ctrlProp" Target="../ctrlProps/ctrlProp2302.xml"/><Relationship Id="rId2511" Type="http://schemas.openxmlformats.org/officeDocument/2006/relationships/ctrlProp" Target="../ctrlProps/ctrlProp2509.xml"/><Relationship Id="rId1113" Type="http://schemas.openxmlformats.org/officeDocument/2006/relationships/ctrlProp" Target="../ctrlProps/ctrlProp1111.xml"/><Relationship Id="rId1320" Type="http://schemas.openxmlformats.org/officeDocument/2006/relationships/ctrlProp" Target="../ctrlProps/ctrlProp1318.xml"/><Relationship Id="rId3078" Type="http://schemas.openxmlformats.org/officeDocument/2006/relationships/ctrlProp" Target="../ctrlProps/ctrlProp3076.xml"/><Relationship Id="rId3285" Type="http://schemas.openxmlformats.org/officeDocument/2006/relationships/table" Target="../tables/table96.xml"/><Relationship Id="rId3492" Type="http://schemas.openxmlformats.org/officeDocument/2006/relationships/table" Target="../tables/table303.xml"/><Relationship Id="rId2094" Type="http://schemas.openxmlformats.org/officeDocument/2006/relationships/ctrlProp" Target="../ctrlProps/ctrlProp2092.xml"/><Relationship Id="rId3145" Type="http://schemas.openxmlformats.org/officeDocument/2006/relationships/ctrlProp" Target="../ctrlProps/ctrlProp3143.xml"/><Relationship Id="rId3352" Type="http://schemas.openxmlformats.org/officeDocument/2006/relationships/table" Target="../tables/table163.xml"/><Relationship Id="rId273" Type="http://schemas.openxmlformats.org/officeDocument/2006/relationships/ctrlProp" Target="../ctrlProps/ctrlProp271.xml"/><Relationship Id="rId480" Type="http://schemas.openxmlformats.org/officeDocument/2006/relationships/ctrlProp" Target="../ctrlProps/ctrlProp478.xml"/><Relationship Id="rId2161" Type="http://schemas.openxmlformats.org/officeDocument/2006/relationships/ctrlProp" Target="../ctrlProps/ctrlProp2159.xml"/><Relationship Id="rId3005" Type="http://schemas.openxmlformats.org/officeDocument/2006/relationships/ctrlProp" Target="../ctrlProps/ctrlProp3003.xml"/><Relationship Id="rId3212" Type="http://schemas.openxmlformats.org/officeDocument/2006/relationships/table" Target="../tables/table23.xml"/><Relationship Id="rId133" Type="http://schemas.openxmlformats.org/officeDocument/2006/relationships/ctrlProp" Target="../ctrlProps/ctrlProp131.xml"/><Relationship Id="rId340" Type="http://schemas.openxmlformats.org/officeDocument/2006/relationships/ctrlProp" Target="../ctrlProps/ctrlProp338.xml"/><Relationship Id="rId2021" Type="http://schemas.openxmlformats.org/officeDocument/2006/relationships/ctrlProp" Target="../ctrlProps/ctrlProp2019.xml"/><Relationship Id="rId200" Type="http://schemas.openxmlformats.org/officeDocument/2006/relationships/ctrlProp" Target="../ctrlProps/ctrlProp198.xml"/><Relationship Id="rId2978" Type="http://schemas.openxmlformats.org/officeDocument/2006/relationships/ctrlProp" Target="../ctrlProps/ctrlProp2976.xml"/><Relationship Id="rId1787" Type="http://schemas.openxmlformats.org/officeDocument/2006/relationships/ctrlProp" Target="../ctrlProps/ctrlProp1785.xml"/><Relationship Id="rId1994" Type="http://schemas.openxmlformats.org/officeDocument/2006/relationships/ctrlProp" Target="../ctrlProps/ctrlProp1992.xml"/><Relationship Id="rId2838" Type="http://schemas.openxmlformats.org/officeDocument/2006/relationships/ctrlProp" Target="../ctrlProps/ctrlProp2836.xml"/><Relationship Id="rId79" Type="http://schemas.openxmlformats.org/officeDocument/2006/relationships/ctrlProp" Target="../ctrlProps/ctrlProp77.xml"/><Relationship Id="rId1647" Type="http://schemas.openxmlformats.org/officeDocument/2006/relationships/ctrlProp" Target="../ctrlProps/ctrlProp1645.xml"/><Relationship Id="rId1854" Type="http://schemas.openxmlformats.org/officeDocument/2006/relationships/ctrlProp" Target="../ctrlProps/ctrlProp1852.xml"/><Relationship Id="rId2905" Type="http://schemas.openxmlformats.org/officeDocument/2006/relationships/ctrlProp" Target="../ctrlProps/ctrlProp2903.xml"/><Relationship Id="rId1507" Type="http://schemas.openxmlformats.org/officeDocument/2006/relationships/ctrlProp" Target="../ctrlProps/ctrlProp1505.xml"/><Relationship Id="rId1714" Type="http://schemas.openxmlformats.org/officeDocument/2006/relationships/ctrlProp" Target="../ctrlProps/ctrlProp1712.xml"/><Relationship Id="rId1921" Type="http://schemas.openxmlformats.org/officeDocument/2006/relationships/ctrlProp" Target="../ctrlProps/ctrlProp1919.xml"/><Relationship Id="rId2488" Type="http://schemas.openxmlformats.org/officeDocument/2006/relationships/ctrlProp" Target="../ctrlProps/ctrlProp2486.xml"/><Relationship Id="rId1297" Type="http://schemas.openxmlformats.org/officeDocument/2006/relationships/ctrlProp" Target="../ctrlProps/ctrlProp1295.xml"/><Relationship Id="rId2695" Type="http://schemas.openxmlformats.org/officeDocument/2006/relationships/ctrlProp" Target="../ctrlProps/ctrlProp2693.xml"/><Relationship Id="rId667" Type="http://schemas.openxmlformats.org/officeDocument/2006/relationships/ctrlProp" Target="../ctrlProps/ctrlProp665.xml"/><Relationship Id="rId874" Type="http://schemas.openxmlformats.org/officeDocument/2006/relationships/ctrlProp" Target="../ctrlProps/ctrlProp872.xml"/><Relationship Id="rId2348" Type="http://schemas.openxmlformats.org/officeDocument/2006/relationships/ctrlProp" Target="../ctrlProps/ctrlProp2346.xml"/><Relationship Id="rId2555" Type="http://schemas.openxmlformats.org/officeDocument/2006/relationships/ctrlProp" Target="../ctrlProps/ctrlProp2553.xml"/><Relationship Id="rId2762" Type="http://schemas.openxmlformats.org/officeDocument/2006/relationships/ctrlProp" Target="../ctrlProps/ctrlProp2760.xml"/><Relationship Id="rId527" Type="http://schemas.openxmlformats.org/officeDocument/2006/relationships/ctrlProp" Target="../ctrlProps/ctrlProp525.xml"/><Relationship Id="rId734" Type="http://schemas.openxmlformats.org/officeDocument/2006/relationships/ctrlProp" Target="../ctrlProps/ctrlProp732.xml"/><Relationship Id="rId941" Type="http://schemas.openxmlformats.org/officeDocument/2006/relationships/ctrlProp" Target="../ctrlProps/ctrlProp939.xml"/><Relationship Id="rId1157" Type="http://schemas.openxmlformats.org/officeDocument/2006/relationships/ctrlProp" Target="../ctrlProps/ctrlProp1155.xml"/><Relationship Id="rId1364" Type="http://schemas.openxmlformats.org/officeDocument/2006/relationships/ctrlProp" Target="../ctrlProps/ctrlProp1362.xml"/><Relationship Id="rId1571" Type="http://schemas.openxmlformats.org/officeDocument/2006/relationships/ctrlProp" Target="../ctrlProps/ctrlProp1569.xml"/><Relationship Id="rId2208" Type="http://schemas.openxmlformats.org/officeDocument/2006/relationships/ctrlProp" Target="../ctrlProps/ctrlProp2206.xml"/><Relationship Id="rId2415" Type="http://schemas.openxmlformats.org/officeDocument/2006/relationships/ctrlProp" Target="../ctrlProps/ctrlProp2413.xml"/><Relationship Id="rId2622" Type="http://schemas.openxmlformats.org/officeDocument/2006/relationships/ctrlProp" Target="../ctrlProps/ctrlProp2620.xml"/><Relationship Id="rId70" Type="http://schemas.openxmlformats.org/officeDocument/2006/relationships/ctrlProp" Target="../ctrlProps/ctrlProp68.xml"/><Relationship Id="rId801" Type="http://schemas.openxmlformats.org/officeDocument/2006/relationships/ctrlProp" Target="../ctrlProps/ctrlProp799.xml"/><Relationship Id="rId1017" Type="http://schemas.openxmlformats.org/officeDocument/2006/relationships/ctrlProp" Target="../ctrlProps/ctrlProp1015.xml"/><Relationship Id="rId1224" Type="http://schemas.openxmlformats.org/officeDocument/2006/relationships/ctrlProp" Target="../ctrlProps/ctrlProp1222.xml"/><Relationship Id="rId1431" Type="http://schemas.openxmlformats.org/officeDocument/2006/relationships/ctrlProp" Target="../ctrlProps/ctrlProp1429.xml"/><Relationship Id="rId3189" Type="http://schemas.openxmlformats.org/officeDocument/2006/relationships/ctrlProp" Target="../ctrlProps/ctrlProp3187.xml"/><Relationship Id="rId3396" Type="http://schemas.openxmlformats.org/officeDocument/2006/relationships/table" Target="../tables/table207.xml"/><Relationship Id="rId3049" Type="http://schemas.openxmlformats.org/officeDocument/2006/relationships/ctrlProp" Target="../ctrlProps/ctrlProp3047.xml"/><Relationship Id="rId3256" Type="http://schemas.openxmlformats.org/officeDocument/2006/relationships/table" Target="../tables/table67.xml"/><Relationship Id="rId3463" Type="http://schemas.openxmlformats.org/officeDocument/2006/relationships/table" Target="../tables/table274.xml"/><Relationship Id="rId177" Type="http://schemas.openxmlformats.org/officeDocument/2006/relationships/ctrlProp" Target="../ctrlProps/ctrlProp175.xml"/><Relationship Id="rId384" Type="http://schemas.openxmlformats.org/officeDocument/2006/relationships/ctrlProp" Target="../ctrlProps/ctrlProp382.xml"/><Relationship Id="rId591" Type="http://schemas.openxmlformats.org/officeDocument/2006/relationships/ctrlProp" Target="../ctrlProps/ctrlProp589.xml"/><Relationship Id="rId2065" Type="http://schemas.openxmlformats.org/officeDocument/2006/relationships/ctrlProp" Target="../ctrlProps/ctrlProp2063.xml"/><Relationship Id="rId2272" Type="http://schemas.openxmlformats.org/officeDocument/2006/relationships/ctrlProp" Target="../ctrlProps/ctrlProp2270.xml"/><Relationship Id="rId3116" Type="http://schemas.openxmlformats.org/officeDocument/2006/relationships/ctrlProp" Target="../ctrlProps/ctrlProp3114.xml"/><Relationship Id="rId244" Type="http://schemas.openxmlformats.org/officeDocument/2006/relationships/ctrlProp" Target="../ctrlProps/ctrlProp242.xml"/><Relationship Id="rId1081" Type="http://schemas.openxmlformats.org/officeDocument/2006/relationships/ctrlProp" Target="../ctrlProps/ctrlProp1079.xml"/><Relationship Id="rId3323" Type="http://schemas.openxmlformats.org/officeDocument/2006/relationships/table" Target="../tables/table134.xml"/><Relationship Id="rId451" Type="http://schemas.openxmlformats.org/officeDocument/2006/relationships/ctrlProp" Target="../ctrlProps/ctrlProp449.xml"/><Relationship Id="rId2132" Type="http://schemas.openxmlformats.org/officeDocument/2006/relationships/ctrlProp" Target="../ctrlProps/ctrlProp2130.xml"/><Relationship Id="rId104" Type="http://schemas.openxmlformats.org/officeDocument/2006/relationships/ctrlProp" Target="../ctrlProps/ctrlProp102.xml"/><Relationship Id="rId311" Type="http://schemas.openxmlformats.org/officeDocument/2006/relationships/ctrlProp" Target="../ctrlProps/ctrlProp309.xml"/><Relationship Id="rId1898" Type="http://schemas.openxmlformats.org/officeDocument/2006/relationships/ctrlProp" Target="../ctrlProps/ctrlProp1896.xml"/><Relationship Id="rId2949" Type="http://schemas.openxmlformats.org/officeDocument/2006/relationships/ctrlProp" Target="../ctrlProps/ctrlProp2947.xml"/><Relationship Id="rId1758" Type="http://schemas.openxmlformats.org/officeDocument/2006/relationships/ctrlProp" Target="../ctrlProps/ctrlProp1756.xml"/><Relationship Id="rId2809" Type="http://schemas.openxmlformats.org/officeDocument/2006/relationships/ctrlProp" Target="../ctrlProps/ctrlProp2807.xml"/><Relationship Id="rId1965" Type="http://schemas.openxmlformats.org/officeDocument/2006/relationships/ctrlProp" Target="../ctrlProps/ctrlProp1963.xml"/><Relationship Id="rId3180" Type="http://schemas.openxmlformats.org/officeDocument/2006/relationships/ctrlProp" Target="../ctrlProps/ctrlProp3178.xml"/><Relationship Id="rId1618" Type="http://schemas.openxmlformats.org/officeDocument/2006/relationships/ctrlProp" Target="../ctrlProps/ctrlProp1616.xml"/><Relationship Id="rId1825" Type="http://schemas.openxmlformats.org/officeDocument/2006/relationships/ctrlProp" Target="../ctrlProps/ctrlProp1823.xml"/><Relationship Id="rId3040" Type="http://schemas.openxmlformats.org/officeDocument/2006/relationships/ctrlProp" Target="../ctrlProps/ctrlProp3038.xml"/><Relationship Id="rId2599" Type="http://schemas.openxmlformats.org/officeDocument/2006/relationships/ctrlProp" Target="../ctrlProps/ctrlProp2597.xml"/><Relationship Id="rId778" Type="http://schemas.openxmlformats.org/officeDocument/2006/relationships/ctrlProp" Target="../ctrlProps/ctrlProp776.xml"/><Relationship Id="rId985" Type="http://schemas.openxmlformats.org/officeDocument/2006/relationships/ctrlProp" Target="../ctrlProps/ctrlProp983.xml"/><Relationship Id="rId2459" Type="http://schemas.openxmlformats.org/officeDocument/2006/relationships/ctrlProp" Target="../ctrlProps/ctrlProp2457.xml"/><Relationship Id="rId2666" Type="http://schemas.openxmlformats.org/officeDocument/2006/relationships/ctrlProp" Target="../ctrlProps/ctrlProp2664.xml"/><Relationship Id="rId2873" Type="http://schemas.openxmlformats.org/officeDocument/2006/relationships/ctrlProp" Target="../ctrlProps/ctrlProp2871.xml"/><Relationship Id="rId638" Type="http://schemas.openxmlformats.org/officeDocument/2006/relationships/ctrlProp" Target="../ctrlProps/ctrlProp636.xml"/><Relationship Id="rId845" Type="http://schemas.openxmlformats.org/officeDocument/2006/relationships/ctrlProp" Target="../ctrlProps/ctrlProp843.xml"/><Relationship Id="rId1268" Type="http://schemas.openxmlformats.org/officeDocument/2006/relationships/ctrlProp" Target="../ctrlProps/ctrlProp1266.xml"/><Relationship Id="rId1475" Type="http://schemas.openxmlformats.org/officeDocument/2006/relationships/ctrlProp" Target="../ctrlProps/ctrlProp1473.xml"/><Relationship Id="rId1682" Type="http://schemas.openxmlformats.org/officeDocument/2006/relationships/ctrlProp" Target="../ctrlProps/ctrlProp1680.xml"/><Relationship Id="rId2319" Type="http://schemas.openxmlformats.org/officeDocument/2006/relationships/ctrlProp" Target="../ctrlProps/ctrlProp2317.xml"/><Relationship Id="rId2526" Type="http://schemas.openxmlformats.org/officeDocument/2006/relationships/ctrlProp" Target="../ctrlProps/ctrlProp2524.xml"/><Relationship Id="rId2733" Type="http://schemas.openxmlformats.org/officeDocument/2006/relationships/ctrlProp" Target="../ctrlProps/ctrlProp2731.xml"/><Relationship Id="rId705" Type="http://schemas.openxmlformats.org/officeDocument/2006/relationships/ctrlProp" Target="../ctrlProps/ctrlProp703.xml"/><Relationship Id="rId1128" Type="http://schemas.openxmlformats.org/officeDocument/2006/relationships/ctrlProp" Target="../ctrlProps/ctrlProp1126.xml"/><Relationship Id="rId1335" Type="http://schemas.openxmlformats.org/officeDocument/2006/relationships/ctrlProp" Target="../ctrlProps/ctrlProp1333.xml"/><Relationship Id="rId1542" Type="http://schemas.openxmlformats.org/officeDocument/2006/relationships/ctrlProp" Target="../ctrlProps/ctrlProp1540.xml"/><Relationship Id="rId2940" Type="http://schemas.openxmlformats.org/officeDocument/2006/relationships/ctrlProp" Target="../ctrlProps/ctrlProp2938.xml"/><Relationship Id="rId912" Type="http://schemas.openxmlformats.org/officeDocument/2006/relationships/ctrlProp" Target="../ctrlProps/ctrlProp910.xml"/><Relationship Id="rId2800" Type="http://schemas.openxmlformats.org/officeDocument/2006/relationships/ctrlProp" Target="../ctrlProps/ctrlProp2798.xml"/><Relationship Id="rId41" Type="http://schemas.openxmlformats.org/officeDocument/2006/relationships/ctrlProp" Target="../ctrlProps/ctrlProp39.xml"/><Relationship Id="rId1402" Type="http://schemas.openxmlformats.org/officeDocument/2006/relationships/ctrlProp" Target="../ctrlProps/ctrlProp1400.xml"/><Relationship Id="rId288" Type="http://schemas.openxmlformats.org/officeDocument/2006/relationships/ctrlProp" Target="../ctrlProps/ctrlProp286.xml"/><Relationship Id="rId3367" Type="http://schemas.openxmlformats.org/officeDocument/2006/relationships/table" Target="../tables/table178.xml"/><Relationship Id="rId495" Type="http://schemas.openxmlformats.org/officeDocument/2006/relationships/ctrlProp" Target="../ctrlProps/ctrlProp493.xml"/><Relationship Id="rId2176" Type="http://schemas.openxmlformats.org/officeDocument/2006/relationships/ctrlProp" Target="../ctrlProps/ctrlProp2174.xml"/><Relationship Id="rId2383" Type="http://schemas.openxmlformats.org/officeDocument/2006/relationships/ctrlProp" Target="../ctrlProps/ctrlProp2381.xml"/><Relationship Id="rId2590" Type="http://schemas.openxmlformats.org/officeDocument/2006/relationships/ctrlProp" Target="../ctrlProps/ctrlProp2588.xml"/><Relationship Id="rId3227" Type="http://schemas.openxmlformats.org/officeDocument/2006/relationships/table" Target="../tables/table38.xml"/><Relationship Id="rId3434" Type="http://schemas.openxmlformats.org/officeDocument/2006/relationships/table" Target="../tables/table245.xml"/><Relationship Id="rId148" Type="http://schemas.openxmlformats.org/officeDocument/2006/relationships/ctrlProp" Target="../ctrlProps/ctrlProp146.xml"/><Relationship Id="rId355" Type="http://schemas.openxmlformats.org/officeDocument/2006/relationships/ctrlProp" Target="../ctrlProps/ctrlProp353.xml"/><Relationship Id="rId562" Type="http://schemas.openxmlformats.org/officeDocument/2006/relationships/ctrlProp" Target="../ctrlProps/ctrlProp560.xml"/><Relationship Id="rId1192" Type="http://schemas.openxmlformats.org/officeDocument/2006/relationships/ctrlProp" Target="../ctrlProps/ctrlProp1190.xml"/><Relationship Id="rId2036" Type="http://schemas.openxmlformats.org/officeDocument/2006/relationships/ctrlProp" Target="../ctrlProps/ctrlProp2034.xml"/><Relationship Id="rId2243" Type="http://schemas.openxmlformats.org/officeDocument/2006/relationships/ctrlProp" Target="../ctrlProps/ctrlProp2241.xml"/><Relationship Id="rId2450" Type="http://schemas.openxmlformats.org/officeDocument/2006/relationships/ctrlProp" Target="../ctrlProps/ctrlProp2448.xml"/><Relationship Id="rId3501" Type="http://schemas.openxmlformats.org/officeDocument/2006/relationships/table" Target="../tables/table312.xml"/><Relationship Id="rId215" Type="http://schemas.openxmlformats.org/officeDocument/2006/relationships/ctrlProp" Target="../ctrlProps/ctrlProp213.xml"/><Relationship Id="rId422" Type="http://schemas.openxmlformats.org/officeDocument/2006/relationships/ctrlProp" Target="../ctrlProps/ctrlProp420.xml"/><Relationship Id="rId1052" Type="http://schemas.openxmlformats.org/officeDocument/2006/relationships/ctrlProp" Target="../ctrlProps/ctrlProp1050.xml"/><Relationship Id="rId2103" Type="http://schemas.openxmlformats.org/officeDocument/2006/relationships/ctrlProp" Target="../ctrlProps/ctrlProp2101.xml"/><Relationship Id="rId2310" Type="http://schemas.openxmlformats.org/officeDocument/2006/relationships/ctrlProp" Target="../ctrlProps/ctrlProp2308.xml"/><Relationship Id="rId1869" Type="http://schemas.openxmlformats.org/officeDocument/2006/relationships/ctrlProp" Target="../ctrlProps/ctrlProp1867.xml"/><Relationship Id="rId3084" Type="http://schemas.openxmlformats.org/officeDocument/2006/relationships/ctrlProp" Target="../ctrlProps/ctrlProp3082.xml"/><Relationship Id="rId3291" Type="http://schemas.openxmlformats.org/officeDocument/2006/relationships/table" Target="../tables/table102.xml"/><Relationship Id="rId1729" Type="http://schemas.openxmlformats.org/officeDocument/2006/relationships/ctrlProp" Target="../ctrlProps/ctrlProp1727.xml"/><Relationship Id="rId1936" Type="http://schemas.openxmlformats.org/officeDocument/2006/relationships/ctrlProp" Target="../ctrlProps/ctrlProp1934.xml"/><Relationship Id="rId3151" Type="http://schemas.openxmlformats.org/officeDocument/2006/relationships/ctrlProp" Target="../ctrlProps/ctrlProp3149.xml"/><Relationship Id="rId3011" Type="http://schemas.openxmlformats.org/officeDocument/2006/relationships/ctrlProp" Target="../ctrlProps/ctrlProp3009.xml"/><Relationship Id="rId5" Type="http://schemas.openxmlformats.org/officeDocument/2006/relationships/ctrlProp" Target="../ctrlProps/ctrlProp3.xml"/><Relationship Id="rId889" Type="http://schemas.openxmlformats.org/officeDocument/2006/relationships/ctrlProp" Target="../ctrlProps/ctrlProp887.xml"/><Relationship Id="rId2777" Type="http://schemas.openxmlformats.org/officeDocument/2006/relationships/ctrlProp" Target="../ctrlProps/ctrlProp2775.xml"/><Relationship Id="rId749" Type="http://schemas.openxmlformats.org/officeDocument/2006/relationships/ctrlProp" Target="../ctrlProps/ctrlProp747.xml"/><Relationship Id="rId1379" Type="http://schemas.openxmlformats.org/officeDocument/2006/relationships/ctrlProp" Target="../ctrlProps/ctrlProp1377.xml"/><Relationship Id="rId1586" Type="http://schemas.openxmlformats.org/officeDocument/2006/relationships/ctrlProp" Target="../ctrlProps/ctrlProp1584.xml"/><Relationship Id="rId2984" Type="http://schemas.openxmlformats.org/officeDocument/2006/relationships/ctrlProp" Target="../ctrlProps/ctrlProp2982.xml"/><Relationship Id="rId609" Type="http://schemas.openxmlformats.org/officeDocument/2006/relationships/ctrlProp" Target="../ctrlProps/ctrlProp607.xml"/><Relationship Id="rId956" Type="http://schemas.openxmlformats.org/officeDocument/2006/relationships/ctrlProp" Target="../ctrlProps/ctrlProp954.xml"/><Relationship Id="rId1239" Type="http://schemas.openxmlformats.org/officeDocument/2006/relationships/ctrlProp" Target="../ctrlProps/ctrlProp1237.xml"/><Relationship Id="rId1793" Type="http://schemas.openxmlformats.org/officeDocument/2006/relationships/ctrlProp" Target="../ctrlProps/ctrlProp1791.xml"/><Relationship Id="rId2637" Type="http://schemas.openxmlformats.org/officeDocument/2006/relationships/ctrlProp" Target="../ctrlProps/ctrlProp2635.xml"/><Relationship Id="rId2844" Type="http://schemas.openxmlformats.org/officeDocument/2006/relationships/ctrlProp" Target="../ctrlProps/ctrlProp2842.xml"/><Relationship Id="rId85" Type="http://schemas.openxmlformats.org/officeDocument/2006/relationships/ctrlProp" Target="../ctrlProps/ctrlProp83.xml"/><Relationship Id="rId816" Type="http://schemas.openxmlformats.org/officeDocument/2006/relationships/ctrlProp" Target="../ctrlProps/ctrlProp814.xml"/><Relationship Id="rId1446" Type="http://schemas.openxmlformats.org/officeDocument/2006/relationships/ctrlProp" Target="../ctrlProps/ctrlProp1444.xml"/><Relationship Id="rId1653" Type="http://schemas.openxmlformats.org/officeDocument/2006/relationships/ctrlProp" Target="../ctrlProps/ctrlProp1651.xml"/><Relationship Id="rId1860" Type="http://schemas.openxmlformats.org/officeDocument/2006/relationships/ctrlProp" Target="../ctrlProps/ctrlProp1858.xml"/><Relationship Id="rId2704" Type="http://schemas.openxmlformats.org/officeDocument/2006/relationships/ctrlProp" Target="../ctrlProps/ctrlProp2702.xml"/><Relationship Id="rId2911" Type="http://schemas.openxmlformats.org/officeDocument/2006/relationships/ctrlProp" Target="../ctrlProps/ctrlProp2909.xml"/><Relationship Id="rId1306" Type="http://schemas.openxmlformats.org/officeDocument/2006/relationships/ctrlProp" Target="../ctrlProps/ctrlProp1304.xml"/><Relationship Id="rId1513" Type="http://schemas.openxmlformats.org/officeDocument/2006/relationships/ctrlProp" Target="../ctrlProps/ctrlProp1511.xml"/><Relationship Id="rId1720" Type="http://schemas.openxmlformats.org/officeDocument/2006/relationships/ctrlProp" Target="../ctrlProps/ctrlProp1718.xml"/><Relationship Id="rId12" Type="http://schemas.openxmlformats.org/officeDocument/2006/relationships/ctrlProp" Target="../ctrlProps/ctrlProp10.xml"/><Relationship Id="rId3478" Type="http://schemas.openxmlformats.org/officeDocument/2006/relationships/table" Target="../tables/table289.xml"/><Relationship Id="rId399" Type="http://schemas.openxmlformats.org/officeDocument/2006/relationships/ctrlProp" Target="../ctrlProps/ctrlProp397.xml"/><Relationship Id="rId2287" Type="http://schemas.openxmlformats.org/officeDocument/2006/relationships/ctrlProp" Target="../ctrlProps/ctrlProp2285.xml"/><Relationship Id="rId2494" Type="http://schemas.openxmlformats.org/officeDocument/2006/relationships/ctrlProp" Target="../ctrlProps/ctrlProp2492.xml"/><Relationship Id="rId3338" Type="http://schemas.openxmlformats.org/officeDocument/2006/relationships/table" Target="../tables/table149.xml"/><Relationship Id="rId259" Type="http://schemas.openxmlformats.org/officeDocument/2006/relationships/ctrlProp" Target="../ctrlProps/ctrlProp257.xml"/><Relationship Id="rId466" Type="http://schemas.openxmlformats.org/officeDocument/2006/relationships/ctrlProp" Target="../ctrlProps/ctrlProp464.xml"/><Relationship Id="rId673" Type="http://schemas.openxmlformats.org/officeDocument/2006/relationships/ctrlProp" Target="../ctrlProps/ctrlProp671.xml"/><Relationship Id="rId880" Type="http://schemas.openxmlformats.org/officeDocument/2006/relationships/ctrlProp" Target="../ctrlProps/ctrlProp878.xml"/><Relationship Id="rId1096" Type="http://schemas.openxmlformats.org/officeDocument/2006/relationships/ctrlProp" Target="../ctrlProps/ctrlProp1094.xml"/><Relationship Id="rId2147" Type="http://schemas.openxmlformats.org/officeDocument/2006/relationships/ctrlProp" Target="../ctrlProps/ctrlProp2145.xml"/><Relationship Id="rId2354" Type="http://schemas.openxmlformats.org/officeDocument/2006/relationships/ctrlProp" Target="../ctrlProps/ctrlProp2352.xml"/><Relationship Id="rId2561" Type="http://schemas.openxmlformats.org/officeDocument/2006/relationships/ctrlProp" Target="../ctrlProps/ctrlProp2559.xml"/><Relationship Id="rId3405" Type="http://schemas.openxmlformats.org/officeDocument/2006/relationships/table" Target="../tables/table216.xml"/><Relationship Id="rId119" Type="http://schemas.openxmlformats.org/officeDocument/2006/relationships/ctrlProp" Target="../ctrlProps/ctrlProp117.xml"/><Relationship Id="rId326" Type="http://schemas.openxmlformats.org/officeDocument/2006/relationships/ctrlProp" Target="../ctrlProps/ctrlProp324.xml"/><Relationship Id="rId533" Type="http://schemas.openxmlformats.org/officeDocument/2006/relationships/ctrlProp" Target="../ctrlProps/ctrlProp531.xml"/><Relationship Id="rId1163" Type="http://schemas.openxmlformats.org/officeDocument/2006/relationships/ctrlProp" Target="../ctrlProps/ctrlProp1161.xml"/><Relationship Id="rId1370" Type="http://schemas.openxmlformats.org/officeDocument/2006/relationships/ctrlProp" Target="../ctrlProps/ctrlProp1368.xml"/><Relationship Id="rId2007" Type="http://schemas.openxmlformats.org/officeDocument/2006/relationships/ctrlProp" Target="../ctrlProps/ctrlProp2005.xml"/><Relationship Id="rId2214" Type="http://schemas.openxmlformats.org/officeDocument/2006/relationships/ctrlProp" Target="../ctrlProps/ctrlProp2212.xml"/><Relationship Id="rId740" Type="http://schemas.openxmlformats.org/officeDocument/2006/relationships/ctrlProp" Target="../ctrlProps/ctrlProp738.xml"/><Relationship Id="rId1023" Type="http://schemas.openxmlformats.org/officeDocument/2006/relationships/ctrlProp" Target="../ctrlProps/ctrlProp1021.xml"/><Relationship Id="rId2421" Type="http://schemas.openxmlformats.org/officeDocument/2006/relationships/ctrlProp" Target="../ctrlProps/ctrlProp2419.xml"/><Relationship Id="rId600" Type="http://schemas.openxmlformats.org/officeDocument/2006/relationships/ctrlProp" Target="../ctrlProps/ctrlProp598.xml"/><Relationship Id="rId1230" Type="http://schemas.openxmlformats.org/officeDocument/2006/relationships/ctrlProp" Target="../ctrlProps/ctrlProp1228.xml"/><Relationship Id="rId3195" Type="http://schemas.openxmlformats.org/officeDocument/2006/relationships/table" Target="../tables/table6.xml"/><Relationship Id="rId3055" Type="http://schemas.openxmlformats.org/officeDocument/2006/relationships/ctrlProp" Target="../ctrlProps/ctrlProp3053.xml"/><Relationship Id="rId3262" Type="http://schemas.openxmlformats.org/officeDocument/2006/relationships/table" Target="../tables/table73.xml"/><Relationship Id="rId183" Type="http://schemas.openxmlformats.org/officeDocument/2006/relationships/ctrlProp" Target="../ctrlProps/ctrlProp181.xml"/><Relationship Id="rId390" Type="http://schemas.openxmlformats.org/officeDocument/2006/relationships/ctrlProp" Target="../ctrlProps/ctrlProp388.xml"/><Relationship Id="rId1907" Type="http://schemas.openxmlformats.org/officeDocument/2006/relationships/ctrlProp" Target="../ctrlProps/ctrlProp1905.xml"/><Relationship Id="rId2071" Type="http://schemas.openxmlformats.org/officeDocument/2006/relationships/ctrlProp" Target="../ctrlProps/ctrlProp2069.xml"/><Relationship Id="rId3122" Type="http://schemas.openxmlformats.org/officeDocument/2006/relationships/ctrlProp" Target="../ctrlProps/ctrlProp3120.xml"/><Relationship Id="rId250" Type="http://schemas.openxmlformats.org/officeDocument/2006/relationships/ctrlProp" Target="../ctrlProps/ctrlProp248.xml"/><Relationship Id="rId110" Type="http://schemas.openxmlformats.org/officeDocument/2006/relationships/ctrlProp" Target="../ctrlProps/ctrlProp108.xml"/><Relationship Id="rId2888" Type="http://schemas.openxmlformats.org/officeDocument/2006/relationships/ctrlProp" Target="../ctrlProps/ctrlProp2886.xml"/><Relationship Id="rId1697" Type="http://schemas.openxmlformats.org/officeDocument/2006/relationships/ctrlProp" Target="../ctrlProps/ctrlProp1695.xml"/><Relationship Id="rId2748" Type="http://schemas.openxmlformats.org/officeDocument/2006/relationships/ctrlProp" Target="../ctrlProps/ctrlProp2746.xml"/><Relationship Id="rId2955" Type="http://schemas.openxmlformats.org/officeDocument/2006/relationships/ctrlProp" Target="../ctrlProps/ctrlProp2953.xml"/><Relationship Id="rId927" Type="http://schemas.openxmlformats.org/officeDocument/2006/relationships/ctrlProp" Target="../ctrlProps/ctrlProp925.xml"/><Relationship Id="rId1557" Type="http://schemas.openxmlformats.org/officeDocument/2006/relationships/ctrlProp" Target="../ctrlProps/ctrlProp1555.xml"/><Relationship Id="rId1764" Type="http://schemas.openxmlformats.org/officeDocument/2006/relationships/ctrlProp" Target="../ctrlProps/ctrlProp1762.xml"/><Relationship Id="rId1971" Type="http://schemas.openxmlformats.org/officeDocument/2006/relationships/ctrlProp" Target="../ctrlProps/ctrlProp1969.xml"/><Relationship Id="rId2608" Type="http://schemas.openxmlformats.org/officeDocument/2006/relationships/ctrlProp" Target="../ctrlProps/ctrlProp2606.xml"/><Relationship Id="rId2815" Type="http://schemas.openxmlformats.org/officeDocument/2006/relationships/ctrlProp" Target="../ctrlProps/ctrlProp2813.xml"/><Relationship Id="rId56" Type="http://schemas.openxmlformats.org/officeDocument/2006/relationships/ctrlProp" Target="../ctrlProps/ctrlProp54.xml"/><Relationship Id="rId1417" Type="http://schemas.openxmlformats.org/officeDocument/2006/relationships/ctrlProp" Target="../ctrlProps/ctrlProp1415.xml"/><Relationship Id="rId1624" Type="http://schemas.openxmlformats.org/officeDocument/2006/relationships/ctrlProp" Target="../ctrlProps/ctrlProp1622.xml"/><Relationship Id="rId1831" Type="http://schemas.openxmlformats.org/officeDocument/2006/relationships/ctrlProp" Target="../ctrlProps/ctrlProp1829.xml"/><Relationship Id="rId2398" Type="http://schemas.openxmlformats.org/officeDocument/2006/relationships/ctrlProp" Target="../ctrlProps/ctrlProp2396.xml"/><Relationship Id="rId3449" Type="http://schemas.openxmlformats.org/officeDocument/2006/relationships/table" Target="../tables/table260.xml"/><Relationship Id="rId577" Type="http://schemas.openxmlformats.org/officeDocument/2006/relationships/ctrlProp" Target="../ctrlProps/ctrlProp575.xml"/><Relationship Id="rId2258" Type="http://schemas.openxmlformats.org/officeDocument/2006/relationships/ctrlProp" Target="../ctrlProps/ctrlProp2256.xml"/><Relationship Id="rId784" Type="http://schemas.openxmlformats.org/officeDocument/2006/relationships/ctrlProp" Target="../ctrlProps/ctrlProp782.xml"/><Relationship Id="rId991" Type="http://schemas.openxmlformats.org/officeDocument/2006/relationships/ctrlProp" Target="../ctrlProps/ctrlProp989.xml"/><Relationship Id="rId1067" Type="http://schemas.openxmlformats.org/officeDocument/2006/relationships/ctrlProp" Target="../ctrlProps/ctrlProp1065.xml"/><Relationship Id="rId2465" Type="http://schemas.openxmlformats.org/officeDocument/2006/relationships/ctrlProp" Target="../ctrlProps/ctrlProp2463.xml"/><Relationship Id="rId2672" Type="http://schemas.openxmlformats.org/officeDocument/2006/relationships/ctrlProp" Target="../ctrlProps/ctrlProp2670.xml"/><Relationship Id="rId3309" Type="http://schemas.openxmlformats.org/officeDocument/2006/relationships/table" Target="../tables/table120.xml"/><Relationship Id="rId437" Type="http://schemas.openxmlformats.org/officeDocument/2006/relationships/ctrlProp" Target="../ctrlProps/ctrlProp435.xml"/><Relationship Id="rId644" Type="http://schemas.openxmlformats.org/officeDocument/2006/relationships/ctrlProp" Target="../ctrlProps/ctrlProp642.xml"/><Relationship Id="rId851" Type="http://schemas.openxmlformats.org/officeDocument/2006/relationships/ctrlProp" Target="../ctrlProps/ctrlProp849.xml"/><Relationship Id="rId1274" Type="http://schemas.openxmlformats.org/officeDocument/2006/relationships/ctrlProp" Target="../ctrlProps/ctrlProp1272.xml"/><Relationship Id="rId1481" Type="http://schemas.openxmlformats.org/officeDocument/2006/relationships/ctrlProp" Target="../ctrlProps/ctrlProp1479.xml"/><Relationship Id="rId2118" Type="http://schemas.openxmlformats.org/officeDocument/2006/relationships/ctrlProp" Target="../ctrlProps/ctrlProp2116.xml"/><Relationship Id="rId2325" Type="http://schemas.openxmlformats.org/officeDocument/2006/relationships/ctrlProp" Target="../ctrlProps/ctrlProp2323.xml"/><Relationship Id="rId2532" Type="http://schemas.openxmlformats.org/officeDocument/2006/relationships/ctrlProp" Target="../ctrlProps/ctrlProp2530.xml"/><Relationship Id="rId504" Type="http://schemas.openxmlformats.org/officeDocument/2006/relationships/ctrlProp" Target="../ctrlProps/ctrlProp502.xml"/><Relationship Id="rId711" Type="http://schemas.openxmlformats.org/officeDocument/2006/relationships/ctrlProp" Target="../ctrlProps/ctrlProp709.xml"/><Relationship Id="rId1134" Type="http://schemas.openxmlformats.org/officeDocument/2006/relationships/ctrlProp" Target="../ctrlProps/ctrlProp1132.xml"/><Relationship Id="rId1341" Type="http://schemas.openxmlformats.org/officeDocument/2006/relationships/ctrlProp" Target="../ctrlProps/ctrlProp1339.xml"/><Relationship Id="rId1201" Type="http://schemas.openxmlformats.org/officeDocument/2006/relationships/ctrlProp" Target="../ctrlProps/ctrlProp1199.xml"/><Relationship Id="rId3099" Type="http://schemas.openxmlformats.org/officeDocument/2006/relationships/ctrlProp" Target="../ctrlProps/ctrlProp3097.xml"/><Relationship Id="rId3166" Type="http://schemas.openxmlformats.org/officeDocument/2006/relationships/ctrlProp" Target="../ctrlProps/ctrlProp3164.xml"/><Relationship Id="rId3373" Type="http://schemas.openxmlformats.org/officeDocument/2006/relationships/table" Target="../tables/table184.xml"/><Relationship Id="rId294" Type="http://schemas.openxmlformats.org/officeDocument/2006/relationships/ctrlProp" Target="../ctrlProps/ctrlProp292.xml"/><Relationship Id="rId2182" Type="http://schemas.openxmlformats.org/officeDocument/2006/relationships/ctrlProp" Target="../ctrlProps/ctrlProp2180.xml"/><Relationship Id="rId3026" Type="http://schemas.openxmlformats.org/officeDocument/2006/relationships/ctrlProp" Target="../ctrlProps/ctrlProp3024.xml"/><Relationship Id="rId3233" Type="http://schemas.openxmlformats.org/officeDocument/2006/relationships/table" Target="../tables/table44.xml"/><Relationship Id="rId154" Type="http://schemas.openxmlformats.org/officeDocument/2006/relationships/ctrlProp" Target="../ctrlProps/ctrlProp152.xml"/><Relationship Id="rId361" Type="http://schemas.openxmlformats.org/officeDocument/2006/relationships/ctrlProp" Target="../ctrlProps/ctrlProp359.xml"/><Relationship Id="rId2042" Type="http://schemas.openxmlformats.org/officeDocument/2006/relationships/ctrlProp" Target="../ctrlProps/ctrlProp2040.xml"/><Relationship Id="rId3440" Type="http://schemas.openxmlformats.org/officeDocument/2006/relationships/table" Target="../tables/table251.xml"/><Relationship Id="rId2999" Type="http://schemas.openxmlformats.org/officeDocument/2006/relationships/ctrlProp" Target="../ctrlProps/ctrlProp2997.xml"/><Relationship Id="rId3300" Type="http://schemas.openxmlformats.org/officeDocument/2006/relationships/table" Target="../tables/table111.xml"/><Relationship Id="rId221" Type="http://schemas.openxmlformats.org/officeDocument/2006/relationships/ctrlProp" Target="../ctrlProps/ctrlProp219.xml"/><Relationship Id="rId2859" Type="http://schemas.openxmlformats.org/officeDocument/2006/relationships/ctrlProp" Target="../ctrlProps/ctrlProp2857.xml"/><Relationship Id="rId1668" Type="http://schemas.openxmlformats.org/officeDocument/2006/relationships/ctrlProp" Target="../ctrlProps/ctrlProp1666.xml"/><Relationship Id="rId1875" Type="http://schemas.openxmlformats.org/officeDocument/2006/relationships/ctrlProp" Target="../ctrlProps/ctrlProp1873.xml"/><Relationship Id="rId2719" Type="http://schemas.openxmlformats.org/officeDocument/2006/relationships/ctrlProp" Target="../ctrlProps/ctrlProp2717.xml"/><Relationship Id="rId1528" Type="http://schemas.openxmlformats.org/officeDocument/2006/relationships/ctrlProp" Target="../ctrlProps/ctrlProp1526.xml"/><Relationship Id="rId2926" Type="http://schemas.openxmlformats.org/officeDocument/2006/relationships/ctrlProp" Target="../ctrlProps/ctrlProp2924.xml"/><Relationship Id="rId3090" Type="http://schemas.openxmlformats.org/officeDocument/2006/relationships/ctrlProp" Target="../ctrlProps/ctrlProp3088.xml"/><Relationship Id="rId1735" Type="http://schemas.openxmlformats.org/officeDocument/2006/relationships/ctrlProp" Target="../ctrlProps/ctrlProp1733.xml"/><Relationship Id="rId1942" Type="http://schemas.openxmlformats.org/officeDocument/2006/relationships/ctrlProp" Target="../ctrlProps/ctrlProp1940.xml"/><Relationship Id="rId27" Type="http://schemas.openxmlformats.org/officeDocument/2006/relationships/ctrlProp" Target="../ctrlProps/ctrlProp25.xml"/><Relationship Id="rId1802" Type="http://schemas.openxmlformats.org/officeDocument/2006/relationships/ctrlProp" Target="../ctrlProps/ctrlProp1800.xml"/><Relationship Id="rId688" Type="http://schemas.openxmlformats.org/officeDocument/2006/relationships/ctrlProp" Target="../ctrlProps/ctrlProp686.xml"/><Relationship Id="rId895" Type="http://schemas.openxmlformats.org/officeDocument/2006/relationships/ctrlProp" Target="../ctrlProps/ctrlProp893.xml"/><Relationship Id="rId2369" Type="http://schemas.openxmlformats.org/officeDocument/2006/relationships/ctrlProp" Target="../ctrlProps/ctrlProp2367.xml"/><Relationship Id="rId2576" Type="http://schemas.openxmlformats.org/officeDocument/2006/relationships/ctrlProp" Target="../ctrlProps/ctrlProp2574.xml"/><Relationship Id="rId2783" Type="http://schemas.openxmlformats.org/officeDocument/2006/relationships/ctrlProp" Target="../ctrlProps/ctrlProp2781.xml"/><Relationship Id="rId2990" Type="http://schemas.openxmlformats.org/officeDocument/2006/relationships/ctrlProp" Target="../ctrlProps/ctrlProp2988.xml"/><Relationship Id="rId548" Type="http://schemas.openxmlformats.org/officeDocument/2006/relationships/ctrlProp" Target="../ctrlProps/ctrlProp546.xml"/><Relationship Id="rId755" Type="http://schemas.openxmlformats.org/officeDocument/2006/relationships/ctrlProp" Target="../ctrlProps/ctrlProp753.xml"/><Relationship Id="rId962" Type="http://schemas.openxmlformats.org/officeDocument/2006/relationships/ctrlProp" Target="../ctrlProps/ctrlProp960.xml"/><Relationship Id="rId1178" Type="http://schemas.openxmlformats.org/officeDocument/2006/relationships/ctrlProp" Target="../ctrlProps/ctrlProp1176.xml"/><Relationship Id="rId1385" Type="http://schemas.openxmlformats.org/officeDocument/2006/relationships/ctrlProp" Target="../ctrlProps/ctrlProp1383.xml"/><Relationship Id="rId1592" Type="http://schemas.openxmlformats.org/officeDocument/2006/relationships/ctrlProp" Target="../ctrlProps/ctrlProp1590.xml"/><Relationship Id="rId2229" Type="http://schemas.openxmlformats.org/officeDocument/2006/relationships/ctrlProp" Target="../ctrlProps/ctrlProp2227.xml"/><Relationship Id="rId2436" Type="http://schemas.openxmlformats.org/officeDocument/2006/relationships/ctrlProp" Target="../ctrlProps/ctrlProp2434.xml"/><Relationship Id="rId2643" Type="http://schemas.openxmlformats.org/officeDocument/2006/relationships/ctrlProp" Target="../ctrlProps/ctrlProp2641.xml"/><Relationship Id="rId2850" Type="http://schemas.openxmlformats.org/officeDocument/2006/relationships/ctrlProp" Target="../ctrlProps/ctrlProp2848.xml"/><Relationship Id="rId91" Type="http://schemas.openxmlformats.org/officeDocument/2006/relationships/ctrlProp" Target="../ctrlProps/ctrlProp89.xml"/><Relationship Id="rId408" Type="http://schemas.openxmlformats.org/officeDocument/2006/relationships/ctrlProp" Target="../ctrlProps/ctrlProp406.xml"/><Relationship Id="rId615" Type="http://schemas.openxmlformats.org/officeDocument/2006/relationships/ctrlProp" Target="../ctrlProps/ctrlProp613.xml"/><Relationship Id="rId822" Type="http://schemas.openxmlformats.org/officeDocument/2006/relationships/ctrlProp" Target="../ctrlProps/ctrlProp820.xml"/><Relationship Id="rId1038" Type="http://schemas.openxmlformats.org/officeDocument/2006/relationships/ctrlProp" Target="../ctrlProps/ctrlProp1036.xml"/><Relationship Id="rId1245" Type="http://schemas.openxmlformats.org/officeDocument/2006/relationships/ctrlProp" Target="../ctrlProps/ctrlProp1243.xml"/><Relationship Id="rId1452" Type="http://schemas.openxmlformats.org/officeDocument/2006/relationships/ctrlProp" Target="../ctrlProps/ctrlProp1450.xml"/><Relationship Id="rId2503" Type="http://schemas.openxmlformats.org/officeDocument/2006/relationships/ctrlProp" Target="../ctrlProps/ctrlProp2501.xml"/><Relationship Id="rId1105" Type="http://schemas.openxmlformats.org/officeDocument/2006/relationships/ctrlProp" Target="../ctrlProps/ctrlProp1103.xml"/><Relationship Id="rId1312" Type="http://schemas.openxmlformats.org/officeDocument/2006/relationships/ctrlProp" Target="../ctrlProps/ctrlProp1310.xml"/><Relationship Id="rId2710" Type="http://schemas.openxmlformats.org/officeDocument/2006/relationships/ctrlProp" Target="../ctrlProps/ctrlProp2708.xml"/><Relationship Id="rId3277" Type="http://schemas.openxmlformats.org/officeDocument/2006/relationships/table" Target="../tables/table88.xml"/><Relationship Id="rId198" Type="http://schemas.openxmlformats.org/officeDocument/2006/relationships/ctrlProp" Target="../ctrlProps/ctrlProp196.xml"/><Relationship Id="rId2086" Type="http://schemas.openxmlformats.org/officeDocument/2006/relationships/ctrlProp" Target="../ctrlProps/ctrlProp2084.xml"/><Relationship Id="rId3484" Type="http://schemas.openxmlformats.org/officeDocument/2006/relationships/table" Target="../tables/table295.xml"/><Relationship Id="rId2293" Type="http://schemas.openxmlformats.org/officeDocument/2006/relationships/ctrlProp" Target="../ctrlProps/ctrlProp2291.xml"/><Relationship Id="rId3137" Type="http://schemas.openxmlformats.org/officeDocument/2006/relationships/ctrlProp" Target="../ctrlProps/ctrlProp3135.xml"/><Relationship Id="rId3344" Type="http://schemas.openxmlformats.org/officeDocument/2006/relationships/table" Target="../tables/table155.xml"/><Relationship Id="rId265" Type="http://schemas.openxmlformats.org/officeDocument/2006/relationships/ctrlProp" Target="../ctrlProps/ctrlProp263.xml"/><Relationship Id="rId472" Type="http://schemas.openxmlformats.org/officeDocument/2006/relationships/ctrlProp" Target="../ctrlProps/ctrlProp470.xml"/><Relationship Id="rId2153" Type="http://schemas.openxmlformats.org/officeDocument/2006/relationships/ctrlProp" Target="../ctrlProps/ctrlProp2151.xml"/><Relationship Id="rId2360" Type="http://schemas.openxmlformats.org/officeDocument/2006/relationships/ctrlProp" Target="../ctrlProps/ctrlProp2358.xml"/><Relationship Id="rId3204" Type="http://schemas.openxmlformats.org/officeDocument/2006/relationships/table" Target="../tables/table15.xml"/><Relationship Id="rId3411" Type="http://schemas.openxmlformats.org/officeDocument/2006/relationships/table" Target="../tables/table222.xml"/><Relationship Id="rId125" Type="http://schemas.openxmlformats.org/officeDocument/2006/relationships/ctrlProp" Target="../ctrlProps/ctrlProp123.xml"/><Relationship Id="rId332" Type="http://schemas.openxmlformats.org/officeDocument/2006/relationships/ctrlProp" Target="../ctrlProps/ctrlProp330.xml"/><Relationship Id="rId2013" Type="http://schemas.openxmlformats.org/officeDocument/2006/relationships/ctrlProp" Target="../ctrlProps/ctrlProp2011.xml"/><Relationship Id="rId2220" Type="http://schemas.openxmlformats.org/officeDocument/2006/relationships/ctrlProp" Target="../ctrlProps/ctrlProp2218.xml"/><Relationship Id="rId1779" Type="http://schemas.openxmlformats.org/officeDocument/2006/relationships/ctrlProp" Target="../ctrlProps/ctrlProp1777.xml"/><Relationship Id="rId1986" Type="http://schemas.openxmlformats.org/officeDocument/2006/relationships/ctrlProp" Target="../ctrlProps/ctrlProp1984.xml"/><Relationship Id="rId1639" Type="http://schemas.openxmlformats.org/officeDocument/2006/relationships/ctrlProp" Target="../ctrlProps/ctrlProp1637.xml"/><Relationship Id="rId1846" Type="http://schemas.openxmlformats.org/officeDocument/2006/relationships/ctrlProp" Target="../ctrlProps/ctrlProp1844.xml"/><Relationship Id="rId3061" Type="http://schemas.openxmlformats.org/officeDocument/2006/relationships/ctrlProp" Target="../ctrlProps/ctrlProp3059.xml"/><Relationship Id="rId1706" Type="http://schemas.openxmlformats.org/officeDocument/2006/relationships/ctrlProp" Target="../ctrlProps/ctrlProp1704.xml"/><Relationship Id="rId1913" Type="http://schemas.openxmlformats.org/officeDocument/2006/relationships/ctrlProp" Target="../ctrlProps/ctrlProp1911.xml"/><Relationship Id="rId799" Type="http://schemas.openxmlformats.org/officeDocument/2006/relationships/ctrlProp" Target="../ctrlProps/ctrlProp797.xml"/><Relationship Id="rId2687" Type="http://schemas.openxmlformats.org/officeDocument/2006/relationships/ctrlProp" Target="../ctrlProps/ctrlProp2685.xml"/><Relationship Id="rId2894" Type="http://schemas.openxmlformats.org/officeDocument/2006/relationships/ctrlProp" Target="../ctrlProps/ctrlProp2892.xml"/><Relationship Id="rId659" Type="http://schemas.openxmlformats.org/officeDocument/2006/relationships/ctrlProp" Target="../ctrlProps/ctrlProp657.xml"/><Relationship Id="rId866" Type="http://schemas.openxmlformats.org/officeDocument/2006/relationships/ctrlProp" Target="../ctrlProps/ctrlProp864.xml"/><Relationship Id="rId1289" Type="http://schemas.openxmlformats.org/officeDocument/2006/relationships/ctrlProp" Target="../ctrlProps/ctrlProp1287.xml"/><Relationship Id="rId1496" Type="http://schemas.openxmlformats.org/officeDocument/2006/relationships/ctrlProp" Target="../ctrlProps/ctrlProp1494.xml"/><Relationship Id="rId2547" Type="http://schemas.openxmlformats.org/officeDocument/2006/relationships/ctrlProp" Target="../ctrlProps/ctrlProp2545.xml"/><Relationship Id="rId519" Type="http://schemas.openxmlformats.org/officeDocument/2006/relationships/ctrlProp" Target="../ctrlProps/ctrlProp517.xml"/><Relationship Id="rId1149" Type="http://schemas.openxmlformats.org/officeDocument/2006/relationships/ctrlProp" Target="../ctrlProps/ctrlProp1147.xml"/><Relationship Id="rId1356" Type="http://schemas.openxmlformats.org/officeDocument/2006/relationships/ctrlProp" Target="../ctrlProps/ctrlProp1354.xml"/><Relationship Id="rId2754" Type="http://schemas.openxmlformats.org/officeDocument/2006/relationships/ctrlProp" Target="../ctrlProps/ctrlProp2752.xml"/><Relationship Id="rId2961" Type="http://schemas.openxmlformats.org/officeDocument/2006/relationships/ctrlProp" Target="../ctrlProps/ctrlProp2959.xml"/><Relationship Id="rId726" Type="http://schemas.openxmlformats.org/officeDocument/2006/relationships/ctrlProp" Target="../ctrlProps/ctrlProp724.xml"/><Relationship Id="rId933" Type="http://schemas.openxmlformats.org/officeDocument/2006/relationships/ctrlProp" Target="../ctrlProps/ctrlProp931.xml"/><Relationship Id="rId1009" Type="http://schemas.openxmlformats.org/officeDocument/2006/relationships/ctrlProp" Target="../ctrlProps/ctrlProp1007.xml"/><Relationship Id="rId1563" Type="http://schemas.openxmlformats.org/officeDocument/2006/relationships/ctrlProp" Target="../ctrlProps/ctrlProp1561.xml"/><Relationship Id="rId1770" Type="http://schemas.openxmlformats.org/officeDocument/2006/relationships/ctrlProp" Target="../ctrlProps/ctrlProp1768.xml"/><Relationship Id="rId2407" Type="http://schemas.openxmlformats.org/officeDocument/2006/relationships/ctrlProp" Target="../ctrlProps/ctrlProp2405.xml"/><Relationship Id="rId2614" Type="http://schemas.openxmlformats.org/officeDocument/2006/relationships/ctrlProp" Target="../ctrlProps/ctrlProp2612.xml"/><Relationship Id="rId2821" Type="http://schemas.openxmlformats.org/officeDocument/2006/relationships/ctrlProp" Target="../ctrlProps/ctrlProp2819.xml"/><Relationship Id="rId62" Type="http://schemas.openxmlformats.org/officeDocument/2006/relationships/ctrlProp" Target="../ctrlProps/ctrlProp60.xml"/><Relationship Id="rId1216" Type="http://schemas.openxmlformats.org/officeDocument/2006/relationships/ctrlProp" Target="../ctrlProps/ctrlProp1214.xml"/><Relationship Id="rId1423" Type="http://schemas.openxmlformats.org/officeDocument/2006/relationships/ctrlProp" Target="../ctrlProps/ctrlProp1421.xml"/><Relationship Id="rId1630" Type="http://schemas.openxmlformats.org/officeDocument/2006/relationships/ctrlProp" Target="../ctrlProps/ctrlProp1628.xml"/><Relationship Id="rId3388" Type="http://schemas.openxmlformats.org/officeDocument/2006/relationships/table" Target="../tables/table199.xml"/><Relationship Id="rId2197" Type="http://schemas.openxmlformats.org/officeDocument/2006/relationships/ctrlProp" Target="../ctrlProps/ctrlProp2195.xml"/><Relationship Id="rId3248" Type="http://schemas.openxmlformats.org/officeDocument/2006/relationships/table" Target="../tables/table59.xml"/><Relationship Id="rId3455" Type="http://schemas.openxmlformats.org/officeDocument/2006/relationships/table" Target="../tables/table266.xml"/><Relationship Id="rId169" Type="http://schemas.openxmlformats.org/officeDocument/2006/relationships/ctrlProp" Target="../ctrlProps/ctrlProp167.xml"/><Relationship Id="rId376" Type="http://schemas.openxmlformats.org/officeDocument/2006/relationships/ctrlProp" Target="../ctrlProps/ctrlProp374.xml"/><Relationship Id="rId583" Type="http://schemas.openxmlformats.org/officeDocument/2006/relationships/ctrlProp" Target="../ctrlProps/ctrlProp581.xml"/><Relationship Id="rId790" Type="http://schemas.openxmlformats.org/officeDocument/2006/relationships/ctrlProp" Target="../ctrlProps/ctrlProp788.xml"/><Relationship Id="rId2057" Type="http://schemas.openxmlformats.org/officeDocument/2006/relationships/ctrlProp" Target="../ctrlProps/ctrlProp2055.xml"/><Relationship Id="rId2264" Type="http://schemas.openxmlformats.org/officeDocument/2006/relationships/ctrlProp" Target="../ctrlProps/ctrlProp2262.xml"/><Relationship Id="rId2471" Type="http://schemas.openxmlformats.org/officeDocument/2006/relationships/ctrlProp" Target="../ctrlProps/ctrlProp2469.xml"/><Relationship Id="rId3108" Type="http://schemas.openxmlformats.org/officeDocument/2006/relationships/ctrlProp" Target="../ctrlProps/ctrlProp3106.xml"/><Relationship Id="rId3315" Type="http://schemas.openxmlformats.org/officeDocument/2006/relationships/table" Target="../tables/table126.xml"/><Relationship Id="rId236" Type="http://schemas.openxmlformats.org/officeDocument/2006/relationships/ctrlProp" Target="../ctrlProps/ctrlProp234.xml"/><Relationship Id="rId443" Type="http://schemas.openxmlformats.org/officeDocument/2006/relationships/ctrlProp" Target="../ctrlProps/ctrlProp441.xml"/><Relationship Id="rId650" Type="http://schemas.openxmlformats.org/officeDocument/2006/relationships/ctrlProp" Target="../ctrlProps/ctrlProp648.xml"/><Relationship Id="rId1073" Type="http://schemas.openxmlformats.org/officeDocument/2006/relationships/ctrlProp" Target="../ctrlProps/ctrlProp1071.xml"/><Relationship Id="rId1280" Type="http://schemas.openxmlformats.org/officeDocument/2006/relationships/ctrlProp" Target="../ctrlProps/ctrlProp1278.xml"/><Relationship Id="rId2124" Type="http://schemas.openxmlformats.org/officeDocument/2006/relationships/ctrlProp" Target="../ctrlProps/ctrlProp2122.xml"/><Relationship Id="rId2331" Type="http://schemas.openxmlformats.org/officeDocument/2006/relationships/ctrlProp" Target="../ctrlProps/ctrlProp2329.xml"/><Relationship Id="rId303" Type="http://schemas.openxmlformats.org/officeDocument/2006/relationships/ctrlProp" Target="../ctrlProps/ctrlProp301.xml"/><Relationship Id="rId1140" Type="http://schemas.openxmlformats.org/officeDocument/2006/relationships/ctrlProp" Target="../ctrlProps/ctrlProp1138.xml"/><Relationship Id="rId510" Type="http://schemas.openxmlformats.org/officeDocument/2006/relationships/ctrlProp" Target="../ctrlProps/ctrlProp508.xml"/><Relationship Id="rId1000" Type="http://schemas.openxmlformats.org/officeDocument/2006/relationships/ctrlProp" Target="../ctrlProps/ctrlProp998.xml"/><Relationship Id="rId1957" Type="http://schemas.openxmlformats.org/officeDocument/2006/relationships/ctrlProp" Target="../ctrlProps/ctrlProp1955.xml"/><Relationship Id="rId1817" Type="http://schemas.openxmlformats.org/officeDocument/2006/relationships/ctrlProp" Target="../ctrlProps/ctrlProp1815.xml"/><Relationship Id="rId3172" Type="http://schemas.openxmlformats.org/officeDocument/2006/relationships/ctrlProp" Target="../ctrlProps/ctrlProp3170.xml"/><Relationship Id="rId3032" Type="http://schemas.openxmlformats.org/officeDocument/2006/relationships/ctrlProp" Target="../ctrlProps/ctrlProp3030.xml"/><Relationship Id="rId160" Type="http://schemas.openxmlformats.org/officeDocument/2006/relationships/ctrlProp" Target="../ctrlProps/ctrlProp158.xml"/><Relationship Id="rId2798" Type="http://schemas.openxmlformats.org/officeDocument/2006/relationships/ctrlProp" Target="../ctrlProps/ctrlProp2796.xml"/><Relationship Id="rId977" Type="http://schemas.openxmlformats.org/officeDocument/2006/relationships/ctrlProp" Target="../ctrlProps/ctrlProp975.xml"/><Relationship Id="rId2658" Type="http://schemas.openxmlformats.org/officeDocument/2006/relationships/ctrlProp" Target="../ctrlProps/ctrlProp2656.xml"/><Relationship Id="rId2865" Type="http://schemas.openxmlformats.org/officeDocument/2006/relationships/ctrlProp" Target="../ctrlProps/ctrlProp2863.xml"/><Relationship Id="rId837" Type="http://schemas.openxmlformats.org/officeDocument/2006/relationships/ctrlProp" Target="../ctrlProps/ctrlProp835.xml"/><Relationship Id="rId1467" Type="http://schemas.openxmlformats.org/officeDocument/2006/relationships/ctrlProp" Target="../ctrlProps/ctrlProp1465.xml"/><Relationship Id="rId1674" Type="http://schemas.openxmlformats.org/officeDocument/2006/relationships/ctrlProp" Target="../ctrlProps/ctrlProp1672.xml"/><Relationship Id="rId1881" Type="http://schemas.openxmlformats.org/officeDocument/2006/relationships/ctrlProp" Target="../ctrlProps/ctrlProp1879.xml"/><Relationship Id="rId2518" Type="http://schemas.openxmlformats.org/officeDocument/2006/relationships/ctrlProp" Target="../ctrlProps/ctrlProp2516.xml"/><Relationship Id="rId2725" Type="http://schemas.openxmlformats.org/officeDocument/2006/relationships/ctrlProp" Target="../ctrlProps/ctrlProp2723.xml"/><Relationship Id="rId2932" Type="http://schemas.openxmlformats.org/officeDocument/2006/relationships/ctrlProp" Target="../ctrlProps/ctrlProp2930.xml"/><Relationship Id="rId904" Type="http://schemas.openxmlformats.org/officeDocument/2006/relationships/ctrlProp" Target="../ctrlProps/ctrlProp902.xml"/><Relationship Id="rId1327" Type="http://schemas.openxmlformats.org/officeDocument/2006/relationships/ctrlProp" Target="../ctrlProps/ctrlProp1325.xml"/><Relationship Id="rId1534" Type="http://schemas.openxmlformats.org/officeDocument/2006/relationships/ctrlProp" Target="../ctrlProps/ctrlProp1532.xml"/><Relationship Id="rId1741" Type="http://schemas.openxmlformats.org/officeDocument/2006/relationships/ctrlProp" Target="../ctrlProps/ctrlProp1739.xml"/><Relationship Id="rId33" Type="http://schemas.openxmlformats.org/officeDocument/2006/relationships/ctrlProp" Target="../ctrlProps/ctrlProp31.xml"/><Relationship Id="rId1601" Type="http://schemas.openxmlformats.org/officeDocument/2006/relationships/ctrlProp" Target="../ctrlProps/ctrlProp1599.xml"/><Relationship Id="rId3499" Type="http://schemas.openxmlformats.org/officeDocument/2006/relationships/table" Target="../tables/table310.xml"/><Relationship Id="rId3359" Type="http://schemas.openxmlformats.org/officeDocument/2006/relationships/table" Target="../tables/table170.xml"/><Relationship Id="rId487" Type="http://schemas.openxmlformats.org/officeDocument/2006/relationships/ctrlProp" Target="../ctrlProps/ctrlProp485.xml"/><Relationship Id="rId694" Type="http://schemas.openxmlformats.org/officeDocument/2006/relationships/ctrlProp" Target="../ctrlProps/ctrlProp692.xml"/><Relationship Id="rId2168" Type="http://schemas.openxmlformats.org/officeDocument/2006/relationships/ctrlProp" Target="../ctrlProps/ctrlProp2166.xml"/><Relationship Id="rId2375" Type="http://schemas.openxmlformats.org/officeDocument/2006/relationships/ctrlProp" Target="../ctrlProps/ctrlProp2373.xml"/><Relationship Id="rId3219" Type="http://schemas.openxmlformats.org/officeDocument/2006/relationships/table" Target="../tables/table30.xml"/><Relationship Id="rId347" Type="http://schemas.openxmlformats.org/officeDocument/2006/relationships/ctrlProp" Target="../ctrlProps/ctrlProp345.xml"/><Relationship Id="rId1184" Type="http://schemas.openxmlformats.org/officeDocument/2006/relationships/ctrlProp" Target="../ctrlProps/ctrlProp1182.xml"/><Relationship Id="rId2028" Type="http://schemas.openxmlformats.org/officeDocument/2006/relationships/ctrlProp" Target="../ctrlProps/ctrlProp2026.xml"/><Relationship Id="rId2582" Type="http://schemas.openxmlformats.org/officeDocument/2006/relationships/ctrlProp" Target="../ctrlProps/ctrlProp2580.xml"/><Relationship Id="rId3426" Type="http://schemas.openxmlformats.org/officeDocument/2006/relationships/table" Target="../tables/table237.xml"/><Relationship Id="rId554" Type="http://schemas.openxmlformats.org/officeDocument/2006/relationships/ctrlProp" Target="../ctrlProps/ctrlProp552.xml"/><Relationship Id="rId761" Type="http://schemas.openxmlformats.org/officeDocument/2006/relationships/ctrlProp" Target="../ctrlProps/ctrlProp759.xml"/><Relationship Id="rId1391" Type="http://schemas.openxmlformats.org/officeDocument/2006/relationships/ctrlProp" Target="../ctrlProps/ctrlProp1389.xml"/><Relationship Id="rId2235" Type="http://schemas.openxmlformats.org/officeDocument/2006/relationships/ctrlProp" Target="../ctrlProps/ctrlProp2233.xml"/><Relationship Id="rId2442" Type="http://schemas.openxmlformats.org/officeDocument/2006/relationships/ctrlProp" Target="../ctrlProps/ctrlProp2440.xml"/><Relationship Id="rId207" Type="http://schemas.openxmlformats.org/officeDocument/2006/relationships/ctrlProp" Target="../ctrlProps/ctrlProp205.xml"/><Relationship Id="rId414" Type="http://schemas.openxmlformats.org/officeDocument/2006/relationships/ctrlProp" Target="../ctrlProps/ctrlProp412.xml"/><Relationship Id="rId621" Type="http://schemas.openxmlformats.org/officeDocument/2006/relationships/ctrlProp" Target="../ctrlProps/ctrlProp619.xml"/><Relationship Id="rId1044" Type="http://schemas.openxmlformats.org/officeDocument/2006/relationships/ctrlProp" Target="../ctrlProps/ctrlProp1042.xml"/><Relationship Id="rId1251" Type="http://schemas.openxmlformats.org/officeDocument/2006/relationships/ctrlProp" Target="../ctrlProps/ctrlProp1249.xml"/><Relationship Id="rId2302" Type="http://schemas.openxmlformats.org/officeDocument/2006/relationships/ctrlProp" Target="../ctrlProps/ctrlProp2300.xml"/><Relationship Id="rId1111" Type="http://schemas.openxmlformats.org/officeDocument/2006/relationships/ctrlProp" Target="../ctrlProps/ctrlProp1109.xml"/><Relationship Id="rId3076" Type="http://schemas.openxmlformats.org/officeDocument/2006/relationships/ctrlProp" Target="../ctrlProps/ctrlProp3074.xml"/><Relationship Id="rId3283" Type="http://schemas.openxmlformats.org/officeDocument/2006/relationships/table" Target="../tables/table94.xml"/><Relationship Id="rId3490" Type="http://schemas.openxmlformats.org/officeDocument/2006/relationships/table" Target="../tables/table301.xml"/><Relationship Id="rId1928" Type="http://schemas.openxmlformats.org/officeDocument/2006/relationships/ctrlProp" Target="../ctrlProps/ctrlProp1926.xml"/><Relationship Id="rId2092" Type="http://schemas.openxmlformats.org/officeDocument/2006/relationships/ctrlProp" Target="../ctrlProps/ctrlProp2090.xml"/><Relationship Id="rId3143" Type="http://schemas.openxmlformats.org/officeDocument/2006/relationships/ctrlProp" Target="../ctrlProps/ctrlProp3141.xml"/><Relationship Id="rId3350" Type="http://schemas.openxmlformats.org/officeDocument/2006/relationships/table" Target="../tables/table161.xml"/><Relationship Id="rId271" Type="http://schemas.openxmlformats.org/officeDocument/2006/relationships/ctrlProp" Target="../ctrlProps/ctrlProp269.xml"/><Relationship Id="rId3003" Type="http://schemas.openxmlformats.org/officeDocument/2006/relationships/ctrlProp" Target="../ctrlProps/ctrlProp3001.xml"/><Relationship Id="rId131" Type="http://schemas.openxmlformats.org/officeDocument/2006/relationships/ctrlProp" Target="../ctrlProps/ctrlProp129.xml"/><Relationship Id="rId3210" Type="http://schemas.openxmlformats.org/officeDocument/2006/relationships/table" Target="../tables/table21.xml"/><Relationship Id="rId2769" Type="http://schemas.openxmlformats.org/officeDocument/2006/relationships/ctrlProp" Target="../ctrlProps/ctrlProp2767.xml"/><Relationship Id="rId2976" Type="http://schemas.openxmlformats.org/officeDocument/2006/relationships/ctrlProp" Target="../ctrlProps/ctrlProp2974.xml"/><Relationship Id="rId948" Type="http://schemas.openxmlformats.org/officeDocument/2006/relationships/ctrlProp" Target="../ctrlProps/ctrlProp946.xml"/><Relationship Id="rId1578" Type="http://schemas.openxmlformats.org/officeDocument/2006/relationships/ctrlProp" Target="../ctrlProps/ctrlProp1576.xml"/><Relationship Id="rId1785" Type="http://schemas.openxmlformats.org/officeDocument/2006/relationships/ctrlProp" Target="../ctrlProps/ctrlProp1783.xml"/><Relationship Id="rId1992" Type="http://schemas.openxmlformats.org/officeDocument/2006/relationships/ctrlProp" Target="../ctrlProps/ctrlProp1990.xml"/><Relationship Id="rId2629" Type="http://schemas.openxmlformats.org/officeDocument/2006/relationships/ctrlProp" Target="../ctrlProps/ctrlProp2627.xml"/><Relationship Id="rId2836" Type="http://schemas.openxmlformats.org/officeDocument/2006/relationships/ctrlProp" Target="../ctrlProps/ctrlProp2834.xml"/><Relationship Id="rId77" Type="http://schemas.openxmlformats.org/officeDocument/2006/relationships/ctrlProp" Target="../ctrlProps/ctrlProp75.xml"/><Relationship Id="rId808" Type="http://schemas.openxmlformats.org/officeDocument/2006/relationships/ctrlProp" Target="../ctrlProps/ctrlProp806.xml"/><Relationship Id="rId1438" Type="http://schemas.openxmlformats.org/officeDocument/2006/relationships/ctrlProp" Target="../ctrlProps/ctrlProp1436.xml"/><Relationship Id="rId1645" Type="http://schemas.openxmlformats.org/officeDocument/2006/relationships/ctrlProp" Target="../ctrlProps/ctrlProp1643.xml"/><Relationship Id="rId1852" Type="http://schemas.openxmlformats.org/officeDocument/2006/relationships/ctrlProp" Target="../ctrlProps/ctrlProp1850.xml"/><Relationship Id="rId2903" Type="http://schemas.openxmlformats.org/officeDocument/2006/relationships/ctrlProp" Target="../ctrlProps/ctrlProp2901.xml"/><Relationship Id="rId1505" Type="http://schemas.openxmlformats.org/officeDocument/2006/relationships/ctrlProp" Target="../ctrlProps/ctrlProp1503.xml"/><Relationship Id="rId1712" Type="http://schemas.openxmlformats.org/officeDocument/2006/relationships/ctrlProp" Target="../ctrlProps/ctrlProp1710.xml"/><Relationship Id="rId598" Type="http://schemas.openxmlformats.org/officeDocument/2006/relationships/ctrlProp" Target="../ctrlProps/ctrlProp596.xml"/><Relationship Id="rId2279" Type="http://schemas.openxmlformats.org/officeDocument/2006/relationships/ctrlProp" Target="../ctrlProps/ctrlProp2277.xml"/><Relationship Id="rId2486" Type="http://schemas.openxmlformats.org/officeDocument/2006/relationships/ctrlProp" Target="../ctrlProps/ctrlProp2484.xml"/><Relationship Id="rId2693" Type="http://schemas.openxmlformats.org/officeDocument/2006/relationships/ctrlProp" Target="../ctrlProps/ctrlProp2691.xml"/><Relationship Id="rId458" Type="http://schemas.openxmlformats.org/officeDocument/2006/relationships/ctrlProp" Target="../ctrlProps/ctrlProp456.xml"/><Relationship Id="rId665" Type="http://schemas.openxmlformats.org/officeDocument/2006/relationships/ctrlProp" Target="../ctrlProps/ctrlProp663.xml"/><Relationship Id="rId872" Type="http://schemas.openxmlformats.org/officeDocument/2006/relationships/ctrlProp" Target="../ctrlProps/ctrlProp870.xml"/><Relationship Id="rId1088" Type="http://schemas.openxmlformats.org/officeDocument/2006/relationships/ctrlProp" Target="../ctrlProps/ctrlProp1086.xml"/><Relationship Id="rId1295" Type="http://schemas.openxmlformats.org/officeDocument/2006/relationships/ctrlProp" Target="../ctrlProps/ctrlProp1293.xml"/><Relationship Id="rId2139" Type="http://schemas.openxmlformats.org/officeDocument/2006/relationships/ctrlProp" Target="../ctrlProps/ctrlProp2137.xml"/><Relationship Id="rId2346" Type="http://schemas.openxmlformats.org/officeDocument/2006/relationships/ctrlProp" Target="../ctrlProps/ctrlProp2344.xml"/><Relationship Id="rId2553" Type="http://schemas.openxmlformats.org/officeDocument/2006/relationships/ctrlProp" Target="../ctrlProps/ctrlProp2551.xml"/><Relationship Id="rId2760" Type="http://schemas.openxmlformats.org/officeDocument/2006/relationships/ctrlProp" Target="../ctrlProps/ctrlProp2758.xml"/><Relationship Id="rId318" Type="http://schemas.openxmlformats.org/officeDocument/2006/relationships/ctrlProp" Target="../ctrlProps/ctrlProp316.xml"/><Relationship Id="rId525" Type="http://schemas.openxmlformats.org/officeDocument/2006/relationships/ctrlProp" Target="../ctrlProps/ctrlProp523.xml"/><Relationship Id="rId732" Type="http://schemas.openxmlformats.org/officeDocument/2006/relationships/ctrlProp" Target="../ctrlProps/ctrlProp730.xml"/><Relationship Id="rId1155" Type="http://schemas.openxmlformats.org/officeDocument/2006/relationships/ctrlProp" Target="../ctrlProps/ctrlProp1153.xml"/><Relationship Id="rId1362" Type="http://schemas.openxmlformats.org/officeDocument/2006/relationships/ctrlProp" Target="../ctrlProps/ctrlProp1360.xml"/><Relationship Id="rId2206" Type="http://schemas.openxmlformats.org/officeDocument/2006/relationships/ctrlProp" Target="../ctrlProps/ctrlProp2204.xml"/><Relationship Id="rId2413" Type="http://schemas.openxmlformats.org/officeDocument/2006/relationships/ctrlProp" Target="../ctrlProps/ctrlProp2411.xml"/><Relationship Id="rId2620" Type="http://schemas.openxmlformats.org/officeDocument/2006/relationships/ctrlProp" Target="../ctrlProps/ctrlProp2618.xml"/><Relationship Id="rId1015" Type="http://schemas.openxmlformats.org/officeDocument/2006/relationships/ctrlProp" Target="../ctrlProps/ctrlProp1013.xml"/><Relationship Id="rId1222" Type="http://schemas.openxmlformats.org/officeDocument/2006/relationships/ctrlProp" Target="../ctrlProps/ctrlProp1220.xml"/><Relationship Id="rId3187" Type="http://schemas.openxmlformats.org/officeDocument/2006/relationships/ctrlProp" Target="../ctrlProps/ctrlProp3185.xml"/><Relationship Id="rId3394" Type="http://schemas.openxmlformats.org/officeDocument/2006/relationships/table" Target="../tables/table205.xml"/><Relationship Id="rId3047" Type="http://schemas.openxmlformats.org/officeDocument/2006/relationships/ctrlProp" Target="../ctrlProps/ctrlProp3045.xml"/><Relationship Id="rId175" Type="http://schemas.openxmlformats.org/officeDocument/2006/relationships/ctrlProp" Target="../ctrlProps/ctrlProp173.xml"/><Relationship Id="rId3254" Type="http://schemas.openxmlformats.org/officeDocument/2006/relationships/table" Target="../tables/table65.xml"/><Relationship Id="rId3461" Type="http://schemas.openxmlformats.org/officeDocument/2006/relationships/table" Target="../tables/table272.xml"/><Relationship Id="rId382" Type="http://schemas.openxmlformats.org/officeDocument/2006/relationships/ctrlProp" Target="../ctrlProps/ctrlProp380.xml"/><Relationship Id="rId2063" Type="http://schemas.openxmlformats.org/officeDocument/2006/relationships/ctrlProp" Target="../ctrlProps/ctrlProp2061.xml"/><Relationship Id="rId2270" Type="http://schemas.openxmlformats.org/officeDocument/2006/relationships/ctrlProp" Target="../ctrlProps/ctrlProp2268.xml"/><Relationship Id="rId3114" Type="http://schemas.openxmlformats.org/officeDocument/2006/relationships/ctrlProp" Target="../ctrlProps/ctrlProp3112.xml"/><Relationship Id="rId3321" Type="http://schemas.openxmlformats.org/officeDocument/2006/relationships/table" Target="../tables/table132.xml"/><Relationship Id="rId242" Type="http://schemas.openxmlformats.org/officeDocument/2006/relationships/ctrlProp" Target="../ctrlProps/ctrlProp240.xml"/><Relationship Id="rId2130" Type="http://schemas.openxmlformats.org/officeDocument/2006/relationships/ctrlProp" Target="../ctrlProps/ctrlProp2128.xml"/><Relationship Id="rId102" Type="http://schemas.openxmlformats.org/officeDocument/2006/relationships/ctrlProp" Target="../ctrlProps/ctrlProp100.xml"/><Relationship Id="rId1689" Type="http://schemas.openxmlformats.org/officeDocument/2006/relationships/ctrlProp" Target="../ctrlProps/ctrlProp1687.xml"/><Relationship Id="rId1896" Type="http://schemas.openxmlformats.org/officeDocument/2006/relationships/ctrlProp" Target="../ctrlProps/ctrlProp1894.xml"/><Relationship Id="rId2947" Type="http://schemas.openxmlformats.org/officeDocument/2006/relationships/ctrlProp" Target="../ctrlProps/ctrlProp2945.xml"/><Relationship Id="rId919" Type="http://schemas.openxmlformats.org/officeDocument/2006/relationships/ctrlProp" Target="../ctrlProps/ctrlProp917.xml"/><Relationship Id="rId1549" Type="http://schemas.openxmlformats.org/officeDocument/2006/relationships/ctrlProp" Target="../ctrlProps/ctrlProp1547.xml"/><Relationship Id="rId1756" Type="http://schemas.openxmlformats.org/officeDocument/2006/relationships/ctrlProp" Target="../ctrlProps/ctrlProp1754.xml"/><Relationship Id="rId1963" Type="http://schemas.openxmlformats.org/officeDocument/2006/relationships/ctrlProp" Target="../ctrlProps/ctrlProp1961.xml"/><Relationship Id="rId2807" Type="http://schemas.openxmlformats.org/officeDocument/2006/relationships/ctrlProp" Target="../ctrlProps/ctrlProp2805.xml"/><Relationship Id="rId48" Type="http://schemas.openxmlformats.org/officeDocument/2006/relationships/ctrlProp" Target="../ctrlProps/ctrlProp46.xml"/><Relationship Id="rId1409" Type="http://schemas.openxmlformats.org/officeDocument/2006/relationships/ctrlProp" Target="../ctrlProps/ctrlProp1407.xml"/><Relationship Id="rId1616" Type="http://schemas.openxmlformats.org/officeDocument/2006/relationships/ctrlProp" Target="../ctrlProps/ctrlProp1614.xml"/><Relationship Id="rId1823" Type="http://schemas.openxmlformats.org/officeDocument/2006/relationships/ctrlProp" Target="../ctrlProps/ctrlProp1821.xml"/><Relationship Id="rId2597" Type="http://schemas.openxmlformats.org/officeDocument/2006/relationships/ctrlProp" Target="../ctrlProps/ctrlProp2595.xml"/><Relationship Id="rId569" Type="http://schemas.openxmlformats.org/officeDocument/2006/relationships/ctrlProp" Target="../ctrlProps/ctrlProp567.xml"/><Relationship Id="rId776" Type="http://schemas.openxmlformats.org/officeDocument/2006/relationships/ctrlProp" Target="../ctrlProps/ctrlProp774.xml"/><Relationship Id="rId983" Type="http://schemas.openxmlformats.org/officeDocument/2006/relationships/ctrlProp" Target="../ctrlProps/ctrlProp981.xml"/><Relationship Id="rId1199" Type="http://schemas.openxmlformats.org/officeDocument/2006/relationships/ctrlProp" Target="../ctrlProps/ctrlProp1197.xml"/><Relationship Id="rId2457" Type="http://schemas.openxmlformats.org/officeDocument/2006/relationships/ctrlProp" Target="../ctrlProps/ctrlProp2455.xml"/><Relationship Id="rId2664" Type="http://schemas.openxmlformats.org/officeDocument/2006/relationships/ctrlProp" Target="../ctrlProps/ctrlProp2662.xml"/><Relationship Id="rId3508" Type="http://schemas.openxmlformats.org/officeDocument/2006/relationships/table" Target="../tables/table319.xml"/><Relationship Id="rId429" Type="http://schemas.openxmlformats.org/officeDocument/2006/relationships/ctrlProp" Target="../ctrlProps/ctrlProp427.xml"/><Relationship Id="rId636" Type="http://schemas.openxmlformats.org/officeDocument/2006/relationships/ctrlProp" Target="../ctrlProps/ctrlProp634.xml"/><Relationship Id="rId1059" Type="http://schemas.openxmlformats.org/officeDocument/2006/relationships/ctrlProp" Target="../ctrlProps/ctrlProp1057.xml"/><Relationship Id="rId1266" Type="http://schemas.openxmlformats.org/officeDocument/2006/relationships/ctrlProp" Target="../ctrlProps/ctrlProp1264.xml"/><Relationship Id="rId1473" Type="http://schemas.openxmlformats.org/officeDocument/2006/relationships/ctrlProp" Target="../ctrlProps/ctrlProp1471.xml"/><Relationship Id="rId2317" Type="http://schemas.openxmlformats.org/officeDocument/2006/relationships/ctrlProp" Target="../ctrlProps/ctrlProp2315.xml"/><Relationship Id="rId2871" Type="http://schemas.openxmlformats.org/officeDocument/2006/relationships/ctrlProp" Target="../ctrlProps/ctrlProp2869.xml"/><Relationship Id="rId843" Type="http://schemas.openxmlformats.org/officeDocument/2006/relationships/ctrlProp" Target="../ctrlProps/ctrlProp841.xml"/><Relationship Id="rId1126" Type="http://schemas.openxmlformats.org/officeDocument/2006/relationships/ctrlProp" Target="../ctrlProps/ctrlProp1124.xml"/><Relationship Id="rId1680" Type="http://schemas.openxmlformats.org/officeDocument/2006/relationships/ctrlProp" Target="../ctrlProps/ctrlProp1678.xml"/><Relationship Id="rId2524" Type="http://schemas.openxmlformats.org/officeDocument/2006/relationships/ctrlProp" Target="../ctrlProps/ctrlProp2522.xml"/><Relationship Id="rId2731" Type="http://schemas.openxmlformats.org/officeDocument/2006/relationships/ctrlProp" Target="../ctrlProps/ctrlProp2729.xml"/><Relationship Id="rId703" Type="http://schemas.openxmlformats.org/officeDocument/2006/relationships/ctrlProp" Target="../ctrlProps/ctrlProp701.xml"/><Relationship Id="rId910" Type="http://schemas.openxmlformats.org/officeDocument/2006/relationships/ctrlProp" Target="../ctrlProps/ctrlProp908.xml"/><Relationship Id="rId1333" Type="http://schemas.openxmlformats.org/officeDocument/2006/relationships/ctrlProp" Target="../ctrlProps/ctrlProp1331.xml"/><Relationship Id="rId1540" Type="http://schemas.openxmlformats.org/officeDocument/2006/relationships/ctrlProp" Target="../ctrlProps/ctrlProp1538.xml"/><Relationship Id="rId1400" Type="http://schemas.openxmlformats.org/officeDocument/2006/relationships/ctrlProp" Target="../ctrlProps/ctrlProp1398.xml"/><Relationship Id="rId3298" Type="http://schemas.openxmlformats.org/officeDocument/2006/relationships/table" Target="../tables/table109.xml"/><Relationship Id="rId3158" Type="http://schemas.openxmlformats.org/officeDocument/2006/relationships/ctrlProp" Target="../ctrlProps/ctrlProp3156.xml"/><Relationship Id="rId3365" Type="http://schemas.openxmlformats.org/officeDocument/2006/relationships/table" Target="../tables/table176.xml"/><Relationship Id="rId286" Type="http://schemas.openxmlformats.org/officeDocument/2006/relationships/ctrlProp" Target="../ctrlProps/ctrlProp284.xml"/><Relationship Id="rId493" Type="http://schemas.openxmlformats.org/officeDocument/2006/relationships/ctrlProp" Target="../ctrlProps/ctrlProp491.xml"/><Relationship Id="rId2174" Type="http://schemas.openxmlformats.org/officeDocument/2006/relationships/ctrlProp" Target="../ctrlProps/ctrlProp2172.xml"/><Relationship Id="rId2381" Type="http://schemas.openxmlformats.org/officeDocument/2006/relationships/ctrlProp" Target="../ctrlProps/ctrlProp2379.xml"/><Relationship Id="rId3018" Type="http://schemas.openxmlformats.org/officeDocument/2006/relationships/ctrlProp" Target="../ctrlProps/ctrlProp3016.xml"/><Relationship Id="rId3225" Type="http://schemas.openxmlformats.org/officeDocument/2006/relationships/table" Target="../tables/table36.xml"/><Relationship Id="rId3432" Type="http://schemas.openxmlformats.org/officeDocument/2006/relationships/table" Target="../tables/table243.xml"/><Relationship Id="rId146" Type="http://schemas.openxmlformats.org/officeDocument/2006/relationships/ctrlProp" Target="../ctrlProps/ctrlProp144.xml"/><Relationship Id="rId353" Type="http://schemas.openxmlformats.org/officeDocument/2006/relationships/ctrlProp" Target="../ctrlProps/ctrlProp351.xml"/><Relationship Id="rId560" Type="http://schemas.openxmlformats.org/officeDocument/2006/relationships/ctrlProp" Target="../ctrlProps/ctrlProp558.xml"/><Relationship Id="rId1190" Type="http://schemas.openxmlformats.org/officeDocument/2006/relationships/ctrlProp" Target="../ctrlProps/ctrlProp1188.xml"/><Relationship Id="rId2034" Type="http://schemas.openxmlformats.org/officeDocument/2006/relationships/ctrlProp" Target="../ctrlProps/ctrlProp2032.xml"/><Relationship Id="rId2241" Type="http://schemas.openxmlformats.org/officeDocument/2006/relationships/ctrlProp" Target="../ctrlProps/ctrlProp2239.xml"/><Relationship Id="rId213" Type="http://schemas.openxmlformats.org/officeDocument/2006/relationships/ctrlProp" Target="../ctrlProps/ctrlProp211.xml"/><Relationship Id="rId420" Type="http://schemas.openxmlformats.org/officeDocument/2006/relationships/ctrlProp" Target="../ctrlProps/ctrlProp418.xml"/><Relationship Id="rId1050" Type="http://schemas.openxmlformats.org/officeDocument/2006/relationships/ctrlProp" Target="../ctrlProps/ctrlProp1048.xml"/><Relationship Id="rId2101" Type="http://schemas.openxmlformats.org/officeDocument/2006/relationships/ctrlProp" Target="../ctrlProps/ctrlProp2099.xml"/><Relationship Id="rId1867" Type="http://schemas.openxmlformats.org/officeDocument/2006/relationships/ctrlProp" Target="../ctrlProps/ctrlProp1865.xml"/><Relationship Id="rId2918" Type="http://schemas.openxmlformats.org/officeDocument/2006/relationships/ctrlProp" Target="../ctrlProps/ctrlProp2916.xml"/><Relationship Id="rId1727" Type="http://schemas.openxmlformats.org/officeDocument/2006/relationships/ctrlProp" Target="../ctrlProps/ctrlProp1725.xml"/><Relationship Id="rId1934" Type="http://schemas.openxmlformats.org/officeDocument/2006/relationships/ctrlProp" Target="../ctrlProps/ctrlProp1932.xml"/><Relationship Id="rId3082" Type="http://schemas.openxmlformats.org/officeDocument/2006/relationships/ctrlProp" Target="../ctrlProps/ctrlProp3080.xml"/><Relationship Id="rId19" Type="http://schemas.openxmlformats.org/officeDocument/2006/relationships/ctrlProp" Target="../ctrlProps/ctrlProp17.xml"/><Relationship Id="rId3" Type="http://schemas.openxmlformats.org/officeDocument/2006/relationships/ctrlProp" Target="../ctrlProps/ctrlProp1.xml"/><Relationship Id="rId887" Type="http://schemas.openxmlformats.org/officeDocument/2006/relationships/ctrlProp" Target="../ctrlProps/ctrlProp885.xml"/><Relationship Id="rId2568" Type="http://schemas.openxmlformats.org/officeDocument/2006/relationships/ctrlProp" Target="../ctrlProps/ctrlProp2566.xml"/><Relationship Id="rId2775" Type="http://schemas.openxmlformats.org/officeDocument/2006/relationships/ctrlProp" Target="../ctrlProps/ctrlProp2773.xml"/><Relationship Id="rId2982" Type="http://schemas.openxmlformats.org/officeDocument/2006/relationships/ctrlProp" Target="../ctrlProps/ctrlProp2980.xml"/><Relationship Id="rId747" Type="http://schemas.openxmlformats.org/officeDocument/2006/relationships/ctrlProp" Target="../ctrlProps/ctrlProp745.xml"/><Relationship Id="rId954" Type="http://schemas.openxmlformats.org/officeDocument/2006/relationships/ctrlProp" Target="../ctrlProps/ctrlProp952.xml"/><Relationship Id="rId1377" Type="http://schemas.openxmlformats.org/officeDocument/2006/relationships/ctrlProp" Target="../ctrlProps/ctrlProp1375.xml"/><Relationship Id="rId1584" Type="http://schemas.openxmlformats.org/officeDocument/2006/relationships/ctrlProp" Target="../ctrlProps/ctrlProp1582.xml"/><Relationship Id="rId1791" Type="http://schemas.openxmlformats.org/officeDocument/2006/relationships/ctrlProp" Target="../ctrlProps/ctrlProp1789.xml"/><Relationship Id="rId2428" Type="http://schemas.openxmlformats.org/officeDocument/2006/relationships/ctrlProp" Target="../ctrlProps/ctrlProp2426.xml"/><Relationship Id="rId2635" Type="http://schemas.openxmlformats.org/officeDocument/2006/relationships/ctrlProp" Target="../ctrlProps/ctrlProp2633.xml"/><Relationship Id="rId2842" Type="http://schemas.openxmlformats.org/officeDocument/2006/relationships/ctrlProp" Target="../ctrlProps/ctrlProp2840.xml"/><Relationship Id="rId83" Type="http://schemas.openxmlformats.org/officeDocument/2006/relationships/ctrlProp" Target="../ctrlProps/ctrlProp81.xml"/><Relationship Id="rId607" Type="http://schemas.openxmlformats.org/officeDocument/2006/relationships/ctrlProp" Target="../ctrlProps/ctrlProp605.xml"/><Relationship Id="rId814" Type="http://schemas.openxmlformats.org/officeDocument/2006/relationships/ctrlProp" Target="../ctrlProps/ctrlProp812.xml"/><Relationship Id="rId1237" Type="http://schemas.openxmlformats.org/officeDocument/2006/relationships/ctrlProp" Target="../ctrlProps/ctrlProp1235.xml"/><Relationship Id="rId1444" Type="http://schemas.openxmlformats.org/officeDocument/2006/relationships/ctrlProp" Target="../ctrlProps/ctrlProp1442.xml"/><Relationship Id="rId1651" Type="http://schemas.openxmlformats.org/officeDocument/2006/relationships/ctrlProp" Target="../ctrlProps/ctrlProp1649.xml"/><Relationship Id="rId2702" Type="http://schemas.openxmlformats.org/officeDocument/2006/relationships/ctrlProp" Target="../ctrlProps/ctrlProp2700.xml"/><Relationship Id="rId1304" Type="http://schemas.openxmlformats.org/officeDocument/2006/relationships/ctrlProp" Target="../ctrlProps/ctrlProp1302.xml"/><Relationship Id="rId1511" Type="http://schemas.openxmlformats.org/officeDocument/2006/relationships/ctrlProp" Target="../ctrlProps/ctrlProp1509.xml"/><Relationship Id="rId3269" Type="http://schemas.openxmlformats.org/officeDocument/2006/relationships/table" Target="../tables/table80.xml"/><Relationship Id="rId3476" Type="http://schemas.openxmlformats.org/officeDocument/2006/relationships/table" Target="../tables/table287.xml"/><Relationship Id="rId10" Type="http://schemas.openxmlformats.org/officeDocument/2006/relationships/ctrlProp" Target="../ctrlProps/ctrlProp8.xml"/><Relationship Id="rId397" Type="http://schemas.openxmlformats.org/officeDocument/2006/relationships/ctrlProp" Target="../ctrlProps/ctrlProp395.xml"/><Relationship Id="rId2078" Type="http://schemas.openxmlformats.org/officeDocument/2006/relationships/ctrlProp" Target="../ctrlProps/ctrlProp2076.xml"/><Relationship Id="rId2285" Type="http://schemas.openxmlformats.org/officeDocument/2006/relationships/ctrlProp" Target="../ctrlProps/ctrlProp2283.xml"/><Relationship Id="rId2492" Type="http://schemas.openxmlformats.org/officeDocument/2006/relationships/ctrlProp" Target="../ctrlProps/ctrlProp2490.xml"/><Relationship Id="rId3129" Type="http://schemas.openxmlformats.org/officeDocument/2006/relationships/ctrlProp" Target="../ctrlProps/ctrlProp3127.xml"/><Relationship Id="rId3336" Type="http://schemas.openxmlformats.org/officeDocument/2006/relationships/table" Target="../tables/table147.xml"/><Relationship Id="rId257" Type="http://schemas.openxmlformats.org/officeDocument/2006/relationships/ctrlProp" Target="../ctrlProps/ctrlProp255.xml"/><Relationship Id="rId464" Type="http://schemas.openxmlformats.org/officeDocument/2006/relationships/ctrlProp" Target="../ctrlProps/ctrlProp462.xml"/><Relationship Id="rId1094" Type="http://schemas.openxmlformats.org/officeDocument/2006/relationships/ctrlProp" Target="../ctrlProps/ctrlProp1092.xml"/><Relationship Id="rId2145" Type="http://schemas.openxmlformats.org/officeDocument/2006/relationships/ctrlProp" Target="../ctrlProps/ctrlProp2143.xml"/><Relationship Id="rId117" Type="http://schemas.openxmlformats.org/officeDocument/2006/relationships/ctrlProp" Target="../ctrlProps/ctrlProp115.xml"/><Relationship Id="rId671" Type="http://schemas.openxmlformats.org/officeDocument/2006/relationships/ctrlProp" Target="../ctrlProps/ctrlProp669.xml"/><Relationship Id="rId2352" Type="http://schemas.openxmlformats.org/officeDocument/2006/relationships/ctrlProp" Target="../ctrlProps/ctrlProp2350.xml"/><Relationship Id="rId3403" Type="http://schemas.openxmlformats.org/officeDocument/2006/relationships/table" Target="../tables/table214.xml"/><Relationship Id="rId324" Type="http://schemas.openxmlformats.org/officeDocument/2006/relationships/ctrlProp" Target="../ctrlProps/ctrlProp322.xml"/><Relationship Id="rId531" Type="http://schemas.openxmlformats.org/officeDocument/2006/relationships/ctrlProp" Target="../ctrlProps/ctrlProp529.xml"/><Relationship Id="rId1161" Type="http://schemas.openxmlformats.org/officeDocument/2006/relationships/ctrlProp" Target="../ctrlProps/ctrlProp1159.xml"/><Relationship Id="rId2005" Type="http://schemas.openxmlformats.org/officeDocument/2006/relationships/ctrlProp" Target="../ctrlProps/ctrlProp2003.xml"/><Relationship Id="rId2212" Type="http://schemas.openxmlformats.org/officeDocument/2006/relationships/ctrlProp" Target="../ctrlProps/ctrlProp2210.xml"/><Relationship Id="rId1021" Type="http://schemas.openxmlformats.org/officeDocument/2006/relationships/ctrlProp" Target="../ctrlProps/ctrlProp1019.xml"/><Relationship Id="rId1978" Type="http://schemas.openxmlformats.org/officeDocument/2006/relationships/ctrlProp" Target="../ctrlProps/ctrlProp1976.xml"/><Relationship Id="rId3193" Type="http://schemas.openxmlformats.org/officeDocument/2006/relationships/table" Target="../tables/table4.xml"/><Relationship Id="rId1838" Type="http://schemas.openxmlformats.org/officeDocument/2006/relationships/ctrlProp" Target="../ctrlProps/ctrlProp1836.xml"/><Relationship Id="rId3053" Type="http://schemas.openxmlformats.org/officeDocument/2006/relationships/ctrlProp" Target="../ctrlProps/ctrlProp3051.xml"/><Relationship Id="rId3260" Type="http://schemas.openxmlformats.org/officeDocument/2006/relationships/table" Target="../tables/table71.xml"/><Relationship Id="rId181" Type="http://schemas.openxmlformats.org/officeDocument/2006/relationships/ctrlProp" Target="../ctrlProps/ctrlProp179.xml"/><Relationship Id="rId1905" Type="http://schemas.openxmlformats.org/officeDocument/2006/relationships/ctrlProp" Target="../ctrlProps/ctrlProp1903.xml"/><Relationship Id="rId3120" Type="http://schemas.openxmlformats.org/officeDocument/2006/relationships/ctrlProp" Target="../ctrlProps/ctrlProp3118.xml"/><Relationship Id="rId998" Type="http://schemas.openxmlformats.org/officeDocument/2006/relationships/ctrlProp" Target="../ctrlProps/ctrlProp996.xml"/><Relationship Id="rId2679" Type="http://schemas.openxmlformats.org/officeDocument/2006/relationships/ctrlProp" Target="../ctrlProps/ctrlProp2677.xml"/><Relationship Id="rId2886" Type="http://schemas.openxmlformats.org/officeDocument/2006/relationships/ctrlProp" Target="../ctrlProps/ctrlProp2884.xml"/><Relationship Id="rId858" Type="http://schemas.openxmlformats.org/officeDocument/2006/relationships/ctrlProp" Target="../ctrlProps/ctrlProp856.xml"/><Relationship Id="rId1488" Type="http://schemas.openxmlformats.org/officeDocument/2006/relationships/ctrlProp" Target="../ctrlProps/ctrlProp1486.xml"/><Relationship Id="rId1695" Type="http://schemas.openxmlformats.org/officeDocument/2006/relationships/ctrlProp" Target="../ctrlProps/ctrlProp1693.xml"/><Relationship Id="rId2539" Type="http://schemas.openxmlformats.org/officeDocument/2006/relationships/ctrlProp" Target="../ctrlProps/ctrlProp2537.xml"/><Relationship Id="rId2746" Type="http://schemas.openxmlformats.org/officeDocument/2006/relationships/ctrlProp" Target="../ctrlProps/ctrlProp2744.xml"/><Relationship Id="rId2953" Type="http://schemas.openxmlformats.org/officeDocument/2006/relationships/ctrlProp" Target="../ctrlProps/ctrlProp2951.xml"/><Relationship Id="rId718" Type="http://schemas.openxmlformats.org/officeDocument/2006/relationships/ctrlProp" Target="../ctrlProps/ctrlProp716.xml"/><Relationship Id="rId925" Type="http://schemas.openxmlformats.org/officeDocument/2006/relationships/ctrlProp" Target="../ctrlProps/ctrlProp923.xml"/><Relationship Id="rId1348" Type="http://schemas.openxmlformats.org/officeDocument/2006/relationships/ctrlProp" Target="../ctrlProps/ctrlProp1346.xml"/><Relationship Id="rId1555" Type="http://schemas.openxmlformats.org/officeDocument/2006/relationships/ctrlProp" Target="../ctrlProps/ctrlProp1553.xml"/><Relationship Id="rId1762" Type="http://schemas.openxmlformats.org/officeDocument/2006/relationships/ctrlProp" Target="../ctrlProps/ctrlProp1760.xml"/><Relationship Id="rId2606" Type="http://schemas.openxmlformats.org/officeDocument/2006/relationships/ctrlProp" Target="../ctrlProps/ctrlProp2604.xml"/><Relationship Id="rId1208" Type="http://schemas.openxmlformats.org/officeDocument/2006/relationships/ctrlProp" Target="../ctrlProps/ctrlProp1206.xml"/><Relationship Id="rId1415" Type="http://schemas.openxmlformats.org/officeDocument/2006/relationships/ctrlProp" Target="../ctrlProps/ctrlProp1413.xml"/><Relationship Id="rId2813" Type="http://schemas.openxmlformats.org/officeDocument/2006/relationships/ctrlProp" Target="../ctrlProps/ctrlProp2811.xml"/><Relationship Id="rId54" Type="http://schemas.openxmlformats.org/officeDocument/2006/relationships/ctrlProp" Target="../ctrlProps/ctrlProp52.xml"/><Relationship Id="rId1622" Type="http://schemas.openxmlformats.org/officeDocument/2006/relationships/ctrlProp" Target="../ctrlProps/ctrlProp1620.xml"/><Relationship Id="rId2189" Type="http://schemas.openxmlformats.org/officeDocument/2006/relationships/ctrlProp" Target="../ctrlProps/ctrlProp2187.xml"/><Relationship Id="rId2396" Type="http://schemas.openxmlformats.org/officeDocument/2006/relationships/ctrlProp" Target="../ctrlProps/ctrlProp2394.xml"/><Relationship Id="rId3447" Type="http://schemas.openxmlformats.org/officeDocument/2006/relationships/table" Target="../tables/table258.xml"/><Relationship Id="rId368" Type="http://schemas.openxmlformats.org/officeDocument/2006/relationships/ctrlProp" Target="../ctrlProps/ctrlProp366.xml"/><Relationship Id="rId575" Type="http://schemas.openxmlformats.org/officeDocument/2006/relationships/ctrlProp" Target="../ctrlProps/ctrlProp573.xml"/><Relationship Id="rId782" Type="http://schemas.openxmlformats.org/officeDocument/2006/relationships/ctrlProp" Target="../ctrlProps/ctrlProp780.xml"/><Relationship Id="rId2049" Type="http://schemas.openxmlformats.org/officeDocument/2006/relationships/ctrlProp" Target="../ctrlProps/ctrlProp2047.xml"/><Relationship Id="rId2256" Type="http://schemas.openxmlformats.org/officeDocument/2006/relationships/ctrlProp" Target="../ctrlProps/ctrlProp2254.xml"/><Relationship Id="rId2463" Type="http://schemas.openxmlformats.org/officeDocument/2006/relationships/ctrlProp" Target="../ctrlProps/ctrlProp2461.xml"/><Relationship Id="rId2670" Type="http://schemas.openxmlformats.org/officeDocument/2006/relationships/ctrlProp" Target="../ctrlProps/ctrlProp2668.xml"/><Relationship Id="rId3307" Type="http://schemas.openxmlformats.org/officeDocument/2006/relationships/table" Target="../tables/table118.xml"/><Relationship Id="rId228" Type="http://schemas.openxmlformats.org/officeDocument/2006/relationships/ctrlProp" Target="../ctrlProps/ctrlProp226.xml"/><Relationship Id="rId435" Type="http://schemas.openxmlformats.org/officeDocument/2006/relationships/ctrlProp" Target="../ctrlProps/ctrlProp433.xml"/><Relationship Id="rId642" Type="http://schemas.openxmlformats.org/officeDocument/2006/relationships/ctrlProp" Target="../ctrlProps/ctrlProp640.xml"/><Relationship Id="rId1065" Type="http://schemas.openxmlformats.org/officeDocument/2006/relationships/ctrlProp" Target="../ctrlProps/ctrlProp1063.xml"/><Relationship Id="rId1272" Type="http://schemas.openxmlformats.org/officeDocument/2006/relationships/ctrlProp" Target="../ctrlProps/ctrlProp1270.xml"/><Relationship Id="rId2116" Type="http://schemas.openxmlformats.org/officeDocument/2006/relationships/ctrlProp" Target="../ctrlProps/ctrlProp2114.xml"/><Relationship Id="rId2323" Type="http://schemas.openxmlformats.org/officeDocument/2006/relationships/ctrlProp" Target="../ctrlProps/ctrlProp2321.xml"/><Relationship Id="rId2530" Type="http://schemas.openxmlformats.org/officeDocument/2006/relationships/ctrlProp" Target="../ctrlProps/ctrlProp2528.xml"/><Relationship Id="rId502" Type="http://schemas.openxmlformats.org/officeDocument/2006/relationships/ctrlProp" Target="../ctrlProps/ctrlProp500.xml"/><Relationship Id="rId1132" Type="http://schemas.openxmlformats.org/officeDocument/2006/relationships/ctrlProp" Target="../ctrlProps/ctrlProp1130.xml"/><Relationship Id="rId3097" Type="http://schemas.openxmlformats.org/officeDocument/2006/relationships/ctrlProp" Target="../ctrlProps/ctrlProp3095.xml"/><Relationship Id="rId1949" Type="http://schemas.openxmlformats.org/officeDocument/2006/relationships/ctrlProp" Target="../ctrlProps/ctrlProp1947.xml"/><Relationship Id="rId3164" Type="http://schemas.openxmlformats.org/officeDocument/2006/relationships/ctrlProp" Target="../ctrlProps/ctrlProp3162.xml"/><Relationship Id="rId292" Type="http://schemas.openxmlformats.org/officeDocument/2006/relationships/ctrlProp" Target="../ctrlProps/ctrlProp290.xml"/><Relationship Id="rId1809" Type="http://schemas.openxmlformats.org/officeDocument/2006/relationships/ctrlProp" Target="../ctrlProps/ctrlProp1807.xml"/><Relationship Id="rId3371" Type="http://schemas.openxmlformats.org/officeDocument/2006/relationships/table" Target="../tables/table182.xml"/><Relationship Id="rId2180" Type="http://schemas.openxmlformats.org/officeDocument/2006/relationships/ctrlProp" Target="../ctrlProps/ctrlProp2178.xml"/><Relationship Id="rId3024" Type="http://schemas.openxmlformats.org/officeDocument/2006/relationships/ctrlProp" Target="../ctrlProps/ctrlProp3022.xml"/><Relationship Id="rId3231" Type="http://schemas.openxmlformats.org/officeDocument/2006/relationships/table" Target="../tables/table42.xml"/><Relationship Id="rId152" Type="http://schemas.openxmlformats.org/officeDocument/2006/relationships/ctrlProp" Target="../ctrlProps/ctrlProp150.xml"/><Relationship Id="rId2040" Type="http://schemas.openxmlformats.org/officeDocument/2006/relationships/ctrlProp" Target="../ctrlProps/ctrlProp2038.xml"/><Relationship Id="rId2997" Type="http://schemas.openxmlformats.org/officeDocument/2006/relationships/ctrlProp" Target="../ctrlProps/ctrlProp2995.xml"/><Relationship Id="rId969" Type="http://schemas.openxmlformats.org/officeDocument/2006/relationships/ctrlProp" Target="../ctrlProps/ctrlProp967.xml"/><Relationship Id="rId1599" Type="http://schemas.openxmlformats.org/officeDocument/2006/relationships/ctrlProp" Target="../ctrlProps/ctrlProp1597.xml"/><Relationship Id="rId1459" Type="http://schemas.openxmlformats.org/officeDocument/2006/relationships/ctrlProp" Target="../ctrlProps/ctrlProp1457.xml"/><Relationship Id="rId2857" Type="http://schemas.openxmlformats.org/officeDocument/2006/relationships/ctrlProp" Target="../ctrlProps/ctrlProp2855.xml"/><Relationship Id="rId98" Type="http://schemas.openxmlformats.org/officeDocument/2006/relationships/ctrlProp" Target="../ctrlProps/ctrlProp96.xml"/><Relationship Id="rId829" Type="http://schemas.openxmlformats.org/officeDocument/2006/relationships/ctrlProp" Target="../ctrlProps/ctrlProp827.xml"/><Relationship Id="rId1666" Type="http://schemas.openxmlformats.org/officeDocument/2006/relationships/ctrlProp" Target="../ctrlProps/ctrlProp1664.xml"/><Relationship Id="rId1873" Type="http://schemas.openxmlformats.org/officeDocument/2006/relationships/ctrlProp" Target="../ctrlProps/ctrlProp1871.xml"/><Relationship Id="rId2717" Type="http://schemas.openxmlformats.org/officeDocument/2006/relationships/ctrlProp" Target="../ctrlProps/ctrlProp2715.xml"/><Relationship Id="rId2924" Type="http://schemas.openxmlformats.org/officeDocument/2006/relationships/ctrlProp" Target="../ctrlProps/ctrlProp2922.xml"/><Relationship Id="rId1319" Type="http://schemas.openxmlformats.org/officeDocument/2006/relationships/ctrlProp" Target="../ctrlProps/ctrlProp1317.xml"/><Relationship Id="rId1526" Type="http://schemas.openxmlformats.org/officeDocument/2006/relationships/ctrlProp" Target="../ctrlProps/ctrlProp1524.xml"/><Relationship Id="rId1733" Type="http://schemas.openxmlformats.org/officeDocument/2006/relationships/ctrlProp" Target="../ctrlProps/ctrlProp1731.xml"/><Relationship Id="rId1940" Type="http://schemas.openxmlformats.org/officeDocument/2006/relationships/ctrlProp" Target="../ctrlProps/ctrlProp1938.xml"/><Relationship Id="rId25" Type="http://schemas.openxmlformats.org/officeDocument/2006/relationships/ctrlProp" Target="../ctrlProps/ctrlProp23.xml"/><Relationship Id="rId1800" Type="http://schemas.openxmlformats.org/officeDocument/2006/relationships/ctrlProp" Target="../ctrlProps/ctrlProp1798.xml"/><Relationship Id="rId479" Type="http://schemas.openxmlformats.org/officeDocument/2006/relationships/ctrlProp" Target="../ctrlProps/ctrlProp477.xml"/><Relationship Id="rId686" Type="http://schemas.openxmlformats.org/officeDocument/2006/relationships/ctrlProp" Target="../ctrlProps/ctrlProp684.xml"/><Relationship Id="rId893" Type="http://schemas.openxmlformats.org/officeDocument/2006/relationships/ctrlProp" Target="../ctrlProps/ctrlProp891.xml"/><Relationship Id="rId2367" Type="http://schemas.openxmlformats.org/officeDocument/2006/relationships/ctrlProp" Target="../ctrlProps/ctrlProp2365.xml"/><Relationship Id="rId2574" Type="http://schemas.openxmlformats.org/officeDocument/2006/relationships/ctrlProp" Target="../ctrlProps/ctrlProp2572.xml"/><Relationship Id="rId2781" Type="http://schemas.openxmlformats.org/officeDocument/2006/relationships/ctrlProp" Target="../ctrlProps/ctrlProp2779.xml"/><Relationship Id="rId3418" Type="http://schemas.openxmlformats.org/officeDocument/2006/relationships/table" Target="../tables/table229.xml"/><Relationship Id="rId339" Type="http://schemas.openxmlformats.org/officeDocument/2006/relationships/ctrlProp" Target="../ctrlProps/ctrlProp337.xml"/><Relationship Id="rId546" Type="http://schemas.openxmlformats.org/officeDocument/2006/relationships/ctrlProp" Target="../ctrlProps/ctrlProp544.xml"/><Relationship Id="rId753" Type="http://schemas.openxmlformats.org/officeDocument/2006/relationships/ctrlProp" Target="../ctrlProps/ctrlProp751.xml"/><Relationship Id="rId1176" Type="http://schemas.openxmlformats.org/officeDocument/2006/relationships/ctrlProp" Target="../ctrlProps/ctrlProp1174.xml"/><Relationship Id="rId1383" Type="http://schemas.openxmlformats.org/officeDocument/2006/relationships/ctrlProp" Target="../ctrlProps/ctrlProp1381.xml"/><Relationship Id="rId2227" Type="http://schemas.openxmlformats.org/officeDocument/2006/relationships/ctrlProp" Target="../ctrlProps/ctrlProp2225.xml"/><Relationship Id="rId2434" Type="http://schemas.openxmlformats.org/officeDocument/2006/relationships/ctrlProp" Target="../ctrlProps/ctrlProp2432.xml"/><Relationship Id="rId406" Type="http://schemas.openxmlformats.org/officeDocument/2006/relationships/ctrlProp" Target="../ctrlProps/ctrlProp404.xml"/><Relationship Id="rId960" Type="http://schemas.openxmlformats.org/officeDocument/2006/relationships/ctrlProp" Target="../ctrlProps/ctrlProp958.xml"/><Relationship Id="rId1036" Type="http://schemas.openxmlformats.org/officeDocument/2006/relationships/ctrlProp" Target="../ctrlProps/ctrlProp1034.xml"/><Relationship Id="rId1243" Type="http://schemas.openxmlformats.org/officeDocument/2006/relationships/ctrlProp" Target="../ctrlProps/ctrlProp1241.xml"/><Relationship Id="rId1590" Type="http://schemas.openxmlformats.org/officeDocument/2006/relationships/ctrlProp" Target="../ctrlProps/ctrlProp1588.xml"/><Relationship Id="rId2641" Type="http://schemas.openxmlformats.org/officeDocument/2006/relationships/ctrlProp" Target="../ctrlProps/ctrlProp2639.xml"/><Relationship Id="rId613" Type="http://schemas.openxmlformats.org/officeDocument/2006/relationships/ctrlProp" Target="../ctrlProps/ctrlProp611.xml"/><Relationship Id="rId820" Type="http://schemas.openxmlformats.org/officeDocument/2006/relationships/ctrlProp" Target="../ctrlProps/ctrlProp818.xml"/><Relationship Id="rId1450" Type="http://schemas.openxmlformats.org/officeDocument/2006/relationships/ctrlProp" Target="../ctrlProps/ctrlProp1448.xml"/><Relationship Id="rId2501" Type="http://schemas.openxmlformats.org/officeDocument/2006/relationships/ctrlProp" Target="../ctrlProps/ctrlProp2499.xml"/><Relationship Id="rId1103" Type="http://schemas.openxmlformats.org/officeDocument/2006/relationships/ctrlProp" Target="../ctrlProps/ctrlProp1101.xml"/><Relationship Id="rId1310" Type="http://schemas.openxmlformats.org/officeDocument/2006/relationships/ctrlProp" Target="../ctrlProps/ctrlProp1308.xml"/><Relationship Id="rId3068" Type="http://schemas.openxmlformats.org/officeDocument/2006/relationships/ctrlProp" Target="../ctrlProps/ctrlProp3066.xml"/><Relationship Id="rId3275" Type="http://schemas.openxmlformats.org/officeDocument/2006/relationships/table" Target="../tables/table86.xml"/><Relationship Id="rId3482" Type="http://schemas.openxmlformats.org/officeDocument/2006/relationships/table" Target="../tables/table293.xml"/><Relationship Id="rId196" Type="http://schemas.openxmlformats.org/officeDocument/2006/relationships/ctrlProp" Target="../ctrlProps/ctrlProp194.xml"/><Relationship Id="rId2084" Type="http://schemas.openxmlformats.org/officeDocument/2006/relationships/ctrlProp" Target="../ctrlProps/ctrlProp2082.xml"/><Relationship Id="rId2291" Type="http://schemas.openxmlformats.org/officeDocument/2006/relationships/ctrlProp" Target="../ctrlProps/ctrlProp2289.xml"/><Relationship Id="rId3135" Type="http://schemas.openxmlformats.org/officeDocument/2006/relationships/ctrlProp" Target="../ctrlProps/ctrlProp3133.xml"/><Relationship Id="rId3342" Type="http://schemas.openxmlformats.org/officeDocument/2006/relationships/table" Target="../tables/table153.xml"/><Relationship Id="rId263" Type="http://schemas.openxmlformats.org/officeDocument/2006/relationships/ctrlProp" Target="../ctrlProps/ctrlProp261.xml"/><Relationship Id="rId470" Type="http://schemas.openxmlformats.org/officeDocument/2006/relationships/ctrlProp" Target="../ctrlProps/ctrlProp468.xml"/><Relationship Id="rId2151" Type="http://schemas.openxmlformats.org/officeDocument/2006/relationships/ctrlProp" Target="../ctrlProps/ctrlProp2149.xml"/><Relationship Id="rId3202" Type="http://schemas.openxmlformats.org/officeDocument/2006/relationships/table" Target="../tables/table13.xml"/><Relationship Id="rId123" Type="http://schemas.openxmlformats.org/officeDocument/2006/relationships/ctrlProp" Target="../ctrlProps/ctrlProp121.xml"/><Relationship Id="rId330" Type="http://schemas.openxmlformats.org/officeDocument/2006/relationships/ctrlProp" Target="../ctrlProps/ctrlProp328.xml"/><Relationship Id="rId2011" Type="http://schemas.openxmlformats.org/officeDocument/2006/relationships/ctrlProp" Target="../ctrlProps/ctrlProp2009.xml"/><Relationship Id="rId2968" Type="http://schemas.openxmlformats.org/officeDocument/2006/relationships/ctrlProp" Target="../ctrlProps/ctrlProp2966.xml"/><Relationship Id="rId1777" Type="http://schemas.openxmlformats.org/officeDocument/2006/relationships/ctrlProp" Target="../ctrlProps/ctrlProp1775.xml"/><Relationship Id="rId1984" Type="http://schemas.openxmlformats.org/officeDocument/2006/relationships/ctrlProp" Target="../ctrlProps/ctrlProp1982.xml"/><Relationship Id="rId2828" Type="http://schemas.openxmlformats.org/officeDocument/2006/relationships/ctrlProp" Target="../ctrlProps/ctrlProp2826.xml"/><Relationship Id="rId69" Type="http://schemas.openxmlformats.org/officeDocument/2006/relationships/ctrlProp" Target="../ctrlProps/ctrlProp67.xml"/><Relationship Id="rId1637" Type="http://schemas.openxmlformats.org/officeDocument/2006/relationships/ctrlProp" Target="../ctrlProps/ctrlProp1635.xml"/><Relationship Id="rId1844" Type="http://schemas.openxmlformats.org/officeDocument/2006/relationships/ctrlProp" Target="../ctrlProps/ctrlProp1842.xml"/><Relationship Id="rId1704" Type="http://schemas.openxmlformats.org/officeDocument/2006/relationships/ctrlProp" Target="../ctrlProps/ctrlProp1702.xml"/><Relationship Id="rId1911" Type="http://schemas.openxmlformats.org/officeDocument/2006/relationships/ctrlProp" Target="../ctrlProps/ctrlProp1909.xml"/><Relationship Id="rId797" Type="http://schemas.openxmlformats.org/officeDocument/2006/relationships/ctrlProp" Target="../ctrlProps/ctrlProp795.xml"/><Relationship Id="rId2478" Type="http://schemas.openxmlformats.org/officeDocument/2006/relationships/ctrlProp" Target="../ctrlProps/ctrlProp2476.xml"/><Relationship Id="rId1287" Type="http://schemas.openxmlformats.org/officeDocument/2006/relationships/ctrlProp" Target="../ctrlProps/ctrlProp1285.xml"/><Relationship Id="rId2685" Type="http://schemas.openxmlformats.org/officeDocument/2006/relationships/ctrlProp" Target="../ctrlProps/ctrlProp2683.xml"/><Relationship Id="rId2892" Type="http://schemas.openxmlformats.org/officeDocument/2006/relationships/ctrlProp" Target="../ctrlProps/ctrlProp2890.xml"/><Relationship Id="rId657" Type="http://schemas.openxmlformats.org/officeDocument/2006/relationships/ctrlProp" Target="../ctrlProps/ctrlProp655.xml"/><Relationship Id="rId864" Type="http://schemas.openxmlformats.org/officeDocument/2006/relationships/ctrlProp" Target="../ctrlProps/ctrlProp862.xml"/><Relationship Id="rId1494" Type="http://schemas.openxmlformats.org/officeDocument/2006/relationships/ctrlProp" Target="../ctrlProps/ctrlProp1492.xml"/><Relationship Id="rId2338" Type="http://schemas.openxmlformats.org/officeDocument/2006/relationships/ctrlProp" Target="../ctrlProps/ctrlProp2336.xml"/><Relationship Id="rId2545" Type="http://schemas.openxmlformats.org/officeDocument/2006/relationships/ctrlProp" Target="../ctrlProps/ctrlProp2543.xml"/><Relationship Id="rId2752" Type="http://schemas.openxmlformats.org/officeDocument/2006/relationships/ctrlProp" Target="../ctrlProps/ctrlProp2750.xml"/><Relationship Id="rId517" Type="http://schemas.openxmlformats.org/officeDocument/2006/relationships/ctrlProp" Target="../ctrlProps/ctrlProp515.xml"/><Relationship Id="rId724" Type="http://schemas.openxmlformats.org/officeDocument/2006/relationships/ctrlProp" Target="../ctrlProps/ctrlProp722.xml"/><Relationship Id="rId931" Type="http://schemas.openxmlformats.org/officeDocument/2006/relationships/ctrlProp" Target="../ctrlProps/ctrlProp929.xml"/><Relationship Id="rId1147" Type="http://schemas.openxmlformats.org/officeDocument/2006/relationships/ctrlProp" Target="../ctrlProps/ctrlProp1145.xml"/><Relationship Id="rId1354" Type="http://schemas.openxmlformats.org/officeDocument/2006/relationships/ctrlProp" Target="../ctrlProps/ctrlProp1352.xml"/><Relationship Id="rId1561" Type="http://schemas.openxmlformats.org/officeDocument/2006/relationships/ctrlProp" Target="../ctrlProps/ctrlProp1559.xml"/><Relationship Id="rId2405" Type="http://schemas.openxmlformats.org/officeDocument/2006/relationships/ctrlProp" Target="../ctrlProps/ctrlProp2403.xml"/><Relationship Id="rId2612" Type="http://schemas.openxmlformats.org/officeDocument/2006/relationships/ctrlProp" Target="../ctrlProps/ctrlProp2610.xml"/><Relationship Id="rId60" Type="http://schemas.openxmlformats.org/officeDocument/2006/relationships/ctrlProp" Target="../ctrlProps/ctrlProp58.xml"/><Relationship Id="rId1007" Type="http://schemas.openxmlformats.org/officeDocument/2006/relationships/ctrlProp" Target="../ctrlProps/ctrlProp1005.xml"/><Relationship Id="rId1214" Type="http://schemas.openxmlformats.org/officeDocument/2006/relationships/ctrlProp" Target="../ctrlProps/ctrlProp1212.xml"/><Relationship Id="rId1421" Type="http://schemas.openxmlformats.org/officeDocument/2006/relationships/ctrlProp" Target="../ctrlProps/ctrlProp1419.xml"/><Relationship Id="rId3179" Type="http://schemas.openxmlformats.org/officeDocument/2006/relationships/ctrlProp" Target="../ctrlProps/ctrlProp3177.xml"/><Relationship Id="rId3386" Type="http://schemas.openxmlformats.org/officeDocument/2006/relationships/table" Target="../tables/table197.xml"/><Relationship Id="rId2195" Type="http://schemas.openxmlformats.org/officeDocument/2006/relationships/ctrlProp" Target="../ctrlProps/ctrlProp2193.xml"/><Relationship Id="rId3039" Type="http://schemas.openxmlformats.org/officeDocument/2006/relationships/ctrlProp" Target="../ctrlProps/ctrlProp3037.xml"/><Relationship Id="rId3246" Type="http://schemas.openxmlformats.org/officeDocument/2006/relationships/table" Target="../tables/table57.xml"/><Relationship Id="rId3453" Type="http://schemas.openxmlformats.org/officeDocument/2006/relationships/table" Target="../tables/table264.xml"/><Relationship Id="rId167" Type="http://schemas.openxmlformats.org/officeDocument/2006/relationships/ctrlProp" Target="../ctrlProps/ctrlProp165.xml"/><Relationship Id="rId374" Type="http://schemas.openxmlformats.org/officeDocument/2006/relationships/ctrlProp" Target="../ctrlProps/ctrlProp372.xml"/><Relationship Id="rId581" Type="http://schemas.openxmlformats.org/officeDocument/2006/relationships/ctrlProp" Target="../ctrlProps/ctrlProp579.xml"/><Relationship Id="rId2055" Type="http://schemas.openxmlformats.org/officeDocument/2006/relationships/ctrlProp" Target="../ctrlProps/ctrlProp2053.xml"/><Relationship Id="rId2262" Type="http://schemas.openxmlformats.org/officeDocument/2006/relationships/ctrlProp" Target="../ctrlProps/ctrlProp2260.xml"/><Relationship Id="rId3106" Type="http://schemas.openxmlformats.org/officeDocument/2006/relationships/ctrlProp" Target="../ctrlProps/ctrlProp3104.xml"/><Relationship Id="rId234" Type="http://schemas.openxmlformats.org/officeDocument/2006/relationships/ctrlProp" Target="../ctrlProps/ctrlProp232.xml"/><Relationship Id="rId3313" Type="http://schemas.openxmlformats.org/officeDocument/2006/relationships/table" Target="../tables/table124.xml"/><Relationship Id="rId441" Type="http://schemas.openxmlformats.org/officeDocument/2006/relationships/ctrlProp" Target="../ctrlProps/ctrlProp439.xml"/><Relationship Id="rId1071" Type="http://schemas.openxmlformats.org/officeDocument/2006/relationships/ctrlProp" Target="../ctrlProps/ctrlProp1069.xml"/><Relationship Id="rId2122" Type="http://schemas.openxmlformats.org/officeDocument/2006/relationships/ctrlProp" Target="../ctrlProps/ctrlProp2120.xml"/><Relationship Id="rId301" Type="http://schemas.openxmlformats.org/officeDocument/2006/relationships/ctrlProp" Target="../ctrlProps/ctrlProp299.xml"/><Relationship Id="rId1888" Type="http://schemas.openxmlformats.org/officeDocument/2006/relationships/ctrlProp" Target="../ctrlProps/ctrlProp1886.xml"/><Relationship Id="rId2939" Type="http://schemas.openxmlformats.org/officeDocument/2006/relationships/ctrlProp" Target="../ctrlProps/ctrlProp2937.xml"/><Relationship Id="rId1748" Type="http://schemas.openxmlformats.org/officeDocument/2006/relationships/ctrlProp" Target="../ctrlProps/ctrlProp1746.xml"/><Relationship Id="rId1955" Type="http://schemas.openxmlformats.org/officeDocument/2006/relationships/ctrlProp" Target="../ctrlProps/ctrlProp1953.xml"/><Relationship Id="rId3170" Type="http://schemas.openxmlformats.org/officeDocument/2006/relationships/ctrlProp" Target="../ctrlProps/ctrlProp3168.xml"/><Relationship Id="rId1608" Type="http://schemas.openxmlformats.org/officeDocument/2006/relationships/ctrlProp" Target="../ctrlProps/ctrlProp1606.xml"/><Relationship Id="rId1815" Type="http://schemas.openxmlformats.org/officeDocument/2006/relationships/ctrlProp" Target="../ctrlProps/ctrlProp1813.xml"/><Relationship Id="rId3030" Type="http://schemas.openxmlformats.org/officeDocument/2006/relationships/ctrlProp" Target="../ctrlProps/ctrlProp3028.xml"/><Relationship Id="rId2589" Type="http://schemas.openxmlformats.org/officeDocument/2006/relationships/ctrlProp" Target="../ctrlProps/ctrlProp2587.xml"/><Relationship Id="rId2796" Type="http://schemas.openxmlformats.org/officeDocument/2006/relationships/ctrlProp" Target="../ctrlProps/ctrlProp2794.xml"/><Relationship Id="rId768" Type="http://schemas.openxmlformats.org/officeDocument/2006/relationships/ctrlProp" Target="../ctrlProps/ctrlProp766.xml"/><Relationship Id="rId975" Type="http://schemas.openxmlformats.org/officeDocument/2006/relationships/ctrlProp" Target="../ctrlProps/ctrlProp973.xml"/><Relationship Id="rId1398" Type="http://schemas.openxmlformats.org/officeDocument/2006/relationships/ctrlProp" Target="../ctrlProps/ctrlProp1396.xml"/><Relationship Id="rId2449" Type="http://schemas.openxmlformats.org/officeDocument/2006/relationships/ctrlProp" Target="../ctrlProps/ctrlProp2447.xml"/><Relationship Id="rId2656" Type="http://schemas.openxmlformats.org/officeDocument/2006/relationships/ctrlProp" Target="../ctrlProps/ctrlProp2654.xml"/><Relationship Id="rId2863" Type="http://schemas.openxmlformats.org/officeDocument/2006/relationships/ctrlProp" Target="../ctrlProps/ctrlProp2861.xml"/><Relationship Id="rId628" Type="http://schemas.openxmlformats.org/officeDocument/2006/relationships/ctrlProp" Target="../ctrlProps/ctrlProp626.xml"/><Relationship Id="rId835" Type="http://schemas.openxmlformats.org/officeDocument/2006/relationships/ctrlProp" Target="../ctrlProps/ctrlProp833.xml"/><Relationship Id="rId1258" Type="http://schemas.openxmlformats.org/officeDocument/2006/relationships/ctrlProp" Target="../ctrlProps/ctrlProp1256.xml"/><Relationship Id="rId1465" Type="http://schemas.openxmlformats.org/officeDocument/2006/relationships/ctrlProp" Target="../ctrlProps/ctrlProp1463.xml"/><Relationship Id="rId1672" Type="http://schemas.openxmlformats.org/officeDocument/2006/relationships/ctrlProp" Target="../ctrlProps/ctrlProp1670.xml"/><Relationship Id="rId2309" Type="http://schemas.openxmlformats.org/officeDocument/2006/relationships/ctrlProp" Target="../ctrlProps/ctrlProp2307.xml"/><Relationship Id="rId2516" Type="http://schemas.openxmlformats.org/officeDocument/2006/relationships/ctrlProp" Target="../ctrlProps/ctrlProp2514.xml"/><Relationship Id="rId2723" Type="http://schemas.openxmlformats.org/officeDocument/2006/relationships/ctrlProp" Target="../ctrlProps/ctrlProp2721.xml"/><Relationship Id="rId1118" Type="http://schemas.openxmlformats.org/officeDocument/2006/relationships/ctrlProp" Target="../ctrlProps/ctrlProp1116.xml"/><Relationship Id="rId1325" Type="http://schemas.openxmlformats.org/officeDocument/2006/relationships/ctrlProp" Target="../ctrlProps/ctrlProp1323.xml"/><Relationship Id="rId1532" Type="http://schemas.openxmlformats.org/officeDocument/2006/relationships/ctrlProp" Target="../ctrlProps/ctrlProp1530.xml"/><Relationship Id="rId2930" Type="http://schemas.openxmlformats.org/officeDocument/2006/relationships/ctrlProp" Target="../ctrlProps/ctrlProp2928.xml"/><Relationship Id="rId902" Type="http://schemas.openxmlformats.org/officeDocument/2006/relationships/ctrlProp" Target="../ctrlProps/ctrlProp900.xml"/><Relationship Id="rId3497" Type="http://schemas.openxmlformats.org/officeDocument/2006/relationships/table" Target="../tables/table308.xml"/><Relationship Id="rId31" Type="http://schemas.openxmlformats.org/officeDocument/2006/relationships/ctrlProp" Target="../ctrlProps/ctrlProp29.xml"/><Relationship Id="rId2099" Type="http://schemas.openxmlformats.org/officeDocument/2006/relationships/ctrlProp" Target="../ctrlProps/ctrlProp2097.xml"/><Relationship Id="rId278" Type="http://schemas.openxmlformats.org/officeDocument/2006/relationships/ctrlProp" Target="../ctrlProps/ctrlProp276.xml"/><Relationship Id="rId3357" Type="http://schemas.openxmlformats.org/officeDocument/2006/relationships/table" Target="../tables/table168.xml"/><Relationship Id="rId485" Type="http://schemas.openxmlformats.org/officeDocument/2006/relationships/ctrlProp" Target="../ctrlProps/ctrlProp483.xml"/><Relationship Id="rId692" Type="http://schemas.openxmlformats.org/officeDocument/2006/relationships/ctrlProp" Target="../ctrlProps/ctrlProp690.xml"/><Relationship Id="rId2166" Type="http://schemas.openxmlformats.org/officeDocument/2006/relationships/ctrlProp" Target="../ctrlProps/ctrlProp2164.xml"/><Relationship Id="rId2373" Type="http://schemas.openxmlformats.org/officeDocument/2006/relationships/ctrlProp" Target="../ctrlProps/ctrlProp2371.xml"/><Relationship Id="rId2580" Type="http://schemas.openxmlformats.org/officeDocument/2006/relationships/ctrlProp" Target="../ctrlProps/ctrlProp2578.xml"/><Relationship Id="rId3217" Type="http://schemas.openxmlformats.org/officeDocument/2006/relationships/table" Target="../tables/table28.xml"/><Relationship Id="rId3424" Type="http://schemas.openxmlformats.org/officeDocument/2006/relationships/table" Target="../tables/table235.xml"/><Relationship Id="rId138" Type="http://schemas.openxmlformats.org/officeDocument/2006/relationships/ctrlProp" Target="../ctrlProps/ctrlProp136.xml"/><Relationship Id="rId345" Type="http://schemas.openxmlformats.org/officeDocument/2006/relationships/ctrlProp" Target="../ctrlProps/ctrlProp343.xml"/><Relationship Id="rId552" Type="http://schemas.openxmlformats.org/officeDocument/2006/relationships/ctrlProp" Target="../ctrlProps/ctrlProp550.xml"/><Relationship Id="rId1182" Type="http://schemas.openxmlformats.org/officeDocument/2006/relationships/ctrlProp" Target="../ctrlProps/ctrlProp1180.xml"/><Relationship Id="rId2026" Type="http://schemas.openxmlformats.org/officeDocument/2006/relationships/ctrlProp" Target="../ctrlProps/ctrlProp2024.xml"/><Relationship Id="rId2233" Type="http://schemas.openxmlformats.org/officeDocument/2006/relationships/ctrlProp" Target="../ctrlProps/ctrlProp2231.xml"/><Relationship Id="rId2440" Type="http://schemas.openxmlformats.org/officeDocument/2006/relationships/ctrlProp" Target="../ctrlProps/ctrlProp2438.xml"/><Relationship Id="rId205" Type="http://schemas.openxmlformats.org/officeDocument/2006/relationships/ctrlProp" Target="../ctrlProps/ctrlProp203.xml"/><Relationship Id="rId412" Type="http://schemas.openxmlformats.org/officeDocument/2006/relationships/ctrlProp" Target="../ctrlProps/ctrlProp410.xml"/><Relationship Id="rId1042" Type="http://schemas.openxmlformats.org/officeDocument/2006/relationships/ctrlProp" Target="../ctrlProps/ctrlProp1040.xml"/><Relationship Id="rId2300" Type="http://schemas.openxmlformats.org/officeDocument/2006/relationships/ctrlProp" Target="../ctrlProps/ctrlProp2298.xml"/><Relationship Id="rId1999" Type="http://schemas.openxmlformats.org/officeDocument/2006/relationships/ctrlProp" Target="../ctrlProps/ctrlProp1997.xml"/><Relationship Id="rId1859" Type="http://schemas.openxmlformats.org/officeDocument/2006/relationships/ctrlProp" Target="../ctrlProps/ctrlProp1857.xml"/><Relationship Id="rId3074" Type="http://schemas.openxmlformats.org/officeDocument/2006/relationships/ctrlProp" Target="../ctrlProps/ctrlProp3072.xml"/><Relationship Id="rId1719" Type="http://schemas.openxmlformats.org/officeDocument/2006/relationships/ctrlProp" Target="../ctrlProps/ctrlProp1717.xml"/><Relationship Id="rId1926" Type="http://schemas.openxmlformats.org/officeDocument/2006/relationships/ctrlProp" Target="../ctrlProps/ctrlProp1924.xml"/><Relationship Id="rId3281" Type="http://schemas.openxmlformats.org/officeDocument/2006/relationships/table" Target="../tables/table92.xml"/><Relationship Id="rId2090" Type="http://schemas.openxmlformats.org/officeDocument/2006/relationships/ctrlProp" Target="../ctrlProps/ctrlProp2088.xml"/><Relationship Id="rId3141" Type="http://schemas.openxmlformats.org/officeDocument/2006/relationships/ctrlProp" Target="../ctrlProps/ctrlProp3139.xml"/><Relationship Id="rId3001" Type="http://schemas.openxmlformats.org/officeDocument/2006/relationships/ctrlProp" Target="../ctrlProps/ctrlProp2999.xml"/><Relationship Id="rId879" Type="http://schemas.openxmlformats.org/officeDocument/2006/relationships/ctrlProp" Target="../ctrlProps/ctrlProp877.xml"/><Relationship Id="rId2767" Type="http://schemas.openxmlformats.org/officeDocument/2006/relationships/ctrlProp" Target="../ctrlProps/ctrlProp2765.xml"/><Relationship Id="rId739" Type="http://schemas.openxmlformats.org/officeDocument/2006/relationships/ctrlProp" Target="../ctrlProps/ctrlProp737.xml"/><Relationship Id="rId1369" Type="http://schemas.openxmlformats.org/officeDocument/2006/relationships/ctrlProp" Target="../ctrlProps/ctrlProp1367.xml"/><Relationship Id="rId1576" Type="http://schemas.openxmlformats.org/officeDocument/2006/relationships/ctrlProp" Target="../ctrlProps/ctrlProp1574.xml"/><Relationship Id="rId2974" Type="http://schemas.openxmlformats.org/officeDocument/2006/relationships/ctrlProp" Target="../ctrlProps/ctrlProp2972.xml"/><Relationship Id="rId946" Type="http://schemas.openxmlformats.org/officeDocument/2006/relationships/ctrlProp" Target="../ctrlProps/ctrlProp944.xml"/><Relationship Id="rId1229" Type="http://schemas.openxmlformats.org/officeDocument/2006/relationships/ctrlProp" Target="../ctrlProps/ctrlProp1227.xml"/><Relationship Id="rId1783" Type="http://schemas.openxmlformats.org/officeDocument/2006/relationships/ctrlProp" Target="../ctrlProps/ctrlProp1781.xml"/><Relationship Id="rId1990" Type="http://schemas.openxmlformats.org/officeDocument/2006/relationships/ctrlProp" Target="../ctrlProps/ctrlProp1988.xml"/><Relationship Id="rId2627" Type="http://schemas.openxmlformats.org/officeDocument/2006/relationships/ctrlProp" Target="../ctrlProps/ctrlProp2625.xml"/><Relationship Id="rId2834" Type="http://schemas.openxmlformats.org/officeDocument/2006/relationships/ctrlProp" Target="../ctrlProps/ctrlProp2832.xml"/><Relationship Id="rId75" Type="http://schemas.openxmlformats.org/officeDocument/2006/relationships/ctrlProp" Target="../ctrlProps/ctrlProp73.xml"/><Relationship Id="rId806" Type="http://schemas.openxmlformats.org/officeDocument/2006/relationships/ctrlProp" Target="../ctrlProps/ctrlProp804.xml"/><Relationship Id="rId1436" Type="http://schemas.openxmlformats.org/officeDocument/2006/relationships/ctrlProp" Target="../ctrlProps/ctrlProp1434.xml"/><Relationship Id="rId1643" Type="http://schemas.openxmlformats.org/officeDocument/2006/relationships/ctrlProp" Target="../ctrlProps/ctrlProp1641.xml"/><Relationship Id="rId1850" Type="http://schemas.openxmlformats.org/officeDocument/2006/relationships/ctrlProp" Target="../ctrlProps/ctrlProp1848.xml"/><Relationship Id="rId2901" Type="http://schemas.openxmlformats.org/officeDocument/2006/relationships/ctrlProp" Target="../ctrlProps/ctrlProp2899.xml"/><Relationship Id="rId1503" Type="http://schemas.openxmlformats.org/officeDocument/2006/relationships/ctrlProp" Target="../ctrlProps/ctrlProp1501.xml"/><Relationship Id="rId1710" Type="http://schemas.openxmlformats.org/officeDocument/2006/relationships/ctrlProp" Target="../ctrlProps/ctrlProp1708.xml"/><Relationship Id="rId3468" Type="http://schemas.openxmlformats.org/officeDocument/2006/relationships/table" Target="../tables/table279.xml"/><Relationship Id="rId389" Type="http://schemas.openxmlformats.org/officeDocument/2006/relationships/ctrlProp" Target="../ctrlProps/ctrlProp387.xml"/><Relationship Id="rId596" Type="http://schemas.openxmlformats.org/officeDocument/2006/relationships/ctrlProp" Target="../ctrlProps/ctrlProp594.xml"/><Relationship Id="rId2277" Type="http://schemas.openxmlformats.org/officeDocument/2006/relationships/ctrlProp" Target="../ctrlProps/ctrlProp2275.xml"/><Relationship Id="rId2484" Type="http://schemas.openxmlformats.org/officeDocument/2006/relationships/ctrlProp" Target="../ctrlProps/ctrlProp2482.xml"/><Relationship Id="rId2691" Type="http://schemas.openxmlformats.org/officeDocument/2006/relationships/ctrlProp" Target="../ctrlProps/ctrlProp2689.xml"/><Relationship Id="rId3328" Type="http://schemas.openxmlformats.org/officeDocument/2006/relationships/table" Target="../tables/table139.xml"/><Relationship Id="rId249" Type="http://schemas.openxmlformats.org/officeDocument/2006/relationships/ctrlProp" Target="../ctrlProps/ctrlProp247.xml"/><Relationship Id="rId456" Type="http://schemas.openxmlformats.org/officeDocument/2006/relationships/ctrlProp" Target="../ctrlProps/ctrlProp454.xml"/><Relationship Id="rId663" Type="http://schemas.openxmlformats.org/officeDocument/2006/relationships/ctrlProp" Target="../ctrlProps/ctrlProp661.xml"/><Relationship Id="rId870" Type="http://schemas.openxmlformats.org/officeDocument/2006/relationships/ctrlProp" Target="../ctrlProps/ctrlProp868.xml"/><Relationship Id="rId1086" Type="http://schemas.openxmlformats.org/officeDocument/2006/relationships/ctrlProp" Target="../ctrlProps/ctrlProp1084.xml"/><Relationship Id="rId1293" Type="http://schemas.openxmlformats.org/officeDocument/2006/relationships/ctrlProp" Target="../ctrlProps/ctrlProp1291.xml"/><Relationship Id="rId2137" Type="http://schemas.openxmlformats.org/officeDocument/2006/relationships/ctrlProp" Target="../ctrlProps/ctrlProp2135.xml"/><Relationship Id="rId2344" Type="http://schemas.openxmlformats.org/officeDocument/2006/relationships/ctrlProp" Target="../ctrlProps/ctrlProp2342.xml"/><Relationship Id="rId2551" Type="http://schemas.openxmlformats.org/officeDocument/2006/relationships/ctrlProp" Target="../ctrlProps/ctrlProp2549.xml"/><Relationship Id="rId109" Type="http://schemas.openxmlformats.org/officeDocument/2006/relationships/ctrlProp" Target="../ctrlProps/ctrlProp107.xml"/><Relationship Id="rId316" Type="http://schemas.openxmlformats.org/officeDocument/2006/relationships/ctrlProp" Target="../ctrlProps/ctrlProp314.xml"/><Relationship Id="rId523" Type="http://schemas.openxmlformats.org/officeDocument/2006/relationships/ctrlProp" Target="../ctrlProps/ctrlProp521.xml"/><Relationship Id="rId1153" Type="http://schemas.openxmlformats.org/officeDocument/2006/relationships/ctrlProp" Target="../ctrlProps/ctrlProp1151.xml"/><Relationship Id="rId2204" Type="http://schemas.openxmlformats.org/officeDocument/2006/relationships/ctrlProp" Target="../ctrlProps/ctrlProp2202.xml"/><Relationship Id="rId730" Type="http://schemas.openxmlformats.org/officeDocument/2006/relationships/ctrlProp" Target="../ctrlProps/ctrlProp728.xml"/><Relationship Id="rId1013" Type="http://schemas.openxmlformats.org/officeDocument/2006/relationships/ctrlProp" Target="../ctrlProps/ctrlProp1011.xml"/><Relationship Id="rId1360" Type="http://schemas.openxmlformats.org/officeDocument/2006/relationships/ctrlProp" Target="../ctrlProps/ctrlProp1358.xml"/><Relationship Id="rId2411" Type="http://schemas.openxmlformats.org/officeDocument/2006/relationships/ctrlProp" Target="../ctrlProps/ctrlProp2409.xml"/><Relationship Id="rId1220" Type="http://schemas.openxmlformats.org/officeDocument/2006/relationships/ctrlProp" Target="../ctrlProps/ctrlProp1218.xml"/><Relationship Id="rId3185" Type="http://schemas.openxmlformats.org/officeDocument/2006/relationships/ctrlProp" Target="../ctrlProps/ctrlProp3183.xml"/><Relationship Id="rId3392" Type="http://schemas.openxmlformats.org/officeDocument/2006/relationships/table" Target="../tables/table203.xml"/><Relationship Id="rId3045" Type="http://schemas.openxmlformats.org/officeDocument/2006/relationships/ctrlProp" Target="../ctrlProps/ctrlProp3043.xml"/><Relationship Id="rId3252" Type="http://schemas.openxmlformats.org/officeDocument/2006/relationships/table" Target="../tables/table63.xml"/><Relationship Id="rId173" Type="http://schemas.openxmlformats.org/officeDocument/2006/relationships/ctrlProp" Target="../ctrlProps/ctrlProp171.xml"/><Relationship Id="rId380" Type="http://schemas.openxmlformats.org/officeDocument/2006/relationships/ctrlProp" Target="../ctrlProps/ctrlProp378.xml"/><Relationship Id="rId2061" Type="http://schemas.openxmlformats.org/officeDocument/2006/relationships/ctrlProp" Target="../ctrlProps/ctrlProp2059.xml"/><Relationship Id="rId3112" Type="http://schemas.openxmlformats.org/officeDocument/2006/relationships/ctrlProp" Target="../ctrlProps/ctrlProp3110.xml"/><Relationship Id="rId240" Type="http://schemas.openxmlformats.org/officeDocument/2006/relationships/ctrlProp" Target="../ctrlProps/ctrlProp238.xml"/><Relationship Id="rId100" Type="http://schemas.openxmlformats.org/officeDocument/2006/relationships/ctrlProp" Target="../ctrlProps/ctrlProp98.xml"/><Relationship Id="rId2878" Type="http://schemas.openxmlformats.org/officeDocument/2006/relationships/ctrlProp" Target="../ctrlProps/ctrlProp2876.xml"/><Relationship Id="rId1687" Type="http://schemas.openxmlformats.org/officeDocument/2006/relationships/ctrlProp" Target="../ctrlProps/ctrlProp1685.xml"/><Relationship Id="rId1894" Type="http://schemas.openxmlformats.org/officeDocument/2006/relationships/ctrlProp" Target="../ctrlProps/ctrlProp1892.xml"/><Relationship Id="rId2738" Type="http://schemas.openxmlformats.org/officeDocument/2006/relationships/ctrlProp" Target="../ctrlProps/ctrlProp2736.xml"/><Relationship Id="rId2945" Type="http://schemas.openxmlformats.org/officeDocument/2006/relationships/ctrlProp" Target="../ctrlProps/ctrlProp2943.xml"/><Relationship Id="rId917" Type="http://schemas.openxmlformats.org/officeDocument/2006/relationships/ctrlProp" Target="../ctrlProps/ctrlProp915.xml"/><Relationship Id="rId1547" Type="http://schemas.openxmlformats.org/officeDocument/2006/relationships/ctrlProp" Target="../ctrlProps/ctrlProp1545.xml"/><Relationship Id="rId1754" Type="http://schemas.openxmlformats.org/officeDocument/2006/relationships/ctrlProp" Target="../ctrlProps/ctrlProp1752.xml"/><Relationship Id="rId1961" Type="http://schemas.openxmlformats.org/officeDocument/2006/relationships/ctrlProp" Target="../ctrlProps/ctrlProp1959.xml"/><Relationship Id="rId2805" Type="http://schemas.openxmlformats.org/officeDocument/2006/relationships/ctrlProp" Target="../ctrlProps/ctrlProp2803.xml"/><Relationship Id="rId46" Type="http://schemas.openxmlformats.org/officeDocument/2006/relationships/ctrlProp" Target="../ctrlProps/ctrlProp44.xml"/><Relationship Id="rId1407" Type="http://schemas.openxmlformats.org/officeDocument/2006/relationships/ctrlProp" Target="../ctrlProps/ctrlProp1405.xml"/><Relationship Id="rId1614" Type="http://schemas.openxmlformats.org/officeDocument/2006/relationships/ctrlProp" Target="../ctrlProps/ctrlProp1612.xml"/><Relationship Id="rId1821" Type="http://schemas.openxmlformats.org/officeDocument/2006/relationships/ctrlProp" Target="../ctrlProps/ctrlProp1819.xml"/><Relationship Id="rId2388" Type="http://schemas.openxmlformats.org/officeDocument/2006/relationships/ctrlProp" Target="../ctrlProps/ctrlProp2386.xml"/><Relationship Id="rId2595" Type="http://schemas.openxmlformats.org/officeDocument/2006/relationships/ctrlProp" Target="../ctrlProps/ctrlProp2593.xml"/><Relationship Id="rId3439" Type="http://schemas.openxmlformats.org/officeDocument/2006/relationships/table" Target="../tables/table250.xml"/><Relationship Id="rId567" Type="http://schemas.openxmlformats.org/officeDocument/2006/relationships/ctrlProp" Target="../ctrlProps/ctrlProp565.xml"/><Relationship Id="rId1197" Type="http://schemas.openxmlformats.org/officeDocument/2006/relationships/ctrlProp" Target="../ctrlProps/ctrlProp1195.xml"/><Relationship Id="rId2248" Type="http://schemas.openxmlformats.org/officeDocument/2006/relationships/ctrlProp" Target="../ctrlProps/ctrlProp2246.xml"/><Relationship Id="rId774" Type="http://schemas.openxmlformats.org/officeDocument/2006/relationships/ctrlProp" Target="../ctrlProps/ctrlProp772.xml"/><Relationship Id="rId981" Type="http://schemas.openxmlformats.org/officeDocument/2006/relationships/ctrlProp" Target="../ctrlProps/ctrlProp979.xml"/><Relationship Id="rId1057" Type="http://schemas.openxmlformats.org/officeDocument/2006/relationships/ctrlProp" Target="../ctrlProps/ctrlProp1055.xml"/><Relationship Id="rId2455" Type="http://schemas.openxmlformats.org/officeDocument/2006/relationships/ctrlProp" Target="../ctrlProps/ctrlProp2453.xml"/><Relationship Id="rId2662" Type="http://schemas.openxmlformats.org/officeDocument/2006/relationships/ctrlProp" Target="../ctrlProps/ctrlProp2660.xml"/><Relationship Id="rId3506" Type="http://schemas.openxmlformats.org/officeDocument/2006/relationships/table" Target="../tables/table317.xml"/><Relationship Id="rId427" Type="http://schemas.openxmlformats.org/officeDocument/2006/relationships/ctrlProp" Target="../ctrlProps/ctrlProp425.xml"/><Relationship Id="rId634" Type="http://schemas.openxmlformats.org/officeDocument/2006/relationships/ctrlProp" Target="../ctrlProps/ctrlProp632.xml"/><Relationship Id="rId841" Type="http://schemas.openxmlformats.org/officeDocument/2006/relationships/ctrlProp" Target="../ctrlProps/ctrlProp839.xml"/><Relationship Id="rId1264" Type="http://schemas.openxmlformats.org/officeDocument/2006/relationships/ctrlProp" Target="../ctrlProps/ctrlProp1262.xml"/><Relationship Id="rId1471" Type="http://schemas.openxmlformats.org/officeDocument/2006/relationships/ctrlProp" Target="../ctrlProps/ctrlProp1469.xml"/><Relationship Id="rId2108" Type="http://schemas.openxmlformats.org/officeDocument/2006/relationships/ctrlProp" Target="../ctrlProps/ctrlProp2106.xml"/><Relationship Id="rId2315" Type="http://schemas.openxmlformats.org/officeDocument/2006/relationships/ctrlProp" Target="../ctrlProps/ctrlProp2313.xml"/><Relationship Id="rId2522" Type="http://schemas.openxmlformats.org/officeDocument/2006/relationships/ctrlProp" Target="../ctrlProps/ctrlProp2520.xml"/><Relationship Id="rId701" Type="http://schemas.openxmlformats.org/officeDocument/2006/relationships/ctrlProp" Target="../ctrlProps/ctrlProp699.xml"/><Relationship Id="rId1124" Type="http://schemas.openxmlformats.org/officeDocument/2006/relationships/ctrlProp" Target="../ctrlProps/ctrlProp1122.xml"/><Relationship Id="rId1331" Type="http://schemas.openxmlformats.org/officeDocument/2006/relationships/ctrlProp" Target="../ctrlProps/ctrlProp1329.xml"/><Relationship Id="rId3089" Type="http://schemas.openxmlformats.org/officeDocument/2006/relationships/ctrlProp" Target="../ctrlProps/ctrlProp3087.xml"/><Relationship Id="rId3296" Type="http://schemas.openxmlformats.org/officeDocument/2006/relationships/table" Target="../tables/table107.xml"/><Relationship Id="rId3156" Type="http://schemas.openxmlformats.org/officeDocument/2006/relationships/ctrlProp" Target="../ctrlProps/ctrlProp3154.xml"/><Relationship Id="rId3363" Type="http://schemas.openxmlformats.org/officeDocument/2006/relationships/table" Target="../tables/table174.xml"/><Relationship Id="rId284" Type="http://schemas.openxmlformats.org/officeDocument/2006/relationships/ctrlProp" Target="../ctrlProps/ctrlProp282.xml"/><Relationship Id="rId491" Type="http://schemas.openxmlformats.org/officeDocument/2006/relationships/ctrlProp" Target="../ctrlProps/ctrlProp489.xml"/><Relationship Id="rId2172" Type="http://schemas.openxmlformats.org/officeDocument/2006/relationships/ctrlProp" Target="../ctrlProps/ctrlProp2170.xml"/><Relationship Id="rId3016" Type="http://schemas.openxmlformats.org/officeDocument/2006/relationships/ctrlProp" Target="../ctrlProps/ctrlProp3014.xml"/><Relationship Id="rId3223" Type="http://schemas.openxmlformats.org/officeDocument/2006/relationships/table" Target="../tables/table34.xml"/><Relationship Id="rId144" Type="http://schemas.openxmlformats.org/officeDocument/2006/relationships/ctrlProp" Target="../ctrlProps/ctrlProp142.xml"/><Relationship Id="rId3430" Type="http://schemas.openxmlformats.org/officeDocument/2006/relationships/table" Target="../tables/table241.xml"/><Relationship Id="rId351" Type="http://schemas.openxmlformats.org/officeDocument/2006/relationships/ctrlProp" Target="../ctrlProps/ctrlProp349.xml"/><Relationship Id="rId2032" Type="http://schemas.openxmlformats.org/officeDocument/2006/relationships/ctrlProp" Target="../ctrlProps/ctrlProp2030.xml"/><Relationship Id="rId2989" Type="http://schemas.openxmlformats.org/officeDocument/2006/relationships/ctrlProp" Target="../ctrlProps/ctrlProp2987.xml"/><Relationship Id="rId211" Type="http://schemas.openxmlformats.org/officeDocument/2006/relationships/ctrlProp" Target="../ctrlProps/ctrlProp209.xml"/><Relationship Id="rId1798" Type="http://schemas.openxmlformats.org/officeDocument/2006/relationships/ctrlProp" Target="../ctrlProps/ctrlProp1796.xml"/><Relationship Id="rId2849" Type="http://schemas.openxmlformats.org/officeDocument/2006/relationships/ctrlProp" Target="../ctrlProps/ctrlProp2847.xml"/><Relationship Id="rId1658" Type="http://schemas.openxmlformats.org/officeDocument/2006/relationships/ctrlProp" Target="../ctrlProps/ctrlProp1656.xml"/><Relationship Id="rId1865" Type="http://schemas.openxmlformats.org/officeDocument/2006/relationships/ctrlProp" Target="../ctrlProps/ctrlProp1863.xml"/><Relationship Id="rId2709" Type="http://schemas.openxmlformats.org/officeDocument/2006/relationships/ctrlProp" Target="../ctrlProps/ctrlProp2707.xml"/><Relationship Id="rId1518" Type="http://schemas.openxmlformats.org/officeDocument/2006/relationships/ctrlProp" Target="../ctrlProps/ctrlProp1516.xml"/><Relationship Id="rId2916" Type="http://schemas.openxmlformats.org/officeDocument/2006/relationships/ctrlProp" Target="../ctrlProps/ctrlProp2914.xml"/><Relationship Id="rId3080" Type="http://schemas.openxmlformats.org/officeDocument/2006/relationships/ctrlProp" Target="../ctrlProps/ctrlProp3078.xml"/><Relationship Id="rId1725" Type="http://schemas.openxmlformats.org/officeDocument/2006/relationships/ctrlProp" Target="../ctrlProps/ctrlProp1723.xml"/><Relationship Id="rId1932" Type="http://schemas.openxmlformats.org/officeDocument/2006/relationships/ctrlProp" Target="../ctrlProps/ctrlProp1930.xml"/><Relationship Id="rId17" Type="http://schemas.openxmlformats.org/officeDocument/2006/relationships/ctrlProp" Target="../ctrlProps/ctrlProp15.xml"/><Relationship Id="rId2499" Type="http://schemas.openxmlformats.org/officeDocument/2006/relationships/ctrlProp" Target="../ctrlProps/ctrlProp2497.xml"/><Relationship Id="rId1" Type="http://schemas.openxmlformats.org/officeDocument/2006/relationships/drawing" Target="../drawings/drawing2.xml"/><Relationship Id="rId678" Type="http://schemas.openxmlformats.org/officeDocument/2006/relationships/ctrlProp" Target="../ctrlProps/ctrlProp676.xml"/><Relationship Id="rId885" Type="http://schemas.openxmlformats.org/officeDocument/2006/relationships/ctrlProp" Target="../ctrlProps/ctrlProp883.xml"/><Relationship Id="rId2359" Type="http://schemas.openxmlformats.org/officeDocument/2006/relationships/ctrlProp" Target="../ctrlProps/ctrlProp2357.xml"/><Relationship Id="rId2566" Type="http://schemas.openxmlformats.org/officeDocument/2006/relationships/ctrlProp" Target="../ctrlProps/ctrlProp2564.xml"/><Relationship Id="rId2773" Type="http://schemas.openxmlformats.org/officeDocument/2006/relationships/ctrlProp" Target="../ctrlProps/ctrlProp2771.xml"/><Relationship Id="rId2980" Type="http://schemas.openxmlformats.org/officeDocument/2006/relationships/ctrlProp" Target="../ctrlProps/ctrlProp2978.xml"/><Relationship Id="rId538" Type="http://schemas.openxmlformats.org/officeDocument/2006/relationships/ctrlProp" Target="../ctrlProps/ctrlProp536.xml"/><Relationship Id="rId745" Type="http://schemas.openxmlformats.org/officeDocument/2006/relationships/ctrlProp" Target="../ctrlProps/ctrlProp743.xml"/><Relationship Id="rId952" Type="http://schemas.openxmlformats.org/officeDocument/2006/relationships/ctrlProp" Target="../ctrlProps/ctrlProp950.xml"/><Relationship Id="rId1168" Type="http://schemas.openxmlformats.org/officeDocument/2006/relationships/ctrlProp" Target="../ctrlProps/ctrlProp1166.xml"/><Relationship Id="rId1375" Type="http://schemas.openxmlformats.org/officeDocument/2006/relationships/ctrlProp" Target="../ctrlProps/ctrlProp1373.xml"/><Relationship Id="rId1582" Type="http://schemas.openxmlformats.org/officeDocument/2006/relationships/ctrlProp" Target="../ctrlProps/ctrlProp1580.xml"/><Relationship Id="rId2219" Type="http://schemas.openxmlformats.org/officeDocument/2006/relationships/ctrlProp" Target="../ctrlProps/ctrlProp2217.xml"/><Relationship Id="rId2426" Type="http://schemas.openxmlformats.org/officeDocument/2006/relationships/ctrlProp" Target="../ctrlProps/ctrlProp2424.xml"/><Relationship Id="rId2633" Type="http://schemas.openxmlformats.org/officeDocument/2006/relationships/ctrlProp" Target="../ctrlProps/ctrlProp2631.xml"/><Relationship Id="rId81" Type="http://schemas.openxmlformats.org/officeDocument/2006/relationships/ctrlProp" Target="../ctrlProps/ctrlProp79.xml"/><Relationship Id="rId605" Type="http://schemas.openxmlformats.org/officeDocument/2006/relationships/ctrlProp" Target="../ctrlProps/ctrlProp603.xml"/><Relationship Id="rId812" Type="http://schemas.openxmlformats.org/officeDocument/2006/relationships/ctrlProp" Target="../ctrlProps/ctrlProp810.xml"/><Relationship Id="rId1028" Type="http://schemas.openxmlformats.org/officeDocument/2006/relationships/ctrlProp" Target="../ctrlProps/ctrlProp1026.xml"/><Relationship Id="rId1235" Type="http://schemas.openxmlformats.org/officeDocument/2006/relationships/ctrlProp" Target="../ctrlProps/ctrlProp1233.xml"/><Relationship Id="rId1442" Type="http://schemas.openxmlformats.org/officeDocument/2006/relationships/ctrlProp" Target="../ctrlProps/ctrlProp1440.xml"/><Relationship Id="rId1887" Type="http://schemas.openxmlformats.org/officeDocument/2006/relationships/ctrlProp" Target="../ctrlProps/ctrlProp1885.xml"/><Relationship Id="rId2840" Type="http://schemas.openxmlformats.org/officeDocument/2006/relationships/ctrlProp" Target="../ctrlProps/ctrlProp2838.xml"/><Relationship Id="rId2938" Type="http://schemas.openxmlformats.org/officeDocument/2006/relationships/ctrlProp" Target="../ctrlProps/ctrlProp2936.xml"/><Relationship Id="rId1302" Type="http://schemas.openxmlformats.org/officeDocument/2006/relationships/ctrlProp" Target="../ctrlProps/ctrlProp1300.xml"/><Relationship Id="rId1747" Type="http://schemas.openxmlformats.org/officeDocument/2006/relationships/ctrlProp" Target="../ctrlProps/ctrlProp1745.xml"/><Relationship Id="rId1954" Type="http://schemas.openxmlformats.org/officeDocument/2006/relationships/ctrlProp" Target="../ctrlProps/ctrlProp1952.xml"/><Relationship Id="rId2700" Type="http://schemas.openxmlformats.org/officeDocument/2006/relationships/ctrlProp" Target="../ctrlProps/ctrlProp2698.xml"/><Relationship Id="rId39" Type="http://schemas.openxmlformats.org/officeDocument/2006/relationships/ctrlProp" Target="../ctrlProps/ctrlProp37.xml"/><Relationship Id="rId1607" Type="http://schemas.openxmlformats.org/officeDocument/2006/relationships/ctrlProp" Target="../ctrlProps/ctrlProp1605.xml"/><Relationship Id="rId1814" Type="http://schemas.openxmlformats.org/officeDocument/2006/relationships/ctrlProp" Target="../ctrlProps/ctrlProp1812.xml"/><Relationship Id="rId3267" Type="http://schemas.openxmlformats.org/officeDocument/2006/relationships/table" Target="../tables/table78.xml"/><Relationship Id="rId188" Type="http://schemas.openxmlformats.org/officeDocument/2006/relationships/ctrlProp" Target="../ctrlProps/ctrlProp186.xml"/><Relationship Id="rId395" Type="http://schemas.openxmlformats.org/officeDocument/2006/relationships/ctrlProp" Target="../ctrlProps/ctrlProp393.xml"/><Relationship Id="rId2076" Type="http://schemas.openxmlformats.org/officeDocument/2006/relationships/ctrlProp" Target="../ctrlProps/ctrlProp2074.xml"/><Relationship Id="rId3474" Type="http://schemas.openxmlformats.org/officeDocument/2006/relationships/table" Target="../tables/table285.xml"/><Relationship Id="rId2283" Type="http://schemas.openxmlformats.org/officeDocument/2006/relationships/ctrlProp" Target="../ctrlProps/ctrlProp2281.xml"/><Relationship Id="rId2490" Type="http://schemas.openxmlformats.org/officeDocument/2006/relationships/ctrlProp" Target="../ctrlProps/ctrlProp2488.xml"/><Relationship Id="rId2588" Type="http://schemas.openxmlformats.org/officeDocument/2006/relationships/ctrlProp" Target="../ctrlProps/ctrlProp2586.xml"/><Relationship Id="rId3127" Type="http://schemas.openxmlformats.org/officeDocument/2006/relationships/ctrlProp" Target="../ctrlProps/ctrlProp3125.xml"/><Relationship Id="rId3334" Type="http://schemas.openxmlformats.org/officeDocument/2006/relationships/table" Target="../tables/table145.xml"/><Relationship Id="rId255" Type="http://schemas.openxmlformats.org/officeDocument/2006/relationships/ctrlProp" Target="../ctrlProps/ctrlProp253.xml"/><Relationship Id="rId462" Type="http://schemas.openxmlformats.org/officeDocument/2006/relationships/ctrlProp" Target="../ctrlProps/ctrlProp460.xml"/><Relationship Id="rId1092" Type="http://schemas.openxmlformats.org/officeDocument/2006/relationships/ctrlProp" Target="../ctrlProps/ctrlProp1090.xml"/><Relationship Id="rId1397" Type="http://schemas.openxmlformats.org/officeDocument/2006/relationships/ctrlProp" Target="../ctrlProps/ctrlProp1395.xml"/><Relationship Id="rId2143" Type="http://schemas.openxmlformats.org/officeDocument/2006/relationships/ctrlProp" Target="../ctrlProps/ctrlProp2141.xml"/><Relationship Id="rId2350" Type="http://schemas.openxmlformats.org/officeDocument/2006/relationships/ctrlProp" Target="../ctrlProps/ctrlProp2348.xml"/><Relationship Id="rId2795" Type="http://schemas.openxmlformats.org/officeDocument/2006/relationships/ctrlProp" Target="../ctrlProps/ctrlProp2793.xml"/><Relationship Id="rId3401" Type="http://schemas.openxmlformats.org/officeDocument/2006/relationships/table" Target="../tables/table212.xml"/><Relationship Id="rId115" Type="http://schemas.openxmlformats.org/officeDocument/2006/relationships/ctrlProp" Target="../ctrlProps/ctrlProp113.xml"/><Relationship Id="rId322" Type="http://schemas.openxmlformats.org/officeDocument/2006/relationships/ctrlProp" Target="../ctrlProps/ctrlProp320.xml"/><Relationship Id="rId767" Type="http://schemas.openxmlformats.org/officeDocument/2006/relationships/ctrlProp" Target="../ctrlProps/ctrlProp765.xml"/><Relationship Id="rId974" Type="http://schemas.openxmlformats.org/officeDocument/2006/relationships/ctrlProp" Target="../ctrlProps/ctrlProp972.xml"/><Relationship Id="rId2003" Type="http://schemas.openxmlformats.org/officeDocument/2006/relationships/ctrlProp" Target="../ctrlProps/ctrlProp2001.xml"/><Relationship Id="rId2210" Type="http://schemas.openxmlformats.org/officeDocument/2006/relationships/ctrlProp" Target="../ctrlProps/ctrlProp2208.xml"/><Relationship Id="rId2448" Type="http://schemas.openxmlformats.org/officeDocument/2006/relationships/ctrlProp" Target="../ctrlProps/ctrlProp2446.xml"/><Relationship Id="rId2655" Type="http://schemas.openxmlformats.org/officeDocument/2006/relationships/ctrlProp" Target="../ctrlProps/ctrlProp2653.xml"/><Relationship Id="rId2862" Type="http://schemas.openxmlformats.org/officeDocument/2006/relationships/ctrlProp" Target="../ctrlProps/ctrlProp2860.xml"/><Relationship Id="rId627" Type="http://schemas.openxmlformats.org/officeDocument/2006/relationships/ctrlProp" Target="../ctrlProps/ctrlProp625.xml"/><Relationship Id="rId834" Type="http://schemas.openxmlformats.org/officeDocument/2006/relationships/ctrlProp" Target="../ctrlProps/ctrlProp832.xml"/><Relationship Id="rId1257" Type="http://schemas.openxmlformats.org/officeDocument/2006/relationships/ctrlProp" Target="../ctrlProps/ctrlProp1255.xml"/><Relationship Id="rId1464" Type="http://schemas.openxmlformats.org/officeDocument/2006/relationships/ctrlProp" Target="../ctrlProps/ctrlProp1462.xml"/><Relationship Id="rId1671" Type="http://schemas.openxmlformats.org/officeDocument/2006/relationships/ctrlProp" Target="../ctrlProps/ctrlProp1669.xml"/><Relationship Id="rId2308" Type="http://schemas.openxmlformats.org/officeDocument/2006/relationships/ctrlProp" Target="../ctrlProps/ctrlProp2306.xml"/><Relationship Id="rId2515" Type="http://schemas.openxmlformats.org/officeDocument/2006/relationships/ctrlProp" Target="../ctrlProps/ctrlProp2513.xml"/><Relationship Id="rId2722" Type="http://schemas.openxmlformats.org/officeDocument/2006/relationships/ctrlProp" Target="../ctrlProps/ctrlProp2720.xml"/><Relationship Id="rId901" Type="http://schemas.openxmlformats.org/officeDocument/2006/relationships/ctrlProp" Target="../ctrlProps/ctrlProp899.xml"/><Relationship Id="rId1117" Type="http://schemas.openxmlformats.org/officeDocument/2006/relationships/ctrlProp" Target="../ctrlProps/ctrlProp1115.xml"/><Relationship Id="rId1324" Type="http://schemas.openxmlformats.org/officeDocument/2006/relationships/ctrlProp" Target="../ctrlProps/ctrlProp1322.xml"/><Relationship Id="rId1531" Type="http://schemas.openxmlformats.org/officeDocument/2006/relationships/ctrlProp" Target="../ctrlProps/ctrlProp1529.xml"/><Relationship Id="rId1769" Type="http://schemas.openxmlformats.org/officeDocument/2006/relationships/ctrlProp" Target="../ctrlProps/ctrlProp1767.xml"/><Relationship Id="rId1976" Type="http://schemas.openxmlformats.org/officeDocument/2006/relationships/ctrlProp" Target="../ctrlProps/ctrlProp1974.xml"/><Relationship Id="rId3191" Type="http://schemas.openxmlformats.org/officeDocument/2006/relationships/table" Target="../tables/table2.xml"/><Relationship Id="rId30" Type="http://schemas.openxmlformats.org/officeDocument/2006/relationships/ctrlProp" Target="../ctrlProps/ctrlProp28.xml"/><Relationship Id="rId1629" Type="http://schemas.openxmlformats.org/officeDocument/2006/relationships/ctrlProp" Target="../ctrlProps/ctrlProp1627.xml"/><Relationship Id="rId1836" Type="http://schemas.openxmlformats.org/officeDocument/2006/relationships/ctrlProp" Target="../ctrlProps/ctrlProp1834.xml"/><Relationship Id="rId3289" Type="http://schemas.openxmlformats.org/officeDocument/2006/relationships/table" Target="../tables/table100.xml"/><Relationship Id="rId3496" Type="http://schemas.openxmlformats.org/officeDocument/2006/relationships/table" Target="../tables/table307.xml"/><Relationship Id="rId1903" Type="http://schemas.openxmlformats.org/officeDocument/2006/relationships/ctrlProp" Target="../ctrlProps/ctrlProp1901.xml"/><Relationship Id="rId2098" Type="http://schemas.openxmlformats.org/officeDocument/2006/relationships/ctrlProp" Target="../ctrlProps/ctrlProp2096.xml"/><Relationship Id="rId3051" Type="http://schemas.openxmlformats.org/officeDocument/2006/relationships/ctrlProp" Target="../ctrlProps/ctrlProp3049.xml"/><Relationship Id="rId3149" Type="http://schemas.openxmlformats.org/officeDocument/2006/relationships/ctrlProp" Target="../ctrlProps/ctrlProp3147.xml"/><Relationship Id="rId3356" Type="http://schemas.openxmlformats.org/officeDocument/2006/relationships/table" Target="../tables/table167.xml"/><Relationship Id="rId277" Type="http://schemas.openxmlformats.org/officeDocument/2006/relationships/ctrlProp" Target="../ctrlProps/ctrlProp275.xml"/><Relationship Id="rId484" Type="http://schemas.openxmlformats.org/officeDocument/2006/relationships/ctrlProp" Target="../ctrlProps/ctrlProp482.xml"/><Relationship Id="rId2165" Type="http://schemas.openxmlformats.org/officeDocument/2006/relationships/ctrlProp" Target="../ctrlProps/ctrlProp2163.xml"/><Relationship Id="rId3009" Type="http://schemas.openxmlformats.org/officeDocument/2006/relationships/ctrlProp" Target="../ctrlProps/ctrlProp3007.xml"/><Relationship Id="rId3216" Type="http://schemas.openxmlformats.org/officeDocument/2006/relationships/table" Target="../tables/table27.xml"/><Relationship Id="rId137" Type="http://schemas.openxmlformats.org/officeDocument/2006/relationships/ctrlProp" Target="../ctrlProps/ctrlProp135.xml"/><Relationship Id="rId344" Type="http://schemas.openxmlformats.org/officeDocument/2006/relationships/ctrlProp" Target="../ctrlProps/ctrlProp342.xml"/><Relationship Id="rId691" Type="http://schemas.openxmlformats.org/officeDocument/2006/relationships/ctrlProp" Target="../ctrlProps/ctrlProp689.xml"/><Relationship Id="rId789" Type="http://schemas.openxmlformats.org/officeDocument/2006/relationships/ctrlProp" Target="../ctrlProps/ctrlProp787.xml"/><Relationship Id="rId996" Type="http://schemas.openxmlformats.org/officeDocument/2006/relationships/ctrlProp" Target="../ctrlProps/ctrlProp994.xml"/><Relationship Id="rId2025" Type="http://schemas.openxmlformats.org/officeDocument/2006/relationships/ctrlProp" Target="../ctrlProps/ctrlProp2023.xml"/><Relationship Id="rId2372" Type="http://schemas.openxmlformats.org/officeDocument/2006/relationships/ctrlProp" Target="../ctrlProps/ctrlProp2370.xml"/><Relationship Id="rId2677" Type="http://schemas.openxmlformats.org/officeDocument/2006/relationships/ctrlProp" Target="../ctrlProps/ctrlProp2675.xml"/><Relationship Id="rId2884" Type="http://schemas.openxmlformats.org/officeDocument/2006/relationships/ctrlProp" Target="../ctrlProps/ctrlProp2882.xml"/><Relationship Id="rId3423" Type="http://schemas.openxmlformats.org/officeDocument/2006/relationships/table" Target="../tables/table234.xml"/><Relationship Id="rId551" Type="http://schemas.openxmlformats.org/officeDocument/2006/relationships/ctrlProp" Target="../ctrlProps/ctrlProp549.xml"/><Relationship Id="rId649" Type="http://schemas.openxmlformats.org/officeDocument/2006/relationships/ctrlProp" Target="../ctrlProps/ctrlProp647.xml"/><Relationship Id="rId856" Type="http://schemas.openxmlformats.org/officeDocument/2006/relationships/ctrlProp" Target="../ctrlProps/ctrlProp854.xml"/><Relationship Id="rId1181" Type="http://schemas.openxmlformats.org/officeDocument/2006/relationships/ctrlProp" Target="../ctrlProps/ctrlProp1179.xml"/><Relationship Id="rId1279" Type="http://schemas.openxmlformats.org/officeDocument/2006/relationships/ctrlProp" Target="../ctrlProps/ctrlProp1277.xml"/><Relationship Id="rId1486" Type="http://schemas.openxmlformats.org/officeDocument/2006/relationships/ctrlProp" Target="../ctrlProps/ctrlProp1484.xml"/><Relationship Id="rId2232" Type="http://schemas.openxmlformats.org/officeDocument/2006/relationships/ctrlProp" Target="../ctrlProps/ctrlProp2230.xml"/><Relationship Id="rId2537" Type="http://schemas.openxmlformats.org/officeDocument/2006/relationships/ctrlProp" Target="../ctrlProps/ctrlProp2535.xml"/><Relationship Id="rId204" Type="http://schemas.openxmlformats.org/officeDocument/2006/relationships/ctrlProp" Target="../ctrlProps/ctrlProp202.xml"/><Relationship Id="rId411" Type="http://schemas.openxmlformats.org/officeDocument/2006/relationships/ctrlProp" Target="../ctrlProps/ctrlProp409.xml"/><Relationship Id="rId509" Type="http://schemas.openxmlformats.org/officeDocument/2006/relationships/ctrlProp" Target="../ctrlProps/ctrlProp507.xml"/><Relationship Id="rId1041" Type="http://schemas.openxmlformats.org/officeDocument/2006/relationships/ctrlProp" Target="../ctrlProps/ctrlProp1039.xml"/><Relationship Id="rId1139" Type="http://schemas.openxmlformats.org/officeDocument/2006/relationships/ctrlProp" Target="../ctrlProps/ctrlProp1137.xml"/><Relationship Id="rId1346" Type="http://schemas.openxmlformats.org/officeDocument/2006/relationships/ctrlProp" Target="../ctrlProps/ctrlProp1344.xml"/><Relationship Id="rId1693" Type="http://schemas.openxmlformats.org/officeDocument/2006/relationships/ctrlProp" Target="../ctrlProps/ctrlProp1691.xml"/><Relationship Id="rId1998" Type="http://schemas.openxmlformats.org/officeDocument/2006/relationships/ctrlProp" Target="../ctrlProps/ctrlProp1996.xml"/><Relationship Id="rId2744" Type="http://schemas.openxmlformats.org/officeDocument/2006/relationships/ctrlProp" Target="../ctrlProps/ctrlProp2742.xml"/><Relationship Id="rId2951" Type="http://schemas.openxmlformats.org/officeDocument/2006/relationships/ctrlProp" Target="../ctrlProps/ctrlProp2949.xml"/><Relationship Id="rId716" Type="http://schemas.openxmlformats.org/officeDocument/2006/relationships/ctrlProp" Target="../ctrlProps/ctrlProp714.xml"/><Relationship Id="rId923" Type="http://schemas.openxmlformats.org/officeDocument/2006/relationships/ctrlProp" Target="../ctrlProps/ctrlProp921.xml"/><Relationship Id="rId1553" Type="http://schemas.openxmlformats.org/officeDocument/2006/relationships/ctrlProp" Target="../ctrlProps/ctrlProp1551.xml"/><Relationship Id="rId1760" Type="http://schemas.openxmlformats.org/officeDocument/2006/relationships/ctrlProp" Target="../ctrlProps/ctrlProp1758.xml"/><Relationship Id="rId1858" Type="http://schemas.openxmlformats.org/officeDocument/2006/relationships/ctrlProp" Target="../ctrlProps/ctrlProp1856.xml"/><Relationship Id="rId2604" Type="http://schemas.openxmlformats.org/officeDocument/2006/relationships/ctrlProp" Target="../ctrlProps/ctrlProp2602.xml"/><Relationship Id="rId2811" Type="http://schemas.openxmlformats.org/officeDocument/2006/relationships/ctrlProp" Target="../ctrlProps/ctrlProp2809.xml"/><Relationship Id="rId52" Type="http://schemas.openxmlformats.org/officeDocument/2006/relationships/ctrlProp" Target="../ctrlProps/ctrlProp50.xml"/><Relationship Id="rId1206" Type="http://schemas.openxmlformats.org/officeDocument/2006/relationships/ctrlProp" Target="../ctrlProps/ctrlProp1204.xml"/><Relationship Id="rId1413" Type="http://schemas.openxmlformats.org/officeDocument/2006/relationships/ctrlProp" Target="../ctrlProps/ctrlProp1411.xml"/><Relationship Id="rId1620" Type="http://schemas.openxmlformats.org/officeDocument/2006/relationships/ctrlProp" Target="../ctrlProps/ctrlProp1618.xml"/><Relationship Id="rId2909" Type="http://schemas.openxmlformats.org/officeDocument/2006/relationships/ctrlProp" Target="../ctrlProps/ctrlProp2907.xml"/><Relationship Id="rId3073" Type="http://schemas.openxmlformats.org/officeDocument/2006/relationships/ctrlProp" Target="../ctrlProps/ctrlProp3071.xml"/><Relationship Id="rId3280" Type="http://schemas.openxmlformats.org/officeDocument/2006/relationships/table" Target="../tables/table91.xml"/><Relationship Id="rId1718" Type="http://schemas.openxmlformats.org/officeDocument/2006/relationships/ctrlProp" Target="../ctrlProps/ctrlProp1716.xml"/><Relationship Id="rId1925" Type="http://schemas.openxmlformats.org/officeDocument/2006/relationships/ctrlProp" Target="../ctrlProps/ctrlProp1923.xml"/><Relationship Id="rId3140" Type="http://schemas.openxmlformats.org/officeDocument/2006/relationships/ctrlProp" Target="../ctrlProps/ctrlProp3138.xml"/><Relationship Id="rId3378" Type="http://schemas.openxmlformats.org/officeDocument/2006/relationships/table" Target="../tables/table189.xml"/><Relationship Id="rId299" Type="http://schemas.openxmlformats.org/officeDocument/2006/relationships/ctrlProp" Target="../ctrlProps/ctrlProp297.xml"/><Relationship Id="rId2187" Type="http://schemas.openxmlformats.org/officeDocument/2006/relationships/ctrlProp" Target="../ctrlProps/ctrlProp2185.xml"/><Relationship Id="rId2394" Type="http://schemas.openxmlformats.org/officeDocument/2006/relationships/ctrlProp" Target="../ctrlProps/ctrlProp2392.xml"/><Relationship Id="rId3238" Type="http://schemas.openxmlformats.org/officeDocument/2006/relationships/table" Target="../tables/table49.xml"/><Relationship Id="rId3445" Type="http://schemas.openxmlformats.org/officeDocument/2006/relationships/table" Target="../tables/table256.xml"/><Relationship Id="rId159" Type="http://schemas.openxmlformats.org/officeDocument/2006/relationships/ctrlProp" Target="../ctrlProps/ctrlProp157.xml"/><Relationship Id="rId366" Type="http://schemas.openxmlformats.org/officeDocument/2006/relationships/ctrlProp" Target="../ctrlProps/ctrlProp364.xml"/><Relationship Id="rId573" Type="http://schemas.openxmlformats.org/officeDocument/2006/relationships/ctrlProp" Target="../ctrlProps/ctrlProp571.xml"/><Relationship Id="rId780" Type="http://schemas.openxmlformats.org/officeDocument/2006/relationships/ctrlProp" Target="../ctrlProps/ctrlProp778.xml"/><Relationship Id="rId2047" Type="http://schemas.openxmlformats.org/officeDocument/2006/relationships/ctrlProp" Target="../ctrlProps/ctrlProp2045.xml"/><Relationship Id="rId2254" Type="http://schemas.openxmlformats.org/officeDocument/2006/relationships/ctrlProp" Target="../ctrlProps/ctrlProp2252.xml"/><Relationship Id="rId2461" Type="http://schemas.openxmlformats.org/officeDocument/2006/relationships/ctrlProp" Target="../ctrlProps/ctrlProp2459.xml"/><Relationship Id="rId2699" Type="http://schemas.openxmlformats.org/officeDocument/2006/relationships/ctrlProp" Target="../ctrlProps/ctrlProp2697.xml"/><Relationship Id="rId3000" Type="http://schemas.openxmlformats.org/officeDocument/2006/relationships/ctrlProp" Target="../ctrlProps/ctrlProp2998.xml"/><Relationship Id="rId3305" Type="http://schemas.openxmlformats.org/officeDocument/2006/relationships/table" Target="../tables/table116.xml"/><Relationship Id="rId3512" Type="http://schemas.openxmlformats.org/officeDocument/2006/relationships/comments" Target="../comments1.xml"/><Relationship Id="rId226" Type="http://schemas.openxmlformats.org/officeDocument/2006/relationships/ctrlProp" Target="../ctrlProps/ctrlProp224.xml"/><Relationship Id="rId433" Type="http://schemas.openxmlformats.org/officeDocument/2006/relationships/ctrlProp" Target="../ctrlProps/ctrlProp431.xml"/><Relationship Id="rId878" Type="http://schemas.openxmlformats.org/officeDocument/2006/relationships/ctrlProp" Target="../ctrlProps/ctrlProp876.xml"/><Relationship Id="rId1063" Type="http://schemas.openxmlformats.org/officeDocument/2006/relationships/ctrlProp" Target="../ctrlProps/ctrlProp1061.xml"/><Relationship Id="rId1270" Type="http://schemas.openxmlformats.org/officeDocument/2006/relationships/ctrlProp" Target="../ctrlProps/ctrlProp1268.xml"/><Relationship Id="rId2114" Type="http://schemas.openxmlformats.org/officeDocument/2006/relationships/ctrlProp" Target="../ctrlProps/ctrlProp2112.xml"/><Relationship Id="rId2559" Type="http://schemas.openxmlformats.org/officeDocument/2006/relationships/ctrlProp" Target="../ctrlProps/ctrlProp2557.xml"/><Relationship Id="rId2766" Type="http://schemas.openxmlformats.org/officeDocument/2006/relationships/ctrlProp" Target="../ctrlProps/ctrlProp2764.xml"/><Relationship Id="rId2973" Type="http://schemas.openxmlformats.org/officeDocument/2006/relationships/ctrlProp" Target="../ctrlProps/ctrlProp2971.xml"/><Relationship Id="rId640" Type="http://schemas.openxmlformats.org/officeDocument/2006/relationships/ctrlProp" Target="../ctrlProps/ctrlProp638.xml"/><Relationship Id="rId738" Type="http://schemas.openxmlformats.org/officeDocument/2006/relationships/ctrlProp" Target="../ctrlProps/ctrlProp736.xml"/><Relationship Id="rId945" Type="http://schemas.openxmlformats.org/officeDocument/2006/relationships/ctrlProp" Target="../ctrlProps/ctrlProp943.xml"/><Relationship Id="rId1368" Type="http://schemas.openxmlformats.org/officeDocument/2006/relationships/ctrlProp" Target="../ctrlProps/ctrlProp1366.xml"/><Relationship Id="rId1575" Type="http://schemas.openxmlformats.org/officeDocument/2006/relationships/ctrlProp" Target="../ctrlProps/ctrlProp1573.xml"/><Relationship Id="rId1782" Type="http://schemas.openxmlformats.org/officeDocument/2006/relationships/ctrlProp" Target="../ctrlProps/ctrlProp1780.xml"/><Relationship Id="rId2321" Type="http://schemas.openxmlformats.org/officeDocument/2006/relationships/ctrlProp" Target="../ctrlProps/ctrlProp2319.xml"/><Relationship Id="rId2419" Type="http://schemas.openxmlformats.org/officeDocument/2006/relationships/ctrlProp" Target="../ctrlProps/ctrlProp2417.xml"/><Relationship Id="rId2626" Type="http://schemas.openxmlformats.org/officeDocument/2006/relationships/ctrlProp" Target="../ctrlProps/ctrlProp2624.xml"/><Relationship Id="rId2833" Type="http://schemas.openxmlformats.org/officeDocument/2006/relationships/ctrlProp" Target="../ctrlProps/ctrlProp2831.xml"/><Relationship Id="rId74" Type="http://schemas.openxmlformats.org/officeDocument/2006/relationships/ctrlProp" Target="../ctrlProps/ctrlProp72.xml"/><Relationship Id="rId500" Type="http://schemas.openxmlformats.org/officeDocument/2006/relationships/ctrlProp" Target="../ctrlProps/ctrlProp498.xml"/><Relationship Id="rId805" Type="http://schemas.openxmlformats.org/officeDocument/2006/relationships/ctrlProp" Target="../ctrlProps/ctrlProp803.xml"/><Relationship Id="rId1130" Type="http://schemas.openxmlformats.org/officeDocument/2006/relationships/ctrlProp" Target="../ctrlProps/ctrlProp1128.xml"/><Relationship Id="rId1228" Type="http://schemas.openxmlformats.org/officeDocument/2006/relationships/ctrlProp" Target="../ctrlProps/ctrlProp1226.xml"/><Relationship Id="rId1435" Type="http://schemas.openxmlformats.org/officeDocument/2006/relationships/ctrlProp" Target="../ctrlProps/ctrlProp1433.xml"/><Relationship Id="rId1642" Type="http://schemas.openxmlformats.org/officeDocument/2006/relationships/ctrlProp" Target="../ctrlProps/ctrlProp1640.xml"/><Relationship Id="rId1947" Type="http://schemas.openxmlformats.org/officeDocument/2006/relationships/ctrlProp" Target="../ctrlProps/ctrlProp1945.xml"/><Relationship Id="rId2900" Type="http://schemas.openxmlformats.org/officeDocument/2006/relationships/ctrlProp" Target="../ctrlProps/ctrlProp2898.xml"/><Relationship Id="rId3095" Type="http://schemas.openxmlformats.org/officeDocument/2006/relationships/ctrlProp" Target="../ctrlProps/ctrlProp3093.xml"/><Relationship Id="rId1502" Type="http://schemas.openxmlformats.org/officeDocument/2006/relationships/ctrlProp" Target="../ctrlProps/ctrlProp1500.xml"/><Relationship Id="rId1807" Type="http://schemas.openxmlformats.org/officeDocument/2006/relationships/ctrlProp" Target="../ctrlProps/ctrlProp1805.xml"/><Relationship Id="rId3162" Type="http://schemas.openxmlformats.org/officeDocument/2006/relationships/ctrlProp" Target="../ctrlProps/ctrlProp3160.xml"/><Relationship Id="rId290" Type="http://schemas.openxmlformats.org/officeDocument/2006/relationships/ctrlProp" Target="../ctrlProps/ctrlProp288.xml"/><Relationship Id="rId388" Type="http://schemas.openxmlformats.org/officeDocument/2006/relationships/ctrlProp" Target="../ctrlProps/ctrlProp386.xml"/><Relationship Id="rId2069" Type="http://schemas.openxmlformats.org/officeDocument/2006/relationships/ctrlProp" Target="../ctrlProps/ctrlProp2067.xml"/><Relationship Id="rId3022" Type="http://schemas.openxmlformats.org/officeDocument/2006/relationships/ctrlProp" Target="../ctrlProps/ctrlProp3020.xml"/><Relationship Id="rId3467" Type="http://schemas.openxmlformats.org/officeDocument/2006/relationships/table" Target="../tables/table278.xml"/><Relationship Id="rId150" Type="http://schemas.openxmlformats.org/officeDocument/2006/relationships/ctrlProp" Target="../ctrlProps/ctrlProp148.xml"/><Relationship Id="rId595" Type="http://schemas.openxmlformats.org/officeDocument/2006/relationships/ctrlProp" Target="../ctrlProps/ctrlProp593.xml"/><Relationship Id="rId2276" Type="http://schemas.openxmlformats.org/officeDocument/2006/relationships/ctrlProp" Target="../ctrlProps/ctrlProp2274.xml"/><Relationship Id="rId2483" Type="http://schemas.openxmlformats.org/officeDocument/2006/relationships/ctrlProp" Target="../ctrlProps/ctrlProp2481.xml"/><Relationship Id="rId2690" Type="http://schemas.openxmlformats.org/officeDocument/2006/relationships/ctrlProp" Target="../ctrlProps/ctrlProp2688.xml"/><Relationship Id="rId3327" Type="http://schemas.openxmlformats.org/officeDocument/2006/relationships/table" Target="../tables/table138.xml"/><Relationship Id="rId248" Type="http://schemas.openxmlformats.org/officeDocument/2006/relationships/ctrlProp" Target="../ctrlProps/ctrlProp246.xml"/><Relationship Id="rId455" Type="http://schemas.openxmlformats.org/officeDocument/2006/relationships/ctrlProp" Target="../ctrlProps/ctrlProp453.xml"/><Relationship Id="rId662" Type="http://schemas.openxmlformats.org/officeDocument/2006/relationships/ctrlProp" Target="../ctrlProps/ctrlProp660.xml"/><Relationship Id="rId1085" Type="http://schemas.openxmlformats.org/officeDocument/2006/relationships/ctrlProp" Target="../ctrlProps/ctrlProp1083.xml"/><Relationship Id="rId1292" Type="http://schemas.openxmlformats.org/officeDocument/2006/relationships/ctrlProp" Target="../ctrlProps/ctrlProp1290.xml"/><Relationship Id="rId2136" Type="http://schemas.openxmlformats.org/officeDocument/2006/relationships/ctrlProp" Target="../ctrlProps/ctrlProp2134.xml"/><Relationship Id="rId2343" Type="http://schemas.openxmlformats.org/officeDocument/2006/relationships/ctrlProp" Target="../ctrlProps/ctrlProp2341.xml"/><Relationship Id="rId2550" Type="http://schemas.openxmlformats.org/officeDocument/2006/relationships/ctrlProp" Target="../ctrlProps/ctrlProp2548.xml"/><Relationship Id="rId2788" Type="http://schemas.openxmlformats.org/officeDocument/2006/relationships/ctrlProp" Target="../ctrlProps/ctrlProp2786.xml"/><Relationship Id="rId2995" Type="http://schemas.openxmlformats.org/officeDocument/2006/relationships/ctrlProp" Target="../ctrlProps/ctrlProp2993.xml"/><Relationship Id="rId108" Type="http://schemas.openxmlformats.org/officeDocument/2006/relationships/ctrlProp" Target="../ctrlProps/ctrlProp106.xml"/><Relationship Id="rId315" Type="http://schemas.openxmlformats.org/officeDocument/2006/relationships/ctrlProp" Target="../ctrlProps/ctrlProp313.xml"/><Relationship Id="rId522" Type="http://schemas.openxmlformats.org/officeDocument/2006/relationships/ctrlProp" Target="../ctrlProps/ctrlProp520.xml"/><Relationship Id="rId967" Type="http://schemas.openxmlformats.org/officeDocument/2006/relationships/ctrlProp" Target="../ctrlProps/ctrlProp965.xml"/><Relationship Id="rId1152" Type="http://schemas.openxmlformats.org/officeDocument/2006/relationships/ctrlProp" Target="../ctrlProps/ctrlProp1150.xml"/><Relationship Id="rId1597" Type="http://schemas.openxmlformats.org/officeDocument/2006/relationships/ctrlProp" Target="../ctrlProps/ctrlProp1595.xml"/><Relationship Id="rId2203" Type="http://schemas.openxmlformats.org/officeDocument/2006/relationships/ctrlProp" Target="../ctrlProps/ctrlProp2201.xml"/><Relationship Id="rId2410" Type="http://schemas.openxmlformats.org/officeDocument/2006/relationships/ctrlProp" Target="../ctrlProps/ctrlProp2408.xml"/><Relationship Id="rId2648" Type="http://schemas.openxmlformats.org/officeDocument/2006/relationships/ctrlProp" Target="../ctrlProps/ctrlProp2646.xml"/><Relationship Id="rId2855" Type="http://schemas.openxmlformats.org/officeDocument/2006/relationships/ctrlProp" Target="../ctrlProps/ctrlProp2853.xml"/><Relationship Id="rId96" Type="http://schemas.openxmlformats.org/officeDocument/2006/relationships/ctrlProp" Target="../ctrlProps/ctrlProp94.xml"/><Relationship Id="rId827" Type="http://schemas.openxmlformats.org/officeDocument/2006/relationships/ctrlProp" Target="../ctrlProps/ctrlProp825.xml"/><Relationship Id="rId1012" Type="http://schemas.openxmlformats.org/officeDocument/2006/relationships/ctrlProp" Target="../ctrlProps/ctrlProp1010.xml"/><Relationship Id="rId1457" Type="http://schemas.openxmlformats.org/officeDocument/2006/relationships/ctrlProp" Target="../ctrlProps/ctrlProp1455.xml"/><Relationship Id="rId1664" Type="http://schemas.openxmlformats.org/officeDocument/2006/relationships/ctrlProp" Target="../ctrlProps/ctrlProp1662.xml"/><Relationship Id="rId1871" Type="http://schemas.openxmlformats.org/officeDocument/2006/relationships/ctrlProp" Target="../ctrlProps/ctrlProp1869.xml"/><Relationship Id="rId2508" Type="http://schemas.openxmlformats.org/officeDocument/2006/relationships/ctrlProp" Target="../ctrlProps/ctrlProp2506.xml"/><Relationship Id="rId2715" Type="http://schemas.openxmlformats.org/officeDocument/2006/relationships/ctrlProp" Target="../ctrlProps/ctrlProp2713.xml"/><Relationship Id="rId2922" Type="http://schemas.openxmlformats.org/officeDocument/2006/relationships/ctrlProp" Target="../ctrlProps/ctrlProp2920.xml"/><Relationship Id="rId1317" Type="http://schemas.openxmlformats.org/officeDocument/2006/relationships/ctrlProp" Target="../ctrlProps/ctrlProp1315.xml"/><Relationship Id="rId1524" Type="http://schemas.openxmlformats.org/officeDocument/2006/relationships/ctrlProp" Target="../ctrlProps/ctrlProp1522.xml"/><Relationship Id="rId1731" Type="http://schemas.openxmlformats.org/officeDocument/2006/relationships/ctrlProp" Target="../ctrlProps/ctrlProp1729.xml"/><Relationship Id="rId1969" Type="http://schemas.openxmlformats.org/officeDocument/2006/relationships/ctrlProp" Target="../ctrlProps/ctrlProp1967.xml"/><Relationship Id="rId3184" Type="http://schemas.openxmlformats.org/officeDocument/2006/relationships/ctrlProp" Target="../ctrlProps/ctrlProp3182.xml"/><Relationship Id="rId23" Type="http://schemas.openxmlformats.org/officeDocument/2006/relationships/ctrlProp" Target="../ctrlProps/ctrlProp21.xml"/><Relationship Id="rId1829" Type="http://schemas.openxmlformats.org/officeDocument/2006/relationships/ctrlProp" Target="../ctrlProps/ctrlProp1827.xml"/><Relationship Id="rId3391" Type="http://schemas.openxmlformats.org/officeDocument/2006/relationships/table" Target="../tables/table202.xml"/><Relationship Id="rId3489" Type="http://schemas.openxmlformats.org/officeDocument/2006/relationships/table" Target="../tables/table300.xml"/><Relationship Id="rId2298" Type="http://schemas.openxmlformats.org/officeDocument/2006/relationships/ctrlProp" Target="../ctrlProps/ctrlProp2296.xml"/><Relationship Id="rId3044" Type="http://schemas.openxmlformats.org/officeDocument/2006/relationships/ctrlProp" Target="../ctrlProps/ctrlProp3042.xml"/><Relationship Id="rId3251" Type="http://schemas.openxmlformats.org/officeDocument/2006/relationships/table" Target="../tables/table62.xml"/><Relationship Id="rId3349" Type="http://schemas.openxmlformats.org/officeDocument/2006/relationships/table" Target="../tables/table160.xml"/><Relationship Id="rId172" Type="http://schemas.openxmlformats.org/officeDocument/2006/relationships/ctrlProp" Target="../ctrlProps/ctrlProp170.xml"/><Relationship Id="rId477" Type="http://schemas.openxmlformats.org/officeDocument/2006/relationships/ctrlProp" Target="../ctrlProps/ctrlProp475.xml"/><Relationship Id="rId684" Type="http://schemas.openxmlformats.org/officeDocument/2006/relationships/ctrlProp" Target="../ctrlProps/ctrlProp682.xml"/><Relationship Id="rId2060" Type="http://schemas.openxmlformats.org/officeDocument/2006/relationships/ctrlProp" Target="../ctrlProps/ctrlProp2058.xml"/><Relationship Id="rId2158" Type="http://schemas.openxmlformats.org/officeDocument/2006/relationships/ctrlProp" Target="../ctrlProps/ctrlProp2156.xml"/><Relationship Id="rId2365" Type="http://schemas.openxmlformats.org/officeDocument/2006/relationships/ctrlProp" Target="../ctrlProps/ctrlProp2363.xml"/><Relationship Id="rId3111" Type="http://schemas.openxmlformats.org/officeDocument/2006/relationships/ctrlProp" Target="../ctrlProps/ctrlProp3109.xml"/><Relationship Id="rId3209" Type="http://schemas.openxmlformats.org/officeDocument/2006/relationships/table" Target="../tables/table20.xml"/><Relationship Id="rId337" Type="http://schemas.openxmlformats.org/officeDocument/2006/relationships/ctrlProp" Target="../ctrlProps/ctrlProp335.xml"/><Relationship Id="rId891" Type="http://schemas.openxmlformats.org/officeDocument/2006/relationships/ctrlProp" Target="../ctrlProps/ctrlProp889.xml"/><Relationship Id="rId989" Type="http://schemas.openxmlformats.org/officeDocument/2006/relationships/ctrlProp" Target="../ctrlProps/ctrlProp987.xml"/><Relationship Id="rId2018" Type="http://schemas.openxmlformats.org/officeDocument/2006/relationships/ctrlProp" Target="../ctrlProps/ctrlProp2016.xml"/><Relationship Id="rId2572" Type="http://schemas.openxmlformats.org/officeDocument/2006/relationships/ctrlProp" Target="../ctrlProps/ctrlProp2570.xml"/><Relationship Id="rId2877" Type="http://schemas.openxmlformats.org/officeDocument/2006/relationships/ctrlProp" Target="../ctrlProps/ctrlProp2875.xml"/><Relationship Id="rId3416" Type="http://schemas.openxmlformats.org/officeDocument/2006/relationships/table" Target="../tables/table227.xml"/><Relationship Id="rId544" Type="http://schemas.openxmlformats.org/officeDocument/2006/relationships/ctrlProp" Target="../ctrlProps/ctrlProp542.xml"/><Relationship Id="rId751" Type="http://schemas.openxmlformats.org/officeDocument/2006/relationships/ctrlProp" Target="../ctrlProps/ctrlProp749.xml"/><Relationship Id="rId849" Type="http://schemas.openxmlformats.org/officeDocument/2006/relationships/ctrlProp" Target="../ctrlProps/ctrlProp847.xml"/><Relationship Id="rId1174" Type="http://schemas.openxmlformats.org/officeDocument/2006/relationships/ctrlProp" Target="../ctrlProps/ctrlProp1172.xml"/><Relationship Id="rId1381" Type="http://schemas.openxmlformats.org/officeDocument/2006/relationships/ctrlProp" Target="../ctrlProps/ctrlProp1379.xml"/><Relationship Id="rId1479" Type="http://schemas.openxmlformats.org/officeDocument/2006/relationships/ctrlProp" Target="../ctrlProps/ctrlProp1477.xml"/><Relationship Id="rId1686" Type="http://schemas.openxmlformats.org/officeDocument/2006/relationships/ctrlProp" Target="../ctrlProps/ctrlProp1684.xml"/><Relationship Id="rId2225" Type="http://schemas.openxmlformats.org/officeDocument/2006/relationships/ctrlProp" Target="../ctrlProps/ctrlProp2223.xml"/><Relationship Id="rId2432" Type="http://schemas.openxmlformats.org/officeDocument/2006/relationships/ctrlProp" Target="../ctrlProps/ctrlProp2430.xml"/><Relationship Id="rId404" Type="http://schemas.openxmlformats.org/officeDocument/2006/relationships/ctrlProp" Target="../ctrlProps/ctrlProp402.xml"/><Relationship Id="rId611" Type="http://schemas.openxmlformats.org/officeDocument/2006/relationships/ctrlProp" Target="../ctrlProps/ctrlProp609.xml"/><Relationship Id="rId1034" Type="http://schemas.openxmlformats.org/officeDocument/2006/relationships/ctrlProp" Target="../ctrlProps/ctrlProp1032.xml"/><Relationship Id="rId1241" Type="http://schemas.openxmlformats.org/officeDocument/2006/relationships/ctrlProp" Target="../ctrlProps/ctrlProp1239.xml"/><Relationship Id="rId1339" Type="http://schemas.openxmlformats.org/officeDocument/2006/relationships/ctrlProp" Target="../ctrlProps/ctrlProp1337.xml"/><Relationship Id="rId1893" Type="http://schemas.openxmlformats.org/officeDocument/2006/relationships/ctrlProp" Target="../ctrlProps/ctrlProp1891.xml"/><Relationship Id="rId2737" Type="http://schemas.openxmlformats.org/officeDocument/2006/relationships/ctrlProp" Target="../ctrlProps/ctrlProp2735.xml"/><Relationship Id="rId2944" Type="http://schemas.openxmlformats.org/officeDocument/2006/relationships/ctrlProp" Target="../ctrlProps/ctrlProp2942.xml"/><Relationship Id="rId709" Type="http://schemas.openxmlformats.org/officeDocument/2006/relationships/ctrlProp" Target="../ctrlProps/ctrlProp707.xml"/><Relationship Id="rId916" Type="http://schemas.openxmlformats.org/officeDocument/2006/relationships/ctrlProp" Target="../ctrlProps/ctrlProp914.xml"/><Relationship Id="rId1101" Type="http://schemas.openxmlformats.org/officeDocument/2006/relationships/ctrlProp" Target="../ctrlProps/ctrlProp1099.xml"/><Relationship Id="rId1546" Type="http://schemas.openxmlformats.org/officeDocument/2006/relationships/ctrlProp" Target="../ctrlProps/ctrlProp1544.xml"/><Relationship Id="rId1753" Type="http://schemas.openxmlformats.org/officeDocument/2006/relationships/ctrlProp" Target="../ctrlProps/ctrlProp1751.xml"/><Relationship Id="rId1960" Type="http://schemas.openxmlformats.org/officeDocument/2006/relationships/ctrlProp" Target="../ctrlProps/ctrlProp1958.xml"/><Relationship Id="rId2804" Type="http://schemas.openxmlformats.org/officeDocument/2006/relationships/ctrlProp" Target="../ctrlProps/ctrlProp2802.xml"/><Relationship Id="rId45" Type="http://schemas.openxmlformats.org/officeDocument/2006/relationships/ctrlProp" Target="../ctrlProps/ctrlProp43.xml"/><Relationship Id="rId1406" Type="http://schemas.openxmlformats.org/officeDocument/2006/relationships/ctrlProp" Target="../ctrlProps/ctrlProp1404.xml"/><Relationship Id="rId1613" Type="http://schemas.openxmlformats.org/officeDocument/2006/relationships/ctrlProp" Target="../ctrlProps/ctrlProp1611.xml"/><Relationship Id="rId1820" Type="http://schemas.openxmlformats.org/officeDocument/2006/relationships/ctrlProp" Target="../ctrlProps/ctrlProp1818.xml"/><Relationship Id="rId3066" Type="http://schemas.openxmlformats.org/officeDocument/2006/relationships/ctrlProp" Target="../ctrlProps/ctrlProp3064.xml"/><Relationship Id="rId3273" Type="http://schemas.openxmlformats.org/officeDocument/2006/relationships/table" Target="../tables/table84.xml"/><Relationship Id="rId3480" Type="http://schemas.openxmlformats.org/officeDocument/2006/relationships/table" Target="../tables/table291.xml"/><Relationship Id="rId194" Type="http://schemas.openxmlformats.org/officeDocument/2006/relationships/ctrlProp" Target="../ctrlProps/ctrlProp192.xml"/><Relationship Id="rId1918" Type="http://schemas.openxmlformats.org/officeDocument/2006/relationships/ctrlProp" Target="../ctrlProps/ctrlProp1916.xml"/><Relationship Id="rId2082" Type="http://schemas.openxmlformats.org/officeDocument/2006/relationships/ctrlProp" Target="../ctrlProps/ctrlProp2080.xml"/><Relationship Id="rId3133" Type="http://schemas.openxmlformats.org/officeDocument/2006/relationships/ctrlProp" Target="../ctrlProps/ctrlProp3131.xml"/><Relationship Id="rId261" Type="http://schemas.openxmlformats.org/officeDocument/2006/relationships/ctrlProp" Target="../ctrlProps/ctrlProp259.xml"/><Relationship Id="rId499" Type="http://schemas.openxmlformats.org/officeDocument/2006/relationships/ctrlProp" Target="../ctrlProps/ctrlProp497.xml"/><Relationship Id="rId2387" Type="http://schemas.openxmlformats.org/officeDocument/2006/relationships/ctrlProp" Target="../ctrlProps/ctrlProp2385.xml"/><Relationship Id="rId2594" Type="http://schemas.openxmlformats.org/officeDocument/2006/relationships/ctrlProp" Target="../ctrlProps/ctrlProp2592.xml"/><Relationship Id="rId3340" Type="http://schemas.openxmlformats.org/officeDocument/2006/relationships/table" Target="../tables/table151.xml"/><Relationship Id="rId3438" Type="http://schemas.openxmlformats.org/officeDocument/2006/relationships/table" Target="../tables/table249.xml"/><Relationship Id="rId359" Type="http://schemas.openxmlformats.org/officeDocument/2006/relationships/ctrlProp" Target="../ctrlProps/ctrlProp357.xml"/><Relationship Id="rId566" Type="http://schemas.openxmlformats.org/officeDocument/2006/relationships/ctrlProp" Target="../ctrlProps/ctrlProp564.xml"/><Relationship Id="rId773" Type="http://schemas.openxmlformats.org/officeDocument/2006/relationships/ctrlProp" Target="../ctrlProps/ctrlProp771.xml"/><Relationship Id="rId1196" Type="http://schemas.openxmlformats.org/officeDocument/2006/relationships/ctrlProp" Target="../ctrlProps/ctrlProp1194.xml"/><Relationship Id="rId2247" Type="http://schemas.openxmlformats.org/officeDocument/2006/relationships/ctrlProp" Target="../ctrlProps/ctrlProp2245.xml"/><Relationship Id="rId2454" Type="http://schemas.openxmlformats.org/officeDocument/2006/relationships/ctrlProp" Target="../ctrlProps/ctrlProp2452.xml"/><Relationship Id="rId2899" Type="http://schemas.openxmlformats.org/officeDocument/2006/relationships/ctrlProp" Target="../ctrlProps/ctrlProp2897.xml"/><Relationship Id="rId3200" Type="http://schemas.openxmlformats.org/officeDocument/2006/relationships/table" Target="../tables/table11.xml"/><Relationship Id="rId3505" Type="http://schemas.openxmlformats.org/officeDocument/2006/relationships/table" Target="../tables/table316.xml"/><Relationship Id="rId121" Type="http://schemas.openxmlformats.org/officeDocument/2006/relationships/ctrlProp" Target="../ctrlProps/ctrlProp119.xml"/><Relationship Id="rId219" Type="http://schemas.openxmlformats.org/officeDocument/2006/relationships/ctrlProp" Target="../ctrlProps/ctrlProp217.xml"/><Relationship Id="rId426" Type="http://schemas.openxmlformats.org/officeDocument/2006/relationships/ctrlProp" Target="../ctrlProps/ctrlProp424.xml"/><Relationship Id="rId633" Type="http://schemas.openxmlformats.org/officeDocument/2006/relationships/ctrlProp" Target="../ctrlProps/ctrlProp631.xml"/><Relationship Id="rId980" Type="http://schemas.openxmlformats.org/officeDocument/2006/relationships/ctrlProp" Target="../ctrlProps/ctrlProp978.xml"/><Relationship Id="rId1056" Type="http://schemas.openxmlformats.org/officeDocument/2006/relationships/ctrlProp" Target="../ctrlProps/ctrlProp1054.xml"/><Relationship Id="rId1263" Type="http://schemas.openxmlformats.org/officeDocument/2006/relationships/ctrlProp" Target="../ctrlProps/ctrlProp1261.xml"/><Relationship Id="rId2107" Type="http://schemas.openxmlformats.org/officeDocument/2006/relationships/ctrlProp" Target="../ctrlProps/ctrlProp2105.xml"/><Relationship Id="rId2314" Type="http://schemas.openxmlformats.org/officeDocument/2006/relationships/ctrlProp" Target="../ctrlProps/ctrlProp2312.xml"/><Relationship Id="rId2661" Type="http://schemas.openxmlformats.org/officeDocument/2006/relationships/ctrlProp" Target="../ctrlProps/ctrlProp2659.xml"/><Relationship Id="rId2759" Type="http://schemas.openxmlformats.org/officeDocument/2006/relationships/ctrlProp" Target="../ctrlProps/ctrlProp2757.xml"/><Relationship Id="rId2966" Type="http://schemas.openxmlformats.org/officeDocument/2006/relationships/ctrlProp" Target="../ctrlProps/ctrlProp2964.xml"/><Relationship Id="rId840" Type="http://schemas.openxmlformats.org/officeDocument/2006/relationships/ctrlProp" Target="../ctrlProps/ctrlProp838.xml"/><Relationship Id="rId938" Type="http://schemas.openxmlformats.org/officeDocument/2006/relationships/ctrlProp" Target="../ctrlProps/ctrlProp936.xml"/><Relationship Id="rId1470" Type="http://schemas.openxmlformats.org/officeDocument/2006/relationships/ctrlProp" Target="../ctrlProps/ctrlProp1468.xml"/><Relationship Id="rId1568" Type="http://schemas.openxmlformats.org/officeDocument/2006/relationships/ctrlProp" Target="../ctrlProps/ctrlProp1566.xml"/><Relationship Id="rId1775" Type="http://schemas.openxmlformats.org/officeDocument/2006/relationships/ctrlProp" Target="../ctrlProps/ctrlProp1773.xml"/><Relationship Id="rId2521" Type="http://schemas.openxmlformats.org/officeDocument/2006/relationships/ctrlProp" Target="../ctrlProps/ctrlProp2519.xml"/><Relationship Id="rId2619" Type="http://schemas.openxmlformats.org/officeDocument/2006/relationships/ctrlProp" Target="../ctrlProps/ctrlProp2617.xml"/><Relationship Id="rId2826" Type="http://schemas.openxmlformats.org/officeDocument/2006/relationships/ctrlProp" Target="../ctrlProps/ctrlProp2824.xml"/><Relationship Id="rId67" Type="http://schemas.openxmlformats.org/officeDocument/2006/relationships/ctrlProp" Target="../ctrlProps/ctrlProp65.xml"/><Relationship Id="rId700" Type="http://schemas.openxmlformats.org/officeDocument/2006/relationships/ctrlProp" Target="../ctrlProps/ctrlProp698.xml"/><Relationship Id="rId1123" Type="http://schemas.openxmlformats.org/officeDocument/2006/relationships/ctrlProp" Target="../ctrlProps/ctrlProp1121.xml"/><Relationship Id="rId1330" Type="http://schemas.openxmlformats.org/officeDocument/2006/relationships/ctrlProp" Target="../ctrlProps/ctrlProp1328.xml"/><Relationship Id="rId1428" Type="http://schemas.openxmlformats.org/officeDocument/2006/relationships/ctrlProp" Target="../ctrlProps/ctrlProp1426.xml"/><Relationship Id="rId1635" Type="http://schemas.openxmlformats.org/officeDocument/2006/relationships/ctrlProp" Target="../ctrlProps/ctrlProp1633.xml"/><Relationship Id="rId1982" Type="http://schemas.openxmlformats.org/officeDocument/2006/relationships/ctrlProp" Target="../ctrlProps/ctrlProp1980.xml"/><Relationship Id="rId3088" Type="http://schemas.openxmlformats.org/officeDocument/2006/relationships/ctrlProp" Target="../ctrlProps/ctrlProp3086.xml"/><Relationship Id="rId1842" Type="http://schemas.openxmlformats.org/officeDocument/2006/relationships/ctrlProp" Target="../ctrlProps/ctrlProp1840.xml"/><Relationship Id="rId3295" Type="http://schemas.openxmlformats.org/officeDocument/2006/relationships/table" Target="../tables/table106.xml"/><Relationship Id="rId1702" Type="http://schemas.openxmlformats.org/officeDocument/2006/relationships/ctrlProp" Target="../ctrlProps/ctrlProp1700.xml"/><Relationship Id="rId3155" Type="http://schemas.openxmlformats.org/officeDocument/2006/relationships/ctrlProp" Target="../ctrlProps/ctrlProp3153.xml"/><Relationship Id="rId3362" Type="http://schemas.openxmlformats.org/officeDocument/2006/relationships/table" Target="../tables/table173.xml"/><Relationship Id="rId283" Type="http://schemas.openxmlformats.org/officeDocument/2006/relationships/ctrlProp" Target="../ctrlProps/ctrlProp281.xml"/><Relationship Id="rId490" Type="http://schemas.openxmlformats.org/officeDocument/2006/relationships/ctrlProp" Target="../ctrlProps/ctrlProp488.xml"/><Relationship Id="rId2171" Type="http://schemas.openxmlformats.org/officeDocument/2006/relationships/ctrlProp" Target="../ctrlProps/ctrlProp2169.xml"/><Relationship Id="rId3015" Type="http://schemas.openxmlformats.org/officeDocument/2006/relationships/ctrlProp" Target="../ctrlProps/ctrlProp3013.xml"/><Relationship Id="rId3222" Type="http://schemas.openxmlformats.org/officeDocument/2006/relationships/table" Target="../tables/table33.xml"/><Relationship Id="rId143" Type="http://schemas.openxmlformats.org/officeDocument/2006/relationships/ctrlProp" Target="../ctrlProps/ctrlProp141.xml"/><Relationship Id="rId350" Type="http://schemas.openxmlformats.org/officeDocument/2006/relationships/ctrlProp" Target="../ctrlProps/ctrlProp348.xml"/><Relationship Id="rId588" Type="http://schemas.openxmlformats.org/officeDocument/2006/relationships/ctrlProp" Target="../ctrlProps/ctrlProp586.xml"/><Relationship Id="rId795" Type="http://schemas.openxmlformats.org/officeDocument/2006/relationships/ctrlProp" Target="../ctrlProps/ctrlProp793.xml"/><Relationship Id="rId2031" Type="http://schemas.openxmlformats.org/officeDocument/2006/relationships/ctrlProp" Target="../ctrlProps/ctrlProp2029.xml"/><Relationship Id="rId2269" Type="http://schemas.openxmlformats.org/officeDocument/2006/relationships/ctrlProp" Target="../ctrlProps/ctrlProp2267.xml"/><Relationship Id="rId2476" Type="http://schemas.openxmlformats.org/officeDocument/2006/relationships/ctrlProp" Target="../ctrlProps/ctrlProp2474.xml"/><Relationship Id="rId2683" Type="http://schemas.openxmlformats.org/officeDocument/2006/relationships/ctrlProp" Target="../ctrlProps/ctrlProp2681.xml"/><Relationship Id="rId2890" Type="http://schemas.openxmlformats.org/officeDocument/2006/relationships/ctrlProp" Target="../ctrlProps/ctrlProp2888.xml"/><Relationship Id="rId9" Type="http://schemas.openxmlformats.org/officeDocument/2006/relationships/ctrlProp" Target="../ctrlProps/ctrlProp7.xml"/><Relationship Id="rId210" Type="http://schemas.openxmlformats.org/officeDocument/2006/relationships/ctrlProp" Target="../ctrlProps/ctrlProp208.xml"/><Relationship Id="rId448" Type="http://schemas.openxmlformats.org/officeDocument/2006/relationships/ctrlProp" Target="../ctrlProps/ctrlProp446.xml"/><Relationship Id="rId655" Type="http://schemas.openxmlformats.org/officeDocument/2006/relationships/ctrlProp" Target="../ctrlProps/ctrlProp653.xml"/><Relationship Id="rId862" Type="http://schemas.openxmlformats.org/officeDocument/2006/relationships/ctrlProp" Target="../ctrlProps/ctrlProp860.xml"/><Relationship Id="rId1078" Type="http://schemas.openxmlformats.org/officeDocument/2006/relationships/ctrlProp" Target="../ctrlProps/ctrlProp1076.xml"/><Relationship Id="rId1285" Type="http://schemas.openxmlformats.org/officeDocument/2006/relationships/ctrlProp" Target="../ctrlProps/ctrlProp1283.xml"/><Relationship Id="rId1492" Type="http://schemas.openxmlformats.org/officeDocument/2006/relationships/ctrlProp" Target="../ctrlProps/ctrlProp1490.xml"/><Relationship Id="rId2129" Type="http://schemas.openxmlformats.org/officeDocument/2006/relationships/ctrlProp" Target="../ctrlProps/ctrlProp2127.xml"/><Relationship Id="rId2336" Type="http://schemas.openxmlformats.org/officeDocument/2006/relationships/ctrlProp" Target="../ctrlProps/ctrlProp2334.xml"/><Relationship Id="rId2543" Type="http://schemas.openxmlformats.org/officeDocument/2006/relationships/ctrlProp" Target="../ctrlProps/ctrlProp2541.xml"/><Relationship Id="rId2750" Type="http://schemas.openxmlformats.org/officeDocument/2006/relationships/ctrlProp" Target="../ctrlProps/ctrlProp2748.xml"/><Relationship Id="rId2988" Type="http://schemas.openxmlformats.org/officeDocument/2006/relationships/ctrlProp" Target="../ctrlProps/ctrlProp2986.xml"/><Relationship Id="rId308" Type="http://schemas.openxmlformats.org/officeDocument/2006/relationships/ctrlProp" Target="../ctrlProps/ctrlProp306.xml"/><Relationship Id="rId515" Type="http://schemas.openxmlformats.org/officeDocument/2006/relationships/ctrlProp" Target="../ctrlProps/ctrlProp513.xml"/><Relationship Id="rId722" Type="http://schemas.openxmlformats.org/officeDocument/2006/relationships/ctrlProp" Target="../ctrlProps/ctrlProp720.xml"/><Relationship Id="rId1145" Type="http://schemas.openxmlformats.org/officeDocument/2006/relationships/ctrlProp" Target="../ctrlProps/ctrlProp1143.xml"/><Relationship Id="rId1352" Type="http://schemas.openxmlformats.org/officeDocument/2006/relationships/ctrlProp" Target="../ctrlProps/ctrlProp1350.xml"/><Relationship Id="rId1797" Type="http://schemas.openxmlformats.org/officeDocument/2006/relationships/ctrlProp" Target="../ctrlProps/ctrlProp1795.xml"/><Relationship Id="rId2403" Type="http://schemas.openxmlformats.org/officeDocument/2006/relationships/ctrlProp" Target="../ctrlProps/ctrlProp2401.xml"/><Relationship Id="rId2848" Type="http://schemas.openxmlformats.org/officeDocument/2006/relationships/ctrlProp" Target="../ctrlProps/ctrlProp2846.xml"/><Relationship Id="rId89" Type="http://schemas.openxmlformats.org/officeDocument/2006/relationships/ctrlProp" Target="../ctrlProps/ctrlProp87.xml"/><Relationship Id="rId1005" Type="http://schemas.openxmlformats.org/officeDocument/2006/relationships/ctrlProp" Target="../ctrlProps/ctrlProp1003.xml"/><Relationship Id="rId1212" Type="http://schemas.openxmlformats.org/officeDocument/2006/relationships/ctrlProp" Target="../ctrlProps/ctrlProp1210.xml"/><Relationship Id="rId1657" Type="http://schemas.openxmlformats.org/officeDocument/2006/relationships/ctrlProp" Target="../ctrlProps/ctrlProp1655.xml"/><Relationship Id="rId1864" Type="http://schemas.openxmlformats.org/officeDocument/2006/relationships/ctrlProp" Target="../ctrlProps/ctrlProp1862.xml"/><Relationship Id="rId2610" Type="http://schemas.openxmlformats.org/officeDocument/2006/relationships/ctrlProp" Target="../ctrlProps/ctrlProp2608.xml"/><Relationship Id="rId2708" Type="http://schemas.openxmlformats.org/officeDocument/2006/relationships/ctrlProp" Target="../ctrlProps/ctrlProp2706.xml"/><Relationship Id="rId2915" Type="http://schemas.openxmlformats.org/officeDocument/2006/relationships/ctrlProp" Target="../ctrlProps/ctrlProp2913.xml"/><Relationship Id="rId1517" Type="http://schemas.openxmlformats.org/officeDocument/2006/relationships/ctrlProp" Target="../ctrlProps/ctrlProp1515.xml"/><Relationship Id="rId1724" Type="http://schemas.openxmlformats.org/officeDocument/2006/relationships/ctrlProp" Target="../ctrlProps/ctrlProp1722.xml"/><Relationship Id="rId3177" Type="http://schemas.openxmlformats.org/officeDocument/2006/relationships/ctrlProp" Target="../ctrlProps/ctrlProp3175.xml"/><Relationship Id="rId16" Type="http://schemas.openxmlformats.org/officeDocument/2006/relationships/ctrlProp" Target="../ctrlProps/ctrlProp14.xml"/><Relationship Id="rId1931" Type="http://schemas.openxmlformats.org/officeDocument/2006/relationships/ctrlProp" Target="../ctrlProps/ctrlProp1929.xml"/><Relationship Id="rId3037" Type="http://schemas.openxmlformats.org/officeDocument/2006/relationships/ctrlProp" Target="../ctrlProps/ctrlProp3035.xml"/><Relationship Id="rId3384" Type="http://schemas.openxmlformats.org/officeDocument/2006/relationships/table" Target="../tables/table195.xml"/><Relationship Id="rId2193" Type="http://schemas.openxmlformats.org/officeDocument/2006/relationships/ctrlProp" Target="../ctrlProps/ctrlProp2191.xml"/><Relationship Id="rId2498" Type="http://schemas.openxmlformats.org/officeDocument/2006/relationships/ctrlProp" Target="../ctrlProps/ctrlProp2496.xml"/><Relationship Id="rId3244" Type="http://schemas.openxmlformats.org/officeDocument/2006/relationships/table" Target="../tables/table55.xml"/><Relationship Id="rId3451" Type="http://schemas.openxmlformats.org/officeDocument/2006/relationships/table" Target="../tables/table262.xml"/><Relationship Id="rId165" Type="http://schemas.openxmlformats.org/officeDocument/2006/relationships/ctrlProp" Target="../ctrlProps/ctrlProp163.xml"/><Relationship Id="rId372" Type="http://schemas.openxmlformats.org/officeDocument/2006/relationships/ctrlProp" Target="../ctrlProps/ctrlProp370.xml"/><Relationship Id="rId677" Type="http://schemas.openxmlformats.org/officeDocument/2006/relationships/ctrlProp" Target="../ctrlProps/ctrlProp675.xml"/><Relationship Id="rId2053" Type="http://schemas.openxmlformats.org/officeDocument/2006/relationships/ctrlProp" Target="../ctrlProps/ctrlProp2051.xml"/><Relationship Id="rId2260" Type="http://schemas.openxmlformats.org/officeDocument/2006/relationships/ctrlProp" Target="../ctrlProps/ctrlProp2258.xml"/><Relationship Id="rId2358" Type="http://schemas.openxmlformats.org/officeDocument/2006/relationships/ctrlProp" Target="../ctrlProps/ctrlProp2356.xml"/><Relationship Id="rId3104" Type="http://schemas.openxmlformats.org/officeDocument/2006/relationships/ctrlProp" Target="../ctrlProps/ctrlProp3102.xml"/><Relationship Id="rId3311" Type="http://schemas.openxmlformats.org/officeDocument/2006/relationships/table" Target="../tables/table122.xml"/><Relationship Id="rId232" Type="http://schemas.openxmlformats.org/officeDocument/2006/relationships/ctrlProp" Target="../ctrlProps/ctrlProp230.xml"/><Relationship Id="rId884" Type="http://schemas.openxmlformats.org/officeDocument/2006/relationships/ctrlProp" Target="../ctrlProps/ctrlProp882.xml"/><Relationship Id="rId2120" Type="http://schemas.openxmlformats.org/officeDocument/2006/relationships/ctrlProp" Target="../ctrlProps/ctrlProp2118.xml"/><Relationship Id="rId2565" Type="http://schemas.openxmlformats.org/officeDocument/2006/relationships/ctrlProp" Target="../ctrlProps/ctrlProp2563.xml"/><Relationship Id="rId2772" Type="http://schemas.openxmlformats.org/officeDocument/2006/relationships/ctrlProp" Target="../ctrlProps/ctrlProp2770.xml"/><Relationship Id="rId3409" Type="http://schemas.openxmlformats.org/officeDocument/2006/relationships/table" Target="../tables/table220.xml"/><Relationship Id="rId537" Type="http://schemas.openxmlformats.org/officeDocument/2006/relationships/ctrlProp" Target="../ctrlProps/ctrlProp535.xml"/><Relationship Id="rId744" Type="http://schemas.openxmlformats.org/officeDocument/2006/relationships/ctrlProp" Target="../ctrlProps/ctrlProp742.xml"/><Relationship Id="rId951" Type="http://schemas.openxmlformats.org/officeDocument/2006/relationships/ctrlProp" Target="../ctrlProps/ctrlProp949.xml"/><Relationship Id="rId1167" Type="http://schemas.openxmlformats.org/officeDocument/2006/relationships/ctrlProp" Target="../ctrlProps/ctrlProp1165.xml"/><Relationship Id="rId1374" Type="http://schemas.openxmlformats.org/officeDocument/2006/relationships/ctrlProp" Target="../ctrlProps/ctrlProp1372.xml"/><Relationship Id="rId1581" Type="http://schemas.openxmlformats.org/officeDocument/2006/relationships/ctrlProp" Target="../ctrlProps/ctrlProp1579.xml"/><Relationship Id="rId1679" Type="http://schemas.openxmlformats.org/officeDocument/2006/relationships/ctrlProp" Target="../ctrlProps/ctrlProp1677.xml"/><Relationship Id="rId2218" Type="http://schemas.openxmlformats.org/officeDocument/2006/relationships/ctrlProp" Target="../ctrlProps/ctrlProp2216.xml"/><Relationship Id="rId2425" Type="http://schemas.openxmlformats.org/officeDocument/2006/relationships/ctrlProp" Target="../ctrlProps/ctrlProp2423.xml"/><Relationship Id="rId2632" Type="http://schemas.openxmlformats.org/officeDocument/2006/relationships/ctrlProp" Target="../ctrlProps/ctrlProp2630.xml"/><Relationship Id="rId80" Type="http://schemas.openxmlformats.org/officeDocument/2006/relationships/ctrlProp" Target="../ctrlProps/ctrlProp78.xml"/><Relationship Id="rId604" Type="http://schemas.openxmlformats.org/officeDocument/2006/relationships/ctrlProp" Target="../ctrlProps/ctrlProp602.xml"/><Relationship Id="rId811" Type="http://schemas.openxmlformats.org/officeDocument/2006/relationships/ctrlProp" Target="../ctrlProps/ctrlProp809.xml"/><Relationship Id="rId1027" Type="http://schemas.openxmlformats.org/officeDocument/2006/relationships/ctrlProp" Target="../ctrlProps/ctrlProp1025.xml"/><Relationship Id="rId1234" Type="http://schemas.openxmlformats.org/officeDocument/2006/relationships/ctrlProp" Target="../ctrlProps/ctrlProp1232.xml"/><Relationship Id="rId1441" Type="http://schemas.openxmlformats.org/officeDocument/2006/relationships/ctrlProp" Target="../ctrlProps/ctrlProp1439.xml"/><Relationship Id="rId1886" Type="http://schemas.openxmlformats.org/officeDocument/2006/relationships/ctrlProp" Target="../ctrlProps/ctrlProp1884.xml"/><Relationship Id="rId2937" Type="http://schemas.openxmlformats.org/officeDocument/2006/relationships/ctrlProp" Target="../ctrlProps/ctrlProp2935.xml"/><Relationship Id="rId909" Type="http://schemas.openxmlformats.org/officeDocument/2006/relationships/ctrlProp" Target="../ctrlProps/ctrlProp907.xml"/><Relationship Id="rId1301" Type="http://schemas.openxmlformats.org/officeDocument/2006/relationships/ctrlProp" Target="../ctrlProps/ctrlProp1299.xml"/><Relationship Id="rId1539" Type="http://schemas.openxmlformats.org/officeDocument/2006/relationships/ctrlProp" Target="../ctrlProps/ctrlProp1537.xml"/><Relationship Id="rId1746" Type="http://schemas.openxmlformats.org/officeDocument/2006/relationships/ctrlProp" Target="../ctrlProps/ctrlProp1744.xml"/><Relationship Id="rId1953" Type="http://schemas.openxmlformats.org/officeDocument/2006/relationships/ctrlProp" Target="../ctrlProps/ctrlProp1951.xml"/><Relationship Id="rId3199" Type="http://schemas.openxmlformats.org/officeDocument/2006/relationships/table" Target="../tables/table10.xml"/><Relationship Id="rId38" Type="http://schemas.openxmlformats.org/officeDocument/2006/relationships/ctrlProp" Target="../ctrlProps/ctrlProp36.xml"/><Relationship Id="rId1606" Type="http://schemas.openxmlformats.org/officeDocument/2006/relationships/ctrlProp" Target="../ctrlProps/ctrlProp1604.xml"/><Relationship Id="rId1813" Type="http://schemas.openxmlformats.org/officeDocument/2006/relationships/ctrlProp" Target="../ctrlProps/ctrlProp1811.xml"/><Relationship Id="rId3059" Type="http://schemas.openxmlformats.org/officeDocument/2006/relationships/ctrlProp" Target="../ctrlProps/ctrlProp3057.xml"/><Relationship Id="rId3266" Type="http://schemas.openxmlformats.org/officeDocument/2006/relationships/table" Target="../tables/table77.xml"/><Relationship Id="rId3473" Type="http://schemas.openxmlformats.org/officeDocument/2006/relationships/table" Target="../tables/table284.xml"/><Relationship Id="rId187" Type="http://schemas.openxmlformats.org/officeDocument/2006/relationships/ctrlProp" Target="../ctrlProps/ctrlProp185.xml"/><Relationship Id="rId394" Type="http://schemas.openxmlformats.org/officeDocument/2006/relationships/ctrlProp" Target="../ctrlProps/ctrlProp392.xml"/><Relationship Id="rId2075" Type="http://schemas.openxmlformats.org/officeDocument/2006/relationships/ctrlProp" Target="../ctrlProps/ctrlProp2073.xml"/><Relationship Id="rId2282" Type="http://schemas.openxmlformats.org/officeDocument/2006/relationships/ctrlProp" Target="../ctrlProps/ctrlProp2280.xml"/><Relationship Id="rId3126" Type="http://schemas.openxmlformats.org/officeDocument/2006/relationships/ctrlProp" Target="../ctrlProps/ctrlProp3124.xml"/><Relationship Id="rId254" Type="http://schemas.openxmlformats.org/officeDocument/2006/relationships/ctrlProp" Target="../ctrlProps/ctrlProp252.xml"/><Relationship Id="rId699" Type="http://schemas.openxmlformats.org/officeDocument/2006/relationships/ctrlProp" Target="../ctrlProps/ctrlProp697.xml"/><Relationship Id="rId1091" Type="http://schemas.openxmlformats.org/officeDocument/2006/relationships/ctrlProp" Target="../ctrlProps/ctrlProp1089.xml"/><Relationship Id="rId2587" Type="http://schemas.openxmlformats.org/officeDocument/2006/relationships/ctrlProp" Target="../ctrlProps/ctrlProp2585.xml"/><Relationship Id="rId2794" Type="http://schemas.openxmlformats.org/officeDocument/2006/relationships/ctrlProp" Target="../ctrlProps/ctrlProp2792.xml"/><Relationship Id="rId3333" Type="http://schemas.openxmlformats.org/officeDocument/2006/relationships/table" Target="../tables/table144.xml"/><Relationship Id="rId114" Type="http://schemas.openxmlformats.org/officeDocument/2006/relationships/ctrlProp" Target="../ctrlProps/ctrlProp112.xml"/><Relationship Id="rId461" Type="http://schemas.openxmlformats.org/officeDocument/2006/relationships/ctrlProp" Target="../ctrlProps/ctrlProp459.xml"/><Relationship Id="rId559" Type="http://schemas.openxmlformats.org/officeDocument/2006/relationships/ctrlProp" Target="../ctrlProps/ctrlProp557.xml"/><Relationship Id="rId766" Type="http://schemas.openxmlformats.org/officeDocument/2006/relationships/ctrlProp" Target="../ctrlProps/ctrlProp764.xml"/><Relationship Id="rId1189" Type="http://schemas.openxmlformats.org/officeDocument/2006/relationships/ctrlProp" Target="../ctrlProps/ctrlProp1187.xml"/><Relationship Id="rId1396" Type="http://schemas.openxmlformats.org/officeDocument/2006/relationships/ctrlProp" Target="../ctrlProps/ctrlProp1394.xml"/><Relationship Id="rId2142" Type="http://schemas.openxmlformats.org/officeDocument/2006/relationships/ctrlProp" Target="../ctrlProps/ctrlProp2140.xml"/><Relationship Id="rId2447" Type="http://schemas.openxmlformats.org/officeDocument/2006/relationships/ctrlProp" Target="../ctrlProps/ctrlProp2445.xml"/><Relationship Id="rId3400" Type="http://schemas.openxmlformats.org/officeDocument/2006/relationships/table" Target="../tables/table211.xml"/><Relationship Id="rId321" Type="http://schemas.openxmlformats.org/officeDocument/2006/relationships/ctrlProp" Target="../ctrlProps/ctrlProp319.xml"/><Relationship Id="rId419" Type="http://schemas.openxmlformats.org/officeDocument/2006/relationships/ctrlProp" Target="../ctrlProps/ctrlProp417.xml"/><Relationship Id="rId626" Type="http://schemas.openxmlformats.org/officeDocument/2006/relationships/ctrlProp" Target="../ctrlProps/ctrlProp624.xml"/><Relationship Id="rId973" Type="http://schemas.openxmlformats.org/officeDocument/2006/relationships/ctrlProp" Target="../ctrlProps/ctrlProp971.xml"/><Relationship Id="rId1049" Type="http://schemas.openxmlformats.org/officeDocument/2006/relationships/ctrlProp" Target="../ctrlProps/ctrlProp1047.xml"/><Relationship Id="rId1256" Type="http://schemas.openxmlformats.org/officeDocument/2006/relationships/ctrlProp" Target="../ctrlProps/ctrlProp1254.xml"/><Relationship Id="rId2002" Type="http://schemas.openxmlformats.org/officeDocument/2006/relationships/ctrlProp" Target="../ctrlProps/ctrlProp2000.xml"/><Relationship Id="rId2307" Type="http://schemas.openxmlformats.org/officeDocument/2006/relationships/ctrlProp" Target="../ctrlProps/ctrlProp2305.xml"/><Relationship Id="rId2654" Type="http://schemas.openxmlformats.org/officeDocument/2006/relationships/ctrlProp" Target="../ctrlProps/ctrlProp2652.xml"/><Relationship Id="rId2861" Type="http://schemas.openxmlformats.org/officeDocument/2006/relationships/ctrlProp" Target="../ctrlProps/ctrlProp2859.xml"/><Relationship Id="rId2959" Type="http://schemas.openxmlformats.org/officeDocument/2006/relationships/ctrlProp" Target="../ctrlProps/ctrlProp2957.xml"/><Relationship Id="rId833" Type="http://schemas.openxmlformats.org/officeDocument/2006/relationships/ctrlProp" Target="../ctrlProps/ctrlProp831.xml"/><Relationship Id="rId1116" Type="http://schemas.openxmlformats.org/officeDocument/2006/relationships/ctrlProp" Target="../ctrlProps/ctrlProp1114.xml"/><Relationship Id="rId1463" Type="http://schemas.openxmlformats.org/officeDocument/2006/relationships/ctrlProp" Target="../ctrlProps/ctrlProp1461.xml"/><Relationship Id="rId1670" Type="http://schemas.openxmlformats.org/officeDocument/2006/relationships/ctrlProp" Target="../ctrlProps/ctrlProp1668.xml"/><Relationship Id="rId1768" Type="http://schemas.openxmlformats.org/officeDocument/2006/relationships/ctrlProp" Target="../ctrlProps/ctrlProp1766.xml"/><Relationship Id="rId2514" Type="http://schemas.openxmlformats.org/officeDocument/2006/relationships/ctrlProp" Target="../ctrlProps/ctrlProp2512.xml"/><Relationship Id="rId2721" Type="http://schemas.openxmlformats.org/officeDocument/2006/relationships/ctrlProp" Target="../ctrlProps/ctrlProp2719.xml"/><Relationship Id="rId2819" Type="http://schemas.openxmlformats.org/officeDocument/2006/relationships/ctrlProp" Target="../ctrlProps/ctrlProp2817.xml"/><Relationship Id="rId900" Type="http://schemas.openxmlformats.org/officeDocument/2006/relationships/ctrlProp" Target="../ctrlProps/ctrlProp898.xml"/><Relationship Id="rId1323" Type="http://schemas.openxmlformats.org/officeDocument/2006/relationships/ctrlProp" Target="../ctrlProps/ctrlProp1321.xml"/><Relationship Id="rId1530" Type="http://schemas.openxmlformats.org/officeDocument/2006/relationships/ctrlProp" Target="../ctrlProps/ctrlProp1528.xml"/><Relationship Id="rId1628" Type="http://schemas.openxmlformats.org/officeDocument/2006/relationships/ctrlProp" Target="../ctrlProps/ctrlProp1626.xml"/><Relationship Id="rId1975" Type="http://schemas.openxmlformats.org/officeDocument/2006/relationships/ctrlProp" Target="../ctrlProps/ctrlProp1973.xml"/><Relationship Id="rId3190" Type="http://schemas.openxmlformats.org/officeDocument/2006/relationships/table" Target="../tables/table1.xml"/><Relationship Id="rId1835" Type="http://schemas.openxmlformats.org/officeDocument/2006/relationships/ctrlProp" Target="../ctrlProps/ctrlProp1833.xml"/><Relationship Id="rId3050" Type="http://schemas.openxmlformats.org/officeDocument/2006/relationships/ctrlProp" Target="../ctrlProps/ctrlProp3048.xml"/><Relationship Id="rId3288" Type="http://schemas.openxmlformats.org/officeDocument/2006/relationships/table" Target="../tables/table99.xml"/><Relationship Id="rId3495" Type="http://schemas.openxmlformats.org/officeDocument/2006/relationships/table" Target="../tables/table306.xml"/><Relationship Id="rId1902" Type="http://schemas.openxmlformats.org/officeDocument/2006/relationships/ctrlProp" Target="../ctrlProps/ctrlProp1900.xml"/><Relationship Id="rId2097" Type="http://schemas.openxmlformats.org/officeDocument/2006/relationships/ctrlProp" Target="../ctrlProps/ctrlProp2095.xml"/><Relationship Id="rId3148" Type="http://schemas.openxmlformats.org/officeDocument/2006/relationships/ctrlProp" Target="../ctrlProps/ctrlProp3146.xml"/><Relationship Id="rId3355" Type="http://schemas.openxmlformats.org/officeDocument/2006/relationships/table" Target="../tables/table166.xml"/><Relationship Id="rId276" Type="http://schemas.openxmlformats.org/officeDocument/2006/relationships/ctrlProp" Target="../ctrlProps/ctrlProp274.xml"/><Relationship Id="rId483" Type="http://schemas.openxmlformats.org/officeDocument/2006/relationships/ctrlProp" Target="../ctrlProps/ctrlProp481.xml"/><Relationship Id="rId690" Type="http://schemas.openxmlformats.org/officeDocument/2006/relationships/ctrlProp" Target="../ctrlProps/ctrlProp688.xml"/><Relationship Id="rId2164" Type="http://schemas.openxmlformats.org/officeDocument/2006/relationships/ctrlProp" Target="../ctrlProps/ctrlProp2162.xml"/><Relationship Id="rId2371" Type="http://schemas.openxmlformats.org/officeDocument/2006/relationships/ctrlProp" Target="../ctrlProps/ctrlProp2369.xml"/><Relationship Id="rId3008" Type="http://schemas.openxmlformats.org/officeDocument/2006/relationships/ctrlProp" Target="../ctrlProps/ctrlProp3006.xml"/><Relationship Id="rId3215" Type="http://schemas.openxmlformats.org/officeDocument/2006/relationships/table" Target="../tables/table26.xml"/><Relationship Id="rId3422" Type="http://schemas.openxmlformats.org/officeDocument/2006/relationships/table" Target="../tables/table233.xml"/><Relationship Id="rId136" Type="http://schemas.openxmlformats.org/officeDocument/2006/relationships/ctrlProp" Target="../ctrlProps/ctrlProp134.xml"/><Relationship Id="rId343" Type="http://schemas.openxmlformats.org/officeDocument/2006/relationships/ctrlProp" Target="../ctrlProps/ctrlProp341.xml"/><Relationship Id="rId550" Type="http://schemas.openxmlformats.org/officeDocument/2006/relationships/ctrlProp" Target="../ctrlProps/ctrlProp548.xml"/><Relationship Id="rId788" Type="http://schemas.openxmlformats.org/officeDocument/2006/relationships/ctrlProp" Target="../ctrlProps/ctrlProp786.xml"/><Relationship Id="rId995" Type="http://schemas.openxmlformats.org/officeDocument/2006/relationships/ctrlProp" Target="../ctrlProps/ctrlProp993.xml"/><Relationship Id="rId1180" Type="http://schemas.openxmlformats.org/officeDocument/2006/relationships/ctrlProp" Target="../ctrlProps/ctrlProp1178.xml"/><Relationship Id="rId2024" Type="http://schemas.openxmlformats.org/officeDocument/2006/relationships/ctrlProp" Target="../ctrlProps/ctrlProp2022.xml"/><Relationship Id="rId2231" Type="http://schemas.openxmlformats.org/officeDocument/2006/relationships/ctrlProp" Target="../ctrlProps/ctrlProp2229.xml"/><Relationship Id="rId2469" Type="http://schemas.openxmlformats.org/officeDocument/2006/relationships/ctrlProp" Target="../ctrlProps/ctrlProp2467.xml"/><Relationship Id="rId2676" Type="http://schemas.openxmlformats.org/officeDocument/2006/relationships/ctrlProp" Target="../ctrlProps/ctrlProp2674.xml"/><Relationship Id="rId2883" Type="http://schemas.openxmlformats.org/officeDocument/2006/relationships/ctrlProp" Target="../ctrlProps/ctrlProp2881.xml"/><Relationship Id="rId203" Type="http://schemas.openxmlformats.org/officeDocument/2006/relationships/ctrlProp" Target="../ctrlProps/ctrlProp201.xml"/><Relationship Id="rId648" Type="http://schemas.openxmlformats.org/officeDocument/2006/relationships/ctrlProp" Target="../ctrlProps/ctrlProp646.xml"/><Relationship Id="rId855" Type="http://schemas.openxmlformats.org/officeDocument/2006/relationships/ctrlProp" Target="../ctrlProps/ctrlProp853.xml"/><Relationship Id="rId1040" Type="http://schemas.openxmlformats.org/officeDocument/2006/relationships/ctrlProp" Target="../ctrlProps/ctrlProp1038.xml"/><Relationship Id="rId1278" Type="http://schemas.openxmlformats.org/officeDocument/2006/relationships/ctrlProp" Target="../ctrlProps/ctrlProp1276.xml"/><Relationship Id="rId1485" Type="http://schemas.openxmlformats.org/officeDocument/2006/relationships/ctrlProp" Target="../ctrlProps/ctrlProp1483.xml"/><Relationship Id="rId1692" Type="http://schemas.openxmlformats.org/officeDocument/2006/relationships/ctrlProp" Target="../ctrlProps/ctrlProp1690.xml"/><Relationship Id="rId2329" Type="http://schemas.openxmlformats.org/officeDocument/2006/relationships/ctrlProp" Target="../ctrlProps/ctrlProp2327.xml"/><Relationship Id="rId2536" Type="http://schemas.openxmlformats.org/officeDocument/2006/relationships/ctrlProp" Target="../ctrlProps/ctrlProp2534.xml"/><Relationship Id="rId2743" Type="http://schemas.openxmlformats.org/officeDocument/2006/relationships/ctrlProp" Target="../ctrlProps/ctrlProp2741.xml"/><Relationship Id="rId410" Type="http://schemas.openxmlformats.org/officeDocument/2006/relationships/ctrlProp" Target="../ctrlProps/ctrlProp408.xml"/><Relationship Id="rId508" Type="http://schemas.openxmlformats.org/officeDocument/2006/relationships/ctrlProp" Target="../ctrlProps/ctrlProp506.xml"/><Relationship Id="rId715" Type="http://schemas.openxmlformats.org/officeDocument/2006/relationships/ctrlProp" Target="../ctrlProps/ctrlProp713.xml"/><Relationship Id="rId922" Type="http://schemas.openxmlformats.org/officeDocument/2006/relationships/ctrlProp" Target="../ctrlProps/ctrlProp920.xml"/><Relationship Id="rId1138" Type="http://schemas.openxmlformats.org/officeDocument/2006/relationships/ctrlProp" Target="../ctrlProps/ctrlProp1136.xml"/><Relationship Id="rId1345" Type="http://schemas.openxmlformats.org/officeDocument/2006/relationships/ctrlProp" Target="../ctrlProps/ctrlProp1343.xml"/><Relationship Id="rId1552" Type="http://schemas.openxmlformats.org/officeDocument/2006/relationships/ctrlProp" Target="../ctrlProps/ctrlProp1550.xml"/><Relationship Id="rId1997" Type="http://schemas.openxmlformats.org/officeDocument/2006/relationships/ctrlProp" Target="../ctrlProps/ctrlProp1995.xml"/><Relationship Id="rId2603" Type="http://schemas.openxmlformats.org/officeDocument/2006/relationships/ctrlProp" Target="../ctrlProps/ctrlProp2601.xml"/><Relationship Id="rId2950" Type="http://schemas.openxmlformats.org/officeDocument/2006/relationships/ctrlProp" Target="../ctrlProps/ctrlProp2948.xml"/><Relationship Id="rId1205" Type="http://schemas.openxmlformats.org/officeDocument/2006/relationships/ctrlProp" Target="../ctrlProps/ctrlProp1203.xml"/><Relationship Id="rId1857" Type="http://schemas.openxmlformats.org/officeDocument/2006/relationships/ctrlProp" Target="../ctrlProps/ctrlProp1855.xml"/><Relationship Id="rId2810" Type="http://schemas.openxmlformats.org/officeDocument/2006/relationships/ctrlProp" Target="../ctrlProps/ctrlProp2808.xml"/><Relationship Id="rId2908" Type="http://schemas.openxmlformats.org/officeDocument/2006/relationships/ctrlProp" Target="../ctrlProps/ctrlProp2906.xml"/><Relationship Id="rId51" Type="http://schemas.openxmlformats.org/officeDocument/2006/relationships/ctrlProp" Target="../ctrlProps/ctrlProp49.xml"/><Relationship Id="rId1412" Type="http://schemas.openxmlformats.org/officeDocument/2006/relationships/ctrlProp" Target="../ctrlProps/ctrlProp1410.xml"/><Relationship Id="rId1717" Type="http://schemas.openxmlformats.org/officeDocument/2006/relationships/ctrlProp" Target="../ctrlProps/ctrlProp1715.xml"/><Relationship Id="rId1924" Type="http://schemas.openxmlformats.org/officeDocument/2006/relationships/ctrlProp" Target="../ctrlProps/ctrlProp1922.xml"/><Relationship Id="rId3072" Type="http://schemas.openxmlformats.org/officeDocument/2006/relationships/ctrlProp" Target="../ctrlProps/ctrlProp3070.xml"/><Relationship Id="rId3377" Type="http://schemas.openxmlformats.org/officeDocument/2006/relationships/table" Target="../tables/table188.xml"/><Relationship Id="rId298" Type="http://schemas.openxmlformats.org/officeDocument/2006/relationships/ctrlProp" Target="../ctrlProps/ctrlProp296.xml"/><Relationship Id="rId158" Type="http://schemas.openxmlformats.org/officeDocument/2006/relationships/ctrlProp" Target="../ctrlProps/ctrlProp156.xml"/><Relationship Id="rId2186" Type="http://schemas.openxmlformats.org/officeDocument/2006/relationships/ctrlProp" Target="../ctrlProps/ctrlProp2184.xml"/><Relationship Id="rId2393" Type="http://schemas.openxmlformats.org/officeDocument/2006/relationships/ctrlProp" Target="../ctrlProps/ctrlProp2391.xml"/><Relationship Id="rId2698" Type="http://schemas.openxmlformats.org/officeDocument/2006/relationships/ctrlProp" Target="../ctrlProps/ctrlProp2696.xml"/><Relationship Id="rId3237" Type="http://schemas.openxmlformats.org/officeDocument/2006/relationships/table" Target="../tables/table48.xml"/><Relationship Id="rId3444" Type="http://schemas.openxmlformats.org/officeDocument/2006/relationships/table" Target="../tables/table255.xml"/><Relationship Id="rId365" Type="http://schemas.openxmlformats.org/officeDocument/2006/relationships/ctrlProp" Target="../ctrlProps/ctrlProp363.xml"/><Relationship Id="rId572" Type="http://schemas.openxmlformats.org/officeDocument/2006/relationships/ctrlProp" Target="../ctrlProps/ctrlProp570.xml"/><Relationship Id="rId2046" Type="http://schemas.openxmlformats.org/officeDocument/2006/relationships/ctrlProp" Target="../ctrlProps/ctrlProp2044.xml"/><Relationship Id="rId2253" Type="http://schemas.openxmlformats.org/officeDocument/2006/relationships/ctrlProp" Target="../ctrlProps/ctrlProp2251.xml"/><Relationship Id="rId2460" Type="http://schemas.openxmlformats.org/officeDocument/2006/relationships/ctrlProp" Target="../ctrlProps/ctrlProp2458.xml"/><Relationship Id="rId3304" Type="http://schemas.openxmlformats.org/officeDocument/2006/relationships/table" Target="../tables/table115.xml"/><Relationship Id="rId3511" Type="http://schemas.openxmlformats.org/officeDocument/2006/relationships/table" Target="../tables/table322.xml"/><Relationship Id="rId225" Type="http://schemas.openxmlformats.org/officeDocument/2006/relationships/ctrlProp" Target="../ctrlProps/ctrlProp223.xml"/><Relationship Id="rId432" Type="http://schemas.openxmlformats.org/officeDocument/2006/relationships/ctrlProp" Target="../ctrlProps/ctrlProp430.xml"/><Relationship Id="rId877" Type="http://schemas.openxmlformats.org/officeDocument/2006/relationships/ctrlProp" Target="../ctrlProps/ctrlProp875.xml"/><Relationship Id="rId1062" Type="http://schemas.openxmlformats.org/officeDocument/2006/relationships/ctrlProp" Target="../ctrlProps/ctrlProp1060.xml"/><Relationship Id="rId2113" Type="http://schemas.openxmlformats.org/officeDocument/2006/relationships/ctrlProp" Target="../ctrlProps/ctrlProp2111.xml"/><Relationship Id="rId2320" Type="http://schemas.openxmlformats.org/officeDocument/2006/relationships/ctrlProp" Target="../ctrlProps/ctrlProp2318.xml"/><Relationship Id="rId2558" Type="http://schemas.openxmlformats.org/officeDocument/2006/relationships/ctrlProp" Target="../ctrlProps/ctrlProp2556.xml"/><Relationship Id="rId2765" Type="http://schemas.openxmlformats.org/officeDocument/2006/relationships/ctrlProp" Target="../ctrlProps/ctrlProp2763.xml"/><Relationship Id="rId2972" Type="http://schemas.openxmlformats.org/officeDocument/2006/relationships/ctrlProp" Target="../ctrlProps/ctrlProp2970.xml"/><Relationship Id="rId737" Type="http://schemas.openxmlformats.org/officeDocument/2006/relationships/ctrlProp" Target="../ctrlProps/ctrlProp735.xml"/><Relationship Id="rId944" Type="http://schemas.openxmlformats.org/officeDocument/2006/relationships/ctrlProp" Target="../ctrlProps/ctrlProp942.xml"/><Relationship Id="rId1367" Type="http://schemas.openxmlformats.org/officeDocument/2006/relationships/ctrlProp" Target="../ctrlProps/ctrlProp1365.xml"/><Relationship Id="rId1574" Type="http://schemas.openxmlformats.org/officeDocument/2006/relationships/ctrlProp" Target="../ctrlProps/ctrlProp1572.xml"/><Relationship Id="rId1781" Type="http://schemas.openxmlformats.org/officeDocument/2006/relationships/ctrlProp" Target="../ctrlProps/ctrlProp1779.xml"/><Relationship Id="rId2418" Type="http://schemas.openxmlformats.org/officeDocument/2006/relationships/ctrlProp" Target="../ctrlProps/ctrlProp2416.xml"/><Relationship Id="rId2625" Type="http://schemas.openxmlformats.org/officeDocument/2006/relationships/ctrlProp" Target="../ctrlProps/ctrlProp2623.xml"/><Relationship Id="rId2832" Type="http://schemas.openxmlformats.org/officeDocument/2006/relationships/ctrlProp" Target="../ctrlProps/ctrlProp2830.xml"/><Relationship Id="rId73" Type="http://schemas.openxmlformats.org/officeDocument/2006/relationships/ctrlProp" Target="../ctrlProps/ctrlProp71.xml"/><Relationship Id="rId804" Type="http://schemas.openxmlformats.org/officeDocument/2006/relationships/ctrlProp" Target="../ctrlProps/ctrlProp802.xml"/><Relationship Id="rId1227" Type="http://schemas.openxmlformats.org/officeDocument/2006/relationships/ctrlProp" Target="../ctrlProps/ctrlProp1225.xml"/><Relationship Id="rId1434" Type="http://schemas.openxmlformats.org/officeDocument/2006/relationships/ctrlProp" Target="../ctrlProps/ctrlProp1432.xml"/><Relationship Id="rId1641" Type="http://schemas.openxmlformats.org/officeDocument/2006/relationships/ctrlProp" Target="../ctrlProps/ctrlProp1639.xml"/><Relationship Id="rId1879" Type="http://schemas.openxmlformats.org/officeDocument/2006/relationships/ctrlProp" Target="../ctrlProps/ctrlProp1877.xml"/><Relationship Id="rId3094" Type="http://schemas.openxmlformats.org/officeDocument/2006/relationships/ctrlProp" Target="../ctrlProps/ctrlProp3092.xml"/><Relationship Id="rId1501" Type="http://schemas.openxmlformats.org/officeDocument/2006/relationships/ctrlProp" Target="../ctrlProps/ctrlProp1499.xml"/><Relationship Id="rId1739" Type="http://schemas.openxmlformats.org/officeDocument/2006/relationships/ctrlProp" Target="../ctrlProps/ctrlProp1737.xml"/><Relationship Id="rId1946" Type="http://schemas.openxmlformats.org/officeDocument/2006/relationships/ctrlProp" Target="../ctrlProps/ctrlProp1944.xml"/><Relationship Id="rId3399" Type="http://schemas.openxmlformats.org/officeDocument/2006/relationships/table" Target="../tables/table210.xml"/><Relationship Id="rId1806" Type="http://schemas.openxmlformats.org/officeDocument/2006/relationships/ctrlProp" Target="../ctrlProps/ctrlProp1804.xml"/><Relationship Id="rId3161" Type="http://schemas.openxmlformats.org/officeDocument/2006/relationships/ctrlProp" Target="../ctrlProps/ctrlProp3159.xml"/><Relationship Id="rId3259" Type="http://schemas.openxmlformats.org/officeDocument/2006/relationships/table" Target="../tables/table70.xml"/><Relationship Id="rId3466" Type="http://schemas.openxmlformats.org/officeDocument/2006/relationships/table" Target="../tables/table277.xml"/><Relationship Id="rId387" Type="http://schemas.openxmlformats.org/officeDocument/2006/relationships/ctrlProp" Target="../ctrlProps/ctrlProp385.xml"/><Relationship Id="rId594" Type="http://schemas.openxmlformats.org/officeDocument/2006/relationships/ctrlProp" Target="../ctrlProps/ctrlProp592.xml"/><Relationship Id="rId2068" Type="http://schemas.openxmlformats.org/officeDocument/2006/relationships/ctrlProp" Target="../ctrlProps/ctrlProp2066.xml"/><Relationship Id="rId2275" Type="http://schemas.openxmlformats.org/officeDocument/2006/relationships/ctrlProp" Target="../ctrlProps/ctrlProp2273.xml"/><Relationship Id="rId3021" Type="http://schemas.openxmlformats.org/officeDocument/2006/relationships/ctrlProp" Target="../ctrlProps/ctrlProp3019.xml"/><Relationship Id="rId3119" Type="http://schemas.openxmlformats.org/officeDocument/2006/relationships/ctrlProp" Target="../ctrlProps/ctrlProp3117.xml"/><Relationship Id="rId3326" Type="http://schemas.openxmlformats.org/officeDocument/2006/relationships/table" Target="../tables/table137.xml"/><Relationship Id="rId247" Type="http://schemas.openxmlformats.org/officeDocument/2006/relationships/ctrlProp" Target="../ctrlProps/ctrlProp245.xml"/><Relationship Id="rId899" Type="http://schemas.openxmlformats.org/officeDocument/2006/relationships/ctrlProp" Target="../ctrlProps/ctrlProp897.xml"/><Relationship Id="rId1084" Type="http://schemas.openxmlformats.org/officeDocument/2006/relationships/ctrlProp" Target="../ctrlProps/ctrlProp1082.xml"/><Relationship Id="rId2482" Type="http://schemas.openxmlformats.org/officeDocument/2006/relationships/ctrlProp" Target="../ctrlProps/ctrlProp2480.xml"/><Relationship Id="rId2787" Type="http://schemas.openxmlformats.org/officeDocument/2006/relationships/ctrlProp" Target="../ctrlProps/ctrlProp2785.xml"/><Relationship Id="rId107" Type="http://schemas.openxmlformats.org/officeDocument/2006/relationships/ctrlProp" Target="../ctrlProps/ctrlProp105.xml"/><Relationship Id="rId454" Type="http://schemas.openxmlformats.org/officeDocument/2006/relationships/ctrlProp" Target="../ctrlProps/ctrlProp452.xml"/><Relationship Id="rId661" Type="http://schemas.openxmlformats.org/officeDocument/2006/relationships/ctrlProp" Target="../ctrlProps/ctrlProp659.xml"/><Relationship Id="rId759" Type="http://schemas.openxmlformats.org/officeDocument/2006/relationships/ctrlProp" Target="../ctrlProps/ctrlProp757.xml"/><Relationship Id="rId966" Type="http://schemas.openxmlformats.org/officeDocument/2006/relationships/ctrlProp" Target="../ctrlProps/ctrlProp964.xml"/><Relationship Id="rId1291" Type="http://schemas.openxmlformats.org/officeDocument/2006/relationships/ctrlProp" Target="../ctrlProps/ctrlProp1289.xml"/><Relationship Id="rId1389" Type="http://schemas.openxmlformats.org/officeDocument/2006/relationships/ctrlProp" Target="../ctrlProps/ctrlProp1387.xml"/><Relationship Id="rId1596" Type="http://schemas.openxmlformats.org/officeDocument/2006/relationships/ctrlProp" Target="../ctrlProps/ctrlProp1594.xml"/><Relationship Id="rId2135" Type="http://schemas.openxmlformats.org/officeDocument/2006/relationships/ctrlProp" Target="../ctrlProps/ctrlProp2133.xml"/><Relationship Id="rId2342" Type="http://schemas.openxmlformats.org/officeDocument/2006/relationships/ctrlProp" Target="../ctrlProps/ctrlProp2340.xml"/><Relationship Id="rId2647" Type="http://schemas.openxmlformats.org/officeDocument/2006/relationships/ctrlProp" Target="../ctrlProps/ctrlProp2645.xml"/><Relationship Id="rId2994" Type="http://schemas.openxmlformats.org/officeDocument/2006/relationships/ctrlProp" Target="../ctrlProps/ctrlProp2992.xml"/><Relationship Id="rId314" Type="http://schemas.openxmlformats.org/officeDocument/2006/relationships/ctrlProp" Target="../ctrlProps/ctrlProp312.xml"/><Relationship Id="rId521" Type="http://schemas.openxmlformats.org/officeDocument/2006/relationships/ctrlProp" Target="../ctrlProps/ctrlProp519.xml"/><Relationship Id="rId619" Type="http://schemas.openxmlformats.org/officeDocument/2006/relationships/ctrlProp" Target="../ctrlProps/ctrlProp617.xml"/><Relationship Id="rId1151" Type="http://schemas.openxmlformats.org/officeDocument/2006/relationships/ctrlProp" Target="../ctrlProps/ctrlProp1149.xml"/><Relationship Id="rId1249" Type="http://schemas.openxmlformats.org/officeDocument/2006/relationships/ctrlProp" Target="../ctrlProps/ctrlProp1247.xml"/><Relationship Id="rId2202" Type="http://schemas.openxmlformats.org/officeDocument/2006/relationships/ctrlProp" Target="../ctrlProps/ctrlProp2200.xml"/><Relationship Id="rId2854" Type="http://schemas.openxmlformats.org/officeDocument/2006/relationships/ctrlProp" Target="../ctrlProps/ctrlProp2852.xml"/><Relationship Id="rId95" Type="http://schemas.openxmlformats.org/officeDocument/2006/relationships/ctrlProp" Target="../ctrlProps/ctrlProp93.xml"/><Relationship Id="rId826" Type="http://schemas.openxmlformats.org/officeDocument/2006/relationships/ctrlProp" Target="../ctrlProps/ctrlProp824.xml"/><Relationship Id="rId1011" Type="http://schemas.openxmlformats.org/officeDocument/2006/relationships/ctrlProp" Target="../ctrlProps/ctrlProp1009.xml"/><Relationship Id="rId1109" Type="http://schemas.openxmlformats.org/officeDocument/2006/relationships/ctrlProp" Target="../ctrlProps/ctrlProp1107.xml"/><Relationship Id="rId1456" Type="http://schemas.openxmlformats.org/officeDocument/2006/relationships/ctrlProp" Target="../ctrlProps/ctrlProp1454.xml"/><Relationship Id="rId1663" Type="http://schemas.openxmlformats.org/officeDocument/2006/relationships/ctrlProp" Target="../ctrlProps/ctrlProp1661.xml"/><Relationship Id="rId1870" Type="http://schemas.openxmlformats.org/officeDocument/2006/relationships/ctrlProp" Target="../ctrlProps/ctrlProp1868.xml"/><Relationship Id="rId1968" Type="http://schemas.openxmlformats.org/officeDocument/2006/relationships/ctrlProp" Target="../ctrlProps/ctrlProp1966.xml"/><Relationship Id="rId2507" Type="http://schemas.openxmlformats.org/officeDocument/2006/relationships/ctrlProp" Target="../ctrlProps/ctrlProp2505.xml"/><Relationship Id="rId2714" Type="http://schemas.openxmlformats.org/officeDocument/2006/relationships/ctrlProp" Target="../ctrlProps/ctrlProp2712.xml"/><Relationship Id="rId2921" Type="http://schemas.openxmlformats.org/officeDocument/2006/relationships/ctrlProp" Target="../ctrlProps/ctrlProp2919.xml"/><Relationship Id="rId1316" Type="http://schemas.openxmlformats.org/officeDocument/2006/relationships/ctrlProp" Target="../ctrlProps/ctrlProp1314.xml"/><Relationship Id="rId1523" Type="http://schemas.openxmlformats.org/officeDocument/2006/relationships/ctrlProp" Target="../ctrlProps/ctrlProp1521.xml"/><Relationship Id="rId1730" Type="http://schemas.openxmlformats.org/officeDocument/2006/relationships/ctrlProp" Target="../ctrlProps/ctrlProp1728.xml"/><Relationship Id="rId3183" Type="http://schemas.openxmlformats.org/officeDocument/2006/relationships/ctrlProp" Target="../ctrlProps/ctrlProp3181.xml"/><Relationship Id="rId3390" Type="http://schemas.openxmlformats.org/officeDocument/2006/relationships/table" Target="../tables/table201.xml"/><Relationship Id="rId22" Type="http://schemas.openxmlformats.org/officeDocument/2006/relationships/ctrlProp" Target="../ctrlProps/ctrlProp20.xml"/><Relationship Id="rId1828" Type="http://schemas.openxmlformats.org/officeDocument/2006/relationships/ctrlProp" Target="../ctrlProps/ctrlProp1826.xml"/><Relationship Id="rId3043" Type="http://schemas.openxmlformats.org/officeDocument/2006/relationships/ctrlProp" Target="../ctrlProps/ctrlProp3041.xml"/><Relationship Id="rId3250" Type="http://schemas.openxmlformats.org/officeDocument/2006/relationships/table" Target="../tables/table61.xml"/><Relationship Id="rId3488" Type="http://schemas.openxmlformats.org/officeDocument/2006/relationships/table" Target="../tables/table299.xml"/><Relationship Id="rId171" Type="http://schemas.openxmlformats.org/officeDocument/2006/relationships/ctrlProp" Target="../ctrlProps/ctrlProp169.xml"/><Relationship Id="rId2297" Type="http://schemas.openxmlformats.org/officeDocument/2006/relationships/ctrlProp" Target="../ctrlProps/ctrlProp2295.xml"/><Relationship Id="rId3348" Type="http://schemas.openxmlformats.org/officeDocument/2006/relationships/table" Target="../tables/table159.xml"/><Relationship Id="rId269" Type="http://schemas.openxmlformats.org/officeDocument/2006/relationships/ctrlProp" Target="../ctrlProps/ctrlProp267.xml"/><Relationship Id="rId476" Type="http://schemas.openxmlformats.org/officeDocument/2006/relationships/ctrlProp" Target="../ctrlProps/ctrlProp474.xml"/><Relationship Id="rId683" Type="http://schemas.openxmlformats.org/officeDocument/2006/relationships/ctrlProp" Target="../ctrlProps/ctrlProp681.xml"/><Relationship Id="rId890" Type="http://schemas.openxmlformats.org/officeDocument/2006/relationships/ctrlProp" Target="../ctrlProps/ctrlProp888.xml"/><Relationship Id="rId2157" Type="http://schemas.openxmlformats.org/officeDocument/2006/relationships/ctrlProp" Target="../ctrlProps/ctrlProp2155.xml"/><Relationship Id="rId2364" Type="http://schemas.openxmlformats.org/officeDocument/2006/relationships/ctrlProp" Target="../ctrlProps/ctrlProp2362.xml"/><Relationship Id="rId2571" Type="http://schemas.openxmlformats.org/officeDocument/2006/relationships/ctrlProp" Target="../ctrlProps/ctrlProp2569.xml"/><Relationship Id="rId3110" Type="http://schemas.openxmlformats.org/officeDocument/2006/relationships/ctrlProp" Target="../ctrlProps/ctrlProp3108.xml"/><Relationship Id="rId3208" Type="http://schemas.openxmlformats.org/officeDocument/2006/relationships/table" Target="../tables/table19.xml"/><Relationship Id="rId3415" Type="http://schemas.openxmlformats.org/officeDocument/2006/relationships/table" Target="../tables/table226.xml"/><Relationship Id="rId129" Type="http://schemas.openxmlformats.org/officeDocument/2006/relationships/ctrlProp" Target="../ctrlProps/ctrlProp127.xml"/><Relationship Id="rId336" Type="http://schemas.openxmlformats.org/officeDocument/2006/relationships/ctrlProp" Target="../ctrlProps/ctrlProp334.xml"/><Relationship Id="rId543" Type="http://schemas.openxmlformats.org/officeDocument/2006/relationships/ctrlProp" Target="../ctrlProps/ctrlProp541.xml"/><Relationship Id="rId988" Type="http://schemas.openxmlformats.org/officeDocument/2006/relationships/ctrlProp" Target="../ctrlProps/ctrlProp986.xml"/><Relationship Id="rId1173" Type="http://schemas.openxmlformats.org/officeDocument/2006/relationships/ctrlProp" Target="../ctrlProps/ctrlProp1171.xml"/><Relationship Id="rId1380" Type="http://schemas.openxmlformats.org/officeDocument/2006/relationships/ctrlProp" Target="../ctrlProps/ctrlProp1378.xml"/><Relationship Id="rId2017" Type="http://schemas.openxmlformats.org/officeDocument/2006/relationships/ctrlProp" Target="../ctrlProps/ctrlProp2015.xml"/><Relationship Id="rId2224" Type="http://schemas.openxmlformats.org/officeDocument/2006/relationships/ctrlProp" Target="../ctrlProps/ctrlProp2222.xml"/><Relationship Id="rId2669" Type="http://schemas.openxmlformats.org/officeDocument/2006/relationships/ctrlProp" Target="../ctrlProps/ctrlProp2667.xml"/><Relationship Id="rId2876" Type="http://schemas.openxmlformats.org/officeDocument/2006/relationships/ctrlProp" Target="../ctrlProps/ctrlProp2874.xml"/><Relationship Id="rId403" Type="http://schemas.openxmlformats.org/officeDocument/2006/relationships/ctrlProp" Target="../ctrlProps/ctrlProp401.xml"/><Relationship Id="rId750" Type="http://schemas.openxmlformats.org/officeDocument/2006/relationships/ctrlProp" Target="../ctrlProps/ctrlProp748.xml"/><Relationship Id="rId848" Type="http://schemas.openxmlformats.org/officeDocument/2006/relationships/ctrlProp" Target="../ctrlProps/ctrlProp846.xml"/><Relationship Id="rId1033" Type="http://schemas.openxmlformats.org/officeDocument/2006/relationships/ctrlProp" Target="../ctrlProps/ctrlProp1031.xml"/><Relationship Id="rId1478" Type="http://schemas.openxmlformats.org/officeDocument/2006/relationships/ctrlProp" Target="../ctrlProps/ctrlProp1476.xml"/><Relationship Id="rId1685" Type="http://schemas.openxmlformats.org/officeDocument/2006/relationships/ctrlProp" Target="../ctrlProps/ctrlProp1683.xml"/><Relationship Id="rId1892" Type="http://schemas.openxmlformats.org/officeDocument/2006/relationships/ctrlProp" Target="../ctrlProps/ctrlProp1890.xml"/><Relationship Id="rId2431" Type="http://schemas.openxmlformats.org/officeDocument/2006/relationships/ctrlProp" Target="../ctrlProps/ctrlProp2429.xml"/><Relationship Id="rId2529" Type="http://schemas.openxmlformats.org/officeDocument/2006/relationships/ctrlProp" Target="../ctrlProps/ctrlProp2527.xml"/><Relationship Id="rId2736" Type="http://schemas.openxmlformats.org/officeDocument/2006/relationships/ctrlProp" Target="../ctrlProps/ctrlProp2734.xml"/><Relationship Id="rId610" Type="http://schemas.openxmlformats.org/officeDocument/2006/relationships/ctrlProp" Target="../ctrlProps/ctrlProp608.xml"/><Relationship Id="rId708" Type="http://schemas.openxmlformats.org/officeDocument/2006/relationships/ctrlProp" Target="../ctrlProps/ctrlProp706.xml"/><Relationship Id="rId915" Type="http://schemas.openxmlformats.org/officeDocument/2006/relationships/ctrlProp" Target="../ctrlProps/ctrlProp913.xml"/><Relationship Id="rId1240" Type="http://schemas.openxmlformats.org/officeDocument/2006/relationships/ctrlProp" Target="../ctrlProps/ctrlProp1238.xml"/><Relationship Id="rId1338" Type="http://schemas.openxmlformats.org/officeDocument/2006/relationships/ctrlProp" Target="../ctrlProps/ctrlProp1336.xml"/><Relationship Id="rId1545" Type="http://schemas.openxmlformats.org/officeDocument/2006/relationships/ctrlProp" Target="../ctrlProps/ctrlProp1543.xml"/><Relationship Id="rId2943" Type="http://schemas.openxmlformats.org/officeDocument/2006/relationships/ctrlProp" Target="../ctrlProps/ctrlProp2941.xml"/><Relationship Id="rId1100" Type="http://schemas.openxmlformats.org/officeDocument/2006/relationships/ctrlProp" Target="../ctrlProps/ctrlProp1098.xml"/><Relationship Id="rId1405" Type="http://schemas.openxmlformats.org/officeDocument/2006/relationships/ctrlProp" Target="../ctrlProps/ctrlProp1403.xml"/><Relationship Id="rId1752" Type="http://schemas.openxmlformats.org/officeDocument/2006/relationships/ctrlProp" Target="../ctrlProps/ctrlProp1750.xml"/><Relationship Id="rId2803" Type="http://schemas.openxmlformats.org/officeDocument/2006/relationships/ctrlProp" Target="../ctrlProps/ctrlProp2801.xml"/><Relationship Id="rId44" Type="http://schemas.openxmlformats.org/officeDocument/2006/relationships/ctrlProp" Target="../ctrlProps/ctrlProp42.xml"/><Relationship Id="rId1612" Type="http://schemas.openxmlformats.org/officeDocument/2006/relationships/ctrlProp" Target="../ctrlProps/ctrlProp1610.xml"/><Relationship Id="rId1917" Type="http://schemas.openxmlformats.org/officeDocument/2006/relationships/ctrlProp" Target="../ctrlProps/ctrlProp1915.xml"/><Relationship Id="rId3065" Type="http://schemas.openxmlformats.org/officeDocument/2006/relationships/ctrlProp" Target="../ctrlProps/ctrlProp3063.xml"/><Relationship Id="rId3272" Type="http://schemas.openxmlformats.org/officeDocument/2006/relationships/table" Target="../tables/table83.xml"/><Relationship Id="rId193" Type="http://schemas.openxmlformats.org/officeDocument/2006/relationships/ctrlProp" Target="../ctrlProps/ctrlProp191.xml"/><Relationship Id="rId498" Type="http://schemas.openxmlformats.org/officeDocument/2006/relationships/ctrlProp" Target="../ctrlProps/ctrlProp496.xml"/><Relationship Id="rId2081" Type="http://schemas.openxmlformats.org/officeDocument/2006/relationships/ctrlProp" Target="../ctrlProps/ctrlProp2079.xml"/><Relationship Id="rId2179" Type="http://schemas.openxmlformats.org/officeDocument/2006/relationships/ctrlProp" Target="../ctrlProps/ctrlProp2177.xml"/><Relationship Id="rId3132" Type="http://schemas.openxmlformats.org/officeDocument/2006/relationships/ctrlProp" Target="../ctrlProps/ctrlProp3130.xml"/><Relationship Id="rId260" Type="http://schemas.openxmlformats.org/officeDocument/2006/relationships/ctrlProp" Target="../ctrlProps/ctrlProp258.xml"/><Relationship Id="rId2386" Type="http://schemas.openxmlformats.org/officeDocument/2006/relationships/ctrlProp" Target="../ctrlProps/ctrlProp2384.xml"/><Relationship Id="rId2593" Type="http://schemas.openxmlformats.org/officeDocument/2006/relationships/ctrlProp" Target="../ctrlProps/ctrlProp2591.xml"/><Relationship Id="rId3437" Type="http://schemas.openxmlformats.org/officeDocument/2006/relationships/table" Target="../tables/table248.xml"/><Relationship Id="rId120" Type="http://schemas.openxmlformats.org/officeDocument/2006/relationships/ctrlProp" Target="../ctrlProps/ctrlProp118.xml"/><Relationship Id="rId358" Type="http://schemas.openxmlformats.org/officeDocument/2006/relationships/ctrlProp" Target="../ctrlProps/ctrlProp356.xml"/><Relationship Id="rId565" Type="http://schemas.openxmlformats.org/officeDocument/2006/relationships/ctrlProp" Target="../ctrlProps/ctrlProp563.xml"/><Relationship Id="rId772" Type="http://schemas.openxmlformats.org/officeDocument/2006/relationships/ctrlProp" Target="../ctrlProps/ctrlProp770.xml"/><Relationship Id="rId1195" Type="http://schemas.openxmlformats.org/officeDocument/2006/relationships/ctrlProp" Target="../ctrlProps/ctrlProp1193.xml"/><Relationship Id="rId2039" Type="http://schemas.openxmlformats.org/officeDocument/2006/relationships/ctrlProp" Target="../ctrlProps/ctrlProp2037.xml"/><Relationship Id="rId2246" Type="http://schemas.openxmlformats.org/officeDocument/2006/relationships/ctrlProp" Target="../ctrlProps/ctrlProp2244.xml"/><Relationship Id="rId2453" Type="http://schemas.openxmlformats.org/officeDocument/2006/relationships/ctrlProp" Target="../ctrlProps/ctrlProp2451.xml"/><Relationship Id="rId2660" Type="http://schemas.openxmlformats.org/officeDocument/2006/relationships/ctrlProp" Target="../ctrlProps/ctrlProp2658.xml"/><Relationship Id="rId2898" Type="http://schemas.openxmlformats.org/officeDocument/2006/relationships/ctrlProp" Target="../ctrlProps/ctrlProp2896.xml"/><Relationship Id="rId3504" Type="http://schemas.openxmlformats.org/officeDocument/2006/relationships/table" Target="../tables/table315.xml"/><Relationship Id="rId218" Type="http://schemas.openxmlformats.org/officeDocument/2006/relationships/ctrlProp" Target="../ctrlProps/ctrlProp216.xml"/><Relationship Id="rId425" Type="http://schemas.openxmlformats.org/officeDocument/2006/relationships/ctrlProp" Target="../ctrlProps/ctrlProp423.xml"/><Relationship Id="rId632" Type="http://schemas.openxmlformats.org/officeDocument/2006/relationships/ctrlProp" Target="../ctrlProps/ctrlProp630.xml"/><Relationship Id="rId1055" Type="http://schemas.openxmlformats.org/officeDocument/2006/relationships/ctrlProp" Target="../ctrlProps/ctrlProp1053.xml"/><Relationship Id="rId1262" Type="http://schemas.openxmlformats.org/officeDocument/2006/relationships/ctrlProp" Target="../ctrlProps/ctrlProp1260.xml"/><Relationship Id="rId2106" Type="http://schemas.openxmlformats.org/officeDocument/2006/relationships/ctrlProp" Target="../ctrlProps/ctrlProp2104.xml"/><Relationship Id="rId2313" Type="http://schemas.openxmlformats.org/officeDocument/2006/relationships/ctrlProp" Target="../ctrlProps/ctrlProp2311.xml"/><Relationship Id="rId2520" Type="http://schemas.openxmlformats.org/officeDocument/2006/relationships/ctrlProp" Target="../ctrlProps/ctrlProp2518.xml"/><Relationship Id="rId2758" Type="http://schemas.openxmlformats.org/officeDocument/2006/relationships/ctrlProp" Target="../ctrlProps/ctrlProp2756.xml"/><Relationship Id="rId2965" Type="http://schemas.openxmlformats.org/officeDocument/2006/relationships/ctrlProp" Target="../ctrlProps/ctrlProp2963.xml"/><Relationship Id="rId937" Type="http://schemas.openxmlformats.org/officeDocument/2006/relationships/ctrlProp" Target="../ctrlProps/ctrlProp935.xml"/><Relationship Id="rId1122" Type="http://schemas.openxmlformats.org/officeDocument/2006/relationships/ctrlProp" Target="../ctrlProps/ctrlProp1120.xml"/><Relationship Id="rId1567" Type="http://schemas.openxmlformats.org/officeDocument/2006/relationships/ctrlProp" Target="../ctrlProps/ctrlProp1565.xml"/><Relationship Id="rId1774" Type="http://schemas.openxmlformats.org/officeDocument/2006/relationships/ctrlProp" Target="../ctrlProps/ctrlProp1772.xml"/><Relationship Id="rId1981" Type="http://schemas.openxmlformats.org/officeDocument/2006/relationships/ctrlProp" Target="../ctrlProps/ctrlProp1979.xml"/><Relationship Id="rId2618" Type="http://schemas.openxmlformats.org/officeDocument/2006/relationships/ctrlProp" Target="../ctrlProps/ctrlProp2616.xml"/><Relationship Id="rId2825" Type="http://schemas.openxmlformats.org/officeDocument/2006/relationships/ctrlProp" Target="../ctrlProps/ctrlProp2823.xml"/><Relationship Id="rId66" Type="http://schemas.openxmlformats.org/officeDocument/2006/relationships/ctrlProp" Target="../ctrlProps/ctrlProp64.xml"/><Relationship Id="rId1427" Type="http://schemas.openxmlformats.org/officeDocument/2006/relationships/ctrlProp" Target="../ctrlProps/ctrlProp1425.xml"/><Relationship Id="rId1634" Type="http://schemas.openxmlformats.org/officeDocument/2006/relationships/ctrlProp" Target="../ctrlProps/ctrlProp1632.xml"/><Relationship Id="rId1841" Type="http://schemas.openxmlformats.org/officeDocument/2006/relationships/ctrlProp" Target="../ctrlProps/ctrlProp1839.xml"/><Relationship Id="rId3087" Type="http://schemas.openxmlformats.org/officeDocument/2006/relationships/ctrlProp" Target="../ctrlProps/ctrlProp3085.xml"/><Relationship Id="rId3294" Type="http://schemas.openxmlformats.org/officeDocument/2006/relationships/table" Target="../tables/table105.xml"/><Relationship Id="rId1939" Type="http://schemas.openxmlformats.org/officeDocument/2006/relationships/ctrlProp" Target="../ctrlProps/ctrlProp1937.xml"/><Relationship Id="rId1701" Type="http://schemas.openxmlformats.org/officeDocument/2006/relationships/ctrlProp" Target="../ctrlProps/ctrlProp1699.xml"/><Relationship Id="rId3154" Type="http://schemas.openxmlformats.org/officeDocument/2006/relationships/ctrlProp" Target="../ctrlProps/ctrlProp3152.xml"/><Relationship Id="rId3361" Type="http://schemas.openxmlformats.org/officeDocument/2006/relationships/table" Target="../tables/table172.xml"/><Relationship Id="rId3459" Type="http://schemas.openxmlformats.org/officeDocument/2006/relationships/table" Target="../tables/table270.xml"/><Relationship Id="rId282" Type="http://schemas.openxmlformats.org/officeDocument/2006/relationships/ctrlProp" Target="../ctrlProps/ctrlProp280.xml"/><Relationship Id="rId587" Type="http://schemas.openxmlformats.org/officeDocument/2006/relationships/ctrlProp" Target="../ctrlProps/ctrlProp585.xml"/><Relationship Id="rId2170" Type="http://schemas.openxmlformats.org/officeDocument/2006/relationships/ctrlProp" Target="../ctrlProps/ctrlProp2168.xml"/><Relationship Id="rId2268" Type="http://schemas.openxmlformats.org/officeDocument/2006/relationships/ctrlProp" Target="../ctrlProps/ctrlProp2266.xml"/><Relationship Id="rId3014" Type="http://schemas.openxmlformats.org/officeDocument/2006/relationships/ctrlProp" Target="../ctrlProps/ctrlProp3012.xml"/><Relationship Id="rId3221" Type="http://schemas.openxmlformats.org/officeDocument/2006/relationships/table" Target="../tables/table32.xml"/><Relationship Id="rId3319" Type="http://schemas.openxmlformats.org/officeDocument/2006/relationships/table" Target="../tables/table130.xml"/><Relationship Id="rId8" Type="http://schemas.openxmlformats.org/officeDocument/2006/relationships/ctrlProp" Target="../ctrlProps/ctrlProp6.xml"/><Relationship Id="rId142" Type="http://schemas.openxmlformats.org/officeDocument/2006/relationships/ctrlProp" Target="../ctrlProps/ctrlProp140.xml"/><Relationship Id="rId447" Type="http://schemas.openxmlformats.org/officeDocument/2006/relationships/ctrlProp" Target="../ctrlProps/ctrlProp445.xml"/><Relationship Id="rId794" Type="http://schemas.openxmlformats.org/officeDocument/2006/relationships/ctrlProp" Target="../ctrlProps/ctrlProp792.xml"/><Relationship Id="rId1077" Type="http://schemas.openxmlformats.org/officeDocument/2006/relationships/ctrlProp" Target="../ctrlProps/ctrlProp1075.xml"/><Relationship Id="rId2030" Type="http://schemas.openxmlformats.org/officeDocument/2006/relationships/ctrlProp" Target="../ctrlProps/ctrlProp2028.xml"/><Relationship Id="rId2128" Type="http://schemas.openxmlformats.org/officeDocument/2006/relationships/ctrlProp" Target="../ctrlProps/ctrlProp2126.xml"/><Relationship Id="rId2475" Type="http://schemas.openxmlformats.org/officeDocument/2006/relationships/ctrlProp" Target="../ctrlProps/ctrlProp2473.xml"/><Relationship Id="rId2682" Type="http://schemas.openxmlformats.org/officeDocument/2006/relationships/ctrlProp" Target="../ctrlProps/ctrlProp2680.xml"/><Relationship Id="rId2987" Type="http://schemas.openxmlformats.org/officeDocument/2006/relationships/ctrlProp" Target="../ctrlProps/ctrlProp2985.xml"/><Relationship Id="rId654" Type="http://schemas.openxmlformats.org/officeDocument/2006/relationships/ctrlProp" Target="../ctrlProps/ctrlProp652.xml"/><Relationship Id="rId861" Type="http://schemas.openxmlformats.org/officeDocument/2006/relationships/ctrlProp" Target="../ctrlProps/ctrlProp859.xml"/><Relationship Id="rId959" Type="http://schemas.openxmlformats.org/officeDocument/2006/relationships/ctrlProp" Target="../ctrlProps/ctrlProp957.xml"/><Relationship Id="rId1284" Type="http://schemas.openxmlformats.org/officeDocument/2006/relationships/ctrlProp" Target="../ctrlProps/ctrlProp1282.xml"/><Relationship Id="rId1491" Type="http://schemas.openxmlformats.org/officeDocument/2006/relationships/ctrlProp" Target="../ctrlProps/ctrlProp1489.xml"/><Relationship Id="rId1589" Type="http://schemas.openxmlformats.org/officeDocument/2006/relationships/ctrlProp" Target="../ctrlProps/ctrlProp1587.xml"/><Relationship Id="rId2335" Type="http://schemas.openxmlformats.org/officeDocument/2006/relationships/ctrlProp" Target="../ctrlProps/ctrlProp2333.xml"/><Relationship Id="rId2542" Type="http://schemas.openxmlformats.org/officeDocument/2006/relationships/ctrlProp" Target="../ctrlProps/ctrlProp2540.xml"/><Relationship Id="rId307" Type="http://schemas.openxmlformats.org/officeDocument/2006/relationships/ctrlProp" Target="../ctrlProps/ctrlProp305.xml"/><Relationship Id="rId514" Type="http://schemas.openxmlformats.org/officeDocument/2006/relationships/ctrlProp" Target="../ctrlProps/ctrlProp512.xml"/><Relationship Id="rId721" Type="http://schemas.openxmlformats.org/officeDocument/2006/relationships/ctrlProp" Target="../ctrlProps/ctrlProp719.xml"/><Relationship Id="rId1144" Type="http://schemas.openxmlformats.org/officeDocument/2006/relationships/ctrlProp" Target="../ctrlProps/ctrlProp1142.xml"/><Relationship Id="rId1351" Type="http://schemas.openxmlformats.org/officeDocument/2006/relationships/ctrlProp" Target="../ctrlProps/ctrlProp1349.xml"/><Relationship Id="rId1449" Type="http://schemas.openxmlformats.org/officeDocument/2006/relationships/ctrlProp" Target="../ctrlProps/ctrlProp1447.xml"/><Relationship Id="rId1796" Type="http://schemas.openxmlformats.org/officeDocument/2006/relationships/ctrlProp" Target="../ctrlProps/ctrlProp1794.xml"/><Relationship Id="rId2402" Type="http://schemas.openxmlformats.org/officeDocument/2006/relationships/ctrlProp" Target="../ctrlProps/ctrlProp2400.xml"/><Relationship Id="rId2847" Type="http://schemas.openxmlformats.org/officeDocument/2006/relationships/ctrlProp" Target="../ctrlProps/ctrlProp2845.xml"/><Relationship Id="rId88" Type="http://schemas.openxmlformats.org/officeDocument/2006/relationships/ctrlProp" Target="../ctrlProps/ctrlProp86.xml"/><Relationship Id="rId819" Type="http://schemas.openxmlformats.org/officeDocument/2006/relationships/ctrlProp" Target="../ctrlProps/ctrlProp817.xml"/><Relationship Id="rId1004" Type="http://schemas.openxmlformats.org/officeDocument/2006/relationships/ctrlProp" Target="../ctrlProps/ctrlProp1002.xml"/><Relationship Id="rId1211" Type="http://schemas.openxmlformats.org/officeDocument/2006/relationships/ctrlProp" Target="../ctrlProps/ctrlProp1209.xml"/><Relationship Id="rId1656" Type="http://schemas.openxmlformats.org/officeDocument/2006/relationships/ctrlProp" Target="../ctrlProps/ctrlProp1654.xml"/><Relationship Id="rId1863" Type="http://schemas.openxmlformats.org/officeDocument/2006/relationships/ctrlProp" Target="../ctrlProps/ctrlProp1861.xml"/><Relationship Id="rId2707" Type="http://schemas.openxmlformats.org/officeDocument/2006/relationships/ctrlProp" Target="../ctrlProps/ctrlProp2705.xml"/><Relationship Id="rId2914" Type="http://schemas.openxmlformats.org/officeDocument/2006/relationships/ctrlProp" Target="../ctrlProps/ctrlProp2912.xml"/><Relationship Id="rId1309" Type="http://schemas.openxmlformats.org/officeDocument/2006/relationships/ctrlProp" Target="../ctrlProps/ctrlProp1307.xml"/><Relationship Id="rId1516" Type="http://schemas.openxmlformats.org/officeDocument/2006/relationships/ctrlProp" Target="../ctrlProps/ctrlProp1514.xml"/><Relationship Id="rId1723" Type="http://schemas.openxmlformats.org/officeDocument/2006/relationships/ctrlProp" Target="../ctrlProps/ctrlProp1721.xml"/><Relationship Id="rId1930" Type="http://schemas.openxmlformats.org/officeDocument/2006/relationships/ctrlProp" Target="../ctrlProps/ctrlProp1928.xml"/><Relationship Id="rId3176" Type="http://schemas.openxmlformats.org/officeDocument/2006/relationships/ctrlProp" Target="../ctrlProps/ctrlProp3174.xml"/><Relationship Id="rId3383" Type="http://schemas.openxmlformats.org/officeDocument/2006/relationships/table" Target="../tables/table194.xml"/><Relationship Id="rId15" Type="http://schemas.openxmlformats.org/officeDocument/2006/relationships/ctrlProp" Target="../ctrlProps/ctrlProp13.xml"/><Relationship Id="rId2192" Type="http://schemas.openxmlformats.org/officeDocument/2006/relationships/ctrlProp" Target="../ctrlProps/ctrlProp2190.xml"/><Relationship Id="rId3036" Type="http://schemas.openxmlformats.org/officeDocument/2006/relationships/ctrlProp" Target="../ctrlProps/ctrlProp3034.xml"/><Relationship Id="rId3243" Type="http://schemas.openxmlformats.org/officeDocument/2006/relationships/table" Target="../tables/table54.xml"/><Relationship Id="rId164" Type="http://schemas.openxmlformats.org/officeDocument/2006/relationships/ctrlProp" Target="../ctrlProps/ctrlProp162.xml"/><Relationship Id="rId371" Type="http://schemas.openxmlformats.org/officeDocument/2006/relationships/ctrlProp" Target="../ctrlProps/ctrlProp369.xml"/><Relationship Id="rId2052" Type="http://schemas.openxmlformats.org/officeDocument/2006/relationships/ctrlProp" Target="../ctrlProps/ctrlProp2050.xml"/><Relationship Id="rId2497" Type="http://schemas.openxmlformats.org/officeDocument/2006/relationships/ctrlProp" Target="../ctrlProps/ctrlProp2495.xml"/><Relationship Id="rId3450" Type="http://schemas.openxmlformats.org/officeDocument/2006/relationships/table" Target="../tables/table261.xml"/><Relationship Id="rId469" Type="http://schemas.openxmlformats.org/officeDocument/2006/relationships/ctrlProp" Target="../ctrlProps/ctrlProp467.xml"/><Relationship Id="rId676" Type="http://schemas.openxmlformats.org/officeDocument/2006/relationships/ctrlProp" Target="../ctrlProps/ctrlProp674.xml"/><Relationship Id="rId883" Type="http://schemas.openxmlformats.org/officeDocument/2006/relationships/ctrlProp" Target="../ctrlProps/ctrlProp881.xml"/><Relationship Id="rId1099" Type="http://schemas.openxmlformats.org/officeDocument/2006/relationships/ctrlProp" Target="../ctrlProps/ctrlProp1097.xml"/><Relationship Id="rId2357" Type="http://schemas.openxmlformats.org/officeDocument/2006/relationships/ctrlProp" Target="../ctrlProps/ctrlProp2355.xml"/><Relationship Id="rId2564" Type="http://schemas.openxmlformats.org/officeDocument/2006/relationships/ctrlProp" Target="../ctrlProps/ctrlProp2562.xml"/><Relationship Id="rId3103" Type="http://schemas.openxmlformats.org/officeDocument/2006/relationships/ctrlProp" Target="../ctrlProps/ctrlProp3101.xml"/><Relationship Id="rId3310" Type="http://schemas.openxmlformats.org/officeDocument/2006/relationships/table" Target="../tables/table121.xml"/><Relationship Id="rId3408" Type="http://schemas.openxmlformats.org/officeDocument/2006/relationships/table" Target="../tables/table219.xml"/><Relationship Id="rId231" Type="http://schemas.openxmlformats.org/officeDocument/2006/relationships/ctrlProp" Target="../ctrlProps/ctrlProp229.xml"/><Relationship Id="rId329" Type="http://schemas.openxmlformats.org/officeDocument/2006/relationships/ctrlProp" Target="../ctrlProps/ctrlProp327.xml"/><Relationship Id="rId536" Type="http://schemas.openxmlformats.org/officeDocument/2006/relationships/ctrlProp" Target="../ctrlProps/ctrlProp534.xml"/><Relationship Id="rId1166" Type="http://schemas.openxmlformats.org/officeDocument/2006/relationships/ctrlProp" Target="../ctrlProps/ctrlProp1164.xml"/><Relationship Id="rId1373" Type="http://schemas.openxmlformats.org/officeDocument/2006/relationships/ctrlProp" Target="../ctrlProps/ctrlProp1371.xml"/><Relationship Id="rId2217" Type="http://schemas.openxmlformats.org/officeDocument/2006/relationships/ctrlProp" Target="../ctrlProps/ctrlProp2215.xml"/><Relationship Id="rId2771" Type="http://schemas.openxmlformats.org/officeDocument/2006/relationships/ctrlProp" Target="../ctrlProps/ctrlProp2769.xml"/><Relationship Id="rId2869" Type="http://schemas.openxmlformats.org/officeDocument/2006/relationships/ctrlProp" Target="../ctrlProps/ctrlProp2867.xml"/><Relationship Id="rId743" Type="http://schemas.openxmlformats.org/officeDocument/2006/relationships/ctrlProp" Target="../ctrlProps/ctrlProp741.xml"/><Relationship Id="rId950" Type="http://schemas.openxmlformats.org/officeDocument/2006/relationships/ctrlProp" Target="../ctrlProps/ctrlProp948.xml"/><Relationship Id="rId1026" Type="http://schemas.openxmlformats.org/officeDocument/2006/relationships/ctrlProp" Target="../ctrlProps/ctrlProp1024.xml"/><Relationship Id="rId1580" Type="http://schemas.openxmlformats.org/officeDocument/2006/relationships/ctrlProp" Target="../ctrlProps/ctrlProp1578.xml"/><Relationship Id="rId1678" Type="http://schemas.openxmlformats.org/officeDocument/2006/relationships/ctrlProp" Target="../ctrlProps/ctrlProp1676.xml"/><Relationship Id="rId1885" Type="http://schemas.openxmlformats.org/officeDocument/2006/relationships/ctrlProp" Target="../ctrlProps/ctrlProp1883.xml"/><Relationship Id="rId2424" Type="http://schemas.openxmlformats.org/officeDocument/2006/relationships/ctrlProp" Target="../ctrlProps/ctrlProp2422.xml"/><Relationship Id="rId2631" Type="http://schemas.openxmlformats.org/officeDocument/2006/relationships/ctrlProp" Target="../ctrlProps/ctrlProp2629.xml"/><Relationship Id="rId2729" Type="http://schemas.openxmlformats.org/officeDocument/2006/relationships/ctrlProp" Target="../ctrlProps/ctrlProp2727.xml"/><Relationship Id="rId2936" Type="http://schemas.openxmlformats.org/officeDocument/2006/relationships/ctrlProp" Target="../ctrlProps/ctrlProp2934.xml"/><Relationship Id="rId603" Type="http://schemas.openxmlformats.org/officeDocument/2006/relationships/ctrlProp" Target="../ctrlProps/ctrlProp601.xml"/><Relationship Id="rId810" Type="http://schemas.openxmlformats.org/officeDocument/2006/relationships/ctrlProp" Target="../ctrlProps/ctrlProp808.xml"/><Relationship Id="rId908" Type="http://schemas.openxmlformats.org/officeDocument/2006/relationships/ctrlProp" Target="../ctrlProps/ctrlProp906.xml"/><Relationship Id="rId1233" Type="http://schemas.openxmlformats.org/officeDocument/2006/relationships/ctrlProp" Target="../ctrlProps/ctrlProp1231.xml"/><Relationship Id="rId1440" Type="http://schemas.openxmlformats.org/officeDocument/2006/relationships/ctrlProp" Target="../ctrlProps/ctrlProp1438.xml"/><Relationship Id="rId1538" Type="http://schemas.openxmlformats.org/officeDocument/2006/relationships/ctrlProp" Target="../ctrlProps/ctrlProp1536.xml"/><Relationship Id="rId1300" Type="http://schemas.openxmlformats.org/officeDocument/2006/relationships/ctrlProp" Target="../ctrlProps/ctrlProp1298.xml"/><Relationship Id="rId1745" Type="http://schemas.openxmlformats.org/officeDocument/2006/relationships/ctrlProp" Target="../ctrlProps/ctrlProp1743.xml"/><Relationship Id="rId1952" Type="http://schemas.openxmlformats.org/officeDocument/2006/relationships/ctrlProp" Target="../ctrlProps/ctrlProp1950.xml"/><Relationship Id="rId3198" Type="http://schemas.openxmlformats.org/officeDocument/2006/relationships/table" Target="../tables/table9.xml"/><Relationship Id="rId37" Type="http://schemas.openxmlformats.org/officeDocument/2006/relationships/ctrlProp" Target="../ctrlProps/ctrlProp35.xml"/><Relationship Id="rId1605" Type="http://schemas.openxmlformats.org/officeDocument/2006/relationships/ctrlProp" Target="../ctrlProps/ctrlProp1603.xml"/><Relationship Id="rId1812" Type="http://schemas.openxmlformats.org/officeDocument/2006/relationships/ctrlProp" Target="../ctrlProps/ctrlProp1810.xml"/><Relationship Id="rId3058" Type="http://schemas.openxmlformats.org/officeDocument/2006/relationships/ctrlProp" Target="../ctrlProps/ctrlProp3056.xml"/><Relationship Id="rId3265" Type="http://schemas.openxmlformats.org/officeDocument/2006/relationships/table" Target="../tables/table76.xml"/><Relationship Id="rId3472" Type="http://schemas.openxmlformats.org/officeDocument/2006/relationships/table" Target="../tables/table283.xml"/><Relationship Id="rId186" Type="http://schemas.openxmlformats.org/officeDocument/2006/relationships/ctrlProp" Target="../ctrlProps/ctrlProp184.xml"/><Relationship Id="rId393" Type="http://schemas.openxmlformats.org/officeDocument/2006/relationships/ctrlProp" Target="../ctrlProps/ctrlProp391.xml"/><Relationship Id="rId2074" Type="http://schemas.openxmlformats.org/officeDocument/2006/relationships/ctrlProp" Target="../ctrlProps/ctrlProp2072.xml"/><Relationship Id="rId2281" Type="http://schemas.openxmlformats.org/officeDocument/2006/relationships/ctrlProp" Target="../ctrlProps/ctrlProp2279.xml"/><Relationship Id="rId3125" Type="http://schemas.openxmlformats.org/officeDocument/2006/relationships/ctrlProp" Target="../ctrlProps/ctrlProp3123.xml"/><Relationship Id="rId3332" Type="http://schemas.openxmlformats.org/officeDocument/2006/relationships/table" Target="../tables/table143.xml"/><Relationship Id="rId253" Type="http://schemas.openxmlformats.org/officeDocument/2006/relationships/ctrlProp" Target="../ctrlProps/ctrlProp251.xml"/><Relationship Id="rId460" Type="http://schemas.openxmlformats.org/officeDocument/2006/relationships/ctrlProp" Target="../ctrlProps/ctrlProp458.xml"/><Relationship Id="rId698" Type="http://schemas.openxmlformats.org/officeDocument/2006/relationships/ctrlProp" Target="../ctrlProps/ctrlProp696.xml"/><Relationship Id="rId1090" Type="http://schemas.openxmlformats.org/officeDocument/2006/relationships/ctrlProp" Target="../ctrlProps/ctrlProp1088.xml"/><Relationship Id="rId2141" Type="http://schemas.openxmlformats.org/officeDocument/2006/relationships/ctrlProp" Target="../ctrlProps/ctrlProp2139.xml"/><Relationship Id="rId2379" Type="http://schemas.openxmlformats.org/officeDocument/2006/relationships/ctrlProp" Target="../ctrlProps/ctrlProp2377.xml"/><Relationship Id="rId2586" Type="http://schemas.openxmlformats.org/officeDocument/2006/relationships/ctrlProp" Target="../ctrlProps/ctrlProp2584.xml"/><Relationship Id="rId2793" Type="http://schemas.openxmlformats.org/officeDocument/2006/relationships/ctrlProp" Target="../ctrlProps/ctrlProp2791.xml"/><Relationship Id="rId113" Type="http://schemas.openxmlformats.org/officeDocument/2006/relationships/ctrlProp" Target="../ctrlProps/ctrlProp111.xml"/><Relationship Id="rId320" Type="http://schemas.openxmlformats.org/officeDocument/2006/relationships/ctrlProp" Target="../ctrlProps/ctrlProp318.xml"/><Relationship Id="rId558" Type="http://schemas.openxmlformats.org/officeDocument/2006/relationships/ctrlProp" Target="../ctrlProps/ctrlProp556.xml"/><Relationship Id="rId765" Type="http://schemas.openxmlformats.org/officeDocument/2006/relationships/ctrlProp" Target="../ctrlProps/ctrlProp763.xml"/><Relationship Id="rId972" Type="http://schemas.openxmlformats.org/officeDocument/2006/relationships/ctrlProp" Target="../ctrlProps/ctrlProp970.xml"/><Relationship Id="rId1188" Type="http://schemas.openxmlformats.org/officeDocument/2006/relationships/ctrlProp" Target="../ctrlProps/ctrlProp1186.xml"/><Relationship Id="rId1395" Type="http://schemas.openxmlformats.org/officeDocument/2006/relationships/ctrlProp" Target="../ctrlProps/ctrlProp1393.xml"/><Relationship Id="rId2001" Type="http://schemas.openxmlformats.org/officeDocument/2006/relationships/ctrlProp" Target="../ctrlProps/ctrlProp1999.xml"/><Relationship Id="rId2239" Type="http://schemas.openxmlformats.org/officeDocument/2006/relationships/ctrlProp" Target="../ctrlProps/ctrlProp2237.xml"/><Relationship Id="rId2446" Type="http://schemas.openxmlformats.org/officeDocument/2006/relationships/ctrlProp" Target="../ctrlProps/ctrlProp2444.xml"/><Relationship Id="rId2653" Type="http://schemas.openxmlformats.org/officeDocument/2006/relationships/ctrlProp" Target="../ctrlProps/ctrlProp2651.xml"/><Relationship Id="rId2860" Type="http://schemas.openxmlformats.org/officeDocument/2006/relationships/ctrlProp" Target="../ctrlProps/ctrlProp2858.xml"/><Relationship Id="rId418" Type="http://schemas.openxmlformats.org/officeDocument/2006/relationships/ctrlProp" Target="../ctrlProps/ctrlProp416.xml"/><Relationship Id="rId625" Type="http://schemas.openxmlformats.org/officeDocument/2006/relationships/ctrlProp" Target="../ctrlProps/ctrlProp623.xml"/><Relationship Id="rId832" Type="http://schemas.openxmlformats.org/officeDocument/2006/relationships/ctrlProp" Target="../ctrlProps/ctrlProp830.xml"/><Relationship Id="rId1048" Type="http://schemas.openxmlformats.org/officeDocument/2006/relationships/ctrlProp" Target="../ctrlProps/ctrlProp1046.xml"/><Relationship Id="rId1255" Type="http://schemas.openxmlformats.org/officeDocument/2006/relationships/ctrlProp" Target="../ctrlProps/ctrlProp1253.xml"/><Relationship Id="rId1462" Type="http://schemas.openxmlformats.org/officeDocument/2006/relationships/ctrlProp" Target="../ctrlProps/ctrlProp1460.xml"/><Relationship Id="rId2306" Type="http://schemas.openxmlformats.org/officeDocument/2006/relationships/ctrlProp" Target="../ctrlProps/ctrlProp2304.xml"/><Relationship Id="rId2513" Type="http://schemas.openxmlformats.org/officeDocument/2006/relationships/ctrlProp" Target="../ctrlProps/ctrlProp2511.xml"/><Relationship Id="rId2958" Type="http://schemas.openxmlformats.org/officeDocument/2006/relationships/ctrlProp" Target="../ctrlProps/ctrlProp2956.xml"/><Relationship Id="rId1115" Type="http://schemas.openxmlformats.org/officeDocument/2006/relationships/ctrlProp" Target="../ctrlProps/ctrlProp1113.xml"/><Relationship Id="rId1322" Type="http://schemas.openxmlformats.org/officeDocument/2006/relationships/ctrlProp" Target="../ctrlProps/ctrlProp1320.xml"/><Relationship Id="rId1767" Type="http://schemas.openxmlformats.org/officeDocument/2006/relationships/ctrlProp" Target="../ctrlProps/ctrlProp1765.xml"/><Relationship Id="rId1974" Type="http://schemas.openxmlformats.org/officeDocument/2006/relationships/ctrlProp" Target="../ctrlProps/ctrlProp1972.xml"/><Relationship Id="rId2720" Type="http://schemas.openxmlformats.org/officeDocument/2006/relationships/ctrlProp" Target="../ctrlProps/ctrlProp2718.xml"/><Relationship Id="rId2818" Type="http://schemas.openxmlformats.org/officeDocument/2006/relationships/ctrlProp" Target="../ctrlProps/ctrlProp2816.xml"/><Relationship Id="rId59" Type="http://schemas.openxmlformats.org/officeDocument/2006/relationships/ctrlProp" Target="../ctrlProps/ctrlProp57.xml"/><Relationship Id="rId1627" Type="http://schemas.openxmlformats.org/officeDocument/2006/relationships/ctrlProp" Target="../ctrlProps/ctrlProp1625.xml"/><Relationship Id="rId1834" Type="http://schemas.openxmlformats.org/officeDocument/2006/relationships/ctrlProp" Target="../ctrlProps/ctrlProp1832.xml"/><Relationship Id="rId3287" Type="http://schemas.openxmlformats.org/officeDocument/2006/relationships/table" Target="../tables/table98.xml"/><Relationship Id="rId2096" Type="http://schemas.openxmlformats.org/officeDocument/2006/relationships/ctrlProp" Target="../ctrlProps/ctrlProp2094.xml"/><Relationship Id="rId3494" Type="http://schemas.openxmlformats.org/officeDocument/2006/relationships/table" Target="../tables/table305.xml"/><Relationship Id="rId1901" Type="http://schemas.openxmlformats.org/officeDocument/2006/relationships/ctrlProp" Target="../ctrlProps/ctrlProp1899.xml"/><Relationship Id="rId3147" Type="http://schemas.openxmlformats.org/officeDocument/2006/relationships/ctrlProp" Target="../ctrlProps/ctrlProp3145.xml"/><Relationship Id="rId3354" Type="http://schemas.openxmlformats.org/officeDocument/2006/relationships/table" Target="../tables/table165.xml"/><Relationship Id="rId275" Type="http://schemas.openxmlformats.org/officeDocument/2006/relationships/ctrlProp" Target="../ctrlProps/ctrlProp273.xml"/><Relationship Id="rId482" Type="http://schemas.openxmlformats.org/officeDocument/2006/relationships/ctrlProp" Target="../ctrlProps/ctrlProp480.xml"/><Relationship Id="rId2163" Type="http://schemas.openxmlformats.org/officeDocument/2006/relationships/ctrlProp" Target="../ctrlProps/ctrlProp2161.xml"/><Relationship Id="rId2370" Type="http://schemas.openxmlformats.org/officeDocument/2006/relationships/ctrlProp" Target="../ctrlProps/ctrlProp2368.xml"/><Relationship Id="rId3007" Type="http://schemas.openxmlformats.org/officeDocument/2006/relationships/ctrlProp" Target="../ctrlProps/ctrlProp3005.xml"/><Relationship Id="rId3214" Type="http://schemas.openxmlformats.org/officeDocument/2006/relationships/table" Target="../tables/table25.xml"/><Relationship Id="rId3421" Type="http://schemas.openxmlformats.org/officeDocument/2006/relationships/table" Target="../tables/table232.xml"/><Relationship Id="rId135" Type="http://schemas.openxmlformats.org/officeDocument/2006/relationships/ctrlProp" Target="../ctrlProps/ctrlProp133.xml"/><Relationship Id="rId342" Type="http://schemas.openxmlformats.org/officeDocument/2006/relationships/ctrlProp" Target="../ctrlProps/ctrlProp340.xml"/><Relationship Id="rId787" Type="http://schemas.openxmlformats.org/officeDocument/2006/relationships/ctrlProp" Target="../ctrlProps/ctrlProp785.xml"/><Relationship Id="rId994" Type="http://schemas.openxmlformats.org/officeDocument/2006/relationships/ctrlProp" Target="../ctrlProps/ctrlProp992.xml"/><Relationship Id="rId2023" Type="http://schemas.openxmlformats.org/officeDocument/2006/relationships/ctrlProp" Target="../ctrlProps/ctrlProp2021.xml"/><Relationship Id="rId2230" Type="http://schemas.openxmlformats.org/officeDocument/2006/relationships/ctrlProp" Target="../ctrlProps/ctrlProp2228.xml"/><Relationship Id="rId2468" Type="http://schemas.openxmlformats.org/officeDocument/2006/relationships/ctrlProp" Target="../ctrlProps/ctrlProp2466.xml"/><Relationship Id="rId2675" Type="http://schemas.openxmlformats.org/officeDocument/2006/relationships/ctrlProp" Target="../ctrlProps/ctrlProp2673.xml"/><Relationship Id="rId2882" Type="http://schemas.openxmlformats.org/officeDocument/2006/relationships/ctrlProp" Target="../ctrlProps/ctrlProp2880.xml"/><Relationship Id="rId202" Type="http://schemas.openxmlformats.org/officeDocument/2006/relationships/ctrlProp" Target="../ctrlProps/ctrlProp200.xml"/><Relationship Id="rId647" Type="http://schemas.openxmlformats.org/officeDocument/2006/relationships/ctrlProp" Target="../ctrlProps/ctrlProp645.xml"/><Relationship Id="rId854" Type="http://schemas.openxmlformats.org/officeDocument/2006/relationships/ctrlProp" Target="../ctrlProps/ctrlProp852.xml"/><Relationship Id="rId1277" Type="http://schemas.openxmlformats.org/officeDocument/2006/relationships/ctrlProp" Target="../ctrlProps/ctrlProp1275.xml"/><Relationship Id="rId1484" Type="http://schemas.openxmlformats.org/officeDocument/2006/relationships/ctrlProp" Target="../ctrlProps/ctrlProp1482.xml"/><Relationship Id="rId1691" Type="http://schemas.openxmlformats.org/officeDocument/2006/relationships/ctrlProp" Target="../ctrlProps/ctrlProp1689.xml"/><Relationship Id="rId2328" Type="http://schemas.openxmlformats.org/officeDocument/2006/relationships/ctrlProp" Target="../ctrlProps/ctrlProp2326.xml"/><Relationship Id="rId2535" Type="http://schemas.openxmlformats.org/officeDocument/2006/relationships/ctrlProp" Target="../ctrlProps/ctrlProp2533.xml"/><Relationship Id="rId2742" Type="http://schemas.openxmlformats.org/officeDocument/2006/relationships/ctrlProp" Target="../ctrlProps/ctrlProp2740.xml"/><Relationship Id="rId507" Type="http://schemas.openxmlformats.org/officeDocument/2006/relationships/ctrlProp" Target="../ctrlProps/ctrlProp505.xml"/><Relationship Id="rId714" Type="http://schemas.openxmlformats.org/officeDocument/2006/relationships/ctrlProp" Target="../ctrlProps/ctrlProp712.xml"/><Relationship Id="rId921" Type="http://schemas.openxmlformats.org/officeDocument/2006/relationships/ctrlProp" Target="../ctrlProps/ctrlProp919.xml"/><Relationship Id="rId1137" Type="http://schemas.openxmlformats.org/officeDocument/2006/relationships/ctrlProp" Target="../ctrlProps/ctrlProp1135.xml"/><Relationship Id="rId1344" Type="http://schemas.openxmlformats.org/officeDocument/2006/relationships/ctrlProp" Target="../ctrlProps/ctrlProp1342.xml"/><Relationship Id="rId1551" Type="http://schemas.openxmlformats.org/officeDocument/2006/relationships/ctrlProp" Target="../ctrlProps/ctrlProp1549.xml"/><Relationship Id="rId1789" Type="http://schemas.openxmlformats.org/officeDocument/2006/relationships/ctrlProp" Target="../ctrlProps/ctrlProp1787.xml"/><Relationship Id="rId1996" Type="http://schemas.openxmlformats.org/officeDocument/2006/relationships/ctrlProp" Target="../ctrlProps/ctrlProp1994.xml"/><Relationship Id="rId2602" Type="http://schemas.openxmlformats.org/officeDocument/2006/relationships/ctrlProp" Target="../ctrlProps/ctrlProp2600.xml"/><Relationship Id="rId50" Type="http://schemas.openxmlformats.org/officeDocument/2006/relationships/ctrlProp" Target="../ctrlProps/ctrlProp48.xml"/><Relationship Id="rId1204" Type="http://schemas.openxmlformats.org/officeDocument/2006/relationships/ctrlProp" Target="../ctrlProps/ctrlProp1202.xml"/><Relationship Id="rId1411" Type="http://schemas.openxmlformats.org/officeDocument/2006/relationships/ctrlProp" Target="../ctrlProps/ctrlProp1409.xml"/><Relationship Id="rId1649" Type="http://schemas.openxmlformats.org/officeDocument/2006/relationships/ctrlProp" Target="../ctrlProps/ctrlProp1647.xml"/><Relationship Id="rId1856" Type="http://schemas.openxmlformats.org/officeDocument/2006/relationships/ctrlProp" Target="../ctrlProps/ctrlProp1854.xml"/><Relationship Id="rId2907" Type="http://schemas.openxmlformats.org/officeDocument/2006/relationships/ctrlProp" Target="../ctrlProps/ctrlProp2905.xml"/><Relationship Id="rId3071" Type="http://schemas.openxmlformats.org/officeDocument/2006/relationships/ctrlProp" Target="../ctrlProps/ctrlProp3069.xml"/><Relationship Id="rId1509" Type="http://schemas.openxmlformats.org/officeDocument/2006/relationships/ctrlProp" Target="../ctrlProps/ctrlProp1507.xml"/><Relationship Id="rId1716" Type="http://schemas.openxmlformats.org/officeDocument/2006/relationships/ctrlProp" Target="../ctrlProps/ctrlProp1714.xml"/><Relationship Id="rId1923" Type="http://schemas.openxmlformats.org/officeDocument/2006/relationships/ctrlProp" Target="../ctrlProps/ctrlProp1921.xml"/><Relationship Id="rId3169" Type="http://schemas.openxmlformats.org/officeDocument/2006/relationships/ctrlProp" Target="../ctrlProps/ctrlProp3167.xml"/><Relationship Id="rId3376" Type="http://schemas.openxmlformats.org/officeDocument/2006/relationships/table" Target="../tables/table187.xml"/><Relationship Id="rId297" Type="http://schemas.openxmlformats.org/officeDocument/2006/relationships/ctrlProp" Target="../ctrlProps/ctrlProp295.xml"/><Relationship Id="rId2185" Type="http://schemas.openxmlformats.org/officeDocument/2006/relationships/ctrlProp" Target="../ctrlProps/ctrlProp2183.xml"/><Relationship Id="rId2392" Type="http://schemas.openxmlformats.org/officeDocument/2006/relationships/ctrlProp" Target="../ctrlProps/ctrlProp2390.xml"/><Relationship Id="rId3029" Type="http://schemas.openxmlformats.org/officeDocument/2006/relationships/ctrlProp" Target="../ctrlProps/ctrlProp3027.xml"/><Relationship Id="rId3236" Type="http://schemas.openxmlformats.org/officeDocument/2006/relationships/table" Target="../tables/table47.xml"/><Relationship Id="rId157" Type="http://schemas.openxmlformats.org/officeDocument/2006/relationships/ctrlProp" Target="../ctrlProps/ctrlProp155.xml"/><Relationship Id="rId364" Type="http://schemas.openxmlformats.org/officeDocument/2006/relationships/ctrlProp" Target="../ctrlProps/ctrlProp362.xml"/><Relationship Id="rId2045" Type="http://schemas.openxmlformats.org/officeDocument/2006/relationships/ctrlProp" Target="../ctrlProps/ctrlProp2043.xml"/><Relationship Id="rId2697" Type="http://schemas.openxmlformats.org/officeDocument/2006/relationships/ctrlProp" Target="../ctrlProps/ctrlProp2695.xml"/><Relationship Id="rId3443" Type="http://schemas.openxmlformats.org/officeDocument/2006/relationships/table" Target="../tables/table254.xml"/><Relationship Id="rId571" Type="http://schemas.openxmlformats.org/officeDocument/2006/relationships/ctrlProp" Target="../ctrlProps/ctrlProp569.xml"/><Relationship Id="rId669" Type="http://schemas.openxmlformats.org/officeDocument/2006/relationships/ctrlProp" Target="../ctrlProps/ctrlProp667.xml"/><Relationship Id="rId876" Type="http://schemas.openxmlformats.org/officeDocument/2006/relationships/ctrlProp" Target="../ctrlProps/ctrlProp874.xml"/><Relationship Id="rId1299" Type="http://schemas.openxmlformats.org/officeDocument/2006/relationships/ctrlProp" Target="../ctrlProps/ctrlProp1297.xml"/><Relationship Id="rId2252" Type="http://schemas.openxmlformats.org/officeDocument/2006/relationships/ctrlProp" Target="../ctrlProps/ctrlProp2250.xml"/><Relationship Id="rId2557" Type="http://schemas.openxmlformats.org/officeDocument/2006/relationships/ctrlProp" Target="../ctrlProps/ctrlProp2555.xml"/><Relationship Id="rId3303" Type="http://schemas.openxmlformats.org/officeDocument/2006/relationships/table" Target="../tables/table114.xml"/><Relationship Id="rId3510" Type="http://schemas.openxmlformats.org/officeDocument/2006/relationships/table" Target="../tables/table321.xml"/><Relationship Id="rId224" Type="http://schemas.openxmlformats.org/officeDocument/2006/relationships/ctrlProp" Target="../ctrlProps/ctrlProp222.xml"/><Relationship Id="rId431" Type="http://schemas.openxmlformats.org/officeDocument/2006/relationships/ctrlProp" Target="../ctrlProps/ctrlProp429.xml"/><Relationship Id="rId529" Type="http://schemas.openxmlformats.org/officeDocument/2006/relationships/ctrlProp" Target="../ctrlProps/ctrlProp527.xml"/><Relationship Id="rId736" Type="http://schemas.openxmlformats.org/officeDocument/2006/relationships/ctrlProp" Target="../ctrlProps/ctrlProp734.xml"/><Relationship Id="rId1061" Type="http://schemas.openxmlformats.org/officeDocument/2006/relationships/ctrlProp" Target="../ctrlProps/ctrlProp1059.xml"/><Relationship Id="rId1159" Type="http://schemas.openxmlformats.org/officeDocument/2006/relationships/ctrlProp" Target="../ctrlProps/ctrlProp1157.xml"/><Relationship Id="rId1366" Type="http://schemas.openxmlformats.org/officeDocument/2006/relationships/ctrlProp" Target="../ctrlProps/ctrlProp1364.xml"/><Relationship Id="rId2112" Type="http://schemas.openxmlformats.org/officeDocument/2006/relationships/ctrlProp" Target="../ctrlProps/ctrlProp2110.xml"/><Relationship Id="rId2417" Type="http://schemas.openxmlformats.org/officeDocument/2006/relationships/ctrlProp" Target="../ctrlProps/ctrlProp2415.xml"/><Relationship Id="rId2764" Type="http://schemas.openxmlformats.org/officeDocument/2006/relationships/ctrlProp" Target="../ctrlProps/ctrlProp2762.xml"/><Relationship Id="rId2971" Type="http://schemas.openxmlformats.org/officeDocument/2006/relationships/ctrlProp" Target="../ctrlProps/ctrlProp2969.xml"/><Relationship Id="rId943" Type="http://schemas.openxmlformats.org/officeDocument/2006/relationships/ctrlProp" Target="../ctrlProps/ctrlProp941.xml"/><Relationship Id="rId1019" Type="http://schemas.openxmlformats.org/officeDocument/2006/relationships/ctrlProp" Target="../ctrlProps/ctrlProp1017.xml"/><Relationship Id="rId1573" Type="http://schemas.openxmlformats.org/officeDocument/2006/relationships/ctrlProp" Target="../ctrlProps/ctrlProp1571.xml"/><Relationship Id="rId1780" Type="http://schemas.openxmlformats.org/officeDocument/2006/relationships/ctrlProp" Target="../ctrlProps/ctrlProp1778.xml"/><Relationship Id="rId1878" Type="http://schemas.openxmlformats.org/officeDocument/2006/relationships/ctrlProp" Target="../ctrlProps/ctrlProp1876.xml"/><Relationship Id="rId2624" Type="http://schemas.openxmlformats.org/officeDocument/2006/relationships/ctrlProp" Target="../ctrlProps/ctrlProp2622.xml"/><Relationship Id="rId2831" Type="http://schemas.openxmlformats.org/officeDocument/2006/relationships/ctrlProp" Target="../ctrlProps/ctrlProp2829.xml"/><Relationship Id="rId2929" Type="http://schemas.openxmlformats.org/officeDocument/2006/relationships/ctrlProp" Target="../ctrlProps/ctrlProp2927.xml"/><Relationship Id="rId72" Type="http://schemas.openxmlformats.org/officeDocument/2006/relationships/ctrlProp" Target="../ctrlProps/ctrlProp70.xml"/><Relationship Id="rId803" Type="http://schemas.openxmlformats.org/officeDocument/2006/relationships/ctrlProp" Target="../ctrlProps/ctrlProp801.xml"/><Relationship Id="rId1226" Type="http://schemas.openxmlformats.org/officeDocument/2006/relationships/ctrlProp" Target="../ctrlProps/ctrlProp1224.xml"/><Relationship Id="rId1433" Type="http://schemas.openxmlformats.org/officeDocument/2006/relationships/ctrlProp" Target="../ctrlProps/ctrlProp1431.xml"/><Relationship Id="rId1640" Type="http://schemas.openxmlformats.org/officeDocument/2006/relationships/ctrlProp" Target="../ctrlProps/ctrlProp1638.xml"/><Relationship Id="rId1738" Type="http://schemas.openxmlformats.org/officeDocument/2006/relationships/ctrlProp" Target="../ctrlProps/ctrlProp1736.xml"/><Relationship Id="rId3093" Type="http://schemas.openxmlformats.org/officeDocument/2006/relationships/ctrlProp" Target="../ctrlProps/ctrlProp3091.xml"/><Relationship Id="rId1500" Type="http://schemas.openxmlformats.org/officeDocument/2006/relationships/ctrlProp" Target="../ctrlProps/ctrlProp1498.xml"/><Relationship Id="rId1945" Type="http://schemas.openxmlformats.org/officeDocument/2006/relationships/ctrlProp" Target="../ctrlProps/ctrlProp1943.xml"/><Relationship Id="rId3160" Type="http://schemas.openxmlformats.org/officeDocument/2006/relationships/ctrlProp" Target="../ctrlProps/ctrlProp3158.xml"/><Relationship Id="rId3398" Type="http://schemas.openxmlformats.org/officeDocument/2006/relationships/table" Target="../tables/table209.xml"/><Relationship Id="rId1805" Type="http://schemas.openxmlformats.org/officeDocument/2006/relationships/ctrlProp" Target="../ctrlProps/ctrlProp1803.xml"/><Relationship Id="rId3020" Type="http://schemas.openxmlformats.org/officeDocument/2006/relationships/ctrlProp" Target="../ctrlProps/ctrlProp3018.xml"/><Relationship Id="rId3258" Type="http://schemas.openxmlformats.org/officeDocument/2006/relationships/table" Target="../tables/table69.xml"/><Relationship Id="rId3465" Type="http://schemas.openxmlformats.org/officeDocument/2006/relationships/table" Target="../tables/table276.xml"/><Relationship Id="rId179" Type="http://schemas.openxmlformats.org/officeDocument/2006/relationships/ctrlProp" Target="../ctrlProps/ctrlProp177.xml"/><Relationship Id="rId386" Type="http://schemas.openxmlformats.org/officeDocument/2006/relationships/ctrlProp" Target="../ctrlProps/ctrlProp384.xml"/><Relationship Id="rId593" Type="http://schemas.openxmlformats.org/officeDocument/2006/relationships/ctrlProp" Target="../ctrlProps/ctrlProp591.xml"/><Relationship Id="rId2067" Type="http://schemas.openxmlformats.org/officeDocument/2006/relationships/ctrlProp" Target="../ctrlProps/ctrlProp2065.xml"/><Relationship Id="rId2274" Type="http://schemas.openxmlformats.org/officeDocument/2006/relationships/ctrlProp" Target="../ctrlProps/ctrlProp2272.xml"/><Relationship Id="rId2481" Type="http://schemas.openxmlformats.org/officeDocument/2006/relationships/ctrlProp" Target="../ctrlProps/ctrlProp2479.xml"/><Relationship Id="rId3118" Type="http://schemas.openxmlformats.org/officeDocument/2006/relationships/ctrlProp" Target="../ctrlProps/ctrlProp3116.xml"/><Relationship Id="rId3325" Type="http://schemas.openxmlformats.org/officeDocument/2006/relationships/table" Target="../tables/table136.xml"/><Relationship Id="rId246" Type="http://schemas.openxmlformats.org/officeDocument/2006/relationships/ctrlProp" Target="../ctrlProps/ctrlProp244.xml"/><Relationship Id="rId453" Type="http://schemas.openxmlformats.org/officeDocument/2006/relationships/ctrlProp" Target="../ctrlProps/ctrlProp451.xml"/><Relationship Id="rId660" Type="http://schemas.openxmlformats.org/officeDocument/2006/relationships/ctrlProp" Target="../ctrlProps/ctrlProp658.xml"/><Relationship Id="rId898" Type="http://schemas.openxmlformats.org/officeDocument/2006/relationships/ctrlProp" Target="../ctrlProps/ctrlProp896.xml"/><Relationship Id="rId1083" Type="http://schemas.openxmlformats.org/officeDocument/2006/relationships/ctrlProp" Target="../ctrlProps/ctrlProp1081.xml"/><Relationship Id="rId1290" Type="http://schemas.openxmlformats.org/officeDocument/2006/relationships/ctrlProp" Target="../ctrlProps/ctrlProp1288.xml"/><Relationship Id="rId2134" Type="http://schemas.openxmlformats.org/officeDocument/2006/relationships/ctrlProp" Target="../ctrlProps/ctrlProp2132.xml"/><Relationship Id="rId2341" Type="http://schemas.openxmlformats.org/officeDocument/2006/relationships/ctrlProp" Target="../ctrlProps/ctrlProp2339.xml"/><Relationship Id="rId2579" Type="http://schemas.openxmlformats.org/officeDocument/2006/relationships/ctrlProp" Target="../ctrlProps/ctrlProp2577.xml"/><Relationship Id="rId2786" Type="http://schemas.openxmlformats.org/officeDocument/2006/relationships/ctrlProp" Target="../ctrlProps/ctrlProp2784.xml"/><Relationship Id="rId2993" Type="http://schemas.openxmlformats.org/officeDocument/2006/relationships/ctrlProp" Target="../ctrlProps/ctrlProp2991.xml"/><Relationship Id="rId106" Type="http://schemas.openxmlformats.org/officeDocument/2006/relationships/ctrlProp" Target="../ctrlProps/ctrlProp104.xml"/><Relationship Id="rId313" Type="http://schemas.openxmlformats.org/officeDocument/2006/relationships/ctrlProp" Target="../ctrlProps/ctrlProp311.xml"/><Relationship Id="rId758" Type="http://schemas.openxmlformats.org/officeDocument/2006/relationships/ctrlProp" Target="../ctrlProps/ctrlProp756.xml"/><Relationship Id="rId965" Type="http://schemas.openxmlformats.org/officeDocument/2006/relationships/ctrlProp" Target="../ctrlProps/ctrlProp963.xml"/><Relationship Id="rId1150" Type="http://schemas.openxmlformats.org/officeDocument/2006/relationships/ctrlProp" Target="../ctrlProps/ctrlProp1148.xml"/><Relationship Id="rId1388" Type="http://schemas.openxmlformats.org/officeDocument/2006/relationships/ctrlProp" Target="../ctrlProps/ctrlProp1386.xml"/><Relationship Id="rId1595" Type="http://schemas.openxmlformats.org/officeDocument/2006/relationships/ctrlProp" Target="../ctrlProps/ctrlProp1593.xml"/><Relationship Id="rId2439" Type="http://schemas.openxmlformats.org/officeDocument/2006/relationships/ctrlProp" Target="../ctrlProps/ctrlProp2437.xml"/><Relationship Id="rId2646" Type="http://schemas.openxmlformats.org/officeDocument/2006/relationships/ctrlProp" Target="../ctrlProps/ctrlProp2644.xml"/><Relationship Id="rId2853" Type="http://schemas.openxmlformats.org/officeDocument/2006/relationships/ctrlProp" Target="../ctrlProps/ctrlProp2851.xml"/><Relationship Id="rId94" Type="http://schemas.openxmlformats.org/officeDocument/2006/relationships/ctrlProp" Target="../ctrlProps/ctrlProp92.xml"/><Relationship Id="rId520" Type="http://schemas.openxmlformats.org/officeDocument/2006/relationships/ctrlProp" Target="../ctrlProps/ctrlProp518.xml"/><Relationship Id="rId618" Type="http://schemas.openxmlformats.org/officeDocument/2006/relationships/ctrlProp" Target="../ctrlProps/ctrlProp616.xml"/><Relationship Id="rId825" Type="http://schemas.openxmlformats.org/officeDocument/2006/relationships/ctrlProp" Target="../ctrlProps/ctrlProp823.xml"/><Relationship Id="rId1248" Type="http://schemas.openxmlformats.org/officeDocument/2006/relationships/ctrlProp" Target="../ctrlProps/ctrlProp1246.xml"/><Relationship Id="rId1455" Type="http://schemas.openxmlformats.org/officeDocument/2006/relationships/ctrlProp" Target="../ctrlProps/ctrlProp1453.xml"/><Relationship Id="rId1662" Type="http://schemas.openxmlformats.org/officeDocument/2006/relationships/ctrlProp" Target="../ctrlProps/ctrlProp1660.xml"/><Relationship Id="rId2201" Type="http://schemas.openxmlformats.org/officeDocument/2006/relationships/ctrlProp" Target="../ctrlProps/ctrlProp2199.xml"/><Relationship Id="rId2506" Type="http://schemas.openxmlformats.org/officeDocument/2006/relationships/ctrlProp" Target="../ctrlProps/ctrlProp2504.xml"/><Relationship Id="rId1010" Type="http://schemas.openxmlformats.org/officeDocument/2006/relationships/ctrlProp" Target="../ctrlProps/ctrlProp1008.xml"/><Relationship Id="rId1108" Type="http://schemas.openxmlformats.org/officeDocument/2006/relationships/ctrlProp" Target="../ctrlProps/ctrlProp1106.xml"/><Relationship Id="rId1315" Type="http://schemas.openxmlformats.org/officeDocument/2006/relationships/ctrlProp" Target="../ctrlProps/ctrlProp1313.xml"/><Relationship Id="rId1967" Type="http://schemas.openxmlformats.org/officeDocument/2006/relationships/ctrlProp" Target="../ctrlProps/ctrlProp1965.xml"/><Relationship Id="rId2713" Type="http://schemas.openxmlformats.org/officeDocument/2006/relationships/ctrlProp" Target="../ctrlProps/ctrlProp2711.xml"/><Relationship Id="rId2920" Type="http://schemas.openxmlformats.org/officeDocument/2006/relationships/ctrlProp" Target="../ctrlProps/ctrlProp2918.xml"/><Relationship Id="rId1522" Type="http://schemas.openxmlformats.org/officeDocument/2006/relationships/ctrlProp" Target="../ctrlProps/ctrlProp1520.xml"/><Relationship Id="rId21" Type="http://schemas.openxmlformats.org/officeDocument/2006/relationships/ctrlProp" Target="../ctrlProps/ctrlProp19.xml"/><Relationship Id="rId2089" Type="http://schemas.openxmlformats.org/officeDocument/2006/relationships/ctrlProp" Target="../ctrlProps/ctrlProp2087.xml"/><Relationship Id="rId3487" Type="http://schemas.openxmlformats.org/officeDocument/2006/relationships/table" Target="../tables/table298.xml"/><Relationship Id="rId2296" Type="http://schemas.openxmlformats.org/officeDocument/2006/relationships/ctrlProp" Target="../ctrlProps/ctrlProp2294.xml"/><Relationship Id="rId3347" Type="http://schemas.openxmlformats.org/officeDocument/2006/relationships/table" Target="../tables/table158.xml"/><Relationship Id="rId268" Type="http://schemas.openxmlformats.org/officeDocument/2006/relationships/ctrlProp" Target="../ctrlProps/ctrlProp266.xml"/><Relationship Id="rId475" Type="http://schemas.openxmlformats.org/officeDocument/2006/relationships/ctrlProp" Target="../ctrlProps/ctrlProp473.xml"/><Relationship Id="rId682" Type="http://schemas.openxmlformats.org/officeDocument/2006/relationships/ctrlProp" Target="../ctrlProps/ctrlProp680.xml"/><Relationship Id="rId2156" Type="http://schemas.openxmlformats.org/officeDocument/2006/relationships/ctrlProp" Target="../ctrlProps/ctrlProp2154.xml"/><Relationship Id="rId2363" Type="http://schemas.openxmlformats.org/officeDocument/2006/relationships/ctrlProp" Target="../ctrlProps/ctrlProp2361.xml"/><Relationship Id="rId2570" Type="http://schemas.openxmlformats.org/officeDocument/2006/relationships/ctrlProp" Target="../ctrlProps/ctrlProp2568.xml"/><Relationship Id="rId3207" Type="http://schemas.openxmlformats.org/officeDocument/2006/relationships/table" Target="../tables/table18.xml"/><Relationship Id="rId3414" Type="http://schemas.openxmlformats.org/officeDocument/2006/relationships/table" Target="../tables/table225.xml"/><Relationship Id="rId128" Type="http://schemas.openxmlformats.org/officeDocument/2006/relationships/ctrlProp" Target="../ctrlProps/ctrlProp126.xml"/><Relationship Id="rId335" Type="http://schemas.openxmlformats.org/officeDocument/2006/relationships/ctrlProp" Target="../ctrlProps/ctrlProp333.xml"/><Relationship Id="rId542" Type="http://schemas.openxmlformats.org/officeDocument/2006/relationships/ctrlProp" Target="../ctrlProps/ctrlProp540.xml"/><Relationship Id="rId1172" Type="http://schemas.openxmlformats.org/officeDocument/2006/relationships/ctrlProp" Target="../ctrlProps/ctrlProp1170.xml"/><Relationship Id="rId2016" Type="http://schemas.openxmlformats.org/officeDocument/2006/relationships/ctrlProp" Target="../ctrlProps/ctrlProp2014.xml"/><Relationship Id="rId2223" Type="http://schemas.openxmlformats.org/officeDocument/2006/relationships/ctrlProp" Target="../ctrlProps/ctrlProp2221.xml"/><Relationship Id="rId2430" Type="http://schemas.openxmlformats.org/officeDocument/2006/relationships/ctrlProp" Target="../ctrlProps/ctrlProp2428.xml"/><Relationship Id="rId402" Type="http://schemas.openxmlformats.org/officeDocument/2006/relationships/ctrlProp" Target="../ctrlProps/ctrlProp400.xml"/><Relationship Id="rId1032" Type="http://schemas.openxmlformats.org/officeDocument/2006/relationships/ctrlProp" Target="../ctrlProps/ctrlProp1030.xml"/><Relationship Id="rId1989" Type="http://schemas.openxmlformats.org/officeDocument/2006/relationships/ctrlProp" Target="../ctrlProps/ctrlProp1987.xml"/><Relationship Id="rId1849" Type="http://schemas.openxmlformats.org/officeDocument/2006/relationships/ctrlProp" Target="../ctrlProps/ctrlProp1847.xml"/><Relationship Id="rId3064" Type="http://schemas.openxmlformats.org/officeDocument/2006/relationships/ctrlProp" Target="../ctrlProps/ctrlProp3062.xml"/><Relationship Id="rId192" Type="http://schemas.openxmlformats.org/officeDocument/2006/relationships/ctrlProp" Target="../ctrlProps/ctrlProp190.xml"/><Relationship Id="rId1709" Type="http://schemas.openxmlformats.org/officeDocument/2006/relationships/ctrlProp" Target="../ctrlProps/ctrlProp1707.xml"/><Relationship Id="rId1916" Type="http://schemas.openxmlformats.org/officeDocument/2006/relationships/ctrlProp" Target="../ctrlProps/ctrlProp1914.xml"/><Relationship Id="rId3271" Type="http://schemas.openxmlformats.org/officeDocument/2006/relationships/table" Target="../tables/table82.xml"/><Relationship Id="rId2080" Type="http://schemas.openxmlformats.org/officeDocument/2006/relationships/ctrlProp" Target="../ctrlProps/ctrlProp2078.xml"/><Relationship Id="rId3131" Type="http://schemas.openxmlformats.org/officeDocument/2006/relationships/ctrlProp" Target="../ctrlProps/ctrlProp3129.xml"/><Relationship Id="rId2897" Type="http://schemas.openxmlformats.org/officeDocument/2006/relationships/ctrlProp" Target="../ctrlProps/ctrlProp2895.xml"/><Relationship Id="rId869" Type="http://schemas.openxmlformats.org/officeDocument/2006/relationships/ctrlProp" Target="../ctrlProps/ctrlProp867.xml"/><Relationship Id="rId1499" Type="http://schemas.openxmlformats.org/officeDocument/2006/relationships/ctrlProp" Target="../ctrlProps/ctrlProp1497.xml"/><Relationship Id="rId729" Type="http://schemas.openxmlformats.org/officeDocument/2006/relationships/ctrlProp" Target="../ctrlProps/ctrlProp727.xml"/><Relationship Id="rId1359" Type="http://schemas.openxmlformats.org/officeDocument/2006/relationships/ctrlProp" Target="../ctrlProps/ctrlProp1357.xml"/><Relationship Id="rId2757" Type="http://schemas.openxmlformats.org/officeDocument/2006/relationships/ctrlProp" Target="../ctrlProps/ctrlProp2755.xml"/><Relationship Id="rId2964" Type="http://schemas.openxmlformats.org/officeDocument/2006/relationships/ctrlProp" Target="../ctrlProps/ctrlProp2962.xml"/><Relationship Id="rId936" Type="http://schemas.openxmlformats.org/officeDocument/2006/relationships/ctrlProp" Target="../ctrlProps/ctrlProp934.xml"/><Relationship Id="rId1219" Type="http://schemas.openxmlformats.org/officeDocument/2006/relationships/ctrlProp" Target="../ctrlProps/ctrlProp1217.xml"/><Relationship Id="rId1566" Type="http://schemas.openxmlformats.org/officeDocument/2006/relationships/ctrlProp" Target="../ctrlProps/ctrlProp1564.xml"/><Relationship Id="rId1773" Type="http://schemas.openxmlformats.org/officeDocument/2006/relationships/ctrlProp" Target="../ctrlProps/ctrlProp1771.xml"/><Relationship Id="rId1980" Type="http://schemas.openxmlformats.org/officeDocument/2006/relationships/ctrlProp" Target="../ctrlProps/ctrlProp1978.xml"/><Relationship Id="rId2617" Type="http://schemas.openxmlformats.org/officeDocument/2006/relationships/ctrlProp" Target="../ctrlProps/ctrlProp2615.xml"/><Relationship Id="rId2824" Type="http://schemas.openxmlformats.org/officeDocument/2006/relationships/ctrlProp" Target="../ctrlProps/ctrlProp2822.xml"/><Relationship Id="rId65" Type="http://schemas.openxmlformats.org/officeDocument/2006/relationships/ctrlProp" Target="../ctrlProps/ctrlProp63.xml"/><Relationship Id="rId1426" Type="http://schemas.openxmlformats.org/officeDocument/2006/relationships/ctrlProp" Target="../ctrlProps/ctrlProp1424.xml"/><Relationship Id="rId1633" Type="http://schemas.openxmlformats.org/officeDocument/2006/relationships/ctrlProp" Target="../ctrlProps/ctrlProp1631.xml"/><Relationship Id="rId1840" Type="http://schemas.openxmlformats.org/officeDocument/2006/relationships/ctrlProp" Target="../ctrlProps/ctrlProp1838.xml"/><Relationship Id="rId1700" Type="http://schemas.openxmlformats.org/officeDocument/2006/relationships/ctrlProp" Target="../ctrlProps/ctrlProp1698.xml"/><Relationship Id="rId3458" Type="http://schemas.openxmlformats.org/officeDocument/2006/relationships/table" Target="../tables/table269.xml"/><Relationship Id="rId379" Type="http://schemas.openxmlformats.org/officeDocument/2006/relationships/ctrlProp" Target="../ctrlProps/ctrlProp377.xml"/><Relationship Id="rId586" Type="http://schemas.openxmlformats.org/officeDocument/2006/relationships/ctrlProp" Target="../ctrlProps/ctrlProp584.xml"/><Relationship Id="rId793" Type="http://schemas.openxmlformats.org/officeDocument/2006/relationships/ctrlProp" Target="../ctrlProps/ctrlProp791.xml"/><Relationship Id="rId2267" Type="http://schemas.openxmlformats.org/officeDocument/2006/relationships/ctrlProp" Target="../ctrlProps/ctrlProp2265.xml"/><Relationship Id="rId2474" Type="http://schemas.openxmlformats.org/officeDocument/2006/relationships/ctrlProp" Target="../ctrlProps/ctrlProp2472.xml"/><Relationship Id="rId2681" Type="http://schemas.openxmlformats.org/officeDocument/2006/relationships/ctrlProp" Target="../ctrlProps/ctrlProp2679.xml"/><Relationship Id="rId3318" Type="http://schemas.openxmlformats.org/officeDocument/2006/relationships/table" Target="../tables/table129.xml"/><Relationship Id="rId239" Type="http://schemas.openxmlformats.org/officeDocument/2006/relationships/ctrlProp" Target="../ctrlProps/ctrlProp237.xml"/><Relationship Id="rId446" Type="http://schemas.openxmlformats.org/officeDocument/2006/relationships/ctrlProp" Target="../ctrlProps/ctrlProp444.xml"/><Relationship Id="rId653" Type="http://schemas.openxmlformats.org/officeDocument/2006/relationships/ctrlProp" Target="../ctrlProps/ctrlProp651.xml"/><Relationship Id="rId1076" Type="http://schemas.openxmlformats.org/officeDocument/2006/relationships/ctrlProp" Target="../ctrlProps/ctrlProp1074.xml"/><Relationship Id="rId1283" Type="http://schemas.openxmlformats.org/officeDocument/2006/relationships/ctrlProp" Target="../ctrlProps/ctrlProp1281.xml"/><Relationship Id="rId1490" Type="http://schemas.openxmlformats.org/officeDocument/2006/relationships/ctrlProp" Target="../ctrlProps/ctrlProp1488.xml"/><Relationship Id="rId2127" Type="http://schemas.openxmlformats.org/officeDocument/2006/relationships/ctrlProp" Target="../ctrlProps/ctrlProp2125.xml"/><Relationship Id="rId2334" Type="http://schemas.openxmlformats.org/officeDocument/2006/relationships/ctrlProp" Target="../ctrlProps/ctrlProp2332.xml"/><Relationship Id="rId306" Type="http://schemas.openxmlformats.org/officeDocument/2006/relationships/ctrlProp" Target="../ctrlProps/ctrlProp304.xml"/><Relationship Id="rId860" Type="http://schemas.openxmlformats.org/officeDocument/2006/relationships/ctrlProp" Target="../ctrlProps/ctrlProp858.xml"/><Relationship Id="rId1143" Type="http://schemas.openxmlformats.org/officeDocument/2006/relationships/ctrlProp" Target="../ctrlProps/ctrlProp1141.xml"/><Relationship Id="rId2541" Type="http://schemas.openxmlformats.org/officeDocument/2006/relationships/ctrlProp" Target="../ctrlProps/ctrlProp2539.xml"/><Relationship Id="rId513" Type="http://schemas.openxmlformats.org/officeDocument/2006/relationships/ctrlProp" Target="../ctrlProps/ctrlProp511.xml"/><Relationship Id="rId720" Type="http://schemas.openxmlformats.org/officeDocument/2006/relationships/ctrlProp" Target="../ctrlProps/ctrlProp718.xml"/><Relationship Id="rId1350" Type="http://schemas.openxmlformats.org/officeDocument/2006/relationships/ctrlProp" Target="../ctrlProps/ctrlProp1348.xml"/><Relationship Id="rId2401" Type="http://schemas.openxmlformats.org/officeDocument/2006/relationships/ctrlProp" Target="../ctrlProps/ctrlProp2399.xml"/><Relationship Id="rId1003" Type="http://schemas.openxmlformats.org/officeDocument/2006/relationships/ctrlProp" Target="../ctrlProps/ctrlProp1001.xml"/><Relationship Id="rId1210" Type="http://schemas.openxmlformats.org/officeDocument/2006/relationships/ctrlProp" Target="../ctrlProps/ctrlProp1208.xml"/><Relationship Id="rId3175" Type="http://schemas.openxmlformats.org/officeDocument/2006/relationships/ctrlProp" Target="../ctrlProps/ctrlProp3173.xml"/><Relationship Id="rId3382" Type="http://schemas.openxmlformats.org/officeDocument/2006/relationships/table" Target="../tables/table193.xml"/><Relationship Id="rId2191" Type="http://schemas.openxmlformats.org/officeDocument/2006/relationships/ctrlProp" Target="../ctrlProps/ctrlProp2189.xml"/><Relationship Id="rId3035" Type="http://schemas.openxmlformats.org/officeDocument/2006/relationships/ctrlProp" Target="../ctrlProps/ctrlProp3033.xml"/><Relationship Id="rId3242" Type="http://schemas.openxmlformats.org/officeDocument/2006/relationships/table" Target="../tables/table53.xml"/><Relationship Id="rId163" Type="http://schemas.openxmlformats.org/officeDocument/2006/relationships/ctrlProp" Target="../ctrlProps/ctrlProp161.xml"/><Relationship Id="rId370" Type="http://schemas.openxmlformats.org/officeDocument/2006/relationships/ctrlProp" Target="../ctrlProps/ctrlProp368.xml"/><Relationship Id="rId2051" Type="http://schemas.openxmlformats.org/officeDocument/2006/relationships/ctrlProp" Target="../ctrlProps/ctrlProp2049.xml"/><Relationship Id="rId3102" Type="http://schemas.openxmlformats.org/officeDocument/2006/relationships/ctrlProp" Target="../ctrlProps/ctrlProp3100.xml"/><Relationship Id="rId230" Type="http://schemas.openxmlformats.org/officeDocument/2006/relationships/ctrlProp" Target="../ctrlProps/ctrlProp228.xml"/><Relationship Id="rId2868" Type="http://schemas.openxmlformats.org/officeDocument/2006/relationships/ctrlProp" Target="../ctrlProps/ctrlProp2866.xml"/><Relationship Id="rId1677" Type="http://schemas.openxmlformats.org/officeDocument/2006/relationships/ctrlProp" Target="../ctrlProps/ctrlProp1675.xml"/><Relationship Id="rId1884" Type="http://schemas.openxmlformats.org/officeDocument/2006/relationships/ctrlProp" Target="../ctrlProps/ctrlProp1882.xml"/><Relationship Id="rId2728" Type="http://schemas.openxmlformats.org/officeDocument/2006/relationships/ctrlProp" Target="../ctrlProps/ctrlProp2726.xml"/><Relationship Id="rId2935" Type="http://schemas.openxmlformats.org/officeDocument/2006/relationships/ctrlProp" Target="../ctrlProps/ctrlProp2933.xml"/><Relationship Id="rId907" Type="http://schemas.openxmlformats.org/officeDocument/2006/relationships/ctrlProp" Target="../ctrlProps/ctrlProp905.xml"/><Relationship Id="rId1537" Type="http://schemas.openxmlformats.org/officeDocument/2006/relationships/ctrlProp" Target="../ctrlProps/ctrlProp1535.xml"/><Relationship Id="rId1744" Type="http://schemas.openxmlformats.org/officeDocument/2006/relationships/ctrlProp" Target="../ctrlProps/ctrlProp1742.xml"/><Relationship Id="rId1951" Type="http://schemas.openxmlformats.org/officeDocument/2006/relationships/ctrlProp" Target="../ctrlProps/ctrlProp1949.xml"/><Relationship Id="rId36" Type="http://schemas.openxmlformats.org/officeDocument/2006/relationships/ctrlProp" Target="../ctrlProps/ctrlProp34.xml"/><Relationship Id="rId1604" Type="http://schemas.openxmlformats.org/officeDocument/2006/relationships/ctrlProp" Target="../ctrlProps/ctrlProp1602.xml"/><Relationship Id="rId1811" Type="http://schemas.openxmlformats.org/officeDocument/2006/relationships/ctrlProp" Target="../ctrlProps/ctrlProp1809.xml"/><Relationship Id="rId697" Type="http://schemas.openxmlformats.org/officeDocument/2006/relationships/ctrlProp" Target="../ctrlProps/ctrlProp695.xml"/><Relationship Id="rId2378" Type="http://schemas.openxmlformats.org/officeDocument/2006/relationships/ctrlProp" Target="../ctrlProps/ctrlProp2376.xml"/><Relationship Id="rId3429" Type="http://schemas.openxmlformats.org/officeDocument/2006/relationships/table" Target="../tables/table240.xml"/><Relationship Id="rId1187" Type="http://schemas.openxmlformats.org/officeDocument/2006/relationships/ctrlProp" Target="../ctrlProps/ctrlProp1185.xml"/><Relationship Id="rId2585" Type="http://schemas.openxmlformats.org/officeDocument/2006/relationships/ctrlProp" Target="../ctrlProps/ctrlProp2583.xml"/><Relationship Id="rId2792" Type="http://schemas.openxmlformats.org/officeDocument/2006/relationships/ctrlProp" Target="../ctrlProps/ctrlProp2790.xml"/><Relationship Id="rId557" Type="http://schemas.openxmlformats.org/officeDocument/2006/relationships/ctrlProp" Target="../ctrlProps/ctrlProp555.xml"/><Relationship Id="rId764" Type="http://schemas.openxmlformats.org/officeDocument/2006/relationships/ctrlProp" Target="../ctrlProps/ctrlProp762.xml"/><Relationship Id="rId971" Type="http://schemas.openxmlformats.org/officeDocument/2006/relationships/ctrlProp" Target="../ctrlProps/ctrlProp969.xml"/><Relationship Id="rId1394" Type="http://schemas.openxmlformats.org/officeDocument/2006/relationships/ctrlProp" Target="../ctrlProps/ctrlProp1392.xml"/><Relationship Id="rId2238" Type="http://schemas.openxmlformats.org/officeDocument/2006/relationships/ctrlProp" Target="../ctrlProps/ctrlProp2236.xml"/><Relationship Id="rId2445" Type="http://schemas.openxmlformats.org/officeDocument/2006/relationships/ctrlProp" Target="../ctrlProps/ctrlProp2443.xml"/><Relationship Id="rId2652" Type="http://schemas.openxmlformats.org/officeDocument/2006/relationships/ctrlProp" Target="../ctrlProps/ctrlProp2650.xml"/><Relationship Id="rId417" Type="http://schemas.openxmlformats.org/officeDocument/2006/relationships/ctrlProp" Target="../ctrlProps/ctrlProp415.xml"/><Relationship Id="rId624" Type="http://schemas.openxmlformats.org/officeDocument/2006/relationships/ctrlProp" Target="../ctrlProps/ctrlProp622.xml"/><Relationship Id="rId831" Type="http://schemas.openxmlformats.org/officeDocument/2006/relationships/ctrlProp" Target="../ctrlProps/ctrlProp829.xml"/><Relationship Id="rId1047" Type="http://schemas.openxmlformats.org/officeDocument/2006/relationships/ctrlProp" Target="../ctrlProps/ctrlProp1045.xml"/><Relationship Id="rId1254" Type="http://schemas.openxmlformats.org/officeDocument/2006/relationships/ctrlProp" Target="../ctrlProps/ctrlProp1252.xml"/><Relationship Id="rId1461" Type="http://schemas.openxmlformats.org/officeDocument/2006/relationships/ctrlProp" Target="../ctrlProps/ctrlProp1459.xml"/><Relationship Id="rId2305" Type="http://schemas.openxmlformats.org/officeDocument/2006/relationships/ctrlProp" Target="../ctrlProps/ctrlProp2303.xml"/><Relationship Id="rId2512" Type="http://schemas.openxmlformats.org/officeDocument/2006/relationships/ctrlProp" Target="../ctrlProps/ctrlProp2510.xml"/><Relationship Id="rId1114" Type="http://schemas.openxmlformats.org/officeDocument/2006/relationships/ctrlProp" Target="../ctrlProps/ctrlProp1112.xml"/><Relationship Id="rId1321" Type="http://schemas.openxmlformats.org/officeDocument/2006/relationships/ctrlProp" Target="../ctrlProps/ctrlProp1319.xml"/><Relationship Id="rId3079" Type="http://schemas.openxmlformats.org/officeDocument/2006/relationships/ctrlProp" Target="../ctrlProps/ctrlProp3077.xml"/><Relationship Id="rId3286" Type="http://schemas.openxmlformats.org/officeDocument/2006/relationships/table" Target="../tables/table97.xml"/><Relationship Id="rId3493" Type="http://schemas.openxmlformats.org/officeDocument/2006/relationships/table" Target="../tables/table304.xml"/><Relationship Id="rId2095" Type="http://schemas.openxmlformats.org/officeDocument/2006/relationships/ctrlProp" Target="../ctrlProps/ctrlProp2093.xml"/><Relationship Id="rId3146" Type="http://schemas.openxmlformats.org/officeDocument/2006/relationships/ctrlProp" Target="../ctrlProps/ctrlProp3144.xml"/><Relationship Id="rId3353" Type="http://schemas.openxmlformats.org/officeDocument/2006/relationships/table" Target="../tables/table164.xml"/><Relationship Id="rId274" Type="http://schemas.openxmlformats.org/officeDocument/2006/relationships/ctrlProp" Target="../ctrlProps/ctrlProp272.xml"/><Relationship Id="rId481" Type="http://schemas.openxmlformats.org/officeDocument/2006/relationships/ctrlProp" Target="../ctrlProps/ctrlProp479.xml"/><Relationship Id="rId2162" Type="http://schemas.openxmlformats.org/officeDocument/2006/relationships/ctrlProp" Target="../ctrlProps/ctrlProp2160.xml"/><Relationship Id="rId3006" Type="http://schemas.openxmlformats.org/officeDocument/2006/relationships/ctrlProp" Target="../ctrlProps/ctrlProp3004.xml"/><Relationship Id="rId134" Type="http://schemas.openxmlformats.org/officeDocument/2006/relationships/ctrlProp" Target="../ctrlProps/ctrlProp132.xml"/><Relationship Id="rId3213" Type="http://schemas.openxmlformats.org/officeDocument/2006/relationships/table" Target="../tables/table24.xml"/><Relationship Id="rId3420" Type="http://schemas.openxmlformats.org/officeDocument/2006/relationships/table" Target="../tables/table231.xml"/><Relationship Id="rId341" Type="http://schemas.openxmlformats.org/officeDocument/2006/relationships/ctrlProp" Target="../ctrlProps/ctrlProp339.xml"/><Relationship Id="rId2022" Type="http://schemas.openxmlformats.org/officeDocument/2006/relationships/ctrlProp" Target="../ctrlProps/ctrlProp2020.xml"/><Relationship Id="rId2979" Type="http://schemas.openxmlformats.org/officeDocument/2006/relationships/ctrlProp" Target="../ctrlProps/ctrlProp2977.xml"/><Relationship Id="rId201" Type="http://schemas.openxmlformats.org/officeDocument/2006/relationships/ctrlProp" Target="../ctrlProps/ctrlProp199.xml"/><Relationship Id="rId1788" Type="http://schemas.openxmlformats.org/officeDocument/2006/relationships/ctrlProp" Target="../ctrlProps/ctrlProp1786.xml"/><Relationship Id="rId1995" Type="http://schemas.openxmlformats.org/officeDocument/2006/relationships/ctrlProp" Target="../ctrlProps/ctrlProp1993.xml"/><Relationship Id="rId2839" Type="http://schemas.openxmlformats.org/officeDocument/2006/relationships/ctrlProp" Target="../ctrlProps/ctrlProp2837.xml"/><Relationship Id="rId1648" Type="http://schemas.openxmlformats.org/officeDocument/2006/relationships/ctrlProp" Target="../ctrlProps/ctrlProp1646.xml"/><Relationship Id="rId1508" Type="http://schemas.openxmlformats.org/officeDocument/2006/relationships/ctrlProp" Target="../ctrlProps/ctrlProp1506.xml"/><Relationship Id="rId1855" Type="http://schemas.openxmlformats.org/officeDocument/2006/relationships/ctrlProp" Target="../ctrlProps/ctrlProp1853.xml"/><Relationship Id="rId2906" Type="http://schemas.openxmlformats.org/officeDocument/2006/relationships/ctrlProp" Target="../ctrlProps/ctrlProp2904.xml"/><Relationship Id="rId3070" Type="http://schemas.openxmlformats.org/officeDocument/2006/relationships/ctrlProp" Target="../ctrlProps/ctrlProp3068.xml"/><Relationship Id="rId1715" Type="http://schemas.openxmlformats.org/officeDocument/2006/relationships/ctrlProp" Target="../ctrlProps/ctrlProp1713.xml"/><Relationship Id="rId1922" Type="http://schemas.openxmlformats.org/officeDocument/2006/relationships/ctrlProp" Target="../ctrlProps/ctrlProp1920.xml"/><Relationship Id="rId2489" Type="http://schemas.openxmlformats.org/officeDocument/2006/relationships/ctrlProp" Target="../ctrlProps/ctrlProp2487.xml"/><Relationship Id="rId2696" Type="http://schemas.openxmlformats.org/officeDocument/2006/relationships/ctrlProp" Target="../ctrlProps/ctrlProp2694.xml"/><Relationship Id="rId668" Type="http://schemas.openxmlformats.org/officeDocument/2006/relationships/ctrlProp" Target="../ctrlProps/ctrlProp666.xml"/><Relationship Id="rId875" Type="http://schemas.openxmlformats.org/officeDocument/2006/relationships/ctrlProp" Target="../ctrlProps/ctrlProp873.xml"/><Relationship Id="rId1298" Type="http://schemas.openxmlformats.org/officeDocument/2006/relationships/ctrlProp" Target="../ctrlProps/ctrlProp1296.xml"/><Relationship Id="rId2349" Type="http://schemas.openxmlformats.org/officeDocument/2006/relationships/ctrlProp" Target="../ctrlProps/ctrlProp2347.xml"/><Relationship Id="rId2556" Type="http://schemas.openxmlformats.org/officeDocument/2006/relationships/ctrlProp" Target="../ctrlProps/ctrlProp2554.xml"/><Relationship Id="rId2763" Type="http://schemas.openxmlformats.org/officeDocument/2006/relationships/ctrlProp" Target="../ctrlProps/ctrlProp2761.xml"/><Relationship Id="rId2970" Type="http://schemas.openxmlformats.org/officeDocument/2006/relationships/ctrlProp" Target="../ctrlProps/ctrlProp2968.xml"/><Relationship Id="rId528" Type="http://schemas.openxmlformats.org/officeDocument/2006/relationships/ctrlProp" Target="../ctrlProps/ctrlProp526.xml"/><Relationship Id="rId735" Type="http://schemas.openxmlformats.org/officeDocument/2006/relationships/ctrlProp" Target="../ctrlProps/ctrlProp733.xml"/><Relationship Id="rId942" Type="http://schemas.openxmlformats.org/officeDocument/2006/relationships/ctrlProp" Target="../ctrlProps/ctrlProp940.xml"/><Relationship Id="rId1158" Type="http://schemas.openxmlformats.org/officeDocument/2006/relationships/ctrlProp" Target="../ctrlProps/ctrlProp1156.xml"/><Relationship Id="rId1365" Type="http://schemas.openxmlformats.org/officeDocument/2006/relationships/ctrlProp" Target="../ctrlProps/ctrlProp1363.xml"/><Relationship Id="rId1572" Type="http://schemas.openxmlformats.org/officeDocument/2006/relationships/ctrlProp" Target="../ctrlProps/ctrlProp1570.xml"/><Relationship Id="rId2209" Type="http://schemas.openxmlformats.org/officeDocument/2006/relationships/ctrlProp" Target="../ctrlProps/ctrlProp2207.xml"/><Relationship Id="rId2416" Type="http://schemas.openxmlformats.org/officeDocument/2006/relationships/ctrlProp" Target="../ctrlProps/ctrlProp2414.xml"/><Relationship Id="rId2623" Type="http://schemas.openxmlformats.org/officeDocument/2006/relationships/ctrlProp" Target="../ctrlProps/ctrlProp2621.xml"/><Relationship Id="rId1018" Type="http://schemas.openxmlformats.org/officeDocument/2006/relationships/ctrlProp" Target="../ctrlProps/ctrlProp1016.xml"/><Relationship Id="rId1225" Type="http://schemas.openxmlformats.org/officeDocument/2006/relationships/ctrlProp" Target="../ctrlProps/ctrlProp1223.xml"/><Relationship Id="rId1432" Type="http://schemas.openxmlformats.org/officeDocument/2006/relationships/ctrlProp" Target="../ctrlProps/ctrlProp1430.xml"/><Relationship Id="rId2830" Type="http://schemas.openxmlformats.org/officeDocument/2006/relationships/ctrlProp" Target="../ctrlProps/ctrlProp2828.xml"/><Relationship Id="rId71" Type="http://schemas.openxmlformats.org/officeDocument/2006/relationships/ctrlProp" Target="../ctrlProps/ctrlProp69.xml"/><Relationship Id="rId802" Type="http://schemas.openxmlformats.org/officeDocument/2006/relationships/ctrlProp" Target="../ctrlProps/ctrlProp800.xml"/><Relationship Id="rId3397" Type="http://schemas.openxmlformats.org/officeDocument/2006/relationships/table" Target="../tables/table208.xml"/><Relationship Id="rId178" Type="http://schemas.openxmlformats.org/officeDocument/2006/relationships/ctrlProp" Target="../ctrlProps/ctrlProp176.xml"/><Relationship Id="rId3257" Type="http://schemas.openxmlformats.org/officeDocument/2006/relationships/table" Target="../tables/table68.xml"/><Relationship Id="rId3464" Type="http://schemas.openxmlformats.org/officeDocument/2006/relationships/table" Target="../tables/table275.xml"/><Relationship Id="rId385" Type="http://schemas.openxmlformats.org/officeDocument/2006/relationships/ctrlProp" Target="../ctrlProps/ctrlProp383.xml"/><Relationship Id="rId592" Type="http://schemas.openxmlformats.org/officeDocument/2006/relationships/ctrlProp" Target="../ctrlProps/ctrlProp590.xml"/><Relationship Id="rId2066" Type="http://schemas.openxmlformats.org/officeDocument/2006/relationships/ctrlProp" Target="../ctrlProps/ctrlProp2064.xml"/><Relationship Id="rId2273" Type="http://schemas.openxmlformats.org/officeDocument/2006/relationships/ctrlProp" Target="../ctrlProps/ctrlProp2271.xml"/><Relationship Id="rId2480" Type="http://schemas.openxmlformats.org/officeDocument/2006/relationships/ctrlProp" Target="../ctrlProps/ctrlProp2478.xml"/><Relationship Id="rId3117" Type="http://schemas.openxmlformats.org/officeDocument/2006/relationships/ctrlProp" Target="../ctrlProps/ctrlProp3115.xml"/><Relationship Id="rId3324" Type="http://schemas.openxmlformats.org/officeDocument/2006/relationships/table" Target="../tables/table135.xml"/><Relationship Id="rId245" Type="http://schemas.openxmlformats.org/officeDocument/2006/relationships/ctrlProp" Target="../ctrlProps/ctrlProp243.xml"/><Relationship Id="rId452" Type="http://schemas.openxmlformats.org/officeDocument/2006/relationships/ctrlProp" Target="../ctrlProps/ctrlProp450.xml"/><Relationship Id="rId1082" Type="http://schemas.openxmlformats.org/officeDocument/2006/relationships/ctrlProp" Target="../ctrlProps/ctrlProp1080.xml"/><Relationship Id="rId2133" Type="http://schemas.openxmlformats.org/officeDocument/2006/relationships/ctrlProp" Target="../ctrlProps/ctrlProp2131.xml"/><Relationship Id="rId2340" Type="http://schemas.openxmlformats.org/officeDocument/2006/relationships/ctrlProp" Target="../ctrlProps/ctrlProp2338.xml"/><Relationship Id="rId105" Type="http://schemas.openxmlformats.org/officeDocument/2006/relationships/ctrlProp" Target="../ctrlProps/ctrlProp103.xml"/><Relationship Id="rId312" Type="http://schemas.openxmlformats.org/officeDocument/2006/relationships/ctrlProp" Target="../ctrlProps/ctrlProp310.xml"/><Relationship Id="rId2200" Type="http://schemas.openxmlformats.org/officeDocument/2006/relationships/ctrlProp" Target="../ctrlProps/ctrlProp2198.xml"/><Relationship Id="rId1899" Type="http://schemas.openxmlformats.org/officeDocument/2006/relationships/ctrlProp" Target="../ctrlProps/ctrlProp1897.xml"/><Relationship Id="rId1759" Type="http://schemas.openxmlformats.org/officeDocument/2006/relationships/ctrlProp" Target="../ctrlProps/ctrlProp1757.xml"/><Relationship Id="rId1966" Type="http://schemas.openxmlformats.org/officeDocument/2006/relationships/ctrlProp" Target="../ctrlProps/ctrlProp1964.xml"/><Relationship Id="rId3181" Type="http://schemas.openxmlformats.org/officeDocument/2006/relationships/ctrlProp" Target="../ctrlProps/ctrlProp3179.xml"/><Relationship Id="rId1619" Type="http://schemas.openxmlformats.org/officeDocument/2006/relationships/ctrlProp" Target="../ctrlProps/ctrlProp1617.xml"/><Relationship Id="rId1826" Type="http://schemas.openxmlformats.org/officeDocument/2006/relationships/ctrlProp" Target="../ctrlProps/ctrlProp1824.xml"/><Relationship Id="rId3041" Type="http://schemas.openxmlformats.org/officeDocument/2006/relationships/ctrlProp" Target="../ctrlProps/ctrlProp3039.xml"/><Relationship Id="rId779" Type="http://schemas.openxmlformats.org/officeDocument/2006/relationships/ctrlProp" Target="../ctrlProps/ctrlProp777.xml"/><Relationship Id="rId986" Type="http://schemas.openxmlformats.org/officeDocument/2006/relationships/ctrlProp" Target="../ctrlProps/ctrlProp984.xml"/><Relationship Id="rId2667" Type="http://schemas.openxmlformats.org/officeDocument/2006/relationships/ctrlProp" Target="../ctrlProps/ctrlProp2665.xml"/><Relationship Id="rId639" Type="http://schemas.openxmlformats.org/officeDocument/2006/relationships/ctrlProp" Target="../ctrlProps/ctrlProp637.xml"/><Relationship Id="rId1269" Type="http://schemas.openxmlformats.org/officeDocument/2006/relationships/ctrlProp" Target="../ctrlProps/ctrlProp1267.xml"/><Relationship Id="rId1476" Type="http://schemas.openxmlformats.org/officeDocument/2006/relationships/ctrlProp" Target="../ctrlProps/ctrlProp1474.xml"/><Relationship Id="rId2874" Type="http://schemas.openxmlformats.org/officeDocument/2006/relationships/ctrlProp" Target="../ctrlProps/ctrlProp2872.xml"/><Relationship Id="rId846" Type="http://schemas.openxmlformats.org/officeDocument/2006/relationships/ctrlProp" Target="../ctrlProps/ctrlProp844.xml"/><Relationship Id="rId1129" Type="http://schemas.openxmlformats.org/officeDocument/2006/relationships/ctrlProp" Target="../ctrlProps/ctrlProp1127.xml"/><Relationship Id="rId1683" Type="http://schemas.openxmlformats.org/officeDocument/2006/relationships/ctrlProp" Target="../ctrlProps/ctrlProp1681.xml"/><Relationship Id="rId1890" Type="http://schemas.openxmlformats.org/officeDocument/2006/relationships/ctrlProp" Target="../ctrlProps/ctrlProp1888.xml"/><Relationship Id="rId2527" Type="http://schemas.openxmlformats.org/officeDocument/2006/relationships/ctrlProp" Target="../ctrlProps/ctrlProp2525.xml"/><Relationship Id="rId2734" Type="http://schemas.openxmlformats.org/officeDocument/2006/relationships/ctrlProp" Target="../ctrlProps/ctrlProp2732.xml"/><Relationship Id="rId2941" Type="http://schemas.openxmlformats.org/officeDocument/2006/relationships/ctrlProp" Target="../ctrlProps/ctrlProp2939.xml"/><Relationship Id="rId706" Type="http://schemas.openxmlformats.org/officeDocument/2006/relationships/ctrlProp" Target="../ctrlProps/ctrlProp704.xml"/><Relationship Id="rId913" Type="http://schemas.openxmlformats.org/officeDocument/2006/relationships/ctrlProp" Target="../ctrlProps/ctrlProp911.xml"/><Relationship Id="rId1336" Type="http://schemas.openxmlformats.org/officeDocument/2006/relationships/ctrlProp" Target="../ctrlProps/ctrlProp1334.xml"/><Relationship Id="rId1543" Type="http://schemas.openxmlformats.org/officeDocument/2006/relationships/ctrlProp" Target="../ctrlProps/ctrlProp1541.xml"/><Relationship Id="rId1750" Type="http://schemas.openxmlformats.org/officeDocument/2006/relationships/ctrlProp" Target="../ctrlProps/ctrlProp1748.xml"/><Relationship Id="rId2801" Type="http://schemas.openxmlformats.org/officeDocument/2006/relationships/ctrlProp" Target="../ctrlProps/ctrlProp2799.xml"/><Relationship Id="rId42" Type="http://schemas.openxmlformats.org/officeDocument/2006/relationships/ctrlProp" Target="../ctrlProps/ctrlProp40.xml"/><Relationship Id="rId1403" Type="http://schemas.openxmlformats.org/officeDocument/2006/relationships/ctrlProp" Target="../ctrlProps/ctrlProp1401.xml"/><Relationship Id="rId1610" Type="http://schemas.openxmlformats.org/officeDocument/2006/relationships/ctrlProp" Target="../ctrlProps/ctrlProp1608.xml"/><Relationship Id="rId3368" Type="http://schemas.openxmlformats.org/officeDocument/2006/relationships/table" Target="../tables/table179.xml"/><Relationship Id="rId289" Type="http://schemas.openxmlformats.org/officeDocument/2006/relationships/ctrlProp" Target="../ctrlProps/ctrlProp287.xml"/><Relationship Id="rId496" Type="http://schemas.openxmlformats.org/officeDocument/2006/relationships/ctrlProp" Target="../ctrlProps/ctrlProp494.xml"/><Relationship Id="rId2177" Type="http://schemas.openxmlformats.org/officeDocument/2006/relationships/ctrlProp" Target="../ctrlProps/ctrlProp2175.xml"/><Relationship Id="rId2384" Type="http://schemas.openxmlformats.org/officeDocument/2006/relationships/ctrlProp" Target="../ctrlProps/ctrlProp2382.xml"/><Relationship Id="rId2591" Type="http://schemas.openxmlformats.org/officeDocument/2006/relationships/ctrlProp" Target="../ctrlProps/ctrlProp2589.xml"/><Relationship Id="rId3228" Type="http://schemas.openxmlformats.org/officeDocument/2006/relationships/table" Target="../tables/table39.xml"/><Relationship Id="rId3435" Type="http://schemas.openxmlformats.org/officeDocument/2006/relationships/table" Target="../tables/table246.xml"/><Relationship Id="rId149" Type="http://schemas.openxmlformats.org/officeDocument/2006/relationships/ctrlProp" Target="../ctrlProps/ctrlProp147.xml"/><Relationship Id="rId356" Type="http://schemas.openxmlformats.org/officeDocument/2006/relationships/ctrlProp" Target="../ctrlProps/ctrlProp354.xml"/><Relationship Id="rId563" Type="http://schemas.openxmlformats.org/officeDocument/2006/relationships/ctrlProp" Target="../ctrlProps/ctrlProp561.xml"/><Relationship Id="rId770" Type="http://schemas.openxmlformats.org/officeDocument/2006/relationships/ctrlProp" Target="../ctrlProps/ctrlProp768.xml"/><Relationship Id="rId1193" Type="http://schemas.openxmlformats.org/officeDocument/2006/relationships/ctrlProp" Target="../ctrlProps/ctrlProp1191.xml"/><Relationship Id="rId2037" Type="http://schemas.openxmlformats.org/officeDocument/2006/relationships/ctrlProp" Target="../ctrlProps/ctrlProp2035.xml"/><Relationship Id="rId2244" Type="http://schemas.openxmlformats.org/officeDocument/2006/relationships/ctrlProp" Target="../ctrlProps/ctrlProp2242.xml"/><Relationship Id="rId2451" Type="http://schemas.openxmlformats.org/officeDocument/2006/relationships/ctrlProp" Target="../ctrlProps/ctrlProp2449.xml"/><Relationship Id="rId216" Type="http://schemas.openxmlformats.org/officeDocument/2006/relationships/ctrlProp" Target="../ctrlProps/ctrlProp214.xml"/><Relationship Id="rId423" Type="http://schemas.openxmlformats.org/officeDocument/2006/relationships/ctrlProp" Target="../ctrlProps/ctrlProp421.xml"/><Relationship Id="rId1053" Type="http://schemas.openxmlformats.org/officeDocument/2006/relationships/ctrlProp" Target="../ctrlProps/ctrlProp1051.xml"/><Relationship Id="rId1260" Type="http://schemas.openxmlformats.org/officeDocument/2006/relationships/ctrlProp" Target="../ctrlProps/ctrlProp1258.xml"/><Relationship Id="rId2104" Type="http://schemas.openxmlformats.org/officeDocument/2006/relationships/ctrlProp" Target="../ctrlProps/ctrlProp2102.xml"/><Relationship Id="rId3502" Type="http://schemas.openxmlformats.org/officeDocument/2006/relationships/table" Target="../tables/table313.xml"/><Relationship Id="rId630" Type="http://schemas.openxmlformats.org/officeDocument/2006/relationships/ctrlProp" Target="../ctrlProps/ctrlProp628.xml"/><Relationship Id="rId2311" Type="http://schemas.openxmlformats.org/officeDocument/2006/relationships/ctrlProp" Target="../ctrlProps/ctrlProp2309.xml"/><Relationship Id="rId1120" Type="http://schemas.openxmlformats.org/officeDocument/2006/relationships/ctrlProp" Target="../ctrlProps/ctrlProp1118.xml"/><Relationship Id="rId1937" Type="http://schemas.openxmlformats.org/officeDocument/2006/relationships/ctrlProp" Target="../ctrlProps/ctrlProp1935.xml"/><Relationship Id="rId3085" Type="http://schemas.openxmlformats.org/officeDocument/2006/relationships/ctrlProp" Target="../ctrlProps/ctrlProp3083.xml"/><Relationship Id="rId3292" Type="http://schemas.openxmlformats.org/officeDocument/2006/relationships/table" Target="../tables/table103.xml"/><Relationship Id="rId3152" Type="http://schemas.openxmlformats.org/officeDocument/2006/relationships/ctrlProp" Target="../ctrlProps/ctrlProp3150.xml"/><Relationship Id="rId280" Type="http://schemas.openxmlformats.org/officeDocument/2006/relationships/ctrlProp" Target="../ctrlProps/ctrlProp278.xml"/><Relationship Id="rId3012" Type="http://schemas.openxmlformats.org/officeDocument/2006/relationships/ctrlProp" Target="../ctrlProps/ctrlProp3010.xml"/><Relationship Id="rId140" Type="http://schemas.openxmlformats.org/officeDocument/2006/relationships/ctrlProp" Target="../ctrlProps/ctrlProp138.xml"/><Relationship Id="rId6" Type="http://schemas.openxmlformats.org/officeDocument/2006/relationships/ctrlProp" Target="../ctrlProps/ctrlProp4.xml"/><Relationship Id="rId2778" Type="http://schemas.openxmlformats.org/officeDocument/2006/relationships/ctrlProp" Target="../ctrlProps/ctrlProp2776.xml"/><Relationship Id="rId2985" Type="http://schemas.openxmlformats.org/officeDocument/2006/relationships/ctrlProp" Target="../ctrlProps/ctrlProp2983.xml"/><Relationship Id="rId957" Type="http://schemas.openxmlformats.org/officeDocument/2006/relationships/ctrlProp" Target="../ctrlProps/ctrlProp955.xml"/><Relationship Id="rId1587" Type="http://schemas.openxmlformats.org/officeDocument/2006/relationships/ctrlProp" Target="../ctrlProps/ctrlProp1585.xml"/><Relationship Id="rId1794" Type="http://schemas.openxmlformats.org/officeDocument/2006/relationships/ctrlProp" Target="../ctrlProps/ctrlProp1792.xml"/><Relationship Id="rId2638" Type="http://schemas.openxmlformats.org/officeDocument/2006/relationships/ctrlProp" Target="../ctrlProps/ctrlProp2636.xml"/><Relationship Id="rId2845" Type="http://schemas.openxmlformats.org/officeDocument/2006/relationships/ctrlProp" Target="../ctrlProps/ctrlProp2843.xml"/><Relationship Id="rId86" Type="http://schemas.openxmlformats.org/officeDocument/2006/relationships/ctrlProp" Target="../ctrlProps/ctrlProp84.xml"/><Relationship Id="rId817" Type="http://schemas.openxmlformats.org/officeDocument/2006/relationships/ctrlProp" Target="../ctrlProps/ctrlProp815.xml"/><Relationship Id="rId1447" Type="http://schemas.openxmlformats.org/officeDocument/2006/relationships/ctrlProp" Target="../ctrlProps/ctrlProp1445.xml"/><Relationship Id="rId1654" Type="http://schemas.openxmlformats.org/officeDocument/2006/relationships/ctrlProp" Target="../ctrlProps/ctrlProp1652.xml"/><Relationship Id="rId1861" Type="http://schemas.openxmlformats.org/officeDocument/2006/relationships/ctrlProp" Target="../ctrlProps/ctrlProp1859.xml"/><Relationship Id="rId2705" Type="http://schemas.openxmlformats.org/officeDocument/2006/relationships/ctrlProp" Target="../ctrlProps/ctrlProp2703.xml"/><Relationship Id="rId2912" Type="http://schemas.openxmlformats.org/officeDocument/2006/relationships/ctrlProp" Target="../ctrlProps/ctrlProp2910.xml"/><Relationship Id="rId1307" Type="http://schemas.openxmlformats.org/officeDocument/2006/relationships/ctrlProp" Target="../ctrlProps/ctrlProp1305.xml"/><Relationship Id="rId1514" Type="http://schemas.openxmlformats.org/officeDocument/2006/relationships/ctrlProp" Target="../ctrlProps/ctrlProp1512.xml"/><Relationship Id="rId1721" Type="http://schemas.openxmlformats.org/officeDocument/2006/relationships/ctrlProp" Target="../ctrlProps/ctrlProp1719.xml"/><Relationship Id="rId13" Type="http://schemas.openxmlformats.org/officeDocument/2006/relationships/ctrlProp" Target="../ctrlProps/ctrlProp11.xml"/><Relationship Id="rId3479" Type="http://schemas.openxmlformats.org/officeDocument/2006/relationships/table" Target="../tables/table290.xml"/><Relationship Id="rId2288" Type="http://schemas.openxmlformats.org/officeDocument/2006/relationships/ctrlProp" Target="../ctrlProps/ctrlProp2286.xml"/><Relationship Id="rId2495" Type="http://schemas.openxmlformats.org/officeDocument/2006/relationships/ctrlProp" Target="../ctrlProps/ctrlProp2493.xml"/><Relationship Id="rId3339" Type="http://schemas.openxmlformats.org/officeDocument/2006/relationships/table" Target="../tables/table150.xml"/><Relationship Id="rId467" Type="http://schemas.openxmlformats.org/officeDocument/2006/relationships/ctrlProp" Target="../ctrlProps/ctrlProp465.xml"/><Relationship Id="rId1097" Type="http://schemas.openxmlformats.org/officeDocument/2006/relationships/ctrlProp" Target="../ctrlProps/ctrlProp1095.xml"/><Relationship Id="rId2148" Type="http://schemas.openxmlformats.org/officeDocument/2006/relationships/ctrlProp" Target="../ctrlProps/ctrlProp2146.xml"/><Relationship Id="rId674" Type="http://schemas.openxmlformats.org/officeDocument/2006/relationships/ctrlProp" Target="../ctrlProps/ctrlProp672.xml"/><Relationship Id="rId881" Type="http://schemas.openxmlformats.org/officeDocument/2006/relationships/ctrlProp" Target="../ctrlProps/ctrlProp879.xml"/><Relationship Id="rId2355" Type="http://schemas.openxmlformats.org/officeDocument/2006/relationships/ctrlProp" Target="../ctrlProps/ctrlProp2353.xml"/><Relationship Id="rId2562" Type="http://schemas.openxmlformats.org/officeDocument/2006/relationships/ctrlProp" Target="../ctrlProps/ctrlProp2560.xml"/><Relationship Id="rId3406" Type="http://schemas.openxmlformats.org/officeDocument/2006/relationships/table" Target="../tables/table217.xml"/><Relationship Id="rId327" Type="http://schemas.openxmlformats.org/officeDocument/2006/relationships/ctrlProp" Target="../ctrlProps/ctrlProp325.xml"/><Relationship Id="rId534" Type="http://schemas.openxmlformats.org/officeDocument/2006/relationships/ctrlProp" Target="../ctrlProps/ctrlProp532.xml"/><Relationship Id="rId741" Type="http://schemas.openxmlformats.org/officeDocument/2006/relationships/ctrlProp" Target="../ctrlProps/ctrlProp739.xml"/><Relationship Id="rId1164" Type="http://schemas.openxmlformats.org/officeDocument/2006/relationships/ctrlProp" Target="../ctrlProps/ctrlProp1162.xml"/><Relationship Id="rId1371" Type="http://schemas.openxmlformats.org/officeDocument/2006/relationships/ctrlProp" Target="../ctrlProps/ctrlProp1369.xml"/><Relationship Id="rId2008" Type="http://schemas.openxmlformats.org/officeDocument/2006/relationships/ctrlProp" Target="../ctrlProps/ctrlProp2006.xml"/><Relationship Id="rId2215" Type="http://schemas.openxmlformats.org/officeDocument/2006/relationships/ctrlProp" Target="../ctrlProps/ctrlProp2213.xml"/><Relationship Id="rId2422" Type="http://schemas.openxmlformats.org/officeDocument/2006/relationships/ctrlProp" Target="../ctrlProps/ctrlProp2420.xml"/><Relationship Id="rId601" Type="http://schemas.openxmlformats.org/officeDocument/2006/relationships/ctrlProp" Target="../ctrlProps/ctrlProp599.xml"/><Relationship Id="rId1024" Type="http://schemas.openxmlformats.org/officeDocument/2006/relationships/ctrlProp" Target="../ctrlProps/ctrlProp1022.xml"/><Relationship Id="rId1231" Type="http://schemas.openxmlformats.org/officeDocument/2006/relationships/ctrlProp" Target="../ctrlProps/ctrlProp1229.xml"/><Relationship Id="rId3196" Type="http://schemas.openxmlformats.org/officeDocument/2006/relationships/table" Target="../tables/table7.xml"/><Relationship Id="rId3056" Type="http://schemas.openxmlformats.org/officeDocument/2006/relationships/ctrlProp" Target="../ctrlProps/ctrlProp3054.xml"/><Relationship Id="rId3263" Type="http://schemas.openxmlformats.org/officeDocument/2006/relationships/table" Target="../tables/table74.xml"/><Relationship Id="rId3470" Type="http://schemas.openxmlformats.org/officeDocument/2006/relationships/table" Target="../tables/table281.xml"/><Relationship Id="rId184" Type="http://schemas.openxmlformats.org/officeDocument/2006/relationships/ctrlProp" Target="../ctrlProps/ctrlProp182.xml"/><Relationship Id="rId391" Type="http://schemas.openxmlformats.org/officeDocument/2006/relationships/ctrlProp" Target="../ctrlProps/ctrlProp389.xml"/><Relationship Id="rId1908" Type="http://schemas.openxmlformats.org/officeDocument/2006/relationships/ctrlProp" Target="../ctrlProps/ctrlProp1906.xml"/><Relationship Id="rId2072" Type="http://schemas.openxmlformats.org/officeDocument/2006/relationships/ctrlProp" Target="../ctrlProps/ctrlProp2070.xml"/><Relationship Id="rId3123" Type="http://schemas.openxmlformats.org/officeDocument/2006/relationships/ctrlProp" Target="../ctrlProps/ctrlProp3121.xml"/><Relationship Id="rId251" Type="http://schemas.openxmlformats.org/officeDocument/2006/relationships/ctrlProp" Target="../ctrlProps/ctrlProp249.xml"/><Relationship Id="rId3330" Type="http://schemas.openxmlformats.org/officeDocument/2006/relationships/table" Target="../tables/table141.xml"/><Relationship Id="rId2889" Type="http://schemas.openxmlformats.org/officeDocument/2006/relationships/ctrlProp" Target="../ctrlProps/ctrlProp2887.xml"/><Relationship Id="rId111" Type="http://schemas.openxmlformats.org/officeDocument/2006/relationships/ctrlProp" Target="../ctrlProps/ctrlProp109.xml"/><Relationship Id="rId1698" Type="http://schemas.openxmlformats.org/officeDocument/2006/relationships/ctrlProp" Target="../ctrlProps/ctrlProp1696.xml"/><Relationship Id="rId2749" Type="http://schemas.openxmlformats.org/officeDocument/2006/relationships/ctrlProp" Target="../ctrlProps/ctrlProp2747.xml"/><Relationship Id="rId2956" Type="http://schemas.openxmlformats.org/officeDocument/2006/relationships/ctrlProp" Target="../ctrlProps/ctrlProp2954.xml"/><Relationship Id="rId928" Type="http://schemas.openxmlformats.org/officeDocument/2006/relationships/ctrlProp" Target="../ctrlProps/ctrlProp926.xml"/><Relationship Id="rId1558" Type="http://schemas.openxmlformats.org/officeDocument/2006/relationships/ctrlProp" Target="../ctrlProps/ctrlProp1556.xml"/><Relationship Id="rId1765" Type="http://schemas.openxmlformats.org/officeDocument/2006/relationships/ctrlProp" Target="../ctrlProps/ctrlProp1763.xml"/><Relationship Id="rId2609" Type="http://schemas.openxmlformats.org/officeDocument/2006/relationships/ctrlProp" Target="../ctrlProps/ctrlProp2607.xml"/><Relationship Id="rId57" Type="http://schemas.openxmlformats.org/officeDocument/2006/relationships/ctrlProp" Target="../ctrlProps/ctrlProp55.xml"/><Relationship Id="rId1418" Type="http://schemas.openxmlformats.org/officeDocument/2006/relationships/ctrlProp" Target="../ctrlProps/ctrlProp1416.xml"/><Relationship Id="rId1972" Type="http://schemas.openxmlformats.org/officeDocument/2006/relationships/ctrlProp" Target="../ctrlProps/ctrlProp1970.xml"/><Relationship Id="rId2816" Type="http://schemas.openxmlformats.org/officeDocument/2006/relationships/ctrlProp" Target="../ctrlProps/ctrlProp2814.xml"/><Relationship Id="rId1625" Type="http://schemas.openxmlformats.org/officeDocument/2006/relationships/ctrlProp" Target="../ctrlProps/ctrlProp1623.xml"/><Relationship Id="rId1832" Type="http://schemas.openxmlformats.org/officeDocument/2006/relationships/ctrlProp" Target="../ctrlProps/ctrlProp1830.xml"/><Relationship Id="rId2399" Type="http://schemas.openxmlformats.org/officeDocument/2006/relationships/ctrlProp" Target="../ctrlProps/ctrlProp2397.xml"/><Relationship Id="rId578" Type="http://schemas.openxmlformats.org/officeDocument/2006/relationships/ctrlProp" Target="../ctrlProps/ctrlProp576.xml"/><Relationship Id="rId785" Type="http://schemas.openxmlformats.org/officeDocument/2006/relationships/ctrlProp" Target="../ctrlProps/ctrlProp783.xml"/><Relationship Id="rId992" Type="http://schemas.openxmlformats.org/officeDocument/2006/relationships/ctrlProp" Target="../ctrlProps/ctrlProp990.xml"/><Relationship Id="rId2259" Type="http://schemas.openxmlformats.org/officeDocument/2006/relationships/ctrlProp" Target="../ctrlProps/ctrlProp2257.xml"/><Relationship Id="rId2466" Type="http://schemas.openxmlformats.org/officeDocument/2006/relationships/ctrlProp" Target="../ctrlProps/ctrlProp2464.xml"/><Relationship Id="rId2673" Type="http://schemas.openxmlformats.org/officeDocument/2006/relationships/ctrlProp" Target="../ctrlProps/ctrlProp2671.xml"/><Relationship Id="rId2880" Type="http://schemas.openxmlformats.org/officeDocument/2006/relationships/ctrlProp" Target="../ctrlProps/ctrlProp2878.xml"/><Relationship Id="rId438" Type="http://schemas.openxmlformats.org/officeDocument/2006/relationships/ctrlProp" Target="../ctrlProps/ctrlProp436.xml"/><Relationship Id="rId645" Type="http://schemas.openxmlformats.org/officeDocument/2006/relationships/ctrlProp" Target="../ctrlProps/ctrlProp643.xml"/><Relationship Id="rId852" Type="http://schemas.openxmlformats.org/officeDocument/2006/relationships/ctrlProp" Target="../ctrlProps/ctrlProp850.xml"/><Relationship Id="rId1068" Type="http://schemas.openxmlformats.org/officeDocument/2006/relationships/ctrlProp" Target="../ctrlProps/ctrlProp1066.xml"/><Relationship Id="rId1275" Type="http://schemas.openxmlformats.org/officeDocument/2006/relationships/ctrlProp" Target="../ctrlProps/ctrlProp1273.xml"/><Relationship Id="rId1482" Type="http://schemas.openxmlformats.org/officeDocument/2006/relationships/ctrlProp" Target="../ctrlProps/ctrlProp1480.xml"/><Relationship Id="rId2119" Type="http://schemas.openxmlformats.org/officeDocument/2006/relationships/ctrlProp" Target="../ctrlProps/ctrlProp2117.xml"/><Relationship Id="rId2326" Type="http://schemas.openxmlformats.org/officeDocument/2006/relationships/ctrlProp" Target="../ctrlProps/ctrlProp2324.xml"/><Relationship Id="rId2533" Type="http://schemas.openxmlformats.org/officeDocument/2006/relationships/ctrlProp" Target="../ctrlProps/ctrlProp2531.xml"/><Relationship Id="rId2740" Type="http://schemas.openxmlformats.org/officeDocument/2006/relationships/ctrlProp" Target="../ctrlProps/ctrlProp2738.xml"/><Relationship Id="rId505" Type="http://schemas.openxmlformats.org/officeDocument/2006/relationships/ctrlProp" Target="../ctrlProps/ctrlProp503.xml"/><Relationship Id="rId712" Type="http://schemas.openxmlformats.org/officeDocument/2006/relationships/ctrlProp" Target="../ctrlProps/ctrlProp710.xml"/><Relationship Id="rId1135" Type="http://schemas.openxmlformats.org/officeDocument/2006/relationships/ctrlProp" Target="../ctrlProps/ctrlProp1133.xml"/><Relationship Id="rId1342" Type="http://schemas.openxmlformats.org/officeDocument/2006/relationships/ctrlProp" Target="../ctrlProps/ctrlProp1340.xml"/><Relationship Id="rId1202" Type="http://schemas.openxmlformats.org/officeDocument/2006/relationships/ctrlProp" Target="../ctrlProps/ctrlProp1200.xml"/><Relationship Id="rId2600" Type="http://schemas.openxmlformats.org/officeDocument/2006/relationships/ctrlProp" Target="../ctrlProps/ctrlProp2598.xml"/><Relationship Id="rId3167" Type="http://schemas.openxmlformats.org/officeDocument/2006/relationships/ctrlProp" Target="../ctrlProps/ctrlProp3165.xml"/><Relationship Id="rId295" Type="http://schemas.openxmlformats.org/officeDocument/2006/relationships/ctrlProp" Target="../ctrlProps/ctrlProp293.xml"/><Relationship Id="rId3374" Type="http://schemas.openxmlformats.org/officeDocument/2006/relationships/table" Target="../tables/table185.xml"/><Relationship Id="rId2183" Type="http://schemas.openxmlformats.org/officeDocument/2006/relationships/ctrlProp" Target="../ctrlProps/ctrlProp2181.xml"/><Relationship Id="rId2390" Type="http://schemas.openxmlformats.org/officeDocument/2006/relationships/ctrlProp" Target="../ctrlProps/ctrlProp2388.xml"/><Relationship Id="rId3027" Type="http://schemas.openxmlformats.org/officeDocument/2006/relationships/ctrlProp" Target="../ctrlProps/ctrlProp3025.xml"/><Relationship Id="rId3234" Type="http://schemas.openxmlformats.org/officeDocument/2006/relationships/table" Target="../tables/table45.xml"/><Relationship Id="rId3441" Type="http://schemas.openxmlformats.org/officeDocument/2006/relationships/table" Target="../tables/table252.xml"/><Relationship Id="rId155" Type="http://schemas.openxmlformats.org/officeDocument/2006/relationships/ctrlProp" Target="../ctrlProps/ctrlProp153.xml"/><Relationship Id="rId362" Type="http://schemas.openxmlformats.org/officeDocument/2006/relationships/ctrlProp" Target="../ctrlProps/ctrlProp360.xml"/><Relationship Id="rId2043" Type="http://schemas.openxmlformats.org/officeDocument/2006/relationships/ctrlProp" Target="../ctrlProps/ctrlProp2041.xml"/><Relationship Id="rId2250" Type="http://schemas.openxmlformats.org/officeDocument/2006/relationships/ctrlProp" Target="../ctrlProps/ctrlProp2248.xml"/><Relationship Id="rId3301" Type="http://schemas.openxmlformats.org/officeDocument/2006/relationships/table" Target="../tables/table112.xml"/><Relationship Id="rId222" Type="http://schemas.openxmlformats.org/officeDocument/2006/relationships/ctrlProp" Target="../ctrlProps/ctrlProp220.xml"/><Relationship Id="rId2110" Type="http://schemas.openxmlformats.org/officeDocument/2006/relationships/ctrlProp" Target="../ctrlProps/ctrlProp2108.xml"/><Relationship Id="rId1669" Type="http://schemas.openxmlformats.org/officeDocument/2006/relationships/ctrlProp" Target="../ctrlProps/ctrlProp1667.xml"/><Relationship Id="rId1876" Type="http://schemas.openxmlformats.org/officeDocument/2006/relationships/ctrlProp" Target="../ctrlProps/ctrlProp1874.xml"/><Relationship Id="rId2927" Type="http://schemas.openxmlformats.org/officeDocument/2006/relationships/ctrlProp" Target="../ctrlProps/ctrlProp2925.xml"/><Relationship Id="rId3091" Type="http://schemas.openxmlformats.org/officeDocument/2006/relationships/ctrlProp" Target="../ctrlProps/ctrlProp3089.xml"/><Relationship Id="rId1529" Type="http://schemas.openxmlformats.org/officeDocument/2006/relationships/ctrlProp" Target="../ctrlProps/ctrlProp1527.xml"/><Relationship Id="rId1736" Type="http://schemas.openxmlformats.org/officeDocument/2006/relationships/ctrlProp" Target="../ctrlProps/ctrlProp1734.xml"/><Relationship Id="rId1943" Type="http://schemas.openxmlformats.org/officeDocument/2006/relationships/ctrlProp" Target="../ctrlProps/ctrlProp1941.xml"/><Relationship Id="rId28" Type="http://schemas.openxmlformats.org/officeDocument/2006/relationships/ctrlProp" Target="../ctrlProps/ctrlProp26.xml"/><Relationship Id="rId1803" Type="http://schemas.openxmlformats.org/officeDocument/2006/relationships/ctrlProp" Target="../ctrlProps/ctrlProp1801.xml"/><Relationship Id="rId689" Type="http://schemas.openxmlformats.org/officeDocument/2006/relationships/ctrlProp" Target="../ctrlProps/ctrlProp687.xml"/><Relationship Id="rId896" Type="http://schemas.openxmlformats.org/officeDocument/2006/relationships/ctrlProp" Target="../ctrlProps/ctrlProp894.xml"/><Relationship Id="rId2577" Type="http://schemas.openxmlformats.org/officeDocument/2006/relationships/ctrlProp" Target="../ctrlProps/ctrlProp2575.xml"/><Relationship Id="rId2784" Type="http://schemas.openxmlformats.org/officeDocument/2006/relationships/ctrlProp" Target="../ctrlProps/ctrlProp2782.xml"/><Relationship Id="rId549" Type="http://schemas.openxmlformats.org/officeDocument/2006/relationships/ctrlProp" Target="../ctrlProps/ctrlProp547.xml"/><Relationship Id="rId756" Type="http://schemas.openxmlformats.org/officeDocument/2006/relationships/ctrlProp" Target="../ctrlProps/ctrlProp754.xml"/><Relationship Id="rId1179" Type="http://schemas.openxmlformats.org/officeDocument/2006/relationships/ctrlProp" Target="../ctrlProps/ctrlProp1177.xml"/><Relationship Id="rId1386" Type="http://schemas.openxmlformats.org/officeDocument/2006/relationships/ctrlProp" Target="../ctrlProps/ctrlProp1384.xml"/><Relationship Id="rId1593" Type="http://schemas.openxmlformats.org/officeDocument/2006/relationships/ctrlProp" Target="../ctrlProps/ctrlProp1591.xml"/><Relationship Id="rId2437" Type="http://schemas.openxmlformats.org/officeDocument/2006/relationships/ctrlProp" Target="../ctrlProps/ctrlProp2435.xml"/><Relationship Id="rId2991" Type="http://schemas.openxmlformats.org/officeDocument/2006/relationships/ctrlProp" Target="../ctrlProps/ctrlProp2989.xml"/><Relationship Id="rId409" Type="http://schemas.openxmlformats.org/officeDocument/2006/relationships/ctrlProp" Target="../ctrlProps/ctrlProp407.xml"/><Relationship Id="rId963" Type="http://schemas.openxmlformats.org/officeDocument/2006/relationships/ctrlProp" Target="../ctrlProps/ctrlProp961.xml"/><Relationship Id="rId1039" Type="http://schemas.openxmlformats.org/officeDocument/2006/relationships/ctrlProp" Target="../ctrlProps/ctrlProp1037.xml"/><Relationship Id="rId1246" Type="http://schemas.openxmlformats.org/officeDocument/2006/relationships/ctrlProp" Target="../ctrlProps/ctrlProp1244.xml"/><Relationship Id="rId2644" Type="http://schemas.openxmlformats.org/officeDocument/2006/relationships/ctrlProp" Target="../ctrlProps/ctrlProp2642.xml"/><Relationship Id="rId2851" Type="http://schemas.openxmlformats.org/officeDocument/2006/relationships/ctrlProp" Target="../ctrlProps/ctrlProp2849.xml"/><Relationship Id="rId92" Type="http://schemas.openxmlformats.org/officeDocument/2006/relationships/ctrlProp" Target="../ctrlProps/ctrlProp90.xml"/><Relationship Id="rId616" Type="http://schemas.openxmlformats.org/officeDocument/2006/relationships/ctrlProp" Target="../ctrlProps/ctrlProp614.xml"/><Relationship Id="rId823" Type="http://schemas.openxmlformats.org/officeDocument/2006/relationships/ctrlProp" Target="../ctrlProps/ctrlProp821.xml"/><Relationship Id="rId1453" Type="http://schemas.openxmlformats.org/officeDocument/2006/relationships/ctrlProp" Target="../ctrlProps/ctrlProp1451.xml"/><Relationship Id="rId1660" Type="http://schemas.openxmlformats.org/officeDocument/2006/relationships/ctrlProp" Target="../ctrlProps/ctrlProp1658.xml"/><Relationship Id="rId2504" Type="http://schemas.openxmlformats.org/officeDocument/2006/relationships/ctrlProp" Target="../ctrlProps/ctrlProp2502.xml"/><Relationship Id="rId2711" Type="http://schemas.openxmlformats.org/officeDocument/2006/relationships/ctrlProp" Target="../ctrlProps/ctrlProp2709.xml"/><Relationship Id="rId1106" Type="http://schemas.openxmlformats.org/officeDocument/2006/relationships/ctrlProp" Target="../ctrlProps/ctrlProp1104.xml"/><Relationship Id="rId1313" Type="http://schemas.openxmlformats.org/officeDocument/2006/relationships/ctrlProp" Target="../ctrlProps/ctrlProp1311.xml"/><Relationship Id="rId1520" Type="http://schemas.openxmlformats.org/officeDocument/2006/relationships/ctrlProp" Target="../ctrlProps/ctrlProp1518.xml"/><Relationship Id="rId3278" Type="http://schemas.openxmlformats.org/officeDocument/2006/relationships/table" Target="../tables/table89.xml"/><Relationship Id="rId3485" Type="http://schemas.openxmlformats.org/officeDocument/2006/relationships/table" Target="../tables/table296.xml"/><Relationship Id="rId199" Type="http://schemas.openxmlformats.org/officeDocument/2006/relationships/ctrlProp" Target="../ctrlProps/ctrlProp197.xml"/><Relationship Id="rId2087" Type="http://schemas.openxmlformats.org/officeDocument/2006/relationships/ctrlProp" Target="../ctrlProps/ctrlProp2085.xml"/><Relationship Id="rId2294" Type="http://schemas.openxmlformats.org/officeDocument/2006/relationships/ctrlProp" Target="../ctrlProps/ctrlProp2292.xml"/><Relationship Id="rId3138" Type="http://schemas.openxmlformats.org/officeDocument/2006/relationships/ctrlProp" Target="../ctrlProps/ctrlProp3136.xml"/><Relationship Id="rId3345" Type="http://schemas.openxmlformats.org/officeDocument/2006/relationships/table" Target="../tables/table156.xml"/><Relationship Id="rId266" Type="http://schemas.openxmlformats.org/officeDocument/2006/relationships/ctrlProp" Target="../ctrlProps/ctrlProp264.xml"/><Relationship Id="rId473" Type="http://schemas.openxmlformats.org/officeDocument/2006/relationships/ctrlProp" Target="../ctrlProps/ctrlProp471.xml"/><Relationship Id="rId680" Type="http://schemas.openxmlformats.org/officeDocument/2006/relationships/ctrlProp" Target="../ctrlProps/ctrlProp678.xml"/><Relationship Id="rId2154" Type="http://schemas.openxmlformats.org/officeDocument/2006/relationships/ctrlProp" Target="../ctrlProps/ctrlProp2152.xml"/><Relationship Id="rId2361" Type="http://schemas.openxmlformats.org/officeDocument/2006/relationships/ctrlProp" Target="../ctrlProps/ctrlProp2359.xml"/><Relationship Id="rId3205" Type="http://schemas.openxmlformats.org/officeDocument/2006/relationships/table" Target="../tables/table16.xml"/><Relationship Id="rId3412" Type="http://schemas.openxmlformats.org/officeDocument/2006/relationships/table" Target="../tables/table223.xml"/><Relationship Id="rId126" Type="http://schemas.openxmlformats.org/officeDocument/2006/relationships/ctrlProp" Target="../ctrlProps/ctrlProp124.xml"/><Relationship Id="rId333" Type="http://schemas.openxmlformats.org/officeDocument/2006/relationships/ctrlProp" Target="../ctrlProps/ctrlProp331.xml"/><Relationship Id="rId540" Type="http://schemas.openxmlformats.org/officeDocument/2006/relationships/ctrlProp" Target="../ctrlProps/ctrlProp538.xml"/><Relationship Id="rId1170" Type="http://schemas.openxmlformats.org/officeDocument/2006/relationships/ctrlProp" Target="../ctrlProps/ctrlProp1168.xml"/><Relationship Id="rId2014" Type="http://schemas.openxmlformats.org/officeDocument/2006/relationships/ctrlProp" Target="../ctrlProps/ctrlProp2012.xml"/><Relationship Id="rId2221" Type="http://schemas.openxmlformats.org/officeDocument/2006/relationships/ctrlProp" Target="../ctrlProps/ctrlProp2219.xml"/><Relationship Id="rId1030" Type="http://schemas.openxmlformats.org/officeDocument/2006/relationships/ctrlProp" Target="../ctrlProps/ctrlProp1028.xml"/><Relationship Id="rId400" Type="http://schemas.openxmlformats.org/officeDocument/2006/relationships/ctrlProp" Target="../ctrlProps/ctrlProp398.xml"/><Relationship Id="rId1987" Type="http://schemas.openxmlformats.org/officeDocument/2006/relationships/ctrlProp" Target="../ctrlProps/ctrlProp1985.xml"/><Relationship Id="rId1847" Type="http://schemas.openxmlformats.org/officeDocument/2006/relationships/ctrlProp" Target="../ctrlProps/ctrlProp1845.xml"/><Relationship Id="rId1707" Type="http://schemas.openxmlformats.org/officeDocument/2006/relationships/ctrlProp" Target="../ctrlProps/ctrlProp1705.xml"/><Relationship Id="rId3062" Type="http://schemas.openxmlformats.org/officeDocument/2006/relationships/ctrlProp" Target="../ctrlProps/ctrlProp3060.xml"/><Relationship Id="rId190" Type="http://schemas.openxmlformats.org/officeDocument/2006/relationships/ctrlProp" Target="../ctrlProps/ctrlProp188.xml"/><Relationship Id="rId1914" Type="http://schemas.openxmlformats.org/officeDocument/2006/relationships/ctrlProp" Target="../ctrlProps/ctrlProp1912.xml"/><Relationship Id="rId2688" Type="http://schemas.openxmlformats.org/officeDocument/2006/relationships/ctrlProp" Target="../ctrlProps/ctrlProp2686.xml"/><Relationship Id="rId2895" Type="http://schemas.openxmlformats.org/officeDocument/2006/relationships/ctrlProp" Target="../ctrlProps/ctrlProp2893.xml"/><Relationship Id="rId867" Type="http://schemas.openxmlformats.org/officeDocument/2006/relationships/ctrlProp" Target="../ctrlProps/ctrlProp865.xml"/><Relationship Id="rId1497" Type="http://schemas.openxmlformats.org/officeDocument/2006/relationships/ctrlProp" Target="../ctrlProps/ctrlProp1495.xml"/><Relationship Id="rId2548" Type="http://schemas.openxmlformats.org/officeDocument/2006/relationships/ctrlProp" Target="../ctrlProps/ctrlProp2546.xml"/><Relationship Id="rId2755" Type="http://schemas.openxmlformats.org/officeDocument/2006/relationships/ctrlProp" Target="../ctrlProps/ctrlProp2753.xml"/><Relationship Id="rId2962" Type="http://schemas.openxmlformats.org/officeDocument/2006/relationships/ctrlProp" Target="../ctrlProps/ctrlProp2960.xml"/><Relationship Id="rId727" Type="http://schemas.openxmlformats.org/officeDocument/2006/relationships/ctrlProp" Target="../ctrlProps/ctrlProp725.xml"/><Relationship Id="rId934" Type="http://schemas.openxmlformats.org/officeDocument/2006/relationships/ctrlProp" Target="../ctrlProps/ctrlProp932.xml"/><Relationship Id="rId1357" Type="http://schemas.openxmlformats.org/officeDocument/2006/relationships/ctrlProp" Target="../ctrlProps/ctrlProp1355.xml"/><Relationship Id="rId1564" Type="http://schemas.openxmlformats.org/officeDocument/2006/relationships/ctrlProp" Target="../ctrlProps/ctrlProp1562.xml"/><Relationship Id="rId1771" Type="http://schemas.openxmlformats.org/officeDocument/2006/relationships/ctrlProp" Target="../ctrlProps/ctrlProp1769.xml"/><Relationship Id="rId2408" Type="http://schemas.openxmlformats.org/officeDocument/2006/relationships/ctrlProp" Target="../ctrlProps/ctrlProp2406.xml"/><Relationship Id="rId2615" Type="http://schemas.openxmlformats.org/officeDocument/2006/relationships/ctrlProp" Target="../ctrlProps/ctrlProp2613.xml"/><Relationship Id="rId2822" Type="http://schemas.openxmlformats.org/officeDocument/2006/relationships/ctrlProp" Target="../ctrlProps/ctrlProp2820.xml"/><Relationship Id="rId63" Type="http://schemas.openxmlformats.org/officeDocument/2006/relationships/ctrlProp" Target="../ctrlProps/ctrlProp61.xml"/><Relationship Id="rId1217" Type="http://schemas.openxmlformats.org/officeDocument/2006/relationships/ctrlProp" Target="../ctrlProps/ctrlProp1215.xml"/><Relationship Id="rId1424" Type="http://schemas.openxmlformats.org/officeDocument/2006/relationships/ctrlProp" Target="../ctrlProps/ctrlProp1422.xml"/><Relationship Id="rId1631" Type="http://schemas.openxmlformats.org/officeDocument/2006/relationships/ctrlProp" Target="../ctrlProps/ctrlProp1629.xml"/><Relationship Id="rId3389" Type="http://schemas.openxmlformats.org/officeDocument/2006/relationships/table" Target="../tables/table200.xml"/><Relationship Id="rId2198" Type="http://schemas.openxmlformats.org/officeDocument/2006/relationships/ctrlProp" Target="../ctrlProps/ctrlProp2196.xml"/><Relationship Id="rId3249" Type="http://schemas.openxmlformats.org/officeDocument/2006/relationships/table" Target="../tables/table60.xml"/><Relationship Id="rId3456" Type="http://schemas.openxmlformats.org/officeDocument/2006/relationships/table" Target="../tables/table267.xml"/><Relationship Id="rId377" Type="http://schemas.openxmlformats.org/officeDocument/2006/relationships/ctrlProp" Target="../ctrlProps/ctrlProp375.xml"/><Relationship Id="rId584" Type="http://schemas.openxmlformats.org/officeDocument/2006/relationships/ctrlProp" Target="../ctrlProps/ctrlProp582.xml"/><Relationship Id="rId2058" Type="http://schemas.openxmlformats.org/officeDocument/2006/relationships/ctrlProp" Target="../ctrlProps/ctrlProp2056.xml"/><Relationship Id="rId2265" Type="http://schemas.openxmlformats.org/officeDocument/2006/relationships/ctrlProp" Target="../ctrlProps/ctrlProp2263.xml"/><Relationship Id="rId3109" Type="http://schemas.openxmlformats.org/officeDocument/2006/relationships/ctrlProp" Target="../ctrlProps/ctrlProp3107.xml"/><Relationship Id="rId237" Type="http://schemas.openxmlformats.org/officeDocument/2006/relationships/ctrlProp" Target="../ctrlProps/ctrlProp235.xml"/><Relationship Id="rId791" Type="http://schemas.openxmlformats.org/officeDocument/2006/relationships/ctrlProp" Target="../ctrlProps/ctrlProp789.xml"/><Relationship Id="rId1074" Type="http://schemas.openxmlformats.org/officeDocument/2006/relationships/ctrlProp" Target="../ctrlProps/ctrlProp1072.xml"/><Relationship Id="rId2472" Type="http://schemas.openxmlformats.org/officeDocument/2006/relationships/ctrlProp" Target="../ctrlProps/ctrlProp2470.xml"/><Relationship Id="rId3316" Type="http://schemas.openxmlformats.org/officeDocument/2006/relationships/table" Target="../tables/table127.xml"/><Relationship Id="rId444" Type="http://schemas.openxmlformats.org/officeDocument/2006/relationships/ctrlProp" Target="../ctrlProps/ctrlProp442.xml"/><Relationship Id="rId651" Type="http://schemas.openxmlformats.org/officeDocument/2006/relationships/ctrlProp" Target="../ctrlProps/ctrlProp649.xml"/><Relationship Id="rId1281" Type="http://schemas.openxmlformats.org/officeDocument/2006/relationships/ctrlProp" Target="../ctrlProps/ctrlProp1279.xml"/><Relationship Id="rId2125" Type="http://schemas.openxmlformats.org/officeDocument/2006/relationships/ctrlProp" Target="../ctrlProps/ctrlProp2123.xml"/><Relationship Id="rId2332" Type="http://schemas.openxmlformats.org/officeDocument/2006/relationships/ctrlProp" Target="../ctrlProps/ctrlProp2330.xml"/><Relationship Id="rId304" Type="http://schemas.openxmlformats.org/officeDocument/2006/relationships/ctrlProp" Target="../ctrlProps/ctrlProp302.xml"/><Relationship Id="rId511" Type="http://schemas.openxmlformats.org/officeDocument/2006/relationships/ctrlProp" Target="../ctrlProps/ctrlProp509.xml"/><Relationship Id="rId1141" Type="http://schemas.openxmlformats.org/officeDocument/2006/relationships/ctrlProp" Target="../ctrlProps/ctrlProp1139.xml"/><Relationship Id="rId1001" Type="http://schemas.openxmlformats.org/officeDocument/2006/relationships/ctrlProp" Target="../ctrlProps/ctrlProp999.xml"/><Relationship Id="rId1958" Type="http://schemas.openxmlformats.org/officeDocument/2006/relationships/ctrlProp" Target="../ctrlProps/ctrlProp1956.xml"/><Relationship Id="rId3173" Type="http://schemas.openxmlformats.org/officeDocument/2006/relationships/ctrlProp" Target="../ctrlProps/ctrlProp3171.xml"/><Relationship Id="rId3380" Type="http://schemas.openxmlformats.org/officeDocument/2006/relationships/table" Target="../tables/table191.xml"/><Relationship Id="rId1818" Type="http://schemas.openxmlformats.org/officeDocument/2006/relationships/ctrlProp" Target="../ctrlProps/ctrlProp1816.xml"/><Relationship Id="rId3033" Type="http://schemas.openxmlformats.org/officeDocument/2006/relationships/ctrlProp" Target="../ctrlProps/ctrlProp3031.xml"/><Relationship Id="rId3240" Type="http://schemas.openxmlformats.org/officeDocument/2006/relationships/table" Target="../tables/table51.xml"/><Relationship Id="rId161" Type="http://schemas.openxmlformats.org/officeDocument/2006/relationships/ctrlProp" Target="../ctrlProps/ctrlProp159.xml"/><Relationship Id="rId2799" Type="http://schemas.openxmlformats.org/officeDocument/2006/relationships/ctrlProp" Target="../ctrlProps/ctrlProp2797.xml"/><Relationship Id="rId3100" Type="http://schemas.openxmlformats.org/officeDocument/2006/relationships/ctrlProp" Target="../ctrlProps/ctrlProp3098.xml"/><Relationship Id="rId978" Type="http://schemas.openxmlformats.org/officeDocument/2006/relationships/ctrlProp" Target="../ctrlProps/ctrlProp976.xml"/><Relationship Id="rId2659" Type="http://schemas.openxmlformats.org/officeDocument/2006/relationships/ctrlProp" Target="../ctrlProps/ctrlProp2657.xml"/><Relationship Id="rId2866" Type="http://schemas.openxmlformats.org/officeDocument/2006/relationships/ctrlProp" Target="../ctrlProps/ctrlProp2864.xml"/><Relationship Id="rId838" Type="http://schemas.openxmlformats.org/officeDocument/2006/relationships/ctrlProp" Target="../ctrlProps/ctrlProp836.xml"/><Relationship Id="rId1468" Type="http://schemas.openxmlformats.org/officeDocument/2006/relationships/ctrlProp" Target="../ctrlProps/ctrlProp1466.xml"/><Relationship Id="rId1675" Type="http://schemas.openxmlformats.org/officeDocument/2006/relationships/ctrlProp" Target="../ctrlProps/ctrlProp1673.xml"/><Relationship Id="rId1882" Type="http://schemas.openxmlformats.org/officeDocument/2006/relationships/ctrlProp" Target="../ctrlProps/ctrlProp1880.xml"/><Relationship Id="rId2519" Type="http://schemas.openxmlformats.org/officeDocument/2006/relationships/ctrlProp" Target="../ctrlProps/ctrlProp2517.xml"/><Relationship Id="rId2726" Type="http://schemas.openxmlformats.org/officeDocument/2006/relationships/ctrlProp" Target="../ctrlProps/ctrlProp2724.xml"/><Relationship Id="rId1328" Type="http://schemas.openxmlformats.org/officeDocument/2006/relationships/ctrlProp" Target="../ctrlProps/ctrlProp1326.xml"/><Relationship Id="rId1535" Type="http://schemas.openxmlformats.org/officeDocument/2006/relationships/ctrlProp" Target="../ctrlProps/ctrlProp1533.xml"/><Relationship Id="rId2933" Type="http://schemas.openxmlformats.org/officeDocument/2006/relationships/ctrlProp" Target="../ctrlProps/ctrlProp2931.xml"/><Relationship Id="rId905" Type="http://schemas.openxmlformats.org/officeDocument/2006/relationships/ctrlProp" Target="../ctrlProps/ctrlProp903.xml"/><Relationship Id="rId1742" Type="http://schemas.openxmlformats.org/officeDocument/2006/relationships/ctrlProp" Target="../ctrlProps/ctrlProp1740.xml"/><Relationship Id="rId34" Type="http://schemas.openxmlformats.org/officeDocument/2006/relationships/ctrlProp" Target="../ctrlProps/ctrlProp32.xml"/><Relationship Id="rId1602" Type="http://schemas.openxmlformats.org/officeDocument/2006/relationships/ctrlProp" Target="../ctrlProps/ctrlProp1600.xml"/><Relationship Id="rId488" Type="http://schemas.openxmlformats.org/officeDocument/2006/relationships/ctrlProp" Target="../ctrlProps/ctrlProp486.xml"/><Relationship Id="rId695" Type="http://schemas.openxmlformats.org/officeDocument/2006/relationships/ctrlProp" Target="../ctrlProps/ctrlProp693.xml"/><Relationship Id="rId2169" Type="http://schemas.openxmlformats.org/officeDocument/2006/relationships/ctrlProp" Target="../ctrlProps/ctrlProp2167.xml"/><Relationship Id="rId2376" Type="http://schemas.openxmlformats.org/officeDocument/2006/relationships/ctrlProp" Target="../ctrlProps/ctrlProp2374.xml"/><Relationship Id="rId2583" Type="http://schemas.openxmlformats.org/officeDocument/2006/relationships/ctrlProp" Target="../ctrlProps/ctrlProp2581.xml"/><Relationship Id="rId2790" Type="http://schemas.openxmlformats.org/officeDocument/2006/relationships/ctrlProp" Target="../ctrlProps/ctrlProp2788.xml"/><Relationship Id="rId3427" Type="http://schemas.openxmlformats.org/officeDocument/2006/relationships/table" Target="../tables/table238.xml"/><Relationship Id="rId348" Type="http://schemas.openxmlformats.org/officeDocument/2006/relationships/ctrlProp" Target="../ctrlProps/ctrlProp346.xml"/><Relationship Id="rId555" Type="http://schemas.openxmlformats.org/officeDocument/2006/relationships/ctrlProp" Target="../ctrlProps/ctrlProp553.xml"/><Relationship Id="rId762" Type="http://schemas.openxmlformats.org/officeDocument/2006/relationships/ctrlProp" Target="../ctrlProps/ctrlProp760.xml"/><Relationship Id="rId1185" Type="http://schemas.openxmlformats.org/officeDocument/2006/relationships/ctrlProp" Target="../ctrlProps/ctrlProp1183.xml"/><Relationship Id="rId1392" Type="http://schemas.openxmlformats.org/officeDocument/2006/relationships/ctrlProp" Target="../ctrlProps/ctrlProp1390.xml"/><Relationship Id="rId2029" Type="http://schemas.openxmlformats.org/officeDocument/2006/relationships/ctrlProp" Target="../ctrlProps/ctrlProp2027.xml"/><Relationship Id="rId2236" Type="http://schemas.openxmlformats.org/officeDocument/2006/relationships/ctrlProp" Target="../ctrlProps/ctrlProp2234.xml"/><Relationship Id="rId2443" Type="http://schemas.openxmlformats.org/officeDocument/2006/relationships/ctrlProp" Target="../ctrlProps/ctrlProp2441.xml"/><Relationship Id="rId2650" Type="http://schemas.openxmlformats.org/officeDocument/2006/relationships/ctrlProp" Target="../ctrlProps/ctrlProp2648.xml"/><Relationship Id="rId208" Type="http://schemas.openxmlformats.org/officeDocument/2006/relationships/ctrlProp" Target="../ctrlProps/ctrlProp206.xml"/><Relationship Id="rId415" Type="http://schemas.openxmlformats.org/officeDocument/2006/relationships/ctrlProp" Target="../ctrlProps/ctrlProp413.xml"/><Relationship Id="rId622" Type="http://schemas.openxmlformats.org/officeDocument/2006/relationships/ctrlProp" Target="../ctrlProps/ctrlProp620.xml"/><Relationship Id="rId1045" Type="http://schemas.openxmlformats.org/officeDocument/2006/relationships/ctrlProp" Target="../ctrlProps/ctrlProp1043.xml"/><Relationship Id="rId1252" Type="http://schemas.openxmlformats.org/officeDocument/2006/relationships/ctrlProp" Target="../ctrlProps/ctrlProp1250.xml"/><Relationship Id="rId2303" Type="http://schemas.openxmlformats.org/officeDocument/2006/relationships/ctrlProp" Target="../ctrlProps/ctrlProp2301.xml"/><Relationship Id="rId2510" Type="http://schemas.openxmlformats.org/officeDocument/2006/relationships/ctrlProp" Target="../ctrlProps/ctrlProp2508.xml"/><Relationship Id="rId1112" Type="http://schemas.openxmlformats.org/officeDocument/2006/relationships/ctrlProp" Target="../ctrlProps/ctrlProp1110.xml"/><Relationship Id="rId3077" Type="http://schemas.openxmlformats.org/officeDocument/2006/relationships/ctrlProp" Target="../ctrlProps/ctrlProp3075.xml"/><Relationship Id="rId3284" Type="http://schemas.openxmlformats.org/officeDocument/2006/relationships/table" Target="../tables/table95.xml"/><Relationship Id="rId1929" Type="http://schemas.openxmlformats.org/officeDocument/2006/relationships/ctrlProp" Target="../ctrlProps/ctrlProp1927.xml"/><Relationship Id="rId2093" Type="http://schemas.openxmlformats.org/officeDocument/2006/relationships/ctrlProp" Target="../ctrlProps/ctrlProp2091.xml"/><Relationship Id="rId3491" Type="http://schemas.openxmlformats.org/officeDocument/2006/relationships/table" Target="../tables/table302.xml"/><Relationship Id="rId3144" Type="http://schemas.openxmlformats.org/officeDocument/2006/relationships/ctrlProp" Target="../ctrlProps/ctrlProp3142.xml"/><Relationship Id="rId3351" Type="http://schemas.openxmlformats.org/officeDocument/2006/relationships/table" Target="../tables/table162.xml"/><Relationship Id="rId272" Type="http://schemas.openxmlformats.org/officeDocument/2006/relationships/ctrlProp" Target="../ctrlProps/ctrlProp270.xml"/><Relationship Id="rId2160" Type="http://schemas.openxmlformats.org/officeDocument/2006/relationships/ctrlProp" Target="../ctrlProps/ctrlProp2158.xml"/><Relationship Id="rId3004" Type="http://schemas.openxmlformats.org/officeDocument/2006/relationships/ctrlProp" Target="../ctrlProps/ctrlProp3002.xml"/><Relationship Id="rId3211" Type="http://schemas.openxmlformats.org/officeDocument/2006/relationships/table" Target="../tables/table22.xml"/><Relationship Id="rId132" Type="http://schemas.openxmlformats.org/officeDocument/2006/relationships/ctrlProp" Target="../ctrlProps/ctrlProp130.xml"/><Relationship Id="rId2020" Type="http://schemas.openxmlformats.org/officeDocument/2006/relationships/ctrlProp" Target="../ctrlProps/ctrlProp2018.xml"/><Relationship Id="rId1579" Type="http://schemas.openxmlformats.org/officeDocument/2006/relationships/ctrlProp" Target="../ctrlProps/ctrlProp1577.xml"/><Relationship Id="rId2977" Type="http://schemas.openxmlformats.org/officeDocument/2006/relationships/ctrlProp" Target="../ctrlProps/ctrlProp2975.xml"/><Relationship Id="rId949" Type="http://schemas.openxmlformats.org/officeDocument/2006/relationships/ctrlProp" Target="../ctrlProps/ctrlProp947.xml"/><Relationship Id="rId1786" Type="http://schemas.openxmlformats.org/officeDocument/2006/relationships/ctrlProp" Target="../ctrlProps/ctrlProp1784.xml"/><Relationship Id="rId1993" Type="http://schemas.openxmlformats.org/officeDocument/2006/relationships/ctrlProp" Target="../ctrlProps/ctrlProp1991.xml"/><Relationship Id="rId2837" Type="http://schemas.openxmlformats.org/officeDocument/2006/relationships/ctrlProp" Target="../ctrlProps/ctrlProp2835.xml"/><Relationship Id="rId78" Type="http://schemas.openxmlformats.org/officeDocument/2006/relationships/ctrlProp" Target="../ctrlProps/ctrlProp76.xml"/><Relationship Id="rId809" Type="http://schemas.openxmlformats.org/officeDocument/2006/relationships/ctrlProp" Target="../ctrlProps/ctrlProp807.xml"/><Relationship Id="rId1439" Type="http://schemas.openxmlformats.org/officeDocument/2006/relationships/ctrlProp" Target="../ctrlProps/ctrlProp1437.xml"/><Relationship Id="rId1646" Type="http://schemas.openxmlformats.org/officeDocument/2006/relationships/ctrlProp" Target="../ctrlProps/ctrlProp1644.xml"/><Relationship Id="rId1853" Type="http://schemas.openxmlformats.org/officeDocument/2006/relationships/ctrlProp" Target="../ctrlProps/ctrlProp1851.xml"/><Relationship Id="rId2904" Type="http://schemas.openxmlformats.org/officeDocument/2006/relationships/ctrlProp" Target="../ctrlProps/ctrlProp2902.xml"/><Relationship Id="rId1506" Type="http://schemas.openxmlformats.org/officeDocument/2006/relationships/ctrlProp" Target="../ctrlProps/ctrlProp1504.xml"/><Relationship Id="rId1713" Type="http://schemas.openxmlformats.org/officeDocument/2006/relationships/ctrlProp" Target="../ctrlProps/ctrlProp1711.xml"/><Relationship Id="rId1920" Type="http://schemas.openxmlformats.org/officeDocument/2006/relationships/ctrlProp" Target="../ctrlProps/ctrlProp1918.xml"/><Relationship Id="rId599" Type="http://schemas.openxmlformats.org/officeDocument/2006/relationships/ctrlProp" Target="../ctrlProps/ctrlProp597.xml"/><Relationship Id="rId2487" Type="http://schemas.openxmlformats.org/officeDocument/2006/relationships/ctrlProp" Target="../ctrlProps/ctrlProp2485.xml"/><Relationship Id="rId2694" Type="http://schemas.openxmlformats.org/officeDocument/2006/relationships/ctrlProp" Target="../ctrlProps/ctrlProp2692.xml"/><Relationship Id="rId459" Type="http://schemas.openxmlformats.org/officeDocument/2006/relationships/ctrlProp" Target="../ctrlProps/ctrlProp457.xml"/><Relationship Id="rId666" Type="http://schemas.openxmlformats.org/officeDocument/2006/relationships/ctrlProp" Target="../ctrlProps/ctrlProp664.xml"/><Relationship Id="rId873" Type="http://schemas.openxmlformats.org/officeDocument/2006/relationships/ctrlProp" Target="../ctrlProps/ctrlProp871.xml"/><Relationship Id="rId1089" Type="http://schemas.openxmlformats.org/officeDocument/2006/relationships/ctrlProp" Target="../ctrlProps/ctrlProp1087.xml"/><Relationship Id="rId1296" Type="http://schemas.openxmlformats.org/officeDocument/2006/relationships/ctrlProp" Target="../ctrlProps/ctrlProp1294.xml"/><Relationship Id="rId2347" Type="http://schemas.openxmlformats.org/officeDocument/2006/relationships/ctrlProp" Target="../ctrlProps/ctrlProp2345.xml"/><Relationship Id="rId2554" Type="http://schemas.openxmlformats.org/officeDocument/2006/relationships/ctrlProp" Target="../ctrlProps/ctrlProp2552.xml"/><Relationship Id="rId319" Type="http://schemas.openxmlformats.org/officeDocument/2006/relationships/ctrlProp" Target="../ctrlProps/ctrlProp317.xml"/><Relationship Id="rId526" Type="http://schemas.openxmlformats.org/officeDocument/2006/relationships/ctrlProp" Target="../ctrlProps/ctrlProp524.xml"/><Relationship Id="rId1156" Type="http://schemas.openxmlformats.org/officeDocument/2006/relationships/ctrlProp" Target="../ctrlProps/ctrlProp1154.xml"/><Relationship Id="rId1363" Type="http://schemas.openxmlformats.org/officeDocument/2006/relationships/ctrlProp" Target="../ctrlProps/ctrlProp1361.xml"/><Relationship Id="rId2207" Type="http://schemas.openxmlformats.org/officeDocument/2006/relationships/ctrlProp" Target="../ctrlProps/ctrlProp2205.xml"/><Relationship Id="rId2761" Type="http://schemas.openxmlformats.org/officeDocument/2006/relationships/ctrlProp" Target="../ctrlProps/ctrlProp2759.xml"/><Relationship Id="rId733" Type="http://schemas.openxmlformats.org/officeDocument/2006/relationships/ctrlProp" Target="../ctrlProps/ctrlProp731.xml"/><Relationship Id="rId940" Type="http://schemas.openxmlformats.org/officeDocument/2006/relationships/ctrlProp" Target="../ctrlProps/ctrlProp938.xml"/><Relationship Id="rId1016" Type="http://schemas.openxmlformats.org/officeDocument/2006/relationships/ctrlProp" Target="../ctrlProps/ctrlProp1014.xml"/><Relationship Id="rId1570" Type="http://schemas.openxmlformats.org/officeDocument/2006/relationships/ctrlProp" Target="../ctrlProps/ctrlProp1568.xml"/><Relationship Id="rId2414" Type="http://schemas.openxmlformats.org/officeDocument/2006/relationships/ctrlProp" Target="../ctrlProps/ctrlProp2412.xml"/><Relationship Id="rId2621" Type="http://schemas.openxmlformats.org/officeDocument/2006/relationships/ctrlProp" Target="../ctrlProps/ctrlProp2619.xml"/><Relationship Id="rId800" Type="http://schemas.openxmlformats.org/officeDocument/2006/relationships/ctrlProp" Target="../ctrlProps/ctrlProp798.xml"/><Relationship Id="rId1223" Type="http://schemas.openxmlformats.org/officeDocument/2006/relationships/ctrlProp" Target="../ctrlProps/ctrlProp1221.xml"/><Relationship Id="rId1430" Type="http://schemas.openxmlformats.org/officeDocument/2006/relationships/ctrlProp" Target="../ctrlProps/ctrlProp1428.xml"/><Relationship Id="rId3188" Type="http://schemas.openxmlformats.org/officeDocument/2006/relationships/ctrlProp" Target="../ctrlProps/ctrlProp3186.xml"/><Relationship Id="rId3395" Type="http://schemas.openxmlformats.org/officeDocument/2006/relationships/table" Target="../tables/table206.xml"/><Relationship Id="rId3048" Type="http://schemas.openxmlformats.org/officeDocument/2006/relationships/ctrlProp" Target="../ctrlProps/ctrlProp3046.xml"/><Relationship Id="rId3255" Type="http://schemas.openxmlformats.org/officeDocument/2006/relationships/table" Target="../tables/table66.xml"/><Relationship Id="rId3462" Type="http://schemas.openxmlformats.org/officeDocument/2006/relationships/table" Target="../tables/table273.xml"/><Relationship Id="rId176" Type="http://schemas.openxmlformats.org/officeDocument/2006/relationships/ctrlProp" Target="../ctrlProps/ctrlProp174.xml"/><Relationship Id="rId383" Type="http://schemas.openxmlformats.org/officeDocument/2006/relationships/ctrlProp" Target="../ctrlProps/ctrlProp381.xml"/><Relationship Id="rId590" Type="http://schemas.openxmlformats.org/officeDocument/2006/relationships/ctrlProp" Target="../ctrlProps/ctrlProp588.xml"/><Relationship Id="rId2064" Type="http://schemas.openxmlformats.org/officeDocument/2006/relationships/ctrlProp" Target="../ctrlProps/ctrlProp2062.xml"/><Relationship Id="rId2271" Type="http://schemas.openxmlformats.org/officeDocument/2006/relationships/ctrlProp" Target="../ctrlProps/ctrlProp2269.xml"/><Relationship Id="rId3115" Type="http://schemas.openxmlformats.org/officeDocument/2006/relationships/ctrlProp" Target="../ctrlProps/ctrlProp3113.xml"/><Relationship Id="rId3322" Type="http://schemas.openxmlformats.org/officeDocument/2006/relationships/table" Target="../tables/table133.xml"/><Relationship Id="rId243" Type="http://schemas.openxmlformats.org/officeDocument/2006/relationships/ctrlProp" Target="../ctrlProps/ctrlProp241.xml"/><Relationship Id="rId450" Type="http://schemas.openxmlformats.org/officeDocument/2006/relationships/ctrlProp" Target="../ctrlProps/ctrlProp448.xml"/><Relationship Id="rId1080" Type="http://schemas.openxmlformats.org/officeDocument/2006/relationships/ctrlProp" Target="../ctrlProps/ctrlProp1078.xml"/><Relationship Id="rId2131" Type="http://schemas.openxmlformats.org/officeDocument/2006/relationships/ctrlProp" Target="../ctrlProps/ctrlProp2129.xml"/><Relationship Id="rId103" Type="http://schemas.openxmlformats.org/officeDocument/2006/relationships/ctrlProp" Target="../ctrlProps/ctrlProp101.xml"/><Relationship Id="rId310" Type="http://schemas.openxmlformats.org/officeDocument/2006/relationships/ctrlProp" Target="../ctrlProps/ctrlProp308.xml"/><Relationship Id="rId1897" Type="http://schemas.openxmlformats.org/officeDocument/2006/relationships/ctrlProp" Target="../ctrlProps/ctrlProp1895.xml"/><Relationship Id="rId2948" Type="http://schemas.openxmlformats.org/officeDocument/2006/relationships/ctrlProp" Target="../ctrlProps/ctrlProp2946.xml"/><Relationship Id="rId1757" Type="http://schemas.openxmlformats.org/officeDocument/2006/relationships/ctrlProp" Target="../ctrlProps/ctrlProp1755.xml"/><Relationship Id="rId1964" Type="http://schemas.openxmlformats.org/officeDocument/2006/relationships/ctrlProp" Target="../ctrlProps/ctrlProp1962.xml"/><Relationship Id="rId2808" Type="http://schemas.openxmlformats.org/officeDocument/2006/relationships/ctrlProp" Target="../ctrlProps/ctrlProp2806.xml"/><Relationship Id="rId49" Type="http://schemas.openxmlformats.org/officeDocument/2006/relationships/ctrlProp" Target="../ctrlProps/ctrlProp47.xml"/><Relationship Id="rId1617" Type="http://schemas.openxmlformats.org/officeDocument/2006/relationships/ctrlProp" Target="../ctrlProps/ctrlProp1615.xml"/><Relationship Id="rId1824" Type="http://schemas.openxmlformats.org/officeDocument/2006/relationships/ctrlProp" Target="../ctrlProps/ctrlProp1822.xml"/><Relationship Id="rId2598" Type="http://schemas.openxmlformats.org/officeDocument/2006/relationships/ctrlProp" Target="../ctrlProps/ctrlProp2596.xml"/><Relationship Id="rId777" Type="http://schemas.openxmlformats.org/officeDocument/2006/relationships/ctrlProp" Target="../ctrlProps/ctrlProp775.xml"/><Relationship Id="rId984" Type="http://schemas.openxmlformats.org/officeDocument/2006/relationships/ctrlProp" Target="../ctrlProps/ctrlProp982.xml"/><Relationship Id="rId2458" Type="http://schemas.openxmlformats.org/officeDocument/2006/relationships/ctrlProp" Target="../ctrlProps/ctrlProp2456.xml"/><Relationship Id="rId2665" Type="http://schemas.openxmlformats.org/officeDocument/2006/relationships/ctrlProp" Target="../ctrlProps/ctrlProp2663.xml"/><Relationship Id="rId2872" Type="http://schemas.openxmlformats.org/officeDocument/2006/relationships/ctrlProp" Target="../ctrlProps/ctrlProp2870.xml"/><Relationship Id="rId3509" Type="http://schemas.openxmlformats.org/officeDocument/2006/relationships/table" Target="../tables/table320.xml"/><Relationship Id="rId637" Type="http://schemas.openxmlformats.org/officeDocument/2006/relationships/ctrlProp" Target="../ctrlProps/ctrlProp635.xml"/><Relationship Id="rId844" Type="http://schemas.openxmlformats.org/officeDocument/2006/relationships/ctrlProp" Target="../ctrlProps/ctrlProp842.xml"/><Relationship Id="rId1267" Type="http://schemas.openxmlformats.org/officeDocument/2006/relationships/ctrlProp" Target="../ctrlProps/ctrlProp1265.xml"/><Relationship Id="rId1474" Type="http://schemas.openxmlformats.org/officeDocument/2006/relationships/ctrlProp" Target="../ctrlProps/ctrlProp1472.xml"/><Relationship Id="rId1681" Type="http://schemas.openxmlformats.org/officeDocument/2006/relationships/ctrlProp" Target="../ctrlProps/ctrlProp1679.xml"/><Relationship Id="rId2318" Type="http://schemas.openxmlformats.org/officeDocument/2006/relationships/ctrlProp" Target="../ctrlProps/ctrlProp2316.xml"/><Relationship Id="rId2525" Type="http://schemas.openxmlformats.org/officeDocument/2006/relationships/ctrlProp" Target="../ctrlProps/ctrlProp2523.xml"/><Relationship Id="rId2732" Type="http://schemas.openxmlformats.org/officeDocument/2006/relationships/ctrlProp" Target="../ctrlProps/ctrlProp2730.xml"/><Relationship Id="rId704" Type="http://schemas.openxmlformats.org/officeDocument/2006/relationships/ctrlProp" Target="../ctrlProps/ctrlProp702.xml"/><Relationship Id="rId911" Type="http://schemas.openxmlformats.org/officeDocument/2006/relationships/ctrlProp" Target="../ctrlProps/ctrlProp909.xml"/><Relationship Id="rId1127" Type="http://schemas.openxmlformats.org/officeDocument/2006/relationships/ctrlProp" Target="../ctrlProps/ctrlProp1125.xml"/><Relationship Id="rId1334" Type="http://schemas.openxmlformats.org/officeDocument/2006/relationships/ctrlProp" Target="../ctrlProps/ctrlProp1332.xml"/><Relationship Id="rId1541" Type="http://schemas.openxmlformats.org/officeDocument/2006/relationships/ctrlProp" Target="../ctrlProps/ctrlProp1539.xml"/><Relationship Id="rId40" Type="http://schemas.openxmlformats.org/officeDocument/2006/relationships/ctrlProp" Target="../ctrlProps/ctrlProp38.xml"/><Relationship Id="rId1401" Type="http://schemas.openxmlformats.org/officeDocument/2006/relationships/ctrlProp" Target="../ctrlProps/ctrlProp1399.xml"/><Relationship Id="rId3299" Type="http://schemas.openxmlformats.org/officeDocument/2006/relationships/table" Target="../tables/table110.xml"/><Relationship Id="rId3159" Type="http://schemas.openxmlformats.org/officeDocument/2006/relationships/ctrlProp" Target="../ctrlProps/ctrlProp3157.xml"/><Relationship Id="rId3366" Type="http://schemas.openxmlformats.org/officeDocument/2006/relationships/table" Target="../tables/table177.xml"/><Relationship Id="rId287" Type="http://schemas.openxmlformats.org/officeDocument/2006/relationships/ctrlProp" Target="../ctrlProps/ctrlProp285.xml"/><Relationship Id="rId494" Type="http://schemas.openxmlformats.org/officeDocument/2006/relationships/ctrlProp" Target="../ctrlProps/ctrlProp492.xml"/><Relationship Id="rId2175" Type="http://schemas.openxmlformats.org/officeDocument/2006/relationships/ctrlProp" Target="../ctrlProps/ctrlProp2173.xml"/><Relationship Id="rId2382" Type="http://schemas.openxmlformats.org/officeDocument/2006/relationships/ctrlProp" Target="../ctrlProps/ctrlProp2380.xml"/><Relationship Id="rId3019" Type="http://schemas.openxmlformats.org/officeDocument/2006/relationships/ctrlProp" Target="../ctrlProps/ctrlProp3017.xml"/><Relationship Id="rId3226" Type="http://schemas.openxmlformats.org/officeDocument/2006/relationships/table" Target="../tables/table37.xml"/><Relationship Id="rId147" Type="http://schemas.openxmlformats.org/officeDocument/2006/relationships/ctrlProp" Target="../ctrlProps/ctrlProp145.xml"/><Relationship Id="rId354" Type="http://schemas.openxmlformats.org/officeDocument/2006/relationships/ctrlProp" Target="../ctrlProps/ctrlProp352.xml"/><Relationship Id="rId1191" Type="http://schemas.openxmlformats.org/officeDocument/2006/relationships/ctrlProp" Target="../ctrlProps/ctrlProp1189.xml"/><Relationship Id="rId2035" Type="http://schemas.openxmlformats.org/officeDocument/2006/relationships/ctrlProp" Target="../ctrlProps/ctrlProp2033.xml"/><Relationship Id="rId3433" Type="http://schemas.openxmlformats.org/officeDocument/2006/relationships/table" Target="../tables/table244.xml"/><Relationship Id="rId561" Type="http://schemas.openxmlformats.org/officeDocument/2006/relationships/ctrlProp" Target="../ctrlProps/ctrlProp559.xml"/><Relationship Id="rId2242" Type="http://schemas.openxmlformats.org/officeDocument/2006/relationships/ctrlProp" Target="../ctrlProps/ctrlProp2240.xml"/><Relationship Id="rId3500" Type="http://schemas.openxmlformats.org/officeDocument/2006/relationships/table" Target="../tables/table311.xml"/><Relationship Id="rId214" Type="http://schemas.openxmlformats.org/officeDocument/2006/relationships/ctrlProp" Target="../ctrlProps/ctrlProp212.xml"/><Relationship Id="rId421" Type="http://schemas.openxmlformats.org/officeDocument/2006/relationships/ctrlProp" Target="../ctrlProps/ctrlProp419.xml"/><Relationship Id="rId1051" Type="http://schemas.openxmlformats.org/officeDocument/2006/relationships/ctrlProp" Target="../ctrlProps/ctrlProp1049.xml"/><Relationship Id="rId2102" Type="http://schemas.openxmlformats.org/officeDocument/2006/relationships/ctrlProp" Target="../ctrlProps/ctrlProp2100.xml"/><Relationship Id="rId1868" Type="http://schemas.openxmlformats.org/officeDocument/2006/relationships/ctrlProp" Target="../ctrlProps/ctrlProp1866.xml"/><Relationship Id="rId2919" Type="http://schemas.openxmlformats.org/officeDocument/2006/relationships/ctrlProp" Target="../ctrlProps/ctrlProp2917.xml"/><Relationship Id="rId3083" Type="http://schemas.openxmlformats.org/officeDocument/2006/relationships/ctrlProp" Target="../ctrlProps/ctrlProp3081.xml"/><Relationship Id="rId3290" Type="http://schemas.openxmlformats.org/officeDocument/2006/relationships/table" Target="../tables/table101.xml"/><Relationship Id="rId1728" Type="http://schemas.openxmlformats.org/officeDocument/2006/relationships/ctrlProp" Target="../ctrlProps/ctrlProp1726.xml"/><Relationship Id="rId1935" Type="http://schemas.openxmlformats.org/officeDocument/2006/relationships/ctrlProp" Target="../ctrlProps/ctrlProp1933.xml"/><Relationship Id="rId3150" Type="http://schemas.openxmlformats.org/officeDocument/2006/relationships/ctrlProp" Target="../ctrlProps/ctrlProp3148.xml"/><Relationship Id="rId3010" Type="http://schemas.openxmlformats.org/officeDocument/2006/relationships/ctrlProp" Target="../ctrlProps/ctrlProp3008.xml"/><Relationship Id="rId4" Type="http://schemas.openxmlformats.org/officeDocument/2006/relationships/ctrlProp" Target="../ctrlProps/ctrlProp2.xml"/><Relationship Id="rId888" Type="http://schemas.openxmlformats.org/officeDocument/2006/relationships/ctrlProp" Target="../ctrlProps/ctrlProp886.xml"/><Relationship Id="rId2569" Type="http://schemas.openxmlformats.org/officeDocument/2006/relationships/ctrlProp" Target="../ctrlProps/ctrlProp2567.xml"/><Relationship Id="rId2776" Type="http://schemas.openxmlformats.org/officeDocument/2006/relationships/ctrlProp" Target="../ctrlProps/ctrlProp2774.xml"/><Relationship Id="rId2983" Type="http://schemas.openxmlformats.org/officeDocument/2006/relationships/ctrlProp" Target="../ctrlProps/ctrlProp2981.xml"/><Relationship Id="rId748" Type="http://schemas.openxmlformats.org/officeDocument/2006/relationships/ctrlProp" Target="../ctrlProps/ctrlProp746.xml"/><Relationship Id="rId955" Type="http://schemas.openxmlformats.org/officeDocument/2006/relationships/ctrlProp" Target="../ctrlProps/ctrlProp953.xml"/><Relationship Id="rId1378" Type="http://schemas.openxmlformats.org/officeDocument/2006/relationships/ctrlProp" Target="../ctrlProps/ctrlProp1376.xml"/><Relationship Id="rId1585" Type="http://schemas.openxmlformats.org/officeDocument/2006/relationships/ctrlProp" Target="../ctrlProps/ctrlProp1583.xml"/><Relationship Id="rId1792" Type="http://schemas.openxmlformats.org/officeDocument/2006/relationships/ctrlProp" Target="../ctrlProps/ctrlProp1790.xml"/><Relationship Id="rId2429" Type="http://schemas.openxmlformats.org/officeDocument/2006/relationships/ctrlProp" Target="../ctrlProps/ctrlProp2427.xml"/><Relationship Id="rId2636" Type="http://schemas.openxmlformats.org/officeDocument/2006/relationships/ctrlProp" Target="../ctrlProps/ctrlProp2634.xml"/><Relationship Id="rId2843" Type="http://schemas.openxmlformats.org/officeDocument/2006/relationships/ctrlProp" Target="../ctrlProps/ctrlProp2841.xml"/><Relationship Id="rId84" Type="http://schemas.openxmlformats.org/officeDocument/2006/relationships/ctrlProp" Target="../ctrlProps/ctrlProp82.xml"/><Relationship Id="rId608" Type="http://schemas.openxmlformats.org/officeDocument/2006/relationships/ctrlProp" Target="../ctrlProps/ctrlProp606.xml"/><Relationship Id="rId815" Type="http://schemas.openxmlformats.org/officeDocument/2006/relationships/ctrlProp" Target="../ctrlProps/ctrlProp813.xml"/><Relationship Id="rId1238" Type="http://schemas.openxmlformats.org/officeDocument/2006/relationships/ctrlProp" Target="../ctrlProps/ctrlProp1236.xml"/><Relationship Id="rId1445" Type="http://schemas.openxmlformats.org/officeDocument/2006/relationships/ctrlProp" Target="../ctrlProps/ctrlProp1443.xml"/><Relationship Id="rId1652" Type="http://schemas.openxmlformats.org/officeDocument/2006/relationships/ctrlProp" Target="../ctrlProps/ctrlProp1650.xml"/><Relationship Id="rId1305" Type="http://schemas.openxmlformats.org/officeDocument/2006/relationships/ctrlProp" Target="../ctrlProps/ctrlProp1303.xml"/><Relationship Id="rId2703" Type="http://schemas.openxmlformats.org/officeDocument/2006/relationships/ctrlProp" Target="../ctrlProps/ctrlProp2701.xml"/><Relationship Id="rId2910" Type="http://schemas.openxmlformats.org/officeDocument/2006/relationships/ctrlProp" Target="../ctrlProps/ctrlProp2908.xml"/><Relationship Id="rId1512" Type="http://schemas.openxmlformats.org/officeDocument/2006/relationships/ctrlProp" Target="../ctrlProps/ctrlProp1510.xml"/><Relationship Id="rId11" Type="http://schemas.openxmlformats.org/officeDocument/2006/relationships/ctrlProp" Target="../ctrlProps/ctrlProp9.xml"/><Relationship Id="rId398" Type="http://schemas.openxmlformats.org/officeDocument/2006/relationships/ctrlProp" Target="../ctrlProps/ctrlProp396.xml"/><Relationship Id="rId2079" Type="http://schemas.openxmlformats.org/officeDocument/2006/relationships/ctrlProp" Target="../ctrlProps/ctrlProp2077.xml"/><Relationship Id="rId3477" Type="http://schemas.openxmlformats.org/officeDocument/2006/relationships/table" Target="../tables/table288.xml"/><Relationship Id="rId2286" Type="http://schemas.openxmlformats.org/officeDocument/2006/relationships/ctrlProp" Target="../ctrlProps/ctrlProp2284.xml"/><Relationship Id="rId2493" Type="http://schemas.openxmlformats.org/officeDocument/2006/relationships/ctrlProp" Target="../ctrlProps/ctrlProp2491.xml"/><Relationship Id="rId3337" Type="http://schemas.openxmlformats.org/officeDocument/2006/relationships/table" Target="../tables/table148.xml"/><Relationship Id="rId258" Type="http://schemas.openxmlformats.org/officeDocument/2006/relationships/ctrlProp" Target="../ctrlProps/ctrlProp256.xml"/><Relationship Id="rId465" Type="http://schemas.openxmlformats.org/officeDocument/2006/relationships/ctrlProp" Target="../ctrlProps/ctrlProp463.xml"/><Relationship Id="rId672" Type="http://schemas.openxmlformats.org/officeDocument/2006/relationships/ctrlProp" Target="../ctrlProps/ctrlProp670.xml"/><Relationship Id="rId1095" Type="http://schemas.openxmlformats.org/officeDocument/2006/relationships/ctrlProp" Target="../ctrlProps/ctrlProp1093.xml"/><Relationship Id="rId2146" Type="http://schemas.openxmlformats.org/officeDocument/2006/relationships/ctrlProp" Target="../ctrlProps/ctrlProp2144.xml"/><Relationship Id="rId2353" Type="http://schemas.openxmlformats.org/officeDocument/2006/relationships/ctrlProp" Target="../ctrlProps/ctrlProp2351.xml"/><Relationship Id="rId2560" Type="http://schemas.openxmlformats.org/officeDocument/2006/relationships/ctrlProp" Target="../ctrlProps/ctrlProp2558.xml"/><Relationship Id="rId3404" Type="http://schemas.openxmlformats.org/officeDocument/2006/relationships/table" Target="../tables/table215.xml"/><Relationship Id="rId118" Type="http://schemas.openxmlformats.org/officeDocument/2006/relationships/ctrlProp" Target="../ctrlProps/ctrlProp116.xml"/><Relationship Id="rId325" Type="http://schemas.openxmlformats.org/officeDocument/2006/relationships/ctrlProp" Target="../ctrlProps/ctrlProp323.xml"/><Relationship Id="rId532" Type="http://schemas.openxmlformats.org/officeDocument/2006/relationships/ctrlProp" Target="../ctrlProps/ctrlProp530.xml"/><Relationship Id="rId1162" Type="http://schemas.openxmlformats.org/officeDocument/2006/relationships/ctrlProp" Target="../ctrlProps/ctrlProp1160.xml"/><Relationship Id="rId2006" Type="http://schemas.openxmlformats.org/officeDocument/2006/relationships/ctrlProp" Target="../ctrlProps/ctrlProp2004.xml"/><Relationship Id="rId2213" Type="http://schemas.openxmlformats.org/officeDocument/2006/relationships/ctrlProp" Target="../ctrlProps/ctrlProp2211.xml"/><Relationship Id="rId2420" Type="http://schemas.openxmlformats.org/officeDocument/2006/relationships/ctrlProp" Target="../ctrlProps/ctrlProp2418.xml"/><Relationship Id="rId1022" Type="http://schemas.openxmlformats.org/officeDocument/2006/relationships/ctrlProp" Target="../ctrlProps/ctrlProp1020.xml"/><Relationship Id="rId1979" Type="http://schemas.openxmlformats.org/officeDocument/2006/relationships/ctrlProp" Target="../ctrlProps/ctrlProp1977.xml"/><Relationship Id="rId3194" Type="http://schemas.openxmlformats.org/officeDocument/2006/relationships/table" Target="../tables/table5.xml"/><Relationship Id="rId1839" Type="http://schemas.openxmlformats.org/officeDocument/2006/relationships/ctrlProp" Target="../ctrlProps/ctrlProp1837.xml"/><Relationship Id="rId3054" Type="http://schemas.openxmlformats.org/officeDocument/2006/relationships/ctrlProp" Target="../ctrlProps/ctrlProp3052.xml"/><Relationship Id="rId182" Type="http://schemas.openxmlformats.org/officeDocument/2006/relationships/ctrlProp" Target="../ctrlProps/ctrlProp180.xml"/><Relationship Id="rId1906" Type="http://schemas.openxmlformats.org/officeDocument/2006/relationships/ctrlProp" Target="../ctrlProps/ctrlProp1904.xml"/><Relationship Id="rId3261" Type="http://schemas.openxmlformats.org/officeDocument/2006/relationships/table" Target="../tables/table72.xml"/><Relationship Id="rId2070" Type="http://schemas.openxmlformats.org/officeDocument/2006/relationships/ctrlProp" Target="../ctrlProps/ctrlProp2068.xml"/><Relationship Id="rId3121" Type="http://schemas.openxmlformats.org/officeDocument/2006/relationships/ctrlProp" Target="../ctrlProps/ctrlProp3119.xml"/><Relationship Id="rId999" Type="http://schemas.openxmlformats.org/officeDocument/2006/relationships/ctrlProp" Target="../ctrlProps/ctrlProp997.xml"/><Relationship Id="rId2887" Type="http://schemas.openxmlformats.org/officeDocument/2006/relationships/ctrlProp" Target="../ctrlProps/ctrlProp2885.xml"/><Relationship Id="rId859" Type="http://schemas.openxmlformats.org/officeDocument/2006/relationships/ctrlProp" Target="../ctrlProps/ctrlProp857.xml"/><Relationship Id="rId1489" Type="http://schemas.openxmlformats.org/officeDocument/2006/relationships/ctrlProp" Target="../ctrlProps/ctrlProp1487.xml"/><Relationship Id="rId1696" Type="http://schemas.openxmlformats.org/officeDocument/2006/relationships/ctrlProp" Target="../ctrlProps/ctrlProp1694.xml"/><Relationship Id="rId1349" Type="http://schemas.openxmlformats.org/officeDocument/2006/relationships/ctrlProp" Target="../ctrlProps/ctrlProp1347.xml"/><Relationship Id="rId2747" Type="http://schemas.openxmlformats.org/officeDocument/2006/relationships/ctrlProp" Target="../ctrlProps/ctrlProp2745.xml"/><Relationship Id="rId2954" Type="http://schemas.openxmlformats.org/officeDocument/2006/relationships/ctrlProp" Target="../ctrlProps/ctrlProp2952.xml"/><Relationship Id="rId719" Type="http://schemas.openxmlformats.org/officeDocument/2006/relationships/ctrlProp" Target="../ctrlProps/ctrlProp717.xml"/><Relationship Id="rId926" Type="http://schemas.openxmlformats.org/officeDocument/2006/relationships/ctrlProp" Target="../ctrlProps/ctrlProp924.xml"/><Relationship Id="rId1556" Type="http://schemas.openxmlformats.org/officeDocument/2006/relationships/ctrlProp" Target="../ctrlProps/ctrlProp1554.xml"/><Relationship Id="rId1763" Type="http://schemas.openxmlformats.org/officeDocument/2006/relationships/ctrlProp" Target="../ctrlProps/ctrlProp1761.xml"/><Relationship Id="rId1970" Type="http://schemas.openxmlformats.org/officeDocument/2006/relationships/ctrlProp" Target="../ctrlProps/ctrlProp1968.xml"/><Relationship Id="rId2607" Type="http://schemas.openxmlformats.org/officeDocument/2006/relationships/ctrlProp" Target="../ctrlProps/ctrlProp2605.xml"/><Relationship Id="rId2814" Type="http://schemas.openxmlformats.org/officeDocument/2006/relationships/ctrlProp" Target="../ctrlProps/ctrlProp2812.xml"/><Relationship Id="rId55" Type="http://schemas.openxmlformats.org/officeDocument/2006/relationships/ctrlProp" Target="../ctrlProps/ctrlProp53.xml"/><Relationship Id="rId1209" Type="http://schemas.openxmlformats.org/officeDocument/2006/relationships/ctrlProp" Target="../ctrlProps/ctrlProp1207.xml"/><Relationship Id="rId1416" Type="http://schemas.openxmlformats.org/officeDocument/2006/relationships/ctrlProp" Target="../ctrlProps/ctrlProp1414.xml"/><Relationship Id="rId1623" Type="http://schemas.openxmlformats.org/officeDocument/2006/relationships/ctrlProp" Target="../ctrlProps/ctrlProp1621.xml"/><Relationship Id="rId1830" Type="http://schemas.openxmlformats.org/officeDocument/2006/relationships/ctrlProp" Target="../ctrlProps/ctrlProp1828.xml"/><Relationship Id="rId2397" Type="http://schemas.openxmlformats.org/officeDocument/2006/relationships/ctrlProp" Target="../ctrlProps/ctrlProp2395.xml"/><Relationship Id="rId3448" Type="http://schemas.openxmlformats.org/officeDocument/2006/relationships/table" Target="../tables/table259.xml"/><Relationship Id="rId369" Type="http://schemas.openxmlformats.org/officeDocument/2006/relationships/ctrlProp" Target="../ctrlProps/ctrlProp367.xml"/><Relationship Id="rId576" Type="http://schemas.openxmlformats.org/officeDocument/2006/relationships/ctrlProp" Target="../ctrlProps/ctrlProp574.xml"/><Relationship Id="rId783" Type="http://schemas.openxmlformats.org/officeDocument/2006/relationships/ctrlProp" Target="../ctrlProps/ctrlProp781.xml"/><Relationship Id="rId990" Type="http://schemas.openxmlformats.org/officeDocument/2006/relationships/ctrlProp" Target="../ctrlProps/ctrlProp988.xml"/><Relationship Id="rId2257" Type="http://schemas.openxmlformats.org/officeDocument/2006/relationships/ctrlProp" Target="../ctrlProps/ctrlProp2255.xml"/><Relationship Id="rId2464" Type="http://schemas.openxmlformats.org/officeDocument/2006/relationships/ctrlProp" Target="../ctrlProps/ctrlProp2462.xml"/><Relationship Id="rId2671" Type="http://schemas.openxmlformats.org/officeDocument/2006/relationships/ctrlProp" Target="../ctrlProps/ctrlProp2669.xml"/><Relationship Id="rId3308" Type="http://schemas.openxmlformats.org/officeDocument/2006/relationships/table" Target="../tables/table119.xml"/><Relationship Id="rId229" Type="http://schemas.openxmlformats.org/officeDocument/2006/relationships/ctrlProp" Target="../ctrlProps/ctrlProp227.xml"/><Relationship Id="rId436" Type="http://schemas.openxmlformats.org/officeDocument/2006/relationships/ctrlProp" Target="../ctrlProps/ctrlProp434.xml"/><Relationship Id="rId643" Type="http://schemas.openxmlformats.org/officeDocument/2006/relationships/ctrlProp" Target="../ctrlProps/ctrlProp641.xml"/><Relationship Id="rId1066" Type="http://schemas.openxmlformats.org/officeDocument/2006/relationships/ctrlProp" Target="../ctrlProps/ctrlProp1064.xml"/><Relationship Id="rId1273" Type="http://schemas.openxmlformats.org/officeDocument/2006/relationships/ctrlProp" Target="../ctrlProps/ctrlProp1271.xml"/><Relationship Id="rId1480" Type="http://schemas.openxmlformats.org/officeDocument/2006/relationships/ctrlProp" Target="../ctrlProps/ctrlProp1478.xml"/><Relationship Id="rId2117" Type="http://schemas.openxmlformats.org/officeDocument/2006/relationships/ctrlProp" Target="../ctrlProps/ctrlProp2115.xml"/><Relationship Id="rId2324" Type="http://schemas.openxmlformats.org/officeDocument/2006/relationships/ctrlProp" Target="../ctrlProps/ctrlProp2322.xml"/><Relationship Id="rId850" Type="http://schemas.openxmlformats.org/officeDocument/2006/relationships/ctrlProp" Target="../ctrlProps/ctrlProp848.xml"/><Relationship Id="rId1133" Type="http://schemas.openxmlformats.org/officeDocument/2006/relationships/ctrlProp" Target="../ctrlProps/ctrlProp1131.xml"/><Relationship Id="rId2531" Type="http://schemas.openxmlformats.org/officeDocument/2006/relationships/ctrlProp" Target="../ctrlProps/ctrlProp2529.xml"/><Relationship Id="rId503" Type="http://schemas.openxmlformats.org/officeDocument/2006/relationships/ctrlProp" Target="../ctrlProps/ctrlProp501.xml"/><Relationship Id="rId710" Type="http://schemas.openxmlformats.org/officeDocument/2006/relationships/ctrlProp" Target="../ctrlProps/ctrlProp708.xml"/><Relationship Id="rId1340" Type="http://schemas.openxmlformats.org/officeDocument/2006/relationships/ctrlProp" Target="../ctrlProps/ctrlProp1338.xml"/><Relationship Id="rId3098" Type="http://schemas.openxmlformats.org/officeDocument/2006/relationships/ctrlProp" Target="../ctrlProps/ctrlProp3096.xml"/><Relationship Id="rId1200" Type="http://schemas.openxmlformats.org/officeDocument/2006/relationships/ctrlProp" Target="../ctrlProps/ctrlProp1198.xml"/><Relationship Id="rId3165" Type="http://schemas.openxmlformats.org/officeDocument/2006/relationships/ctrlProp" Target="../ctrlProps/ctrlProp3163.xml"/><Relationship Id="rId3372" Type="http://schemas.openxmlformats.org/officeDocument/2006/relationships/table" Target="../tables/table183.xml"/><Relationship Id="rId293" Type="http://schemas.openxmlformats.org/officeDocument/2006/relationships/ctrlProp" Target="../ctrlProps/ctrlProp291.xml"/><Relationship Id="rId2181" Type="http://schemas.openxmlformats.org/officeDocument/2006/relationships/ctrlProp" Target="../ctrlProps/ctrlProp2179.xml"/><Relationship Id="rId3025" Type="http://schemas.openxmlformats.org/officeDocument/2006/relationships/ctrlProp" Target="../ctrlProps/ctrlProp3023.xml"/><Relationship Id="rId3232" Type="http://schemas.openxmlformats.org/officeDocument/2006/relationships/table" Target="../tables/table43.xml"/><Relationship Id="rId153" Type="http://schemas.openxmlformats.org/officeDocument/2006/relationships/ctrlProp" Target="../ctrlProps/ctrlProp151.xml"/><Relationship Id="rId360" Type="http://schemas.openxmlformats.org/officeDocument/2006/relationships/ctrlProp" Target="../ctrlProps/ctrlProp358.xml"/><Relationship Id="rId2041" Type="http://schemas.openxmlformats.org/officeDocument/2006/relationships/ctrlProp" Target="../ctrlProps/ctrlProp2039.xml"/><Relationship Id="rId220" Type="http://schemas.openxmlformats.org/officeDocument/2006/relationships/ctrlProp" Target="../ctrlProps/ctrlProp218.xml"/><Relationship Id="rId2998" Type="http://schemas.openxmlformats.org/officeDocument/2006/relationships/ctrlProp" Target="../ctrlProps/ctrlProp2996.xml"/><Relationship Id="rId2858" Type="http://schemas.openxmlformats.org/officeDocument/2006/relationships/ctrlProp" Target="../ctrlProps/ctrlProp2856.xml"/><Relationship Id="rId99" Type="http://schemas.openxmlformats.org/officeDocument/2006/relationships/ctrlProp" Target="../ctrlProps/ctrlProp97.xml"/><Relationship Id="rId1667" Type="http://schemas.openxmlformats.org/officeDocument/2006/relationships/ctrlProp" Target="../ctrlProps/ctrlProp1665.xml"/><Relationship Id="rId1874" Type="http://schemas.openxmlformats.org/officeDocument/2006/relationships/ctrlProp" Target="../ctrlProps/ctrlProp1872.xml"/><Relationship Id="rId2718" Type="http://schemas.openxmlformats.org/officeDocument/2006/relationships/ctrlProp" Target="../ctrlProps/ctrlProp2716.xml"/><Relationship Id="rId2925" Type="http://schemas.openxmlformats.org/officeDocument/2006/relationships/ctrlProp" Target="../ctrlProps/ctrlProp2923.xml"/><Relationship Id="rId1527" Type="http://schemas.openxmlformats.org/officeDocument/2006/relationships/ctrlProp" Target="../ctrlProps/ctrlProp1525.xml"/><Relationship Id="rId1734" Type="http://schemas.openxmlformats.org/officeDocument/2006/relationships/ctrlProp" Target="../ctrlProps/ctrlProp1732.xml"/><Relationship Id="rId1941" Type="http://schemas.openxmlformats.org/officeDocument/2006/relationships/ctrlProp" Target="../ctrlProps/ctrlProp1939.xml"/><Relationship Id="rId26" Type="http://schemas.openxmlformats.org/officeDocument/2006/relationships/ctrlProp" Target="../ctrlProps/ctrlProp24.xml"/><Relationship Id="rId1801" Type="http://schemas.openxmlformats.org/officeDocument/2006/relationships/ctrlProp" Target="../ctrlProps/ctrlProp1799.xml"/><Relationship Id="rId687" Type="http://schemas.openxmlformats.org/officeDocument/2006/relationships/ctrlProp" Target="../ctrlProps/ctrlProp685.xml"/><Relationship Id="rId2368" Type="http://schemas.openxmlformats.org/officeDocument/2006/relationships/ctrlProp" Target="../ctrlProps/ctrlProp2366.xml"/><Relationship Id="rId894" Type="http://schemas.openxmlformats.org/officeDocument/2006/relationships/ctrlProp" Target="../ctrlProps/ctrlProp892.xml"/><Relationship Id="rId1177" Type="http://schemas.openxmlformats.org/officeDocument/2006/relationships/ctrlProp" Target="../ctrlProps/ctrlProp1175.xml"/><Relationship Id="rId2575" Type="http://schemas.openxmlformats.org/officeDocument/2006/relationships/ctrlProp" Target="../ctrlProps/ctrlProp2573.xml"/><Relationship Id="rId2782" Type="http://schemas.openxmlformats.org/officeDocument/2006/relationships/ctrlProp" Target="../ctrlProps/ctrlProp2780.xml"/><Relationship Id="rId3419" Type="http://schemas.openxmlformats.org/officeDocument/2006/relationships/table" Target="../tables/table230.xml"/><Relationship Id="rId547" Type="http://schemas.openxmlformats.org/officeDocument/2006/relationships/ctrlProp" Target="../ctrlProps/ctrlProp545.xml"/><Relationship Id="rId754" Type="http://schemas.openxmlformats.org/officeDocument/2006/relationships/ctrlProp" Target="../ctrlProps/ctrlProp752.xml"/><Relationship Id="rId961" Type="http://schemas.openxmlformats.org/officeDocument/2006/relationships/ctrlProp" Target="../ctrlProps/ctrlProp959.xml"/><Relationship Id="rId1384" Type="http://schemas.openxmlformats.org/officeDocument/2006/relationships/ctrlProp" Target="../ctrlProps/ctrlProp1382.xml"/><Relationship Id="rId1591" Type="http://schemas.openxmlformats.org/officeDocument/2006/relationships/ctrlProp" Target="../ctrlProps/ctrlProp1589.xml"/><Relationship Id="rId2228" Type="http://schemas.openxmlformats.org/officeDocument/2006/relationships/ctrlProp" Target="../ctrlProps/ctrlProp2226.xml"/><Relationship Id="rId2435" Type="http://schemas.openxmlformats.org/officeDocument/2006/relationships/ctrlProp" Target="../ctrlProps/ctrlProp2433.xml"/><Relationship Id="rId2642" Type="http://schemas.openxmlformats.org/officeDocument/2006/relationships/ctrlProp" Target="../ctrlProps/ctrlProp2640.xml"/><Relationship Id="rId90" Type="http://schemas.openxmlformats.org/officeDocument/2006/relationships/ctrlProp" Target="../ctrlProps/ctrlProp88.xml"/><Relationship Id="rId407" Type="http://schemas.openxmlformats.org/officeDocument/2006/relationships/ctrlProp" Target="../ctrlProps/ctrlProp405.xml"/><Relationship Id="rId614" Type="http://schemas.openxmlformats.org/officeDocument/2006/relationships/ctrlProp" Target="../ctrlProps/ctrlProp612.xml"/><Relationship Id="rId821" Type="http://schemas.openxmlformats.org/officeDocument/2006/relationships/ctrlProp" Target="../ctrlProps/ctrlProp819.xml"/><Relationship Id="rId1037" Type="http://schemas.openxmlformats.org/officeDocument/2006/relationships/ctrlProp" Target="../ctrlProps/ctrlProp1035.xml"/><Relationship Id="rId1244" Type="http://schemas.openxmlformats.org/officeDocument/2006/relationships/ctrlProp" Target="../ctrlProps/ctrlProp1242.xml"/><Relationship Id="rId1451" Type="http://schemas.openxmlformats.org/officeDocument/2006/relationships/ctrlProp" Target="../ctrlProps/ctrlProp1449.xml"/><Relationship Id="rId2502" Type="http://schemas.openxmlformats.org/officeDocument/2006/relationships/ctrlProp" Target="../ctrlProps/ctrlProp2500.xml"/><Relationship Id="rId1104" Type="http://schemas.openxmlformats.org/officeDocument/2006/relationships/ctrlProp" Target="../ctrlProps/ctrlProp1102.xml"/><Relationship Id="rId1311" Type="http://schemas.openxmlformats.org/officeDocument/2006/relationships/ctrlProp" Target="../ctrlProps/ctrlProp1309.xml"/><Relationship Id="rId3069" Type="http://schemas.openxmlformats.org/officeDocument/2006/relationships/ctrlProp" Target="../ctrlProps/ctrlProp3067.xml"/><Relationship Id="rId3276" Type="http://schemas.openxmlformats.org/officeDocument/2006/relationships/table" Target="../tables/table87.xml"/><Relationship Id="rId3483" Type="http://schemas.openxmlformats.org/officeDocument/2006/relationships/table" Target="../tables/table294.xml"/><Relationship Id="rId197" Type="http://schemas.openxmlformats.org/officeDocument/2006/relationships/ctrlProp" Target="../ctrlProps/ctrlProp195.xml"/><Relationship Id="rId2085" Type="http://schemas.openxmlformats.org/officeDocument/2006/relationships/ctrlProp" Target="../ctrlProps/ctrlProp2083.xml"/><Relationship Id="rId2292" Type="http://schemas.openxmlformats.org/officeDocument/2006/relationships/ctrlProp" Target="../ctrlProps/ctrlProp2290.xml"/><Relationship Id="rId3136" Type="http://schemas.openxmlformats.org/officeDocument/2006/relationships/ctrlProp" Target="../ctrlProps/ctrlProp3134.xml"/><Relationship Id="rId3343" Type="http://schemas.openxmlformats.org/officeDocument/2006/relationships/table" Target="../tables/table154.xml"/><Relationship Id="rId264" Type="http://schemas.openxmlformats.org/officeDocument/2006/relationships/ctrlProp" Target="../ctrlProps/ctrlProp262.xml"/><Relationship Id="rId471" Type="http://schemas.openxmlformats.org/officeDocument/2006/relationships/ctrlProp" Target="../ctrlProps/ctrlProp469.xml"/><Relationship Id="rId2152" Type="http://schemas.openxmlformats.org/officeDocument/2006/relationships/ctrlProp" Target="../ctrlProps/ctrlProp2150.xml"/><Relationship Id="rId124" Type="http://schemas.openxmlformats.org/officeDocument/2006/relationships/ctrlProp" Target="../ctrlProps/ctrlProp122.xml"/><Relationship Id="rId3203" Type="http://schemas.openxmlformats.org/officeDocument/2006/relationships/table" Target="../tables/table14.xml"/><Relationship Id="rId3410" Type="http://schemas.openxmlformats.org/officeDocument/2006/relationships/table" Target="../tables/table221.xml"/><Relationship Id="rId331" Type="http://schemas.openxmlformats.org/officeDocument/2006/relationships/ctrlProp" Target="../ctrlProps/ctrlProp329.xml"/><Relationship Id="rId2012" Type="http://schemas.openxmlformats.org/officeDocument/2006/relationships/ctrlProp" Target="../ctrlProps/ctrlProp2010.xml"/><Relationship Id="rId2969" Type="http://schemas.openxmlformats.org/officeDocument/2006/relationships/ctrlProp" Target="../ctrlProps/ctrlProp2967.xml"/><Relationship Id="rId1778" Type="http://schemas.openxmlformats.org/officeDocument/2006/relationships/ctrlProp" Target="../ctrlProps/ctrlProp1776.xml"/><Relationship Id="rId1985" Type="http://schemas.openxmlformats.org/officeDocument/2006/relationships/ctrlProp" Target="../ctrlProps/ctrlProp1983.xml"/><Relationship Id="rId2829" Type="http://schemas.openxmlformats.org/officeDocument/2006/relationships/ctrlProp" Target="../ctrlProps/ctrlProp2827.xml"/><Relationship Id="rId1638" Type="http://schemas.openxmlformats.org/officeDocument/2006/relationships/ctrlProp" Target="../ctrlProps/ctrlProp1636.xml"/><Relationship Id="rId1845" Type="http://schemas.openxmlformats.org/officeDocument/2006/relationships/ctrlProp" Target="../ctrlProps/ctrlProp1843.xml"/><Relationship Id="rId3060" Type="http://schemas.openxmlformats.org/officeDocument/2006/relationships/ctrlProp" Target="../ctrlProps/ctrlProp3058.xml"/><Relationship Id="rId1705" Type="http://schemas.openxmlformats.org/officeDocument/2006/relationships/ctrlProp" Target="../ctrlProps/ctrlProp1703.xml"/><Relationship Id="rId1912" Type="http://schemas.openxmlformats.org/officeDocument/2006/relationships/ctrlProp" Target="../ctrlProps/ctrlProp1910.xml"/><Relationship Id="rId798" Type="http://schemas.openxmlformats.org/officeDocument/2006/relationships/ctrlProp" Target="../ctrlProps/ctrlProp796.xml"/><Relationship Id="rId2479" Type="http://schemas.openxmlformats.org/officeDocument/2006/relationships/ctrlProp" Target="../ctrlProps/ctrlProp2477.xml"/><Relationship Id="rId2686" Type="http://schemas.openxmlformats.org/officeDocument/2006/relationships/ctrlProp" Target="../ctrlProps/ctrlProp2684.xml"/><Relationship Id="rId2893" Type="http://schemas.openxmlformats.org/officeDocument/2006/relationships/ctrlProp" Target="../ctrlProps/ctrlProp2891.xml"/><Relationship Id="rId658" Type="http://schemas.openxmlformats.org/officeDocument/2006/relationships/ctrlProp" Target="../ctrlProps/ctrlProp656.xml"/><Relationship Id="rId865" Type="http://schemas.openxmlformats.org/officeDocument/2006/relationships/ctrlProp" Target="../ctrlProps/ctrlProp863.xml"/><Relationship Id="rId1288" Type="http://schemas.openxmlformats.org/officeDocument/2006/relationships/ctrlProp" Target="../ctrlProps/ctrlProp1286.xml"/><Relationship Id="rId1495" Type="http://schemas.openxmlformats.org/officeDocument/2006/relationships/ctrlProp" Target="../ctrlProps/ctrlProp1493.xml"/><Relationship Id="rId2339" Type="http://schemas.openxmlformats.org/officeDocument/2006/relationships/ctrlProp" Target="../ctrlProps/ctrlProp2337.xml"/><Relationship Id="rId2546" Type="http://schemas.openxmlformats.org/officeDocument/2006/relationships/ctrlProp" Target="../ctrlProps/ctrlProp2544.xml"/><Relationship Id="rId2753" Type="http://schemas.openxmlformats.org/officeDocument/2006/relationships/ctrlProp" Target="../ctrlProps/ctrlProp2751.xml"/><Relationship Id="rId2960" Type="http://schemas.openxmlformats.org/officeDocument/2006/relationships/ctrlProp" Target="../ctrlProps/ctrlProp2958.xml"/><Relationship Id="rId518" Type="http://schemas.openxmlformats.org/officeDocument/2006/relationships/ctrlProp" Target="../ctrlProps/ctrlProp516.xml"/><Relationship Id="rId725" Type="http://schemas.openxmlformats.org/officeDocument/2006/relationships/ctrlProp" Target="../ctrlProps/ctrlProp723.xml"/><Relationship Id="rId932" Type="http://schemas.openxmlformats.org/officeDocument/2006/relationships/ctrlProp" Target="../ctrlProps/ctrlProp930.xml"/><Relationship Id="rId1148" Type="http://schemas.openxmlformats.org/officeDocument/2006/relationships/ctrlProp" Target="../ctrlProps/ctrlProp1146.xml"/><Relationship Id="rId1355" Type="http://schemas.openxmlformats.org/officeDocument/2006/relationships/ctrlProp" Target="../ctrlProps/ctrlProp1353.xml"/><Relationship Id="rId1562" Type="http://schemas.openxmlformats.org/officeDocument/2006/relationships/ctrlProp" Target="../ctrlProps/ctrlProp1560.xml"/><Relationship Id="rId2406" Type="http://schemas.openxmlformats.org/officeDocument/2006/relationships/ctrlProp" Target="../ctrlProps/ctrlProp2404.xml"/><Relationship Id="rId2613" Type="http://schemas.openxmlformats.org/officeDocument/2006/relationships/ctrlProp" Target="../ctrlProps/ctrlProp2611.xml"/><Relationship Id="rId1008" Type="http://schemas.openxmlformats.org/officeDocument/2006/relationships/ctrlProp" Target="../ctrlProps/ctrlProp1006.xml"/><Relationship Id="rId1215" Type="http://schemas.openxmlformats.org/officeDocument/2006/relationships/ctrlProp" Target="../ctrlProps/ctrlProp1213.xml"/><Relationship Id="rId1422" Type="http://schemas.openxmlformats.org/officeDocument/2006/relationships/ctrlProp" Target="../ctrlProps/ctrlProp1420.xml"/><Relationship Id="rId2820" Type="http://schemas.openxmlformats.org/officeDocument/2006/relationships/ctrlProp" Target="../ctrlProps/ctrlProp2818.xml"/><Relationship Id="rId61" Type="http://schemas.openxmlformats.org/officeDocument/2006/relationships/ctrlProp" Target="../ctrlProps/ctrlProp59.xml"/><Relationship Id="rId3387" Type="http://schemas.openxmlformats.org/officeDocument/2006/relationships/table" Target="../tables/table198.xml"/><Relationship Id="rId2196" Type="http://schemas.openxmlformats.org/officeDocument/2006/relationships/ctrlProp" Target="../ctrlProps/ctrlProp2194.xml"/><Relationship Id="rId168" Type="http://schemas.openxmlformats.org/officeDocument/2006/relationships/ctrlProp" Target="../ctrlProps/ctrlProp166.xml"/><Relationship Id="rId3247" Type="http://schemas.openxmlformats.org/officeDocument/2006/relationships/table" Target="../tables/table58.xml"/><Relationship Id="rId3454" Type="http://schemas.openxmlformats.org/officeDocument/2006/relationships/table" Target="../tables/table265.xml"/><Relationship Id="rId375" Type="http://schemas.openxmlformats.org/officeDocument/2006/relationships/ctrlProp" Target="../ctrlProps/ctrlProp373.xml"/><Relationship Id="rId582" Type="http://schemas.openxmlformats.org/officeDocument/2006/relationships/ctrlProp" Target="../ctrlProps/ctrlProp580.xml"/><Relationship Id="rId2056" Type="http://schemas.openxmlformats.org/officeDocument/2006/relationships/ctrlProp" Target="../ctrlProps/ctrlProp2054.xml"/><Relationship Id="rId2263" Type="http://schemas.openxmlformats.org/officeDocument/2006/relationships/ctrlProp" Target="../ctrlProps/ctrlProp2261.xml"/><Relationship Id="rId2470" Type="http://schemas.openxmlformats.org/officeDocument/2006/relationships/ctrlProp" Target="../ctrlProps/ctrlProp2468.xml"/><Relationship Id="rId3107" Type="http://schemas.openxmlformats.org/officeDocument/2006/relationships/ctrlProp" Target="../ctrlProps/ctrlProp3105.xml"/><Relationship Id="rId3314" Type="http://schemas.openxmlformats.org/officeDocument/2006/relationships/table" Target="../tables/table125.xml"/><Relationship Id="rId235" Type="http://schemas.openxmlformats.org/officeDocument/2006/relationships/ctrlProp" Target="../ctrlProps/ctrlProp233.xml"/><Relationship Id="rId442" Type="http://schemas.openxmlformats.org/officeDocument/2006/relationships/ctrlProp" Target="../ctrlProps/ctrlProp440.xml"/><Relationship Id="rId1072" Type="http://schemas.openxmlformats.org/officeDocument/2006/relationships/ctrlProp" Target="../ctrlProps/ctrlProp1070.xml"/><Relationship Id="rId2123" Type="http://schemas.openxmlformats.org/officeDocument/2006/relationships/ctrlProp" Target="../ctrlProps/ctrlProp2121.xml"/><Relationship Id="rId2330" Type="http://schemas.openxmlformats.org/officeDocument/2006/relationships/ctrlProp" Target="../ctrlProps/ctrlProp2328.xml"/><Relationship Id="rId302" Type="http://schemas.openxmlformats.org/officeDocument/2006/relationships/ctrlProp" Target="../ctrlProps/ctrlProp300.xml"/><Relationship Id="rId1889" Type="http://schemas.openxmlformats.org/officeDocument/2006/relationships/ctrlProp" Target="../ctrlProps/ctrlProp1887.xml"/><Relationship Id="rId1749" Type="http://schemas.openxmlformats.org/officeDocument/2006/relationships/ctrlProp" Target="../ctrlProps/ctrlProp1747.xml"/><Relationship Id="rId1956" Type="http://schemas.openxmlformats.org/officeDocument/2006/relationships/ctrlProp" Target="../ctrlProps/ctrlProp1954.xml"/><Relationship Id="rId3171" Type="http://schemas.openxmlformats.org/officeDocument/2006/relationships/ctrlProp" Target="../ctrlProps/ctrlProp3169.xml"/><Relationship Id="rId1609" Type="http://schemas.openxmlformats.org/officeDocument/2006/relationships/ctrlProp" Target="../ctrlProps/ctrlProp1607.xml"/><Relationship Id="rId1816" Type="http://schemas.openxmlformats.org/officeDocument/2006/relationships/ctrlProp" Target="../ctrlProps/ctrlProp1814.xml"/><Relationship Id="rId3031" Type="http://schemas.openxmlformats.org/officeDocument/2006/relationships/ctrlProp" Target="../ctrlProps/ctrlProp3029.xml"/><Relationship Id="rId2797" Type="http://schemas.openxmlformats.org/officeDocument/2006/relationships/ctrlProp" Target="../ctrlProps/ctrlProp2795.xml"/><Relationship Id="rId769" Type="http://schemas.openxmlformats.org/officeDocument/2006/relationships/ctrlProp" Target="../ctrlProps/ctrlProp767.xml"/><Relationship Id="rId976" Type="http://schemas.openxmlformats.org/officeDocument/2006/relationships/ctrlProp" Target="../ctrlProps/ctrlProp974.xml"/><Relationship Id="rId1399" Type="http://schemas.openxmlformats.org/officeDocument/2006/relationships/ctrlProp" Target="../ctrlProps/ctrlProp1397.xml"/><Relationship Id="rId2657" Type="http://schemas.openxmlformats.org/officeDocument/2006/relationships/ctrlProp" Target="../ctrlProps/ctrlProp2655.xml"/><Relationship Id="rId629" Type="http://schemas.openxmlformats.org/officeDocument/2006/relationships/ctrlProp" Target="../ctrlProps/ctrlProp627.xml"/><Relationship Id="rId1259" Type="http://schemas.openxmlformats.org/officeDocument/2006/relationships/ctrlProp" Target="../ctrlProps/ctrlProp1257.xml"/><Relationship Id="rId1466" Type="http://schemas.openxmlformats.org/officeDocument/2006/relationships/ctrlProp" Target="../ctrlProps/ctrlProp1464.xml"/><Relationship Id="rId2864" Type="http://schemas.openxmlformats.org/officeDocument/2006/relationships/ctrlProp" Target="../ctrlProps/ctrlProp2862.xml"/><Relationship Id="rId836" Type="http://schemas.openxmlformats.org/officeDocument/2006/relationships/ctrlProp" Target="../ctrlProps/ctrlProp834.xml"/><Relationship Id="rId1119" Type="http://schemas.openxmlformats.org/officeDocument/2006/relationships/ctrlProp" Target="../ctrlProps/ctrlProp1117.xml"/><Relationship Id="rId1673" Type="http://schemas.openxmlformats.org/officeDocument/2006/relationships/ctrlProp" Target="../ctrlProps/ctrlProp1671.xml"/><Relationship Id="rId1880" Type="http://schemas.openxmlformats.org/officeDocument/2006/relationships/ctrlProp" Target="../ctrlProps/ctrlProp1878.xml"/><Relationship Id="rId2517" Type="http://schemas.openxmlformats.org/officeDocument/2006/relationships/ctrlProp" Target="../ctrlProps/ctrlProp2515.xml"/><Relationship Id="rId2724" Type="http://schemas.openxmlformats.org/officeDocument/2006/relationships/ctrlProp" Target="../ctrlProps/ctrlProp2722.xml"/><Relationship Id="rId2931" Type="http://schemas.openxmlformats.org/officeDocument/2006/relationships/ctrlProp" Target="../ctrlProps/ctrlProp2929.xml"/><Relationship Id="rId903" Type="http://schemas.openxmlformats.org/officeDocument/2006/relationships/ctrlProp" Target="../ctrlProps/ctrlProp901.xml"/><Relationship Id="rId1326" Type="http://schemas.openxmlformats.org/officeDocument/2006/relationships/ctrlProp" Target="../ctrlProps/ctrlProp1324.xml"/><Relationship Id="rId1533" Type="http://schemas.openxmlformats.org/officeDocument/2006/relationships/ctrlProp" Target="../ctrlProps/ctrlProp1531.xml"/><Relationship Id="rId1740" Type="http://schemas.openxmlformats.org/officeDocument/2006/relationships/ctrlProp" Target="../ctrlProps/ctrlProp1738.xml"/><Relationship Id="rId32" Type="http://schemas.openxmlformats.org/officeDocument/2006/relationships/ctrlProp" Target="../ctrlProps/ctrlProp30.xml"/><Relationship Id="rId1600" Type="http://schemas.openxmlformats.org/officeDocument/2006/relationships/ctrlProp" Target="../ctrlProps/ctrlProp1598.xml"/><Relationship Id="rId3498" Type="http://schemas.openxmlformats.org/officeDocument/2006/relationships/table" Target="../tables/table309.xml"/><Relationship Id="rId3358" Type="http://schemas.openxmlformats.org/officeDocument/2006/relationships/table" Target="../tables/table169.xml"/><Relationship Id="rId279" Type="http://schemas.openxmlformats.org/officeDocument/2006/relationships/ctrlProp" Target="../ctrlProps/ctrlProp277.xml"/><Relationship Id="rId486" Type="http://schemas.openxmlformats.org/officeDocument/2006/relationships/ctrlProp" Target="../ctrlProps/ctrlProp484.xml"/><Relationship Id="rId693" Type="http://schemas.openxmlformats.org/officeDocument/2006/relationships/ctrlProp" Target="../ctrlProps/ctrlProp691.xml"/><Relationship Id="rId2167" Type="http://schemas.openxmlformats.org/officeDocument/2006/relationships/ctrlProp" Target="../ctrlProps/ctrlProp2165.xml"/><Relationship Id="rId2374" Type="http://schemas.openxmlformats.org/officeDocument/2006/relationships/ctrlProp" Target="../ctrlProps/ctrlProp2372.xml"/><Relationship Id="rId2581" Type="http://schemas.openxmlformats.org/officeDocument/2006/relationships/ctrlProp" Target="../ctrlProps/ctrlProp2579.xml"/><Relationship Id="rId3218" Type="http://schemas.openxmlformats.org/officeDocument/2006/relationships/table" Target="../tables/table29.xml"/><Relationship Id="rId3425" Type="http://schemas.openxmlformats.org/officeDocument/2006/relationships/table" Target="../tables/table236.xml"/><Relationship Id="rId139" Type="http://schemas.openxmlformats.org/officeDocument/2006/relationships/ctrlProp" Target="../ctrlProps/ctrlProp137.xml"/><Relationship Id="rId346" Type="http://schemas.openxmlformats.org/officeDocument/2006/relationships/ctrlProp" Target="../ctrlProps/ctrlProp344.xml"/><Relationship Id="rId553" Type="http://schemas.openxmlformats.org/officeDocument/2006/relationships/ctrlProp" Target="../ctrlProps/ctrlProp551.xml"/><Relationship Id="rId760" Type="http://schemas.openxmlformats.org/officeDocument/2006/relationships/ctrlProp" Target="../ctrlProps/ctrlProp758.xml"/><Relationship Id="rId1183" Type="http://schemas.openxmlformats.org/officeDocument/2006/relationships/ctrlProp" Target="../ctrlProps/ctrlProp1181.xml"/><Relationship Id="rId1390" Type="http://schemas.openxmlformats.org/officeDocument/2006/relationships/ctrlProp" Target="../ctrlProps/ctrlProp1388.xml"/><Relationship Id="rId2027" Type="http://schemas.openxmlformats.org/officeDocument/2006/relationships/ctrlProp" Target="../ctrlProps/ctrlProp2025.xml"/><Relationship Id="rId2234" Type="http://schemas.openxmlformats.org/officeDocument/2006/relationships/ctrlProp" Target="../ctrlProps/ctrlProp2232.xml"/><Relationship Id="rId2441" Type="http://schemas.openxmlformats.org/officeDocument/2006/relationships/ctrlProp" Target="../ctrlProps/ctrlProp2439.xml"/><Relationship Id="rId206" Type="http://schemas.openxmlformats.org/officeDocument/2006/relationships/ctrlProp" Target="../ctrlProps/ctrlProp204.xml"/><Relationship Id="rId413" Type="http://schemas.openxmlformats.org/officeDocument/2006/relationships/ctrlProp" Target="../ctrlProps/ctrlProp411.xml"/><Relationship Id="rId1043" Type="http://schemas.openxmlformats.org/officeDocument/2006/relationships/ctrlProp" Target="../ctrlProps/ctrlProp1041.xml"/><Relationship Id="rId620" Type="http://schemas.openxmlformats.org/officeDocument/2006/relationships/ctrlProp" Target="../ctrlProps/ctrlProp618.xml"/><Relationship Id="rId1250" Type="http://schemas.openxmlformats.org/officeDocument/2006/relationships/ctrlProp" Target="../ctrlProps/ctrlProp1248.xml"/><Relationship Id="rId2301" Type="http://schemas.openxmlformats.org/officeDocument/2006/relationships/ctrlProp" Target="../ctrlProps/ctrlProp2299.xml"/><Relationship Id="rId1110" Type="http://schemas.openxmlformats.org/officeDocument/2006/relationships/ctrlProp" Target="../ctrlProps/ctrlProp1108.xml"/><Relationship Id="rId1927" Type="http://schemas.openxmlformats.org/officeDocument/2006/relationships/ctrlProp" Target="../ctrlProps/ctrlProp1925.xml"/><Relationship Id="rId3075" Type="http://schemas.openxmlformats.org/officeDocument/2006/relationships/ctrlProp" Target="../ctrlProps/ctrlProp3073.xml"/><Relationship Id="rId3282" Type="http://schemas.openxmlformats.org/officeDocument/2006/relationships/table" Target="../tables/table93.xml"/><Relationship Id="rId2091" Type="http://schemas.openxmlformats.org/officeDocument/2006/relationships/ctrlProp" Target="../ctrlProps/ctrlProp2089.xml"/><Relationship Id="rId3142" Type="http://schemas.openxmlformats.org/officeDocument/2006/relationships/ctrlProp" Target="../ctrlProps/ctrlProp3140.xml"/><Relationship Id="rId270" Type="http://schemas.openxmlformats.org/officeDocument/2006/relationships/ctrlProp" Target="../ctrlProps/ctrlProp268.xml"/><Relationship Id="rId3002" Type="http://schemas.openxmlformats.org/officeDocument/2006/relationships/ctrlProp" Target="../ctrlProps/ctrlProp3000.xml"/><Relationship Id="rId130" Type="http://schemas.openxmlformats.org/officeDocument/2006/relationships/ctrlProp" Target="../ctrlProps/ctrlProp128.xml"/><Relationship Id="rId2768" Type="http://schemas.openxmlformats.org/officeDocument/2006/relationships/ctrlProp" Target="../ctrlProps/ctrlProp2766.xml"/><Relationship Id="rId2975" Type="http://schemas.openxmlformats.org/officeDocument/2006/relationships/ctrlProp" Target="../ctrlProps/ctrlProp2973.xml"/><Relationship Id="rId947" Type="http://schemas.openxmlformats.org/officeDocument/2006/relationships/ctrlProp" Target="../ctrlProps/ctrlProp945.xml"/><Relationship Id="rId1577" Type="http://schemas.openxmlformats.org/officeDocument/2006/relationships/ctrlProp" Target="../ctrlProps/ctrlProp1575.xml"/><Relationship Id="rId1784" Type="http://schemas.openxmlformats.org/officeDocument/2006/relationships/ctrlProp" Target="../ctrlProps/ctrlProp1782.xml"/><Relationship Id="rId1991" Type="http://schemas.openxmlformats.org/officeDocument/2006/relationships/ctrlProp" Target="../ctrlProps/ctrlProp1989.xml"/><Relationship Id="rId2628" Type="http://schemas.openxmlformats.org/officeDocument/2006/relationships/ctrlProp" Target="../ctrlProps/ctrlProp2626.xml"/><Relationship Id="rId2835" Type="http://schemas.openxmlformats.org/officeDocument/2006/relationships/ctrlProp" Target="../ctrlProps/ctrlProp2833.xml"/><Relationship Id="rId76" Type="http://schemas.openxmlformats.org/officeDocument/2006/relationships/ctrlProp" Target="../ctrlProps/ctrlProp74.xml"/><Relationship Id="rId807" Type="http://schemas.openxmlformats.org/officeDocument/2006/relationships/ctrlProp" Target="../ctrlProps/ctrlProp805.xml"/><Relationship Id="rId1437" Type="http://schemas.openxmlformats.org/officeDocument/2006/relationships/ctrlProp" Target="../ctrlProps/ctrlProp1435.xml"/><Relationship Id="rId1644" Type="http://schemas.openxmlformats.org/officeDocument/2006/relationships/ctrlProp" Target="../ctrlProps/ctrlProp1642.xml"/><Relationship Id="rId1851" Type="http://schemas.openxmlformats.org/officeDocument/2006/relationships/ctrlProp" Target="../ctrlProps/ctrlProp1849.xml"/><Relationship Id="rId2902" Type="http://schemas.openxmlformats.org/officeDocument/2006/relationships/ctrlProp" Target="../ctrlProps/ctrlProp2900.xml"/><Relationship Id="rId1504" Type="http://schemas.openxmlformats.org/officeDocument/2006/relationships/ctrlProp" Target="../ctrlProps/ctrlProp1502.xml"/><Relationship Id="rId1711" Type="http://schemas.openxmlformats.org/officeDocument/2006/relationships/ctrlProp" Target="../ctrlProps/ctrlProp1709.xml"/><Relationship Id="rId3469" Type="http://schemas.openxmlformats.org/officeDocument/2006/relationships/table" Target="../tables/table280.xml"/><Relationship Id="rId597" Type="http://schemas.openxmlformats.org/officeDocument/2006/relationships/ctrlProp" Target="../ctrlProps/ctrlProp595.xml"/><Relationship Id="rId2278" Type="http://schemas.openxmlformats.org/officeDocument/2006/relationships/ctrlProp" Target="../ctrlProps/ctrlProp2276.xml"/><Relationship Id="rId2485" Type="http://schemas.openxmlformats.org/officeDocument/2006/relationships/ctrlProp" Target="../ctrlProps/ctrlProp2483.xml"/><Relationship Id="rId3329" Type="http://schemas.openxmlformats.org/officeDocument/2006/relationships/table" Target="../tables/table140.xml"/><Relationship Id="rId457" Type="http://schemas.openxmlformats.org/officeDocument/2006/relationships/ctrlProp" Target="../ctrlProps/ctrlProp455.xml"/><Relationship Id="rId1087" Type="http://schemas.openxmlformats.org/officeDocument/2006/relationships/ctrlProp" Target="../ctrlProps/ctrlProp1085.xml"/><Relationship Id="rId1294" Type="http://schemas.openxmlformats.org/officeDocument/2006/relationships/ctrlProp" Target="../ctrlProps/ctrlProp1292.xml"/><Relationship Id="rId2138" Type="http://schemas.openxmlformats.org/officeDocument/2006/relationships/ctrlProp" Target="../ctrlProps/ctrlProp2136.xml"/><Relationship Id="rId2692" Type="http://schemas.openxmlformats.org/officeDocument/2006/relationships/ctrlProp" Target="../ctrlProps/ctrlProp2690.xml"/><Relationship Id="rId664" Type="http://schemas.openxmlformats.org/officeDocument/2006/relationships/ctrlProp" Target="../ctrlProps/ctrlProp662.xml"/><Relationship Id="rId871" Type="http://schemas.openxmlformats.org/officeDocument/2006/relationships/ctrlProp" Target="../ctrlProps/ctrlProp869.xml"/><Relationship Id="rId2345" Type="http://schemas.openxmlformats.org/officeDocument/2006/relationships/ctrlProp" Target="../ctrlProps/ctrlProp2343.xml"/><Relationship Id="rId2552" Type="http://schemas.openxmlformats.org/officeDocument/2006/relationships/ctrlProp" Target="../ctrlProps/ctrlProp2550.xml"/><Relationship Id="rId317" Type="http://schemas.openxmlformats.org/officeDocument/2006/relationships/ctrlProp" Target="../ctrlProps/ctrlProp315.xml"/><Relationship Id="rId524" Type="http://schemas.openxmlformats.org/officeDocument/2006/relationships/ctrlProp" Target="../ctrlProps/ctrlProp522.xml"/><Relationship Id="rId731" Type="http://schemas.openxmlformats.org/officeDocument/2006/relationships/ctrlProp" Target="../ctrlProps/ctrlProp729.xml"/><Relationship Id="rId1154" Type="http://schemas.openxmlformats.org/officeDocument/2006/relationships/ctrlProp" Target="../ctrlProps/ctrlProp1152.xml"/><Relationship Id="rId1361" Type="http://schemas.openxmlformats.org/officeDocument/2006/relationships/ctrlProp" Target="../ctrlProps/ctrlProp1359.xml"/><Relationship Id="rId2205" Type="http://schemas.openxmlformats.org/officeDocument/2006/relationships/ctrlProp" Target="../ctrlProps/ctrlProp2203.xml"/><Relationship Id="rId2412" Type="http://schemas.openxmlformats.org/officeDocument/2006/relationships/ctrlProp" Target="../ctrlProps/ctrlProp2410.xml"/><Relationship Id="rId1014" Type="http://schemas.openxmlformats.org/officeDocument/2006/relationships/ctrlProp" Target="../ctrlProps/ctrlProp1012.xml"/><Relationship Id="rId1221" Type="http://schemas.openxmlformats.org/officeDocument/2006/relationships/ctrlProp" Target="../ctrlProps/ctrlProp1219.xml"/><Relationship Id="rId3186" Type="http://schemas.openxmlformats.org/officeDocument/2006/relationships/ctrlProp" Target="../ctrlProps/ctrlProp3184.xml"/><Relationship Id="rId3393" Type="http://schemas.openxmlformats.org/officeDocument/2006/relationships/table" Target="../tables/table204.xml"/><Relationship Id="rId3046" Type="http://schemas.openxmlformats.org/officeDocument/2006/relationships/ctrlProp" Target="../ctrlProps/ctrlProp3044.xml"/><Relationship Id="rId3253" Type="http://schemas.openxmlformats.org/officeDocument/2006/relationships/table" Target="../tables/table64.xml"/><Relationship Id="rId3460" Type="http://schemas.openxmlformats.org/officeDocument/2006/relationships/table" Target="../tables/table271.xml"/><Relationship Id="rId174" Type="http://schemas.openxmlformats.org/officeDocument/2006/relationships/ctrlProp" Target="../ctrlProps/ctrlProp172.xml"/><Relationship Id="rId381" Type="http://schemas.openxmlformats.org/officeDocument/2006/relationships/ctrlProp" Target="../ctrlProps/ctrlProp379.xml"/><Relationship Id="rId2062" Type="http://schemas.openxmlformats.org/officeDocument/2006/relationships/ctrlProp" Target="../ctrlProps/ctrlProp2060.xml"/><Relationship Id="rId3113" Type="http://schemas.openxmlformats.org/officeDocument/2006/relationships/ctrlProp" Target="../ctrlProps/ctrlProp3111.xml"/><Relationship Id="rId241" Type="http://schemas.openxmlformats.org/officeDocument/2006/relationships/ctrlProp" Target="../ctrlProps/ctrlProp239.xml"/><Relationship Id="rId3320" Type="http://schemas.openxmlformats.org/officeDocument/2006/relationships/table" Target="../tables/table131.xml"/><Relationship Id="rId2879" Type="http://schemas.openxmlformats.org/officeDocument/2006/relationships/ctrlProp" Target="../ctrlProps/ctrlProp2877.xml"/><Relationship Id="rId101" Type="http://schemas.openxmlformats.org/officeDocument/2006/relationships/ctrlProp" Target="../ctrlProps/ctrlProp99.xml"/><Relationship Id="rId1688" Type="http://schemas.openxmlformats.org/officeDocument/2006/relationships/ctrlProp" Target="../ctrlProps/ctrlProp1686.xml"/><Relationship Id="rId1895" Type="http://schemas.openxmlformats.org/officeDocument/2006/relationships/ctrlProp" Target="../ctrlProps/ctrlProp1893.xml"/><Relationship Id="rId2739" Type="http://schemas.openxmlformats.org/officeDocument/2006/relationships/ctrlProp" Target="../ctrlProps/ctrlProp2737.xml"/><Relationship Id="rId2946" Type="http://schemas.openxmlformats.org/officeDocument/2006/relationships/ctrlProp" Target="../ctrlProps/ctrlProp2944.xml"/><Relationship Id="rId918" Type="http://schemas.openxmlformats.org/officeDocument/2006/relationships/ctrlProp" Target="../ctrlProps/ctrlProp916.xml"/><Relationship Id="rId1548" Type="http://schemas.openxmlformats.org/officeDocument/2006/relationships/ctrlProp" Target="../ctrlProps/ctrlProp1546.xml"/><Relationship Id="rId1755" Type="http://schemas.openxmlformats.org/officeDocument/2006/relationships/ctrlProp" Target="../ctrlProps/ctrlProp1753.xml"/><Relationship Id="rId1408" Type="http://schemas.openxmlformats.org/officeDocument/2006/relationships/ctrlProp" Target="../ctrlProps/ctrlProp1406.xml"/><Relationship Id="rId1962" Type="http://schemas.openxmlformats.org/officeDocument/2006/relationships/ctrlProp" Target="../ctrlProps/ctrlProp1960.xml"/><Relationship Id="rId2806" Type="http://schemas.openxmlformats.org/officeDocument/2006/relationships/ctrlProp" Target="../ctrlProps/ctrlProp2804.xml"/><Relationship Id="rId47" Type="http://schemas.openxmlformats.org/officeDocument/2006/relationships/ctrlProp" Target="../ctrlProps/ctrlProp45.xml"/><Relationship Id="rId1615" Type="http://schemas.openxmlformats.org/officeDocument/2006/relationships/ctrlProp" Target="../ctrlProps/ctrlProp1613.xml"/><Relationship Id="rId1822" Type="http://schemas.openxmlformats.org/officeDocument/2006/relationships/ctrlProp" Target="../ctrlProps/ctrlProp1820.xml"/><Relationship Id="rId2389" Type="http://schemas.openxmlformats.org/officeDocument/2006/relationships/ctrlProp" Target="../ctrlProps/ctrlProp2387.xml"/><Relationship Id="rId2596" Type="http://schemas.openxmlformats.org/officeDocument/2006/relationships/ctrlProp" Target="../ctrlProps/ctrlProp2594.xml"/><Relationship Id="rId568" Type="http://schemas.openxmlformats.org/officeDocument/2006/relationships/ctrlProp" Target="../ctrlProps/ctrlProp566.xml"/><Relationship Id="rId775" Type="http://schemas.openxmlformats.org/officeDocument/2006/relationships/ctrlProp" Target="../ctrlProps/ctrlProp773.xml"/><Relationship Id="rId982" Type="http://schemas.openxmlformats.org/officeDocument/2006/relationships/ctrlProp" Target="../ctrlProps/ctrlProp980.xml"/><Relationship Id="rId1198" Type="http://schemas.openxmlformats.org/officeDocument/2006/relationships/ctrlProp" Target="../ctrlProps/ctrlProp1196.xml"/><Relationship Id="rId2249" Type="http://schemas.openxmlformats.org/officeDocument/2006/relationships/ctrlProp" Target="../ctrlProps/ctrlProp2247.xml"/><Relationship Id="rId2456" Type="http://schemas.openxmlformats.org/officeDocument/2006/relationships/ctrlProp" Target="../ctrlProps/ctrlProp2454.xml"/><Relationship Id="rId2663" Type="http://schemas.openxmlformats.org/officeDocument/2006/relationships/ctrlProp" Target="../ctrlProps/ctrlProp2661.xml"/><Relationship Id="rId2870" Type="http://schemas.openxmlformats.org/officeDocument/2006/relationships/ctrlProp" Target="../ctrlProps/ctrlProp2868.xml"/><Relationship Id="rId3507" Type="http://schemas.openxmlformats.org/officeDocument/2006/relationships/table" Target="../tables/table318.xml"/><Relationship Id="rId428" Type="http://schemas.openxmlformats.org/officeDocument/2006/relationships/ctrlProp" Target="../ctrlProps/ctrlProp426.xml"/><Relationship Id="rId635" Type="http://schemas.openxmlformats.org/officeDocument/2006/relationships/ctrlProp" Target="../ctrlProps/ctrlProp633.xml"/><Relationship Id="rId842" Type="http://schemas.openxmlformats.org/officeDocument/2006/relationships/ctrlProp" Target="../ctrlProps/ctrlProp840.xml"/><Relationship Id="rId1058" Type="http://schemas.openxmlformats.org/officeDocument/2006/relationships/ctrlProp" Target="../ctrlProps/ctrlProp1056.xml"/><Relationship Id="rId1265" Type="http://schemas.openxmlformats.org/officeDocument/2006/relationships/ctrlProp" Target="../ctrlProps/ctrlProp1263.xml"/><Relationship Id="rId1472" Type="http://schemas.openxmlformats.org/officeDocument/2006/relationships/ctrlProp" Target="../ctrlProps/ctrlProp1470.xml"/><Relationship Id="rId2109" Type="http://schemas.openxmlformats.org/officeDocument/2006/relationships/ctrlProp" Target="../ctrlProps/ctrlProp2107.xml"/><Relationship Id="rId2316" Type="http://schemas.openxmlformats.org/officeDocument/2006/relationships/ctrlProp" Target="../ctrlProps/ctrlProp2314.xml"/><Relationship Id="rId2523" Type="http://schemas.openxmlformats.org/officeDocument/2006/relationships/ctrlProp" Target="../ctrlProps/ctrlProp2521.xml"/><Relationship Id="rId2730" Type="http://schemas.openxmlformats.org/officeDocument/2006/relationships/ctrlProp" Target="../ctrlProps/ctrlProp2728.xml"/><Relationship Id="rId702" Type="http://schemas.openxmlformats.org/officeDocument/2006/relationships/ctrlProp" Target="../ctrlProps/ctrlProp700.xml"/><Relationship Id="rId1125" Type="http://schemas.openxmlformats.org/officeDocument/2006/relationships/ctrlProp" Target="../ctrlProps/ctrlProp1123.xml"/><Relationship Id="rId1332" Type="http://schemas.openxmlformats.org/officeDocument/2006/relationships/ctrlProp" Target="../ctrlProps/ctrlProp1330.xml"/><Relationship Id="rId3297" Type="http://schemas.openxmlformats.org/officeDocument/2006/relationships/table" Target="../tables/table108.xml"/><Relationship Id="rId3157" Type="http://schemas.openxmlformats.org/officeDocument/2006/relationships/ctrlProp" Target="../ctrlProps/ctrlProp3155.xml"/><Relationship Id="rId285" Type="http://schemas.openxmlformats.org/officeDocument/2006/relationships/ctrlProp" Target="../ctrlProps/ctrlProp283.xml"/><Relationship Id="rId3364" Type="http://schemas.openxmlformats.org/officeDocument/2006/relationships/table" Target="../tables/table175.xml"/><Relationship Id="rId492" Type="http://schemas.openxmlformats.org/officeDocument/2006/relationships/ctrlProp" Target="../ctrlProps/ctrlProp490.xml"/><Relationship Id="rId2173" Type="http://schemas.openxmlformats.org/officeDocument/2006/relationships/ctrlProp" Target="../ctrlProps/ctrlProp2171.xml"/><Relationship Id="rId2380" Type="http://schemas.openxmlformats.org/officeDocument/2006/relationships/ctrlProp" Target="../ctrlProps/ctrlProp2378.xml"/><Relationship Id="rId3017" Type="http://schemas.openxmlformats.org/officeDocument/2006/relationships/ctrlProp" Target="../ctrlProps/ctrlProp3015.xml"/><Relationship Id="rId3224" Type="http://schemas.openxmlformats.org/officeDocument/2006/relationships/table" Target="../tables/table35.xml"/><Relationship Id="rId3431" Type="http://schemas.openxmlformats.org/officeDocument/2006/relationships/table" Target="../tables/table242.xml"/><Relationship Id="rId145" Type="http://schemas.openxmlformats.org/officeDocument/2006/relationships/ctrlProp" Target="../ctrlProps/ctrlProp143.xml"/><Relationship Id="rId352" Type="http://schemas.openxmlformats.org/officeDocument/2006/relationships/ctrlProp" Target="../ctrlProps/ctrlProp350.xml"/><Relationship Id="rId2033" Type="http://schemas.openxmlformats.org/officeDocument/2006/relationships/ctrlProp" Target="../ctrlProps/ctrlProp2031.xml"/><Relationship Id="rId2240" Type="http://schemas.openxmlformats.org/officeDocument/2006/relationships/ctrlProp" Target="../ctrlProps/ctrlProp2238.xml"/><Relationship Id="rId212" Type="http://schemas.openxmlformats.org/officeDocument/2006/relationships/ctrlProp" Target="../ctrlProps/ctrlProp210.xml"/><Relationship Id="rId1799" Type="http://schemas.openxmlformats.org/officeDocument/2006/relationships/ctrlProp" Target="../ctrlProps/ctrlProp1797.xml"/><Relationship Id="rId2100" Type="http://schemas.openxmlformats.org/officeDocument/2006/relationships/ctrlProp" Target="../ctrlProps/ctrlProp2098.xml"/><Relationship Id="rId1659" Type="http://schemas.openxmlformats.org/officeDocument/2006/relationships/ctrlProp" Target="../ctrlProps/ctrlProp1657.xml"/><Relationship Id="rId1866" Type="http://schemas.openxmlformats.org/officeDocument/2006/relationships/ctrlProp" Target="../ctrlProps/ctrlProp1864.xml"/><Relationship Id="rId2917" Type="http://schemas.openxmlformats.org/officeDocument/2006/relationships/ctrlProp" Target="../ctrlProps/ctrlProp2915.xml"/><Relationship Id="rId3081" Type="http://schemas.openxmlformats.org/officeDocument/2006/relationships/ctrlProp" Target="../ctrlProps/ctrlProp3079.xml"/><Relationship Id="rId1519" Type="http://schemas.openxmlformats.org/officeDocument/2006/relationships/ctrlProp" Target="../ctrlProps/ctrlProp1517.xml"/><Relationship Id="rId1726" Type="http://schemas.openxmlformats.org/officeDocument/2006/relationships/ctrlProp" Target="../ctrlProps/ctrlProp1724.xml"/><Relationship Id="rId1933" Type="http://schemas.openxmlformats.org/officeDocument/2006/relationships/ctrlProp" Target="../ctrlProps/ctrlProp1931.xml"/><Relationship Id="rId18" Type="http://schemas.openxmlformats.org/officeDocument/2006/relationships/ctrlProp" Target="../ctrlProps/ctrlProp16.xml"/><Relationship Id="rId679" Type="http://schemas.openxmlformats.org/officeDocument/2006/relationships/ctrlProp" Target="../ctrlProps/ctrlProp677.xml"/><Relationship Id="rId886" Type="http://schemas.openxmlformats.org/officeDocument/2006/relationships/ctrlProp" Target="../ctrlProps/ctrlProp884.xml"/><Relationship Id="rId2567" Type="http://schemas.openxmlformats.org/officeDocument/2006/relationships/ctrlProp" Target="../ctrlProps/ctrlProp2565.xml"/><Relationship Id="rId2774" Type="http://schemas.openxmlformats.org/officeDocument/2006/relationships/ctrlProp" Target="../ctrlProps/ctrlProp2772.xml"/><Relationship Id="rId2" Type="http://schemas.openxmlformats.org/officeDocument/2006/relationships/vmlDrawing" Target="../drawings/vmlDrawing1.vml"/><Relationship Id="rId539" Type="http://schemas.openxmlformats.org/officeDocument/2006/relationships/ctrlProp" Target="../ctrlProps/ctrlProp537.xml"/><Relationship Id="rId746" Type="http://schemas.openxmlformats.org/officeDocument/2006/relationships/ctrlProp" Target="../ctrlProps/ctrlProp744.xml"/><Relationship Id="rId1169" Type="http://schemas.openxmlformats.org/officeDocument/2006/relationships/ctrlProp" Target="../ctrlProps/ctrlProp1167.xml"/><Relationship Id="rId1376" Type="http://schemas.openxmlformats.org/officeDocument/2006/relationships/ctrlProp" Target="../ctrlProps/ctrlProp1374.xml"/><Relationship Id="rId1583" Type="http://schemas.openxmlformats.org/officeDocument/2006/relationships/ctrlProp" Target="../ctrlProps/ctrlProp1581.xml"/><Relationship Id="rId2427" Type="http://schemas.openxmlformats.org/officeDocument/2006/relationships/ctrlProp" Target="../ctrlProps/ctrlProp2425.xml"/><Relationship Id="rId2981" Type="http://schemas.openxmlformats.org/officeDocument/2006/relationships/ctrlProp" Target="../ctrlProps/ctrlProp2979.xml"/><Relationship Id="rId953" Type="http://schemas.openxmlformats.org/officeDocument/2006/relationships/ctrlProp" Target="../ctrlProps/ctrlProp951.xml"/><Relationship Id="rId1029" Type="http://schemas.openxmlformats.org/officeDocument/2006/relationships/ctrlProp" Target="../ctrlProps/ctrlProp1027.xml"/><Relationship Id="rId1236" Type="http://schemas.openxmlformats.org/officeDocument/2006/relationships/ctrlProp" Target="../ctrlProps/ctrlProp1234.xml"/><Relationship Id="rId1790" Type="http://schemas.openxmlformats.org/officeDocument/2006/relationships/ctrlProp" Target="../ctrlProps/ctrlProp1788.xml"/><Relationship Id="rId2634" Type="http://schemas.openxmlformats.org/officeDocument/2006/relationships/ctrlProp" Target="../ctrlProps/ctrlProp2632.xml"/><Relationship Id="rId2841" Type="http://schemas.openxmlformats.org/officeDocument/2006/relationships/ctrlProp" Target="../ctrlProps/ctrlProp2839.xml"/><Relationship Id="rId82" Type="http://schemas.openxmlformats.org/officeDocument/2006/relationships/ctrlProp" Target="../ctrlProps/ctrlProp80.xml"/><Relationship Id="rId606" Type="http://schemas.openxmlformats.org/officeDocument/2006/relationships/ctrlProp" Target="../ctrlProps/ctrlProp604.xml"/><Relationship Id="rId813" Type="http://schemas.openxmlformats.org/officeDocument/2006/relationships/ctrlProp" Target="../ctrlProps/ctrlProp811.xml"/><Relationship Id="rId1443" Type="http://schemas.openxmlformats.org/officeDocument/2006/relationships/ctrlProp" Target="../ctrlProps/ctrlProp1441.xml"/><Relationship Id="rId1650" Type="http://schemas.openxmlformats.org/officeDocument/2006/relationships/ctrlProp" Target="../ctrlProps/ctrlProp1648.xml"/><Relationship Id="rId2701" Type="http://schemas.openxmlformats.org/officeDocument/2006/relationships/ctrlProp" Target="../ctrlProps/ctrlProp2699.xml"/><Relationship Id="rId1303" Type="http://schemas.openxmlformats.org/officeDocument/2006/relationships/ctrlProp" Target="../ctrlProps/ctrlProp1301.xml"/><Relationship Id="rId1510" Type="http://schemas.openxmlformats.org/officeDocument/2006/relationships/ctrlProp" Target="../ctrlProps/ctrlProp1508.xml"/><Relationship Id="rId3268" Type="http://schemas.openxmlformats.org/officeDocument/2006/relationships/table" Target="../tables/table79.xml"/><Relationship Id="rId3475" Type="http://schemas.openxmlformats.org/officeDocument/2006/relationships/table" Target="../tables/table286.xml"/><Relationship Id="rId189" Type="http://schemas.openxmlformats.org/officeDocument/2006/relationships/ctrlProp" Target="../ctrlProps/ctrlProp187.xml"/><Relationship Id="rId396" Type="http://schemas.openxmlformats.org/officeDocument/2006/relationships/ctrlProp" Target="../ctrlProps/ctrlProp394.xml"/><Relationship Id="rId2077" Type="http://schemas.openxmlformats.org/officeDocument/2006/relationships/ctrlProp" Target="../ctrlProps/ctrlProp2075.xml"/><Relationship Id="rId2284" Type="http://schemas.openxmlformats.org/officeDocument/2006/relationships/ctrlProp" Target="../ctrlProps/ctrlProp2282.xml"/><Relationship Id="rId2491" Type="http://schemas.openxmlformats.org/officeDocument/2006/relationships/ctrlProp" Target="../ctrlProps/ctrlProp2489.xml"/><Relationship Id="rId3128" Type="http://schemas.openxmlformats.org/officeDocument/2006/relationships/ctrlProp" Target="../ctrlProps/ctrlProp3126.xml"/><Relationship Id="rId3335" Type="http://schemas.openxmlformats.org/officeDocument/2006/relationships/table" Target="../tables/table146.xml"/><Relationship Id="rId256" Type="http://schemas.openxmlformats.org/officeDocument/2006/relationships/ctrlProp" Target="../ctrlProps/ctrlProp254.xml"/><Relationship Id="rId463" Type="http://schemas.openxmlformats.org/officeDocument/2006/relationships/ctrlProp" Target="../ctrlProps/ctrlProp461.xml"/><Relationship Id="rId670" Type="http://schemas.openxmlformats.org/officeDocument/2006/relationships/ctrlProp" Target="../ctrlProps/ctrlProp668.xml"/><Relationship Id="rId1093" Type="http://schemas.openxmlformats.org/officeDocument/2006/relationships/ctrlProp" Target="../ctrlProps/ctrlProp1091.xml"/><Relationship Id="rId2144" Type="http://schemas.openxmlformats.org/officeDocument/2006/relationships/ctrlProp" Target="../ctrlProps/ctrlProp2142.xml"/><Relationship Id="rId2351" Type="http://schemas.openxmlformats.org/officeDocument/2006/relationships/ctrlProp" Target="../ctrlProps/ctrlProp2349.xml"/><Relationship Id="rId3402" Type="http://schemas.openxmlformats.org/officeDocument/2006/relationships/table" Target="../tables/table213.xml"/><Relationship Id="rId116" Type="http://schemas.openxmlformats.org/officeDocument/2006/relationships/ctrlProp" Target="../ctrlProps/ctrlProp114.xml"/><Relationship Id="rId323" Type="http://schemas.openxmlformats.org/officeDocument/2006/relationships/ctrlProp" Target="../ctrlProps/ctrlProp321.xml"/><Relationship Id="rId530" Type="http://schemas.openxmlformats.org/officeDocument/2006/relationships/ctrlProp" Target="../ctrlProps/ctrlProp528.xml"/><Relationship Id="rId1160" Type="http://schemas.openxmlformats.org/officeDocument/2006/relationships/ctrlProp" Target="../ctrlProps/ctrlProp1158.xml"/><Relationship Id="rId2004" Type="http://schemas.openxmlformats.org/officeDocument/2006/relationships/ctrlProp" Target="../ctrlProps/ctrlProp2002.xml"/><Relationship Id="rId2211" Type="http://schemas.openxmlformats.org/officeDocument/2006/relationships/ctrlProp" Target="../ctrlProps/ctrlProp2209.xml"/><Relationship Id="rId1020" Type="http://schemas.openxmlformats.org/officeDocument/2006/relationships/ctrlProp" Target="../ctrlProps/ctrlProp1018.xml"/><Relationship Id="rId1977" Type="http://schemas.openxmlformats.org/officeDocument/2006/relationships/ctrlProp" Target="../ctrlProps/ctrlProp1975.xml"/><Relationship Id="rId1837" Type="http://schemas.openxmlformats.org/officeDocument/2006/relationships/ctrlProp" Target="../ctrlProps/ctrlProp1835.xml"/><Relationship Id="rId3192" Type="http://schemas.openxmlformats.org/officeDocument/2006/relationships/table" Target="../tables/table3.xml"/><Relationship Id="rId3052" Type="http://schemas.openxmlformats.org/officeDocument/2006/relationships/ctrlProp" Target="../ctrlProps/ctrlProp3050.xml"/><Relationship Id="rId180" Type="http://schemas.openxmlformats.org/officeDocument/2006/relationships/ctrlProp" Target="../ctrlProps/ctrlProp178.xml"/><Relationship Id="rId1904" Type="http://schemas.openxmlformats.org/officeDocument/2006/relationships/ctrlProp" Target="../ctrlProps/ctrlProp1902.xml"/><Relationship Id="rId997" Type="http://schemas.openxmlformats.org/officeDocument/2006/relationships/ctrlProp" Target="../ctrlProps/ctrlProp995.xml"/><Relationship Id="rId2678" Type="http://schemas.openxmlformats.org/officeDocument/2006/relationships/ctrlProp" Target="../ctrlProps/ctrlProp2676.xml"/><Relationship Id="rId2885" Type="http://schemas.openxmlformats.org/officeDocument/2006/relationships/ctrlProp" Target="../ctrlProps/ctrlProp2883.xml"/><Relationship Id="rId857" Type="http://schemas.openxmlformats.org/officeDocument/2006/relationships/ctrlProp" Target="../ctrlProps/ctrlProp855.xml"/><Relationship Id="rId1487" Type="http://schemas.openxmlformats.org/officeDocument/2006/relationships/ctrlProp" Target="../ctrlProps/ctrlProp1485.xml"/><Relationship Id="rId1694" Type="http://schemas.openxmlformats.org/officeDocument/2006/relationships/ctrlProp" Target="../ctrlProps/ctrlProp1692.xml"/><Relationship Id="rId2538" Type="http://schemas.openxmlformats.org/officeDocument/2006/relationships/ctrlProp" Target="../ctrlProps/ctrlProp2536.xml"/><Relationship Id="rId2745" Type="http://schemas.openxmlformats.org/officeDocument/2006/relationships/ctrlProp" Target="../ctrlProps/ctrlProp2743.xml"/><Relationship Id="rId2952" Type="http://schemas.openxmlformats.org/officeDocument/2006/relationships/ctrlProp" Target="../ctrlProps/ctrlProp2950.xml"/><Relationship Id="rId717" Type="http://schemas.openxmlformats.org/officeDocument/2006/relationships/ctrlProp" Target="../ctrlProps/ctrlProp715.xml"/><Relationship Id="rId924" Type="http://schemas.openxmlformats.org/officeDocument/2006/relationships/ctrlProp" Target="../ctrlProps/ctrlProp922.xml"/><Relationship Id="rId1347" Type="http://schemas.openxmlformats.org/officeDocument/2006/relationships/ctrlProp" Target="../ctrlProps/ctrlProp1345.xml"/><Relationship Id="rId1554" Type="http://schemas.openxmlformats.org/officeDocument/2006/relationships/ctrlProp" Target="../ctrlProps/ctrlProp1552.xml"/><Relationship Id="rId1761" Type="http://schemas.openxmlformats.org/officeDocument/2006/relationships/ctrlProp" Target="../ctrlProps/ctrlProp1759.xml"/><Relationship Id="rId2605" Type="http://schemas.openxmlformats.org/officeDocument/2006/relationships/ctrlProp" Target="../ctrlProps/ctrlProp2603.xml"/><Relationship Id="rId2812" Type="http://schemas.openxmlformats.org/officeDocument/2006/relationships/ctrlProp" Target="../ctrlProps/ctrlProp2810.xml"/><Relationship Id="rId53" Type="http://schemas.openxmlformats.org/officeDocument/2006/relationships/ctrlProp" Target="../ctrlProps/ctrlProp51.xml"/><Relationship Id="rId1207" Type="http://schemas.openxmlformats.org/officeDocument/2006/relationships/ctrlProp" Target="../ctrlProps/ctrlProp1205.xml"/><Relationship Id="rId1414" Type="http://schemas.openxmlformats.org/officeDocument/2006/relationships/ctrlProp" Target="../ctrlProps/ctrlProp1412.xml"/><Relationship Id="rId1621" Type="http://schemas.openxmlformats.org/officeDocument/2006/relationships/ctrlProp" Target="../ctrlProps/ctrlProp1619.xml"/><Relationship Id="rId3379" Type="http://schemas.openxmlformats.org/officeDocument/2006/relationships/table" Target="../tables/table190.xml"/><Relationship Id="rId2188" Type="http://schemas.openxmlformats.org/officeDocument/2006/relationships/ctrlProp" Target="../ctrlProps/ctrlProp2186.xml"/><Relationship Id="rId2395" Type="http://schemas.openxmlformats.org/officeDocument/2006/relationships/ctrlProp" Target="../ctrlProps/ctrlProp2393.xml"/><Relationship Id="rId3239" Type="http://schemas.openxmlformats.org/officeDocument/2006/relationships/table" Target="../tables/table50.xml"/><Relationship Id="rId3446" Type="http://schemas.openxmlformats.org/officeDocument/2006/relationships/table" Target="../tables/table257.xml"/><Relationship Id="rId367" Type="http://schemas.openxmlformats.org/officeDocument/2006/relationships/ctrlProp" Target="../ctrlProps/ctrlProp365.xml"/><Relationship Id="rId574" Type="http://schemas.openxmlformats.org/officeDocument/2006/relationships/ctrlProp" Target="../ctrlProps/ctrlProp572.xml"/><Relationship Id="rId2048" Type="http://schemas.openxmlformats.org/officeDocument/2006/relationships/ctrlProp" Target="../ctrlProps/ctrlProp2046.xml"/><Relationship Id="rId2255" Type="http://schemas.openxmlformats.org/officeDocument/2006/relationships/ctrlProp" Target="../ctrlProps/ctrlProp2253.xml"/><Relationship Id="rId227" Type="http://schemas.openxmlformats.org/officeDocument/2006/relationships/ctrlProp" Target="../ctrlProps/ctrlProp225.xml"/><Relationship Id="rId781" Type="http://schemas.openxmlformats.org/officeDocument/2006/relationships/ctrlProp" Target="../ctrlProps/ctrlProp779.xml"/><Relationship Id="rId2462" Type="http://schemas.openxmlformats.org/officeDocument/2006/relationships/ctrlProp" Target="../ctrlProps/ctrlProp2460.xml"/><Relationship Id="rId3306" Type="http://schemas.openxmlformats.org/officeDocument/2006/relationships/table" Target="../tables/table117.xml"/><Relationship Id="rId434" Type="http://schemas.openxmlformats.org/officeDocument/2006/relationships/ctrlProp" Target="../ctrlProps/ctrlProp432.xml"/><Relationship Id="rId641" Type="http://schemas.openxmlformats.org/officeDocument/2006/relationships/ctrlProp" Target="../ctrlProps/ctrlProp639.xml"/><Relationship Id="rId1064" Type="http://schemas.openxmlformats.org/officeDocument/2006/relationships/ctrlProp" Target="../ctrlProps/ctrlProp1062.xml"/><Relationship Id="rId1271" Type="http://schemas.openxmlformats.org/officeDocument/2006/relationships/ctrlProp" Target="../ctrlProps/ctrlProp1269.xml"/><Relationship Id="rId2115" Type="http://schemas.openxmlformats.org/officeDocument/2006/relationships/ctrlProp" Target="../ctrlProps/ctrlProp2113.xml"/><Relationship Id="rId2322" Type="http://schemas.openxmlformats.org/officeDocument/2006/relationships/ctrlProp" Target="../ctrlProps/ctrlProp2320.xml"/><Relationship Id="rId501" Type="http://schemas.openxmlformats.org/officeDocument/2006/relationships/ctrlProp" Target="../ctrlProps/ctrlProp499.xml"/><Relationship Id="rId1131" Type="http://schemas.openxmlformats.org/officeDocument/2006/relationships/ctrlProp" Target="../ctrlProps/ctrlProp1129.xml"/><Relationship Id="rId3096" Type="http://schemas.openxmlformats.org/officeDocument/2006/relationships/ctrlProp" Target="../ctrlProps/ctrlProp3094.xml"/><Relationship Id="rId1948" Type="http://schemas.openxmlformats.org/officeDocument/2006/relationships/ctrlProp" Target="../ctrlProps/ctrlProp1946.xml"/><Relationship Id="rId3163" Type="http://schemas.openxmlformats.org/officeDocument/2006/relationships/ctrlProp" Target="../ctrlProps/ctrlProp3161.xml"/><Relationship Id="rId3370" Type="http://schemas.openxmlformats.org/officeDocument/2006/relationships/table" Target="../tables/table181.xml"/><Relationship Id="rId291" Type="http://schemas.openxmlformats.org/officeDocument/2006/relationships/ctrlProp" Target="../ctrlProps/ctrlProp289.xml"/><Relationship Id="rId1808" Type="http://schemas.openxmlformats.org/officeDocument/2006/relationships/ctrlProp" Target="../ctrlProps/ctrlProp1806.xml"/><Relationship Id="rId3023" Type="http://schemas.openxmlformats.org/officeDocument/2006/relationships/ctrlProp" Target="../ctrlProps/ctrlProp3021.xml"/><Relationship Id="rId151" Type="http://schemas.openxmlformats.org/officeDocument/2006/relationships/ctrlProp" Target="../ctrlProps/ctrlProp149.xml"/><Relationship Id="rId3230" Type="http://schemas.openxmlformats.org/officeDocument/2006/relationships/table" Target="../tables/table41.xml"/><Relationship Id="rId2789" Type="http://schemas.openxmlformats.org/officeDocument/2006/relationships/ctrlProp" Target="../ctrlProps/ctrlProp2787.xml"/><Relationship Id="rId2996" Type="http://schemas.openxmlformats.org/officeDocument/2006/relationships/ctrlProp" Target="../ctrlProps/ctrlProp2994.xml"/><Relationship Id="rId968" Type="http://schemas.openxmlformats.org/officeDocument/2006/relationships/ctrlProp" Target="../ctrlProps/ctrlProp966.xml"/><Relationship Id="rId1598" Type="http://schemas.openxmlformats.org/officeDocument/2006/relationships/ctrlProp" Target="../ctrlProps/ctrlProp1596.xml"/><Relationship Id="rId2649" Type="http://schemas.openxmlformats.org/officeDocument/2006/relationships/ctrlProp" Target="../ctrlProps/ctrlProp2647.xml"/><Relationship Id="rId2856" Type="http://schemas.openxmlformats.org/officeDocument/2006/relationships/ctrlProp" Target="../ctrlProps/ctrlProp2854.xml"/><Relationship Id="rId97" Type="http://schemas.openxmlformats.org/officeDocument/2006/relationships/ctrlProp" Target="../ctrlProps/ctrlProp95.xml"/><Relationship Id="rId828" Type="http://schemas.openxmlformats.org/officeDocument/2006/relationships/ctrlProp" Target="../ctrlProps/ctrlProp826.xml"/><Relationship Id="rId1458" Type="http://schemas.openxmlformats.org/officeDocument/2006/relationships/ctrlProp" Target="../ctrlProps/ctrlProp1456.xml"/><Relationship Id="rId1665" Type="http://schemas.openxmlformats.org/officeDocument/2006/relationships/ctrlProp" Target="../ctrlProps/ctrlProp1663.xml"/><Relationship Id="rId1872" Type="http://schemas.openxmlformats.org/officeDocument/2006/relationships/ctrlProp" Target="../ctrlProps/ctrlProp1870.xml"/><Relationship Id="rId2509" Type="http://schemas.openxmlformats.org/officeDocument/2006/relationships/ctrlProp" Target="../ctrlProps/ctrlProp2507.xml"/><Relationship Id="rId2716" Type="http://schemas.openxmlformats.org/officeDocument/2006/relationships/ctrlProp" Target="../ctrlProps/ctrlProp2714.xml"/><Relationship Id="rId1318" Type="http://schemas.openxmlformats.org/officeDocument/2006/relationships/ctrlProp" Target="../ctrlProps/ctrlProp1316.xml"/><Relationship Id="rId1525" Type="http://schemas.openxmlformats.org/officeDocument/2006/relationships/ctrlProp" Target="../ctrlProps/ctrlProp1523.xml"/><Relationship Id="rId2923" Type="http://schemas.openxmlformats.org/officeDocument/2006/relationships/ctrlProp" Target="../ctrlProps/ctrlProp2921.xml"/><Relationship Id="rId1732" Type="http://schemas.openxmlformats.org/officeDocument/2006/relationships/ctrlProp" Target="../ctrlProps/ctrlProp1730.xml"/><Relationship Id="rId24" Type="http://schemas.openxmlformats.org/officeDocument/2006/relationships/ctrlProp" Target="../ctrlProps/ctrlProp22.xml"/><Relationship Id="rId2299" Type="http://schemas.openxmlformats.org/officeDocument/2006/relationships/ctrlProp" Target="../ctrlProps/ctrlProp2297.xml"/><Relationship Id="rId478" Type="http://schemas.openxmlformats.org/officeDocument/2006/relationships/ctrlProp" Target="../ctrlProps/ctrlProp476.xml"/><Relationship Id="rId685" Type="http://schemas.openxmlformats.org/officeDocument/2006/relationships/ctrlProp" Target="../ctrlProps/ctrlProp683.xml"/><Relationship Id="rId892" Type="http://schemas.openxmlformats.org/officeDocument/2006/relationships/ctrlProp" Target="../ctrlProps/ctrlProp890.xml"/><Relationship Id="rId2159" Type="http://schemas.openxmlformats.org/officeDocument/2006/relationships/ctrlProp" Target="../ctrlProps/ctrlProp2157.xml"/><Relationship Id="rId2366" Type="http://schemas.openxmlformats.org/officeDocument/2006/relationships/ctrlProp" Target="../ctrlProps/ctrlProp2364.xml"/><Relationship Id="rId2573" Type="http://schemas.openxmlformats.org/officeDocument/2006/relationships/ctrlProp" Target="../ctrlProps/ctrlProp2571.xml"/><Relationship Id="rId2780" Type="http://schemas.openxmlformats.org/officeDocument/2006/relationships/ctrlProp" Target="../ctrlProps/ctrlProp2778.xml"/><Relationship Id="rId3417" Type="http://schemas.openxmlformats.org/officeDocument/2006/relationships/table" Target="../tables/table228.xml"/><Relationship Id="rId338" Type="http://schemas.openxmlformats.org/officeDocument/2006/relationships/ctrlProp" Target="../ctrlProps/ctrlProp336.xml"/><Relationship Id="rId545" Type="http://schemas.openxmlformats.org/officeDocument/2006/relationships/ctrlProp" Target="../ctrlProps/ctrlProp543.xml"/><Relationship Id="rId752" Type="http://schemas.openxmlformats.org/officeDocument/2006/relationships/ctrlProp" Target="../ctrlProps/ctrlProp750.xml"/><Relationship Id="rId1175" Type="http://schemas.openxmlformats.org/officeDocument/2006/relationships/ctrlProp" Target="../ctrlProps/ctrlProp1173.xml"/><Relationship Id="rId1382" Type="http://schemas.openxmlformats.org/officeDocument/2006/relationships/ctrlProp" Target="../ctrlProps/ctrlProp1380.xml"/><Relationship Id="rId2019" Type="http://schemas.openxmlformats.org/officeDocument/2006/relationships/ctrlProp" Target="../ctrlProps/ctrlProp2017.xml"/><Relationship Id="rId2226" Type="http://schemas.openxmlformats.org/officeDocument/2006/relationships/ctrlProp" Target="../ctrlProps/ctrlProp2224.xml"/><Relationship Id="rId2433" Type="http://schemas.openxmlformats.org/officeDocument/2006/relationships/ctrlProp" Target="../ctrlProps/ctrlProp2431.xml"/><Relationship Id="rId2640" Type="http://schemas.openxmlformats.org/officeDocument/2006/relationships/ctrlProp" Target="../ctrlProps/ctrlProp2638.xml"/><Relationship Id="rId405" Type="http://schemas.openxmlformats.org/officeDocument/2006/relationships/ctrlProp" Target="../ctrlProps/ctrlProp403.xml"/><Relationship Id="rId612" Type="http://schemas.openxmlformats.org/officeDocument/2006/relationships/ctrlProp" Target="../ctrlProps/ctrlProp610.xml"/><Relationship Id="rId1035" Type="http://schemas.openxmlformats.org/officeDocument/2006/relationships/ctrlProp" Target="../ctrlProps/ctrlProp1033.xml"/><Relationship Id="rId1242" Type="http://schemas.openxmlformats.org/officeDocument/2006/relationships/ctrlProp" Target="../ctrlProps/ctrlProp1240.xml"/><Relationship Id="rId2500" Type="http://schemas.openxmlformats.org/officeDocument/2006/relationships/ctrlProp" Target="../ctrlProps/ctrlProp2498.xml"/><Relationship Id="rId1102" Type="http://schemas.openxmlformats.org/officeDocument/2006/relationships/ctrlProp" Target="../ctrlProps/ctrlProp1100.xml"/><Relationship Id="rId3067" Type="http://schemas.openxmlformats.org/officeDocument/2006/relationships/ctrlProp" Target="../ctrlProps/ctrlProp3065.xml"/><Relationship Id="rId3274" Type="http://schemas.openxmlformats.org/officeDocument/2006/relationships/table" Target="../tables/table85.xml"/><Relationship Id="rId195" Type="http://schemas.openxmlformats.org/officeDocument/2006/relationships/ctrlProp" Target="../ctrlProps/ctrlProp193.xml"/><Relationship Id="rId1919" Type="http://schemas.openxmlformats.org/officeDocument/2006/relationships/ctrlProp" Target="../ctrlProps/ctrlProp1917.xml"/><Relationship Id="rId3481" Type="http://schemas.openxmlformats.org/officeDocument/2006/relationships/table" Target="../tables/table292.xml"/><Relationship Id="rId2083" Type="http://schemas.openxmlformats.org/officeDocument/2006/relationships/ctrlProp" Target="../ctrlProps/ctrlProp2081.xml"/><Relationship Id="rId2290" Type="http://schemas.openxmlformats.org/officeDocument/2006/relationships/ctrlProp" Target="../ctrlProps/ctrlProp2288.xml"/><Relationship Id="rId3134" Type="http://schemas.openxmlformats.org/officeDocument/2006/relationships/ctrlProp" Target="../ctrlProps/ctrlProp3132.xml"/><Relationship Id="rId3341" Type="http://schemas.openxmlformats.org/officeDocument/2006/relationships/table" Target="../tables/table152.xml"/><Relationship Id="rId262" Type="http://schemas.openxmlformats.org/officeDocument/2006/relationships/ctrlProp" Target="../ctrlProps/ctrlProp260.xml"/><Relationship Id="rId2150" Type="http://schemas.openxmlformats.org/officeDocument/2006/relationships/ctrlProp" Target="../ctrlProps/ctrlProp2148.xml"/><Relationship Id="rId3201" Type="http://schemas.openxmlformats.org/officeDocument/2006/relationships/table" Target="../tables/table12.xml"/><Relationship Id="rId122" Type="http://schemas.openxmlformats.org/officeDocument/2006/relationships/ctrlProp" Target="../ctrlProps/ctrlProp120.xml"/><Relationship Id="rId2010" Type="http://schemas.openxmlformats.org/officeDocument/2006/relationships/ctrlProp" Target="../ctrlProps/ctrlProp2008.xml"/><Relationship Id="rId1569" Type="http://schemas.openxmlformats.org/officeDocument/2006/relationships/ctrlProp" Target="../ctrlProps/ctrlProp1567.xml"/><Relationship Id="rId2967" Type="http://schemas.openxmlformats.org/officeDocument/2006/relationships/ctrlProp" Target="../ctrlProps/ctrlProp2965.xml"/><Relationship Id="rId939" Type="http://schemas.openxmlformats.org/officeDocument/2006/relationships/ctrlProp" Target="../ctrlProps/ctrlProp937.xml"/><Relationship Id="rId1776" Type="http://schemas.openxmlformats.org/officeDocument/2006/relationships/ctrlProp" Target="../ctrlProps/ctrlProp1774.xml"/><Relationship Id="rId1983" Type="http://schemas.openxmlformats.org/officeDocument/2006/relationships/ctrlProp" Target="../ctrlProps/ctrlProp1981.xml"/><Relationship Id="rId2827" Type="http://schemas.openxmlformats.org/officeDocument/2006/relationships/ctrlProp" Target="../ctrlProps/ctrlProp2825.xml"/><Relationship Id="rId68" Type="http://schemas.openxmlformats.org/officeDocument/2006/relationships/ctrlProp" Target="../ctrlProps/ctrlProp66.xml"/><Relationship Id="rId1429" Type="http://schemas.openxmlformats.org/officeDocument/2006/relationships/ctrlProp" Target="../ctrlProps/ctrlProp1427.xml"/><Relationship Id="rId1636" Type="http://schemas.openxmlformats.org/officeDocument/2006/relationships/ctrlProp" Target="../ctrlProps/ctrlProp1634.xml"/><Relationship Id="rId1843" Type="http://schemas.openxmlformats.org/officeDocument/2006/relationships/ctrlProp" Target="../ctrlProps/ctrlProp1841.xml"/><Relationship Id="rId1703" Type="http://schemas.openxmlformats.org/officeDocument/2006/relationships/ctrlProp" Target="../ctrlProps/ctrlProp1701.xml"/><Relationship Id="rId1910" Type="http://schemas.openxmlformats.org/officeDocument/2006/relationships/ctrlProp" Target="../ctrlProps/ctrlProp1908.xml"/><Relationship Id="rId589" Type="http://schemas.openxmlformats.org/officeDocument/2006/relationships/ctrlProp" Target="../ctrlProps/ctrlProp587.xml"/><Relationship Id="rId796" Type="http://schemas.openxmlformats.org/officeDocument/2006/relationships/ctrlProp" Target="../ctrlProps/ctrlProp794.xml"/><Relationship Id="rId2477" Type="http://schemas.openxmlformats.org/officeDocument/2006/relationships/ctrlProp" Target="../ctrlProps/ctrlProp2475.xml"/><Relationship Id="rId2684" Type="http://schemas.openxmlformats.org/officeDocument/2006/relationships/ctrlProp" Target="../ctrlProps/ctrlProp2682.xml"/><Relationship Id="rId449" Type="http://schemas.openxmlformats.org/officeDocument/2006/relationships/ctrlProp" Target="../ctrlProps/ctrlProp447.xml"/><Relationship Id="rId656" Type="http://schemas.openxmlformats.org/officeDocument/2006/relationships/ctrlProp" Target="../ctrlProps/ctrlProp654.xml"/><Relationship Id="rId863" Type="http://schemas.openxmlformats.org/officeDocument/2006/relationships/ctrlProp" Target="../ctrlProps/ctrlProp861.xml"/><Relationship Id="rId1079" Type="http://schemas.openxmlformats.org/officeDocument/2006/relationships/ctrlProp" Target="../ctrlProps/ctrlProp1077.xml"/><Relationship Id="rId1286" Type="http://schemas.openxmlformats.org/officeDocument/2006/relationships/ctrlProp" Target="../ctrlProps/ctrlProp1284.xml"/><Relationship Id="rId1493" Type="http://schemas.openxmlformats.org/officeDocument/2006/relationships/ctrlProp" Target="../ctrlProps/ctrlProp1491.xml"/><Relationship Id="rId2337" Type="http://schemas.openxmlformats.org/officeDocument/2006/relationships/ctrlProp" Target="../ctrlProps/ctrlProp2335.xml"/><Relationship Id="rId2544" Type="http://schemas.openxmlformats.org/officeDocument/2006/relationships/ctrlProp" Target="../ctrlProps/ctrlProp2542.xml"/><Relationship Id="rId2891" Type="http://schemas.openxmlformats.org/officeDocument/2006/relationships/ctrlProp" Target="../ctrlProps/ctrlProp2889.xml"/><Relationship Id="rId309" Type="http://schemas.openxmlformats.org/officeDocument/2006/relationships/ctrlProp" Target="../ctrlProps/ctrlProp307.xml"/><Relationship Id="rId516" Type="http://schemas.openxmlformats.org/officeDocument/2006/relationships/ctrlProp" Target="../ctrlProps/ctrlProp514.xml"/><Relationship Id="rId1146" Type="http://schemas.openxmlformats.org/officeDocument/2006/relationships/ctrlProp" Target="../ctrlProps/ctrlProp1144.xml"/><Relationship Id="rId2751" Type="http://schemas.openxmlformats.org/officeDocument/2006/relationships/ctrlProp" Target="../ctrlProps/ctrlProp2749.xml"/><Relationship Id="rId723" Type="http://schemas.openxmlformats.org/officeDocument/2006/relationships/ctrlProp" Target="../ctrlProps/ctrlProp721.xml"/><Relationship Id="rId930" Type="http://schemas.openxmlformats.org/officeDocument/2006/relationships/ctrlProp" Target="../ctrlProps/ctrlProp928.xml"/><Relationship Id="rId1006" Type="http://schemas.openxmlformats.org/officeDocument/2006/relationships/ctrlProp" Target="../ctrlProps/ctrlProp1004.xml"/><Relationship Id="rId1353" Type="http://schemas.openxmlformats.org/officeDocument/2006/relationships/ctrlProp" Target="../ctrlProps/ctrlProp1351.xml"/><Relationship Id="rId1560" Type="http://schemas.openxmlformats.org/officeDocument/2006/relationships/ctrlProp" Target="../ctrlProps/ctrlProp1558.xml"/><Relationship Id="rId2404" Type="http://schemas.openxmlformats.org/officeDocument/2006/relationships/ctrlProp" Target="../ctrlProps/ctrlProp2402.xml"/><Relationship Id="rId2611" Type="http://schemas.openxmlformats.org/officeDocument/2006/relationships/ctrlProp" Target="../ctrlProps/ctrlProp2609.xml"/><Relationship Id="rId1213" Type="http://schemas.openxmlformats.org/officeDocument/2006/relationships/ctrlProp" Target="../ctrlProps/ctrlProp1211.xml"/><Relationship Id="rId1420" Type="http://schemas.openxmlformats.org/officeDocument/2006/relationships/ctrlProp" Target="../ctrlProps/ctrlProp1418.xml"/><Relationship Id="rId3178" Type="http://schemas.openxmlformats.org/officeDocument/2006/relationships/ctrlProp" Target="../ctrlProps/ctrlProp3176.xml"/><Relationship Id="rId3385" Type="http://schemas.openxmlformats.org/officeDocument/2006/relationships/table" Target="../tables/table196.xml"/><Relationship Id="rId2194" Type="http://schemas.openxmlformats.org/officeDocument/2006/relationships/ctrlProp" Target="../ctrlProps/ctrlProp2192.xml"/><Relationship Id="rId3038" Type="http://schemas.openxmlformats.org/officeDocument/2006/relationships/ctrlProp" Target="../ctrlProps/ctrlProp3036.xml"/><Relationship Id="rId3245" Type="http://schemas.openxmlformats.org/officeDocument/2006/relationships/table" Target="../tables/table56.xml"/><Relationship Id="rId3452" Type="http://schemas.openxmlformats.org/officeDocument/2006/relationships/table" Target="../tables/table263.xml"/><Relationship Id="rId166" Type="http://schemas.openxmlformats.org/officeDocument/2006/relationships/ctrlProp" Target="../ctrlProps/ctrlProp164.xml"/><Relationship Id="rId373" Type="http://schemas.openxmlformats.org/officeDocument/2006/relationships/ctrlProp" Target="../ctrlProps/ctrlProp371.xml"/><Relationship Id="rId580" Type="http://schemas.openxmlformats.org/officeDocument/2006/relationships/ctrlProp" Target="../ctrlProps/ctrlProp578.xml"/><Relationship Id="rId2054" Type="http://schemas.openxmlformats.org/officeDocument/2006/relationships/ctrlProp" Target="../ctrlProps/ctrlProp2052.xml"/><Relationship Id="rId2261" Type="http://schemas.openxmlformats.org/officeDocument/2006/relationships/ctrlProp" Target="../ctrlProps/ctrlProp2259.xml"/><Relationship Id="rId3105" Type="http://schemas.openxmlformats.org/officeDocument/2006/relationships/ctrlProp" Target="../ctrlProps/ctrlProp3103.xml"/><Relationship Id="rId3312" Type="http://schemas.openxmlformats.org/officeDocument/2006/relationships/table" Target="../tables/table123.xml"/><Relationship Id="rId233" Type="http://schemas.openxmlformats.org/officeDocument/2006/relationships/ctrlProp" Target="../ctrlProps/ctrlProp231.xml"/><Relationship Id="rId440" Type="http://schemas.openxmlformats.org/officeDocument/2006/relationships/ctrlProp" Target="../ctrlProps/ctrlProp438.xml"/><Relationship Id="rId1070" Type="http://schemas.openxmlformats.org/officeDocument/2006/relationships/ctrlProp" Target="../ctrlProps/ctrlProp1068.xml"/><Relationship Id="rId2121" Type="http://schemas.openxmlformats.org/officeDocument/2006/relationships/ctrlProp" Target="../ctrlProps/ctrlProp2119.xml"/><Relationship Id="rId300" Type="http://schemas.openxmlformats.org/officeDocument/2006/relationships/ctrlProp" Target="../ctrlProps/ctrlProp298.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3188.xml"/><Relationship Id="rId7" Type="http://schemas.openxmlformats.org/officeDocument/2006/relationships/table" Target="../tables/table323.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3191.xml"/><Relationship Id="rId5" Type="http://schemas.openxmlformats.org/officeDocument/2006/relationships/ctrlProp" Target="../ctrlProps/ctrlProp3190.xml"/><Relationship Id="rId4" Type="http://schemas.openxmlformats.org/officeDocument/2006/relationships/ctrlProp" Target="../ctrlProps/ctrlProp318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workbookViewId="0">
      <selection activeCell="M21" sqref="M21"/>
    </sheetView>
  </sheetViews>
  <sheetFormatPr defaultColWidth="9.1796875" defaultRowHeight="14.5" x14ac:dyDescent="0.35"/>
  <cols>
    <col min="1" max="1" width="4" customWidth="1"/>
    <col min="2" max="2" width="67.7265625" style="25" customWidth="1"/>
    <col min="3" max="3" width="44.54296875" style="33" customWidth="1"/>
    <col min="4" max="4" width="9.1796875" customWidth="1"/>
  </cols>
  <sheetData>
    <row r="6" spans="2:7" x14ac:dyDescent="0.35">
      <c r="B6" s="73" t="s">
        <v>15840</v>
      </c>
      <c r="C6" s="73"/>
    </row>
    <row r="7" spans="2:7" ht="18" x14ac:dyDescent="0.35">
      <c r="B7" s="26" t="s">
        <v>5459</v>
      </c>
      <c r="C7" s="27">
        <f ca="1">PACC!B10</f>
        <v>805994028.71500003</v>
      </c>
      <c r="G7" s="21"/>
    </row>
    <row r="8" spans="2:7" ht="18" x14ac:dyDescent="0.35">
      <c r="B8" s="28" t="s">
        <v>3798</v>
      </c>
      <c r="C8" s="29">
        <f ca="1">PACC!B9</f>
        <v>322</v>
      </c>
      <c r="G8" s="21"/>
    </row>
    <row r="9" spans="2:7" ht="18" x14ac:dyDescent="0.35">
      <c r="B9" s="28" t="s">
        <v>6043</v>
      </c>
      <c r="C9" s="30" t="str">
        <f>IF(PACC!E6="","",PACC!E6)</f>
        <v>0222</v>
      </c>
      <c r="G9" s="21"/>
    </row>
    <row r="10" spans="2:7" ht="18" x14ac:dyDescent="0.35">
      <c r="B10" s="28" t="s">
        <v>906</v>
      </c>
      <c r="C10" s="30" t="str">
        <f>IF(PACC!E7="","",PACC!E7)</f>
        <v>01</v>
      </c>
      <c r="G10" s="21"/>
    </row>
    <row r="11" spans="2:7" ht="18" x14ac:dyDescent="0.35">
      <c r="B11" s="28" t="s">
        <v>3503</v>
      </c>
      <c r="C11" s="30" t="str">
        <f>IF(PACC!E8="","",PACC!E8)</f>
        <v>0001</v>
      </c>
      <c r="G11" s="21"/>
    </row>
    <row r="12" spans="2:7" ht="16.5" customHeight="1" x14ac:dyDescent="0.35">
      <c r="B12" s="28" t="s">
        <v>18509</v>
      </c>
      <c r="C12" s="30" t="str">
        <f>IF(PACC!E9="","",PACC!E9)</f>
        <v>Ministerio de Energía y Minas</v>
      </c>
      <c r="G12" s="21"/>
    </row>
    <row r="13" spans="2:7" ht="16.5" customHeight="1" x14ac:dyDescent="0.35">
      <c r="B13" s="28" t="s">
        <v>19031</v>
      </c>
      <c r="C13" s="31" t="str">
        <f>IF(PACC!E11="","",PACC!E11)</f>
        <v>2024</v>
      </c>
      <c r="G13" s="22"/>
    </row>
    <row r="14" spans="2:7" ht="16.5" customHeight="1" x14ac:dyDescent="0.35">
      <c r="B14" s="28" t="s">
        <v>4216</v>
      </c>
      <c r="C14" s="46" t="str">
        <f>IF(PACC!E12="","",PACC!E12)</f>
        <v/>
      </c>
      <c r="G14" s="22"/>
    </row>
    <row r="15" spans="2:7" x14ac:dyDescent="0.35">
      <c r="B15" s="74" t="s">
        <v>3550</v>
      </c>
      <c r="C15" s="74"/>
    </row>
    <row r="16" spans="2:7" x14ac:dyDescent="0.35">
      <c r="B16" s="32" t="s">
        <v>11175</v>
      </c>
      <c r="C16" s="27">
        <f ca="1">SUMIF(ObjetoContratacionOculto,"="&amp;Bienes,TotalEstColumnValue)</f>
        <v>249845746.35500002</v>
      </c>
    </row>
    <row r="17" spans="2:3" x14ac:dyDescent="0.35">
      <c r="B17" s="32" t="s">
        <v>551</v>
      </c>
      <c r="C17" s="27">
        <f>SUMIF(ObjetoContratacionOculto,"="&amp;Obras,TotalEstColumnValue)</f>
        <v>0</v>
      </c>
    </row>
    <row r="18" spans="2:3" x14ac:dyDescent="0.35">
      <c r="B18" s="32" t="s">
        <v>92</v>
      </c>
      <c r="C18" s="27">
        <f ca="1">SUMIF(ObjetoContratacionOculto,"="&amp;Servicios,TotalEstColumnValue)</f>
        <v>525428282.3599999</v>
      </c>
    </row>
    <row r="19" spans="2:3" x14ac:dyDescent="0.35">
      <c r="B19" s="32" t="s">
        <v>7090</v>
      </c>
      <c r="C19" s="27">
        <f ca="1">SUMIF(ObjetoContratacionOculto,"="&amp;ServiciosConsultoria,TotalEstColumnValue)</f>
        <v>30720000</v>
      </c>
    </row>
    <row r="20" spans="2:3" x14ac:dyDescent="0.35">
      <c r="B20" s="32" t="s">
        <v>5369</v>
      </c>
      <c r="C20" s="27">
        <f>SUMIF(ObjetoContratacionOculto,"="&amp;ConsultoriaServicios,TotalEstColumnValue)</f>
        <v>0</v>
      </c>
    </row>
    <row r="21" spans="2:3" x14ac:dyDescent="0.35">
      <c r="B21" s="74" t="s">
        <v>17538</v>
      </c>
      <c r="C21" s="74"/>
    </row>
    <row r="22" spans="2:3" x14ac:dyDescent="0.35">
      <c r="B22" s="32" t="s">
        <v>12329</v>
      </c>
      <c r="C22" s="27">
        <f ca="1">SUMIF(MIPYMEOculto,"="&amp;MIPYMESí,TotalEstColumnValue)</f>
        <v>181738794.06499997</v>
      </c>
    </row>
    <row r="23" spans="2:3" x14ac:dyDescent="0.35">
      <c r="B23" s="32" t="s">
        <v>18649</v>
      </c>
      <c r="C23" s="27">
        <f ca="1">SUMIF(MIPYMEOculto,"="&amp;MIPYMEMujer,TotalEstColumnValue)</f>
        <v>15752504.189999999</v>
      </c>
    </row>
    <row r="24" spans="2:3" x14ac:dyDescent="0.35">
      <c r="B24" s="32" t="s">
        <v>3713</v>
      </c>
      <c r="C24" s="27">
        <f ca="1">SUMIF(MIPYMEOculto,"="&amp;MIPYMENo,TotalEstColumnValue)</f>
        <v>608502730.46000004</v>
      </c>
    </row>
    <row r="25" spans="2:3" x14ac:dyDescent="0.35">
      <c r="B25" s="73" t="s">
        <v>15035</v>
      </c>
      <c r="C25" s="73"/>
    </row>
    <row r="26" spans="2:3" x14ac:dyDescent="0.35">
      <c r="B26" s="32" t="s">
        <v>10562</v>
      </c>
      <c r="C26" s="27">
        <f ca="1">SUMIF(ProcedimientoOculto,"="&amp;ModCU,TotalEstColumnValue)</f>
        <v>19342573.515000001</v>
      </c>
    </row>
    <row r="27" spans="2:3" x14ac:dyDescent="0.35">
      <c r="B27" s="32" t="s">
        <v>9593</v>
      </c>
      <c r="C27" s="27">
        <f ca="1">SUMIF(ProcedimientoOculto,"="&amp;ModCM,TotalEstColumnValue)</f>
        <v>60745725.390000023</v>
      </c>
    </row>
    <row r="28" spans="2:3" x14ac:dyDescent="0.35">
      <c r="B28" s="32" t="s">
        <v>11563</v>
      </c>
      <c r="C28" s="27">
        <f ca="1">SUMIF(ProcedimientoOculto,"="&amp;ModCP,TotalEstColumnValue)</f>
        <v>113209063.44999999</v>
      </c>
    </row>
    <row r="29" spans="2:3" x14ac:dyDescent="0.35">
      <c r="B29" s="32" t="s">
        <v>8257</v>
      </c>
      <c r="C29" s="27">
        <f ca="1">SUMIF(ProcedimientoOculto,"="&amp;ModLP,TotalEstColumnValue)</f>
        <v>459124012.39999998</v>
      </c>
    </row>
    <row r="30" spans="2:3" x14ac:dyDescent="0.35">
      <c r="B30" s="32" t="s">
        <v>13752</v>
      </c>
      <c r="C30" s="27">
        <f ca="1">SUMIF(ProcedimientoOculto,"="&amp;ModLI,TotalEstColumnValue)</f>
        <v>7004574.75</v>
      </c>
    </row>
    <row r="31" spans="2:3" x14ac:dyDescent="0.35">
      <c r="B31" s="32" t="s">
        <v>11070</v>
      </c>
      <c r="C31" s="27">
        <f>SUMIF(ProcedimientoOculto,"="&amp;ModLR,TotalEstColumnValue)</f>
        <v>0</v>
      </c>
    </row>
    <row r="32" spans="2:3" x14ac:dyDescent="0.35">
      <c r="B32" s="32" t="s">
        <v>5364</v>
      </c>
      <c r="C32" s="27">
        <f ca="1">SUMIF(ProcedimientoOculto,"="&amp;ModSO,TotalEstColumnValue)</f>
        <v>134644525.81</v>
      </c>
    </row>
    <row r="33" spans="2:3" x14ac:dyDescent="0.35">
      <c r="B33" s="26" t="s">
        <v>16702</v>
      </c>
      <c r="C33" s="27">
        <f ca="1">SUMIF(ProcedimientoOculto,"="&amp;ModEBienes,TotalEstColumnValue)</f>
        <v>62914.400000000001</v>
      </c>
    </row>
    <row r="34" spans="2:3" ht="29" x14ac:dyDescent="0.35">
      <c r="B34" s="28" t="s">
        <v>12765</v>
      </c>
      <c r="C34" s="27">
        <f>SUMIF(ProcedimientoOculto,"="&amp;ModEConstruccion,TotalEstColumnValue)</f>
        <v>0</v>
      </c>
    </row>
    <row r="35" spans="2:3" ht="29" x14ac:dyDescent="0.35">
      <c r="B35" s="28" t="s">
        <v>14577</v>
      </c>
      <c r="C35" s="27">
        <f>SUMIF(ProcedimientoOculto,"="&amp;ModEPublicidad,TotalEstColumnValue)</f>
        <v>0</v>
      </c>
    </row>
    <row r="36" spans="2:3" ht="29" x14ac:dyDescent="0.35">
      <c r="B36" s="28" t="s">
        <v>18453</v>
      </c>
      <c r="C36" s="27">
        <f>SUMIF(ProcedimientoOculto,"="&amp;ModEObras,TotalEstColumnValue)</f>
        <v>0</v>
      </c>
    </row>
    <row r="37" spans="2:3" x14ac:dyDescent="0.35">
      <c r="B37" s="28" t="s">
        <v>12739</v>
      </c>
      <c r="C37" s="27">
        <f ca="1">SUMIF(ProcedimientoOculto,"="&amp;ModEProveedor,TotalEstColumnValue)</f>
        <v>11860639</v>
      </c>
    </row>
    <row r="38" spans="2:3" ht="29" x14ac:dyDescent="0.35">
      <c r="B38" s="28" t="s">
        <v>17448</v>
      </c>
      <c r="C38" s="27">
        <f>SUMIF(ProcedimientoOculto,"="&amp;ModE40,TotalEstColumnValue)</f>
        <v>0</v>
      </c>
    </row>
    <row r="39" spans="2:3" ht="29" x14ac:dyDescent="0.35">
      <c r="B39" s="28" t="s">
        <v>8195</v>
      </c>
      <c r="C39" s="27">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N5775"/>
  <sheetViews>
    <sheetView tabSelected="1" topLeftCell="A3" zoomScaleSheetLayoutView="100" workbookViewId="0">
      <selection activeCell="C39" sqref="C39"/>
    </sheetView>
  </sheetViews>
  <sheetFormatPr defaultColWidth="9.1796875" defaultRowHeight="14.25" customHeight="1" x14ac:dyDescent="0.35"/>
  <cols>
    <col min="1" max="1" width="24.26953125" style="24" customWidth="1"/>
    <col min="2" max="2" width="46.54296875" style="24" customWidth="1"/>
    <col min="3" max="3" width="19" style="24" customWidth="1"/>
    <col min="4" max="4" width="24" style="24" customWidth="1"/>
    <col min="5" max="6" width="24.26953125" style="24" customWidth="1"/>
    <col min="7" max="7" width="11.54296875" style="24" customWidth="1"/>
    <col min="8" max="9" width="9.1796875" style="24" hidden="1" customWidth="1"/>
    <col min="10" max="10" width="11.54296875" style="24" hidden="1" customWidth="1"/>
    <col min="11" max="11" width="7.54296875" style="24" customWidth="1"/>
    <col min="12" max="12" width="14.26953125" style="24" customWidth="1"/>
    <col min="13" max="13" width="22.54296875" style="24" customWidth="1"/>
    <col min="14" max="14" width="72.81640625" style="24" customWidth="1"/>
    <col min="15" max="15" width="14.26953125" style="24" customWidth="1"/>
    <col min="16" max="16" width="9.1796875" style="24" customWidth="1"/>
    <col min="17" max="16384" width="9.1796875" style="24"/>
  </cols>
  <sheetData>
    <row r="1" spans="1:14" s="52" customFormat="1" ht="18.5" x14ac:dyDescent="0.35">
      <c r="A1" s="83"/>
      <c r="B1" s="48"/>
      <c r="C1" s="49"/>
      <c r="D1" s="49"/>
      <c r="E1" s="50"/>
      <c r="F1" s="48"/>
      <c r="G1" s="51"/>
      <c r="H1" s="51"/>
      <c r="I1" s="51"/>
      <c r="J1" s="51"/>
      <c r="K1" s="51"/>
      <c r="L1" s="51"/>
      <c r="M1" s="51"/>
      <c r="N1" s="51"/>
    </row>
    <row r="2" spans="1:14" s="52" customFormat="1" ht="23.5" x14ac:dyDescent="0.35">
      <c r="A2" s="83"/>
      <c r="B2" s="84" t="s">
        <v>1447</v>
      </c>
      <c r="C2" s="84"/>
      <c r="D2" s="84"/>
      <c r="E2" s="84"/>
      <c r="F2" s="53"/>
      <c r="G2" s="51"/>
      <c r="H2" s="51"/>
      <c r="I2" s="51"/>
      <c r="J2" s="51"/>
      <c r="K2" s="51"/>
      <c r="L2" s="51"/>
      <c r="M2" s="51"/>
      <c r="N2" s="51"/>
    </row>
    <row r="3" spans="1:14" s="52" customFormat="1" ht="21" customHeight="1" x14ac:dyDescent="0.35">
      <c r="A3" s="83"/>
      <c r="B3" s="85" t="str">
        <f>"AÑO "&amp;E11</f>
        <v>AÑO 2024</v>
      </c>
      <c r="C3" s="85"/>
      <c r="D3" s="85"/>
      <c r="E3" s="85"/>
      <c r="F3" s="54"/>
      <c r="G3" s="51"/>
      <c r="H3" s="51"/>
      <c r="I3" s="51"/>
      <c r="J3" s="51"/>
      <c r="K3" s="51"/>
      <c r="L3" s="51"/>
      <c r="M3" s="51"/>
      <c r="N3" s="51"/>
    </row>
    <row r="4" spans="1:14" s="52" customFormat="1" ht="18.5" x14ac:dyDescent="0.35">
      <c r="A4" s="83"/>
      <c r="B4" s="48"/>
      <c r="C4" s="48"/>
      <c r="D4" s="48"/>
      <c r="E4" s="55"/>
      <c r="F4" s="48"/>
      <c r="G4" s="51"/>
      <c r="H4" s="51"/>
      <c r="I4" s="51"/>
      <c r="J4" s="51"/>
      <c r="K4" s="51"/>
      <c r="L4" s="51"/>
      <c r="M4" s="51"/>
      <c r="N4" s="51"/>
    </row>
    <row r="5" spans="1:14" s="52" customFormat="1" ht="21" x14ac:dyDescent="0.35">
      <c r="A5" s="56"/>
      <c r="B5" s="56"/>
      <c r="C5" s="57"/>
      <c r="D5" s="57"/>
      <c r="E5" s="57"/>
      <c r="F5" s="57"/>
      <c r="G5" s="51"/>
      <c r="H5" s="51"/>
      <c r="I5" s="51"/>
      <c r="J5" s="51"/>
      <c r="K5" s="51"/>
      <c r="L5" s="51"/>
      <c r="M5" s="51"/>
      <c r="N5" s="51"/>
    </row>
    <row r="6" spans="1:14" s="51" customFormat="1" ht="12" x14ac:dyDescent="0.35">
      <c r="A6" s="58" t="s">
        <v>10265</v>
      </c>
      <c r="B6" s="59"/>
      <c r="C6" s="60"/>
      <c r="D6" s="61" t="s">
        <v>5507</v>
      </c>
      <c r="E6" s="77" t="s">
        <v>8055</v>
      </c>
      <c r="F6" s="78"/>
    </row>
    <row r="7" spans="1:14" s="51" customFormat="1" ht="12" x14ac:dyDescent="0.35">
      <c r="A7" s="62" t="s">
        <v>16716</v>
      </c>
      <c r="B7" s="59"/>
      <c r="C7" s="59"/>
      <c r="D7" s="61" t="s">
        <v>10539</v>
      </c>
      <c r="E7" s="77" t="s">
        <v>15825</v>
      </c>
      <c r="F7" s="78"/>
    </row>
    <row r="8" spans="1:14" s="51" customFormat="1" ht="12" x14ac:dyDescent="0.35">
      <c r="A8" s="59"/>
      <c r="B8" s="59"/>
      <c r="C8" s="59"/>
      <c r="D8" s="61" t="s">
        <v>12202</v>
      </c>
      <c r="E8" s="77" t="s">
        <v>17962</v>
      </c>
      <c r="F8" s="78"/>
    </row>
    <row r="9" spans="1:14" s="51" customFormat="1" ht="12" x14ac:dyDescent="0.35">
      <c r="A9" s="63" t="s">
        <v>3995</v>
      </c>
      <c r="B9" s="64">
        <f ca="1">COUNTIFS(TotalEstColumnName,"="&amp;TotalEstLabel,TotalEstColumnValue,"&gt;0")</f>
        <v>322</v>
      </c>
      <c r="C9" s="59"/>
      <c r="D9" s="61" t="s">
        <v>7150</v>
      </c>
      <c r="E9" s="77" t="s">
        <v>4765</v>
      </c>
      <c r="F9" s="78"/>
    </row>
    <row r="10" spans="1:14" s="51" customFormat="1" ht="12" x14ac:dyDescent="0.35">
      <c r="A10" s="65" t="s">
        <v>17811</v>
      </c>
      <c r="B10" s="66">
        <f ca="1">SUMIF(TotalEstColumnName,"="&amp;TotalEstLabel,TotalEstColumnValue)</f>
        <v>805994028.71500003</v>
      </c>
      <c r="C10" s="59"/>
      <c r="D10" s="61" t="s">
        <v>15363</v>
      </c>
      <c r="E10" s="77" t="s">
        <v>13050</v>
      </c>
      <c r="F10" s="78"/>
    </row>
    <row r="11" spans="1:14" s="51" customFormat="1" ht="12" x14ac:dyDescent="0.35">
      <c r="A11" s="59"/>
      <c r="B11" s="59"/>
      <c r="C11" s="59"/>
      <c r="D11" s="61" t="s">
        <v>3567</v>
      </c>
      <c r="E11" s="79" t="s">
        <v>3689</v>
      </c>
      <c r="F11" s="80"/>
    </row>
    <row r="12" spans="1:14" s="51" customFormat="1" ht="12" x14ac:dyDescent="0.35">
      <c r="A12" s="67"/>
      <c r="B12" s="67"/>
      <c r="C12" s="67"/>
      <c r="D12" s="61" t="s">
        <v>3643</v>
      </c>
      <c r="E12" s="81" t="s">
        <v>7088</v>
      </c>
      <c r="F12" s="82"/>
    </row>
    <row r="15" spans="1:14" ht="34" customHeight="1" x14ac:dyDescent="0.35">
      <c r="A15" s="36" t="s">
        <v>17105</v>
      </c>
      <c r="B15" s="36" t="s">
        <v>167</v>
      </c>
      <c r="C15" s="36" t="s">
        <v>12252</v>
      </c>
      <c r="D15" s="36" t="s">
        <v>15021</v>
      </c>
      <c r="E15" s="36" t="s">
        <v>11455</v>
      </c>
      <c r="F15" s="36" t="s">
        <v>11595</v>
      </c>
    </row>
    <row r="16" spans="1:14" ht="14.25" customHeight="1" x14ac:dyDescent="0.35">
      <c r="A16" s="37" t="s">
        <v>7277</v>
      </c>
      <c r="B16" s="37" t="s">
        <v>7277</v>
      </c>
      <c r="C16" s="37" t="s">
        <v>18585</v>
      </c>
      <c r="D16" s="37" t="s">
        <v>1950</v>
      </c>
      <c r="E16" s="37" t="s">
        <v>9261</v>
      </c>
      <c r="F16" s="37" t="s">
        <v>7088</v>
      </c>
    </row>
    <row r="17" spans="1:6" ht="14.25" customHeight="1" x14ac:dyDescent="0.35">
      <c r="A17" s="75" t="s">
        <v>15490</v>
      </c>
      <c r="B17" s="38" t="s">
        <v>8918</v>
      </c>
      <c r="C17" s="68">
        <v>45334</v>
      </c>
      <c r="D17" s="75" t="s">
        <v>9819</v>
      </c>
      <c r="E17" s="70" t="s">
        <v>13683</v>
      </c>
      <c r="F17" s="71" t="s">
        <v>3205</v>
      </c>
    </row>
    <row r="18" spans="1:6" ht="14.25" customHeight="1" x14ac:dyDescent="0.35">
      <c r="A18" s="76"/>
      <c r="B18" s="38" t="s">
        <v>1858</v>
      </c>
      <c r="C18" s="69">
        <f>IF(C17="","",IF(AND(MONTH(C17)&gt;=1,MONTH(C17)&lt;=3),1,IF(AND(MONTH(C17)&gt;=4,MONTH(C17)&lt;=6),2,IF(AND(MONTH(C17)&gt;=7,MONTH(C17)&lt;=9),3,4))))</f>
        <v>1</v>
      </c>
      <c r="D18" s="76"/>
      <c r="E18" s="70" t="s">
        <v>2509</v>
      </c>
      <c r="F18" s="71" t="s">
        <v>11612</v>
      </c>
    </row>
    <row r="19" spans="1:6" ht="14.25" customHeight="1" x14ac:dyDescent="0.35">
      <c r="A19" s="76"/>
      <c r="B19" s="38" t="s">
        <v>13526</v>
      </c>
      <c r="C19" s="68">
        <v>45380</v>
      </c>
      <c r="D19" s="76"/>
      <c r="E19" s="70" t="s">
        <v>3198</v>
      </c>
      <c r="F19" s="71" t="s">
        <v>11612</v>
      </c>
    </row>
    <row r="20" spans="1:6" ht="14.25" customHeight="1" x14ac:dyDescent="0.35">
      <c r="A20" s="76"/>
      <c r="B20" s="38" t="s">
        <v>1858</v>
      </c>
      <c r="C20" s="69">
        <f>IF(C19="","",IF(AND(MONTH(C19)&gt;=1,MONTH(C19)&lt;=3),1,IF(AND(MONTH(C19)&gt;=4,MONTH(C19)&lt;=6),2,IF(AND(MONTH(C19)&gt;=7,MONTH(C19)&lt;=9),3,4))))</f>
        <v>1</v>
      </c>
      <c r="D20" s="76"/>
      <c r="E20" s="70" t="s">
        <v>13785</v>
      </c>
      <c r="F20" s="71"/>
    </row>
    <row r="22" spans="1:6" ht="14.25" customHeight="1" x14ac:dyDescent="0.35">
      <c r="A22" s="43" t="s">
        <v>16424</v>
      </c>
      <c r="B22" s="43" t="s">
        <v>16856</v>
      </c>
      <c r="C22" s="43" t="s">
        <v>16326</v>
      </c>
      <c r="D22" s="43" t="s">
        <v>15925</v>
      </c>
      <c r="E22" s="43" t="s">
        <v>7248</v>
      </c>
      <c r="F22" s="43" t="s">
        <v>15955</v>
      </c>
    </row>
    <row r="23" spans="1:6" ht="14.25" customHeight="1" x14ac:dyDescent="0.35">
      <c r="A23" s="39" t="s">
        <v>580</v>
      </c>
      <c r="B23" s="40" t="str">
        <f ca="1">IFERROR(INDEX(UNSPSCDes,MATCH(INDIRECT(ADDRESS(ROW(),COLUMN()-1,4)),UNSPSCCode,0)),IF(INDIRECT(ADDRESS(ROW(),COLUMN()-1,4))="31161501","Tornillos de perno",""))</f>
        <v>Tornillos de perno</v>
      </c>
      <c r="C23" s="72" t="str">
        <f>IFERROR(VLOOKUP("UD",'Informacion '!P:Q,2,FALSE),"")</f>
        <v>Unidad</v>
      </c>
      <c r="D23" s="39">
        <v>6</v>
      </c>
      <c r="E23" s="42">
        <v>5000</v>
      </c>
      <c r="F23" s="41">
        <f t="shared" ref="F23:F54" ca="1" si="0">INDIRECT(ADDRESS(ROW(),COLUMN()-2,4))*INDIRECT(ADDRESS(ROW(),COLUMN()-1,4))</f>
        <v>30000</v>
      </c>
    </row>
    <row r="24" spans="1:6" ht="14.25" customHeight="1" x14ac:dyDescent="0.35">
      <c r="A24" s="39" t="s">
        <v>10253</v>
      </c>
      <c r="B24" s="40" t="str">
        <f t="shared" ref="B24:B32" ca="1" si="1">IFERROR(INDEX(UNSPSCDes,MATCH(INDIRECT(ADDRESS(ROW(),COLUMN()-1,4)),UNSPSCCode,0)),IF(INDIRECT(ADDRESS(ROW(),COLUMN()-1,4))="31161503","Clavo-tornillo",""))</f>
        <v>Clavo-tornillo</v>
      </c>
      <c r="C24" s="72" t="str">
        <f>IFERROR(VLOOKUP("UD",'Informacion '!P:Q,2,FALSE),"")</f>
        <v>Unidad</v>
      </c>
      <c r="D24" s="39">
        <v>400</v>
      </c>
      <c r="E24" s="42">
        <v>1.18</v>
      </c>
      <c r="F24" s="41">
        <f t="shared" ca="1" si="0"/>
        <v>472</v>
      </c>
    </row>
    <row r="25" spans="1:6" ht="14.25" customHeight="1" x14ac:dyDescent="0.35">
      <c r="A25" s="39" t="s">
        <v>10253</v>
      </c>
      <c r="B25" s="40" t="str">
        <f t="shared" ca="1" si="1"/>
        <v>Clavo-tornillo</v>
      </c>
      <c r="C25" s="72" t="str">
        <f>IFERROR(VLOOKUP("UD",'Informacion '!P:Q,2,FALSE),"")</f>
        <v>Unidad</v>
      </c>
      <c r="D25" s="39">
        <v>400</v>
      </c>
      <c r="E25" s="42">
        <v>1.59</v>
      </c>
      <c r="F25" s="41">
        <f t="shared" ca="1" si="0"/>
        <v>636</v>
      </c>
    </row>
    <row r="26" spans="1:6" ht="14.25" customHeight="1" x14ac:dyDescent="0.35">
      <c r="A26" s="39" t="s">
        <v>10253</v>
      </c>
      <c r="B26" s="40" t="str">
        <f t="shared" ca="1" si="1"/>
        <v>Clavo-tornillo</v>
      </c>
      <c r="C26" s="72" t="str">
        <f>IFERROR(VLOOKUP("UD",'Informacion '!P:Q,2,FALSE),"")</f>
        <v>Unidad</v>
      </c>
      <c r="D26" s="39">
        <v>400</v>
      </c>
      <c r="E26" s="42">
        <v>5</v>
      </c>
      <c r="F26" s="41">
        <f t="shared" ca="1" si="0"/>
        <v>2000</v>
      </c>
    </row>
    <row r="27" spans="1:6" ht="14.25" customHeight="1" x14ac:dyDescent="0.35">
      <c r="A27" s="39" t="s">
        <v>10253</v>
      </c>
      <c r="B27" s="40" t="str">
        <f t="shared" ca="1" si="1"/>
        <v>Clavo-tornillo</v>
      </c>
      <c r="C27" s="72" t="str">
        <f>IFERROR(VLOOKUP("UD",'Informacion '!P:Q,2,FALSE),"")</f>
        <v>Unidad</v>
      </c>
      <c r="D27" s="39">
        <v>200</v>
      </c>
      <c r="E27" s="42">
        <v>5</v>
      </c>
      <c r="F27" s="41">
        <f t="shared" ca="1" si="0"/>
        <v>1000</v>
      </c>
    </row>
    <row r="28" spans="1:6" ht="14.25" customHeight="1" x14ac:dyDescent="0.35">
      <c r="A28" s="39" t="s">
        <v>10253</v>
      </c>
      <c r="B28" s="40" t="str">
        <f t="shared" ca="1" si="1"/>
        <v>Clavo-tornillo</v>
      </c>
      <c r="C28" s="72" t="str">
        <f>IFERROR(VLOOKUP("UD",'Informacion '!P:Q,2,FALSE),"")</f>
        <v>Unidad</v>
      </c>
      <c r="D28" s="39">
        <v>400</v>
      </c>
      <c r="E28" s="42">
        <v>3.4</v>
      </c>
      <c r="F28" s="41">
        <f t="shared" ca="1" si="0"/>
        <v>1360</v>
      </c>
    </row>
    <row r="29" spans="1:6" ht="14.25" customHeight="1" x14ac:dyDescent="0.35">
      <c r="A29" s="39" t="s">
        <v>10253</v>
      </c>
      <c r="B29" s="40" t="str">
        <f t="shared" ca="1" si="1"/>
        <v>Clavo-tornillo</v>
      </c>
      <c r="C29" s="72" t="str">
        <f>IFERROR(VLOOKUP("UD",'Informacion '!P:Q,2,FALSE),"")</f>
        <v>Unidad</v>
      </c>
      <c r="D29" s="39">
        <v>400</v>
      </c>
      <c r="E29" s="42">
        <v>7.2</v>
      </c>
      <c r="F29" s="41">
        <f t="shared" ca="1" si="0"/>
        <v>2880</v>
      </c>
    </row>
    <row r="30" spans="1:6" ht="14.25" customHeight="1" x14ac:dyDescent="0.35">
      <c r="A30" s="39" t="s">
        <v>10253</v>
      </c>
      <c r="B30" s="40" t="str">
        <f t="shared" ca="1" si="1"/>
        <v>Clavo-tornillo</v>
      </c>
      <c r="C30" s="72" t="str">
        <f>IFERROR(VLOOKUP("UD",'Informacion '!P:Q,2,FALSE),"")</f>
        <v>Unidad</v>
      </c>
      <c r="D30" s="39">
        <v>10</v>
      </c>
      <c r="E30" s="42">
        <v>450</v>
      </c>
      <c r="F30" s="41">
        <f t="shared" ca="1" si="0"/>
        <v>4500</v>
      </c>
    </row>
    <row r="31" spans="1:6" ht="14.25" customHeight="1" x14ac:dyDescent="0.35">
      <c r="A31" s="39" t="s">
        <v>10253</v>
      </c>
      <c r="B31" s="40" t="str">
        <f t="shared" ca="1" si="1"/>
        <v>Clavo-tornillo</v>
      </c>
      <c r="C31" s="72" t="str">
        <f>IFERROR(VLOOKUP("UD",'Informacion '!P:Q,2,FALSE),"")</f>
        <v>Unidad</v>
      </c>
      <c r="D31" s="39">
        <v>10</v>
      </c>
      <c r="E31" s="42">
        <v>440</v>
      </c>
      <c r="F31" s="41">
        <f t="shared" ca="1" si="0"/>
        <v>4400</v>
      </c>
    </row>
    <row r="32" spans="1:6" ht="14.25" customHeight="1" x14ac:dyDescent="0.35">
      <c r="A32" s="39" t="s">
        <v>10253</v>
      </c>
      <c r="B32" s="40" t="str">
        <f t="shared" ca="1" si="1"/>
        <v>Clavo-tornillo</v>
      </c>
      <c r="C32" s="72" t="str">
        <f>IFERROR(VLOOKUP("UD",'Informacion '!P:Q,2,FALSE),"")</f>
        <v>Unidad</v>
      </c>
      <c r="D32" s="39">
        <v>2</v>
      </c>
      <c r="E32" s="42">
        <v>70</v>
      </c>
      <c r="F32" s="41">
        <f t="shared" ca="1" si="0"/>
        <v>140</v>
      </c>
    </row>
    <row r="33" spans="1:6" ht="14.25" customHeight="1" x14ac:dyDescent="0.35">
      <c r="A33" s="39" t="s">
        <v>16592</v>
      </c>
      <c r="B33" s="40" t="str">
        <f t="shared" ref="B33:B49" ca="1" si="2">IFERROR(INDEX(UNSPSCDes,MATCH(INDIRECT(ADDRESS(ROW(),COLUMN()-1,4)),UNSPSCCode,0)),IF(INDIRECT(ADDRESS(ROW(),COLUMN()-1,4))="31161504","Tornillos de máquina",""))</f>
        <v>Tornillos de máquina</v>
      </c>
      <c r="C33" s="72" t="str">
        <f>IFERROR(VLOOKUP("UD",'Informacion '!P:Q,2,FALSE),"")</f>
        <v>Unidad</v>
      </c>
      <c r="D33" s="39">
        <v>1</v>
      </c>
      <c r="E33" s="42">
        <v>206.8</v>
      </c>
      <c r="F33" s="41">
        <f t="shared" ca="1" si="0"/>
        <v>206.8</v>
      </c>
    </row>
    <row r="34" spans="1:6" ht="14.25" customHeight="1" x14ac:dyDescent="0.35">
      <c r="A34" s="39" t="s">
        <v>16592</v>
      </c>
      <c r="B34" s="40" t="str">
        <f t="shared" ca="1" si="2"/>
        <v>Tornillos de máquina</v>
      </c>
      <c r="C34" s="72" t="str">
        <f>IFERROR(VLOOKUP("UD",'Informacion '!P:Q,2,FALSE),"")</f>
        <v>Unidad</v>
      </c>
      <c r="D34" s="39">
        <v>18</v>
      </c>
      <c r="E34" s="42">
        <v>133.05000000000001</v>
      </c>
      <c r="F34" s="41">
        <f t="shared" ca="1" si="0"/>
        <v>2394.9</v>
      </c>
    </row>
    <row r="35" spans="1:6" ht="14.25" customHeight="1" x14ac:dyDescent="0.35">
      <c r="A35" s="39" t="s">
        <v>16592</v>
      </c>
      <c r="B35" s="40" t="str">
        <f t="shared" ca="1" si="2"/>
        <v>Tornillos de máquina</v>
      </c>
      <c r="C35" s="72" t="str">
        <f>IFERROR(VLOOKUP("UD",'Informacion '!P:Q,2,FALSE),"")</f>
        <v>Unidad</v>
      </c>
      <c r="D35" s="39">
        <v>4</v>
      </c>
      <c r="E35" s="42">
        <v>280.77999999999997</v>
      </c>
      <c r="F35" s="41">
        <f t="shared" ca="1" si="0"/>
        <v>1123.1199999999999</v>
      </c>
    </row>
    <row r="36" spans="1:6" ht="14.25" customHeight="1" x14ac:dyDescent="0.35">
      <c r="A36" s="39" t="s">
        <v>16592</v>
      </c>
      <c r="B36" s="40" t="str">
        <f t="shared" ca="1" si="2"/>
        <v>Tornillos de máquina</v>
      </c>
      <c r="C36" s="72" t="str">
        <f>IFERROR(VLOOKUP("UD",'Informacion '!P:Q,2,FALSE),"")</f>
        <v>Unidad</v>
      </c>
      <c r="D36" s="39">
        <v>1</v>
      </c>
      <c r="E36" s="42">
        <v>60.5</v>
      </c>
      <c r="F36" s="41">
        <f t="shared" ca="1" si="0"/>
        <v>60.5</v>
      </c>
    </row>
    <row r="37" spans="1:6" ht="14.25" customHeight="1" x14ac:dyDescent="0.35">
      <c r="A37" s="39" t="s">
        <v>16592</v>
      </c>
      <c r="B37" s="40" t="str">
        <f t="shared" ca="1" si="2"/>
        <v>Tornillos de máquina</v>
      </c>
      <c r="C37" s="72" t="str">
        <f>IFERROR(VLOOKUP("UD",'Informacion '!P:Q,2,FALSE),"")</f>
        <v>Unidad</v>
      </c>
      <c r="D37" s="39">
        <v>1</v>
      </c>
      <c r="E37" s="42">
        <v>133.05000000000001</v>
      </c>
      <c r="F37" s="41">
        <f t="shared" ca="1" si="0"/>
        <v>133.05000000000001</v>
      </c>
    </row>
    <row r="38" spans="1:6" ht="14.25" customHeight="1" x14ac:dyDescent="0.35">
      <c r="A38" s="39" t="s">
        <v>16592</v>
      </c>
      <c r="B38" s="40" t="str">
        <f t="shared" ca="1" si="2"/>
        <v>Tornillos de máquina</v>
      </c>
      <c r="C38" s="72" t="str">
        <f>IFERROR(VLOOKUP("UD",'Informacion '!P:Q,2,FALSE),"")</f>
        <v>Unidad</v>
      </c>
      <c r="D38" s="39">
        <v>3</v>
      </c>
      <c r="E38" s="42">
        <v>35</v>
      </c>
      <c r="F38" s="41">
        <f t="shared" ca="1" si="0"/>
        <v>105</v>
      </c>
    </row>
    <row r="39" spans="1:6" ht="14.25" customHeight="1" x14ac:dyDescent="0.35">
      <c r="A39" s="39" t="s">
        <v>16592</v>
      </c>
      <c r="B39" s="40" t="str">
        <f t="shared" ca="1" si="2"/>
        <v>Tornillos de máquina</v>
      </c>
      <c r="C39" s="72" t="str">
        <f>IFERROR(VLOOKUP("UD",'Informacion '!P:Q,2,FALSE),"")</f>
        <v>Unidad</v>
      </c>
      <c r="D39" s="39">
        <v>2</v>
      </c>
      <c r="E39" s="42">
        <v>30.6</v>
      </c>
      <c r="F39" s="41">
        <f t="shared" ca="1" si="0"/>
        <v>61.2</v>
      </c>
    </row>
    <row r="40" spans="1:6" ht="14.25" customHeight="1" x14ac:dyDescent="0.35">
      <c r="A40" s="39" t="s">
        <v>16592</v>
      </c>
      <c r="B40" s="40" t="str">
        <f t="shared" ca="1" si="2"/>
        <v>Tornillos de máquina</v>
      </c>
      <c r="C40" s="72" t="str">
        <f>IFERROR(VLOOKUP("UD",'Informacion '!P:Q,2,FALSE),"")</f>
        <v>Unidad</v>
      </c>
      <c r="D40" s="39">
        <v>1</v>
      </c>
      <c r="E40" s="42">
        <v>22.06</v>
      </c>
      <c r="F40" s="41">
        <f t="shared" ca="1" si="0"/>
        <v>22.06</v>
      </c>
    </row>
    <row r="41" spans="1:6" ht="14.25" customHeight="1" x14ac:dyDescent="0.35">
      <c r="A41" s="39" t="s">
        <v>16592</v>
      </c>
      <c r="B41" s="40" t="str">
        <f t="shared" ca="1" si="2"/>
        <v>Tornillos de máquina</v>
      </c>
      <c r="C41" s="72" t="str">
        <f>IFERROR(VLOOKUP("UD",'Informacion '!P:Q,2,FALSE),"")</f>
        <v>Unidad</v>
      </c>
      <c r="D41" s="39">
        <v>106</v>
      </c>
      <c r="E41" s="42">
        <v>133.05000000000001</v>
      </c>
      <c r="F41" s="41">
        <f t="shared" ca="1" si="0"/>
        <v>14103.300000000001</v>
      </c>
    </row>
    <row r="42" spans="1:6" ht="14.25" customHeight="1" x14ac:dyDescent="0.35">
      <c r="A42" s="39" t="s">
        <v>16592</v>
      </c>
      <c r="B42" s="40" t="str">
        <f t="shared" ca="1" si="2"/>
        <v>Tornillos de máquina</v>
      </c>
      <c r="C42" s="72" t="str">
        <f>IFERROR(VLOOKUP("UD",'Informacion '!P:Q,2,FALSE),"")</f>
        <v>Unidad</v>
      </c>
      <c r="D42" s="39">
        <v>34</v>
      </c>
      <c r="E42" s="42">
        <v>133.05000000000001</v>
      </c>
      <c r="F42" s="41">
        <f t="shared" ca="1" si="0"/>
        <v>4523.7000000000007</v>
      </c>
    </row>
    <row r="43" spans="1:6" ht="14.25" customHeight="1" x14ac:dyDescent="0.35">
      <c r="A43" s="39" t="s">
        <v>16592</v>
      </c>
      <c r="B43" s="40" t="str">
        <f t="shared" ca="1" si="2"/>
        <v>Tornillos de máquina</v>
      </c>
      <c r="C43" s="72" t="str">
        <f>IFERROR(VLOOKUP("UD",'Informacion '!P:Q,2,FALSE),"")</f>
        <v>Unidad</v>
      </c>
      <c r="D43" s="39">
        <v>11</v>
      </c>
      <c r="E43" s="42">
        <v>155.78</v>
      </c>
      <c r="F43" s="41">
        <f t="shared" ca="1" si="0"/>
        <v>1713.58</v>
      </c>
    </row>
    <row r="44" spans="1:6" ht="14.25" customHeight="1" x14ac:dyDescent="0.35">
      <c r="A44" s="39" t="s">
        <v>16592</v>
      </c>
      <c r="B44" s="40" t="str">
        <f t="shared" ca="1" si="2"/>
        <v>Tornillos de máquina</v>
      </c>
      <c r="C44" s="72" t="str">
        <f>IFERROR(VLOOKUP("UD",'Informacion '!P:Q,2,FALSE),"")</f>
        <v>Unidad</v>
      </c>
      <c r="D44" s="39">
        <v>35</v>
      </c>
      <c r="E44" s="42">
        <v>133.05000000000001</v>
      </c>
      <c r="F44" s="41">
        <f t="shared" ca="1" si="0"/>
        <v>4656.75</v>
      </c>
    </row>
    <row r="45" spans="1:6" ht="14.25" customHeight="1" x14ac:dyDescent="0.35">
      <c r="A45" s="39" t="s">
        <v>16592</v>
      </c>
      <c r="B45" s="40" t="str">
        <f t="shared" ca="1" si="2"/>
        <v>Tornillos de máquina</v>
      </c>
      <c r="C45" s="72" t="str">
        <f>IFERROR(VLOOKUP("UD",'Informacion '!P:Q,2,FALSE),"")</f>
        <v>Unidad</v>
      </c>
      <c r="D45" s="39">
        <v>2</v>
      </c>
      <c r="E45" s="42">
        <v>102</v>
      </c>
      <c r="F45" s="41">
        <f t="shared" ca="1" si="0"/>
        <v>204</v>
      </c>
    </row>
    <row r="46" spans="1:6" ht="14.25" customHeight="1" x14ac:dyDescent="0.35">
      <c r="A46" s="39" t="s">
        <v>16592</v>
      </c>
      <c r="B46" s="40" t="str">
        <f t="shared" ca="1" si="2"/>
        <v>Tornillos de máquina</v>
      </c>
      <c r="C46" s="72" t="str">
        <f>IFERROR(VLOOKUP("UD",'Informacion '!P:Q,2,FALSE),"")</f>
        <v>Unidad</v>
      </c>
      <c r="D46" s="39">
        <v>27</v>
      </c>
      <c r="E46" s="42">
        <v>133.05000000000001</v>
      </c>
      <c r="F46" s="41">
        <f t="shared" ca="1" si="0"/>
        <v>3592.3500000000004</v>
      </c>
    </row>
    <row r="47" spans="1:6" ht="14.25" customHeight="1" x14ac:dyDescent="0.35">
      <c r="A47" s="39" t="s">
        <v>16592</v>
      </c>
      <c r="B47" s="40" t="str">
        <f t="shared" ca="1" si="2"/>
        <v>Tornillos de máquina</v>
      </c>
      <c r="C47" s="72" t="str">
        <f>IFERROR(VLOOKUP("UD",'Informacion '!P:Q,2,FALSE),"")</f>
        <v>Unidad</v>
      </c>
      <c r="D47" s="39">
        <v>3</v>
      </c>
      <c r="E47" s="42">
        <v>155.78</v>
      </c>
      <c r="F47" s="41">
        <f t="shared" ca="1" si="0"/>
        <v>467.34000000000003</v>
      </c>
    </row>
    <row r="48" spans="1:6" ht="14.25" customHeight="1" x14ac:dyDescent="0.35">
      <c r="A48" s="39" t="s">
        <v>16592</v>
      </c>
      <c r="B48" s="40" t="str">
        <f t="shared" ca="1" si="2"/>
        <v>Tornillos de máquina</v>
      </c>
      <c r="C48" s="72" t="str">
        <f>IFERROR(VLOOKUP("UD",'Informacion '!P:Q,2,FALSE),"")</f>
        <v>Unidad</v>
      </c>
      <c r="D48" s="39">
        <v>8</v>
      </c>
      <c r="E48" s="42">
        <v>30.6</v>
      </c>
      <c r="F48" s="41">
        <f t="shared" ca="1" si="0"/>
        <v>244.8</v>
      </c>
    </row>
    <row r="49" spans="1:6" ht="14.25" customHeight="1" x14ac:dyDescent="0.35">
      <c r="A49" s="39" t="s">
        <v>16592</v>
      </c>
      <c r="B49" s="40" t="str">
        <f t="shared" ca="1" si="2"/>
        <v>Tornillos de máquina</v>
      </c>
      <c r="C49" s="72" t="str">
        <f>IFERROR(VLOOKUP("UD",'Informacion '!P:Q,2,FALSE),"")</f>
        <v>Unidad</v>
      </c>
      <c r="D49" s="39">
        <v>10</v>
      </c>
      <c r="E49" s="42">
        <v>133.05000000000001</v>
      </c>
      <c r="F49" s="41">
        <f t="shared" ca="1" si="0"/>
        <v>1330.5</v>
      </c>
    </row>
    <row r="50" spans="1:6" ht="14.25" customHeight="1" x14ac:dyDescent="0.35">
      <c r="A50" s="39" t="s">
        <v>16666</v>
      </c>
      <c r="B50" s="40" t="str">
        <f t="shared" ref="B50:B60" ca="1" si="3">IFERROR(INDEX(UNSPSCDes,MATCH(INDIRECT(ADDRESS(ROW(),COLUMN()-1,4)),UNSPSCCode,0)),IF(INDIRECT(ADDRESS(ROW(),COLUMN()-1,4))="31161513","Tornillos de cabeza perdida",""))</f>
        <v>Tornillos de cabeza perdida</v>
      </c>
      <c r="C50" s="72" t="str">
        <f>IFERROR(VLOOKUP("UD",'Informacion '!P:Q,2,FALSE),"")</f>
        <v>Unidad</v>
      </c>
      <c r="D50" s="39">
        <v>30</v>
      </c>
      <c r="E50" s="42">
        <v>12.5</v>
      </c>
      <c r="F50" s="41">
        <f t="shared" ca="1" si="0"/>
        <v>375</v>
      </c>
    </row>
    <row r="51" spans="1:6" ht="14.25" customHeight="1" x14ac:dyDescent="0.35">
      <c r="A51" s="39" t="s">
        <v>16666</v>
      </c>
      <c r="B51" s="40" t="str">
        <f t="shared" ca="1" si="3"/>
        <v>Tornillos de cabeza perdida</v>
      </c>
      <c r="C51" s="72" t="str">
        <f>IFERROR(VLOOKUP("UD",'Informacion '!P:Q,2,FALSE),"")</f>
        <v>Unidad</v>
      </c>
      <c r="D51" s="39">
        <v>10</v>
      </c>
      <c r="E51" s="42">
        <v>17.7</v>
      </c>
      <c r="F51" s="41">
        <f t="shared" ca="1" si="0"/>
        <v>177</v>
      </c>
    </row>
    <row r="52" spans="1:6" ht="14.25" customHeight="1" x14ac:dyDescent="0.35">
      <c r="A52" s="39" t="s">
        <v>16666</v>
      </c>
      <c r="B52" s="40" t="str">
        <f t="shared" ca="1" si="3"/>
        <v>Tornillos de cabeza perdida</v>
      </c>
      <c r="C52" s="72" t="str">
        <f>IFERROR(VLOOKUP("UD",'Informacion '!P:Q,2,FALSE),"")</f>
        <v>Unidad</v>
      </c>
      <c r="D52" s="39">
        <v>40</v>
      </c>
      <c r="E52" s="42">
        <v>12.5</v>
      </c>
      <c r="F52" s="41">
        <f t="shared" ca="1" si="0"/>
        <v>500</v>
      </c>
    </row>
    <row r="53" spans="1:6" ht="14.25" customHeight="1" x14ac:dyDescent="0.35">
      <c r="A53" s="39" t="s">
        <v>16666</v>
      </c>
      <c r="B53" s="40" t="str">
        <f t="shared" ca="1" si="3"/>
        <v>Tornillos de cabeza perdida</v>
      </c>
      <c r="C53" s="72" t="str">
        <f>IFERROR(VLOOKUP("UD",'Informacion '!P:Q,2,FALSE),"")</f>
        <v>Unidad</v>
      </c>
      <c r="D53" s="39">
        <v>10</v>
      </c>
      <c r="E53" s="42">
        <v>17.7</v>
      </c>
      <c r="F53" s="41">
        <f t="shared" ca="1" si="0"/>
        <v>177</v>
      </c>
    </row>
    <row r="54" spans="1:6" ht="14.25" customHeight="1" x14ac:dyDescent="0.35">
      <c r="A54" s="39" t="s">
        <v>16666</v>
      </c>
      <c r="B54" s="40" t="str">
        <f t="shared" ca="1" si="3"/>
        <v>Tornillos de cabeza perdida</v>
      </c>
      <c r="C54" s="72" t="str">
        <f>IFERROR(VLOOKUP("UD",'Informacion '!P:Q,2,FALSE),"")</f>
        <v>Unidad</v>
      </c>
      <c r="D54" s="39">
        <v>40</v>
      </c>
      <c r="E54" s="42">
        <v>12.7</v>
      </c>
      <c r="F54" s="41">
        <f t="shared" ca="1" si="0"/>
        <v>508</v>
      </c>
    </row>
    <row r="55" spans="1:6" ht="14.25" customHeight="1" x14ac:dyDescent="0.35">
      <c r="A55" s="39" t="s">
        <v>16666</v>
      </c>
      <c r="B55" s="40" t="str">
        <f t="shared" ca="1" si="3"/>
        <v>Tornillos de cabeza perdida</v>
      </c>
      <c r="C55" s="72" t="str">
        <f>IFERROR(VLOOKUP("UD",'Informacion '!P:Q,2,FALSE),"")</f>
        <v>Unidad</v>
      </c>
      <c r="D55" s="39">
        <v>10</v>
      </c>
      <c r="E55" s="42">
        <v>17.7</v>
      </c>
      <c r="F55" s="41">
        <f t="shared" ref="F55:F86" ca="1" si="4">INDIRECT(ADDRESS(ROW(),COLUMN()-2,4))*INDIRECT(ADDRESS(ROW(),COLUMN()-1,4))</f>
        <v>177</v>
      </c>
    </row>
    <row r="56" spans="1:6" ht="14.25" customHeight="1" x14ac:dyDescent="0.35">
      <c r="A56" s="39" t="s">
        <v>16666</v>
      </c>
      <c r="B56" s="40" t="str">
        <f t="shared" ca="1" si="3"/>
        <v>Tornillos de cabeza perdida</v>
      </c>
      <c r="C56" s="72" t="str">
        <f>IFERROR(VLOOKUP("UD",'Informacion '!P:Q,2,FALSE),"")</f>
        <v>Unidad</v>
      </c>
      <c r="D56" s="39">
        <v>400</v>
      </c>
      <c r="E56" s="42">
        <v>17.7</v>
      </c>
      <c r="F56" s="41">
        <f t="shared" ca="1" si="4"/>
        <v>7080</v>
      </c>
    </row>
    <row r="57" spans="1:6" ht="14.25" customHeight="1" x14ac:dyDescent="0.35">
      <c r="A57" s="39" t="s">
        <v>16666</v>
      </c>
      <c r="B57" s="40" t="str">
        <f t="shared" ca="1" si="3"/>
        <v>Tornillos de cabeza perdida</v>
      </c>
      <c r="C57" s="72" t="str">
        <f>IFERROR(VLOOKUP("UD",'Informacion '!P:Q,2,FALSE),"")</f>
        <v>Unidad</v>
      </c>
      <c r="D57" s="39">
        <v>400</v>
      </c>
      <c r="E57" s="42">
        <v>17.7</v>
      </c>
      <c r="F57" s="41">
        <f t="shared" ca="1" si="4"/>
        <v>7080</v>
      </c>
    </row>
    <row r="58" spans="1:6" ht="14.25" customHeight="1" x14ac:dyDescent="0.35">
      <c r="A58" s="39" t="s">
        <v>16666</v>
      </c>
      <c r="B58" s="40" t="str">
        <f t="shared" ca="1" si="3"/>
        <v>Tornillos de cabeza perdida</v>
      </c>
      <c r="C58" s="72" t="str">
        <f>IFERROR(VLOOKUP("UD",'Informacion '!P:Q,2,FALSE),"")</f>
        <v>Unidad</v>
      </c>
      <c r="D58" s="39">
        <v>400</v>
      </c>
      <c r="E58" s="42">
        <v>17.7</v>
      </c>
      <c r="F58" s="41">
        <f t="shared" ca="1" si="4"/>
        <v>7080</v>
      </c>
    </row>
    <row r="59" spans="1:6" ht="14.25" customHeight="1" x14ac:dyDescent="0.35">
      <c r="A59" s="39" t="s">
        <v>16666</v>
      </c>
      <c r="B59" s="40" t="str">
        <f t="shared" ca="1" si="3"/>
        <v>Tornillos de cabeza perdida</v>
      </c>
      <c r="C59" s="72" t="str">
        <f>IFERROR(VLOOKUP("UD",'Informacion '!P:Q,2,FALSE),"")</f>
        <v>Unidad</v>
      </c>
      <c r="D59" s="39">
        <v>580</v>
      </c>
      <c r="E59" s="42">
        <v>17.7</v>
      </c>
      <c r="F59" s="41">
        <f t="shared" ca="1" si="4"/>
        <v>10266</v>
      </c>
    </row>
    <row r="60" spans="1:6" ht="14.25" customHeight="1" x14ac:dyDescent="0.35">
      <c r="A60" s="39" t="s">
        <v>16666</v>
      </c>
      <c r="B60" s="40" t="str">
        <f t="shared" ca="1" si="3"/>
        <v>Tornillos de cabeza perdida</v>
      </c>
      <c r="C60" s="72" t="str">
        <f>IFERROR(VLOOKUP("UD",'Informacion '!P:Q,2,FALSE),"")</f>
        <v>Unidad</v>
      </c>
      <c r="D60" s="39">
        <v>800</v>
      </c>
      <c r="E60" s="42">
        <v>17.7</v>
      </c>
      <c r="F60" s="41">
        <f t="shared" ca="1" si="4"/>
        <v>14160</v>
      </c>
    </row>
    <row r="61" spans="1:6" ht="14.25" customHeight="1" x14ac:dyDescent="0.35">
      <c r="A61" s="39" t="s">
        <v>17639</v>
      </c>
      <c r="B61" s="40" t="str">
        <f t="shared" ref="B61:B79" ca="1" si="5">IFERROR(INDEX(UNSPSCDes,MATCH(INDIRECT(ADDRESS(ROW(),COLUMN()-1,4)),UNSPSCCode,0)),IF(INDIRECT(ADDRESS(ROW(),COLUMN()-1,4))="31161608","Tirafondos",""))</f>
        <v>Tirafondos</v>
      </c>
      <c r="C61" s="72" t="str">
        <f>IFERROR(VLOOKUP("UD",'Informacion '!P:Q,2,FALSE),"")</f>
        <v>Unidad</v>
      </c>
      <c r="D61" s="39">
        <v>5</v>
      </c>
      <c r="E61" s="42">
        <v>151.80000000000001</v>
      </c>
      <c r="F61" s="41">
        <f t="shared" ca="1" si="4"/>
        <v>759</v>
      </c>
    </row>
    <row r="62" spans="1:6" ht="14.25" customHeight="1" x14ac:dyDescent="0.35">
      <c r="A62" s="39" t="s">
        <v>17639</v>
      </c>
      <c r="B62" s="40" t="str">
        <f t="shared" ca="1" si="5"/>
        <v>Tirafondos</v>
      </c>
      <c r="C62" s="72" t="str">
        <f>IFERROR(VLOOKUP("UD",'Informacion '!P:Q,2,FALSE),"")</f>
        <v>Unidad</v>
      </c>
      <c r="D62" s="39">
        <v>12</v>
      </c>
      <c r="E62" s="42">
        <v>24.44</v>
      </c>
      <c r="F62" s="41">
        <f t="shared" ca="1" si="4"/>
        <v>293.28000000000003</v>
      </c>
    </row>
    <row r="63" spans="1:6" ht="14.25" customHeight="1" x14ac:dyDescent="0.35">
      <c r="A63" s="39" t="s">
        <v>17639</v>
      </c>
      <c r="B63" s="40" t="str">
        <f t="shared" ca="1" si="5"/>
        <v>Tirafondos</v>
      </c>
      <c r="C63" s="72" t="str">
        <f>IFERROR(VLOOKUP("UD",'Informacion '!P:Q,2,FALSE),"")</f>
        <v>Unidad</v>
      </c>
      <c r="D63" s="39">
        <v>6</v>
      </c>
      <c r="E63" s="42">
        <v>151.80000000000001</v>
      </c>
      <c r="F63" s="41">
        <f t="shared" ca="1" si="4"/>
        <v>910.80000000000007</v>
      </c>
    </row>
    <row r="64" spans="1:6" ht="14.25" customHeight="1" x14ac:dyDescent="0.35">
      <c r="A64" s="39" t="s">
        <v>17639</v>
      </c>
      <c r="B64" s="40" t="str">
        <f t="shared" ca="1" si="5"/>
        <v>Tirafondos</v>
      </c>
      <c r="C64" s="72" t="str">
        <f>IFERROR(VLOOKUP("UD",'Informacion '!P:Q,2,FALSE),"")</f>
        <v>Unidad</v>
      </c>
      <c r="D64" s="39">
        <v>4</v>
      </c>
      <c r="E64" s="42">
        <v>206.8</v>
      </c>
      <c r="F64" s="41">
        <f t="shared" ca="1" si="4"/>
        <v>827.2</v>
      </c>
    </row>
    <row r="65" spans="1:6" ht="14.25" customHeight="1" x14ac:dyDescent="0.35">
      <c r="A65" s="39" t="s">
        <v>17639</v>
      </c>
      <c r="B65" s="40" t="str">
        <f t="shared" ca="1" si="5"/>
        <v>Tirafondos</v>
      </c>
      <c r="C65" s="72" t="str">
        <f>IFERROR(VLOOKUP("UD",'Informacion '!P:Q,2,FALSE),"")</f>
        <v>Unidad</v>
      </c>
      <c r="D65" s="39">
        <v>450</v>
      </c>
      <c r="E65" s="42">
        <v>1.73</v>
      </c>
      <c r="F65" s="41">
        <f t="shared" ca="1" si="4"/>
        <v>778.5</v>
      </c>
    </row>
    <row r="66" spans="1:6" ht="14.25" customHeight="1" x14ac:dyDescent="0.35">
      <c r="A66" s="39" t="s">
        <v>17639</v>
      </c>
      <c r="B66" s="40" t="str">
        <f t="shared" ca="1" si="5"/>
        <v>Tirafondos</v>
      </c>
      <c r="C66" s="72" t="str">
        <f>IFERROR(VLOOKUP("UD",'Informacion '!P:Q,2,FALSE),"")</f>
        <v>Unidad</v>
      </c>
      <c r="D66" s="39">
        <v>6</v>
      </c>
      <c r="E66" s="42">
        <v>4</v>
      </c>
      <c r="F66" s="41">
        <f t="shared" ca="1" si="4"/>
        <v>24</v>
      </c>
    </row>
    <row r="67" spans="1:6" ht="14.25" customHeight="1" x14ac:dyDescent="0.35">
      <c r="A67" s="39" t="s">
        <v>17639</v>
      </c>
      <c r="B67" s="40" t="str">
        <f t="shared" ca="1" si="5"/>
        <v>Tirafondos</v>
      </c>
      <c r="C67" s="72" t="str">
        <f>IFERROR(VLOOKUP("UD",'Informacion '!P:Q,2,FALSE),"")</f>
        <v>Unidad</v>
      </c>
      <c r="D67" s="39">
        <v>3</v>
      </c>
      <c r="E67" s="42">
        <v>151.80000000000001</v>
      </c>
      <c r="F67" s="41">
        <f t="shared" ca="1" si="4"/>
        <v>455.40000000000003</v>
      </c>
    </row>
    <row r="68" spans="1:6" ht="14.25" customHeight="1" x14ac:dyDescent="0.35">
      <c r="A68" s="39" t="s">
        <v>17639</v>
      </c>
      <c r="B68" s="40" t="str">
        <f t="shared" ca="1" si="5"/>
        <v>Tirafondos</v>
      </c>
      <c r="C68" s="72" t="str">
        <f>IFERROR(VLOOKUP("UD",'Informacion '!P:Q,2,FALSE),"")</f>
        <v>Unidad</v>
      </c>
      <c r="D68" s="39">
        <v>15</v>
      </c>
      <c r="E68" s="42">
        <v>151.80000000000001</v>
      </c>
      <c r="F68" s="41">
        <f t="shared" ca="1" si="4"/>
        <v>2277</v>
      </c>
    </row>
    <row r="69" spans="1:6" ht="14.25" customHeight="1" x14ac:dyDescent="0.35">
      <c r="A69" s="39" t="s">
        <v>17639</v>
      </c>
      <c r="B69" s="40" t="str">
        <f t="shared" ca="1" si="5"/>
        <v>Tirafondos</v>
      </c>
      <c r="C69" s="72" t="str">
        <f>IFERROR(VLOOKUP("UD",'Informacion '!P:Q,2,FALSE),"")</f>
        <v>Unidad</v>
      </c>
      <c r="D69" s="39">
        <v>2</v>
      </c>
      <c r="E69" s="42">
        <v>206.8</v>
      </c>
      <c r="F69" s="41">
        <f t="shared" ca="1" si="4"/>
        <v>413.6</v>
      </c>
    </row>
    <row r="70" spans="1:6" ht="14.25" customHeight="1" x14ac:dyDescent="0.35">
      <c r="A70" s="39" t="s">
        <v>17639</v>
      </c>
      <c r="B70" s="40" t="str">
        <f t="shared" ca="1" si="5"/>
        <v>Tirafondos</v>
      </c>
      <c r="C70" s="72" t="str">
        <f>IFERROR(VLOOKUP("UD",'Informacion '!P:Q,2,FALSE),"")</f>
        <v>Unidad</v>
      </c>
      <c r="D70" s="39">
        <v>1875</v>
      </c>
      <c r="E70" s="42">
        <v>1.73</v>
      </c>
      <c r="F70" s="41">
        <f t="shared" ca="1" si="4"/>
        <v>3243.75</v>
      </c>
    </row>
    <row r="71" spans="1:6" ht="14.25" customHeight="1" x14ac:dyDescent="0.35">
      <c r="A71" s="39" t="s">
        <v>17639</v>
      </c>
      <c r="B71" s="40" t="str">
        <f t="shared" ca="1" si="5"/>
        <v>Tirafondos</v>
      </c>
      <c r="C71" s="72" t="str">
        <f>IFERROR(VLOOKUP("UD",'Informacion '!P:Q,2,FALSE),"")</f>
        <v>Unidad</v>
      </c>
      <c r="D71" s="39">
        <v>32</v>
      </c>
      <c r="E71" s="42">
        <v>4</v>
      </c>
      <c r="F71" s="41">
        <f t="shared" ca="1" si="4"/>
        <v>128</v>
      </c>
    </row>
    <row r="72" spans="1:6" ht="14.25" customHeight="1" x14ac:dyDescent="0.35">
      <c r="A72" s="39" t="s">
        <v>17639</v>
      </c>
      <c r="B72" s="40" t="str">
        <f t="shared" ca="1" si="5"/>
        <v>Tirafondos</v>
      </c>
      <c r="C72" s="72" t="str">
        <f>IFERROR(VLOOKUP("UD",'Informacion '!P:Q,2,FALSE),"")</f>
        <v>Unidad</v>
      </c>
      <c r="D72" s="39">
        <v>25</v>
      </c>
      <c r="E72" s="42">
        <v>3.5</v>
      </c>
      <c r="F72" s="41">
        <f t="shared" ca="1" si="4"/>
        <v>87.5</v>
      </c>
    </row>
    <row r="73" spans="1:6" ht="14.25" customHeight="1" x14ac:dyDescent="0.35">
      <c r="A73" s="39" t="s">
        <v>17639</v>
      </c>
      <c r="B73" s="40" t="str">
        <f t="shared" ca="1" si="5"/>
        <v>Tirafondos</v>
      </c>
      <c r="C73" s="72" t="str">
        <f>IFERROR(VLOOKUP("UD",'Informacion '!P:Q,2,FALSE),"")</f>
        <v>Unidad</v>
      </c>
      <c r="D73" s="39">
        <v>50</v>
      </c>
      <c r="E73" s="42">
        <v>3.5</v>
      </c>
      <c r="F73" s="41">
        <f t="shared" ca="1" si="4"/>
        <v>175</v>
      </c>
    </row>
    <row r="74" spans="1:6" ht="14.25" customHeight="1" x14ac:dyDescent="0.35">
      <c r="A74" s="39" t="s">
        <v>17639</v>
      </c>
      <c r="B74" s="40" t="str">
        <f t="shared" ca="1" si="5"/>
        <v>Tirafondos</v>
      </c>
      <c r="C74" s="72" t="str">
        <f>IFERROR(VLOOKUP("UD",'Informacion '!P:Q,2,FALSE),"")</f>
        <v>Unidad</v>
      </c>
      <c r="D74" s="39">
        <v>50</v>
      </c>
      <c r="E74" s="42">
        <v>3.5</v>
      </c>
      <c r="F74" s="41">
        <f t="shared" ca="1" si="4"/>
        <v>175</v>
      </c>
    </row>
    <row r="75" spans="1:6" ht="14.25" customHeight="1" x14ac:dyDescent="0.35">
      <c r="A75" s="39" t="s">
        <v>17639</v>
      </c>
      <c r="B75" s="40" t="str">
        <f t="shared" ca="1" si="5"/>
        <v>Tirafondos</v>
      </c>
      <c r="C75" s="72" t="str">
        <f>IFERROR(VLOOKUP("UD",'Informacion '!P:Q,2,FALSE),"")</f>
        <v>Unidad</v>
      </c>
      <c r="D75" s="39">
        <v>9000</v>
      </c>
      <c r="E75" s="42">
        <v>1.18</v>
      </c>
      <c r="F75" s="41">
        <f t="shared" ca="1" si="4"/>
        <v>10620</v>
      </c>
    </row>
    <row r="76" spans="1:6" ht="14.25" customHeight="1" x14ac:dyDescent="0.35">
      <c r="A76" s="39" t="s">
        <v>17639</v>
      </c>
      <c r="B76" s="40" t="str">
        <f t="shared" ca="1" si="5"/>
        <v>Tirafondos</v>
      </c>
      <c r="C76" s="72" t="str">
        <f>IFERROR(VLOOKUP("UD",'Informacion '!P:Q,2,FALSE),"")</f>
        <v>Unidad</v>
      </c>
      <c r="D76" s="39">
        <v>9000</v>
      </c>
      <c r="E76" s="42">
        <v>1.18</v>
      </c>
      <c r="F76" s="41">
        <f t="shared" ca="1" si="4"/>
        <v>10620</v>
      </c>
    </row>
    <row r="77" spans="1:6" ht="14.25" customHeight="1" x14ac:dyDescent="0.35">
      <c r="A77" s="39" t="s">
        <v>17639</v>
      </c>
      <c r="B77" s="40" t="str">
        <f t="shared" ca="1" si="5"/>
        <v>Tirafondos</v>
      </c>
      <c r="C77" s="72" t="str">
        <f>IFERROR(VLOOKUP("UD",'Informacion '!P:Q,2,FALSE),"")</f>
        <v>Unidad</v>
      </c>
      <c r="D77" s="39">
        <v>9000</v>
      </c>
      <c r="E77" s="42">
        <v>1.18</v>
      </c>
      <c r="F77" s="41">
        <f t="shared" ca="1" si="4"/>
        <v>10620</v>
      </c>
    </row>
    <row r="78" spans="1:6" ht="14.25" customHeight="1" x14ac:dyDescent="0.35">
      <c r="A78" s="39" t="s">
        <v>17639</v>
      </c>
      <c r="B78" s="40" t="str">
        <f t="shared" ca="1" si="5"/>
        <v>Tirafondos</v>
      </c>
      <c r="C78" s="72" t="str">
        <f>IFERROR(VLOOKUP("UD",'Informacion '!P:Q,2,FALSE),"")</f>
        <v>Unidad</v>
      </c>
      <c r="D78" s="39">
        <v>13050</v>
      </c>
      <c r="E78" s="42">
        <v>1.18</v>
      </c>
      <c r="F78" s="41">
        <f t="shared" ca="1" si="4"/>
        <v>15399</v>
      </c>
    </row>
    <row r="79" spans="1:6" ht="14.25" customHeight="1" x14ac:dyDescent="0.35">
      <c r="A79" s="39" t="s">
        <v>17639</v>
      </c>
      <c r="B79" s="40" t="str">
        <f t="shared" ca="1" si="5"/>
        <v>Tirafondos</v>
      </c>
      <c r="C79" s="72" t="str">
        <f>IFERROR(VLOOKUP("UD",'Informacion '!P:Q,2,FALSE),"")</f>
        <v>Unidad</v>
      </c>
      <c r="D79" s="39">
        <v>18000</v>
      </c>
      <c r="E79" s="42">
        <v>1.18</v>
      </c>
      <c r="F79" s="41">
        <f t="shared" ca="1" si="4"/>
        <v>21240</v>
      </c>
    </row>
    <row r="80" spans="1:6" ht="14.25" customHeight="1" x14ac:dyDescent="0.35">
      <c r="A80" s="39" t="s">
        <v>14508</v>
      </c>
      <c r="B80" s="40" t="str">
        <f ca="1">IFERROR(INDEX(UNSPSCDes,MATCH(INDIRECT(ADDRESS(ROW(),COLUMN()-1,4)),UNSPSCCode,0)),IF(INDIRECT(ADDRESS(ROW(),COLUMN()-1,4))="31161701","Tuercas de anclaje",""))</f>
        <v>Tuercas de anclaje</v>
      </c>
      <c r="C80" s="72" t="str">
        <f>IFERROR(VLOOKUP("UD",'Informacion '!P:Q,2,FALSE),"")</f>
        <v>Unidad</v>
      </c>
      <c r="D80" s="39">
        <v>2</v>
      </c>
      <c r="E80" s="42">
        <v>218.26</v>
      </c>
      <c r="F80" s="41">
        <f t="shared" ca="1" si="4"/>
        <v>436.52</v>
      </c>
    </row>
    <row r="81" spans="1:6" ht="14.25" customHeight="1" x14ac:dyDescent="0.35">
      <c r="A81" s="39" t="s">
        <v>14507</v>
      </c>
      <c r="B81" s="40" t="str">
        <f t="shared" ref="B81:B87" ca="1" si="6">IFERROR(INDEX(UNSPSCDes,MATCH(INDIRECT(ADDRESS(ROW(),COLUMN()-1,4)),UNSPSCCode,0)),IF(INDIRECT(ADDRESS(ROW(),COLUMN()-1,4))="31161711","Tuercas de ojo",""))</f>
        <v>Tuercas de ojo</v>
      </c>
      <c r="C81" s="72" t="str">
        <f>IFERROR(VLOOKUP("UD",'Informacion '!P:Q,2,FALSE),"")</f>
        <v>Unidad</v>
      </c>
      <c r="D81" s="39">
        <v>6</v>
      </c>
      <c r="E81" s="42">
        <v>139.12</v>
      </c>
      <c r="F81" s="41">
        <f t="shared" ca="1" si="4"/>
        <v>834.72</v>
      </c>
    </row>
    <row r="82" spans="1:6" ht="14.25" customHeight="1" x14ac:dyDescent="0.35">
      <c r="A82" s="39" t="s">
        <v>14507</v>
      </c>
      <c r="B82" s="40" t="str">
        <f t="shared" ca="1" si="6"/>
        <v>Tuercas de ojo</v>
      </c>
      <c r="C82" s="72" t="str">
        <f>IFERROR(VLOOKUP("UD",'Informacion '!P:Q,2,FALSE),"")</f>
        <v>Unidad</v>
      </c>
      <c r="D82" s="39">
        <v>6</v>
      </c>
      <c r="E82" s="42">
        <v>139.12</v>
      </c>
      <c r="F82" s="41">
        <f t="shared" ca="1" si="4"/>
        <v>834.72</v>
      </c>
    </row>
    <row r="83" spans="1:6" ht="14.25" customHeight="1" x14ac:dyDescent="0.35">
      <c r="A83" s="39" t="s">
        <v>14507</v>
      </c>
      <c r="B83" s="40" t="str">
        <f t="shared" ca="1" si="6"/>
        <v>Tuercas de ojo</v>
      </c>
      <c r="C83" s="72" t="str">
        <f>IFERROR(VLOOKUP("UD",'Informacion '!P:Q,2,FALSE),"")</f>
        <v>Unidad</v>
      </c>
      <c r="D83" s="39">
        <v>13</v>
      </c>
      <c r="E83" s="42">
        <v>139.12</v>
      </c>
      <c r="F83" s="41">
        <f t="shared" ca="1" si="4"/>
        <v>1808.56</v>
      </c>
    </row>
    <row r="84" spans="1:6" ht="14.25" customHeight="1" x14ac:dyDescent="0.35">
      <c r="A84" s="39" t="s">
        <v>14507</v>
      </c>
      <c r="B84" s="40" t="str">
        <f t="shared" ca="1" si="6"/>
        <v>Tuercas de ojo</v>
      </c>
      <c r="C84" s="72" t="str">
        <f>IFERROR(VLOOKUP("UD",'Informacion '!P:Q,2,FALSE),"")</f>
        <v>Unidad</v>
      </c>
      <c r="D84" s="39">
        <v>12</v>
      </c>
      <c r="E84" s="42">
        <v>218.26</v>
      </c>
      <c r="F84" s="41">
        <f t="shared" ca="1" si="4"/>
        <v>2619.12</v>
      </c>
    </row>
    <row r="85" spans="1:6" ht="14.25" customHeight="1" x14ac:dyDescent="0.35">
      <c r="A85" s="39" t="s">
        <v>14507</v>
      </c>
      <c r="B85" s="40" t="str">
        <f t="shared" ca="1" si="6"/>
        <v>Tuercas de ojo</v>
      </c>
      <c r="C85" s="72" t="str">
        <f>IFERROR(VLOOKUP("UD",'Informacion '!P:Q,2,FALSE),"")</f>
        <v>Unidad</v>
      </c>
      <c r="D85" s="39">
        <v>3</v>
      </c>
      <c r="E85" s="42">
        <v>139.12</v>
      </c>
      <c r="F85" s="41">
        <f t="shared" ca="1" si="4"/>
        <v>417.36</v>
      </c>
    </row>
    <row r="86" spans="1:6" ht="14.25" customHeight="1" x14ac:dyDescent="0.35">
      <c r="A86" s="39" t="s">
        <v>14507</v>
      </c>
      <c r="B86" s="40" t="str">
        <f t="shared" ca="1" si="6"/>
        <v>Tuercas de ojo</v>
      </c>
      <c r="C86" s="72" t="str">
        <f>IFERROR(VLOOKUP("UD",'Informacion '!P:Q,2,FALSE),"")</f>
        <v>Unidad</v>
      </c>
      <c r="D86" s="39">
        <v>14</v>
      </c>
      <c r="E86" s="42">
        <v>139.12</v>
      </c>
      <c r="F86" s="41">
        <f t="shared" ca="1" si="4"/>
        <v>1947.68</v>
      </c>
    </row>
    <row r="87" spans="1:6" ht="14.25" customHeight="1" x14ac:dyDescent="0.35">
      <c r="A87" s="39" t="s">
        <v>14507</v>
      </c>
      <c r="B87" s="40" t="str">
        <f t="shared" ca="1" si="6"/>
        <v>Tuercas de ojo</v>
      </c>
      <c r="C87" s="72" t="str">
        <f>IFERROR(VLOOKUP("UD",'Informacion '!P:Q,2,FALSE),"")</f>
        <v>Unidad</v>
      </c>
      <c r="D87" s="39">
        <v>10</v>
      </c>
      <c r="E87" s="42">
        <v>218.26</v>
      </c>
      <c r="F87" s="41">
        <f t="shared" ref="F87:F118" ca="1" si="7">INDIRECT(ADDRESS(ROW(),COLUMN()-2,4))*INDIRECT(ADDRESS(ROW(),COLUMN()-1,4))</f>
        <v>2182.6</v>
      </c>
    </row>
    <row r="88" spans="1:6" ht="14.25" customHeight="1" x14ac:dyDescent="0.35">
      <c r="A88" s="39" t="s">
        <v>10799</v>
      </c>
      <c r="B88" s="40" t="str">
        <f ca="1">IFERROR(INDEX(UNSPSCDes,MATCH(INDIRECT(ADDRESS(ROW(),COLUMN()-1,4)),UNSPSCCode,0)),IF(INDIRECT(ADDRESS(ROW(),COLUMN()-1,4))="31161730","Tuercas cuadradas",""))</f>
        <v>Tuercas cuadradas</v>
      </c>
      <c r="C88" s="72" t="str">
        <f>IFERROR(VLOOKUP("UD",'Informacion '!P:Q,2,FALSE),"")</f>
        <v>Unidad</v>
      </c>
      <c r="D88" s="39">
        <v>5</v>
      </c>
      <c r="E88" s="42">
        <v>42.92</v>
      </c>
      <c r="F88" s="41">
        <f t="shared" ca="1" si="7"/>
        <v>214.60000000000002</v>
      </c>
    </row>
    <row r="89" spans="1:6" ht="14.25" customHeight="1" x14ac:dyDescent="0.35">
      <c r="A89" s="39" t="s">
        <v>10799</v>
      </c>
      <c r="B89" s="40" t="str">
        <f ca="1">IFERROR(INDEX(UNSPSCDes,MATCH(INDIRECT(ADDRESS(ROW(),COLUMN()-1,4)),UNSPSCCode,0)),IF(INDIRECT(ADDRESS(ROW(),COLUMN()-1,4))="31161730","Tuercas cuadradas",""))</f>
        <v>Tuercas cuadradas</v>
      </c>
      <c r="C89" s="72" t="str">
        <f>IFERROR(VLOOKUP("UD",'Informacion '!P:Q,2,FALSE),"")</f>
        <v>Unidad</v>
      </c>
      <c r="D89" s="39">
        <v>1</v>
      </c>
      <c r="E89" s="42">
        <v>42.92</v>
      </c>
      <c r="F89" s="41">
        <f t="shared" ca="1" si="7"/>
        <v>42.92</v>
      </c>
    </row>
    <row r="90" spans="1:6" ht="14.25" customHeight="1" x14ac:dyDescent="0.35">
      <c r="A90" s="39" t="s">
        <v>10799</v>
      </c>
      <c r="B90" s="40" t="str">
        <f ca="1">IFERROR(INDEX(UNSPSCDes,MATCH(INDIRECT(ADDRESS(ROW(),COLUMN()-1,4)),UNSPSCCode,0)),IF(INDIRECT(ADDRESS(ROW(),COLUMN()-1,4))="31161730","Tuercas cuadradas",""))</f>
        <v>Tuercas cuadradas</v>
      </c>
      <c r="C90" s="72" t="str">
        <f>IFERROR(VLOOKUP("UD",'Informacion '!P:Q,2,FALSE),"")</f>
        <v>Unidad</v>
      </c>
      <c r="D90" s="39">
        <v>22</v>
      </c>
      <c r="E90" s="42">
        <v>42.92</v>
      </c>
      <c r="F90" s="41">
        <f t="shared" ca="1" si="7"/>
        <v>944.24</v>
      </c>
    </row>
    <row r="91" spans="1:6" ht="14.25" customHeight="1" x14ac:dyDescent="0.35">
      <c r="A91" s="39" t="s">
        <v>10799</v>
      </c>
      <c r="B91" s="40" t="str">
        <f ca="1">IFERROR(INDEX(UNSPSCDes,MATCH(INDIRECT(ADDRESS(ROW(),COLUMN()-1,4)),UNSPSCCode,0)),IF(INDIRECT(ADDRESS(ROW(),COLUMN()-1,4))="31161730","Tuercas cuadradas",""))</f>
        <v>Tuercas cuadradas</v>
      </c>
      <c r="C91" s="72" t="str">
        <f>IFERROR(VLOOKUP("UD",'Informacion '!P:Q,2,FALSE),"")</f>
        <v>Unidad</v>
      </c>
      <c r="D91" s="39">
        <v>2</v>
      </c>
      <c r="E91" s="42">
        <v>42.92</v>
      </c>
      <c r="F91" s="41">
        <f t="shared" ca="1" si="7"/>
        <v>85.84</v>
      </c>
    </row>
    <row r="92" spans="1:6" ht="14.25" customHeight="1" x14ac:dyDescent="0.35">
      <c r="A92" s="39" t="s">
        <v>10799</v>
      </c>
      <c r="B92" s="40" t="str">
        <f ca="1">IFERROR(INDEX(UNSPSCDes,MATCH(INDIRECT(ADDRESS(ROW(),COLUMN()-1,4)),UNSPSCCode,0)),IF(INDIRECT(ADDRESS(ROW(),COLUMN()-1,4))="31161730","Tuercas cuadradas",""))</f>
        <v>Tuercas cuadradas</v>
      </c>
      <c r="C92" s="72" t="str">
        <f>IFERROR(VLOOKUP("UD",'Informacion '!P:Q,2,FALSE),"")</f>
        <v>Unidad</v>
      </c>
      <c r="D92" s="39">
        <v>19</v>
      </c>
      <c r="E92" s="42">
        <v>42.92</v>
      </c>
      <c r="F92" s="41">
        <f t="shared" ca="1" si="7"/>
        <v>815.48</v>
      </c>
    </row>
    <row r="93" spans="1:6" ht="14.25" customHeight="1" x14ac:dyDescent="0.35">
      <c r="A93" s="39" t="s">
        <v>10971</v>
      </c>
      <c r="B93" s="40" t="str">
        <f t="shared" ref="B93:B104" ca="1" si="8">IFERROR(INDEX(UNSPSCDes,MATCH(INDIRECT(ADDRESS(ROW(),COLUMN()-1,4)),UNSPSCCode,0)),IF(INDIRECT(ADDRESS(ROW(),COLUMN()-1,4))="31161803","Arandelas de fijación",""))</f>
        <v>Arandelas de fijación</v>
      </c>
      <c r="C93" s="72" t="str">
        <f>IFERROR(VLOOKUP("UD",'Informacion '!P:Q,2,FALSE),"")</f>
        <v>Unidad</v>
      </c>
      <c r="D93" s="39">
        <v>42</v>
      </c>
      <c r="E93" s="42">
        <v>7.58</v>
      </c>
      <c r="F93" s="41">
        <f t="shared" ca="1" si="7"/>
        <v>318.36</v>
      </c>
    </row>
    <row r="94" spans="1:6" ht="14.25" customHeight="1" x14ac:dyDescent="0.35">
      <c r="A94" s="39" t="s">
        <v>10971</v>
      </c>
      <c r="B94" s="40" t="str">
        <f t="shared" ca="1" si="8"/>
        <v>Arandelas de fijación</v>
      </c>
      <c r="C94" s="72" t="str">
        <f>IFERROR(VLOOKUP("UD",'Informacion '!P:Q,2,FALSE),"")</f>
        <v>Unidad</v>
      </c>
      <c r="D94" s="39">
        <v>4</v>
      </c>
      <c r="E94" s="42">
        <v>34.21</v>
      </c>
      <c r="F94" s="41">
        <f t="shared" ca="1" si="7"/>
        <v>136.84</v>
      </c>
    </row>
    <row r="95" spans="1:6" ht="14.25" customHeight="1" x14ac:dyDescent="0.35">
      <c r="A95" s="39" t="s">
        <v>10971</v>
      </c>
      <c r="B95" s="40" t="str">
        <f t="shared" ca="1" si="8"/>
        <v>Arandelas de fijación</v>
      </c>
      <c r="C95" s="72" t="str">
        <f>IFERROR(VLOOKUP("UD",'Informacion '!P:Q,2,FALSE),"")</f>
        <v>Unidad</v>
      </c>
      <c r="D95" s="39">
        <v>2</v>
      </c>
      <c r="E95" s="42">
        <v>3.96</v>
      </c>
      <c r="F95" s="41">
        <f t="shared" ca="1" si="7"/>
        <v>7.92</v>
      </c>
    </row>
    <row r="96" spans="1:6" ht="14.25" customHeight="1" x14ac:dyDescent="0.35">
      <c r="A96" s="39" t="s">
        <v>10971</v>
      </c>
      <c r="B96" s="40" t="str">
        <f t="shared" ca="1" si="8"/>
        <v>Arandelas de fijación</v>
      </c>
      <c r="C96" s="72" t="str">
        <f>IFERROR(VLOOKUP("UD",'Informacion '!P:Q,2,FALSE),"")</f>
        <v>Unidad</v>
      </c>
      <c r="D96" s="39">
        <v>4</v>
      </c>
      <c r="E96" s="42">
        <v>7.58</v>
      </c>
      <c r="F96" s="41">
        <f t="shared" ca="1" si="7"/>
        <v>30.32</v>
      </c>
    </row>
    <row r="97" spans="1:6" ht="14.25" customHeight="1" x14ac:dyDescent="0.35">
      <c r="A97" s="39" t="s">
        <v>10971</v>
      </c>
      <c r="B97" s="40" t="str">
        <f t="shared" ca="1" si="8"/>
        <v>Arandelas de fijación</v>
      </c>
      <c r="C97" s="72" t="str">
        <f>IFERROR(VLOOKUP("UD",'Informacion '!P:Q,2,FALSE),"")</f>
        <v>Unidad</v>
      </c>
      <c r="D97" s="39">
        <v>106</v>
      </c>
      <c r="E97" s="42">
        <v>7.58</v>
      </c>
      <c r="F97" s="41">
        <f t="shared" ca="1" si="7"/>
        <v>803.48</v>
      </c>
    </row>
    <row r="98" spans="1:6" ht="14.25" customHeight="1" x14ac:dyDescent="0.35">
      <c r="A98" s="39" t="s">
        <v>10971</v>
      </c>
      <c r="B98" s="40" t="str">
        <f t="shared" ca="1" si="8"/>
        <v>Arandelas de fijación</v>
      </c>
      <c r="C98" s="72" t="str">
        <f>IFERROR(VLOOKUP("UD",'Informacion '!P:Q,2,FALSE),"")</f>
        <v>Unidad</v>
      </c>
      <c r="D98" s="39">
        <v>9</v>
      </c>
      <c r="E98" s="42">
        <v>13.47</v>
      </c>
      <c r="F98" s="41">
        <f t="shared" ca="1" si="7"/>
        <v>121.23</v>
      </c>
    </row>
    <row r="99" spans="1:6" ht="14.25" customHeight="1" x14ac:dyDescent="0.35">
      <c r="A99" s="39" t="s">
        <v>10971</v>
      </c>
      <c r="B99" s="40" t="str">
        <f t="shared" ca="1" si="8"/>
        <v>Arandelas de fijación</v>
      </c>
      <c r="C99" s="72" t="str">
        <f>IFERROR(VLOOKUP("UD",'Informacion '!P:Q,2,FALSE),"")</f>
        <v>Unidad</v>
      </c>
      <c r="D99" s="39">
        <v>87</v>
      </c>
      <c r="E99" s="42">
        <v>7.58</v>
      </c>
      <c r="F99" s="41">
        <f t="shared" ca="1" si="7"/>
        <v>659.46</v>
      </c>
    </row>
    <row r="100" spans="1:6" ht="14.25" customHeight="1" x14ac:dyDescent="0.35">
      <c r="A100" s="39" t="s">
        <v>10971</v>
      </c>
      <c r="B100" s="40" t="str">
        <f t="shared" ca="1" si="8"/>
        <v>Arandelas de fijación</v>
      </c>
      <c r="C100" s="72" t="str">
        <f>IFERROR(VLOOKUP("UD",'Informacion '!P:Q,2,FALSE),"")</f>
        <v>Unidad</v>
      </c>
      <c r="D100" s="39">
        <v>2</v>
      </c>
      <c r="E100" s="42">
        <v>34.21</v>
      </c>
      <c r="F100" s="41">
        <f t="shared" ca="1" si="7"/>
        <v>68.42</v>
      </c>
    </row>
    <row r="101" spans="1:6" ht="14.25" customHeight="1" x14ac:dyDescent="0.35">
      <c r="A101" s="39" t="s">
        <v>10971</v>
      </c>
      <c r="B101" s="40" t="str">
        <f t="shared" ca="1" si="8"/>
        <v>Arandelas de fijación</v>
      </c>
      <c r="C101" s="72" t="str">
        <f>IFERROR(VLOOKUP("UD",'Informacion '!P:Q,2,FALSE),"")</f>
        <v>Unidad</v>
      </c>
      <c r="D101" s="39">
        <v>3</v>
      </c>
      <c r="E101" s="42">
        <v>13.47</v>
      </c>
      <c r="F101" s="41">
        <f t="shared" ca="1" si="7"/>
        <v>40.410000000000004</v>
      </c>
    </row>
    <row r="102" spans="1:6" ht="14.25" customHeight="1" x14ac:dyDescent="0.35">
      <c r="A102" s="39" t="s">
        <v>10971</v>
      </c>
      <c r="B102" s="40" t="str">
        <f t="shared" ca="1" si="8"/>
        <v>Arandelas de fijación</v>
      </c>
      <c r="C102" s="72" t="str">
        <f>IFERROR(VLOOKUP("UD",'Informacion '!P:Q,2,FALSE),"")</f>
        <v>Unidad</v>
      </c>
      <c r="D102" s="39">
        <v>8</v>
      </c>
      <c r="E102" s="42">
        <v>3.96</v>
      </c>
      <c r="F102" s="41">
        <f t="shared" ca="1" si="7"/>
        <v>31.68</v>
      </c>
    </row>
    <row r="103" spans="1:6" ht="14.25" customHeight="1" x14ac:dyDescent="0.35">
      <c r="A103" s="39" t="s">
        <v>10971</v>
      </c>
      <c r="B103" s="40" t="str">
        <f t="shared" ca="1" si="8"/>
        <v>Arandelas de fijación</v>
      </c>
      <c r="C103" s="72" t="str">
        <f>IFERROR(VLOOKUP("UD",'Informacion '!P:Q,2,FALSE),"")</f>
        <v>Unidad</v>
      </c>
      <c r="D103" s="39">
        <v>91</v>
      </c>
      <c r="E103" s="42">
        <v>7.58</v>
      </c>
      <c r="F103" s="41">
        <f t="shared" ca="1" si="7"/>
        <v>689.78</v>
      </c>
    </row>
    <row r="104" spans="1:6" ht="14.25" customHeight="1" x14ac:dyDescent="0.35">
      <c r="A104" s="39" t="s">
        <v>10971</v>
      </c>
      <c r="B104" s="40" t="str">
        <f t="shared" ca="1" si="8"/>
        <v>Arandelas de fijación</v>
      </c>
      <c r="C104" s="72" t="str">
        <f>IFERROR(VLOOKUP("UD",'Informacion '!P:Q,2,FALSE),"")</f>
        <v>Unidad</v>
      </c>
      <c r="D104" s="39">
        <v>10</v>
      </c>
      <c r="E104" s="42">
        <v>7.58</v>
      </c>
      <c r="F104" s="41">
        <f t="shared" ca="1" si="7"/>
        <v>75.8</v>
      </c>
    </row>
    <row r="105" spans="1:6" ht="14.25" customHeight="1" x14ac:dyDescent="0.35">
      <c r="A105" s="39" t="s">
        <v>5706</v>
      </c>
      <c r="B105" s="40" t="str">
        <f t="shared" ref="B105:B122" ca="1" si="9">IFERROR(INDEX(UNSPSCDes,MATCH(INDIRECT(ADDRESS(ROW(),COLUMN()-1,4)),UNSPSCCode,0)),IF(INDIRECT(ADDRESS(ROW(),COLUMN()-1,4))="31161812","Arandelas cuadradas",""))</f>
        <v>Arandelas cuadradas</v>
      </c>
      <c r="C105" s="72" t="str">
        <f>IFERROR(VLOOKUP("UD",'Informacion '!P:Q,2,FALSE),"")</f>
        <v>Unidad</v>
      </c>
      <c r="D105" s="39">
        <v>32</v>
      </c>
      <c r="E105" s="42">
        <v>188.9</v>
      </c>
      <c r="F105" s="41">
        <f t="shared" ca="1" si="7"/>
        <v>6044.8</v>
      </c>
    </row>
    <row r="106" spans="1:6" ht="14.25" customHeight="1" x14ac:dyDescent="0.35">
      <c r="A106" s="39" t="s">
        <v>5706</v>
      </c>
      <c r="B106" s="40" t="str">
        <f t="shared" ca="1" si="9"/>
        <v>Arandelas cuadradas</v>
      </c>
      <c r="C106" s="72" t="str">
        <f>IFERROR(VLOOKUP("UD",'Informacion '!P:Q,2,FALSE),"")</f>
        <v>Unidad</v>
      </c>
      <c r="D106" s="39">
        <v>2</v>
      </c>
      <c r="E106" s="42">
        <v>68.989999999999995</v>
      </c>
      <c r="F106" s="41">
        <f t="shared" ca="1" si="7"/>
        <v>137.97999999999999</v>
      </c>
    </row>
    <row r="107" spans="1:6" ht="14.25" customHeight="1" x14ac:dyDescent="0.35">
      <c r="A107" s="39" t="s">
        <v>5706</v>
      </c>
      <c r="B107" s="40" t="str">
        <f t="shared" ca="1" si="9"/>
        <v>Arandelas cuadradas</v>
      </c>
      <c r="C107" s="72" t="str">
        <f>IFERROR(VLOOKUP("UD",'Informacion '!P:Q,2,FALSE),"")</f>
        <v>Unidad</v>
      </c>
      <c r="D107" s="39">
        <v>4</v>
      </c>
      <c r="E107" s="42">
        <v>188.9</v>
      </c>
      <c r="F107" s="41">
        <f t="shared" ca="1" si="7"/>
        <v>755.6</v>
      </c>
    </row>
    <row r="108" spans="1:6" ht="14.25" customHeight="1" x14ac:dyDescent="0.35">
      <c r="A108" s="39" t="s">
        <v>5706</v>
      </c>
      <c r="B108" s="40" t="str">
        <f t="shared" ca="1" si="9"/>
        <v>Arandelas cuadradas</v>
      </c>
      <c r="C108" s="72" t="str">
        <f>IFERROR(VLOOKUP("UD",'Informacion '!P:Q,2,FALSE),"")</f>
        <v>Unidad</v>
      </c>
      <c r="D108" s="39">
        <v>106</v>
      </c>
      <c r="E108" s="42">
        <v>188.9</v>
      </c>
      <c r="F108" s="41">
        <f t="shared" ca="1" si="7"/>
        <v>20023.400000000001</v>
      </c>
    </row>
    <row r="109" spans="1:6" ht="14.25" customHeight="1" x14ac:dyDescent="0.35">
      <c r="A109" s="39" t="s">
        <v>5706</v>
      </c>
      <c r="B109" s="40" t="str">
        <f t="shared" ca="1" si="9"/>
        <v>Arandelas cuadradas</v>
      </c>
      <c r="C109" s="72" t="str">
        <f>IFERROR(VLOOKUP("UD",'Informacion '!P:Q,2,FALSE),"")</f>
        <v>Unidad</v>
      </c>
      <c r="D109" s="39">
        <v>49</v>
      </c>
      <c r="E109" s="42">
        <v>188.9</v>
      </c>
      <c r="F109" s="41">
        <f t="shared" ca="1" si="7"/>
        <v>9256.1</v>
      </c>
    </row>
    <row r="110" spans="1:6" ht="14.25" customHeight="1" x14ac:dyDescent="0.35">
      <c r="A110" s="39" t="s">
        <v>5706</v>
      </c>
      <c r="B110" s="40" t="str">
        <f t="shared" ca="1" si="9"/>
        <v>Arandelas cuadradas</v>
      </c>
      <c r="C110" s="72" t="str">
        <f>IFERROR(VLOOKUP("UD",'Informacion '!P:Q,2,FALSE),"")</f>
        <v>Unidad</v>
      </c>
      <c r="D110" s="39">
        <v>12</v>
      </c>
      <c r="E110" s="42">
        <v>68.989999999999995</v>
      </c>
      <c r="F110" s="41">
        <f t="shared" ca="1" si="7"/>
        <v>827.87999999999988</v>
      </c>
    </row>
    <row r="111" spans="1:6" ht="14.25" customHeight="1" x14ac:dyDescent="0.35">
      <c r="A111" s="39" t="s">
        <v>5706</v>
      </c>
      <c r="B111" s="40" t="str">
        <f t="shared" ca="1" si="9"/>
        <v>Arandelas cuadradas</v>
      </c>
      <c r="C111" s="72" t="str">
        <f>IFERROR(VLOOKUP("UD",'Informacion '!P:Q,2,FALSE),"")</f>
        <v>Unidad</v>
      </c>
      <c r="D111" s="39">
        <v>43</v>
      </c>
      <c r="E111" s="42">
        <v>188.9</v>
      </c>
      <c r="F111" s="41">
        <f t="shared" ca="1" si="7"/>
        <v>8122.7</v>
      </c>
    </row>
    <row r="112" spans="1:6" ht="14.25" customHeight="1" x14ac:dyDescent="0.35">
      <c r="A112" s="39" t="s">
        <v>5706</v>
      </c>
      <c r="B112" s="40" t="str">
        <f t="shared" ca="1" si="9"/>
        <v>Arandelas cuadradas</v>
      </c>
      <c r="C112" s="72" t="str">
        <f>IFERROR(VLOOKUP("UD",'Informacion '!P:Q,2,FALSE),"")</f>
        <v>Unidad</v>
      </c>
      <c r="D112" s="39">
        <v>46</v>
      </c>
      <c r="E112" s="42">
        <v>188.9</v>
      </c>
      <c r="F112" s="41">
        <f t="shared" ca="1" si="7"/>
        <v>8689.4</v>
      </c>
    </row>
    <row r="113" spans="1:6" ht="14.25" customHeight="1" x14ac:dyDescent="0.35">
      <c r="A113" s="39" t="s">
        <v>5706</v>
      </c>
      <c r="B113" s="40" t="str">
        <f t="shared" ca="1" si="9"/>
        <v>Arandelas cuadradas</v>
      </c>
      <c r="C113" s="72" t="str">
        <f>IFERROR(VLOOKUP("UD",'Informacion '!P:Q,2,FALSE),"")</f>
        <v>Unidad</v>
      </c>
      <c r="D113" s="39">
        <v>10</v>
      </c>
      <c r="E113" s="42">
        <v>68.989999999999995</v>
      </c>
      <c r="F113" s="41">
        <f t="shared" ca="1" si="7"/>
        <v>689.9</v>
      </c>
    </row>
    <row r="114" spans="1:6" ht="14.25" customHeight="1" x14ac:dyDescent="0.35">
      <c r="A114" s="39" t="s">
        <v>5706</v>
      </c>
      <c r="B114" s="40" t="str">
        <f t="shared" ca="1" si="9"/>
        <v>Arandelas cuadradas</v>
      </c>
      <c r="C114" s="72" t="str">
        <f>IFERROR(VLOOKUP("UD",'Informacion '!P:Q,2,FALSE),"")</f>
        <v>Unidad</v>
      </c>
      <c r="D114" s="39">
        <v>10</v>
      </c>
      <c r="E114" s="42">
        <v>188.9</v>
      </c>
      <c r="F114" s="41">
        <f t="shared" ca="1" si="7"/>
        <v>1889</v>
      </c>
    </row>
    <row r="115" spans="1:6" ht="14.25" customHeight="1" x14ac:dyDescent="0.35">
      <c r="A115" s="39" t="s">
        <v>5706</v>
      </c>
      <c r="B115" s="40" t="str">
        <f t="shared" ca="1" si="9"/>
        <v>Arandelas cuadradas</v>
      </c>
      <c r="C115" s="72" t="str">
        <f>IFERROR(VLOOKUP("UD",'Informacion '!P:Q,2,FALSE),"")</f>
        <v>Unidad</v>
      </c>
      <c r="D115" s="39">
        <v>10</v>
      </c>
      <c r="E115" s="42">
        <v>5</v>
      </c>
      <c r="F115" s="41">
        <f t="shared" ca="1" si="7"/>
        <v>50</v>
      </c>
    </row>
    <row r="116" spans="1:6" ht="14.25" customHeight="1" x14ac:dyDescent="0.35">
      <c r="A116" s="39" t="s">
        <v>5706</v>
      </c>
      <c r="B116" s="40" t="str">
        <f t="shared" ca="1" si="9"/>
        <v>Arandelas cuadradas</v>
      </c>
      <c r="C116" s="72" t="str">
        <f>IFERROR(VLOOKUP("UD",'Informacion '!P:Q,2,FALSE),"")</f>
        <v>Unidad</v>
      </c>
      <c r="D116" s="39">
        <v>10</v>
      </c>
      <c r="E116" s="42">
        <v>5</v>
      </c>
      <c r="F116" s="41">
        <f t="shared" ca="1" si="7"/>
        <v>50</v>
      </c>
    </row>
    <row r="117" spans="1:6" ht="14.25" customHeight="1" x14ac:dyDescent="0.35">
      <c r="A117" s="39" t="s">
        <v>5706</v>
      </c>
      <c r="B117" s="40" t="str">
        <f t="shared" ca="1" si="9"/>
        <v>Arandelas cuadradas</v>
      </c>
      <c r="C117" s="72" t="str">
        <f>IFERROR(VLOOKUP("UD",'Informacion '!P:Q,2,FALSE),"")</f>
        <v>Unidad</v>
      </c>
      <c r="D117" s="39">
        <v>10</v>
      </c>
      <c r="E117" s="42">
        <v>5</v>
      </c>
      <c r="F117" s="41">
        <f t="shared" ca="1" si="7"/>
        <v>50</v>
      </c>
    </row>
    <row r="118" spans="1:6" ht="14.25" customHeight="1" x14ac:dyDescent="0.35">
      <c r="A118" s="39" t="s">
        <v>5706</v>
      </c>
      <c r="B118" s="40" t="str">
        <f t="shared" ca="1" si="9"/>
        <v>Arandelas cuadradas</v>
      </c>
      <c r="C118" s="72" t="str">
        <f>IFERROR(VLOOKUP("UD",'Informacion '!P:Q,2,FALSE),"")</f>
        <v>Unidad</v>
      </c>
      <c r="D118" s="39">
        <v>400</v>
      </c>
      <c r="E118" s="42">
        <v>20</v>
      </c>
      <c r="F118" s="41">
        <f t="shared" ca="1" si="7"/>
        <v>8000</v>
      </c>
    </row>
    <row r="119" spans="1:6" ht="14.25" customHeight="1" x14ac:dyDescent="0.35">
      <c r="A119" s="39" t="s">
        <v>5706</v>
      </c>
      <c r="B119" s="40" t="str">
        <f t="shared" ca="1" si="9"/>
        <v>Arandelas cuadradas</v>
      </c>
      <c r="C119" s="72" t="str">
        <f>IFERROR(VLOOKUP("UD",'Informacion '!P:Q,2,FALSE),"")</f>
        <v>Unidad</v>
      </c>
      <c r="D119" s="39">
        <v>400</v>
      </c>
      <c r="E119" s="42">
        <v>20</v>
      </c>
      <c r="F119" s="41">
        <f t="shared" ref="F119:F150" ca="1" si="10">INDIRECT(ADDRESS(ROW(),COLUMN()-2,4))*INDIRECT(ADDRESS(ROW(),COLUMN()-1,4))</f>
        <v>8000</v>
      </c>
    </row>
    <row r="120" spans="1:6" ht="14.25" customHeight="1" x14ac:dyDescent="0.35">
      <c r="A120" s="39" t="s">
        <v>5706</v>
      </c>
      <c r="B120" s="40" t="str">
        <f t="shared" ca="1" si="9"/>
        <v>Arandelas cuadradas</v>
      </c>
      <c r="C120" s="72" t="str">
        <f>IFERROR(VLOOKUP("UD",'Informacion '!P:Q,2,FALSE),"")</f>
        <v>Unidad</v>
      </c>
      <c r="D120" s="39">
        <v>400</v>
      </c>
      <c r="E120" s="42">
        <v>20</v>
      </c>
      <c r="F120" s="41">
        <f t="shared" ca="1" si="10"/>
        <v>8000</v>
      </c>
    </row>
    <row r="121" spans="1:6" ht="14.25" customHeight="1" x14ac:dyDescent="0.35">
      <c r="A121" s="39" t="s">
        <v>5706</v>
      </c>
      <c r="B121" s="40" t="str">
        <f t="shared" ca="1" si="9"/>
        <v>Arandelas cuadradas</v>
      </c>
      <c r="C121" s="72" t="str">
        <f>IFERROR(VLOOKUP("UD",'Informacion '!P:Q,2,FALSE),"")</f>
        <v>Unidad</v>
      </c>
      <c r="D121" s="39">
        <v>580</v>
      </c>
      <c r="E121" s="42">
        <v>20</v>
      </c>
      <c r="F121" s="41">
        <f t="shared" ca="1" si="10"/>
        <v>11600</v>
      </c>
    </row>
    <row r="122" spans="1:6" ht="14.25" customHeight="1" x14ac:dyDescent="0.35">
      <c r="A122" s="39" t="s">
        <v>5706</v>
      </c>
      <c r="B122" s="40" t="str">
        <f t="shared" ca="1" si="9"/>
        <v>Arandelas cuadradas</v>
      </c>
      <c r="C122" s="72" t="str">
        <f>IFERROR(VLOOKUP("UD",'Informacion '!P:Q,2,FALSE),"")</f>
        <v>Unidad</v>
      </c>
      <c r="D122" s="39">
        <v>800</v>
      </c>
      <c r="E122" s="42">
        <v>20</v>
      </c>
      <c r="F122" s="41">
        <f t="shared" ca="1" si="10"/>
        <v>16000</v>
      </c>
    </row>
    <row r="123" spans="1:6" ht="14.25" customHeight="1" x14ac:dyDescent="0.35">
      <c r="A123" s="39" t="s">
        <v>14035</v>
      </c>
      <c r="B123" s="40" t="str">
        <f ca="1">IFERROR(INDEX(UNSPSCDes,MATCH(INDIRECT(ADDRESS(ROW(),COLUMN()-1,4)),UNSPSCCode,0)),IF(INDIRECT(ADDRESS(ROW(),COLUMN()-1,4))="31161818","Arandelas de sellado",""))</f>
        <v>Arandelas de sellado</v>
      </c>
      <c r="C123" s="72" t="str">
        <f>IFERROR(VLOOKUP("UD",'Informacion '!P:Q,2,FALSE),"")</f>
        <v>Unidad</v>
      </c>
      <c r="D123" s="39">
        <v>80</v>
      </c>
      <c r="E123" s="42">
        <v>23.38</v>
      </c>
      <c r="F123" s="41">
        <f t="shared" ca="1" si="10"/>
        <v>1870.3999999999999</v>
      </c>
    </row>
    <row r="124" spans="1:6" ht="14.25" customHeight="1" x14ac:dyDescent="0.35">
      <c r="A124" s="39" t="s">
        <v>14035</v>
      </c>
      <c r="B124" s="40" t="str">
        <f ca="1">IFERROR(INDEX(UNSPSCDes,MATCH(INDIRECT(ADDRESS(ROW(),COLUMN()-1,4)),UNSPSCCode,0)),IF(INDIRECT(ADDRESS(ROW(),COLUMN()-1,4))="31161818","Arandelas de sellado",""))</f>
        <v>Arandelas de sellado</v>
      </c>
      <c r="C124" s="72" t="str">
        <f>IFERROR(VLOOKUP("UD",'Informacion '!P:Q,2,FALSE),"")</f>
        <v>Unidad</v>
      </c>
      <c r="D124" s="39">
        <v>100</v>
      </c>
      <c r="E124" s="42">
        <v>32.35</v>
      </c>
      <c r="F124" s="41">
        <f t="shared" ca="1" si="10"/>
        <v>3235</v>
      </c>
    </row>
    <row r="125" spans="1:6" ht="14.25" customHeight="1" x14ac:dyDescent="0.35">
      <c r="A125" s="39" t="s">
        <v>14035</v>
      </c>
      <c r="B125" s="40" t="str">
        <f ca="1">IFERROR(INDEX(UNSPSCDes,MATCH(INDIRECT(ADDRESS(ROW(),COLUMN()-1,4)),UNSPSCCode,0)),IF(INDIRECT(ADDRESS(ROW(),COLUMN()-1,4))="31161818","Arandelas de sellado",""))</f>
        <v>Arandelas de sellado</v>
      </c>
      <c r="C125" s="72" t="str">
        <f>IFERROR(VLOOKUP("UD",'Informacion '!P:Q,2,FALSE),"")</f>
        <v>Unidad</v>
      </c>
      <c r="D125" s="39">
        <v>100</v>
      </c>
      <c r="E125" s="42">
        <v>43.92</v>
      </c>
      <c r="F125" s="41">
        <f t="shared" ca="1" si="10"/>
        <v>4392</v>
      </c>
    </row>
    <row r="126" spans="1:6" ht="14.25" customHeight="1" x14ac:dyDescent="0.35">
      <c r="A126" s="39" t="s">
        <v>14035</v>
      </c>
      <c r="B126" s="40" t="str">
        <f ca="1">IFERROR(INDEX(UNSPSCDes,MATCH(INDIRECT(ADDRESS(ROW(),COLUMN()-1,4)),UNSPSCCode,0)),IF(INDIRECT(ADDRESS(ROW(),COLUMN()-1,4))="31161818","Arandelas de sellado",""))</f>
        <v>Arandelas de sellado</v>
      </c>
      <c r="C126" s="72" t="str">
        <f>IFERROR(VLOOKUP("UD",'Informacion '!P:Q,2,FALSE),"")</f>
        <v>Unidad</v>
      </c>
      <c r="D126" s="39">
        <v>24</v>
      </c>
      <c r="E126" s="42">
        <v>135.5</v>
      </c>
      <c r="F126" s="41">
        <f t="shared" ca="1" si="10"/>
        <v>3252</v>
      </c>
    </row>
    <row r="127" spans="1:6" ht="14.25" customHeight="1" x14ac:dyDescent="0.35">
      <c r="A127" s="39" t="s">
        <v>14035</v>
      </c>
      <c r="B127" s="40" t="str">
        <f ca="1">IFERROR(INDEX(UNSPSCDes,MATCH(INDIRECT(ADDRESS(ROW(),COLUMN()-1,4)),UNSPSCCode,0)),IF(INDIRECT(ADDRESS(ROW(),COLUMN()-1,4))="31161818","Arandelas de sellado",""))</f>
        <v>Arandelas de sellado</v>
      </c>
      <c r="C127" s="72" t="str">
        <f>IFERROR(VLOOKUP("UD",'Informacion '!P:Q,2,FALSE),"")</f>
        <v>Unidad</v>
      </c>
      <c r="D127" s="39">
        <v>24</v>
      </c>
      <c r="E127" s="42">
        <v>501.48</v>
      </c>
      <c r="F127" s="41">
        <f t="shared" ca="1" si="10"/>
        <v>12035.52</v>
      </c>
    </row>
    <row r="128" spans="1:6" ht="14.25" customHeight="1" x14ac:dyDescent="0.35">
      <c r="A128" s="39" t="s">
        <v>18590</v>
      </c>
      <c r="B128" s="40" t="str">
        <f ca="1">IFERROR(INDEX(UNSPSCDes,MATCH(INDIRECT(ADDRESS(ROW(),COLUMN()-1,4)),UNSPSCCode,0)),IF(INDIRECT(ADDRESS(ROW(),COLUMN()-1,4))="31162101","Anclajes de concreto",""))</f>
        <v>Anclajes de concreto</v>
      </c>
      <c r="C128" s="72" t="str">
        <f>IFERROR(VLOOKUP("UD",'Informacion '!P:Q,2,FALSE),"")</f>
        <v>Unidad</v>
      </c>
      <c r="D128" s="39">
        <v>2</v>
      </c>
      <c r="E128" s="42">
        <v>465</v>
      </c>
      <c r="F128" s="41">
        <f t="shared" ca="1" si="10"/>
        <v>930</v>
      </c>
    </row>
    <row r="129" spans="1:6" ht="14.25" customHeight="1" x14ac:dyDescent="0.35">
      <c r="A129" s="39" t="s">
        <v>18590</v>
      </c>
      <c r="B129" s="40" t="str">
        <f ca="1">IFERROR(INDEX(UNSPSCDes,MATCH(INDIRECT(ADDRESS(ROW(),COLUMN()-1,4)),UNSPSCCode,0)),IF(INDIRECT(ADDRESS(ROW(),COLUMN()-1,4))="31162101","Anclajes de concreto",""))</f>
        <v>Anclajes de concreto</v>
      </c>
      <c r="C129" s="72" t="str">
        <f>IFERROR(VLOOKUP("UD",'Informacion '!P:Q,2,FALSE),"")</f>
        <v>Unidad</v>
      </c>
      <c r="D129" s="39">
        <v>12</v>
      </c>
      <c r="E129" s="42">
        <v>465</v>
      </c>
      <c r="F129" s="41">
        <f t="shared" ca="1" si="10"/>
        <v>5580</v>
      </c>
    </row>
    <row r="130" spans="1:6" ht="14.25" customHeight="1" x14ac:dyDescent="0.35">
      <c r="A130" s="39" t="s">
        <v>18590</v>
      </c>
      <c r="B130" s="40" t="str">
        <f ca="1">IFERROR(INDEX(UNSPSCDes,MATCH(INDIRECT(ADDRESS(ROW(),COLUMN()-1,4)),UNSPSCCode,0)),IF(INDIRECT(ADDRESS(ROW(),COLUMN()-1,4))="31162101","Anclajes de concreto",""))</f>
        <v>Anclajes de concreto</v>
      </c>
      <c r="C130" s="72" t="str">
        <f>IFERROR(VLOOKUP("UD",'Informacion '!P:Q,2,FALSE),"")</f>
        <v>Unidad</v>
      </c>
      <c r="D130" s="39">
        <v>10</v>
      </c>
      <c r="E130" s="42">
        <v>465</v>
      </c>
      <c r="F130" s="41">
        <f t="shared" ca="1" si="10"/>
        <v>4650</v>
      </c>
    </row>
    <row r="131" spans="1:6" ht="14.25" customHeight="1" x14ac:dyDescent="0.35">
      <c r="A131" s="39" t="s">
        <v>5244</v>
      </c>
      <c r="B131" s="40" t="str">
        <f t="shared" ref="B131:B140" ca="1" si="11">IFERROR(INDEX(UNSPSCDes,MATCH(INDIRECT(ADDRESS(ROW(),COLUMN()-1,4)),UNSPSCCode,0)),IF(INDIRECT(ADDRESS(ROW(),COLUMN()-1,4))="31162305","Abrazaderas de montaje",""))</f>
        <v>Abrazaderas de montaje</v>
      </c>
      <c r="C131" s="72" t="str">
        <f>IFERROR(VLOOKUP("UD",'Informacion '!P:Q,2,FALSE),"")</f>
        <v>Unidad</v>
      </c>
      <c r="D131" s="39">
        <v>300</v>
      </c>
      <c r="E131" s="42">
        <v>8.94</v>
      </c>
      <c r="F131" s="41">
        <f t="shared" ca="1" si="10"/>
        <v>2682</v>
      </c>
    </row>
    <row r="132" spans="1:6" ht="14.25" customHeight="1" x14ac:dyDescent="0.35">
      <c r="A132" s="39" t="s">
        <v>5244</v>
      </c>
      <c r="B132" s="40" t="str">
        <f t="shared" ca="1" si="11"/>
        <v>Abrazaderas de montaje</v>
      </c>
      <c r="C132" s="72" t="str">
        <f>IFERROR(VLOOKUP("UD",'Informacion '!P:Q,2,FALSE),"")</f>
        <v>Unidad</v>
      </c>
      <c r="D132" s="39">
        <v>1250</v>
      </c>
      <c r="E132" s="42">
        <v>8.94</v>
      </c>
      <c r="F132" s="41">
        <f t="shared" ca="1" si="10"/>
        <v>11175</v>
      </c>
    </row>
    <row r="133" spans="1:6" ht="14.25" customHeight="1" x14ac:dyDescent="0.35">
      <c r="A133" s="39" t="s">
        <v>5244</v>
      </c>
      <c r="B133" s="40" t="str">
        <f t="shared" ca="1" si="11"/>
        <v>Abrazaderas de montaje</v>
      </c>
      <c r="C133" s="72" t="str">
        <f>IFERROR(VLOOKUP("UD",'Informacion '!P:Q,2,FALSE),"")</f>
        <v>Unidad</v>
      </c>
      <c r="D133" s="39">
        <v>20</v>
      </c>
      <c r="E133" s="42">
        <v>4.5999999999999996</v>
      </c>
      <c r="F133" s="41">
        <f t="shared" ca="1" si="10"/>
        <v>92</v>
      </c>
    </row>
    <row r="134" spans="1:6" ht="14.25" customHeight="1" x14ac:dyDescent="0.35">
      <c r="A134" s="39" t="s">
        <v>5244</v>
      </c>
      <c r="B134" s="40" t="str">
        <f t="shared" ca="1" si="11"/>
        <v>Abrazaderas de montaje</v>
      </c>
      <c r="C134" s="72" t="str">
        <f>IFERROR(VLOOKUP("UD",'Informacion '!P:Q,2,FALSE),"")</f>
        <v>Unidad</v>
      </c>
      <c r="D134" s="39">
        <v>20</v>
      </c>
      <c r="E134" s="42">
        <v>4.5999999999999996</v>
      </c>
      <c r="F134" s="41">
        <f t="shared" ca="1" si="10"/>
        <v>92</v>
      </c>
    </row>
    <row r="135" spans="1:6" ht="14.25" customHeight="1" x14ac:dyDescent="0.35">
      <c r="A135" s="39" t="s">
        <v>5244</v>
      </c>
      <c r="B135" s="40" t="str">
        <f t="shared" ca="1" si="11"/>
        <v>Abrazaderas de montaje</v>
      </c>
      <c r="C135" s="72" t="str">
        <f>IFERROR(VLOOKUP("UD",'Informacion '!P:Q,2,FALSE),"")</f>
        <v>Unidad</v>
      </c>
      <c r="D135" s="39">
        <v>20</v>
      </c>
      <c r="E135" s="42">
        <v>4.5999999999999996</v>
      </c>
      <c r="F135" s="41">
        <f t="shared" ca="1" si="10"/>
        <v>92</v>
      </c>
    </row>
    <row r="136" spans="1:6" ht="14.25" customHeight="1" x14ac:dyDescent="0.35">
      <c r="A136" s="39" t="s">
        <v>5244</v>
      </c>
      <c r="B136" s="40" t="str">
        <f t="shared" ca="1" si="11"/>
        <v>Abrazaderas de montaje</v>
      </c>
      <c r="C136" s="72" t="str">
        <f>IFERROR(VLOOKUP("UD",'Informacion '!P:Q,2,FALSE),"")</f>
        <v>Unidad</v>
      </c>
      <c r="D136" s="39">
        <v>4000</v>
      </c>
      <c r="E136" s="42">
        <v>3.89</v>
      </c>
      <c r="F136" s="41">
        <f t="shared" ca="1" si="10"/>
        <v>15560</v>
      </c>
    </row>
    <row r="137" spans="1:6" ht="14.25" customHeight="1" x14ac:dyDescent="0.35">
      <c r="A137" s="39" t="s">
        <v>5244</v>
      </c>
      <c r="B137" s="40" t="str">
        <f t="shared" ca="1" si="11"/>
        <v>Abrazaderas de montaje</v>
      </c>
      <c r="C137" s="72" t="str">
        <f>IFERROR(VLOOKUP("UD",'Informacion '!P:Q,2,FALSE),"")</f>
        <v>Unidad</v>
      </c>
      <c r="D137" s="39">
        <v>4000</v>
      </c>
      <c r="E137" s="42">
        <v>3.89</v>
      </c>
      <c r="F137" s="41">
        <f t="shared" ca="1" si="10"/>
        <v>15560</v>
      </c>
    </row>
    <row r="138" spans="1:6" ht="14.25" customHeight="1" x14ac:dyDescent="0.35">
      <c r="A138" s="39" t="s">
        <v>5244</v>
      </c>
      <c r="B138" s="40" t="str">
        <f t="shared" ca="1" si="11"/>
        <v>Abrazaderas de montaje</v>
      </c>
      <c r="C138" s="72" t="str">
        <f>IFERROR(VLOOKUP("UD",'Informacion '!P:Q,2,FALSE),"")</f>
        <v>Unidad</v>
      </c>
      <c r="D138" s="39">
        <v>4000</v>
      </c>
      <c r="E138" s="42">
        <v>3.89</v>
      </c>
      <c r="F138" s="41">
        <f t="shared" ca="1" si="10"/>
        <v>15560</v>
      </c>
    </row>
    <row r="139" spans="1:6" ht="14.25" customHeight="1" x14ac:dyDescent="0.35">
      <c r="A139" s="39" t="s">
        <v>5244</v>
      </c>
      <c r="B139" s="40" t="str">
        <f t="shared" ca="1" si="11"/>
        <v>Abrazaderas de montaje</v>
      </c>
      <c r="C139" s="72" t="str">
        <f>IFERROR(VLOOKUP("UD",'Informacion '!P:Q,2,FALSE),"")</f>
        <v>Unidad</v>
      </c>
      <c r="D139" s="39">
        <v>5800</v>
      </c>
      <c r="E139" s="42">
        <v>3.89</v>
      </c>
      <c r="F139" s="41">
        <f t="shared" ca="1" si="10"/>
        <v>22562</v>
      </c>
    </row>
    <row r="140" spans="1:6" ht="14.25" customHeight="1" x14ac:dyDescent="0.35">
      <c r="A140" s="39" t="s">
        <v>5244</v>
      </c>
      <c r="B140" s="40" t="str">
        <f t="shared" ca="1" si="11"/>
        <v>Abrazaderas de montaje</v>
      </c>
      <c r="C140" s="72" t="str">
        <f>IFERROR(VLOOKUP("UD",'Informacion '!P:Q,2,FALSE),"")</f>
        <v>Unidad</v>
      </c>
      <c r="D140" s="39">
        <v>8000</v>
      </c>
      <c r="E140" s="42">
        <v>3.89</v>
      </c>
      <c r="F140" s="41">
        <f t="shared" ca="1" si="10"/>
        <v>31120</v>
      </c>
    </row>
    <row r="141" spans="1:6" ht="14.25" customHeight="1" x14ac:dyDescent="0.35">
      <c r="A141" s="39" t="s">
        <v>18360</v>
      </c>
      <c r="B141" s="40" t="str">
        <f t="shared" ref="B141:B147" ca="1" si="12">IFERROR(INDEX(UNSPSCDes,MATCH(INDIRECT(ADDRESS(ROW(),COLUMN()-1,4)),UNSPSCCode,0)),IF(INDIRECT(ADDRESS(ROW(),COLUMN()-1,4))="31162402","Cerraduras",""))</f>
        <v>Cerraduras</v>
      </c>
      <c r="C141" s="72" t="str">
        <f>IFERROR(VLOOKUP("UD",'Informacion '!P:Q,2,FALSE),"")</f>
        <v>Unidad</v>
      </c>
      <c r="D141" s="39">
        <v>10</v>
      </c>
      <c r="E141" s="42">
        <v>645</v>
      </c>
      <c r="F141" s="41">
        <f t="shared" ca="1" si="10"/>
        <v>6450</v>
      </c>
    </row>
    <row r="142" spans="1:6" ht="14.25" customHeight="1" x14ac:dyDescent="0.35">
      <c r="A142" s="39" t="s">
        <v>18360</v>
      </c>
      <c r="B142" s="40" t="str">
        <f t="shared" ca="1" si="12"/>
        <v>Cerraduras</v>
      </c>
      <c r="C142" s="72" t="str">
        <f>IFERROR(VLOOKUP("UD",'Informacion '!P:Q,2,FALSE),"")</f>
        <v>Unidad</v>
      </c>
      <c r="D142" s="39">
        <v>20</v>
      </c>
      <c r="E142" s="42">
        <v>644</v>
      </c>
      <c r="F142" s="41">
        <f t="shared" ca="1" si="10"/>
        <v>12880</v>
      </c>
    </row>
    <row r="143" spans="1:6" ht="14.25" customHeight="1" x14ac:dyDescent="0.35">
      <c r="A143" s="39" t="s">
        <v>18360</v>
      </c>
      <c r="B143" s="40" t="str">
        <f t="shared" ca="1" si="12"/>
        <v>Cerraduras</v>
      </c>
      <c r="C143" s="72" t="str">
        <f>IFERROR(VLOOKUP("UD",'Informacion '!P:Q,2,FALSE),"")</f>
        <v>Unidad</v>
      </c>
      <c r="D143" s="39">
        <v>10</v>
      </c>
      <c r="E143" s="42">
        <v>644</v>
      </c>
      <c r="F143" s="41">
        <f t="shared" ca="1" si="10"/>
        <v>6440</v>
      </c>
    </row>
    <row r="144" spans="1:6" ht="14.25" customHeight="1" x14ac:dyDescent="0.35">
      <c r="A144" s="39" t="s">
        <v>18360</v>
      </c>
      <c r="B144" s="40" t="str">
        <f t="shared" ca="1" si="12"/>
        <v>Cerraduras</v>
      </c>
      <c r="C144" s="72" t="str">
        <f>IFERROR(VLOOKUP("UD",'Informacion '!P:Q,2,FALSE),"")</f>
        <v>Unidad</v>
      </c>
      <c r="D144" s="39">
        <v>20</v>
      </c>
      <c r="E144" s="42">
        <v>250</v>
      </c>
      <c r="F144" s="41">
        <f t="shared" ca="1" si="10"/>
        <v>5000</v>
      </c>
    </row>
    <row r="145" spans="1:6" ht="14.25" customHeight="1" x14ac:dyDescent="0.35">
      <c r="A145" s="39" t="s">
        <v>18360</v>
      </c>
      <c r="B145" s="40" t="str">
        <f t="shared" ca="1" si="12"/>
        <v>Cerraduras</v>
      </c>
      <c r="C145" s="72" t="str">
        <f>IFERROR(VLOOKUP("UD",'Informacion '!P:Q,2,FALSE),"")</f>
        <v>Unidad</v>
      </c>
      <c r="D145" s="39">
        <v>18</v>
      </c>
      <c r="E145" s="42">
        <v>903</v>
      </c>
      <c r="F145" s="41">
        <f t="shared" ca="1" si="10"/>
        <v>16254</v>
      </c>
    </row>
    <row r="146" spans="1:6" ht="14.25" customHeight="1" x14ac:dyDescent="0.35">
      <c r="A146" s="39" t="s">
        <v>18360</v>
      </c>
      <c r="B146" s="40" t="str">
        <f t="shared" ca="1" si="12"/>
        <v>Cerraduras</v>
      </c>
      <c r="C146" s="72" t="str">
        <f>IFERROR(VLOOKUP("UD",'Informacion '!P:Q,2,FALSE),"")</f>
        <v>Unidad</v>
      </c>
      <c r="D146" s="39">
        <v>20</v>
      </c>
      <c r="E146" s="42">
        <v>574.5</v>
      </c>
      <c r="F146" s="41">
        <f t="shared" ca="1" si="10"/>
        <v>11490</v>
      </c>
    </row>
    <row r="147" spans="1:6" ht="14.25" customHeight="1" x14ac:dyDescent="0.35">
      <c r="A147" s="39" t="s">
        <v>18360</v>
      </c>
      <c r="B147" s="40" t="str">
        <f t="shared" ca="1" si="12"/>
        <v>Cerraduras</v>
      </c>
      <c r="C147" s="72" t="str">
        <f>IFERROR(VLOOKUP("UD",'Informacion '!P:Q,2,FALSE),"")</f>
        <v>Unidad</v>
      </c>
      <c r="D147" s="39">
        <v>10</v>
      </c>
      <c r="E147" s="42">
        <v>574.5</v>
      </c>
      <c r="F147" s="41">
        <f t="shared" ca="1" si="10"/>
        <v>5745</v>
      </c>
    </row>
    <row r="148" spans="1:6" ht="14.25" customHeight="1" x14ac:dyDescent="0.35">
      <c r="A148" s="39" t="s">
        <v>3215</v>
      </c>
      <c r="B148" s="40" t="str">
        <f ca="1">IFERROR(INDEX(UNSPSCDes,MATCH(INDIRECT(ADDRESS(ROW(),COLUMN()-1,4)),UNSPSCCode,0)),IF(INDIRECT(ADDRESS(ROW(),COLUMN()-1,4))="31162403","Goznes o bisagras",""))</f>
        <v>Goznes o bisagras</v>
      </c>
      <c r="C148" s="72" t="str">
        <f>IFERROR(VLOOKUP("UD",'Informacion '!P:Q,2,FALSE),"")</f>
        <v>Unidad</v>
      </c>
      <c r="D148" s="39">
        <v>6</v>
      </c>
      <c r="E148" s="42">
        <v>3540</v>
      </c>
      <c r="F148" s="41">
        <f t="shared" ca="1" si="10"/>
        <v>21240</v>
      </c>
    </row>
    <row r="149" spans="1:6" ht="14.25" customHeight="1" x14ac:dyDescent="0.35">
      <c r="A149" s="39" t="s">
        <v>12835</v>
      </c>
      <c r="B149" s="40" t="str">
        <f ca="1">IFERROR(INDEX(UNSPSCDes,MATCH(INDIRECT(ADDRESS(ROW(),COLUMN()-1,4)),UNSPSCCode,0)),IF(INDIRECT(ADDRESS(ROW(),COLUMN()-1,4))="31162414","Abrazadera",""))</f>
        <v>Abrazadera</v>
      </c>
      <c r="C149" s="72" t="str">
        <f>IFERROR(VLOOKUP("UD",'Informacion '!P:Q,2,FALSE),"")</f>
        <v>Unidad</v>
      </c>
      <c r="D149" s="39">
        <v>60</v>
      </c>
      <c r="E149" s="42">
        <v>4.53</v>
      </c>
      <c r="F149" s="41">
        <f t="shared" ca="1" si="10"/>
        <v>271.8</v>
      </c>
    </row>
    <row r="150" spans="1:6" ht="14.25" customHeight="1" x14ac:dyDescent="0.35">
      <c r="A150" s="39" t="s">
        <v>10380</v>
      </c>
      <c r="B150" s="40" t="str">
        <f ca="1">IFERROR(INDEX(UNSPSCDes,MATCH(INDIRECT(ADDRESS(ROW(),COLUMN()-1,4)),UNSPSCCode,0)),IF(INDIRECT(ADDRESS(ROW(),COLUMN()-1,4))="31162501","Soportes para estanterías",""))</f>
        <v>Soportes para estanterías</v>
      </c>
      <c r="C150" s="72" t="str">
        <f>IFERROR(VLOOKUP("UD",'Informacion '!P:Q,2,FALSE),"")</f>
        <v>Unidad</v>
      </c>
      <c r="D150" s="39">
        <v>24</v>
      </c>
      <c r="E150" s="42">
        <v>205</v>
      </c>
      <c r="F150" s="41">
        <f t="shared" ca="1" si="10"/>
        <v>4920</v>
      </c>
    </row>
    <row r="151" spans="1:6" ht="14.25" customHeight="1" x14ac:dyDescent="0.35">
      <c r="A151" s="39" t="s">
        <v>14921</v>
      </c>
      <c r="B151" s="40" t="str">
        <f ca="1">IFERROR(INDEX(UNSPSCDes,MATCH(INDIRECT(ADDRESS(ROW(),COLUMN()-1,4)),UNSPSCCode,0)),IF(INDIRECT(ADDRESS(ROW(),COLUMN()-1,4))="31162504","Soportes para accesorios eléctricos",""))</f>
        <v>Soportes para accesorios eléctricos</v>
      </c>
      <c r="C151" s="72" t="str">
        <f>IFERROR(VLOOKUP("UD",'Informacion '!P:Q,2,FALSE),"")</f>
        <v>Unidad</v>
      </c>
      <c r="D151" s="39">
        <v>6</v>
      </c>
      <c r="E151" s="42">
        <v>4700</v>
      </c>
      <c r="F151" s="41">
        <f t="shared" ref="F151:F182" ca="1" si="13">INDIRECT(ADDRESS(ROW(),COLUMN()-2,4))*INDIRECT(ADDRESS(ROW(),COLUMN()-1,4))</f>
        <v>28200</v>
      </c>
    </row>
    <row r="152" spans="1:6" ht="14.25" customHeight="1" x14ac:dyDescent="0.35">
      <c r="A152" s="39" t="s">
        <v>14921</v>
      </c>
      <c r="B152" s="40" t="str">
        <f ca="1">IFERROR(INDEX(UNSPSCDes,MATCH(INDIRECT(ADDRESS(ROW(),COLUMN()-1,4)),UNSPSCCode,0)),IF(INDIRECT(ADDRESS(ROW(),COLUMN()-1,4))="31162504","Soportes para accesorios eléctricos",""))</f>
        <v>Soportes para accesorios eléctricos</v>
      </c>
      <c r="C152" s="72" t="str">
        <f>IFERROR(VLOOKUP("UD",'Informacion '!P:Q,2,FALSE),"")</f>
        <v>Unidad</v>
      </c>
      <c r="D152" s="39">
        <v>8</v>
      </c>
      <c r="E152" s="42">
        <v>4700</v>
      </c>
      <c r="F152" s="41">
        <f t="shared" ca="1" si="13"/>
        <v>37600</v>
      </c>
    </row>
    <row r="153" spans="1:6" ht="14.25" customHeight="1" x14ac:dyDescent="0.35">
      <c r="A153" s="39" t="s">
        <v>14921</v>
      </c>
      <c r="B153" s="40" t="str">
        <f ca="1">IFERROR(INDEX(UNSPSCDes,MATCH(INDIRECT(ADDRESS(ROW(),COLUMN()-1,4)),UNSPSCCode,0)),IF(INDIRECT(ADDRESS(ROW(),COLUMN()-1,4))="31162504","Soportes para accesorios eléctricos",""))</f>
        <v>Soportes para accesorios eléctricos</v>
      </c>
      <c r="C153" s="72" t="str">
        <f>IFERROR(VLOOKUP("UD",'Informacion '!P:Q,2,FALSE),"")</f>
        <v>Unidad</v>
      </c>
      <c r="D153" s="39">
        <v>8</v>
      </c>
      <c r="E153" s="42">
        <v>4700</v>
      </c>
      <c r="F153" s="41">
        <f t="shared" ca="1" si="13"/>
        <v>37600</v>
      </c>
    </row>
    <row r="154" spans="1:6" ht="14.25" customHeight="1" x14ac:dyDescent="0.35">
      <c r="A154" s="39" t="s">
        <v>14906</v>
      </c>
      <c r="B154" s="40" t="str">
        <f t="shared" ref="B154:B172" ca="1" si="14">IFERROR(INDEX(UNSPSCDes,MATCH(INDIRECT(ADDRESS(ROW(),COLUMN()-1,4)),UNSPSCCode,0)),IF(INDIRECT(ADDRESS(ROW(),COLUMN()-1,4))="31162506","Soporte de pared",""))</f>
        <v>Soporte de pared</v>
      </c>
      <c r="C154" s="72" t="str">
        <f>IFERROR(VLOOKUP("UD",'Informacion '!P:Q,2,FALSE),"")</f>
        <v>Unidad</v>
      </c>
      <c r="D154" s="39">
        <v>2</v>
      </c>
      <c r="E154" s="42">
        <v>1670.88</v>
      </c>
      <c r="F154" s="41">
        <f t="shared" ca="1" si="13"/>
        <v>3341.76</v>
      </c>
    </row>
    <row r="155" spans="1:6" ht="14.25" customHeight="1" x14ac:dyDescent="0.35">
      <c r="A155" s="39" t="s">
        <v>14906</v>
      </c>
      <c r="B155" s="40" t="str">
        <f t="shared" ca="1" si="14"/>
        <v>Soporte de pared</v>
      </c>
      <c r="C155" s="72" t="str">
        <f>IFERROR(VLOOKUP("UD",'Informacion '!P:Q,2,FALSE),"")</f>
        <v>Unidad</v>
      </c>
      <c r="D155" s="39">
        <v>2</v>
      </c>
      <c r="E155" s="42">
        <v>1670.88</v>
      </c>
      <c r="F155" s="41">
        <f t="shared" ca="1" si="13"/>
        <v>3341.76</v>
      </c>
    </row>
    <row r="156" spans="1:6" ht="14.25" customHeight="1" x14ac:dyDescent="0.35">
      <c r="A156" s="39" t="s">
        <v>14906</v>
      </c>
      <c r="B156" s="40" t="str">
        <f t="shared" ca="1" si="14"/>
        <v>Soporte de pared</v>
      </c>
      <c r="C156" s="72" t="str">
        <f>IFERROR(VLOOKUP("UD",'Informacion '!P:Q,2,FALSE),"")</f>
        <v>Unidad</v>
      </c>
      <c r="D156" s="39">
        <v>2</v>
      </c>
      <c r="E156" s="42">
        <v>1670.88</v>
      </c>
      <c r="F156" s="41">
        <f t="shared" ca="1" si="13"/>
        <v>3341.76</v>
      </c>
    </row>
    <row r="157" spans="1:6" ht="14.25" customHeight="1" x14ac:dyDescent="0.35">
      <c r="A157" s="39" t="s">
        <v>14906</v>
      </c>
      <c r="B157" s="40" t="str">
        <f t="shared" ca="1" si="14"/>
        <v>Soporte de pared</v>
      </c>
      <c r="C157" s="72" t="str">
        <f>IFERROR(VLOOKUP("UD",'Informacion '!P:Q,2,FALSE),"")</f>
        <v>Unidad</v>
      </c>
      <c r="D157" s="39">
        <v>200</v>
      </c>
      <c r="E157" s="42">
        <v>1670.88</v>
      </c>
      <c r="F157" s="41">
        <f t="shared" ca="1" si="13"/>
        <v>334176</v>
      </c>
    </row>
    <row r="158" spans="1:6" ht="14.25" customHeight="1" x14ac:dyDescent="0.35">
      <c r="A158" s="39" t="s">
        <v>14906</v>
      </c>
      <c r="B158" s="40" t="str">
        <f t="shared" ca="1" si="14"/>
        <v>Soporte de pared</v>
      </c>
      <c r="C158" s="72" t="str">
        <f>IFERROR(VLOOKUP("UD",'Informacion '!P:Q,2,FALSE),"")</f>
        <v>Unidad</v>
      </c>
      <c r="D158" s="39">
        <v>200</v>
      </c>
      <c r="E158" s="42">
        <v>1670.88</v>
      </c>
      <c r="F158" s="41">
        <f t="shared" ca="1" si="13"/>
        <v>334176</v>
      </c>
    </row>
    <row r="159" spans="1:6" ht="14.25" customHeight="1" x14ac:dyDescent="0.35">
      <c r="A159" s="39" t="s">
        <v>14906</v>
      </c>
      <c r="B159" s="40" t="str">
        <f t="shared" ca="1" si="14"/>
        <v>Soporte de pared</v>
      </c>
      <c r="C159" s="72" t="str">
        <f>IFERROR(VLOOKUP("UD",'Informacion '!P:Q,2,FALSE),"")</f>
        <v>Unidad</v>
      </c>
      <c r="D159" s="39">
        <v>200</v>
      </c>
      <c r="E159" s="42">
        <v>1670.88</v>
      </c>
      <c r="F159" s="41">
        <f t="shared" ca="1" si="13"/>
        <v>334176</v>
      </c>
    </row>
    <row r="160" spans="1:6" ht="14.25" customHeight="1" x14ac:dyDescent="0.35">
      <c r="A160" s="39" t="s">
        <v>14906</v>
      </c>
      <c r="B160" s="40" t="str">
        <f t="shared" ca="1" si="14"/>
        <v>Soporte de pared</v>
      </c>
      <c r="C160" s="72" t="str">
        <f>IFERROR(VLOOKUP("UD",'Informacion '!P:Q,2,FALSE),"")</f>
        <v>Unidad</v>
      </c>
      <c r="D160" s="39">
        <v>290</v>
      </c>
      <c r="E160" s="42">
        <v>1670.88</v>
      </c>
      <c r="F160" s="41">
        <f t="shared" ca="1" si="13"/>
        <v>484555.2</v>
      </c>
    </row>
    <row r="161" spans="1:6" ht="14.25" customHeight="1" x14ac:dyDescent="0.35">
      <c r="A161" s="39" t="s">
        <v>14906</v>
      </c>
      <c r="B161" s="40" t="str">
        <f t="shared" ca="1" si="14"/>
        <v>Soporte de pared</v>
      </c>
      <c r="C161" s="72" t="str">
        <f>IFERROR(VLOOKUP("UD",'Informacion '!P:Q,2,FALSE),"")</f>
        <v>Unidad</v>
      </c>
      <c r="D161" s="39">
        <v>400</v>
      </c>
      <c r="E161" s="42">
        <v>1670.88</v>
      </c>
      <c r="F161" s="41">
        <f t="shared" ca="1" si="13"/>
        <v>668352</v>
      </c>
    </row>
    <row r="162" spans="1:6" ht="14.25" customHeight="1" x14ac:dyDescent="0.35">
      <c r="A162" s="39" t="s">
        <v>14906</v>
      </c>
      <c r="B162" s="40" t="str">
        <f t="shared" ca="1" si="14"/>
        <v>Soporte de pared</v>
      </c>
      <c r="C162" s="72" t="str">
        <f>IFERROR(VLOOKUP("UD",'Informacion '!P:Q,2,FALSE),"")</f>
        <v>Unidad</v>
      </c>
      <c r="D162" s="39">
        <v>450</v>
      </c>
      <c r="E162" s="42">
        <v>1.61</v>
      </c>
      <c r="F162" s="41">
        <f t="shared" ca="1" si="13"/>
        <v>724.5</v>
      </c>
    </row>
    <row r="163" spans="1:6" ht="14.25" customHeight="1" x14ac:dyDescent="0.35">
      <c r="A163" s="39" t="s">
        <v>14906</v>
      </c>
      <c r="B163" s="40" t="str">
        <f t="shared" ca="1" si="14"/>
        <v>Soporte de pared</v>
      </c>
      <c r="C163" s="72" t="str">
        <f>IFERROR(VLOOKUP("UD",'Informacion '!P:Q,2,FALSE),"")</f>
        <v>Unidad</v>
      </c>
      <c r="D163" s="39">
        <v>1875</v>
      </c>
      <c r="E163" s="42">
        <v>1.61</v>
      </c>
      <c r="F163" s="41">
        <f t="shared" ca="1" si="13"/>
        <v>3018.75</v>
      </c>
    </row>
    <row r="164" spans="1:6" ht="14.25" customHeight="1" x14ac:dyDescent="0.35">
      <c r="A164" s="39" t="s">
        <v>14906</v>
      </c>
      <c r="B164" s="40" t="str">
        <f t="shared" ca="1" si="14"/>
        <v>Soporte de pared</v>
      </c>
      <c r="C164" s="72" t="str">
        <f>IFERROR(VLOOKUP("UD",'Informacion '!P:Q,2,FALSE),"")</f>
        <v>Unidad</v>
      </c>
      <c r="D164" s="39">
        <v>10</v>
      </c>
      <c r="E164" s="42">
        <v>40</v>
      </c>
      <c r="F164" s="41">
        <f t="shared" ca="1" si="13"/>
        <v>400</v>
      </c>
    </row>
    <row r="165" spans="1:6" ht="14.25" customHeight="1" x14ac:dyDescent="0.35">
      <c r="A165" s="39" t="s">
        <v>14906</v>
      </c>
      <c r="B165" s="40" t="str">
        <f t="shared" ca="1" si="14"/>
        <v>Soporte de pared</v>
      </c>
      <c r="C165" s="72" t="str">
        <f>IFERROR(VLOOKUP("UD",'Informacion '!P:Q,2,FALSE),"")</f>
        <v>Unidad</v>
      </c>
      <c r="D165" s="39">
        <v>10</v>
      </c>
      <c r="E165" s="42">
        <v>40</v>
      </c>
      <c r="F165" s="41">
        <f t="shared" ca="1" si="13"/>
        <v>400</v>
      </c>
    </row>
    <row r="166" spans="1:6" ht="14.25" customHeight="1" x14ac:dyDescent="0.35">
      <c r="A166" s="39" t="s">
        <v>14906</v>
      </c>
      <c r="B166" s="40" t="str">
        <f t="shared" ca="1" si="14"/>
        <v>Soporte de pared</v>
      </c>
      <c r="C166" s="72" t="str">
        <f>IFERROR(VLOOKUP("UD",'Informacion '!P:Q,2,FALSE),"")</f>
        <v>Unidad</v>
      </c>
      <c r="D166" s="39">
        <v>10</v>
      </c>
      <c r="E166" s="42">
        <v>40</v>
      </c>
      <c r="F166" s="41">
        <f t="shared" ca="1" si="13"/>
        <v>400</v>
      </c>
    </row>
    <row r="167" spans="1:6" ht="14.25" customHeight="1" x14ac:dyDescent="0.35">
      <c r="A167" s="39" t="s">
        <v>14906</v>
      </c>
      <c r="B167" s="40" t="str">
        <f t="shared" ca="1" si="14"/>
        <v>Soporte de pared</v>
      </c>
      <c r="C167" s="72" t="str">
        <f>IFERROR(VLOOKUP("UD",'Informacion '!P:Q,2,FALSE),"")</f>
        <v>Unidad</v>
      </c>
      <c r="D167" s="39">
        <v>9000</v>
      </c>
      <c r="E167" s="42">
        <v>3.89</v>
      </c>
      <c r="F167" s="41">
        <f t="shared" ca="1" si="13"/>
        <v>35010</v>
      </c>
    </row>
    <row r="168" spans="1:6" ht="14.25" customHeight="1" x14ac:dyDescent="0.35">
      <c r="A168" s="39" t="s">
        <v>14906</v>
      </c>
      <c r="B168" s="40" t="str">
        <f t="shared" ca="1" si="14"/>
        <v>Soporte de pared</v>
      </c>
      <c r="C168" s="72" t="str">
        <f>IFERROR(VLOOKUP("UD",'Informacion '!P:Q,2,FALSE),"")</f>
        <v>Unidad</v>
      </c>
      <c r="D168" s="39">
        <v>400</v>
      </c>
      <c r="E168" s="42">
        <v>26.85</v>
      </c>
      <c r="F168" s="41">
        <f t="shared" ca="1" si="13"/>
        <v>10740</v>
      </c>
    </row>
    <row r="169" spans="1:6" ht="14.25" customHeight="1" x14ac:dyDescent="0.35">
      <c r="A169" s="39" t="s">
        <v>14906</v>
      </c>
      <c r="B169" s="40" t="str">
        <f t="shared" ca="1" si="14"/>
        <v>Soporte de pared</v>
      </c>
      <c r="C169" s="72" t="str">
        <f>IFERROR(VLOOKUP("UD",'Informacion '!P:Q,2,FALSE),"")</f>
        <v>Unidad</v>
      </c>
      <c r="D169" s="39">
        <v>9000</v>
      </c>
      <c r="E169" s="42">
        <v>3.89</v>
      </c>
      <c r="F169" s="41">
        <f t="shared" ca="1" si="13"/>
        <v>35010</v>
      </c>
    </row>
    <row r="170" spans="1:6" ht="14.25" customHeight="1" x14ac:dyDescent="0.35">
      <c r="A170" s="39" t="s">
        <v>14906</v>
      </c>
      <c r="B170" s="40" t="str">
        <f t="shared" ca="1" si="14"/>
        <v>Soporte de pared</v>
      </c>
      <c r="C170" s="72" t="str">
        <f>IFERROR(VLOOKUP("UD",'Informacion '!P:Q,2,FALSE),"")</f>
        <v>Unidad</v>
      </c>
      <c r="D170" s="39">
        <v>400</v>
      </c>
      <c r="E170" s="42">
        <v>26.85</v>
      </c>
      <c r="F170" s="41">
        <f t="shared" ca="1" si="13"/>
        <v>10740</v>
      </c>
    </row>
    <row r="171" spans="1:6" ht="14.25" customHeight="1" x14ac:dyDescent="0.35">
      <c r="A171" s="39" t="s">
        <v>14906</v>
      </c>
      <c r="B171" s="40" t="str">
        <f t="shared" ca="1" si="14"/>
        <v>Soporte de pared</v>
      </c>
      <c r="C171" s="72" t="str">
        <f>IFERROR(VLOOKUP("UD",'Informacion '!P:Q,2,FALSE),"")</f>
        <v>Unidad</v>
      </c>
      <c r="D171" s="39">
        <v>9000</v>
      </c>
      <c r="E171" s="42">
        <v>3.89</v>
      </c>
      <c r="F171" s="41">
        <f t="shared" ca="1" si="13"/>
        <v>35010</v>
      </c>
    </row>
    <row r="172" spans="1:6" ht="14.25" customHeight="1" x14ac:dyDescent="0.35">
      <c r="A172" s="39" t="s">
        <v>14906</v>
      </c>
      <c r="B172" s="40" t="str">
        <f t="shared" ca="1" si="14"/>
        <v>Soporte de pared</v>
      </c>
      <c r="C172" s="72" t="str">
        <f>IFERROR(VLOOKUP("UD",'Informacion '!P:Q,2,FALSE),"")</f>
        <v>Unidad</v>
      </c>
      <c r="D172" s="39">
        <v>400</v>
      </c>
      <c r="E172" s="42">
        <v>26.85</v>
      </c>
      <c r="F172" s="41">
        <f t="shared" ca="1" si="13"/>
        <v>10740</v>
      </c>
    </row>
    <row r="173" spans="1:6" ht="14.25" customHeight="1" x14ac:dyDescent="0.35">
      <c r="A173" s="39" t="s">
        <v>3460</v>
      </c>
      <c r="B173" s="40" t="str">
        <f ca="1">IFERROR(INDEX(UNSPSCDes,MATCH(INDIRECT(ADDRESS(ROW(),COLUMN()-1,4)),UNSPSCCode,0)),IF(INDIRECT(ADDRESS(ROW(),COLUMN()-1,4))="31162806","Cubiertas de tornillos",""))</f>
        <v>Cubiertas de tornillos</v>
      </c>
      <c r="C173" s="72" t="str">
        <f>IFERROR(VLOOKUP("UD",'Informacion '!P:Q,2,FALSE),"")</f>
        <v>Unidad</v>
      </c>
      <c r="D173" s="39">
        <v>400</v>
      </c>
      <c r="E173" s="42">
        <v>26.85</v>
      </c>
      <c r="F173" s="41">
        <f t="shared" ca="1" si="13"/>
        <v>10740</v>
      </c>
    </row>
    <row r="174" spans="1:6" ht="14.25" customHeight="1" x14ac:dyDescent="0.35">
      <c r="A174" s="39" t="s">
        <v>3460</v>
      </c>
      <c r="B174" s="40" t="str">
        <f ca="1">IFERROR(INDEX(UNSPSCDes,MATCH(INDIRECT(ADDRESS(ROW(),COLUMN()-1,4)),UNSPSCCode,0)),IF(INDIRECT(ADDRESS(ROW(),COLUMN()-1,4))="31162806","Cubiertas de tornillos",""))</f>
        <v>Cubiertas de tornillos</v>
      </c>
      <c r="C174" s="72" t="str">
        <f>IFERROR(VLOOKUP("UD",'Informacion '!P:Q,2,FALSE),"")</f>
        <v>Unidad</v>
      </c>
      <c r="D174" s="39">
        <v>13050</v>
      </c>
      <c r="E174" s="42">
        <v>3.89</v>
      </c>
      <c r="F174" s="41">
        <f t="shared" ca="1" si="13"/>
        <v>50764.5</v>
      </c>
    </row>
    <row r="175" spans="1:6" ht="14.25" customHeight="1" x14ac:dyDescent="0.35">
      <c r="A175" s="39" t="s">
        <v>3460</v>
      </c>
      <c r="B175" s="40" t="str">
        <f ca="1">IFERROR(INDEX(UNSPSCDes,MATCH(INDIRECT(ADDRESS(ROW(),COLUMN()-1,4)),UNSPSCCode,0)),IF(INDIRECT(ADDRESS(ROW(),COLUMN()-1,4))="31162806","Cubiertas de tornillos",""))</f>
        <v>Cubiertas de tornillos</v>
      </c>
      <c r="C175" s="72" t="str">
        <f>IFERROR(VLOOKUP("UD",'Informacion '!P:Q,2,FALSE),"")</f>
        <v>Unidad</v>
      </c>
      <c r="D175" s="39">
        <v>580</v>
      </c>
      <c r="E175" s="42">
        <v>26.85</v>
      </c>
      <c r="F175" s="41">
        <f t="shared" ca="1" si="13"/>
        <v>15573</v>
      </c>
    </row>
    <row r="176" spans="1:6" ht="14.25" customHeight="1" x14ac:dyDescent="0.35">
      <c r="A176" s="39" t="s">
        <v>3460</v>
      </c>
      <c r="B176" s="40" t="str">
        <f ca="1">IFERROR(INDEX(UNSPSCDes,MATCH(INDIRECT(ADDRESS(ROW(),COLUMN()-1,4)),UNSPSCCode,0)),IF(INDIRECT(ADDRESS(ROW(),COLUMN()-1,4))="31162806","Cubiertas de tornillos",""))</f>
        <v>Cubiertas de tornillos</v>
      </c>
      <c r="C176" s="72" t="str">
        <f>IFERROR(VLOOKUP("UD",'Informacion '!P:Q,2,FALSE),"")</f>
        <v>Unidad</v>
      </c>
      <c r="D176" s="39">
        <v>18000</v>
      </c>
      <c r="E176" s="42">
        <v>3.89</v>
      </c>
      <c r="F176" s="41">
        <f t="shared" ca="1" si="13"/>
        <v>70020</v>
      </c>
    </row>
    <row r="177" spans="1:10" ht="14.25" customHeight="1" x14ac:dyDescent="0.35">
      <c r="A177" s="39" t="s">
        <v>3460</v>
      </c>
      <c r="B177" s="40" t="str">
        <f ca="1">IFERROR(INDEX(UNSPSCDes,MATCH(INDIRECT(ADDRESS(ROW(),COLUMN()-1,4)),UNSPSCCode,0)),IF(INDIRECT(ADDRESS(ROW(),COLUMN()-1,4))="31162806","Cubiertas de tornillos",""))</f>
        <v>Cubiertas de tornillos</v>
      </c>
      <c r="C177" s="72" t="str">
        <f>IFERROR(VLOOKUP("UD",'Informacion '!P:Q,2,FALSE),"")</f>
        <v>Unidad</v>
      </c>
      <c r="D177" s="39">
        <v>800</v>
      </c>
      <c r="E177" s="42">
        <v>26.85</v>
      </c>
      <c r="F177" s="41">
        <f t="shared" ca="1" si="13"/>
        <v>21480</v>
      </c>
    </row>
    <row r="178" spans="1:10" ht="14.25" customHeight="1" x14ac:dyDescent="0.35">
      <c r="A178" s="39" t="s">
        <v>7832</v>
      </c>
      <c r="B178" s="40" t="str">
        <f ca="1">IFERROR(INDEX(UNSPSCDes,MATCH(INDIRECT(ADDRESS(ROW(),COLUMN()-1,4)),UNSPSCCode,0)),IF(INDIRECT(ADDRESS(ROW(),COLUMN()-1,4))="31162904","Abrazadera de cable metálico",""))</f>
        <v>Abrazadera de cable metálico</v>
      </c>
      <c r="C178" s="72" t="str">
        <f>IFERROR(VLOOKUP("UD",'Informacion '!P:Q,2,FALSE),"")</f>
        <v>Unidad</v>
      </c>
      <c r="D178" s="39">
        <v>1</v>
      </c>
      <c r="E178" s="42">
        <v>269.97000000000003</v>
      </c>
      <c r="F178" s="41">
        <f t="shared" ca="1" si="13"/>
        <v>269.97000000000003</v>
      </c>
    </row>
    <row r="179" spans="1:10" ht="14.25" customHeight="1" x14ac:dyDescent="0.35">
      <c r="A179" s="39" t="s">
        <v>7832</v>
      </c>
      <c r="B179" s="40" t="str">
        <f ca="1">IFERROR(INDEX(UNSPSCDes,MATCH(INDIRECT(ADDRESS(ROW(),COLUMN()-1,4)),UNSPSCCode,0)),IF(INDIRECT(ADDRESS(ROW(),COLUMN()-1,4))="31162904","Abrazadera de cable metálico",""))</f>
        <v>Abrazadera de cable metálico</v>
      </c>
      <c r="C179" s="72" t="str">
        <f>IFERROR(VLOOKUP("UD",'Informacion '!P:Q,2,FALSE),"")</f>
        <v>Unidad</v>
      </c>
      <c r="D179" s="39">
        <v>4</v>
      </c>
      <c r="E179" s="42">
        <v>90.28</v>
      </c>
      <c r="F179" s="41">
        <f t="shared" ca="1" si="13"/>
        <v>361.12</v>
      </c>
    </row>
    <row r="180" spans="1:10" ht="14.25" customHeight="1" x14ac:dyDescent="0.35">
      <c r="A180" s="39" t="s">
        <v>7832</v>
      </c>
      <c r="B180" s="40" t="str">
        <f ca="1">IFERROR(INDEX(UNSPSCDes,MATCH(INDIRECT(ADDRESS(ROW(),COLUMN()-1,4)),UNSPSCCode,0)),IF(INDIRECT(ADDRESS(ROW(),COLUMN()-1,4))="31162904","Abrazadera de cable metálico",""))</f>
        <v>Abrazadera de cable metálico</v>
      </c>
      <c r="C180" s="72" t="str">
        <f>IFERROR(VLOOKUP("UD",'Informacion '!P:Q,2,FALSE),"")</f>
        <v>Unidad</v>
      </c>
      <c r="D180" s="39">
        <v>4</v>
      </c>
      <c r="E180" s="42">
        <v>269.97000000000003</v>
      </c>
      <c r="F180" s="41">
        <f t="shared" ca="1" si="13"/>
        <v>1079.8800000000001</v>
      </c>
    </row>
    <row r="181" spans="1:10" ht="14.25" customHeight="1" x14ac:dyDescent="0.35">
      <c r="A181" s="39" t="s">
        <v>7832</v>
      </c>
      <c r="B181" s="40" t="str">
        <f ca="1">IFERROR(INDEX(UNSPSCDes,MATCH(INDIRECT(ADDRESS(ROW(),COLUMN()-1,4)),UNSPSCCode,0)),IF(INDIRECT(ADDRESS(ROW(),COLUMN()-1,4))="31162904","Abrazadera de cable metálico",""))</f>
        <v>Abrazadera de cable metálico</v>
      </c>
      <c r="C181" s="72" t="str">
        <f>IFERROR(VLOOKUP("UD",'Informacion '!P:Q,2,FALSE),"")</f>
        <v>Unidad</v>
      </c>
      <c r="D181" s="39">
        <v>2</v>
      </c>
      <c r="E181" s="42">
        <v>269.97000000000003</v>
      </c>
      <c r="F181" s="41">
        <f t="shared" ca="1" si="13"/>
        <v>539.94000000000005</v>
      </c>
    </row>
    <row r="182" spans="1:10" ht="14.25" customHeight="1" x14ac:dyDescent="0.35">
      <c r="A182" s="39" t="s">
        <v>1015</v>
      </c>
      <c r="B182" s="40" t="str">
        <f ca="1">IFERROR(INDEX(UNSPSCDes,MATCH(INDIRECT(ADDRESS(ROW(),COLUMN()-1,4)),UNSPSCCode,0)),IF(INDIRECT(ADDRESS(ROW(),COLUMN()-1,4))="31163211","Grapas de retención",""))</f>
        <v>Grapas de retención</v>
      </c>
      <c r="C182" s="72" t="str">
        <f>IFERROR(VLOOKUP("UD",'Informacion '!P:Q,2,FALSE),"")</f>
        <v>Unidad</v>
      </c>
      <c r="D182" s="39">
        <v>8</v>
      </c>
      <c r="E182" s="42">
        <v>575.12</v>
      </c>
      <c r="F182" s="41">
        <f t="shared" ca="1" si="13"/>
        <v>4600.96</v>
      </c>
    </row>
    <row r="183" spans="1:10" ht="14.25" customHeight="1" x14ac:dyDescent="0.35">
      <c r="A183" s="39" t="s">
        <v>1015</v>
      </c>
      <c r="B183" s="40" t="str">
        <f ca="1">IFERROR(INDEX(UNSPSCDes,MATCH(INDIRECT(ADDRESS(ROW(),COLUMN()-1,4)),UNSPSCCode,0)),IF(INDIRECT(ADDRESS(ROW(),COLUMN()-1,4))="31163211","Grapas de retención",""))</f>
        <v>Grapas de retención</v>
      </c>
      <c r="C183" s="72" t="str">
        <f>IFERROR(VLOOKUP("UD",'Informacion '!P:Q,2,FALSE),"")</f>
        <v>Unidad</v>
      </c>
      <c r="D183" s="39">
        <v>1</v>
      </c>
      <c r="E183" s="42">
        <v>595</v>
      </c>
      <c r="F183" s="41">
        <f t="shared" ref="F183:F189" ca="1" si="15">INDIRECT(ADDRESS(ROW(),COLUMN()-2,4))*INDIRECT(ADDRESS(ROW(),COLUMN()-1,4))</f>
        <v>595</v>
      </c>
    </row>
    <row r="184" spans="1:10" ht="14.25" customHeight="1" x14ac:dyDescent="0.35">
      <c r="A184" s="39" t="s">
        <v>1015</v>
      </c>
      <c r="B184" s="40" t="str">
        <f ca="1">IFERROR(INDEX(UNSPSCDes,MATCH(INDIRECT(ADDRESS(ROW(),COLUMN()-1,4)),UNSPSCCode,0)),IF(INDIRECT(ADDRESS(ROW(),COLUMN()-1,4))="31163211","Grapas de retención",""))</f>
        <v>Grapas de retención</v>
      </c>
      <c r="C184" s="72" t="str">
        <f>IFERROR(VLOOKUP("UD",'Informacion '!P:Q,2,FALSE),"")</f>
        <v>Unidad</v>
      </c>
      <c r="D184" s="39">
        <v>3</v>
      </c>
      <c r="E184" s="42">
        <v>575.12</v>
      </c>
      <c r="F184" s="41">
        <f t="shared" ca="1" si="15"/>
        <v>1725.3600000000001</v>
      </c>
    </row>
    <row r="185" spans="1:10" ht="14.25" customHeight="1" x14ac:dyDescent="0.35">
      <c r="A185" s="39" t="s">
        <v>1015</v>
      </c>
      <c r="B185" s="40" t="str">
        <f ca="1">IFERROR(INDEX(UNSPSCDes,MATCH(INDIRECT(ADDRESS(ROW(),COLUMN()-1,4)),UNSPSCCode,0)),IF(INDIRECT(ADDRESS(ROW(),COLUMN()-1,4))="31163211","Grapas de retención",""))</f>
        <v>Grapas de retención</v>
      </c>
      <c r="C185" s="72" t="str">
        <f>IFERROR(VLOOKUP("UD",'Informacion '!P:Q,2,FALSE),"")</f>
        <v>Unidad</v>
      </c>
      <c r="D185" s="39">
        <v>12</v>
      </c>
      <c r="E185" s="42">
        <v>575.12</v>
      </c>
      <c r="F185" s="41">
        <f t="shared" ca="1" si="15"/>
        <v>6901.4400000000005</v>
      </c>
    </row>
    <row r="186" spans="1:10" ht="14.25" customHeight="1" x14ac:dyDescent="0.35">
      <c r="A186" s="39" t="s">
        <v>8224</v>
      </c>
      <c r="B186" s="40" t="str">
        <f ca="1">IFERROR(INDEX(UNSPSCDes,MATCH(INDIRECT(ADDRESS(ROW(),COLUMN()-1,4)),UNSPSCCode,0)),IF(INDIRECT(ADDRESS(ROW(),COLUMN()-1,4))="31163301","Tornillo de dos extremos
",""))</f>
        <v xml:space="preserve">Tornillo de dos extremos
</v>
      </c>
      <c r="C186" s="72" t="str">
        <f>IFERROR(VLOOKUP("UD",'Informacion '!P:Q,2,FALSE),"")</f>
        <v>Unidad</v>
      </c>
      <c r="D186" s="39">
        <v>40</v>
      </c>
      <c r="E186" s="42">
        <v>4</v>
      </c>
      <c r="F186" s="41">
        <f t="shared" ca="1" si="15"/>
        <v>160</v>
      </c>
    </row>
    <row r="187" spans="1:10" ht="14.25" customHeight="1" x14ac:dyDescent="0.35">
      <c r="A187" s="39" t="s">
        <v>8224</v>
      </c>
      <c r="B187" s="40" t="str">
        <f ca="1">IFERROR(INDEX(UNSPSCDes,MATCH(INDIRECT(ADDRESS(ROW(),COLUMN()-1,4)),UNSPSCCode,0)),IF(INDIRECT(ADDRESS(ROW(),COLUMN()-1,4))="31163301","Tornillo de dos extremos
",""))</f>
        <v xml:space="preserve">Tornillo de dos extremos
</v>
      </c>
      <c r="C187" s="72" t="str">
        <f>IFERROR(VLOOKUP("UD",'Informacion '!P:Q,2,FALSE),"")</f>
        <v>Unidad</v>
      </c>
      <c r="D187" s="39">
        <v>9</v>
      </c>
      <c r="E187" s="42">
        <v>136</v>
      </c>
      <c r="F187" s="41">
        <f t="shared" ca="1" si="15"/>
        <v>1224</v>
      </c>
    </row>
    <row r="188" spans="1:10" ht="14.25" customHeight="1" x14ac:dyDescent="0.35">
      <c r="A188" s="39" t="s">
        <v>8224</v>
      </c>
      <c r="B188" s="40" t="str">
        <f ca="1">IFERROR(INDEX(UNSPSCDes,MATCH(INDIRECT(ADDRESS(ROW(),COLUMN()-1,4)),UNSPSCCode,0)),IF(INDIRECT(ADDRESS(ROW(),COLUMN()-1,4))="31163301","Tornillo de dos extremos
",""))</f>
        <v xml:space="preserve">Tornillo de dos extremos
</v>
      </c>
      <c r="C188" s="72" t="str">
        <f>IFERROR(VLOOKUP("UD",'Informacion '!P:Q,2,FALSE),"")</f>
        <v>Unidad</v>
      </c>
      <c r="D188" s="39">
        <v>2</v>
      </c>
      <c r="E188" s="42">
        <v>280.77999999999997</v>
      </c>
      <c r="F188" s="41">
        <f t="shared" ca="1" si="15"/>
        <v>561.55999999999995</v>
      </c>
    </row>
    <row r="189" spans="1:10" ht="14.25" customHeight="1" x14ac:dyDescent="0.35">
      <c r="A189" s="39" t="s">
        <v>8224</v>
      </c>
      <c r="B189" s="40" t="str">
        <f ca="1">IFERROR(INDEX(UNSPSCDes,MATCH(INDIRECT(ADDRESS(ROW(),COLUMN()-1,4)),UNSPSCCode,0)),IF(INDIRECT(ADDRESS(ROW(),COLUMN()-1,4))="31163301","Tornillo de dos extremos
",""))</f>
        <v xml:space="preserve">Tornillo de dos extremos
</v>
      </c>
      <c r="C189" s="72" t="str">
        <f>IFERROR(VLOOKUP("UD",'Informacion '!P:Q,2,FALSE),"")</f>
        <v>Unidad</v>
      </c>
      <c r="D189" s="39">
        <v>3</v>
      </c>
      <c r="E189" s="42">
        <v>136</v>
      </c>
      <c r="F189" s="41">
        <f t="shared" ca="1" si="15"/>
        <v>408</v>
      </c>
    </row>
    <row r="190" spans="1:10" ht="14.25" customHeight="1" x14ac:dyDescent="0.35">
      <c r="E190" s="44" t="s">
        <v>13122</v>
      </c>
      <c r="F190" s="45">
        <f ca="1">SUM(Table4[MONTO TOTAL ESTIMADO])</f>
        <v>3172501.9800000004</v>
      </c>
      <c r="H190" s="24" t="str">
        <f>C16</f>
        <v>Bienes</v>
      </c>
      <c r="I190" s="24" t="str">
        <f>E16</f>
        <v>Sí</v>
      </c>
      <c r="J190" s="24" t="str">
        <f>D16</f>
        <v>Comparacion de Precios</v>
      </c>
    </row>
    <row r="192" spans="1:10" ht="34" customHeight="1" x14ac:dyDescent="0.35">
      <c r="A192" s="36" t="s">
        <v>17105</v>
      </c>
      <c r="B192" s="36" t="s">
        <v>167</v>
      </c>
      <c r="C192" s="36" t="s">
        <v>12252</v>
      </c>
      <c r="D192" s="36" t="s">
        <v>15021</v>
      </c>
      <c r="E192" s="36" t="s">
        <v>11455</v>
      </c>
      <c r="F192" s="36" t="s">
        <v>11595</v>
      </c>
    </row>
    <row r="193" spans="1:10" ht="14.25" customHeight="1" x14ac:dyDescent="0.35">
      <c r="A193" s="37" t="s">
        <v>7277</v>
      </c>
      <c r="B193" s="37" t="s">
        <v>7277</v>
      </c>
      <c r="C193" s="37" t="s">
        <v>18585</v>
      </c>
      <c r="D193" s="37" t="s">
        <v>10634</v>
      </c>
      <c r="E193" s="37" t="s">
        <v>9261</v>
      </c>
      <c r="F193" s="37" t="s">
        <v>7088</v>
      </c>
    </row>
    <row r="194" spans="1:10" ht="14.25" customHeight="1" x14ac:dyDescent="0.35">
      <c r="A194" s="75" t="s">
        <v>15490</v>
      </c>
      <c r="B194" s="38" t="s">
        <v>8918</v>
      </c>
      <c r="C194" s="68">
        <v>45383</v>
      </c>
      <c r="D194" s="75" t="s">
        <v>9819</v>
      </c>
      <c r="E194" s="70" t="s">
        <v>13683</v>
      </c>
      <c r="F194" s="71" t="s">
        <v>3205</v>
      </c>
    </row>
    <row r="195" spans="1:10" ht="14.25" customHeight="1" x14ac:dyDescent="0.35">
      <c r="A195" s="76"/>
      <c r="B195" s="38" t="s">
        <v>1858</v>
      </c>
      <c r="C195" s="69">
        <f>IF(C194="","",IF(AND(MONTH(C194)&gt;=1,MONTH(C194)&lt;=3),1,IF(AND(MONTH(C194)&gt;=4,MONTH(C194)&lt;=6),2,IF(AND(MONTH(C194)&gt;=7,MONTH(C194)&lt;=9),3,4))))</f>
        <v>2</v>
      </c>
      <c r="D195" s="76"/>
      <c r="E195" s="70" t="s">
        <v>2509</v>
      </c>
      <c r="F195" s="71" t="s">
        <v>11612</v>
      </c>
    </row>
    <row r="196" spans="1:10" ht="14.25" customHeight="1" x14ac:dyDescent="0.35">
      <c r="A196" s="76"/>
      <c r="B196" s="38" t="s">
        <v>13526</v>
      </c>
      <c r="C196" s="68">
        <v>45471</v>
      </c>
      <c r="D196" s="76"/>
      <c r="E196" s="70" t="s">
        <v>3198</v>
      </c>
      <c r="F196" s="71" t="s">
        <v>11612</v>
      </c>
    </row>
    <row r="197" spans="1:10" ht="14.25" customHeight="1" x14ac:dyDescent="0.35">
      <c r="A197" s="76"/>
      <c r="B197" s="38" t="s">
        <v>1858</v>
      </c>
      <c r="C197" s="69">
        <f>IF(C196="","",IF(AND(MONTH(C196)&gt;=1,MONTH(C196)&lt;=3),1,IF(AND(MONTH(C196)&gt;=4,MONTH(C196)&lt;=6),2,IF(AND(MONTH(C196)&gt;=7,MONTH(C196)&lt;=9),3,4))))</f>
        <v>2</v>
      </c>
      <c r="D197" s="76"/>
      <c r="E197" s="70" t="s">
        <v>13785</v>
      </c>
      <c r="F197" s="71"/>
    </row>
    <row r="199" spans="1:10" ht="14.25" customHeight="1" x14ac:dyDescent="0.35">
      <c r="A199" s="43" t="s">
        <v>16424</v>
      </c>
      <c r="B199" s="43" t="s">
        <v>16856</v>
      </c>
      <c r="C199" s="43" t="s">
        <v>16326</v>
      </c>
      <c r="D199" s="43" t="s">
        <v>15925</v>
      </c>
      <c r="E199" s="43" t="s">
        <v>7248</v>
      </c>
      <c r="F199" s="43" t="s">
        <v>15955</v>
      </c>
    </row>
    <row r="200" spans="1:10" ht="14.25" customHeight="1" x14ac:dyDescent="0.35">
      <c r="A200" s="39" t="s">
        <v>8468</v>
      </c>
      <c r="B200" s="40" t="str">
        <f ca="1">IFERROR(INDEX(UNSPSCDes,MATCH(INDIRECT(ADDRESS(ROW(),COLUMN()-1,4)),UNSPSCCode,0)),IF(INDIRECT(ADDRESS(ROW(),COLUMN()-1,4))="31162304","Regletas de montaje",""))</f>
        <v>Regletas de montaje</v>
      </c>
      <c r="C200" s="72" t="str">
        <f>IFERROR(VLOOKUP("UD",'Informacion '!P:Q,2,FALSE),"")</f>
        <v>Unidad</v>
      </c>
      <c r="D200" s="39">
        <v>1</v>
      </c>
      <c r="E200" s="42">
        <v>340</v>
      </c>
      <c r="F200" s="41">
        <f ca="1">INDIRECT(ADDRESS(ROW(),COLUMN()-2,4))*INDIRECT(ADDRESS(ROW(),COLUMN()-1,4))</f>
        <v>340</v>
      </c>
    </row>
    <row r="201" spans="1:10" ht="14.25" customHeight="1" x14ac:dyDescent="0.35">
      <c r="E201" s="44" t="s">
        <v>13122</v>
      </c>
      <c r="F201" s="45">
        <f ca="1">SUM(Table5[MONTO TOTAL ESTIMADO])</f>
        <v>340</v>
      </c>
      <c r="H201" s="24" t="str">
        <f>C193</f>
        <v>Bienes</v>
      </c>
      <c r="I201" s="24" t="str">
        <f>E193</f>
        <v>Sí</v>
      </c>
      <c r="J201" s="24" t="str">
        <f>D193</f>
        <v>Compras por debajo del Umbral</v>
      </c>
    </row>
    <row r="203" spans="1:10" ht="34" customHeight="1" x14ac:dyDescent="0.35">
      <c r="A203" s="36" t="s">
        <v>17105</v>
      </c>
      <c r="B203" s="36" t="s">
        <v>167</v>
      </c>
      <c r="C203" s="36" t="s">
        <v>12252</v>
      </c>
      <c r="D203" s="36" t="s">
        <v>15021</v>
      </c>
      <c r="E203" s="36" t="s">
        <v>11455</v>
      </c>
      <c r="F203" s="36" t="s">
        <v>11595</v>
      </c>
    </row>
    <row r="204" spans="1:10" ht="14.25" customHeight="1" x14ac:dyDescent="0.35">
      <c r="A204" s="37" t="s">
        <v>12038</v>
      </c>
      <c r="B204" s="37" t="s">
        <v>12038</v>
      </c>
      <c r="C204" s="37" t="s">
        <v>7109</v>
      </c>
      <c r="D204" s="37" t="s">
        <v>10634</v>
      </c>
      <c r="E204" s="37" t="s">
        <v>18646</v>
      </c>
      <c r="F204" s="37"/>
    </row>
    <row r="205" spans="1:10" ht="14.25" customHeight="1" x14ac:dyDescent="0.35">
      <c r="A205" s="75" t="s">
        <v>15490</v>
      </c>
      <c r="B205" s="38" t="s">
        <v>8918</v>
      </c>
      <c r="C205" s="68">
        <v>45334</v>
      </c>
      <c r="D205" s="75" t="s">
        <v>9819</v>
      </c>
      <c r="E205" s="70" t="s">
        <v>13683</v>
      </c>
      <c r="F205" s="71" t="s">
        <v>3205</v>
      </c>
    </row>
    <row r="206" spans="1:10" ht="14.25" customHeight="1" x14ac:dyDescent="0.35">
      <c r="A206" s="76"/>
      <c r="B206" s="38" t="s">
        <v>1858</v>
      </c>
      <c r="C206" s="69">
        <f>IF(C205="","",IF(AND(MONTH(C205)&gt;=1,MONTH(C205)&lt;=3),1,IF(AND(MONTH(C205)&gt;=4,MONTH(C205)&lt;=6),2,IF(AND(MONTH(C205)&gt;=7,MONTH(C205)&lt;=9),3,4))))</f>
        <v>1</v>
      </c>
      <c r="D206" s="76"/>
      <c r="E206" s="70" t="s">
        <v>2509</v>
      </c>
      <c r="F206" s="71" t="s">
        <v>11612</v>
      </c>
    </row>
    <row r="207" spans="1:10" ht="14.25" customHeight="1" x14ac:dyDescent="0.35">
      <c r="A207" s="76"/>
      <c r="B207" s="38" t="s">
        <v>13526</v>
      </c>
      <c r="C207" s="68">
        <v>45379</v>
      </c>
      <c r="D207" s="76"/>
      <c r="E207" s="70" t="s">
        <v>3198</v>
      </c>
      <c r="F207" s="71" t="s">
        <v>11612</v>
      </c>
    </row>
    <row r="208" spans="1:10" ht="14.25" customHeight="1" x14ac:dyDescent="0.35">
      <c r="A208" s="76"/>
      <c r="B208" s="38" t="s">
        <v>1858</v>
      </c>
      <c r="C208" s="69">
        <f>IF(C207="","",IF(AND(MONTH(C207)&gt;=1,MONTH(C207)&lt;=3),1,IF(AND(MONTH(C207)&gt;=4,MONTH(C207)&lt;=6),2,IF(AND(MONTH(C207)&gt;=7,MONTH(C207)&lt;=9),3,4))))</f>
        <v>1</v>
      </c>
      <c r="D208" s="76"/>
      <c r="E208" s="70" t="s">
        <v>13785</v>
      </c>
      <c r="F208" s="71"/>
    </row>
    <row r="210" spans="1:10" ht="14.25" customHeight="1" x14ac:dyDescent="0.35">
      <c r="A210" s="43" t="s">
        <v>16424</v>
      </c>
      <c r="B210" s="43" t="s">
        <v>16856</v>
      </c>
      <c r="C210" s="43" t="s">
        <v>16326</v>
      </c>
      <c r="D210" s="43" t="s">
        <v>15925</v>
      </c>
      <c r="E210" s="43" t="s">
        <v>7248</v>
      </c>
      <c r="F210" s="43" t="s">
        <v>15955</v>
      </c>
    </row>
    <row r="211" spans="1:10" ht="14.25" customHeight="1" x14ac:dyDescent="0.35">
      <c r="A211" s="39" t="s">
        <v>5934</v>
      </c>
      <c r="B211" s="40" t="str">
        <f ca="1">IFERROR(INDEX(UNSPSCDes,MATCH(INDIRECT(ADDRESS(ROW(),COLUMN()-1,4)),UNSPSCCode,0)),IF(INDIRECT(ADDRESS(ROW(),COLUMN()-1,4))="78111808","Alquiler de vehículos",""))</f>
        <v>Alquiler de vehículos</v>
      </c>
      <c r="C211" s="72" t="str">
        <f>IFERROR(VLOOKUP("UD",'Informacion '!P:Q,2,FALSE),"")</f>
        <v>Unidad</v>
      </c>
      <c r="D211" s="39">
        <v>2</v>
      </c>
      <c r="E211" s="42">
        <v>14740</v>
      </c>
      <c r="F211" s="41">
        <f ca="1">INDIRECT(ADDRESS(ROW(),COLUMN()-2,4))*INDIRECT(ADDRESS(ROW(),COLUMN()-1,4))</f>
        <v>29480</v>
      </c>
    </row>
    <row r="212" spans="1:10" ht="14.25" customHeight="1" x14ac:dyDescent="0.35">
      <c r="A212" s="39" t="s">
        <v>5934</v>
      </c>
      <c r="B212" s="40" t="str">
        <f ca="1">IFERROR(INDEX(UNSPSCDes,MATCH(INDIRECT(ADDRESS(ROW(),COLUMN()-1,4)),UNSPSCCode,0)),IF(INDIRECT(ADDRESS(ROW(),COLUMN()-1,4))="78111808","Alquiler de vehículos",""))</f>
        <v>Alquiler de vehículos</v>
      </c>
      <c r="C212" s="72" t="str">
        <f>IFERROR(VLOOKUP("UD",'Informacion '!P:Q,2,FALSE),"")</f>
        <v>Unidad</v>
      </c>
      <c r="D212" s="39">
        <v>1</v>
      </c>
      <c r="E212" s="42">
        <v>11800</v>
      </c>
      <c r="F212" s="41">
        <f ca="1">INDIRECT(ADDRESS(ROW(),COLUMN()-2,4))*INDIRECT(ADDRESS(ROW(),COLUMN()-1,4))</f>
        <v>11800</v>
      </c>
    </row>
    <row r="213" spans="1:10" ht="14.25" customHeight="1" x14ac:dyDescent="0.35">
      <c r="A213" s="39" t="s">
        <v>5934</v>
      </c>
      <c r="B213" s="40" t="str">
        <f ca="1">IFERROR(INDEX(UNSPSCDes,MATCH(INDIRECT(ADDRESS(ROW(),COLUMN()-1,4)),UNSPSCCode,0)),IF(INDIRECT(ADDRESS(ROW(),COLUMN()-1,4))="78111808","Alquiler de vehículos",""))</f>
        <v>Alquiler de vehículos</v>
      </c>
      <c r="C213" s="72" t="str">
        <f>IFERROR(VLOOKUP("UD",'Informacion '!P:Q,2,FALSE),"")</f>
        <v>Unidad</v>
      </c>
      <c r="D213" s="39">
        <v>1</v>
      </c>
      <c r="E213" s="42">
        <v>11800</v>
      </c>
      <c r="F213" s="41">
        <f ca="1">INDIRECT(ADDRESS(ROW(),COLUMN()-2,4))*INDIRECT(ADDRESS(ROW(),COLUMN()-1,4))</f>
        <v>11800</v>
      </c>
    </row>
    <row r="214" spans="1:10" ht="14.25" customHeight="1" x14ac:dyDescent="0.35">
      <c r="E214" s="44" t="s">
        <v>13122</v>
      </c>
      <c r="F214" s="45">
        <f ca="1">SUM(Table6[MONTO TOTAL ESTIMADO])</f>
        <v>53080</v>
      </c>
      <c r="H214" s="24" t="str">
        <f>C204</f>
        <v>Servicios</v>
      </c>
      <c r="I214" s="24" t="str">
        <f>E204</f>
        <v>No</v>
      </c>
      <c r="J214" s="24" t="str">
        <f>D204</f>
        <v>Compras por debajo del Umbral</v>
      </c>
    </row>
    <row r="216" spans="1:10" ht="34" customHeight="1" x14ac:dyDescent="0.35">
      <c r="A216" s="36" t="s">
        <v>17105</v>
      </c>
      <c r="B216" s="36" t="s">
        <v>167</v>
      </c>
      <c r="C216" s="36" t="s">
        <v>12252</v>
      </c>
      <c r="D216" s="36" t="s">
        <v>15021</v>
      </c>
      <c r="E216" s="36" t="s">
        <v>11455</v>
      </c>
      <c r="F216" s="36" t="s">
        <v>11595</v>
      </c>
    </row>
    <row r="217" spans="1:10" ht="14.25" customHeight="1" x14ac:dyDescent="0.35">
      <c r="A217" s="37" t="s">
        <v>12038</v>
      </c>
      <c r="B217" s="37" t="s">
        <v>12038</v>
      </c>
      <c r="C217" s="37" t="s">
        <v>7109</v>
      </c>
      <c r="D217" s="37" t="s">
        <v>10634</v>
      </c>
      <c r="E217" s="37" t="s">
        <v>18646</v>
      </c>
      <c r="F217" s="37" t="s">
        <v>7088</v>
      </c>
    </row>
    <row r="218" spans="1:10" ht="14.25" customHeight="1" x14ac:dyDescent="0.35">
      <c r="A218" s="75" t="s">
        <v>15490</v>
      </c>
      <c r="B218" s="38" t="s">
        <v>8918</v>
      </c>
      <c r="C218" s="68">
        <v>45383</v>
      </c>
      <c r="D218" s="75" t="s">
        <v>9819</v>
      </c>
      <c r="E218" s="70" t="s">
        <v>13683</v>
      </c>
      <c r="F218" s="71" t="s">
        <v>3205</v>
      </c>
    </row>
    <row r="219" spans="1:10" ht="14.25" customHeight="1" x14ac:dyDescent="0.35">
      <c r="A219" s="76"/>
      <c r="B219" s="38" t="s">
        <v>1858</v>
      </c>
      <c r="C219" s="69">
        <f>IF(C218="","",IF(AND(MONTH(C218)&gt;=1,MONTH(C218)&lt;=3),1,IF(AND(MONTH(C218)&gt;=4,MONTH(C218)&lt;=6),2,IF(AND(MONTH(C218)&gt;=7,MONTH(C218)&lt;=9),3,4))))</f>
        <v>2</v>
      </c>
      <c r="D219" s="76"/>
      <c r="E219" s="70" t="s">
        <v>2509</v>
      </c>
      <c r="F219" s="71" t="s">
        <v>11612</v>
      </c>
    </row>
    <row r="220" spans="1:10" ht="14.25" customHeight="1" x14ac:dyDescent="0.35">
      <c r="A220" s="76"/>
      <c r="B220" s="38" t="s">
        <v>13526</v>
      </c>
      <c r="C220" s="68">
        <v>45471</v>
      </c>
      <c r="D220" s="76"/>
      <c r="E220" s="70" t="s">
        <v>3198</v>
      </c>
      <c r="F220" s="71" t="s">
        <v>11612</v>
      </c>
    </row>
    <row r="221" spans="1:10" ht="14.25" customHeight="1" x14ac:dyDescent="0.35">
      <c r="A221" s="76"/>
      <c r="B221" s="38" t="s">
        <v>1858</v>
      </c>
      <c r="C221" s="69">
        <f>IF(C220="","",IF(AND(MONTH(C220)&gt;=1,MONTH(C220)&lt;=3),1,IF(AND(MONTH(C220)&gt;=4,MONTH(C220)&lt;=6),2,IF(AND(MONTH(C220)&gt;=7,MONTH(C220)&lt;=9),3,4))))</f>
        <v>2</v>
      </c>
      <c r="D221" s="76"/>
      <c r="E221" s="70" t="s">
        <v>13785</v>
      </c>
      <c r="F221" s="71"/>
    </row>
    <row r="223" spans="1:10" ht="14.25" customHeight="1" x14ac:dyDescent="0.35">
      <c r="A223" s="43" t="s">
        <v>16424</v>
      </c>
      <c r="B223" s="43" t="s">
        <v>16856</v>
      </c>
      <c r="C223" s="43" t="s">
        <v>16326</v>
      </c>
      <c r="D223" s="43" t="s">
        <v>15925</v>
      </c>
      <c r="E223" s="43" t="s">
        <v>7248</v>
      </c>
      <c r="F223" s="43" t="s">
        <v>15955</v>
      </c>
    </row>
    <row r="224" spans="1:10" ht="14.25" customHeight="1" x14ac:dyDescent="0.35">
      <c r="A224" s="39" t="s">
        <v>5934</v>
      </c>
      <c r="B224" s="40" t="str">
        <f ca="1">IFERROR(INDEX(UNSPSCDes,MATCH(INDIRECT(ADDRESS(ROW(),COLUMN()-1,4)),UNSPSCCode,0)),IF(INDIRECT(ADDRESS(ROW(),COLUMN()-1,4))="78111808","Alquiler de vehículos",""))</f>
        <v>Alquiler de vehículos</v>
      </c>
      <c r="C224" s="72" t="str">
        <f>IFERROR(VLOOKUP("UD",'Informacion '!P:Q,2,FALSE),"")</f>
        <v>Unidad</v>
      </c>
      <c r="D224" s="39">
        <v>4</v>
      </c>
      <c r="E224" s="42">
        <v>14740</v>
      </c>
      <c r="F224" s="41">
        <f ca="1">INDIRECT(ADDRESS(ROW(),COLUMN()-2,4))*INDIRECT(ADDRESS(ROW(),COLUMN()-1,4))</f>
        <v>58960</v>
      </c>
    </row>
    <row r="225" spans="1:10" ht="14.25" customHeight="1" x14ac:dyDescent="0.35">
      <c r="A225" s="39" t="s">
        <v>5934</v>
      </c>
      <c r="B225" s="40" t="str">
        <f ca="1">IFERROR(INDEX(UNSPSCDes,MATCH(INDIRECT(ADDRESS(ROW(),COLUMN()-1,4)),UNSPSCCode,0)),IF(INDIRECT(ADDRESS(ROW(),COLUMN()-1,4))="78111808","Alquiler de vehículos",""))</f>
        <v>Alquiler de vehículos</v>
      </c>
      <c r="C225" s="72" t="str">
        <f>IFERROR(VLOOKUP("UD",'Informacion '!P:Q,2,FALSE),"")</f>
        <v>Unidad</v>
      </c>
      <c r="D225" s="39">
        <v>1</v>
      </c>
      <c r="E225" s="42">
        <v>11800</v>
      </c>
      <c r="F225" s="41">
        <f ca="1">INDIRECT(ADDRESS(ROW(),COLUMN()-2,4))*INDIRECT(ADDRESS(ROW(),COLUMN()-1,4))</f>
        <v>11800</v>
      </c>
    </row>
    <row r="226" spans="1:10" ht="14.25" customHeight="1" x14ac:dyDescent="0.35">
      <c r="A226" s="39" t="s">
        <v>5934</v>
      </c>
      <c r="B226" s="40" t="str">
        <f ca="1">IFERROR(INDEX(UNSPSCDes,MATCH(INDIRECT(ADDRESS(ROW(),COLUMN()-1,4)),UNSPSCCode,0)),IF(INDIRECT(ADDRESS(ROW(),COLUMN()-1,4))="78111808","Alquiler de vehículos",""))</f>
        <v>Alquiler de vehículos</v>
      </c>
      <c r="C226" s="72" t="str">
        <f>IFERROR(VLOOKUP("UD",'Informacion '!P:Q,2,FALSE),"")</f>
        <v>Unidad</v>
      </c>
      <c r="D226" s="39">
        <v>2</v>
      </c>
      <c r="E226" s="42">
        <v>11800</v>
      </c>
      <c r="F226" s="41">
        <f ca="1">INDIRECT(ADDRESS(ROW(),COLUMN()-2,4))*INDIRECT(ADDRESS(ROW(),COLUMN()-1,4))</f>
        <v>23600</v>
      </c>
    </row>
    <row r="227" spans="1:10" ht="14.25" customHeight="1" x14ac:dyDescent="0.35">
      <c r="E227" s="44" t="s">
        <v>13122</v>
      </c>
      <c r="F227" s="45">
        <f ca="1">SUM(Table7[MONTO TOTAL ESTIMADO])</f>
        <v>94360</v>
      </c>
      <c r="H227" s="24" t="str">
        <f>C217</f>
        <v>Servicios</v>
      </c>
      <c r="I227" s="24" t="str">
        <f>E217</f>
        <v>No</v>
      </c>
      <c r="J227" s="24" t="str">
        <f>D217</f>
        <v>Compras por debajo del Umbral</v>
      </c>
    </row>
    <row r="229" spans="1:10" ht="34" customHeight="1" x14ac:dyDescent="0.35">
      <c r="A229" s="36" t="s">
        <v>17105</v>
      </c>
      <c r="B229" s="36" t="s">
        <v>167</v>
      </c>
      <c r="C229" s="36" t="s">
        <v>12252</v>
      </c>
      <c r="D229" s="36" t="s">
        <v>15021</v>
      </c>
      <c r="E229" s="36" t="s">
        <v>11455</v>
      </c>
      <c r="F229" s="36" t="s">
        <v>11595</v>
      </c>
    </row>
    <row r="230" spans="1:10" ht="14.25" customHeight="1" x14ac:dyDescent="0.35">
      <c r="A230" s="37" t="s">
        <v>12038</v>
      </c>
      <c r="B230" s="37" t="s">
        <v>12038</v>
      </c>
      <c r="C230" s="37" t="s">
        <v>7109</v>
      </c>
      <c r="D230" s="37" t="s">
        <v>10634</v>
      </c>
      <c r="E230" s="37" t="s">
        <v>9261</v>
      </c>
      <c r="F230" s="37" t="s">
        <v>7088</v>
      </c>
    </row>
    <row r="231" spans="1:10" ht="14.25" customHeight="1" x14ac:dyDescent="0.35">
      <c r="A231" s="75" t="s">
        <v>15490</v>
      </c>
      <c r="B231" s="38" t="s">
        <v>8918</v>
      </c>
      <c r="C231" s="68">
        <v>45474</v>
      </c>
      <c r="D231" s="75" t="s">
        <v>9819</v>
      </c>
      <c r="E231" s="70" t="s">
        <v>13683</v>
      </c>
      <c r="F231" s="71" t="s">
        <v>3205</v>
      </c>
    </row>
    <row r="232" spans="1:10" ht="14.25" customHeight="1" x14ac:dyDescent="0.35">
      <c r="A232" s="76"/>
      <c r="B232" s="38" t="s">
        <v>1858</v>
      </c>
      <c r="C232" s="69">
        <f>IF(C231="","",IF(AND(MONTH(C231)&gt;=1,MONTH(C231)&lt;=3),1,IF(AND(MONTH(C231)&gt;=4,MONTH(C231)&lt;=6),2,IF(AND(MONTH(C231)&gt;=7,MONTH(C231)&lt;=9),3,4))))</f>
        <v>3</v>
      </c>
      <c r="D232" s="76"/>
      <c r="E232" s="70" t="s">
        <v>2509</v>
      </c>
      <c r="F232" s="71" t="s">
        <v>11612</v>
      </c>
    </row>
    <row r="233" spans="1:10" ht="14.25" customHeight="1" x14ac:dyDescent="0.35">
      <c r="A233" s="76"/>
      <c r="B233" s="38" t="s">
        <v>13526</v>
      </c>
      <c r="C233" s="68">
        <v>45565</v>
      </c>
      <c r="D233" s="76"/>
      <c r="E233" s="70" t="s">
        <v>3198</v>
      </c>
      <c r="F233" s="71" t="s">
        <v>11612</v>
      </c>
    </row>
    <row r="234" spans="1:10" ht="14.25" customHeight="1" x14ac:dyDescent="0.35">
      <c r="A234" s="76"/>
      <c r="B234" s="38" t="s">
        <v>1858</v>
      </c>
      <c r="C234" s="69">
        <f>IF(C233="","",IF(AND(MONTH(C233)&gt;=1,MONTH(C233)&lt;=3),1,IF(AND(MONTH(C233)&gt;=4,MONTH(C233)&lt;=6),2,IF(AND(MONTH(C233)&gt;=7,MONTH(C233)&lt;=9),3,4))))</f>
        <v>3</v>
      </c>
      <c r="D234" s="76"/>
      <c r="E234" s="70" t="s">
        <v>13785</v>
      </c>
      <c r="F234" s="71"/>
    </row>
    <row r="236" spans="1:10" ht="14.25" customHeight="1" x14ac:dyDescent="0.35">
      <c r="A236" s="43" t="s">
        <v>16424</v>
      </c>
      <c r="B236" s="43" t="s">
        <v>16856</v>
      </c>
      <c r="C236" s="43" t="s">
        <v>16326</v>
      </c>
      <c r="D236" s="43" t="s">
        <v>15925</v>
      </c>
      <c r="E236" s="43" t="s">
        <v>7248</v>
      </c>
      <c r="F236" s="43" t="s">
        <v>15955</v>
      </c>
    </row>
    <row r="237" spans="1:10" ht="14.25" customHeight="1" x14ac:dyDescent="0.35">
      <c r="A237" s="39" t="s">
        <v>5934</v>
      </c>
      <c r="B237" s="40" t="str">
        <f ca="1">IFERROR(INDEX(UNSPSCDes,MATCH(INDIRECT(ADDRESS(ROW(),COLUMN()-1,4)),UNSPSCCode,0)),IF(INDIRECT(ADDRESS(ROW(),COLUMN()-1,4))="78111808","Alquiler de vehículos",""))</f>
        <v>Alquiler de vehículos</v>
      </c>
      <c r="C237" s="72" t="str">
        <f>IFERROR(VLOOKUP("UD",'Informacion '!P:Q,2,FALSE),"")</f>
        <v>Unidad</v>
      </c>
      <c r="D237" s="39">
        <v>2</v>
      </c>
      <c r="E237" s="42">
        <v>14740</v>
      </c>
      <c r="F237" s="41">
        <f ca="1">INDIRECT(ADDRESS(ROW(),COLUMN()-2,4))*INDIRECT(ADDRESS(ROW(),COLUMN()-1,4))</f>
        <v>29480</v>
      </c>
    </row>
    <row r="238" spans="1:10" ht="14.25" customHeight="1" x14ac:dyDescent="0.35">
      <c r="A238" s="39" t="s">
        <v>5934</v>
      </c>
      <c r="B238" s="40" t="str">
        <f ca="1">IFERROR(INDEX(UNSPSCDes,MATCH(INDIRECT(ADDRESS(ROW(),COLUMN()-1,4)),UNSPSCCode,0)),IF(INDIRECT(ADDRESS(ROW(),COLUMN()-1,4))="78111808","Alquiler de vehículos",""))</f>
        <v>Alquiler de vehículos</v>
      </c>
      <c r="C238" s="72" t="str">
        <f>IFERROR(VLOOKUP("UD",'Informacion '!P:Q,2,FALSE),"")</f>
        <v>Unidad</v>
      </c>
      <c r="D238" s="39">
        <v>1</v>
      </c>
      <c r="E238" s="42">
        <v>11800</v>
      </c>
      <c r="F238" s="41">
        <f ca="1">INDIRECT(ADDRESS(ROW(),COLUMN()-2,4))*INDIRECT(ADDRESS(ROW(),COLUMN()-1,4))</f>
        <v>11800</v>
      </c>
    </row>
    <row r="239" spans="1:10" ht="14.25" customHeight="1" x14ac:dyDescent="0.35">
      <c r="A239" s="39" t="s">
        <v>5934</v>
      </c>
      <c r="B239" s="40" t="str">
        <f ca="1">IFERROR(INDEX(UNSPSCDes,MATCH(INDIRECT(ADDRESS(ROW(),COLUMN()-1,4)),UNSPSCCode,0)),IF(INDIRECT(ADDRESS(ROW(),COLUMN()-1,4))="78111808","Alquiler de vehículos",""))</f>
        <v>Alquiler de vehículos</v>
      </c>
      <c r="C239" s="72" t="str">
        <f>IFERROR(VLOOKUP("UD",'Informacion '!P:Q,2,FALSE),"")</f>
        <v>Unidad</v>
      </c>
      <c r="D239" s="39">
        <v>2</v>
      </c>
      <c r="E239" s="42">
        <v>11800</v>
      </c>
      <c r="F239" s="41">
        <f ca="1">INDIRECT(ADDRESS(ROW(),COLUMN()-2,4))*INDIRECT(ADDRESS(ROW(),COLUMN()-1,4))</f>
        <v>23600</v>
      </c>
    </row>
    <row r="240" spans="1:10" ht="14.25" customHeight="1" x14ac:dyDescent="0.35">
      <c r="E240" s="44" t="s">
        <v>13122</v>
      </c>
      <c r="F240" s="45">
        <f ca="1">SUM(Table8[MONTO TOTAL ESTIMADO])</f>
        <v>64880</v>
      </c>
      <c r="H240" s="24" t="str">
        <f>C230</f>
        <v>Servicios</v>
      </c>
      <c r="I240" s="24" t="str">
        <f>E230</f>
        <v>Sí</v>
      </c>
      <c r="J240" s="24" t="str">
        <f>D230</f>
        <v>Compras por debajo del Umbral</v>
      </c>
    </row>
    <row r="242" spans="1:10" ht="34" customHeight="1" x14ac:dyDescent="0.35">
      <c r="A242" s="36" t="s">
        <v>17105</v>
      </c>
      <c r="B242" s="36" t="s">
        <v>167</v>
      </c>
      <c r="C242" s="36" t="s">
        <v>12252</v>
      </c>
      <c r="D242" s="36" t="s">
        <v>15021</v>
      </c>
      <c r="E242" s="36" t="s">
        <v>11455</v>
      </c>
      <c r="F242" s="36" t="s">
        <v>11595</v>
      </c>
    </row>
    <row r="243" spans="1:10" ht="14.25" customHeight="1" x14ac:dyDescent="0.35">
      <c r="A243" s="37" t="s">
        <v>12038</v>
      </c>
      <c r="B243" s="37" t="s">
        <v>12038</v>
      </c>
      <c r="C243" s="37" t="s">
        <v>7109</v>
      </c>
      <c r="D243" s="37" t="s">
        <v>10634</v>
      </c>
      <c r="E243" s="37" t="s">
        <v>9261</v>
      </c>
      <c r="F243" s="37" t="s">
        <v>7088</v>
      </c>
    </row>
    <row r="244" spans="1:10" ht="14.25" customHeight="1" x14ac:dyDescent="0.35">
      <c r="A244" s="75" t="s">
        <v>15490</v>
      </c>
      <c r="B244" s="38" t="s">
        <v>8918</v>
      </c>
      <c r="C244" s="68">
        <v>45566</v>
      </c>
      <c r="D244" s="75" t="s">
        <v>9819</v>
      </c>
      <c r="E244" s="70" t="s">
        <v>13683</v>
      </c>
      <c r="F244" s="71" t="s">
        <v>3205</v>
      </c>
    </row>
    <row r="245" spans="1:10" ht="14.25" customHeight="1" x14ac:dyDescent="0.35">
      <c r="A245" s="76"/>
      <c r="B245" s="38" t="s">
        <v>1858</v>
      </c>
      <c r="C245" s="69">
        <f>IF(C244="","",IF(AND(MONTH(C244)&gt;=1,MONTH(C244)&lt;=3),1,IF(AND(MONTH(C244)&gt;=4,MONTH(C244)&lt;=6),2,IF(AND(MONTH(C244)&gt;=7,MONTH(C244)&lt;=9),3,4))))</f>
        <v>4</v>
      </c>
      <c r="D245" s="76"/>
      <c r="E245" s="70" t="s">
        <v>2509</v>
      </c>
      <c r="F245" s="71" t="s">
        <v>11612</v>
      </c>
    </row>
    <row r="246" spans="1:10" ht="14.25" customHeight="1" x14ac:dyDescent="0.35">
      <c r="A246" s="76"/>
      <c r="B246" s="38" t="s">
        <v>13526</v>
      </c>
      <c r="C246" s="68">
        <v>45657</v>
      </c>
      <c r="D246" s="76"/>
      <c r="E246" s="70" t="s">
        <v>3198</v>
      </c>
      <c r="F246" s="71" t="s">
        <v>11612</v>
      </c>
    </row>
    <row r="247" spans="1:10" ht="14.25" customHeight="1" x14ac:dyDescent="0.35">
      <c r="A247" s="76"/>
      <c r="B247" s="38" t="s">
        <v>1858</v>
      </c>
      <c r="C247" s="69">
        <f>IF(C246="","",IF(AND(MONTH(C246)&gt;=1,MONTH(C246)&lt;=3),1,IF(AND(MONTH(C246)&gt;=4,MONTH(C246)&lt;=6),2,IF(AND(MONTH(C246)&gt;=7,MONTH(C246)&lt;=9),3,4))))</f>
        <v>4</v>
      </c>
      <c r="D247" s="76"/>
      <c r="E247" s="70" t="s">
        <v>13785</v>
      </c>
      <c r="F247" s="71"/>
    </row>
    <row r="249" spans="1:10" ht="14.25" customHeight="1" x14ac:dyDescent="0.35">
      <c r="A249" s="43" t="s">
        <v>16424</v>
      </c>
      <c r="B249" s="43" t="s">
        <v>16856</v>
      </c>
      <c r="C249" s="43" t="s">
        <v>16326</v>
      </c>
      <c r="D249" s="43" t="s">
        <v>15925</v>
      </c>
      <c r="E249" s="43" t="s">
        <v>7248</v>
      </c>
      <c r="F249" s="43" t="s">
        <v>15955</v>
      </c>
    </row>
    <row r="250" spans="1:10" ht="14.25" customHeight="1" x14ac:dyDescent="0.35">
      <c r="A250" s="39" t="s">
        <v>5934</v>
      </c>
      <c r="B250" s="40" t="str">
        <f ca="1">IFERROR(INDEX(UNSPSCDes,MATCH(INDIRECT(ADDRESS(ROW(),COLUMN()-1,4)),UNSPSCCode,0)),IF(INDIRECT(ADDRESS(ROW(),COLUMN()-1,4))="78111808","Alquiler de vehículos",""))</f>
        <v>Alquiler de vehículos</v>
      </c>
      <c r="C250" s="72" t="str">
        <f>IFERROR(VLOOKUP("UD",'Informacion '!P:Q,2,FALSE),"")</f>
        <v>Unidad</v>
      </c>
      <c r="D250" s="39">
        <v>4</v>
      </c>
      <c r="E250" s="42">
        <v>14740</v>
      </c>
      <c r="F250" s="41">
        <f ca="1">INDIRECT(ADDRESS(ROW(),COLUMN()-2,4))*INDIRECT(ADDRESS(ROW(),COLUMN()-1,4))</f>
        <v>58960</v>
      </c>
    </row>
    <row r="251" spans="1:10" ht="14.25" customHeight="1" x14ac:dyDescent="0.35">
      <c r="E251" s="44" t="s">
        <v>13122</v>
      </c>
      <c r="F251" s="45">
        <f ca="1">SUM(Table9[MONTO TOTAL ESTIMADO])</f>
        <v>58960</v>
      </c>
      <c r="H251" s="24" t="str">
        <f>C243</f>
        <v>Servicios</v>
      </c>
      <c r="I251" s="24" t="str">
        <f>E243</f>
        <v>Sí</v>
      </c>
      <c r="J251" s="24" t="str">
        <f>D243</f>
        <v>Compras por debajo del Umbral</v>
      </c>
    </row>
    <row r="253" spans="1:10" ht="34" customHeight="1" x14ac:dyDescent="0.35">
      <c r="A253" s="36" t="s">
        <v>17105</v>
      </c>
      <c r="B253" s="36" t="s">
        <v>167</v>
      </c>
      <c r="C253" s="36" t="s">
        <v>12252</v>
      </c>
      <c r="D253" s="36" t="s">
        <v>15021</v>
      </c>
      <c r="E253" s="36" t="s">
        <v>11455</v>
      </c>
      <c r="F253" s="36" t="s">
        <v>11595</v>
      </c>
    </row>
    <row r="254" spans="1:10" ht="14.25" customHeight="1" x14ac:dyDescent="0.35">
      <c r="A254" s="37" t="s">
        <v>4577</v>
      </c>
      <c r="B254" s="37" t="s">
        <v>4577</v>
      </c>
      <c r="C254" s="37" t="s">
        <v>7109</v>
      </c>
      <c r="D254" s="37" t="s">
        <v>10634</v>
      </c>
      <c r="E254" s="37" t="s">
        <v>18646</v>
      </c>
      <c r="F254" s="37" t="s">
        <v>7088</v>
      </c>
    </row>
    <row r="255" spans="1:10" ht="14.25" customHeight="1" x14ac:dyDescent="0.35">
      <c r="A255" s="75" t="s">
        <v>15490</v>
      </c>
      <c r="B255" s="38" t="s">
        <v>8918</v>
      </c>
      <c r="C255" s="68">
        <v>45383</v>
      </c>
      <c r="D255" s="75" t="s">
        <v>9819</v>
      </c>
      <c r="E255" s="70" t="s">
        <v>13683</v>
      </c>
      <c r="F255" s="71" t="s">
        <v>3205</v>
      </c>
    </row>
    <row r="256" spans="1:10" ht="14.25" customHeight="1" x14ac:dyDescent="0.35">
      <c r="A256" s="76"/>
      <c r="B256" s="38" t="s">
        <v>1858</v>
      </c>
      <c r="C256" s="69">
        <f>IF(C255="","",IF(AND(MONTH(C255)&gt;=1,MONTH(C255)&lt;=3),1,IF(AND(MONTH(C255)&gt;=4,MONTH(C255)&lt;=6),2,IF(AND(MONTH(C255)&gt;=7,MONTH(C255)&lt;=9),3,4))))</f>
        <v>2</v>
      </c>
      <c r="D256" s="76"/>
      <c r="E256" s="70" t="s">
        <v>2509</v>
      </c>
      <c r="F256" s="71" t="s">
        <v>11612</v>
      </c>
    </row>
    <row r="257" spans="1:10" ht="14.25" customHeight="1" x14ac:dyDescent="0.35">
      <c r="A257" s="76"/>
      <c r="B257" s="38" t="s">
        <v>13526</v>
      </c>
      <c r="C257" s="68">
        <v>45471</v>
      </c>
      <c r="D257" s="76"/>
      <c r="E257" s="70" t="s">
        <v>3198</v>
      </c>
      <c r="F257" s="71" t="s">
        <v>11612</v>
      </c>
    </row>
    <row r="258" spans="1:10" ht="14.25" customHeight="1" x14ac:dyDescent="0.35">
      <c r="A258" s="76"/>
      <c r="B258" s="38" t="s">
        <v>1858</v>
      </c>
      <c r="C258" s="69">
        <f>IF(C257="","",IF(AND(MONTH(C257)&gt;=1,MONTH(C257)&lt;=3),1,IF(AND(MONTH(C257)&gt;=4,MONTH(C257)&lt;=6),2,IF(AND(MONTH(C257)&gt;=7,MONTH(C257)&lt;=9),3,4))))</f>
        <v>2</v>
      </c>
      <c r="D258" s="76"/>
      <c r="E258" s="70" t="s">
        <v>13785</v>
      </c>
      <c r="F258" s="71"/>
    </row>
    <row r="260" spans="1:10" ht="14.25" customHeight="1" x14ac:dyDescent="0.35">
      <c r="A260" s="43" t="s">
        <v>16424</v>
      </c>
      <c r="B260" s="43" t="s">
        <v>16856</v>
      </c>
      <c r="C260" s="43" t="s">
        <v>16326</v>
      </c>
      <c r="D260" s="43" t="s">
        <v>15925</v>
      </c>
      <c r="E260" s="43" t="s">
        <v>7248</v>
      </c>
      <c r="F260" s="43" t="s">
        <v>15955</v>
      </c>
    </row>
    <row r="261" spans="1:10" ht="14.25" customHeight="1" x14ac:dyDescent="0.35">
      <c r="A261" s="39" t="s">
        <v>11457</v>
      </c>
      <c r="B261" s="40" t="str">
        <f ca="1">IFERROR(INDEX(UNSPSCDes,MATCH(INDIRECT(ADDRESS(ROW(),COLUMN()-1,4)),UNSPSCCode,0)),IF(INDIRECT(ADDRESS(ROW(),COLUMN()-1,4))="78180102","Reparación de Transmisión",""))</f>
        <v>Reparación de Transmisión</v>
      </c>
      <c r="C261" s="72" t="str">
        <f>IFERROR(VLOOKUP("UD",'Informacion '!P:Q,2,FALSE),"")</f>
        <v>Unidad</v>
      </c>
      <c r="D261" s="39">
        <v>8</v>
      </c>
      <c r="E261" s="42">
        <v>6431</v>
      </c>
      <c r="F261" s="41">
        <f ca="1">INDIRECT(ADDRESS(ROW(),COLUMN()-2,4))*INDIRECT(ADDRESS(ROW(),COLUMN()-1,4))</f>
        <v>51448</v>
      </c>
    </row>
    <row r="262" spans="1:10" ht="14.25" customHeight="1" x14ac:dyDescent="0.35">
      <c r="A262" s="39" t="s">
        <v>11457</v>
      </c>
      <c r="B262" s="40" t="str">
        <f ca="1">IFERROR(INDEX(UNSPSCDes,MATCH(INDIRECT(ADDRESS(ROW(),COLUMN()-1,4)),UNSPSCCode,0)),IF(INDIRECT(ADDRESS(ROW(),COLUMN()-1,4))="78180102","Reparación de Transmisión",""))</f>
        <v>Reparación de Transmisión</v>
      </c>
      <c r="C262" s="72" t="str">
        <f>IFERROR(VLOOKUP("UD",'Informacion '!P:Q,2,FALSE),"")</f>
        <v>Unidad</v>
      </c>
      <c r="D262" s="39">
        <v>2</v>
      </c>
      <c r="E262" s="42">
        <v>14000</v>
      </c>
      <c r="F262" s="41">
        <f ca="1">INDIRECT(ADDRESS(ROW(),COLUMN()-2,4))*INDIRECT(ADDRESS(ROW(),COLUMN()-1,4))</f>
        <v>28000</v>
      </c>
    </row>
    <row r="263" spans="1:10" ht="14.25" customHeight="1" x14ac:dyDescent="0.35">
      <c r="E263" s="44" t="s">
        <v>13122</v>
      </c>
      <c r="F263" s="45">
        <f ca="1">SUM(Table10[MONTO TOTAL ESTIMADO])</f>
        <v>79448</v>
      </c>
      <c r="H263" s="24" t="str">
        <f>C254</f>
        <v>Servicios</v>
      </c>
      <c r="I263" s="24" t="str">
        <f>E254</f>
        <v>No</v>
      </c>
      <c r="J263" s="24" t="str">
        <f>D254</f>
        <v>Compras por debajo del Umbral</v>
      </c>
    </row>
    <row r="265" spans="1:10" ht="34" customHeight="1" x14ac:dyDescent="0.35">
      <c r="A265" s="36" t="s">
        <v>17105</v>
      </c>
      <c r="B265" s="36" t="s">
        <v>167</v>
      </c>
      <c r="C265" s="36" t="s">
        <v>12252</v>
      </c>
      <c r="D265" s="36" t="s">
        <v>15021</v>
      </c>
      <c r="E265" s="36" t="s">
        <v>11455</v>
      </c>
      <c r="F265" s="36" t="s">
        <v>11595</v>
      </c>
    </row>
    <row r="266" spans="1:10" ht="14.25" customHeight="1" x14ac:dyDescent="0.35">
      <c r="A266" s="37" t="s">
        <v>4577</v>
      </c>
      <c r="B266" s="37" t="s">
        <v>4577</v>
      </c>
      <c r="C266" s="37" t="s">
        <v>7109</v>
      </c>
      <c r="D266" s="37" t="s">
        <v>10634</v>
      </c>
      <c r="E266" s="37" t="s">
        <v>18646</v>
      </c>
      <c r="F266" s="37" t="s">
        <v>7088</v>
      </c>
    </row>
    <row r="267" spans="1:10" ht="14.25" customHeight="1" x14ac:dyDescent="0.35">
      <c r="A267" s="75" t="s">
        <v>15490</v>
      </c>
      <c r="B267" s="38" t="s">
        <v>8918</v>
      </c>
      <c r="C267" s="68">
        <v>45474</v>
      </c>
      <c r="D267" s="75" t="s">
        <v>9819</v>
      </c>
      <c r="E267" s="70" t="s">
        <v>13683</v>
      </c>
      <c r="F267" s="71" t="s">
        <v>3205</v>
      </c>
    </row>
    <row r="268" spans="1:10" ht="14.25" customHeight="1" x14ac:dyDescent="0.35">
      <c r="A268" s="76"/>
      <c r="B268" s="38" t="s">
        <v>1858</v>
      </c>
      <c r="C268" s="69">
        <f>IF(C267="","",IF(AND(MONTH(C267)&gt;=1,MONTH(C267)&lt;=3),1,IF(AND(MONTH(C267)&gt;=4,MONTH(C267)&lt;=6),2,IF(AND(MONTH(C267)&gt;=7,MONTH(C267)&lt;=9),3,4))))</f>
        <v>3</v>
      </c>
      <c r="D268" s="76"/>
      <c r="E268" s="70" t="s">
        <v>2509</v>
      </c>
      <c r="F268" s="71" t="s">
        <v>11612</v>
      </c>
    </row>
    <row r="269" spans="1:10" ht="14.25" customHeight="1" x14ac:dyDescent="0.35">
      <c r="A269" s="76"/>
      <c r="B269" s="38" t="s">
        <v>13526</v>
      </c>
      <c r="C269" s="68">
        <v>45565</v>
      </c>
      <c r="D269" s="76"/>
      <c r="E269" s="70" t="s">
        <v>3198</v>
      </c>
      <c r="F269" s="71" t="s">
        <v>11612</v>
      </c>
    </row>
    <row r="270" spans="1:10" ht="14.25" customHeight="1" x14ac:dyDescent="0.35">
      <c r="A270" s="76"/>
      <c r="B270" s="38" t="s">
        <v>1858</v>
      </c>
      <c r="C270" s="69">
        <f>IF(C269="","",IF(AND(MONTH(C269)&gt;=1,MONTH(C269)&lt;=3),1,IF(AND(MONTH(C269)&gt;=4,MONTH(C269)&lt;=6),2,IF(AND(MONTH(C269)&gt;=7,MONTH(C269)&lt;=9),3,4))))</f>
        <v>3</v>
      </c>
      <c r="D270" s="76"/>
      <c r="E270" s="70" t="s">
        <v>13785</v>
      </c>
      <c r="F270" s="71"/>
    </row>
    <row r="272" spans="1:10" ht="14.25" customHeight="1" x14ac:dyDescent="0.35">
      <c r="A272" s="43" t="s">
        <v>16424</v>
      </c>
      <c r="B272" s="43" t="s">
        <v>16856</v>
      </c>
      <c r="C272" s="43" t="s">
        <v>16326</v>
      </c>
      <c r="D272" s="43" t="s">
        <v>15925</v>
      </c>
      <c r="E272" s="43" t="s">
        <v>7248</v>
      </c>
      <c r="F272" s="43" t="s">
        <v>15955</v>
      </c>
    </row>
    <row r="273" spans="1:10" ht="14.25" customHeight="1" x14ac:dyDescent="0.35">
      <c r="A273" s="39" t="s">
        <v>11457</v>
      </c>
      <c r="B273" s="40" t="str">
        <f ca="1">IFERROR(INDEX(UNSPSCDes,MATCH(INDIRECT(ADDRESS(ROW(),COLUMN()-1,4)),UNSPSCCode,0)),IF(INDIRECT(ADDRESS(ROW(),COLUMN()-1,4))="78180102","Reparación de Transmisión",""))</f>
        <v>Reparación de Transmisión</v>
      </c>
      <c r="C273" s="72" t="str">
        <f>IFERROR(VLOOKUP("UD",'Informacion '!P:Q,2,FALSE),"")</f>
        <v>Unidad</v>
      </c>
      <c r="D273" s="39">
        <v>4</v>
      </c>
      <c r="E273" s="42">
        <v>6431</v>
      </c>
      <c r="F273" s="41">
        <f ca="1">INDIRECT(ADDRESS(ROW(),COLUMN()-2,4))*INDIRECT(ADDRESS(ROW(),COLUMN()-1,4))</f>
        <v>25724</v>
      </c>
    </row>
    <row r="274" spans="1:10" ht="14.25" customHeight="1" x14ac:dyDescent="0.35">
      <c r="A274" s="39" t="s">
        <v>11457</v>
      </c>
      <c r="B274" s="40" t="str">
        <f ca="1">IFERROR(INDEX(UNSPSCDes,MATCH(INDIRECT(ADDRESS(ROW(),COLUMN()-1,4)),UNSPSCCode,0)),IF(INDIRECT(ADDRESS(ROW(),COLUMN()-1,4))="78180102","Reparación de Transmisión",""))</f>
        <v>Reparación de Transmisión</v>
      </c>
      <c r="C274" s="72" t="str">
        <f>IFERROR(VLOOKUP("UD",'Informacion '!P:Q,2,FALSE),"")</f>
        <v>Unidad</v>
      </c>
      <c r="D274" s="39">
        <v>2</v>
      </c>
      <c r="E274" s="42">
        <v>14000</v>
      </c>
      <c r="F274" s="41">
        <f ca="1">INDIRECT(ADDRESS(ROW(),COLUMN()-2,4))*INDIRECT(ADDRESS(ROW(),COLUMN()-1,4))</f>
        <v>28000</v>
      </c>
    </row>
    <row r="275" spans="1:10" ht="14.25" customHeight="1" x14ac:dyDescent="0.35">
      <c r="E275" s="44" t="s">
        <v>13122</v>
      </c>
      <c r="F275" s="45">
        <f ca="1">SUM(Table11[MONTO TOTAL ESTIMADO])</f>
        <v>53724</v>
      </c>
      <c r="H275" s="24" t="str">
        <f>C266</f>
        <v>Servicios</v>
      </c>
      <c r="I275" s="24" t="str">
        <f>E266</f>
        <v>No</v>
      </c>
      <c r="J275" s="24" t="str">
        <f>D266</f>
        <v>Compras por debajo del Umbral</v>
      </c>
    </row>
    <row r="277" spans="1:10" ht="34" customHeight="1" x14ac:dyDescent="0.35">
      <c r="A277" s="36" t="s">
        <v>17105</v>
      </c>
      <c r="B277" s="36" t="s">
        <v>167</v>
      </c>
      <c r="C277" s="36" t="s">
        <v>12252</v>
      </c>
      <c r="D277" s="36" t="s">
        <v>15021</v>
      </c>
      <c r="E277" s="36" t="s">
        <v>11455</v>
      </c>
      <c r="F277" s="36" t="s">
        <v>11595</v>
      </c>
    </row>
    <row r="278" spans="1:10" ht="14.25" customHeight="1" x14ac:dyDescent="0.35">
      <c r="A278" s="37" t="s">
        <v>4577</v>
      </c>
      <c r="B278" s="37" t="s">
        <v>4577</v>
      </c>
      <c r="C278" s="37" t="s">
        <v>7109</v>
      </c>
      <c r="D278" s="37" t="s">
        <v>10634</v>
      </c>
      <c r="E278" s="37" t="s">
        <v>18646</v>
      </c>
      <c r="F278" s="37" t="s">
        <v>7088</v>
      </c>
    </row>
    <row r="279" spans="1:10" ht="14.25" customHeight="1" x14ac:dyDescent="0.35">
      <c r="A279" s="75" t="s">
        <v>15490</v>
      </c>
      <c r="B279" s="38" t="s">
        <v>8918</v>
      </c>
      <c r="C279" s="68">
        <v>45566</v>
      </c>
      <c r="D279" s="75" t="s">
        <v>9819</v>
      </c>
      <c r="E279" s="70" t="s">
        <v>13683</v>
      </c>
      <c r="F279" s="71" t="s">
        <v>3205</v>
      </c>
    </row>
    <row r="280" spans="1:10" ht="14.25" customHeight="1" x14ac:dyDescent="0.35">
      <c r="A280" s="76"/>
      <c r="B280" s="38" t="s">
        <v>1858</v>
      </c>
      <c r="C280" s="69">
        <f>IF(C279="","",IF(AND(MONTH(C279)&gt;=1,MONTH(C279)&lt;=3),1,IF(AND(MONTH(C279)&gt;=4,MONTH(C279)&lt;=6),2,IF(AND(MONTH(C279)&gt;=7,MONTH(C279)&lt;=9),3,4))))</f>
        <v>4</v>
      </c>
      <c r="D280" s="76"/>
      <c r="E280" s="70" t="s">
        <v>2509</v>
      </c>
      <c r="F280" s="71" t="s">
        <v>11612</v>
      </c>
    </row>
    <row r="281" spans="1:10" ht="14.25" customHeight="1" x14ac:dyDescent="0.35">
      <c r="A281" s="76"/>
      <c r="B281" s="38" t="s">
        <v>13526</v>
      </c>
      <c r="C281" s="68">
        <v>45657</v>
      </c>
      <c r="D281" s="76"/>
      <c r="E281" s="70" t="s">
        <v>3198</v>
      </c>
      <c r="F281" s="71" t="s">
        <v>11612</v>
      </c>
    </row>
    <row r="282" spans="1:10" ht="14.25" customHeight="1" x14ac:dyDescent="0.35">
      <c r="A282" s="76"/>
      <c r="B282" s="38" t="s">
        <v>1858</v>
      </c>
      <c r="C282" s="69">
        <f>IF(C281="","",IF(AND(MONTH(C281)&gt;=1,MONTH(C281)&lt;=3),1,IF(AND(MONTH(C281)&gt;=4,MONTH(C281)&lt;=6),2,IF(AND(MONTH(C281)&gt;=7,MONTH(C281)&lt;=9),3,4))))</f>
        <v>4</v>
      </c>
      <c r="D282" s="76"/>
      <c r="E282" s="70" t="s">
        <v>13785</v>
      </c>
      <c r="F282" s="71"/>
    </row>
    <row r="284" spans="1:10" ht="14.25" customHeight="1" x14ac:dyDescent="0.35">
      <c r="A284" s="43" t="s">
        <v>16424</v>
      </c>
      <c r="B284" s="43" t="s">
        <v>16856</v>
      </c>
      <c r="C284" s="43" t="s">
        <v>16326</v>
      </c>
      <c r="D284" s="43" t="s">
        <v>15925</v>
      </c>
      <c r="E284" s="43" t="s">
        <v>7248</v>
      </c>
      <c r="F284" s="43" t="s">
        <v>15955</v>
      </c>
    </row>
    <row r="285" spans="1:10" ht="14.25" customHeight="1" x14ac:dyDescent="0.35">
      <c r="A285" s="39" t="s">
        <v>11457</v>
      </c>
      <c r="B285" s="40" t="str">
        <f ca="1">IFERROR(INDEX(UNSPSCDes,MATCH(INDIRECT(ADDRESS(ROW(),COLUMN()-1,4)),UNSPSCCode,0)),IF(INDIRECT(ADDRESS(ROW(),COLUMN()-1,4))="78180102","Reparación de Transmisión",""))</f>
        <v>Reparación de Transmisión</v>
      </c>
      <c r="C285" s="72" t="str">
        <f>IFERROR(VLOOKUP("UD",'Informacion '!P:Q,2,FALSE),"")</f>
        <v>Unidad</v>
      </c>
      <c r="D285" s="39">
        <v>4</v>
      </c>
      <c r="E285" s="42">
        <v>6431</v>
      </c>
      <c r="F285" s="41">
        <f ca="1">INDIRECT(ADDRESS(ROW(),COLUMN()-2,4))*INDIRECT(ADDRESS(ROW(),COLUMN()-1,4))</f>
        <v>25724</v>
      </c>
    </row>
    <row r="286" spans="1:10" ht="14.25" customHeight="1" x14ac:dyDescent="0.35">
      <c r="A286" s="39" t="s">
        <v>11457</v>
      </c>
      <c r="B286" s="40" t="str">
        <f ca="1">IFERROR(INDEX(UNSPSCDes,MATCH(INDIRECT(ADDRESS(ROW(),COLUMN()-1,4)),UNSPSCCode,0)),IF(INDIRECT(ADDRESS(ROW(),COLUMN()-1,4))="78180102","Reparación de Transmisión",""))</f>
        <v>Reparación de Transmisión</v>
      </c>
      <c r="C286" s="72" t="str">
        <f>IFERROR(VLOOKUP("UD",'Informacion '!P:Q,2,FALSE),"")</f>
        <v>Unidad</v>
      </c>
      <c r="D286" s="39">
        <v>2</v>
      </c>
      <c r="E286" s="42">
        <v>14000</v>
      </c>
      <c r="F286" s="41">
        <f ca="1">INDIRECT(ADDRESS(ROW(),COLUMN()-2,4))*INDIRECT(ADDRESS(ROW(),COLUMN()-1,4))</f>
        <v>28000</v>
      </c>
    </row>
    <row r="287" spans="1:10" ht="14.25" customHeight="1" x14ac:dyDescent="0.35">
      <c r="E287" s="44" t="s">
        <v>13122</v>
      </c>
      <c r="F287" s="45">
        <f ca="1">SUM(Table12[MONTO TOTAL ESTIMADO])</f>
        <v>53724</v>
      </c>
      <c r="H287" s="24" t="str">
        <f>C278</f>
        <v>Servicios</v>
      </c>
      <c r="I287" s="24" t="str">
        <f>E278</f>
        <v>No</v>
      </c>
      <c r="J287" s="24" t="str">
        <f>D278</f>
        <v>Compras por debajo del Umbral</v>
      </c>
    </row>
    <row r="289" spans="1:10" ht="34" customHeight="1" x14ac:dyDescent="0.35">
      <c r="A289" s="36" t="s">
        <v>17105</v>
      </c>
      <c r="B289" s="36" t="s">
        <v>167</v>
      </c>
      <c r="C289" s="36" t="s">
        <v>12252</v>
      </c>
      <c r="D289" s="36" t="s">
        <v>15021</v>
      </c>
      <c r="E289" s="36" t="s">
        <v>11455</v>
      </c>
      <c r="F289" s="36" t="s">
        <v>11595</v>
      </c>
    </row>
    <row r="290" spans="1:10" ht="14.25" customHeight="1" x14ac:dyDescent="0.35">
      <c r="A290" s="37" t="s">
        <v>3258</v>
      </c>
      <c r="B290" s="37" t="s">
        <v>3258</v>
      </c>
      <c r="C290" s="37" t="s">
        <v>7109</v>
      </c>
      <c r="D290" s="37" t="s">
        <v>2615</v>
      </c>
      <c r="E290" s="37" t="s">
        <v>18646</v>
      </c>
      <c r="F290" s="37" t="s">
        <v>7088</v>
      </c>
    </row>
    <row r="291" spans="1:10" ht="14.25" customHeight="1" x14ac:dyDescent="0.35">
      <c r="A291" s="75" t="s">
        <v>15490</v>
      </c>
      <c r="B291" s="38" t="s">
        <v>8918</v>
      </c>
      <c r="C291" s="68">
        <v>45334</v>
      </c>
      <c r="D291" s="75" t="s">
        <v>9819</v>
      </c>
      <c r="E291" s="70" t="s">
        <v>13683</v>
      </c>
      <c r="F291" s="71" t="s">
        <v>3205</v>
      </c>
    </row>
    <row r="292" spans="1:10" ht="14.25" customHeight="1" x14ac:dyDescent="0.35">
      <c r="A292" s="76"/>
      <c r="B292" s="38" t="s">
        <v>1858</v>
      </c>
      <c r="C292" s="69">
        <f>IF(C291="","",IF(AND(MONTH(C291)&gt;=1,MONTH(C291)&lt;=3),1,IF(AND(MONTH(C291)&gt;=4,MONTH(C291)&lt;=6),2,IF(AND(MONTH(C291)&gt;=7,MONTH(C291)&lt;=9),3,4))))</f>
        <v>1</v>
      </c>
      <c r="D292" s="76"/>
      <c r="E292" s="70" t="s">
        <v>2509</v>
      </c>
      <c r="F292" s="71" t="s">
        <v>11612</v>
      </c>
    </row>
    <row r="293" spans="1:10" ht="14.25" customHeight="1" x14ac:dyDescent="0.35">
      <c r="A293" s="76"/>
      <c r="B293" s="38" t="s">
        <v>13526</v>
      </c>
      <c r="C293" s="68">
        <v>45380</v>
      </c>
      <c r="D293" s="76"/>
      <c r="E293" s="70" t="s">
        <v>3198</v>
      </c>
      <c r="F293" s="71" t="s">
        <v>11612</v>
      </c>
    </row>
    <row r="294" spans="1:10" ht="14.25" customHeight="1" x14ac:dyDescent="0.35">
      <c r="A294" s="76"/>
      <c r="B294" s="38" t="s">
        <v>1858</v>
      </c>
      <c r="C294" s="69">
        <f>IF(C293="","",IF(AND(MONTH(C293)&gt;=1,MONTH(C293)&lt;=3),1,IF(AND(MONTH(C293)&gt;=4,MONTH(C293)&lt;=6),2,IF(AND(MONTH(C293)&gt;=7,MONTH(C293)&lt;=9),3,4))))</f>
        <v>1</v>
      </c>
      <c r="D294" s="76"/>
      <c r="E294" s="70" t="s">
        <v>13785</v>
      </c>
      <c r="F294" s="71"/>
    </row>
    <row r="296" spans="1:10" ht="14.25" customHeight="1" x14ac:dyDescent="0.35">
      <c r="A296" s="43" t="s">
        <v>16424</v>
      </c>
      <c r="B296" s="43" t="s">
        <v>16856</v>
      </c>
      <c r="C296" s="43" t="s">
        <v>16326</v>
      </c>
      <c r="D296" s="43" t="s">
        <v>15925</v>
      </c>
      <c r="E296" s="43" t="s">
        <v>7248</v>
      </c>
      <c r="F296" s="43" t="s">
        <v>15955</v>
      </c>
    </row>
    <row r="297" spans="1:10" ht="14.25" customHeight="1" x14ac:dyDescent="0.35">
      <c r="A297" s="39" t="s">
        <v>11979</v>
      </c>
      <c r="B297" s="40" t="str">
        <f ca="1">IFERROR(INDEX(UNSPSCDes,MATCH(INDIRECT(ADDRESS(ROW(),COLUMN()-1,4)),UNSPSCCode,0)),IF(INDIRECT(ADDRESS(ROW(),COLUMN()-1,4))="80101502","Servicios de asesoramiento sobre fusiones de empresas",""))</f>
        <v>Servicios de asesoramiento sobre fusiones de empresas</v>
      </c>
      <c r="C297" s="72" t="str">
        <f>IFERROR(VLOOKUP("UD",'Informacion '!P:Q,2,FALSE),"")</f>
        <v>Unidad</v>
      </c>
      <c r="D297" s="39">
        <v>9</v>
      </c>
      <c r="E297" s="42">
        <v>660033</v>
      </c>
      <c r="F297" s="41">
        <f ca="1">INDIRECT(ADDRESS(ROW(),COLUMN()-2,4))*INDIRECT(ADDRESS(ROW(),COLUMN()-1,4))</f>
        <v>5940297</v>
      </c>
    </row>
    <row r="298" spans="1:10" ht="14.25" customHeight="1" x14ac:dyDescent="0.35">
      <c r="E298" s="44" t="s">
        <v>13122</v>
      </c>
      <c r="F298" s="45">
        <f ca="1">SUM(Table13[MONTO TOTAL ESTIMADO])</f>
        <v>5940297</v>
      </c>
      <c r="H298" s="24" t="str">
        <f>C290</f>
        <v>Servicios</v>
      </c>
      <c r="I298" s="24" t="str">
        <f>E290</f>
        <v>No</v>
      </c>
      <c r="J298" s="24" t="str">
        <f>D290</f>
        <v>Licitacion Publica</v>
      </c>
    </row>
    <row r="300" spans="1:10" ht="34" customHeight="1" x14ac:dyDescent="0.35">
      <c r="A300" s="36" t="s">
        <v>17105</v>
      </c>
      <c r="B300" s="36" t="s">
        <v>167</v>
      </c>
      <c r="C300" s="36" t="s">
        <v>12252</v>
      </c>
      <c r="D300" s="36" t="s">
        <v>15021</v>
      </c>
      <c r="E300" s="36" t="s">
        <v>11455</v>
      </c>
      <c r="F300" s="36" t="s">
        <v>11595</v>
      </c>
    </row>
    <row r="301" spans="1:10" ht="14.25" customHeight="1" x14ac:dyDescent="0.35">
      <c r="A301" s="37" t="s">
        <v>3258</v>
      </c>
      <c r="B301" s="37" t="s">
        <v>3258</v>
      </c>
      <c r="C301" s="37" t="s">
        <v>7109</v>
      </c>
      <c r="D301" s="37" t="s">
        <v>2615</v>
      </c>
      <c r="E301" s="37" t="s">
        <v>18646</v>
      </c>
      <c r="F301" s="37" t="s">
        <v>7088</v>
      </c>
    </row>
    <row r="302" spans="1:10" ht="14.25" customHeight="1" x14ac:dyDescent="0.35">
      <c r="A302" s="75" t="s">
        <v>15490</v>
      </c>
      <c r="B302" s="38" t="s">
        <v>8918</v>
      </c>
      <c r="C302" s="68">
        <v>45383</v>
      </c>
      <c r="D302" s="75" t="s">
        <v>9819</v>
      </c>
      <c r="E302" s="70" t="s">
        <v>13683</v>
      </c>
      <c r="F302" s="71" t="s">
        <v>3205</v>
      </c>
    </row>
    <row r="303" spans="1:10" ht="14.25" customHeight="1" x14ac:dyDescent="0.35">
      <c r="A303" s="76"/>
      <c r="B303" s="38" t="s">
        <v>1858</v>
      </c>
      <c r="C303" s="69">
        <f>IF(C302="","",IF(AND(MONTH(C302)&gt;=1,MONTH(C302)&lt;=3),1,IF(AND(MONTH(C302)&gt;=4,MONTH(C302)&lt;=6),2,IF(AND(MONTH(C302)&gt;=7,MONTH(C302)&lt;=9),3,4))))</f>
        <v>2</v>
      </c>
      <c r="D303" s="76"/>
      <c r="E303" s="70" t="s">
        <v>2509</v>
      </c>
      <c r="F303" s="71" t="s">
        <v>11612</v>
      </c>
    </row>
    <row r="304" spans="1:10" ht="14.25" customHeight="1" x14ac:dyDescent="0.35">
      <c r="A304" s="76"/>
      <c r="B304" s="38" t="s">
        <v>13526</v>
      </c>
      <c r="C304" s="68">
        <v>45471</v>
      </c>
      <c r="D304" s="76"/>
      <c r="E304" s="70" t="s">
        <v>3198</v>
      </c>
      <c r="F304" s="71" t="s">
        <v>11612</v>
      </c>
    </row>
    <row r="305" spans="1:10" ht="14.25" customHeight="1" x14ac:dyDescent="0.35">
      <c r="A305" s="76"/>
      <c r="B305" s="38" t="s">
        <v>1858</v>
      </c>
      <c r="C305" s="69">
        <f>IF(C304="","",IF(AND(MONTH(C304)&gt;=1,MONTH(C304)&lt;=3),1,IF(AND(MONTH(C304)&gt;=4,MONTH(C304)&lt;=6),2,IF(AND(MONTH(C304)&gt;=7,MONTH(C304)&lt;=9),3,4))))</f>
        <v>2</v>
      </c>
      <c r="D305" s="76"/>
      <c r="E305" s="70" t="s">
        <v>13785</v>
      </c>
      <c r="F305" s="71"/>
    </row>
    <row r="307" spans="1:10" ht="14.25" customHeight="1" x14ac:dyDescent="0.35">
      <c r="A307" s="43" t="s">
        <v>16424</v>
      </c>
      <c r="B307" s="43" t="s">
        <v>16856</v>
      </c>
      <c r="C307" s="43" t="s">
        <v>16326</v>
      </c>
      <c r="D307" s="43" t="s">
        <v>15925</v>
      </c>
      <c r="E307" s="43" t="s">
        <v>7248</v>
      </c>
      <c r="F307" s="43" t="s">
        <v>15955</v>
      </c>
    </row>
    <row r="308" spans="1:10" ht="14.25" customHeight="1" x14ac:dyDescent="0.35">
      <c r="A308" s="39" t="s">
        <v>11979</v>
      </c>
      <c r="B308" s="40" t="str">
        <f ca="1">IFERROR(INDEX(UNSPSCDes,MATCH(INDIRECT(ADDRESS(ROW(),COLUMN()-1,4)),UNSPSCCode,0)),IF(INDIRECT(ADDRESS(ROW(),COLUMN()-1,4))="80101502","Servicios de asesoramiento sobre fusiones de empresas",""))</f>
        <v>Servicios de asesoramiento sobre fusiones de empresas</v>
      </c>
      <c r="C308" s="72" t="str">
        <f>IFERROR(VLOOKUP("UD",'Informacion '!P:Q,2,FALSE),"")</f>
        <v>Unidad</v>
      </c>
      <c r="D308" s="39">
        <v>18</v>
      </c>
      <c r="E308" s="42">
        <v>660033</v>
      </c>
      <c r="F308" s="41">
        <f ca="1">INDIRECT(ADDRESS(ROW(),COLUMN()-2,4))*INDIRECT(ADDRESS(ROW(),COLUMN()-1,4))</f>
        <v>11880594</v>
      </c>
    </row>
    <row r="309" spans="1:10" ht="14.25" customHeight="1" x14ac:dyDescent="0.35">
      <c r="E309" s="44" t="s">
        <v>13122</v>
      </c>
      <c r="F309" s="45">
        <f ca="1">SUM(Table14[MONTO TOTAL ESTIMADO])</f>
        <v>11880594</v>
      </c>
      <c r="H309" s="24" t="str">
        <f>C301</f>
        <v>Servicios</v>
      </c>
      <c r="I309" s="24" t="str">
        <f>E301</f>
        <v>No</v>
      </c>
      <c r="J309" s="24" t="str">
        <f>D301</f>
        <v>Licitacion Publica</v>
      </c>
    </row>
    <row r="311" spans="1:10" ht="34" customHeight="1" x14ac:dyDescent="0.35">
      <c r="A311" s="36" t="s">
        <v>17105</v>
      </c>
      <c r="B311" s="36" t="s">
        <v>167</v>
      </c>
      <c r="C311" s="36" t="s">
        <v>12252</v>
      </c>
      <c r="D311" s="36" t="s">
        <v>15021</v>
      </c>
      <c r="E311" s="36" t="s">
        <v>11455</v>
      </c>
      <c r="F311" s="36" t="s">
        <v>11595</v>
      </c>
    </row>
    <row r="312" spans="1:10" ht="14.25" customHeight="1" x14ac:dyDescent="0.35">
      <c r="A312" s="37" t="s">
        <v>18166</v>
      </c>
      <c r="B312" s="37" t="s">
        <v>18166</v>
      </c>
      <c r="C312" s="37" t="s">
        <v>16384</v>
      </c>
      <c r="D312" s="37" t="s">
        <v>2615</v>
      </c>
      <c r="E312" s="37" t="s">
        <v>18646</v>
      </c>
      <c r="F312" s="37" t="s">
        <v>7088</v>
      </c>
    </row>
    <row r="313" spans="1:10" ht="14.25" customHeight="1" x14ac:dyDescent="0.35">
      <c r="A313" s="75" t="s">
        <v>15490</v>
      </c>
      <c r="B313" s="38" t="s">
        <v>8918</v>
      </c>
      <c r="C313" s="68">
        <v>45383</v>
      </c>
      <c r="D313" s="75" t="s">
        <v>9819</v>
      </c>
      <c r="E313" s="70" t="s">
        <v>13683</v>
      </c>
      <c r="F313" s="71" t="s">
        <v>3205</v>
      </c>
    </row>
    <row r="314" spans="1:10" ht="14.25" customHeight="1" x14ac:dyDescent="0.35">
      <c r="A314" s="76"/>
      <c r="B314" s="38" t="s">
        <v>1858</v>
      </c>
      <c r="C314" s="69">
        <f>IF(C313="","",IF(AND(MONTH(C313)&gt;=1,MONTH(C313)&lt;=3),1,IF(AND(MONTH(C313)&gt;=4,MONTH(C313)&lt;=6),2,IF(AND(MONTH(C313)&gt;=7,MONTH(C313)&lt;=9),3,4))))</f>
        <v>2</v>
      </c>
      <c r="D314" s="76"/>
      <c r="E314" s="70" t="s">
        <v>2509</v>
      </c>
      <c r="F314" s="71" t="s">
        <v>11612</v>
      </c>
    </row>
    <row r="315" spans="1:10" ht="14.25" customHeight="1" x14ac:dyDescent="0.35">
      <c r="A315" s="76"/>
      <c r="B315" s="38" t="s">
        <v>13526</v>
      </c>
      <c r="C315" s="68">
        <v>45471</v>
      </c>
      <c r="D315" s="76"/>
      <c r="E315" s="70" t="s">
        <v>3198</v>
      </c>
      <c r="F315" s="71" t="s">
        <v>11612</v>
      </c>
    </row>
    <row r="316" spans="1:10" ht="14.25" customHeight="1" x14ac:dyDescent="0.35">
      <c r="A316" s="76"/>
      <c r="B316" s="38" t="s">
        <v>1858</v>
      </c>
      <c r="C316" s="69">
        <f>IF(C315="","",IF(AND(MONTH(C315)&gt;=1,MONTH(C315)&lt;=3),1,IF(AND(MONTH(C315)&gt;=4,MONTH(C315)&lt;=6),2,IF(AND(MONTH(C315)&gt;=7,MONTH(C315)&lt;=9),3,4))))</f>
        <v>2</v>
      </c>
      <c r="D316" s="76"/>
      <c r="E316" s="70" t="s">
        <v>13785</v>
      </c>
      <c r="F316" s="71"/>
    </row>
    <row r="318" spans="1:10" ht="14.25" customHeight="1" x14ac:dyDescent="0.35">
      <c r="A318" s="43" t="s">
        <v>16424</v>
      </c>
      <c r="B318" s="43" t="s">
        <v>16856</v>
      </c>
      <c r="C318" s="43" t="s">
        <v>16326</v>
      </c>
      <c r="D318" s="43" t="s">
        <v>15925</v>
      </c>
      <c r="E318" s="43" t="s">
        <v>7248</v>
      </c>
      <c r="F318" s="43" t="s">
        <v>15955</v>
      </c>
    </row>
    <row r="319" spans="1:10" ht="14.25" customHeight="1" x14ac:dyDescent="0.35">
      <c r="A319" s="39" t="s">
        <v>18641</v>
      </c>
      <c r="B319" s="40" t="str">
        <f ca="1">IFERROR(INDEX(UNSPSCDes,MATCH(INDIRECT(ADDRESS(ROW(),COLUMN()-1,4)),UNSPSCCode,0)),IF(INDIRECT(ADDRESS(ROW(),COLUMN()-1,4))="80101504","Servicios de asesoramiento sobre planificación estratégica",""))</f>
        <v>Servicios de asesoramiento sobre planificación estratégica</v>
      </c>
      <c r="C319" s="72" t="str">
        <f>IFERROR(VLOOKUP("UD",'Informacion '!P:Q,2,FALSE),"")</f>
        <v>Unidad</v>
      </c>
      <c r="D319" s="39">
        <v>160</v>
      </c>
      <c r="E319" s="42">
        <v>177000</v>
      </c>
      <c r="F319" s="41">
        <f ca="1">INDIRECT(ADDRESS(ROW(),COLUMN()-2,4))*INDIRECT(ADDRESS(ROW(),COLUMN()-1,4))</f>
        <v>28320000</v>
      </c>
    </row>
    <row r="320" spans="1:10" ht="14.25" customHeight="1" x14ac:dyDescent="0.35">
      <c r="A320" s="39" t="s">
        <v>18641</v>
      </c>
      <c r="B320" s="40" t="str">
        <f ca="1">IFERROR(INDEX(UNSPSCDes,MATCH(INDIRECT(ADDRESS(ROW(),COLUMN()-1,4)),UNSPSCCode,0)),IF(INDIRECT(ADDRESS(ROW(),COLUMN()-1,4))="80101504","Servicios de asesoramiento sobre planificación estratégica",""))</f>
        <v>Servicios de asesoramiento sobre planificación estratégica</v>
      </c>
      <c r="C320" s="72" t="str">
        <f>IFERROR(VLOOKUP("UD",'Informacion '!P:Q,2,FALSE),"")</f>
        <v>Unidad</v>
      </c>
      <c r="D320" s="39">
        <v>1</v>
      </c>
      <c r="E320" s="42">
        <v>2400000</v>
      </c>
      <c r="F320" s="41">
        <f ca="1">INDIRECT(ADDRESS(ROW(),COLUMN()-2,4))*INDIRECT(ADDRESS(ROW(),COLUMN()-1,4))</f>
        <v>2400000</v>
      </c>
    </row>
    <row r="321" spans="1:10" ht="14.25" customHeight="1" x14ac:dyDescent="0.35">
      <c r="E321" s="44" t="s">
        <v>13122</v>
      </c>
      <c r="F321" s="45">
        <f ca="1">SUM(Table15[MONTO TOTAL ESTIMADO])</f>
        <v>30720000</v>
      </c>
      <c r="H321" s="24" t="str">
        <f>C312</f>
        <v>Servicios: Consultorías</v>
      </c>
      <c r="I321" s="24" t="str">
        <f>E312</f>
        <v>No</v>
      </c>
      <c r="J321" s="24" t="str">
        <f>D312</f>
        <v>Licitacion Publica</v>
      </c>
    </row>
    <row r="323" spans="1:10" ht="34" customHeight="1" x14ac:dyDescent="0.35">
      <c r="A323" s="36" t="s">
        <v>17105</v>
      </c>
      <c r="B323" s="36" t="s">
        <v>167</v>
      </c>
      <c r="C323" s="36" t="s">
        <v>12252</v>
      </c>
      <c r="D323" s="36" t="s">
        <v>15021</v>
      </c>
      <c r="E323" s="36" t="s">
        <v>11455</v>
      </c>
      <c r="F323" s="36" t="s">
        <v>11595</v>
      </c>
    </row>
    <row r="324" spans="1:10" ht="14.25" customHeight="1" x14ac:dyDescent="0.35">
      <c r="A324" s="37" t="s">
        <v>1905</v>
      </c>
      <c r="B324" s="37" t="s">
        <v>1905</v>
      </c>
      <c r="C324" s="37" t="s">
        <v>7109</v>
      </c>
      <c r="D324" s="37" t="s">
        <v>1950</v>
      </c>
      <c r="E324" s="37" t="s">
        <v>18646</v>
      </c>
      <c r="F324" s="37" t="s">
        <v>7088</v>
      </c>
    </row>
    <row r="325" spans="1:10" ht="14.25" customHeight="1" x14ac:dyDescent="0.35">
      <c r="A325" s="75" t="s">
        <v>15490</v>
      </c>
      <c r="B325" s="38" t="s">
        <v>8918</v>
      </c>
      <c r="C325" s="68">
        <v>45334</v>
      </c>
      <c r="D325" s="75" t="s">
        <v>9819</v>
      </c>
      <c r="E325" s="70" t="s">
        <v>13683</v>
      </c>
      <c r="F325" s="71" t="s">
        <v>3205</v>
      </c>
    </row>
    <row r="326" spans="1:10" ht="14.25" customHeight="1" x14ac:dyDescent="0.35">
      <c r="A326" s="76"/>
      <c r="B326" s="38" t="s">
        <v>1858</v>
      </c>
      <c r="C326" s="69">
        <f>IF(C325="","",IF(AND(MONTH(C325)&gt;=1,MONTH(C325)&lt;=3),1,IF(AND(MONTH(C325)&gt;=4,MONTH(C325)&lt;=6),2,IF(AND(MONTH(C325)&gt;=7,MONTH(C325)&lt;=9),3,4))))</f>
        <v>1</v>
      </c>
      <c r="D326" s="76"/>
      <c r="E326" s="70" t="s">
        <v>2509</v>
      </c>
      <c r="F326" s="71" t="s">
        <v>11612</v>
      </c>
    </row>
    <row r="327" spans="1:10" ht="14.25" customHeight="1" x14ac:dyDescent="0.35">
      <c r="A327" s="76"/>
      <c r="B327" s="38" t="s">
        <v>13526</v>
      </c>
      <c r="C327" s="68">
        <v>45380</v>
      </c>
      <c r="D327" s="76"/>
      <c r="E327" s="70" t="s">
        <v>3198</v>
      </c>
      <c r="F327" s="71" t="s">
        <v>11612</v>
      </c>
    </row>
    <row r="328" spans="1:10" ht="14.25" customHeight="1" x14ac:dyDescent="0.35">
      <c r="A328" s="76"/>
      <c r="B328" s="38" t="s">
        <v>1858</v>
      </c>
      <c r="C328" s="69">
        <f>IF(C327="","",IF(AND(MONTH(C327)&gt;=1,MONTH(C327)&lt;=3),1,IF(AND(MONTH(C327)&gt;=4,MONTH(C327)&lt;=6),2,IF(AND(MONTH(C327)&gt;=7,MONTH(C327)&lt;=9),3,4))))</f>
        <v>1</v>
      </c>
      <c r="D328" s="76"/>
      <c r="E328" s="70" t="s">
        <v>13785</v>
      </c>
      <c r="F328" s="71"/>
    </row>
    <row r="330" spans="1:10" ht="14.25" customHeight="1" x14ac:dyDescent="0.35">
      <c r="A330" s="43" t="s">
        <v>16424</v>
      </c>
      <c r="B330" s="43" t="s">
        <v>16856</v>
      </c>
      <c r="C330" s="43" t="s">
        <v>16326</v>
      </c>
      <c r="D330" s="43" t="s">
        <v>15925</v>
      </c>
      <c r="E330" s="43" t="s">
        <v>7248</v>
      </c>
      <c r="F330" s="43" t="s">
        <v>15955</v>
      </c>
    </row>
    <row r="331" spans="1:10" ht="14.25" customHeight="1" x14ac:dyDescent="0.35">
      <c r="A331" s="39" t="s">
        <v>19089</v>
      </c>
      <c r="B331" s="40" t="str">
        <f ca="1">IFERROR(INDEX(UNSPSCDes,MATCH(INDIRECT(ADDRESS(ROW(),COLUMN()-1,4)),UNSPSCCode,0)),IF(INDIRECT(ADDRESS(ROW(),COLUMN()-1,4))="80101506","Asesoramiento en estructuras organizacionales",""))</f>
        <v>Asesoramiento en estructuras organizacionales</v>
      </c>
      <c r="C331" s="72" t="str">
        <f>IFERROR(VLOOKUP("UD",'Informacion '!P:Q,2,FALSE),"")</f>
        <v>Unidad</v>
      </c>
      <c r="D331" s="39">
        <v>1</v>
      </c>
      <c r="E331" s="42">
        <v>2596000</v>
      </c>
      <c r="F331" s="41">
        <f ca="1">INDIRECT(ADDRESS(ROW(),COLUMN()-2,4))*INDIRECT(ADDRESS(ROW(),COLUMN()-1,4))</f>
        <v>2596000</v>
      </c>
    </row>
    <row r="332" spans="1:10" ht="14.25" customHeight="1" x14ac:dyDescent="0.35">
      <c r="E332" s="44" t="s">
        <v>13122</v>
      </c>
      <c r="F332" s="45">
        <f ca="1">SUM(Table16[MONTO TOTAL ESTIMADO])</f>
        <v>2596000</v>
      </c>
      <c r="H332" s="24" t="str">
        <f>C324</f>
        <v>Servicios</v>
      </c>
      <c r="I332" s="24" t="str">
        <f>E324</f>
        <v>No</v>
      </c>
      <c r="J332" s="24" t="str">
        <f>D324</f>
        <v>Comparacion de Precios</v>
      </c>
    </row>
    <row r="334" spans="1:10" ht="34" customHeight="1" x14ac:dyDescent="0.35">
      <c r="A334" s="36" t="s">
        <v>17105</v>
      </c>
      <c r="B334" s="36" t="s">
        <v>167</v>
      </c>
      <c r="C334" s="36" t="s">
        <v>12252</v>
      </c>
      <c r="D334" s="36" t="s">
        <v>15021</v>
      </c>
      <c r="E334" s="36" t="s">
        <v>11455</v>
      </c>
      <c r="F334" s="36" t="s">
        <v>11595</v>
      </c>
    </row>
    <row r="335" spans="1:10" ht="14.25" customHeight="1" x14ac:dyDescent="0.35">
      <c r="A335" s="37" t="s">
        <v>1905</v>
      </c>
      <c r="B335" s="37" t="s">
        <v>1905</v>
      </c>
      <c r="C335" s="37" t="s">
        <v>7109</v>
      </c>
      <c r="D335" s="37" t="s">
        <v>1950</v>
      </c>
      <c r="E335" s="37" t="s">
        <v>18646</v>
      </c>
      <c r="F335" s="37" t="s">
        <v>7088</v>
      </c>
    </row>
    <row r="336" spans="1:10" ht="14.25" customHeight="1" x14ac:dyDescent="0.35">
      <c r="A336" s="75" t="s">
        <v>15490</v>
      </c>
      <c r="B336" s="38" t="s">
        <v>8918</v>
      </c>
      <c r="C336" s="68">
        <v>45383</v>
      </c>
      <c r="D336" s="75" t="s">
        <v>9819</v>
      </c>
      <c r="E336" s="70" t="s">
        <v>13683</v>
      </c>
      <c r="F336" s="71" t="s">
        <v>3205</v>
      </c>
    </row>
    <row r="337" spans="1:10" ht="14.25" customHeight="1" x14ac:dyDescent="0.35">
      <c r="A337" s="76"/>
      <c r="B337" s="38" t="s">
        <v>1858</v>
      </c>
      <c r="C337" s="69">
        <f>IF(C336="","",IF(AND(MONTH(C336)&gt;=1,MONTH(C336)&lt;=3),1,IF(AND(MONTH(C336)&gt;=4,MONTH(C336)&lt;=6),2,IF(AND(MONTH(C336)&gt;=7,MONTH(C336)&lt;=9),3,4))))</f>
        <v>2</v>
      </c>
      <c r="D337" s="76"/>
      <c r="E337" s="70" t="s">
        <v>2509</v>
      </c>
      <c r="F337" s="71" t="s">
        <v>11612</v>
      </c>
    </row>
    <row r="338" spans="1:10" ht="14.25" customHeight="1" x14ac:dyDescent="0.35">
      <c r="A338" s="76"/>
      <c r="B338" s="38" t="s">
        <v>13526</v>
      </c>
      <c r="C338" s="68">
        <v>45471</v>
      </c>
      <c r="D338" s="76"/>
      <c r="E338" s="70" t="s">
        <v>3198</v>
      </c>
      <c r="F338" s="71" t="s">
        <v>11612</v>
      </c>
    </row>
    <row r="339" spans="1:10" ht="14.25" customHeight="1" x14ac:dyDescent="0.35">
      <c r="A339" s="76"/>
      <c r="B339" s="38" t="s">
        <v>1858</v>
      </c>
      <c r="C339" s="69">
        <f>IF(C338="","",IF(AND(MONTH(C338)&gt;=1,MONTH(C338)&lt;=3),1,IF(AND(MONTH(C338)&gt;=4,MONTH(C338)&lt;=6),2,IF(AND(MONTH(C338)&gt;=7,MONTH(C338)&lt;=9),3,4))))</f>
        <v>2</v>
      </c>
      <c r="D339" s="76"/>
      <c r="E339" s="70" t="s">
        <v>13785</v>
      </c>
      <c r="F339" s="71"/>
    </row>
    <row r="341" spans="1:10" ht="14.25" customHeight="1" x14ac:dyDescent="0.35">
      <c r="A341" s="43" t="s">
        <v>16424</v>
      </c>
      <c r="B341" s="43" t="s">
        <v>16856</v>
      </c>
      <c r="C341" s="43" t="s">
        <v>16326</v>
      </c>
      <c r="D341" s="43" t="s">
        <v>15925</v>
      </c>
      <c r="E341" s="43" t="s">
        <v>7248</v>
      </c>
      <c r="F341" s="43" t="s">
        <v>15955</v>
      </c>
    </row>
    <row r="342" spans="1:10" ht="14.25" customHeight="1" x14ac:dyDescent="0.35">
      <c r="A342" s="39" t="s">
        <v>7471</v>
      </c>
      <c r="B342" s="40" t="str">
        <f ca="1">IFERROR(INDEX(UNSPSCDes,MATCH(INDIRECT(ADDRESS(ROW(),COLUMN()-1,4)),UNSPSCCode,0)),IF(INDIRECT(ADDRESS(ROW(),COLUMN()-1,4))="80101507","Servicios de asesoramiento sobre tecnologías de la información",""))</f>
        <v>Servicios de asesoramiento sobre tecnologías de la información</v>
      </c>
      <c r="C342" s="72" t="str">
        <f>IFERROR(VLOOKUP("UD",'Informacion '!P:Q,2,FALSE),"")</f>
        <v>Unidad</v>
      </c>
      <c r="D342" s="39">
        <v>2</v>
      </c>
      <c r="E342" s="42">
        <v>490000</v>
      </c>
      <c r="F342" s="41">
        <f ca="1">INDIRECT(ADDRESS(ROW(),COLUMN()-2,4))*INDIRECT(ADDRESS(ROW(),COLUMN()-1,4))</f>
        <v>980000</v>
      </c>
    </row>
    <row r="343" spans="1:10" ht="14.25" customHeight="1" x14ac:dyDescent="0.35">
      <c r="A343" s="39" t="s">
        <v>19089</v>
      </c>
      <c r="B343" s="40" t="str">
        <f ca="1">IFERROR(INDEX(UNSPSCDes,MATCH(INDIRECT(ADDRESS(ROW(),COLUMN()-1,4)),UNSPSCCode,0)),IF(INDIRECT(ADDRESS(ROW(),COLUMN()-1,4))="80101506","Asesoramiento en estructuras organizacionales",""))</f>
        <v>Asesoramiento en estructuras organizacionales</v>
      </c>
      <c r="C343" s="72" t="str">
        <f>IFERROR(VLOOKUP("UD",'Informacion '!P:Q,2,FALSE),"")</f>
        <v>Unidad</v>
      </c>
      <c r="D343" s="39">
        <v>1</v>
      </c>
      <c r="E343" s="42">
        <v>880000</v>
      </c>
      <c r="F343" s="41">
        <f ca="1">INDIRECT(ADDRESS(ROW(),COLUMN()-2,4))*INDIRECT(ADDRESS(ROW(),COLUMN()-1,4))</f>
        <v>880000</v>
      </c>
    </row>
    <row r="344" spans="1:10" ht="14.25" customHeight="1" x14ac:dyDescent="0.35">
      <c r="E344" s="44" t="s">
        <v>13122</v>
      </c>
      <c r="F344" s="45">
        <f ca="1">SUM(Table17[MONTO TOTAL ESTIMADO])</f>
        <v>1860000</v>
      </c>
      <c r="H344" s="24" t="str">
        <f>C335</f>
        <v>Servicios</v>
      </c>
      <c r="I344" s="24" t="str">
        <f>E335</f>
        <v>No</v>
      </c>
      <c r="J344" s="24" t="str">
        <f>D335</f>
        <v>Comparacion de Precios</v>
      </c>
    </row>
    <row r="346" spans="1:10" ht="34" customHeight="1" x14ac:dyDescent="0.35">
      <c r="A346" s="36" t="s">
        <v>17105</v>
      </c>
      <c r="B346" s="36" t="s">
        <v>167</v>
      </c>
      <c r="C346" s="36" t="s">
        <v>12252</v>
      </c>
      <c r="D346" s="36" t="s">
        <v>15021</v>
      </c>
      <c r="E346" s="36" t="s">
        <v>11455</v>
      </c>
      <c r="F346" s="36" t="s">
        <v>11595</v>
      </c>
    </row>
    <row r="347" spans="1:10" ht="14.25" customHeight="1" x14ac:dyDescent="0.35">
      <c r="A347" s="37" t="s">
        <v>1905</v>
      </c>
      <c r="B347" s="37" t="s">
        <v>1905</v>
      </c>
      <c r="C347" s="37" t="s">
        <v>7109</v>
      </c>
      <c r="D347" s="37" t="s">
        <v>18256</v>
      </c>
      <c r="E347" s="37" t="s">
        <v>18646</v>
      </c>
      <c r="F347" s="37" t="s">
        <v>7088</v>
      </c>
    </row>
    <row r="348" spans="1:10" ht="14.25" customHeight="1" x14ac:dyDescent="0.35">
      <c r="A348" s="75" t="s">
        <v>15490</v>
      </c>
      <c r="B348" s="38" t="s">
        <v>8918</v>
      </c>
      <c r="C348" s="68">
        <v>45474</v>
      </c>
      <c r="D348" s="75" t="s">
        <v>9819</v>
      </c>
      <c r="E348" s="70" t="s">
        <v>13683</v>
      </c>
      <c r="F348" s="71" t="s">
        <v>3205</v>
      </c>
    </row>
    <row r="349" spans="1:10" ht="14.25" customHeight="1" x14ac:dyDescent="0.35">
      <c r="A349" s="76"/>
      <c r="B349" s="38" t="s">
        <v>1858</v>
      </c>
      <c r="C349" s="69">
        <f>IF(C348="","",IF(AND(MONTH(C348)&gt;=1,MONTH(C348)&lt;=3),1,IF(AND(MONTH(C348)&gt;=4,MONTH(C348)&lt;=6),2,IF(AND(MONTH(C348)&gt;=7,MONTH(C348)&lt;=9),3,4))))</f>
        <v>3</v>
      </c>
      <c r="D349" s="76"/>
      <c r="E349" s="70" t="s">
        <v>2509</v>
      </c>
      <c r="F349" s="71" t="s">
        <v>11612</v>
      </c>
    </row>
    <row r="350" spans="1:10" ht="14.25" customHeight="1" x14ac:dyDescent="0.35">
      <c r="A350" s="76"/>
      <c r="B350" s="38" t="s">
        <v>13526</v>
      </c>
      <c r="C350" s="68">
        <v>45565</v>
      </c>
      <c r="D350" s="76"/>
      <c r="E350" s="70" t="s">
        <v>3198</v>
      </c>
      <c r="F350" s="71" t="s">
        <v>11612</v>
      </c>
    </row>
    <row r="351" spans="1:10" ht="14.25" customHeight="1" x14ac:dyDescent="0.35">
      <c r="A351" s="76"/>
      <c r="B351" s="38" t="s">
        <v>1858</v>
      </c>
      <c r="C351" s="69">
        <f>IF(C350="","",IF(AND(MONTH(C350)&gt;=1,MONTH(C350)&lt;=3),1,IF(AND(MONTH(C350)&gt;=4,MONTH(C350)&lt;=6),2,IF(AND(MONTH(C350)&gt;=7,MONTH(C350)&lt;=9),3,4))))</f>
        <v>3</v>
      </c>
      <c r="D351" s="76"/>
      <c r="E351" s="70" t="s">
        <v>13785</v>
      </c>
      <c r="F351" s="71"/>
    </row>
    <row r="353" spans="1:10" ht="14.25" customHeight="1" x14ac:dyDescent="0.35">
      <c r="A353" s="43" t="s">
        <v>16424</v>
      </c>
      <c r="B353" s="43" t="s">
        <v>16856</v>
      </c>
      <c r="C353" s="43" t="s">
        <v>16326</v>
      </c>
      <c r="D353" s="43" t="s">
        <v>15925</v>
      </c>
      <c r="E353" s="43" t="s">
        <v>7248</v>
      </c>
      <c r="F353" s="43" t="s">
        <v>15955</v>
      </c>
    </row>
    <row r="354" spans="1:10" ht="14.25" customHeight="1" x14ac:dyDescent="0.35">
      <c r="A354" s="39" t="s">
        <v>7471</v>
      </c>
      <c r="B354" s="40" t="str">
        <f ca="1">IFERROR(INDEX(UNSPSCDes,MATCH(INDIRECT(ADDRESS(ROW(),COLUMN()-1,4)),UNSPSCCode,0)),IF(INDIRECT(ADDRESS(ROW(),COLUMN()-1,4))="80101507","Servicios de asesoramiento sobre tecnologías de la información",""))</f>
        <v>Servicios de asesoramiento sobre tecnologías de la información</v>
      </c>
      <c r="C354" s="72" t="str">
        <f>IFERROR(VLOOKUP("UD",'Informacion '!P:Q,2,FALSE),"")</f>
        <v>Unidad</v>
      </c>
      <c r="D354" s="39">
        <v>1</v>
      </c>
      <c r="E354" s="42">
        <v>490000</v>
      </c>
      <c r="F354" s="41">
        <f ca="1">INDIRECT(ADDRESS(ROW(),COLUMN()-2,4))*INDIRECT(ADDRESS(ROW(),COLUMN()-1,4))</f>
        <v>490000</v>
      </c>
    </row>
    <row r="355" spans="1:10" ht="14.25" customHeight="1" x14ac:dyDescent="0.35">
      <c r="E355" s="44" t="s">
        <v>13122</v>
      </c>
      <c r="F355" s="45">
        <f ca="1">SUM(Table18[MONTO TOTAL ESTIMADO])</f>
        <v>490000</v>
      </c>
      <c r="H355" s="24" t="str">
        <f>C347</f>
        <v>Servicios</v>
      </c>
      <c r="I355" s="24" t="str">
        <f>E347</f>
        <v>No</v>
      </c>
      <c r="J355" s="24" t="str">
        <f>D347</f>
        <v>Compras Menores</v>
      </c>
    </row>
    <row r="357" spans="1:10" ht="34" customHeight="1" x14ac:dyDescent="0.35">
      <c r="A357" s="36" t="s">
        <v>17105</v>
      </c>
      <c r="B357" s="36" t="s">
        <v>167</v>
      </c>
      <c r="C357" s="36" t="s">
        <v>12252</v>
      </c>
      <c r="D357" s="36" t="s">
        <v>15021</v>
      </c>
      <c r="E357" s="36" t="s">
        <v>11455</v>
      </c>
      <c r="F357" s="36" t="s">
        <v>11595</v>
      </c>
    </row>
    <row r="358" spans="1:10" ht="14.25" customHeight="1" x14ac:dyDescent="0.35">
      <c r="A358" s="37" t="s">
        <v>8470</v>
      </c>
      <c r="B358" s="37" t="s">
        <v>11468</v>
      </c>
      <c r="C358" s="37" t="s">
        <v>7109</v>
      </c>
      <c r="D358" s="37" t="s">
        <v>18256</v>
      </c>
      <c r="E358" s="37" t="s">
        <v>18646</v>
      </c>
      <c r="F358" s="37" t="s">
        <v>7088</v>
      </c>
    </row>
    <row r="359" spans="1:10" ht="14.25" customHeight="1" x14ac:dyDescent="0.35">
      <c r="A359" s="75" t="s">
        <v>15490</v>
      </c>
      <c r="B359" s="38" t="s">
        <v>8918</v>
      </c>
      <c r="C359" s="68">
        <v>45383</v>
      </c>
      <c r="D359" s="75" t="s">
        <v>9819</v>
      </c>
      <c r="E359" s="70" t="s">
        <v>13683</v>
      </c>
      <c r="F359" s="71" t="s">
        <v>3205</v>
      </c>
    </row>
    <row r="360" spans="1:10" ht="14.25" customHeight="1" x14ac:dyDescent="0.35">
      <c r="A360" s="76"/>
      <c r="B360" s="38" t="s">
        <v>1858</v>
      </c>
      <c r="C360" s="69">
        <f>IF(C359="","",IF(AND(MONTH(C359)&gt;=1,MONTH(C359)&lt;=3),1,IF(AND(MONTH(C359)&gt;=4,MONTH(C359)&lt;=6),2,IF(AND(MONTH(C359)&gt;=7,MONTH(C359)&lt;=9),3,4))))</f>
        <v>2</v>
      </c>
      <c r="D360" s="76"/>
      <c r="E360" s="70" t="s">
        <v>2509</v>
      </c>
      <c r="F360" s="71" t="s">
        <v>11612</v>
      </c>
    </row>
    <row r="361" spans="1:10" ht="14.25" customHeight="1" x14ac:dyDescent="0.35">
      <c r="A361" s="76"/>
      <c r="B361" s="38" t="s">
        <v>13526</v>
      </c>
      <c r="C361" s="68">
        <v>45471</v>
      </c>
      <c r="D361" s="76"/>
      <c r="E361" s="70" t="s">
        <v>3198</v>
      </c>
      <c r="F361" s="71" t="s">
        <v>11612</v>
      </c>
    </row>
    <row r="362" spans="1:10" ht="14.25" customHeight="1" x14ac:dyDescent="0.35">
      <c r="A362" s="76"/>
      <c r="B362" s="38" t="s">
        <v>1858</v>
      </c>
      <c r="C362" s="69">
        <f>IF(C361="","",IF(AND(MONTH(C361)&gt;=1,MONTH(C361)&lt;=3),1,IF(AND(MONTH(C361)&gt;=4,MONTH(C361)&lt;=6),2,IF(AND(MONTH(C361)&gt;=7,MONTH(C361)&lt;=9),3,4))))</f>
        <v>2</v>
      </c>
      <c r="D362" s="76"/>
      <c r="E362" s="70" t="s">
        <v>13785</v>
      </c>
      <c r="F362" s="71"/>
    </row>
    <row r="364" spans="1:10" ht="14.25" customHeight="1" x14ac:dyDescent="0.35">
      <c r="A364" s="43" t="s">
        <v>16424</v>
      </c>
      <c r="B364" s="43" t="s">
        <v>16856</v>
      </c>
      <c r="C364" s="43" t="s">
        <v>16326</v>
      </c>
      <c r="D364" s="43" t="s">
        <v>15925</v>
      </c>
      <c r="E364" s="43" t="s">
        <v>7248</v>
      </c>
      <c r="F364" s="43" t="s">
        <v>15955</v>
      </c>
    </row>
    <row r="365" spans="1:10" ht="14.25" customHeight="1" x14ac:dyDescent="0.35">
      <c r="A365" s="39" t="s">
        <v>9777</v>
      </c>
      <c r="B365" s="40" t="str">
        <f ca="1">IFERROR(INDEX(UNSPSCDes,MATCH(INDIRECT(ADDRESS(ROW(),COLUMN()-1,4)),UNSPSCCode,0)),IF(INDIRECT(ADDRESS(ROW(),COLUMN()-1,4))="80131502","Arrendamiento de instalaciones comerciales o industriales",""))</f>
        <v>Arrendamiento de instalaciones comerciales o industriales</v>
      </c>
      <c r="C365" s="72" t="str">
        <f>IFERROR(VLOOKUP("UD",'Informacion '!P:Q,2,FALSE),"")</f>
        <v>Unidad</v>
      </c>
      <c r="D365" s="39">
        <v>12</v>
      </c>
      <c r="E365" s="42">
        <v>99219</v>
      </c>
      <c r="F365" s="41">
        <f ca="1">INDIRECT(ADDRESS(ROW(),COLUMN()-2,4))*INDIRECT(ADDRESS(ROW(),COLUMN()-1,4))</f>
        <v>1190628</v>
      </c>
    </row>
    <row r="366" spans="1:10" ht="14.25" customHeight="1" x14ac:dyDescent="0.35">
      <c r="E366" s="44" t="s">
        <v>13122</v>
      </c>
      <c r="F366" s="45">
        <f ca="1">SUM(Table19[MONTO TOTAL ESTIMADO])</f>
        <v>1190628</v>
      </c>
      <c r="H366" s="24" t="str">
        <f>C358</f>
        <v>Servicios</v>
      </c>
      <c r="I366" s="24" t="str">
        <f>E358</f>
        <v>No</v>
      </c>
      <c r="J366" s="24" t="str">
        <f>D358</f>
        <v>Compras Menores</v>
      </c>
    </row>
    <row r="368" spans="1:10" ht="34" customHeight="1" x14ac:dyDescent="0.35">
      <c r="A368" s="36" t="s">
        <v>17105</v>
      </c>
      <c r="B368" s="36" t="s">
        <v>167</v>
      </c>
      <c r="C368" s="36" t="s">
        <v>12252</v>
      </c>
      <c r="D368" s="36" t="s">
        <v>15021</v>
      </c>
      <c r="E368" s="36" t="s">
        <v>11455</v>
      </c>
      <c r="F368" s="36" t="s">
        <v>11595</v>
      </c>
    </row>
    <row r="369" spans="1:10" ht="14.25" customHeight="1" x14ac:dyDescent="0.35">
      <c r="A369" s="37" t="s">
        <v>17752</v>
      </c>
      <c r="B369" s="37" t="s">
        <v>17752</v>
      </c>
      <c r="C369" s="37" t="s">
        <v>7109</v>
      </c>
      <c r="D369" s="37" t="s">
        <v>10634</v>
      </c>
      <c r="E369" s="37" t="s">
        <v>18646</v>
      </c>
      <c r="F369" s="37" t="s">
        <v>7088</v>
      </c>
    </row>
    <row r="370" spans="1:10" ht="14.25" customHeight="1" x14ac:dyDescent="0.35">
      <c r="A370" s="75" t="s">
        <v>15490</v>
      </c>
      <c r="B370" s="38" t="s">
        <v>8918</v>
      </c>
      <c r="C370" s="68">
        <v>45334</v>
      </c>
      <c r="D370" s="75" t="s">
        <v>9819</v>
      </c>
      <c r="E370" s="70" t="s">
        <v>13683</v>
      </c>
      <c r="F370" s="71" t="s">
        <v>3205</v>
      </c>
    </row>
    <row r="371" spans="1:10" ht="14.25" customHeight="1" x14ac:dyDescent="0.35">
      <c r="A371" s="76"/>
      <c r="B371" s="38" t="s">
        <v>1858</v>
      </c>
      <c r="C371" s="69">
        <f>IF(C370="","",IF(AND(MONTH(C370)&gt;=1,MONTH(C370)&lt;=3),1,IF(AND(MONTH(C370)&gt;=4,MONTH(C370)&lt;=6),2,IF(AND(MONTH(C370)&gt;=7,MONTH(C370)&lt;=9),3,4))))</f>
        <v>1</v>
      </c>
      <c r="D371" s="76"/>
      <c r="E371" s="70" t="s">
        <v>2509</v>
      </c>
      <c r="F371" s="71" t="s">
        <v>11612</v>
      </c>
    </row>
    <row r="372" spans="1:10" ht="14.25" customHeight="1" x14ac:dyDescent="0.35">
      <c r="A372" s="76"/>
      <c r="B372" s="38" t="s">
        <v>13526</v>
      </c>
      <c r="C372" s="68">
        <v>45380</v>
      </c>
      <c r="D372" s="76"/>
      <c r="E372" s="70" t="s">
        <v>3198</v>
      </c>
      <c r="F372" s="71" t="s">
        <v>11612</v>
      </c>
    </row>
    <row r="373" spans="1:10" ht="14.25" customHeight="1" x14ac:dyDescent="0.35">
      <c r="A373" s="76"/>
      <c r="B373" s="38" t="s">
        <v>1858</v>
      </c>
      <c r="C373" s="69">
        <f>IF(C372="","",IF(AND(MONTH(C372)&gt;=1,MONTH(C372)&lt;=3),1,IF(AND(MONTH(C372)&gt;=4,MONTH(C372)&lt;=6),2,IF(AND(MONTH(C372)&gt;=7,MONTH(C372)&lt;=9),3,4))))</f>
        <v>1</v>
      </c>
      <c r="D373" s="76"/>
      <c r="E373" s="70" t="s">
        <v>13785</v>
      </c>
      <c r="F373" s="71"/>
    </row>
    <row r="375" spans="1:10" ht="14.25" customHeight="1" x14ac:dyDescent="0.35">
      <c r="A375" s="43" t="s">
        <v>16424</v>
      </c>
      <c r="B375" s="43" t="s">
        <v>16856</v>
      </c>
      <c r="C375" s="43" t="s">
        <v>16326</v>
      </c>
      <c r="D375" s="43" t="s">
        <v>15925</v>
      </c>
      <c r="E375" s="43" t="s">
        <v>7248</v>
      </c>
      <c r="F375" s="43" t="s">
        <v>15955</v>
      </c>
    </row>
    <row r="376" spans="1:10" ht="14.25" customHeight="1" x14ac:dyDescent="0.35">
      <c r="A376" s="39" t="s">
        <v>3487</v>
      </c>
      <c r="B376" s="40" t="str">
        <f ca="1">IFERROR(INDEX(UNSPSCDes,MATCH(INDIRECT(ADDRESS(ROW(),COLUMN()-1,4)),UNSPSCCode,0)),IF(INDIRECT(ADDRESS(ROW(),COLUMN()-1,4))="80141607","Gestión de eventos",""))</f>
        <v>Gestión de eventos</v>
      </c>
      <c r="C376" s="72" t="str">
        <f>IFERROR(VLOOKUP("UD",'Informacion '!P:Q,2,FALSE),"")</f>
        <v>Unidad</v>
      </c>
      <c r="D376" s="39">
        <v>1</v>
      </c>
      <c r="E376" s="42">
        <v>66080</v>
      </c>
      <c r="F376" s="41">
        <f ca="1">INDIRECT(ADDRESS(ROW(),COLUMN()-2,4))*INDIRECT(ADDRESS(ROW(),COLUMN()-1,4))</f>
        <v>66080</v>
      </c>
    </row>
    <row r="377" spans="1:10" ht="14.25" customHeight="1" x14ac:dyDescent="0.35">
      <c r="E377" s="44" t="s">
        <v>13122</v>
      </c>
      <c r="F377" s="45">
        <f ca="1">SUM(Table20[MONTO TOTAL ESTIMADO])</f>
        <v>66080</v>
      </c>
      <c r="H377" s="24" t="str">
        <f>C369</f>
        <v>Servicios</v>
      </c>
      <c r="I377" s="24" t="str">
        <f>E369</f>
        <v>No</v>
      </c>
      <c r="J377" s="24" t="str">
        <f>D369</f>
        <v>Compras por debajo del Umbral</v>
      </c>
    </row>
    <row r="379" spans="1:10" ht="34" customHeight="1" x14ac:dyDescent="0.35">
      <c r="A379" s="36" t="s">
        <v>17105</v>
      </c>
      <c r="B379" s="36" t="s">
        <v>167</v>
      </c>
      <c r="C379" s="36" t="s">
        <v>12252</v>
      </c>
      <c r="D379" s="36" t="s">
        <v>15021</v>
      </c>
      <c r="E379" s="36" t="s">
        <v>11455</v>
      </c>
      <c r="F379" s="36" t="s">
        <v>11595</v>
      </c>
    </row>
    <row r="380" spans="1:10" ht="14.25" customHeight="1" x14ac:dyDescent="0.35">
      <c r="A380" s="37" t="s">
        <v>17752</v>
      </c>
      <c r="B380" s="37" t="s">
        <v>17752</v>
      </c>
      <c r="C380" s="37" t="s">
        <v>7109</v>
      </c>
      <c r="D380" s="37" t="s">
        <v>18256</v>
      </c>
      <c r="E380" s="37" t="s">
        <v>18646</v>
      </c>
      <c r="F380" s="37" t="s">
        <v>7088</v>
      </c>
    </row>
    <row r="381" spans="1:10" ht="14.25" customHeight="1" x14ac:dyDescent="0.35">
      <c r="A381" s="75" t="s">
        <v>15490</v>
      </c>
      <c r="B381" s="38" t="s">
        <v>8918</v>
      </c>
      <c r="C381" s="68">
        <v>45383</v>
      </c>
      <c r="D381" s="75" t="s">
        <v>9819</v>
      </c>
      <c r="E381" s="70" t="s">
        <v>13683</v>
      </c>
      <c r="F381" s="71" t="s">
        <v>3205</v>
      </c>
    </row>
    <row r="382" spans="1:10" ht="14.25" customHeight="1" x14ac:dyDescent="0.35">
      <c r="A382" s="76"/>
      <c r="B382" s="38" t="s">
        <v>1858</v>
      </c>
      <c r="C382" s="69">
        <f>IF(C381="","",IF(AND(MONTH(C381)&gt;=1,MONTH(C381)&lt;=3),1,IF(AND(MONTH(C381)&gt;=4,MONTH(C381)&lt;=6),2,IF(AND(MONTH(C381)&gt;=7,MONTH(C381)&lt;=9),3,4))))</f>
        <v>2</v>
      </c>
      <c r="D382" s="76"/>
      <c r="E382" s="70" t="s">
        <v>2509</v>
      </c>
      <c r="F382" s="71" t="s">
        <v>11612</v>
      </c>
    </row>
    <row r="383" spans="1:10" ht="14.25" customHeight="1" x14ac:dyDescent="0.35">
      <c r="A383" s="76"/>
      <c r="B383" s="38" t="s">
        <v>13526</v>
      </c>
      <c r="C383" s="68">
        <v>45471</v>
      </c>
      <c r="D383" s="76"/>
      <c r="E383" s="70" t="s">
        <v>3198</v>
      </c>
      <c r="F383" s="71" t="s">
        <v>11612</v>
      </c>
    </row>
    <row r="384" spans="1:10" ht="14.25" customHeight="1" x14ac:dyDescent="0.35">
      <c r="A384" s="76"/>
      <c r="B384" s="38" t="s">
        <v>1858</v>
      </c>
      <c r="C384" s="69">
        <f>IF(C383="","",IF(AND(MONTH(C383)&gt;=1,MONTH(C383)&lt;=3),1,IF(AND(MONTH(C383)&gt;=4,MONTH(C383)&lt;=6),2,IF(AND(MONTH(C383)&gt;=7,MONTH(C383)&lt;=9),3,4))))</f>
        <v>2</v>
      </c>
      <c r="D384" s="76"/>
      <c r="E384" s="70" t="s">
        <v>13785</v>
      </c>
      <c r="F384" s="71"/>
    </row>
    <row r="386" spans="1:10" ht="14.25" customHeight="1" x14ac:dyDescent="0.35">
      <c r="A386" s="43" t="s">
        <v>16424</v>
      </c>
      <c r="B386" s="43" t="s">
        <v>16856</v>
      </c>
      <c r="C386" s="43" t="s">
        <v>16326</v>
      </c>
      <c r="D386" s="43" t="s">
        <v>15925</v>
      </c>
      <c r="E386" s="43" t="s">
        <v>7248</v>
      </c>
      <c r="F386" s="43" t="s">
        <v>15955</v>
      </c>
    </row>
    <row r="387" spans="1:10" ht="14.25" customHeight="1" x14ac:dyDescent="0.35">
      <c r="A387" s="39" t="s">
        <v>3487</v>
      </c>
      <c r="B387" s="40" t="str">
        <f ca="1">IFERROR(INDEX(UNSPSCDes,MATCH(INDIRECT(ADDRESS(ROW(),COLUMN()-1,4)),UNSPSCCode,0)),IF(INDIRECT(ADDRESS(ROW(),COLUMN()-1,4))="80141607","Gestión de eventos",""))</f>
        <v>Gestión de eventos</v>
      </c>
      <c r="C387" s="72" t="str">
        <f>IFERROR(VLOOKUP("UD",'Informacion '!P:Q,2,FALSE),"")</f>
        <v>Unidad</v>
      </c>
      <c r="D387" s="39">
        <v>10</v>
      </c>
      <c r="E387" s="42">
        <v>26019</v>
      </c>
      <c r="F387" s="41">
        <f ca="1">INDIRECT(ADDRESS(ROW(),COLUMN()-2,4))*INDIRECT(ADDRESS(ROW(),COLUMN()-1,4))</f>
        <v>260190</v>
      </c>
    </row>
    <row r="388" spans="1:10" ht="14.25" customHeight="1" x14ac:dyDescent="0.35">
      <c r="E388" s="44" t="s">
        <v>13122</v>
      </c>
      <c r="F388" s="45">
        <f ca="1">SUM(Table21[MONTO TOTAL ESTIMADO])</f>
        <v>260190</v>
      </c>
      <c r="H388" s="24" t="str">
        <f>C380</f>
        <v>Servicios</v>
      </c>
      <c r="I388" s="24" t="str">
        <f>E380</f>
        <v>No</v>
      </c>
      <c r="J388" s="24" t="str">
        <f>D380</f>
        <v>Compras Menores</v>
      </c>
    </row>
    <row r="390" spans="1:10" ht="34" customHeight="1" x14ac:dyDescent="0.35">
      <c r="A390" s="36" t="s">
        <v>17105</v>
      </c>
      <c r="B390" s="36" t="s">
        <v>167</v>
      </c>
      <c r="C390" s="36" t="s">
        <v>12252</v>
      </c>
      <c r="D390" s="36" t="s">
        <v>15021</v>
      </c>
      <c r="E390" s="36" t="s">
        <v>11455</v>
      </c>
      <c r="F390" s="36" t="s">
        <v>11595</v>
      </c>
    </row>
    <row r="391" spans="1:10" ht="14.25" customHeight="1" x14ac:dyDescent="0.35">
      <c r="A391" s="37" t="s">
        <v>17752</v>
      </c>
      <c r="B391" s="37" t="s">
        <v>17752</v>
      </c>
      <c r="C391" s="37" t="s">
        <v>7109</v>
      </c>
      <c r="D391" s="37" t="s">
        <v>10634</v>
      </c>
      <c r="E391" s="37" t="s">
        <v>18646</v>
      </c>
      <c r="F391" s="37" t="s">
        <v>7088</v>
      </c>
    </row>
    <row r="392" spans="1:10" ht="14.25" customHeight="1" x14ac:dyDescent="0.35">
      <c r="A392" s="75" t="s">
        <v>15490</v>
      </c>
      <c r="B392" s="38" t="s">
        <v>8918</v>
      </c>
      <c r="C392" s="68">
        <v>45474</v>
      </c>
      <c r="D392" s="75" t="s">
        <v>9819</v>
      </c>
      <c r="E392" s="70" t="s">
        <v>13683</v>
      </c>
      <c r="F392" s="71" t="s">
        <v>3205</v>
      </c>
    </row>
    <row r="393" spans="1:10" ht="14.25" customHeight="1" x14ac:dyDescent="0.35">
      <c r="A393" s="76"/>
      <c r="B393" s="38" t="s">
        <v>1858</v>
      </c>
      <c r="C393" s="69">
        <f>IF(C392="","",IF(AND(MONTH(C392)&gt;=1,MONTH(C392)&lt;=3),1,IF(AND(MONTH(C392)&gt;=4,MONTH(C392)&lt;=6),2,IF(AND(MONTH(C392)&gt;=7,MONTH(C392)&lt;=9),3,4))))</f>
        <v>3</v>
      </c>
      <c r="D393" s="76"/>
      <c r="E393" s="70" t="s">
        <v>2509</v>
      </c>
      <c r="F393" s="71" t="s">
        <v>11612</v>
      </c>
    </row>
    <row r="394" spans="1:10" ht="14.25" customHeight="1" x14ac:dyDescent="0.35">
      <c r="A394" s="76"/>
      <c r="B394" s="38" t="s">
        <v>13526</v>
      </c>
      <c r="C394" s="68">
        <v>45565</v>
      </c>
      <c r="D394" s="76"/>
      <c r="E394" s="70" t="s">
        <v>3198</v>
      </c>
      <c r="F394" s="71" t="s">
        <v>11612</v>
      </c>
    </row>
    <row r="395" spans="1:10" ht="14.25" customHeight="1" x14ac:dyDescent="0.35">
      <c r="A395" s="76"/>
      <c r="B395" s="38" t="s">
        <v>1858</v>
      </c>
      <c r="C395" s="69">
        <f>IF(C394="","",IF(AND(MONTH(C394)&gt;=1,MONTH(C394)&lt;=3),1,IF(AND(MONTH(C394)&gt;=4,MONTH(C394)&lt;=6),2,IF(AND(MONTH(C394)&gt;=7,MONTH(C394)&lt;=9),3,4))))</f>
        <v>3</v>
      </c>
      <c r="D395" s="76"/>
      <c r="E395" s="70" t="s">
        <v>13785</v>
      </c>
      <c r="F395" s="71"/>
    </row>
    <row r="397" spans="1:10" ht="14.25" customHeight="1" x14ac:dyDescent="0.35">
      <c r="A397" s="43" t="s">
        <v>16424</v>
      </c>
      <c r="B397" s="43" t="s">
        <v>16856</v>
      </c>
      <c r="C397" s="43" t="s">
        <v>16326</v>
      </c>
      <c r="D397" s="43" t="s">
        <v>15925</v>
      </c>
      <c r="E397" s="43" t="s">
        <v>7248</v>
      </c>
      <c r="F397" s="43" t="s">
        <v>15955</v>
      </c>
    </row>
    <row r="398" spans="1:10" ht="14.25" customHeight="1" x14ac:dyDescent="0.35">
      <c r="A398" s="39" t="s">
        <v>3487</v>
      </c>
      <c r="B398" s="40" t="str">
        <f ca="1">IFERROR(INDEX(UNSPSCDes,MATCH(INDIRECT(ADDRESS(ROW(),COLUMN()-1,4)),UNSPSCCode,0)),IF(INDIRECT(ADDRESS(ROW(),COLUMN()-1,4))="80141607","Gestión de eventos",""))</f>
        <v>Gestión de eventos</v>
      </c>
      <c r="C398" s="72" t="str">
        <f>IFERROR(VLOOKUP("UD",'Informacion '!P:Q,2,FALSE),"")</f>
        <v>Unidad</v>
      </c>
      <c r="D398" s="39">
        <v>2</v>
      </c>
      <c r="E398" s="42">
        <v>4747</v>
      </c>
      <c r="F398" s="41">
        <f ca="1">INDIRECT(ADDRESS(ROW(),COLUMN()-2,4))*INDIRECT(ADDRESS(ROW(),COLUMN()-1,4))</f>
        <v>9494</v>
      </c>
    </row>
    <row r="399" spans="1:10" ht="14.25" customHeight="1" x14ac:dyDescent="0.35">
      <c r="E399" s="44" t="s">
        <v>13122</v>
      </c>
      <c r="F399" s="45">
        <f ca="1">SUM(Table22[MONTO TOTAL ESTIMADO])</f>
        <v>9494</v>
      </c>
      <c r="H399" s="24" t="str">
        <f>C391</f>
        <v>Servicios</v>
      </c>
      <c r="I399" s="24" t="str">
        <f>E391</f>
        <v>No</v>
      </c>
      <c r="J399" s="24" t="str">
        <f>D391</f>
        <v>Compras por debajo del Umbral</v>
      </c>
    </row>
    <row r="401" spans="1:10" ht="34" customHeight="1" x14ac:dyDescent="0.35">
      <c r="A401" s="36" t="s">
        <v>17105</v>
      </c>
      <c r="B401" s="36" t="s">
        <v>167</v>
      </c>
      <c r="C401" s="36" t="s">
        <v>12252</v>
      </c>
      <c r="D401" s="36" t="s">
        <v>15021</v>
      </c>
      <c r="E401" s="36" t="s">
        <v>11455</v>
      </c>
      <c r="F401" s="36" t="s">
        <v>11595</v>
      </c>
    </row>
    <row r="402" spans="1:10" ht="14.25" customHeight="1" x14ac:dyDescent="0.35">
      <c r="A402" s="37" t="s">
        <v>12890</v>
      </c>
      <c r="B402" s="37" t="s">
        <v>12890</v>
      </c>
      <c r="C402" s="37" t="s">
        <v>7109</v>
      </c>
      <c r="D402" s="37" t="s">
        <v>10634</v>
      </c>
      <c r="E402" s="37" t="s">
        <v>18646</v>
      </c>
      <c r="F402" s="37"/>
    </row>
    <row r="403" spans="1:10" ht="14.25" customHeight="1" x14ac:dyDescent="0.35">
      <c r="A403" s="75" t="s">
        <v>15490</v>
      </c>
      <c r="B403" s="38" t="s">
        <v>8918</v>
      </c>
      <c r="C403" s="68">
        <v>45333</v>
      </c>
      <c r="D403" s="75" t="s">
        <v>9819</v>
      </c>
      <c r="E403" s="70" t="s">
        <v>13683</v>
      </c>
      <c r="F403" s="71" t="s">
        <v>3205</v>
      </c>
    </row>
    <row r="404" spans="1:10" ht="14.25" customHeight="1" x14ac:dyDescent="0.35">
      <c r="A404" s="76"/>
      <c r="B404" s="38" t="s">
        <v>1858</v>
      </c>
      <c r="C404" s="69">
        <f>IF(C403="","",IF(AND(MONTH(C403)&gt;=1,MONTH(C403)&lt;=3),1,IF(AND(MONTH(C403)&gt;=4,MONTH(C403)&lt;=6),2,IF(AND(MONTH(C403)&gt;=7,MONTH(C403)&lt;=9),3,4))))</f>
        <v>1</v>
      </c>
      <c r="D404" s="76"/>
      <c r="E404" s="70" t="s">
        <v>2509</v>
      </c>
      <c r="F404" s="71" t="s">
        <v>11612</v>
      </c>
    </row>
    <row r="405" spans="1:10" ht="14.25" customHeight="1" x14ac:dyDescent="0.35">
      <c r="A405" s="76"/>
      <c r="B405" s="38" t="s">
        <v>13526</v>
      </c>
      <c r="C405" s="68">
        <v>45379</v>
      </c>
      <c r="D405" s="76"/>
      <c r="E405" s="70" t="s">
        <v>3198</v>
      </c>
      <c r="F405" s="71" t="s">
        <v>11612</v>
      </c>
    </row>
    <row r="406" spans="1:10" ht="14.25" customHeight="1" x14ac:dyDescent="0.35">
      <c r="A406" s="76"/>
      <c r="B406" s="38" t="s">
        <v>1858</v>
      </c>
      <c r="C406" s="69">
        <f>IF(C405="","",IF(AND(MONTH(C405)&gt;=1,MONTH(C405)&lt;=3),1,IF(AND(MONTH(C405)&gt;=4,MONTH(C405)&lt;=6),2,IF(AND(MONTH(C405)&gt;=7,MONTH(C405)&lt;=9),3,4))))</f>
        <v>1</v>
      </c>
      <c r="D406" s="76"/>
      <c r="E406" s="70" t="s">
        <v>13785</v>
      </c>
      <c r="F406" s="71"/>
    </row>
    <row r="408" spans="1:10" ht="14.25" customHeight="1" x14ac:dyDescent="0.35">
      <c r="A408" s="43" t="s">
        <v>16424</v>
      </c>
      <c r="B408" s="43" t="s">
        <v>16856</v>
      </c>
      <c r="C408" s="43" t="s">
        <v>16326</v>
      </c>
      <c r="D408" s="43" t="s">
        <v>15925</v>
      </c>
      <c r="E408" s="43" t="s">
        <v>7248</v>
      </c>
      <c r="F408" s="43" t="s">
        <v>15955</v>
      </c>
    </row>
    <row r="409" spans="1:10" ht="14.25" customHeight="1" x14ac:dyDescent="0.35">
      <c r="A409" s="39" t="s">
        <v>2884</v>
      </c>
      <c r="B409" s="40" t="str">
        <f ca="1">IFERROR(INDEX(UNSPSCDes,MATCH(INDIRECT(ADDRESS(ROW(),COLUMN()-1,4)),UNSPSCCode,0)),IF(INDIRECT(ADDRESS(ROW(),COLUMN()-1,4))="80141611","Servicios de personalización de obsequios o productos",""))</f>
        <v>Servicios de personalización de obsequios o productos</v>
      </c>
      <c r="C409" s="72" t="str">
        <f>IFERROR(VLOOKUP("UD",'Informacion '!P:Q,2,FALSE),"")</f>
        <v>Unidad</v>
      </c>
      <c r="D409" s="39">
        <v>2</v>
      </c>
      <c r="E409" s="42">
        <v>3540</v>
      </c>
      <c r="F409" s="41">
        <f ca="1">INDIRECT(ADDRESS(ROW(),COLUMN()-2,4))*INDIRECT(ADDRESS(ROW(),COLUMN()-1,4))</f>
        <v>7080</v>
      </c>
    </row>
    <row r="410" spans="1:10" ht="14.25" customHeight="1" x14ac:dyDescent="0.35">
      <c r="A410" s="39" t="s">
        <v>2884</v>
      </c>
      <c r="B410" s="40" t="str">
        <f ca="1">IFERROR(INDEX(UNSPSCDes,MATCH(INDIRECT(ADDRESS(ROW(),COLUMN()-1,4)),UNSPSCCode,0)),IF(INDIRECT(ADDRESS(ROW(),COLUMN()-1,4))="80141611","Servicios de personalización de obsequios o productos",""))</f>
        <v>Servicios de personalización de obsequios o productos</v>
      </c>
      <c r="C410" s="72" t="str">
        <f>IFERROR(VLOOKUP("UD",'Informacion '!P:Q,2,FALSE),"")</f>
        <v>Unidad</v>
      </c>
      <c r="D410" s="39">
        <v>250</v>
      </c>
      <c r="E410" s="42">
        <v>212.4</v>
      </c>
      <c r="F410" s="41">
        <f ca="1">INDIRECT(ADDRESS(ROW(),COLUMN()-2,4))*INDIRECT(ADDRESS(ROW(),COLUMN()-1,4))</f>
        <v>53100</v>
      </c>
    </row>
    <row r="411" spans="1:10" ht="14.25" customHeight="1" x14ac:dyDescent="0.35">
      <c r="A411" s="39" t="s">
        <v>2884</v>
      </c>
      <c r="B411" s="40" t="str">
        <f ca="1">IFERROR(INDEX(UNSPSCDes,MATCH(INDIRECT(ADDRESS(ROW(),COLUMN()-1,4)),UNSPSCCode,0)),IF(INDIRECT(ADDRESS(ROW(),COLUMN()-1,4))="80141611","Servicios de personalización de obsequios o productos",""))</f>
        <v>Servicios de personalización de obsequios o productos</v>
      </c>
      <c r="C411" s="72" t="str">
        <f>IFERROR(VLOOKUP("UD",'Informacion '!P:Q,2,FALSE),"")</f>
        <v>Unidad</v>
      </c>
      <c r="D411" s="39">
        <v>250</v>
      </c>
      <c r="E411" s="42">
        <v>129.80000000000001</v>
      </c>
      <c r="F411" s="41">
        <f ca="1">INDIRECT(ADDRESS(ROW(),COLUMN()-2,4))*INDIRECT(ADDRESS(ROW(),COLUMN()-1,4))</f>
        <v>32450.000000000004</v>
      </c>
    </row>
    <row r="412" spans="1:10" ht="14.25" customHeight="1" x14ac:dyDescent="0.35">
      <c r="E412" s="44" t="s">
        <v>13122</v>
      </c>
      <c r="F412" s="45">
        <f ca="1">SUM(Table23[MONTO TOTAL ESTIMADO])</f>
        <v>92630</v>
      </c>
      <c r="H412" s="24" t="str">
        <f>C402</f>
        <v>Servicios</v>
      </c>
      <c r="I412" s="24" t="str">
        <f>E402</f>
        <v>No</v>
      </c>
      <c r="J412" s="24" t="str">
        <f>D402</f>
        <v>Compras por debajo del Umbral</v>
      </c>
    </row>
    <row r="414" spans="1:10" ht="34" customHeight="1" x14ac:dyDescent="0.35">
      <c r="A414" s="36" t="s">
        <v>17105</v>
      </c>
      <c r="B414" s="36" t="s">
        <v>167</v>
      </c>
      <c r="C414" s="36" t="s">
        <v>12252</v>
      </c>
      <c r="D414" s="36" t="s">
        <v>15021</v>
      </c>
      <c r="E414" s="36" t="s">
        <v>11455</v>
      </c>
      <c r="F414" s="36" t="s">
        <v>11595</v>
      </c>
    </row>
    <row r="415" spans="1:10" ht="14.25" customHeight="1" x14ac:dyDescent="0.35">
      <c r="A415" s="37" t="s">
        <v>12890</v>
      </c>
      <c r="B415" s="37" t="s">
        <v>12890</v>
      </c>
      <c r="C415" s="37" t="s">
        <v>7109</v>
      </c>
      <c r="D415" s="37" t="s">
        <v>1950</v>
      </c>
      <c r="E415" s="37" t="s">
        <v>18646</v>
      </c>
      <c r="F415" s="37" t="s">
        <v>7088</v>
      </c>
    </row>
    <row r="416" spans="1:10" ht="14.25" customHeight="1" x14ac:dyDescent="0.35">
      <c r="A416" s="75" t="s">
        <v>15490</v>
      </c>
      <c r="B416" s="38" t="s">
        <v>8918</v>
      </c>
      <c r="C416" s="68">
        <v>45383</v>
      </c>
      <c r="D416" s="75" t="s">
        <v>9819</v>
      </c>
      <c r="E416" s="70" t="s">
        <v>13683</v>
      </c>
      <c r="F416" s="71" t="s">
        <v>3205</v>
      </c>
    </row>
    <row r="417" spans="1:10" ht="14.25" customHeight="1" x14ac:dyDescent="0.35">
      <c r="A417" s="76"/>
      <c r="B417" s="38" t="s">
        <v>1858</v>
      </c>
      <c r="C417" s="69">
        <f>IF(C416="","",IF(AND(MONTH(C416)&gt;=1,MONTH(C416)&lt;=3),1,IF(AND(MONTH(C416)&gt;=4,MONTH(C416)&lt;=6),2,IF(AND(MONTH(C416)&gt;=7,MONTH(C416)&lt;=9),3,4))))</f>
        <v>2</v>
      </c>
      <c r="D417" s="76"/>
      <c r="E417" s="70" t="s">
        <v>2509</v>
      </c>
      <c r="F417" s="71" t="s">
        <v>11612</v>
      </c>
    </row>
    <row r="418" spans="1:10" ht="14.25" customHeight="1" x14ac:dyDescent="0.35">
      <c r="A418" s="76"/>
      <c r="B418" s="38" t="s">
        <v>13526</v>
      </c>
      <c r="C418" s="68">
        <v>45471</v>
      </c>
      <c r="D418" s="76"/>
      <c r="E418" s="70" t="s">
        <v>3198</v>
      </c>
      <c r="F418" s="71" t="s">
        <v>11612</v>
      </c>
    </row>
    <row r="419" spans="1:10" ht="14.25" customHeight="1" x14ac:dyDescent="0.35">
      <c r="A419" s="76"/>
      <c r="B419" s="38" t="s">
        <v>1858</v>
      </c>
      <c r="C419" s="69">
        <f>IF(C418="","",IF(AND(MONTH(C418)&gt;=1,MONTH(C418)&lt;=3),1,IF(AND(MONTH(C418)&gt;=4,MONTH(C418)&lt;=6),2,IF(AND(MONTH(C418)&gt;=7,MONTH(C418)&lt;=9),3,4))))</f>
        <v>2</v>
      </c>
      <c r="D419" s="76"/>
      <c r="E419" s="70" t="s">
        <v>13785</v>
      </c>
      <c r="F419" s="71"/>
    </row>
    <row r="421" spans="1:10" ht="14.25" customHeight="1" x14ac:dyDescent="0.35">
      <c r="A421" s="43" t="s">
        <v>16424</v>
      </c>
      <c r="B421" s="43" t="s">
        <v>16856</v>
      </c>
      <c r="C421" s="43" t="s">
        <v>16326</v>
      </c>
      <c r="D421" s="43" t="s">
        <v>15925</v>
      </c>
      <c r="E421" s="43" t="s">
        <v>7248</v>
      </c>
      <c r="F421" s="43" t="s">
        <v>15955</v>
      </c>
    </row>
    <row r="422" spans="1:10" ht="14.25" customHeight="1" x14ac:dyDescent="0.35">
      <c r="A422" s="39" t="s">
        <v>2884</v>
      </c>
      <c r="B422" s="40" t="str">
        <f t="shared" ref="B422:B427" ca="1" si="16">IFERROR(INDEX(UNSPSCDes,MATCH(INDIRECT(ADDRESS(ROW(),COLUMN()-1,4)),UNSPSCCode,0)),IF(INDIRECT(ADDRESS(ROW(),COLUMN()-1,4))="80141611","Servicios de personalización de obsequios o productos",""))</f>
        <v>Servicios de personalización de obsequios o productos</v>
      </c>
      <c r="C422" s="72" t="str">
        <f>IFERROR(VLOOKUP("UD",'Informacion '!P:Q,2,FALSE),"")</f>
        <v>Unidad</v>
      </c>
      <c r="D422" s="39">
        <v>500</v>
      </c>
      <c r="E422" s="42">
        <v>129.80000000000001</v>
      </c>
      <c r="F422" s="41">
        <f t="shared" ref="F422:F427" ca="1" si="17">INDIRECT(ADDRESS(ROW(),COLUMN()-2,4))*INDIRECT(ADDRESS(ROW(),COLUMN()-1,4))</f>
        <v>64900.000000000007</v>
      </c>
    </row>
    <row r="423" spans="1:10" ht="14.25" customHeight="1" x14ac:dyDescent="0.35">
      <c r="A423" s="39" t="s">
        <v>2884</v>
      </c>
      <c r="B423" s="40" t="str">
        <f t="shared" ca="1" si="16"/>
        <v>Servicios de personalización de obsequios o productos</v>
      </c>
      <c r="C423" s="72" t="str">
        <f>IFERROR(VLOOKUP("UD",'Informacion '!P:Q,2,FALSE),"")</f>
        <v>Unidad</v>
      </c>
      <c r="D423" s="39">
        <v>500</v>
      </c>
      <c r="E423" s="42">
        <v>191.25</v>
      </c>
      <c r="F423" s="41">
        <f t="shared" ca="1" si="17"/>
        <v>95625</v>
      </c>
    </row>
    <row r="424" spans="1:10" ht="14.25" customHeight="1" x14ac:dyDescent="0.35">
      <c r="A424" s="39" t="s">
        <v>2884</v>
      </c>
      <c r="B424" s="40" t="str">
        <f t="shared" ca="1" si="16"/>
        <v>Servicios de personalización de obsequios o productos</v>
      </c>
      <c r="C424" s="72" t="str">
        <f>IFERROR(VLOOKUP("UD",'Informacion '!P:Q,2,FALSE),"")</f>
        <v>Unidad</v>
      </c>
      <c r="D424" s="39">
        <v>1000</v>
      </c>
      <c r="E424" s="42">
        <v>2702.2</v>
      </c>
      <c r="F424" s="41">
        <f t="shared" ca="1" si="17"/>
        <v>2702200</v>
      </c>
    </row>
    <row r="425" spans="1:10" ht="14.25" customHeight="1" x14ac:dyDescent="0.35">
      <c r="A425" s="39" t="s">
        <v>2884</v>
      </c>
      <c r="B425" s="40" t="str">
        <f t="shared" ca="1" si="16"/>
        <v>Servicios de personalización de obsequios o productos</v>
      </c>
      <c r="C425" s="72" t="str">
        <f>IFERROR(VLOOKUP("UD",'Informacion '!P:Q,2,FALSE),"")</f>
        <v>Unidad</v>
      </c>
      <c r="D425" s="39">
        <v>500</v>
      </c>
      <c r="E425" s="42">
        <v>220.07</v>
      </c>
      <c r="F425" s="41">
        <f t="shared" ca="1" si="17"/>
        <v>110035</v>
      </c>
    </row>
    <row r="426" spans="1:10" ht="14.25" customHeight="1" x14ac:dyDescent="0.35">
      <c r="A426" s="39" t="s">
        <v>2884</v>
      </c>
      <c r="B426" s="40" t="str">
        <f t="shared" ca="1" si="16"/>
        <v>Servicios de personalización de obsequios o productos</v>
      </c>
      <c r="C426" s="72" t="str">
        <f>IFERROR(VLOOKUP("UD",'Informacion '!P:Q,2,FALSE),"")</f>
        <v>Unidad</v>
      </c>
      <c r="D426" s="39">
        <v>100</v>
      </c>
      <c r="E426" s="42">
        <v>150</v>
      </c>
      <c r="F426" s="41">
        <f t="shared" ca="1" si="17"/>
        <v>15000</v>
      </c>
    </row>
    <row r="427" spans="1:10" ht="14.25" customHeight="1" x14ac:dyDescent="0.35">
      <c r="A427" s="39" t="s">
        <v>2884</v>
      </c>
      <c r="B427" s="40" t="str">
        <f t="shared" ca="1" si="16"/>
        <v>Servicios de personalización de obsequios o productos</v>
      </c>
      <c r="C427" s="72" t="str">
        <f>IFERROR(VLOOKUP("UD",'Informacion '!P:Q,2,FALSE),"")</f>
        <v>Unidad</v>
      </c>
      <c r="D427" s="39">
        <v>100</v>
      </c>
      <c r="E427" s="42">
        <v>100</v>
      </c>
      <c r="F427" s="41">
        <f t="shared" ca="1" si="17"/>
        <v>10000</v>
      </c>
    </row>
    <row r="428" spans="1:10" ht="14.25" customHeight="1" x14ac:dyDescent="0.35">
      <c r="E428" s="44" t="s">
        <v>13122</v>
      </c>
      <c r="F428" s="45">
        <f ca="1">SUM(Table24[MONTO TOTAL ESTIMADO])</f>
        <v>2997760</v>
      </c>
      <c r="H428" s="24" t="str">
        <f>C415</f>
        <v>Servicios</v>
      </c>
      <c r="I428" s="24" t="str">
        <f>E415</f>
        <v>No</v>
      </c>
      <c r="J428" s="24" t="str">
        <f>D415</f>
        <v>Comparacion de Precios</v>
      </c>
    </row>
    <row r="430" spans="1:10" ht="34" customHeight="1" x14ac:dyDescent="0.35">
      <c r="A430" s="36" t="s">
        <v>17105</v>
      </c>
      <c r="B430" s="36" t="s">
        <v>167</v>
      </c>
      <c r="C430" s="36" t="s">
        <v>12252</v>
      </c>
      <c r="D430" s="36" t="s">
        <v>15021</v>
      </c>
      <c r="E430" s="36" t="s">
        <v>11455</v>
      </c>
      <c r="F430" s="36" t="s">
        <v>11595</v>
      </c>
    </row>
    <row r="431" spans="1:10" ht="14.25" customHeight="1" x14ac:dyDescent="0.35">
      <c r="A431" s="37" t="s">
        <v>12890</v>
      </c>
      <c r="B431" s="37" t="s">
        <v>12890</v>
      </c>
      <c r="C431" s="37" t="s">
        <v>7109</v>
      </c>
      <c r="D431" s="37" t="s">
        <v>10634</v>
      </c>
      <c r="E431" s="37" t="s">
        <v>18646</v>
      </c>
      <c r="F431" s="37" t="s">
        <v>7088</v>
      </c>
    </row>
    <row r="432" spans="1:10" ht="14.25" customHeight="1" x14ac:dyDescent="0.35">
      <c r="A432" s="75" t="s">
        <v>15490</v>
      </c>
      <c r="B432" s="38" t="s">
        <v>8918</v>
      </c>
      <c r="C432" s="68">
        <v>45474</v>
      </c>
      <c r="D432" s="75" t="s">
        <v>9819</v>
      </c>
      <c r="E432" s="70" t="s">
        <v>13683</v>
      </c>
      <c r="F432" s="71" t="s">
        <v>3205</v>
      </c>
    </row>
    <row r="433" spans="1:10" ht="14.25" customHeight="1" x14ac:dyDescent="0.35">
      <c r="A433" s="76"/>
      <c r="B433" s="38" t="s">
        <v>1858</v>
      </c>
      <c r="C433" s="69">
        <f>IF(C432="","",IF(AND(MONTH(C432)&gt;=1,MONTH(C432)&lt;=3),1,IF(AND(MONTH(C432)&gt;=4,MONTH(C432)&lt;=6),2,IF(AND(MONTH(C432)&gt;=7,MONTH(C432)&lt;=9),3,4))))</f>
        <v>3</v>
      </c>
      <c r="D433" s="76"/>
      <c r="E433" s="70" t="s">
        <v>2509</v>
      </c>
      <c r="F433" s="71" t="s">
        <v>11612</v>
      </c>
    </row>
    <row r="434" spans="1:10" ht="14.25" customHeight="1" x14ac:dyDescent="0.35">
      <c r="A434" s="76"/>
      <c r="B434" s="38" t="s">
        <v>13526</v>
      </c>
      <c r="C434" s="68">
        <v>45565</v>
      </c>
      <c r="D434" s="76"/>
      <c r="E434" s="70" t="s">
        <v>3198</v>
      </c>
      <c r="F434" s="71" t="s">
        <v>11612</v>
      </c>
    </row>
    <row r="435" spans="1:10" ht="14.25" customHeight="1" x14ac:dyDescent="0.35">
      <c r="A435" s="76"/>
      <c r="B435" s="38" t="s">
        <v>1858</v>
      </c>
      <c r="C435" s="69">
        <f>IF(C434="","",IF(AND(MONTH(C434)&gt;=1,MONTH(C434)&lt;=3),1,IF(AND(MONTH(C434)&gt;=4,MONTH(C434)&lt;=6),2,IF(AND(MONTH(C434)&gt;=7,MONTH(C434)&lt;=9),3,4))))</f>
        <v>3</v>
      </c>
      <c r="D435" s="76"/>
      <c r="E435" s="70" t="s">
        <v>13785</v>
      </c>
      <c r="F435" s="71"/>
    </row>
    <row r="437" spans="1:10" ht="14.25" customHeight="1" x14ac:dyDescent="0.35">
      <c r="A437" s="43" t="s">
        <v>16424</v>
      </c>
      <c r="B437" s="43" t="s">
        <v>16856</v>
      </c>
      <c r="C437" s="43" t="s">
        <v>16326</v>
      </c>
      <c r="D437" s="43" t="s">
        <v>15925</v>
      </c>
      <c r="E437" s="43" t="s">
        <v>7248</v>
      </c>
      <c r="F437" s="43" t="s">
        <v>15955</v>
      </c>
    </row>
    <row r="438" spans="1:10" ht="14.25" customHeight="1" x14ac:dyDescent="0.35">
      <c r="A438" s="39" t="s">
        <v>2884</v>
      </c>
      <c r="B438" s="40" t="str">
        <f ca="1">IFERROR(INDEX(UNSPSCDes,MATCH(INDIRECT(ADDRESS(ROW(),COLUMN()-1,4)),UNSPSCCode,0)),IF(INDIRECT(ADDRESS(ROW(),COLUMN()-1,4))="80141611","Servicios de personalización de obsequios o productos",""))</f>
        <v>Servicios de personalización de obsequios o productos</v>
      </c>
      <c r="C438" s="72" t="str">
        <f>IFERROR(VLOOKUP("UD",'Informacion '!P:Q,2,FALSE),"")</f>
        <v>Unidad</v>
      </c>
      <c r="D438" s="39">
        <v>2</v>
      </c>
      <c r="E438" s="42">
        <v>3540</v>
      </c>
      <c r="F438" s="41">
        <f ca="1">INDIRECT(ADDRESS(ROW(),COLUMN()-2,4))*INDIRECT(ADDRESS(ROW(),COLUMN()-1,4))</f>
        <v>7080</v>
      </c>
    </row>
    <row r="439" spans="1:10" ht="14.25" customHeight="1" x14ac:dyDescent="0.35">
      <c r="E439" s="44" t="s">
        <v>13122</v>
      </c>
      <c r="F439" s="45">
        <f ca="1">SUM(Table25[MONTO TOTAL ESTIMADO])</f>
        <v>7080</v>
      </c>
      <c r="H439" s="24" t="str">
        <f>C431</f>
        <v>Servicios</v>
      </c>
      <c r="I439" s="24" t="str">
        <f>E431</f>
        <v>No</v>
      </c>
      <c r="J439" s="24" t="str">
        <f>D431</f>
        <v>Compras por debajo del Umbral</v>
      </c>
    </row>
    <row r="441" spans="1:10" ht="34" customHeight="1" x14ac:dyDescent="0.35">
      <c r="A441" s="36" t="s">
        <v>17105</v>
      </c>
      <c r="B441" s="36" t="s">
        <v>167</v>
      </c>
      <c r="C441" s="36" t="s">
        <v>12252</v>
      </c>
      <c r="D441" s="36" t="s">
        <v>15021</v>
      </c>
      <c r="E441" s="36" t="s">
        <v>11455</v>
      </c>
      <c r="F441" s="36" t="s">
        <v>11595</v>
      </c>
    </row>
    <row r="442" spans="1:10" ht="14.25" customHeight="1" x14ac:dyDescent="0.35">
      <c r="A442" s="37" t="s">
        <v>17077</v>
      </c>
      <c r="B442" s="37" t="s">
        <v>17077</v>
      </c>
      <c r="C442" s="37" t="s">
        <v>7109</v>
      </c>
      <c r="D442" s="37" t="s">
        <v>1950</v>
      </c>
      <c r="E442" s="37" t="s">
        <v>9261</v>
      </c>
      <c r="F442" s="37" t="s">
        <v>7088</v>
      </c>
    </row>
    <row r="443" spans="1:10" ht="14.25" customHeight="1" x14ac:dyDescent="0.35">
      <c r="A443" s="75" t="s">
        <v>15490</v>
      </c>
      <c r="B443" s="38" t="s">
        <v>8918</v>
      </c>
      <c r="C443" s="68">
        <v>45334</v>
      </c>
      <c r="D443" s="75" t="s">
        <v>9819</v>
      </c>
      <c r="E443" s="70" t="s">
        <v>13683</v>
      </c>
      <c r="F443" s="71" t="s">
        <v>3205</v>
      </c>
    </row>
    <row r="444" spans="1:10" ht="14.25" customHeight="1" x14ac:dyDescent="0.35">
      <c r="A444" s="76"/>
      <c r="B444" s="38" t="s">
        <v>1858</v>
      </c>
      <c r="C444" s="69">
        <f>IF(C443="","",IF(AND(MONTH(C443)&gt;=1,MONTH(C443)&lt;=3),1,IF(AND(MONTH(C443)&gt;=4,MONTH(C443)&lt;=6),2,IF(AND(MONTH(C443)&gt;=7,MONTH(C443)&lt;=9),3,4))))</f>
        <v>1</v>
      </c>
      <c r="D444" s="76"/>
      <c r="E444" s="70" t="s">
        <v>2509</v>
      </c>
      <c r="F444" s="71" t="s">
        <v>11612</v>
      </c>
    </row>
    <row r="445" spans="1:10" ht="14.25" customHeight="1" x14ac:dyDescent="0.35">
      <c r="A445" s="76"/>
      <c r="B445" s="38" t="s">
        <v>13526</v>
      </c>
      <c r="C445" s="68">
        <v>45380</v>
      </c>
      <c r="D445" s="76"/>
      <c r="E445" s="70" t="s">
        <v>3198</v>
      </c>
      <c r="F445" s="71" t="s">
        <v>11612</v>
      </c>
    </row>
    <row r="446" spans="1:10" ht="14.25" customHeight="1" x14ac:dyDescent="0.35">
      <c r="A446" s="76"/>
      <c r="B446" s="38" t="s">
        <v>1858</v>
      </c>
      <c r="C446" s="69">
        <f>IF(C445="","",IF(AND(MONTH(C445)&gt;=1,MONTH(C445)&lt;=3),1,IF(AND(MONTH(C445)&gt;=4,MONTH(C445)&lt;=6),2,IF(AND(MONTH(C445)&gt;=7,MONTH(C445)&lt;=9),3,4))))</f>
        <v>1</v>
      </c>
      <c r="D446" s="76"/>
      <c r="E446" s="70" t="s">
        <v>13785</v>
      </c>
      <c r="F446" s="71"/>
    </row>
    <row r="448" spans="1:10" ht="14.25" customHeight="1" x14ac:dyDescent="0.35">
      <c r="A448" s="43" t="s">
        <v>16424</v>
      </c>
      <c r="B448" s="43" t="s">
        <v>16856</v>
      </c>
      <c r="C448" s="43" t="s">
        <v>16326</v>
      </c>
      <c r="D448" s="43" t="s">
        <v>15925</v>
      </c>
      <c r="E448" s="43" t="s">
        <v>7248</v>
      </c>
      <c r="F448" s="43" t="s">
        <v>15955</v>
      </c>
    </row>
    <row r="449" spans="1:10" ht="14.25" customHeight="1" x14ac:dyDescent="0.35">
      <c r="A449" s="39" t="s">
        <v>3548</v>
      </c>
      <c r="B449" s="40" t="str">
        <f ca="1">IFERROR(INDEX(UNSPSCDes,MATCH(INDIRECT(ADDRESS(ROW(),COLUMN()-1,4)),UNSPSCCode,0)),IF(INDIRECT(ADDRESS(ROW(),COLUMN()-1,4))="80141617","Capacitación en iniciativas estratégicas en los concesionarios",""))</f>
        <v>Capacitación en iniciativas estratégicas en los concesionarios</v>
      </c>
      <c r="C449" s="72" t="str">
        <f>IFERROR(VLOOKUP("UD",'Informacion '!P:Q,2,FALSE),"")</f>
        <v>Unidad</v>
      </c>
      <c r="D449" s="39">
        <v>3</v>
      </c>
      <c r="E449" s="42">
        <v>649000</v>
      </c>
      <c r="F449" s="41">
        <f ca="1">INDIRECT(ADDRESS(ROW(),COLUMN()-2,4))*INDIRECT(ADDRESS(ROW(),COLUMN()-1,4))</f>
        <v>1947000</v>
      </c>
    </row>
    <row r="450" spans="1:10" ht="14.25" customHeight="1" x14ac:dyDescent="0.35">
      <c r="A450" s="39" t="s">
        <v>3548</v>
      </c>
      <c r="B450" s="40" t="str">
        <f ca="1">IFERROR(INDEX(UNSPSCDes,MATCH(INDIRECT(ADDRESS(ROW(),COLUMN()-1,4)),UNSPSCCode,0)),IF(INDIRECT(ADDRESS(ROW(),COLUMN()-1,4))="80141617","Capacitación en iniciativas estratégicas en los concesionarios",""))</f>
        <v>Capacitación en iniciativas estratégicas en los concesionarios</v>
      </c>
      <c r="C450" s="72" t="str">
        <f>IFERROR(VLOOKUP("UD",'Informacion '!P:Q,2,FALSE),"")</f>
        <v>Unidad</v>
      </c>
      <c r="D450" s="39">
        <v>2</v>
      </c>
      <c r="E450" s="42">
        <v>649000</v>
      </c>
      <c r="F450" s="41">
        <f ca="1">INDIRECT(ADDRESS(ROW(),COLUMN()-2,4))*INDIRECT(ADDRESS(ROW(),COLUMN()-1,4))</f>
        <v>1298000</v>
      </c>
    </row>
    <row r="451" spans="1:10" ht="14.25" customHeight="1" x14ac:dyDescent="0.35">
      <c r="E451" s="44" t="s">
        <v>13122</v>
      </c>
      <c r="F451" s="45">
        <f ca="1">SUM(Table26[MONTO TOTAL ESTIMADO])</f>
        <v>3245000</v>
      </c>
      <c r="H451" s="24" t="str">
        <f>C442</f>
        <v>Servicios</v>
      </c>
      <c r="I451" s="24" t="str">
        <f>E442</f>
        <v>Sí</v>
      </c>
      <c r="J451" s="24" t="str">
        <f>D442</f>
        <v>Comparacion de Precios</v>
      </c>
    </row>
    <row r="453" spans="1:10" ht="34" customHeight="1" x14ac:dyDescent="0.35">
      <c r="A453" s="36" t="s">
        <v>17105</v>
      </c>
      <c r="B453" s="36" t="s">
        <v>167</v>
      </c>
      <c r="C453" s="36" t="s">
        <v>12252</v>
      </c>
      <c r="D453" s="36" t="s">
        <v>15021</v>
      </c>
      <c r="E453" s="36" t="s">
        <v>11455</v>
      </c>
      <c r="F453" s="36" t="s">
        <v>11595</v>
      </c>
    </row>
    <row r="454" spans="1:10" ht="14.25" customHeight="1" x14ac:dyDescent="0.35">
      <c r="A454" s="37" t="s">
        <v>17077</v>
      </c>
      <c r="B454" s="37" t="s">
        <v>17077</v>
      </c>
      <c r="C454" s="37" t="s">
        <v>7109</v>
      </c>
      <c r="D454" s="37" t="s">
        <v>1950</v>
      </c>
      <c r="E454" s="37" t="s">
        <v>9261</v>
      </c>
      <c r="F454" s="37" t="s">
        <v>7088</v>
      </c>
    </row>
    <row r="455" spans="1:10" ht="14.25" customHeight="1" x14ac:dyDescent="0.35">
      <c r="A455" s="75" t="s">
        <v>15490</v>
      </c>
      <c r="B455" s="38" t="s">
        <v>8918</v>
      </c>
      <c r="C455" s="68">
        <v>45383</v>
      </c>
      <c r="D455" s="75" t="s">
        <v>9819</v>
      </c>
      <c r="E455" s="70" t="s">
        <v>13683</v>
      </c>
      <c r="F455" s="71" t="s">
        <v>3205</v>
      </c>
    </row>
    <row r="456" spans="1:10" ht="14.25" customHeight="1" x14ac:dyDescent="0.35">
      <c r="A456" s="76"/>
      <c r="B456" s="38" t="s">
        <v>1858</v>
      </c>
      <c r="C456" s="69">
        <f>IF(C455="","",IF(AND(MONTH(C455)&gt;=1,MONTH(C455)&lt;=3),1,IF(AND(MONTH(C455)&gt;=4,MONTH(C455)&lt;=6),2,IF(AND(MONTH(C455)&gt;=7,MONTH(C455)&lt;=9),3,4))))</f>
        <v>2</v>
      </c>
      <c r="D456" s="76"/>
      <c r="E456" s="70" t="s">
        <v>2509</v>
      </c>
      <c r="F456" s="71" t="s">
        <v>11612</v>
      </c>
    </row>
    <row r="457" spans="1:10" ht="14.25" customHeight="1" x14ac:dyDescent="0.35">
      <c r="A457" s="76"/>
      <c r="B457" s="38" t="s">
        <v>13526</v>
      </c>
      <c r="C457" s="68">
        <v>45471</v>
      </c>
      <c r="D457" s="76"/>
      <c r="E457" s="70" t="s">
        <v>3198</v>
      </c>
      <c r="F457" s="71" t="s">
        <v>11612</v>
      </c>
    </row>
    <row r="458" spans="1:10" ht="14.25" customHeight="1" x14ac:dyDescent="0.35">
      <c r="A458" s="76"/>
      <c r="B458" s="38" t="s">
        <v>1858</v>
      </c>
      <c r="C458" s="69">
        <f>IF(C457="","",IF(AND(MONTH(C457)&gt;=1,MONTH(C457)&lt;=3),1,IF(AND(MONTH(C457)&gt;=4,MONTH(C457)&lt;=6),2,IF(AND(MONTH(C457)&gt;=7,MONTH(C457)&lt;=9),3,4))))</f>
        <v>2</v>
      </c>
      <c r="D458" s="76"/>
      <c r="E458" s="70" t="s">
        <v>13785</v>
      </c>
      <c r="F458" s="71"/>
    </row>
    <row r="460" spans="1:10" ht="14.25" customHeight="1" x14ac:dyDescent="0.35">
      <c r="A460" s="43" t="s">
        <v>16424</v>
      </c>
      <c r="B460" s="43" t="s">
        <v>16856</v>
      </c>
      <c r="C460" s="43" t="s">
        <v>16326</v>
      </c>
      <c r="D460" s="43" t="s">
        <v>15925</v>
      </c>
      <c r="E460" s="43" t="s">
        <v>7248</v>
      </c>
      <c r="F460" s="43" t="s">
        <v>15955</v>
      </c>
    </row>
    <row r="461" spans="1:10" ht="14.25" customHeight="1" x14ac:dyDescent="0.35">
      <c r="A461" s="39" t="s">
        <v>3548</v>
      </c>
      <c r="B461" s="40" t="str">
        <f ca="1">IFERROR(INDEX(UNSPSCDes,MATCH(INDIRECT(ADDRESS(ROW(),COLUMN()-1,4)),UNSPSCCode,0)),IF(INDIRECT(ADDRESS(ROW(),COLUMN()-1,4))="80141617","Capacitación en iniciativas estratégicas en los concesionarios",""))</f>
        <v>Capacitación en iniciativas estratégicas en los concesionarios</v>
      </c>
      <c r="C461" s="72" t="str">
        <f>IFERROR(VLOOKUP("UD",'Informacion '!P:Q,2,FALSE),"")</f>
        <v>Unidad</v>
      </c>
      <c r="D461" s="39">
        <v>3</v>
      </c>
      <c r="E461" s="42">
        <v>649000</v>
      </c>
      <c r="F461" s="41">
        <f ca="1">INDIRECT(ADDRESS(ROW(),COLUMN()-2,4))*INDIRECT(ADDRESS(ROW(),COLUMN()-1,4))</f>
        <v>1947000</v>
      </c>
    </row>
    <row r="462" spans="1:10" ht="14.25" customHeight="1" x14ac:dyDescent="0.35">
      <c r="E462" s="44" t="s">
        <v>13122</v>
      </c>
      <c r="F462" s="45">
        <f ca="1">SUM(Table27[MONTO TOTAL ESTIMADO])</f>
        <v>1947000</v>
      </c>
      <c r="H462" s="24" t="str">
        <f>C454</f>
        <v>Servicios</v>
      </c>
      <c r="I462" s="24" t="str">
        <f>E454</f>
        <v>Sí</v>
      </c>
      <c r="J462" s="24" t="str">
        <f>D454</f>
        <v>Comparacion de Precios</v>
      </c>
    </row>
    <row r="464" spans="1:10" ht="34" customHeight="1" x14ac:dyDescent="0.35">
      <c r="A464" s="36" t="s">
        <v>17105</v>
      </c>
      <c r="B464" s="36" t="s">
        <v>167</v>
      </c>
      <c r="C464" s="36" t="s">
        <v>12252</v>
      </c>
      <c r="D464" s="36" t="s">
        <v>15021</v>
      </c>
      <c r="E464" s="36" t="s">
        <v>11455</v>
      </c>
      <c r="F464" s="36" t="s">
        <v>11595</v>
      </c>
    </row>
    <row r="465" spans="1:6" ht="14.25" customHeight="1" x14ac:dyDescent="0.35">
      <c r="A465" s="37" t="s">
        <v>17099</v>
      </c>
      <c r="B465" s="37" t="s">
        <v>17099</v>
      </c>
      <c r="C465" s="37" t="s">
        <v>7109</v>
      </c>
      <c r="D465" s="37" t="s">
        <v>1950</v>
      </c>
      <c r="E465" s="37" t="s">
        <v>18646</v>
      </c>
      <c r="F465" s="37" t="s">
        <v>7088</v>
      </c>
    </row>
    <row r="466" spans="1:6" ht="14.25" customHeight="1" x14ac:dyDescent="0.35">
      <c r="A466" s="75" t="s">
        <v>15490</v>
      </c>
      <c r="B466" s="38" t="s">
        <v>8918</v>
      </c>
      <c r="C466" s="68">
        <v>45334</v>
      </c>
      <c r="D466" s="75" t="s">
        <v>9819</v>
      </c>
      <c r="E466" s="70" t="s">
        <v>13683</v>
      </c>
      <c r="F466" s="71" t="s">
        <v>3205</v>
      </c>
    </row>
    <row r="467" spans="1:6" ht="14.25" customHeight="1" x14ac:dyDescent="0.35">
      <c r="A467" s="76"/>
      <c r="B467" s="38" t="s">
        <v>1858</v>
      </c>
      <c r="C467" s="69">
        <f>IF(C466="","",IF(AND(MONTH(C466)&gt;=1,MONTH(C466)&lt;=3),1,IF(AND(MONTH(C466)&gt;=4,MONTH(C466)&lt;=6),2,IF(AND(MONTH(C466)&gt;=7,MONTH(C466)&lt;=9),3,4))))</f>
        <v>1</v>
      </c>
      <c r="D467" s="76"/>
      <c r="E467" s="70" t="s">
        <v>2509</v>
      </c>
      <c r="F467" s="71" t="s">
        <v>11612</v>
      </c>
    </row>
    <row r="468" spans="1:6" ht="14.25" customHeight="1" x14ac:dyDescent="0.35">
      <c r="A468" s="76"/>
      <c r="B468" s="38" t="s">
        <v>13526</v>
      </c>
      <c r="C468" s="68">
        <v>45380</v>
      </c>
      <c r="D468" s="76"/>
      <c r="E468" s="70" t="s">
        <v>3198</v>
      </c>
      <c r="F468" s="71" t="s">
        <v>11612</v>
      </c>
    </row>
    <row r="469" spans="1:6" ht="14.25" customHeight="1" x14ac:dyDescent="0.35">
      <c r="A469" s="76"/>
      <c r="B469" s="38" t="s">
        <v>1858</v>
      </c>
      <c r="C469" s="69">
        <f>IF(C468="","",IF(AND(MONTH(C468)&gt;=1,MONTH(C468)&lt;=3),1,IF(AND(MONTH(C468)&gt;=4,MONTH(C468)&lt;=6),2,IF(AND(MONTH(C468)&gt;=7,MONTH(C468)&lt;=9),3,4))))</f>
        <v>1</v>
      </c>
      <c r="D469" s="76"/>
      <c r="E469" s="70" t="s">
        <v>13785</v>
      </c>
      <c r="F469" s="71"/>
    </row>
    <row r="471" spans="1:6" ht="14.25" customHeight="1" x14ac:dyDescent="0.35">
      <c r="A471" s="43" t="s">
        <v>16424</v>
      </c>
      <c r="B471" s="43" t="s">
        <v>16856</v>
      </c>
      <c r="C471" s="43" t="s">
        <v>16326</v>
      </c>
      <c r="D471" s="43" t="s">
        <v>15925</v>
      </c>
      <c r="E471" s="43" t="s">
        <v>7248</v>
      </c>
      <c r="F471" s="43" t="s">
        <v>15955</v>
      </c>
    </row>
    <row r="472" spans="1:6" ht="14.25" customHeight="1" x14ac:dyDescent="0.35">
      <c r="A472" s="39" t="s">
        <v>10331</v>
      </c>
      <c r="B472" s="40" t="str">
        <f t="shared" ref="B472:B481" ca="1" si="18">IFERROR(INDEX(UNSPSCDes,MATCH(INDIRECT(ADDRESS(ROW(),COLUMN()-1,4)),UNSPSCCode,0)),IF(INDIRECT(ADDRESS(ROW(),COLUMN()-1,4))="80141902","Reuniones y eventos",""))</f>
        <v>Reuniones y eventos</v>
      </c>
      <c r="C472" s="72" t="str">
        <f>IFERROR(VLOOKUP("UD",'Informacion '!P:Q,2,FALSE),"")</f>
        <v>Unidad</v>
      </c>
      <c r="D472" s="39">
        <v>1</v>
      </c>
      <c r="E472" s="42">
        <v>61950</v>
      </c>
      <c r="F472" s="41">
        <f t="shared" ref="F472:F481" ca="1" si="19">INDIRECT(ADDRESS(ROW(),COLUMN()-2,4))*INDIRECT(ADDRESS(ROW(),COLUMN()-1,4))</f>
        <v>61950</v>
      </c>
    </row>
    <row r="473" spans="1:6" ht="14.25" customHeight="1" x14ac:dyDescent="0.35">
      <c r="A473" s="39" t="s">
        <v>10331</v>
      </c>
      <c r="B473" s="40" t="str">
        <f t="shared" ca="1" si="18"/>
        <v>Reuniones y eventos</v>
      </c>
      <c r="C473" s="72" t="str">
        <f>IFERROR(VLOOKUP("UD",'Informacion '!P:Q,2,FALSE),"")</f>
        <v>Unidad</v>
      </c>
      <c r="D473" s="39">
        <v>1</v>
      </c>
      <c r="E473" s="42">
        <v>428340</v>
      </c>
      <c r="F473" s="41">
        <f t="shared" ca="1" si="19"/>
        <v>428340</v>
      </c>
    </row>
    <row r="474" spans="1:6" ht="14.25" customHeight="1" x14ac:dyDescent="0.35">
      <c r="A474" s="39" t="s">
        <v>10331</v>
      </c>
      <c r="B474" s="40" t="str">
        <f t="shared" ca="1" si="18"/>
        <v>Reuniones y eventos</v>
      </c>
      <c r="C474" s="72" t="str">
        <f>IFERROR(VLOOKUP("UD",'Informacion '!P:Q,2,FALSE),"")</f>
        <v>Unidad</v>
      </c>
      <c r="D474" s="39">
        <v>1</v>
      </c>
      <c r="E474" s="42">
        <v>66268</v>
      </c>
      <c r="F474" s="41">
        <f t="shared" ca="1" si="19"/>
        <v>66268</v>
      </c>
    </row>
    <row r="475" spans="1:6" ht="14.25" customHeight="1" x14ac:dyDescent="0.35">
      <c r="A475" s="39" t="s">
        <v>10331</v>
      </c>
      <c r="B475" s="40" t="str">
        <f t="shared" ca="1" si="18"/>
        <v>Reuniones y eventos</v>
      </c>
      <c r="C475" s="72" t="str">
        <f>IFERROR(VLOOKUP("UD",'Informacion '!P:Q,2,FALSE),"")</f>
        <v>Unidad</v>
      </c>
      <c r="D475" s="39">
        <v>1</v>
      </c>
      <c r="E475" s="42">
        <v>125000</v>
      </c>
      <c r="F475" s="41">
        <f t="shared" ca="1" si="19"/>
        <v>125000</v>
      </c>
    </row>
    <row r="476" spans="1:6" ht="14.25" customHeight="1" x14ac:dyDescent="0.35">
      <c r="A476" s="39" t="s">
        <v>10331</v>
      </c>
      <c r="B476" s="40" t="str">
        <f t="shared" ca="1" si="18"/>
        <v>Reuniones y eventos</v>
      </c>
      <c r="C476" s="72" t="str">
        <f>IFERROR(VLOOKUP("UD",'Informacion '!P:Q,2,FALSE),"")</f>
        <v>Unidad</v>
      </c>
      <c r="D476" s="39">
        <v>1</v>
      </c>
      <c r="E476" s="42">
        <v>66268</v>
      </c>
      <c r="F476" s="41">
        <f t="shared" ca="1" si="19"/>
        <v>66268</v>
      </c>
    </row>
    <row r="477" spans="1:6" ht="14.25" customHeight="1" x14ac:dyDescent="0.35">
      <c r="A477" s="39" t="s">
        <v>10331</v>
      </c>
      <c r="B477" s="40" t="str">
        <f t="shared" ca="1" si="18"/>
        <v>Reuniones y eventos</v>
      </c>
      <c r="C477" s="72" t="str">
        <f>IFERROR(VLOOKUP("UD",'Informacion '!P:Q,2,FALSE),"")</f>
        <v>Unidad</v>
      </c>
      <c r="D477" s="39">
        <v>1</v>
      </c>
      <c r="E477" s="42">
        <v>450000</v>
      </c>
      <c r="F477" s="41">
        <f t="shared" ca="1" si="19"/>
        <v>450000</v>
      </c>
    </row>
    <row r="478" spans="1:6" ht="14.25" customHeight="1" x14ac:dyDescent="0.35">
      <c r="A478" s="39" t="s">
        <v>10331</v>
      </c>
      <c r="B478" s="40" t="str">
        <f t="shared" ca="1" si="18"/>
        <v>Reuniones y eventos</v>
      </c>
      <c r="C478" s="72" t="str">
        <f>IFERROR(VLOOKUP("UD",'Informacion '!P:Q,2,FALSE),"")</f>
        <v>Unidad</v>
      </c>
      <c r="D478" s="39">
        <v>1</v>
      </c>
      <c r="E478" s="42">
        <v>20054</v>
      </c>
      <c r="F478" s="41">
        <f t="shared" ca="1" si="19"/>
        <v>20054</v>
      </c>
    </row>
    <row r="479" spans="1:6" ht="14.25" customHeight="1" x14ac:dyDescent="0.35">
      <c r="A479" s="39" t="s">
        <v>10331</v>
      </c>
      <c r="B479" s="40" t="str">
        <f t="shared" ca="1" si="18"/>
        <v>Reuniones y eventos</v>
      </c>
      <c r="C479" s="72" t="str">
        <f>IFERROR(VLOOKUP("UD",'Informacion '!P:Q,2,FALSE),"")</f>
        <v>Unidad</v>
      </c>
      <c r="D479" s="39">
        <v>1</v>
      </c>
      <c r="E479" s="42">
        <v>13570</v>
      </c>
      <c r="F479" s="41">
        <f t="shared" ca="1" si="19"/>
        <v>13570</v>
      </c>
    </row>
    <row r="480" spans="1:6" ht="14.25" customHeight="1" x14ac:dyDescent="0.35">
      <c r="A480" s="39" t="s">
        <v>10331</v>
      </c>
      <c r="B480" s="40" t="str">
        <f t="shared" ca="1" si="18"/>
        <v>Reuniones y eventos</v>
      </c>
      <c r="C480" s="72" t="str">
        <f>IFERROR(VLOOKUP("UD",'Informacion '!P:Q,2,FALSE),"")</f>
        <v>Unidad</v>
      </c>
      <c r="D480" s="39">
        <v>1</v>
      </c>
      <c r="E480" s="42">
        <v>82600</v>
      </c>
      <c r="F480" s="41">
        <f t="shared" ca="1" si="19"/>
        <v>82600</v>
      </c>
    </row>
    <row r="481" spans="1:10" ht="14.25" customHeight="1" x14ac:dyDescent="0.35">
      <c r="A481" s="39" t="s">
        <v>10331</v>
      </c>
      <c r="B481" s="40" t="str">
        <f t="shared" ca="1" si="18"/>
        <v>Reuniones y eventos</v>
      </c>
      <c r="C481" s="72" t="str">
        <f>IFERROR(VLOOKUP("UD",'Informacion '!P:Q,2,FALSE),"")</f>
        <v>Unidad</v>
      </c>
      <c r="D481" s="39">
        <v>1</v>
      </c>
      <c r="E481" s="42">
        <v>51330</v>
      </c>
      <c r="F481" s="41">
        <f t="shared" ca="1" si="19"/>
        <v>51330</v>
      </c>
    </row>
    <row r="482" spans="1:10" ht="14.25" customHeight="1" x14ac:dyDescent="0.35">
      <c r="E482" s="44" t="s">
        <v>13122</v>
      </c>
      <c r="F482" s="45">
        <f ca="1">SUM(Table28[MONTO TOTAL ESTIMADO])</f>
        <v>1365380</v>
      </c>
      <c r="H482" s="24" t="str">
        <f>C465</f>
        <v>Servicios</v>
      </c>
      <c r="I482" s="24" t="str">
        <f>E465</f>
        <v>No</v>
      </c>
      <c r="J482" s="24" t="str">
        <f>D465</f>
        <v>Comparacion de Precios</v>
      </c>
    </row>
    <row r="484" spans="1:10" ht="34" customHeight="1" x14ac:dyDescent="0.35">
      <c r="A484" s="36" t="s">
        <v>17105</v>
      </c>
      <c r="B484" s="36" t="s">
        <v>167</v>
      </c>
      <c r="C484" s="36" t="s">
        <v>12252</v>
      </c>
      <c r="D484" s="36" t="s">
        <v>15021</v>
      </c>
      <c r="E484" s="36" t="s">
        <v>11455</v>
      </c>
      <c r="F484" s="36" t="s">
        <v>11595</v>
      </c>
    </row>
    <row r="485" spans="1:10" ht="14.25" customHeight="1" x14ac:dyDescent="0.35">
      <c r="A485" s="37" t="s">
        <v>17099</v>
      </c>
      <c r="B485" s="37" t="s">
        <v>17099</v>
      </c>
      <c r="C485" s="37" t="s">
        <v>7109</v>
      </c>
      <c r="D485" s="37" t="s">
        <v>18256</v>
      </c>
      <c r="E485" s="37" t="s">
        <v>6314</v>
      </c>
      <c r="F485" s="37" t="s">
        <v>7088</v>
      </c>
    </row>
    <row r="486" spans="1:10" ht="14.25" customHeight="1" x14ac:dyDescent="0.35">
      <c r="A486" s="75" t="s">
        <v>15490</v>
      </c>
      <c r="B486" s="38" t="s">
        <v>8918</v>
      </c>
      <c r="C486" s="68">
        <v>45383</v>
      </c>
      <c r="D486" s="75" t="s">
        <v>9819</v>
      </c>
      <c r="E486" s="70" t="s">
        <v>13683</v>
      </c>
      <c r="F486" s="71" t="s">
        <v>3205</v>
      </c>
    </row>
    <row r="487" spans="1:10" ht="14.25" customHeight="1" x14ac:dyDescent="0.35">
      <c r="A487" s="76"/>
      <c r="B487" s="38" t="s">
        <v>1858</v>
      </c>
      <c r="C487" s="69">
        <f>IF(C486="","",IF(AND(MONTH(C486)&gt;=1,MONTH(C486)&lt;=3),1,IF(AND(MONTH(C486)&gt;=4,MONTH(C486)&lt;=6),2,IF(AND(MONTH(C486)&gt;=7,MONTH(C486)&lt;=9),3,4))))</f>
        <v>2</v>
      </c>
      <c r="D487" s="76"/>
      <c r="E487" s="70" t="s">
        <v>2509</v>
      </c>
      <c r="F487" s="71" t="s">
        <v>11612</v>
      </c>
    </row>
    <row r="488" spans="1:10" ht="14.25" customHeight="1" x14ac:dyDescent="0.35">
      <c r="A488" s="76"/>
      <c r="B488" s="38" t="s">
        <v>13526</v>
      </c>
      <c r="C488" s="68">
        <v>45471</v>
      </c>
      <c r="D488" s="76"/>
      <c r="E488" s="70" t="s">
        <v>3198</v>
      </c>
      <c r="F488" s="71" t="s">
        <v>11612</v>
      </c>
    </row>
    <row r="489" spans="1:10" ht="14.25" customHeight="1" x14ac:dyDescent="0.35">
      <c r="A489" s="76"/>
      <c r="B489" s="38" t="s">
        <v>1858</v>
      </c>
      <c r="C489" s="69">
        <f>IF(C488="","",IF(AND(MONTH(C488)&gt;=1,MONTH(C488)&lt;=3),1,IF(AND(MONTH(C488)&gt;=4,MONTH(C488)&lt;=6),2,IF(AND(MONTH(C488)&gt;=7,MONTH(C488)&lt;=9),3,4))))</f>
        <v>2</v>
      </c>
      <c r="D489" s="76"/>
      <c r="E489" s="70" t="s">
        <v>13785</v>
      </c>
      <c r="F489" s="71"/>
    </row>
    <row r="491" spans="1:10" ht="14.25" customHeight="1" x14ac:dyDescent="0.35">
      <c r="A491" s="43" t="s">
        <v>16424</v>
      </c>
      <c r="B491" s="43" t="s">
        <v>16856</v>
      </c>
      <c r="C491" s="43" t="s">
        <v>16326</v>
      </c>
      <c r="D491" s="43" t="s">
        <v>15925</v>
      </c>
      <c r="E491" s="43" t="s">
        <v>7248</v>
      </c>
      <c r="F491" s="43" t="s">
        <v>15955</v>
      </c>
    </row>
    <row r="492" spans="1:10" ht="14.25" customHeight="1" x14ac:dyDescent="0.35">
      <c r="A492" s="39" t="s">
        <v>10331</v>
      </c>
      <c r="B492" s="40" t="str">
        <f t="shared" ref="B492:B498" ca="1" si="20">IFERROR(INDEX(UNSPSCDes,MATCH(INDIRECT(ADDRESS(ROW(),COLUMN()-1,4)),UNSPSCCode,0)),IF(INDIRECT(ADDRESS(ROW(),COLUMN()-1,4))="80141902","Reuniones y eventos",""))</f>
        <v>Reuniones y eventos</v>
      </c>
      <c r="C492" s="72" t="str">
        <f>IFERROR(VLOOKUP("UD",'Informacion '!P:Q,2,FALSE),"")</f>
        <v>Unidad</v>
      </c>
      <c r="D492" s="39">
        <v>4</v>
      </c>
      <c r="E492" s="42">
        <v>61950</v>
      </c>
      <c r="F492" s="41">
        <f t="shared" ref="F492:F498" ca="1" si="21">INDIRECT(ADDRESS(ROW(),COLUMN()-2,4))*INDIRECT(ADDRESS(ROW(),COLUMN()-1,4))</f>
        <v>247800</v>
      </c>
    </row>
    <row r="493" spans="1:10" ht="14.25" customHeight="1" x14ac:dyDescent="0.35">
      <c r="A493" s="39" t="s">
        <v>10331</v>
      </c>
      <c r="B493" s="40" t="str">
        <f t="shared" ca="1" si="20"/>
        <v>Reuniones y eventos</v>
      </c>
      <c r="C493" s="72" t="str">
        <f>IFERROR(VLOOKUP("UD",'Informacion '!P:Q,2,FALSE),"")</f>
        <v>Unidad</v>
      </c>
      <c r="D493" s="39">
        <v>1</v>
      </c>
      <c r="E493" s="42">
        <v>428340</v>
      </c>
      <c r="F493" s="41">
        <f t="shared" ca="1" si="21"/>
        <v>428340</v>
      </c>
    </row>
    <row r="494" spans="1:10" ht="14.25" customHeight="1" x14ac:dyDescent="0.35">
      <c r="A494" s="39" t="s">
        <v>10331</v>
      </c>
      <c r="B494" s="40" t="str">
        <f t="shared" ca="1" si="20"/>
        <v>Reuniones y eventos</v>
      </c>
      <c r="C494" s="72" t="str">
        <f>IFERROR(VLOOKUP("UD",'Informacion '!P:Q,2,FALSE),"")</f>
        <v>Unidad</v>
      </c>
      <c r="D494" s="39">
        <v>1</v>
      </c>
      <c r="E494" s="42">
        <v>66268</v>
      </c>
      <c r="F494" s="41">
        <f t="shared" ca="1" si="21"/>
        <v>66268</v>
      </c>
    </row>
    <row r="495" spans="1:10" ht="14.25" customHeight="1" x14ac:dyDescent="0.35">
      <c r="A495" s="39" t="s">
        <v>10331</v>
      </c>
      <c r="B495" s="40" t="str">
        <f t="shared" ca="1" si="20"/>
        <v>Reuniones y eventos</v>
      </c>
      <c r="C495" s="72" t="str">
        <f>IFERROR(VLOOKUP("UD",'Informacion '!P:Q,2,FALSE),"")</f>
        <v>Unidad</v>
      </c>
      <c r="D495" s="39">
        <v>1</v>
      </c>
      <c r="E495" s="42">
        <v>66268</v>
      </c>
      <c r="F495" s="41">
        <f t="shared" ca="1" si="21"/>
        <v>66268</v>
      </c>
    </row>
    <row r="496" spans="1:10" ht="14.25" customHeight="1" x14ac:dyDescent="0.35">
      <c r="A496" s="39" t="s">
        <v>10331</v>
      </c>
      <c r="B496" s="40" t="str">
        <f t="shared" ca="1" si="20"/>
        <v>Reuniones y eventos</v>
      </c>
      <c r="C496" s="72" t="str">
        <f>IFERROR(VLOOKUP("UD",'Informacion '!P:Q,2,FALSE),"")</f>
        <v>Unidad</v>
      </c>
      <c r="D496" s="39">
        <v>1</v>
      </c>
      <c r="E496" s="42">
        <v>125000</v>
      </c>
      <c r="F496" s="41">
        <f t="shared" ca="1" si="21"/>
        <v>125000</v>
      </c>
    </row>
    <row r="497" spans="1:10" ht="14.25" customHeight="1" x14ac:dyDescent="0.35">
      <c r="A497" s="39" t="s">
        <v>10331</v>
      </c>
      <c r="B497" s="40" t="str">
        <f t="shared" ca="1" si="20"/>
        <v>Reuniones y eventos</v>
      </c>
      <c r="C497" s="72" t="str">
        <f>IFERROR(VLOOKUP("UD",'Informacion '!P:Q,2,FALSE),"")</f>
        <v>Unidad</v>
      </c>
      <c r="D497" s="39">
        <v>1</v>
      </c>
      <c r="E497" s="42">
        <v>66268</v>
      </c>
      <c r="F497" s="41">
        <f t="shared" ca="1" si="21"/>
        <v>66268</v>
      </c>
    </row>
    <row r="498" spans="1:10" ht="14.25" customHeight="1" x14ac:dyDescent="0.35">
      <c r="A498" s="39" t="s">
        <v>10331</v>
      </c>
      <c r="B498" s="40" t="str">
        <f t="shared" ca="1" si="20"/>
        <v>Reuniones y eventos</v>
      </c>
      <c r="C498" s="72" t="str">
        <f>IFERROR(VLOOKUP("UD",'Informacion '!P:Q,2,FALSE),"")</f>
        <v>Unidad</v>
      </c>
      <c r="D498" s="39">
        <v>1</v>
      </c>
      <c r="E498" s="42">
        <v>450000</v>
      </c>
      <c r="F498" s="41">
        <f t="shared" ca="1" si="21"/>
        <v>450000</v>
      </c>
    </row>
    <row r="499" spans="1:10" ht="14.25" customHeight="1" x14ac:dyDescent="0.35">
      <c r="E499" s="44" t="s">
        <v>13122</v>
      </c>
      <c r="F499" s="45">
        <f ca="1">SUM(Table29[MONTO TOTAL ESTIMADO])</f>
        <v>1449944</v>
      </c>
      <c r="H499" s="24" t="str">
        <f>C485</f>
        <v>Servicios</v>
      </c>
      <c r="I499" s="24" t="str">
        <f>E485</f>
        <v>MIPYME Mujeres</v>
      </c>
      <c r="J499" s="24" t="str">
        <f>D485</f>
        <v>Compras Menores</v>
      </c>
    </row>
    <row r="501" spans="1:10" ht="34" customHeight="1" x14ac:dyDescent="0.35">
      <c r="A501" s="36" t="s">
        <v>17105</v>
      </c>
      <c r="B501" s="36" t="s">
        <v>167</v>
      </c>
      <c r="C501" s="36" t="s">
        <v>12252</v>
      </c>
      <c r="D501" s="36" t="s">
        <v>15021</v>
      </c>
      <c r="E501" s="36" t="s">
        <v>11455</v>
      </c>
      <c r="F501" s="36" t="s">
        <v>11595</v>
      </c>
    </row>
    <row r="502" spans="1:10" ht="14.25" customHeight="1" x14ac:dyDescent="0.35">
      <c r="A502" s="37" t="s">
        <v>17099</v>
      </c>
      <c r="B502" s="37" t="s">
        <v>17099</v>
      </c>
      <c r="C502" s="37" t="s">
        <v>7109</v>
      </c>
      <c r="D502" s="37" t="s">
        <v>18256</v>
      </c>
      <c r="E502" s="37" t="s">
        <v>6314</v>
      </c>
      <c r="F502" s="37" t="s">
        <v>7088</v>
      </c>
    </row>
    <row r="503" spans="1:10" ht="14.25" customHeight="1" x14ac:dyDescent="0.35">
      <c r="A503" s="75" t="s">
        <v>15490</v>
      </c>
      <c r="B503" s="38" t="s">
        <v>8918</v>
      </c>
      <c r="C503" s="68">
        <v>45474</v>
      </c>
      <c r="D503" s="75" t="s">
        <v>9819</v>
      </c>
      <c r="E503" s="70" t="s">
        <v>13683</v>
      </c>
      <c r="F503" s="71" t="s">
        <v>3205</v>
      </c>
    </row>
    <row r="504" spans="1:10" ht="14.25" customHeight="1" x14ac:dyDescent="0.35">
      <c r="A504" s="76"/>
      <c r="B504" s="38" t="s">
        <v>1858</v>
      </c>
      <c r="C504" s="69">
        <f>IF(C503="","",IF(AND(MONTH(C503)&gt;=1,MONTH(C503)&lt;=3),1,IF(AND(MONTH(C503)&gt;=4,MONTH(C503)&lt;=6),2,IF(AND(MONTH(C503)&gt;=7,MONTH(C503)&lt;=9),3,4))))</f>
        <v>3</v>
      </c>
      <c r="D504" s="76"/>
      <c r="E504" s="70" t="s">
        <v>2509</v>
      </c>
      <c r="F504" s="71" t="s">
        <v>11612</v>
      </c>
    </row>
    <row r="505" spans="1:10" ht="14.25" customHeight="1" x14ac:dyDescent="0.35">
      <c r="A505" s="76"/>
      <c r="B505" s="38" t="s">
        <v>13526</v>
      </c>
      <c r="C505" s="68">
        <v>45565</v>
      </c>
      <c r="D505" s="76"/>
      <c r="E505" s="70" t="s">
        <v>3198</v>
      </c>
      <c r="F505" s="71" t="s">
        <v>11612</v>
      </c>
    </row>
    <row r="506" spans="1:10" ht="14.25" customHeight="1" x14ac:dyDescent="0.35">
      <c r="A506" s="76"/>
      <c r="B506" s="38" t="s">
        <v>1858</v>
      </c>
      <c r="C506" s="69">
        <f>IF(C505="","",IF(AND(MONTH(C505)&gt;=1,MONTH(C505)&lt;=3),1,IF(AND(MONTH(C505)&gt;=4,MONTH(C505)&lt;=6),2,IF(AND(MONTH(C505)&gt;=7,MONTH(C505)&lt;=9),3,4))))</f>
        <v>3</v>
      </c>
      <c r="D506" s="76"/>
      <c r="E506" s="70" t="s">
        <v>13785</v>
      </c>
      <c r="F506" s="71"/>
    </row>
    <row r="508" spans="1:10" ht="14.25" customHeight="1" x14ac:dyDescent="0.35">
      <c r="A508" s="43" t="s">
        <v>16424</v>
      </c>
      <c r="B508" s="43" t="s">
        <v>16856</v>
      </c>
      <c r="C508" s="43" t="s">
        <v>16326</v>
      </c>
      <c r="D508" s="43" t="s">
        <v>15925</v>
      </c>
      <c r="E508" s="43" t="s">
        <v>7248</v>
      </c>
      <c r="F508" s="43" t="s">
        <v>15955</v>
      </c>
    </row>
    <row r="509" spans="1:10" ht="14.25" customHeight="1" x14ac:dyDescent="0.35">
      <c r="A509" s="39" t="s">
        <v>10331</v>
      </c>
      <c r="B509" s="40" t="str">
        <f ca="1">IFERROR(INDEX(UNSPSCDes,MATCH(INDIRECT(ADDRESS(ROW(),COLUMN()-1,4)),UNSPSCCode,0)),IF(INDIRECT(ADDRESS(ROW(),COLUMN()-1,4))="80141902","Reuniones y eventos",""))</f>
        <v>Reuniones y eventos</v>
      </c>
      <c r="C509" s="72" t="str">
        <f>IFERROR(VLOOKUP("UD",'Informacion '!P:Q,2,FALSE),"")</f>
        <v>Unidad</v>
      </c>
      <c r="D509" s="39">
        <v>4</v>
      </c>
      <c r="E509" s="42">
        <v>61950</v>
      </c>
      <c r="F509" s="41">
        <f ca="1">INDIRECT(ADDRESS(ROW(),COLUMN()-2,4))*INDIRECT(ADDRESS(ROW(),COLUMN()-1,4))</f>
        <v>247800</v>
      </c>
    </row>
    <row r="510" spans="1:10" ht="14.25" customHeight="1" x14ac:dyDescent="0.35">
      <c r="A510" s="39" t="s">
        <v>10331</v>
      </c>
      <c r="B510" s="40" t="str">
        <f ca="1">IFERROR(INDEX(UNSPSCDes,MATCH(INDIRECT(ADDRESS(ROW(),COLUMN()-1,4)),UNSPSCCode,0)),IF(INDIRECT(ADDRESS(ROW(),COLUMN()-1,4))="80141902","Reuniones y eventos",""))</f>
        <v>Reuniones y eventos</v>
      </c>
      <c r="C510" s="72" t="str">
        <f>IFERROR(VLOOKUP("UD",'Informacion '!P:Q,2,FALSE),"")</f>
        <v>Unidad</v>
      </c>
      <c r="D510" s="39">
        <v>1</v>
      </c>
      <c r="E510" s="42">
        <v>428340</v>
      </c>
      <c r="F510" s="41">
        <f ca="1">INDIRECT(ADDRESS(ROW(),COLUMN()-2,4))*INDIRECT(ADDRESS(ROW(),COLUMN()-1,4))</f>
        <v>428340</v>
      </c>
    </row>
    <row r="511" spans="1:10" ht="14.25" customHeight="1" x14ac:dyDescent="0.35">
      <c r="A511" s="39" t="s">
        <v>10331</v>
      </c>
      <c r="B511" s="40" t="str">
        <f ca="1">IFERROR(INDEX(UNSPSCDes,MATCH(INDIRECT(ADDRESS(ROW(),COLUMN()-1,4)),UNSPSCCode,0)),IF(INDIRECT(ADDRESS(ROW(),COLUMN()-1,4))="80141902","Reuniones y eventos",""))</f>
        <v>Reuniones y eventos</v>
      </c>
      <c r="C511" s="72" t="str">
        <f>IFERROR(VLOOKUP("UD",'Informacion '!P:Q,2,FALSE),"")</f>
        <v>Unidad</v>
      </c>
      <c r="D511" s="39">
        <v>1</v>
      </c>
      <c r="E511" s="42">
        <v>66268</v>
      </c>
      <c r="F511" s="41">
        <f ca="1">INDIRECT(ADDRESS(ROW(),COLUMN()-2,4))*INDIRECT(ADDRESS(ROW(),COLUMN()-1,4))</f>
        <v>66268</v>
      </c>
    </row>
    <row r="512" spans="1:10" ht="14.25" customHeight="1" x14ac:dyDescent="0.35">
      <c r="A512" s="39" t="s">
        <v>10331</v>
      </c>
      <c r="B512" s="40" t="str">
        <f ca="1">IFERROR(INDEX(UNSPSCDes,MATCH(INDIRECT(ADDRESS(ROW(),COLUMN()-1,4)),UNSPSCCode,0)),IF(INDIRECT(ADDRESS(ROW(),COLUMN()-1,4))="80141902","Reuniones y eventos",""))</f>
        <v>Reuniones y eventos</v>
      </c>
      <c r="C512" s="72" t="str">
        <f>IFERROR(VLOOKUP("UD",'Informacion '!P:Q,2,FALSE),"")</f>
        <v>Unidad</v>
      </c>
      <c r="D512" s="39">
        <v>1</v>
      </c>
      <c r="E512" s="42">
        <v>450000</v>
      </c>
      <c r="F512" s="41">
        <f ca="1">INDIRECT(ADDRESS(ROW(),COLUMN()-2,4))*INDIRECT(ADDRESS(ROW(),COLUMN()-1,4))</f>
        <v>450000</v>
      </c>
    </row>
    <row r="513" spans="1:10" ht="14.25" customHeight="1" x14ac:dyDescent="0.35">
      <c r="E513" s="44" t="s">
        <v>13122</v>
      </c>
      <c r="F513" s="45">
        <f ca="1">SUM(Table30[MONTO TOTAL ESTIMADO])</f>
        <v>1192408</v>
      </c>
      <c r="H513" s="24" t="str">
        <f>C502</f>
        <v>Servicios</v>
      </c>
      <c r="I513" s="24" t="str">
        <f>E502</f>
        <v>MIPYME Mujeres</v>
      </c>
      <c r="J513" s="24" t="str">
        <f>D502</f>
        <v>Compras Menores</v>
      </c>
    </row>
    <row r="515" spans="1:10" ht="34" customHeight="1" x14ac:dyDescent="0.35">
      <c r="A515" s="36" t="s">
        <v>17105</v>
      </c>
      <c r="B515" s="36" t="s">
        <v>167</v>
      </c>
      <c r="C515" s="36" t="s">
        <v>12252</v>
      </c>
      <c r="D515" s="36" t="s">
        <v>15021</v>
      </c>
      <c r="E515" s="36" t="s">
        <v>11455</v>
      </c>
      <c r="F515" s="36" t="s">
        <v>11595</v>
      </c>
    </row>
    <row r="516" spans="1:10" ht="14.25" customHeight="1" x14ac:dyDescent="0.35">
      <c r="A516" s="37" t="s">
        <v>17099</v>
      </c>
      <c r="B516" s="37" t="s">
        <v>17099</v>
      </c>
      <c r="C516" s="37" t="s">
        <v>7109</v>
      </c>
      <c r="D516" s="37" t="s">
        <v>18256</v>
      </c>
      <c r="E516" s="37" t="s">
        <v>6314</v>
      </c>
      <c r="F516" s="37" t="s">
        <v>7088</v>
      </c>
    </row>
    <row r="517" spans="1:10" ht="14.25" customHeight="1" x14ac:dyDescent="0.35">
      <c r="A517" s="75" t="s">
        <v>15490</v>
      </c>
      <c r="B517" s="38" t="s">
        <v>8918</v>
      </c>
      <c r="C517" s="68">
        <v>45566</v>
      </c>
      <c r="D517" s="75" t="s">
        <v>9819</v>
      </c>
      <c r="E517" s="70" t="s">
        <v>13683</v>
      </c>
      <c r="F517" s="71" t="s">
        <v>3205</v>
      </c>
    </row>
    <row r="518" spans="1:10" ht="14.25" customHeight="1" x14ac:dyDescent="0.35">
      <c r="A518" s="76"/>
      <c r="B518" s="38" t="s">
        <v>1858</v>
      </c>
      <c r="C518" s="69">
        <f>IF(C517="","",IF(AND(MONTH(C517)&gt;=1,MONTH(C517)&lt;=3),1,IF(AND(MONTH(C517)&gt;=4,MONTH(C517)&lt;=6),2,IF(AND(MONTH(C517)&gt;=7,MONTH(C517)&lt;=9),3,4))))</f>
        <v>4</v>
      </c>
      <c r="D518" s="76"/>
      <c r="E518" s="70" t="s">
        <v>2509</v>
      </c>
      <c r="F518" s="71" t="s">
        <v>11612</v>
      </c>
    </row>
    <row r="519" spans="1:10" ht="14.25" customHeight="1" x14ac:dyDescent="0.35">
      <c r="A519" s="76"/>
      <c r="B519" s="38" t="s">
        <v>13526</v>
      </c>
      <c r="C519" s="68">
        <v>45657</v>
      </c>
      <c r="D519" s="76"/>
      <c r="E519" s="70" t="s">
        <v>3198</v>
      </c>
      <c r="F519" s="71" t="s">
        <v>11612</v>
      </c>
    </row>
    <row r="520" spans="1:10" ht="14.25" customHeight="1" x14ac:dyDescent="0.35">
      <c r="A520" s="76"/>
      <c r="B520" s="38" t="s">
        <v>1858</v>
      </c>
      <c r="C520" s="69">
        <f>IF(C519="","",IF(AND(MONTH(C519)&gt;=1,MONTH(C519)&lt;=3),1,IF(AND(MONTH(C519)&gt;=4,MONTH(C519)&lt;=6),2,IF(AND(MONTH(C519)&gt;=7,MONTH(C519)&lt;=9),3,4))))</f>
        <v>4</v>
      </c>
      <c r="D520" s="76"/>
      <c r="E520" s="70" t="s">
        <v>13785</v>
      </c>
      <c r="F520" s="71"/>
    </row>
    <row r="522" spans="1:10" ht="14.25" customHeight="1" x14ac:dyDescent="0.35">
      <c r="A522" s="43" t="s">
        <v>16424</v>
      </c>
      <c r="B522" s="43" t="s">
        <v>16856</v>
      </c>
      <c r="C522" s="43" t="s">
        <v>16326</v>
      </c>
      <c r="D522" s="43" t="s">
        <v>15925</v>
      </c>
      <c r="E522" s="43" t="s">
        <v>7248</v>
      </c>
      <c r="F522" s="43" t="s">
        <v>15955</v>
      </c>
    </row>
    <row r="523" spans="1:10" ht="14.25" customHeight="1" x14ac:dyDescent="0.35">
      <c r="A523" s="39" t="s">
        <v>10331</v>
      </c>
      <c r="B523" s="40" t="str">
        <f t="shared" ref="B523:B528" ca="1" si="22">IFERROR(INDEX(UNSPSCDes,MATCH(INDIRECT(ADDRESS(ROW(),COLUMN()-1,4)),UNSPSCCode,0)),IF(INDIRECT(ADDRESS(ROW(),COLUMN()-1,4))="80141902","Reuniones y eventos",""))</f>
        <v>Reuniones y eventos</v>
      </c>
      <c r="C523" s="72" t="str">
        <f>IFERROR(VLOOKUP("UD",'Informacion '!P:Q,2,FALSE),"")</f>
        <v>Unidad</v>
      </c>
      <c r="D523" s="39">
        <v>2</v>
      </c>
      <c r="E523" s="42">
        <v>61950</v>
      </c>
      <c r="F523" s="41">
        <f t="shared" ref="F523:F528" ca="1" si="23">INDIRECT(ADDRESS(ROW(),COLUMN()-2,4))*INDIRECT(ADDRESS(ROW(),COLUMN()-1,4))</f>
        <v>123900</v>
      </c>
    </row>
    <row r="524" spans="1:10" ht="14.25" customHeight="1" x14ac:dyDescent="0.35">
      <c r="A524" s="39" t="s">
        <v>10331</v>
      </c>
      <c r="B524" s="40" t="str">
        <f t="shared" ca="1" si="22"/>
        <v>Reuniones y eventos</v>
      </c>
      <c r="C524" s="72" t="str">
        <f>IFERROR(VLOOKUP("UD",'Informacion '!P:Q,2,FALSE),"")</f>
        <v>Unidad</v>
      </c>
      <c r="D524" s="39">
        <v>1</v>
      </c>
      <c r="E524" s="42">
        <v>66268</v>
      </c>
      <c r="F524" s="41">
        <f t="shared" ca="1" si="23"/>
        <v>66268</v>
      </c>
    </row>
    <row r="525" spans="1:10" ht="14.25" customHeight="1" x14ac:dyDescent="0.35">
      <c r="A525" s="39" t="s">
        <v>10331</v>
      </c>
      <c r="B525" s="40" t="str">
        <f t="shared" ca="1" si="22"/>
        <v>Reuniones y eventos</v>
      </c>
      <c r="C525" s="72" t="str">
        <f>IFERROR(VLOOKUP("UD",'Informacion '!P:Q,2,FALSE),"")</f>
        <v>Unidad</v>
      </c>
      <c r="D525" s="39">
        <v>1</v>
      </c>
      <c r="E525" s="42">
        <v>66268</v>
      </c>
      <c r="F525" s="41">
        <f t="shared" ca="1" si="23"/>
        <v>66268</v>
      </c>
    </row>
    <row r="526" spans="1:10" ht="14.25" customHeight="1" x14ac:dyDescent="0.35">
      <c r="A526" s="39" t="s">
        <v>10331</v>
      </c>
      <c r="B526" s="40" t="str">
        <f t="shared" ca="1" si="22"/>
        <v>Reuniones y eventos</v>
      </c>
      <c r="C526" s="72" t="str">
        <f>IFERROR(VLOOKUP("UD",'Informacion '!P:Q,2,FALSE),"")</f>
        <v>Unidad</v>
      </c>
      <c r="D526" s="39">
        <v>1</v>
      </c>
      <c r="E526" s="42">
        <v>125000</v>
      </c>
      <c r="F526" s="41">
        <f t="shared" ca="1" si="23"/>
        <v>125000</v>
      </c>
    </row>
    <row r="527" spans="1:10" ht="14.25" customHeight="1" x14ac:dyDescent="0.35">
      <c r="A527" s="39" t="s">
        <v>10331</v>
      </c>
      <c r="B527" s="40" t="str">
        <f t="shared" ca="1" si="22"/>
        <v>Reuniones y eventos</v>
      </c>
      <c r="C527" s="72" t="str">
        <f>IFERROR(VLOOKUP("UD",'Informacion '!P:Q,2,FALSE),"")</f>
        <v>Unidad</v>
      </c>
      <c r="D527" s="39">
        <v>1</v>
      </c>
      <c r="E527" s="42">
        <v>450000</v>
      </c>
      <c r="F527" s="41">
        <f t="shared" ca="1" si="23"/>
        <v>450000</v>
      </c>
    </row>
    <row r="528" spans="1:10" ht="14.25" customHeight="1" x14ac:dyDescent="0.35">
      <c r="A528" s="39" t="s">
        <v>10331</v>
      </c>
      <c r="B528" s="40" t="str">
        <f t="shared" ca="1" si="22"/>
        <v>Reuniones y eventos</v>
      </c>
      <c r="C528" s="72" t="str">
        <f>IFERROR(VLOOKUP("UD",'Informacion '!P:Q,2,FALSE),"")</f>
        <v>Unidad</v>
      </c>
      <c r="D528" s="39">
        <v>1</v>
      </c>
      <c r="E528" s="42">
        <v>66268</v>
      </c>
      <c r="F528" s="41">
        <f t="shared" ca="1" si="23"/>
        <v>66268</v>
      </c>
    </row>
    <row r="529" spans="1:10" ht="14.25" customHeight="1" x14ac:dyDescent="0.35">
      <c r="E529" s="44" t="s">
        <v>13122</v>
      </c>
      <c r="F529" s="45">
        <f ca="1">SUM(Table31[MONTO TOTAL ESTIMADO])</f>
        <v>897704</v>
      </c>
      <c r="H529" s="24" t="str">
        <f>C516</f>
        <v>Servicios</v>
      </c>
      <c r="I529" s="24" t="str">
        <f>E516</f>
        <v>MIPYME Mujeres</v>
      </c>
      <c r="J529" s="24" t="str">
        <f>D516</f>
        <v>Compras Menores</v>
      </c>
    </row>
    <row r="531" spans="1:10" ht="34" customHeight="1" x14ac:dyDescent="0.35">
      <c r="A531" s="36" t="s">
        <v>17105</v>
      </c>
      <c r="B531" s="36" t="s">
        <v>167</v>
      </c>
      <c r="C531" s="36" t="s">
        <v>12252</v>
      </c>
      <c r="D531" s="36" t="s">
        <v>15021</v>
      </c>
      <c r="E531" s="36" t="s">
        <v>11455</v>
      </c>
      <c r="F531" s="36" t="s">
        <v>11595</v>
      </c>
    </row>
    <row r="532" spans="1:10" ht="14.25" customHeight="1" x14ac:dyDescent="0.35">
      <c r="A532" s="37" t="s">
        <v>17099</v>
      </c>
      <c r="B532" s="37" t="s">
        <v>17099</v>
      </c>
      <c r="C532" s="37" t="s">
        <v>7109</v>
      </c>
      <c r="D532" s="37" t="s">
        <v>2615</v>
      </c>
      <c r="E532" s="37" t="s">
        <v>18646</v>
      </c>
      <c r="F532" s="37" t="s">
        <v>7088</v>
      </c>
    </row>
    <row r="533" spans="1:10" ht="14.25" customHeight="1" x14ac:dyDescent="0.35">
      <c r="A533" s="75" t="s">
        <v>15490</v>
      </c>
      <c r="B533" s="38" t="s">
        <v>8918</v>
      </c>
      <c r="C533" s="68">
        <v>45334</v>
      </c>
      <c r="D533" s="75" t="s">
        <v>9819</v>
      </c>
      <c r="E533" s="70" t="s">
        <v>13683</v>
      </c>
      <c r="F533" s="71" t="s">
        <v>3205</v>
      </c>
    </row>
    <row r="534" spans="1:10" ht="14.25" customHeight="1" x14ac:dyDescent="0.35">
      <c r="A534" s="76"/>
      <c r="B534" s="38" t="s">
        <v>1858</v>
      </c>
      <c r="C534" s="69">
        <f>IF(C533="","",IF(AND(MONTH(C533)&gt;=1,MONTH(C533)&lt;=3),1,IF(AND(MONTH(C533)&gt;=4,MONTH(C533)&lt;=6),2,IF(AND(MONTH(C533)&gt;=7,MONTH(C533)&lt;=9),3,4))))</f>
        <v>1</v>
      </c>
      <c r="D534" s="76"/>
      <c r="E534" s="70" t="s">
        <v>2509</v>
      </c>
      <c r="F534" s="71" t="s">
        <v>11612</v>
      </c>
    </row>
    <row r="535" spans="1:10" ht="14.25" customHeight="1" x14ac:dyDescent="0.35">
      <c r="A535" s="76"/>
      <c r="B535" s="38" t="s">
        <v>13526</v>
      </c>
      <c r="C535" s="68">
        <v>45380</v>
      </c>
      <c r="D535" s="76"/>
      <c r="E535" s="70" t="s">
        <v>3198</v>
      </c>
      <c r="F535" s="71" t="s">
        <v>11612</v>
      </c>
    </row>
    <row r="536" spans="1:10" ht="14.25" customHeight="1" x14ac:dyDescent="0.35">
      <c r="A536" s="76"/>
      <c r="B536" s="38" t="s">
        <v>1858</v>
      </c>
      <c r="C536" s="69">
        <f>IF(C535="","",IF(AND(MONTH(C535)&gt;=1,MONTH(C535)&lt;=3),1,IF(AND(MONTH(C535)&gt;=4,MONTH(C535)&lt;=6),2,IF(AND(MONTH(C535)&gt;=7,MONTH(C535)&lt;=9),3,4))))</f>
        <v>1</v>
      </c>
      <c r="D536" s="76"/>
      <c r="E536" s="70" t="s">
        <v>13785</v>
      </c>
      <c r="F536" s="71"/>
    </row>
    <row r="538" spans="1:10" ht="14.25" customHeight="1" x14ac:dyDescent="0.35">
      <c r="A538" s="43" t="s">
        <v>16424</v>
      </c>
      <c r="B538" s="43" t="s">
        <v>16856</v>
      </c>
      <c r="C538" s="43" t="s">
        <v>16326</v>
      </c>
      <c r="D538" s="43" t="s">
        <v>15925</v>
      </c>
      <c r="E538" s="43" t="s">
        <v>7248</v>
      </c>
      <c r="F538" s="43" t="s">
        <v>15955</v>
      </c>
    </row>
    <row r="539" spans="1:10" ht="14.25" customHeight="1" x14ac:dyDescent="0.35">
      <c r="A539" s="39" t="s">
        <v>10331</v>
      </c>
      <c r="B539" s="40" t="str">
        <f ca="1">IFERROR(INDEX(UNSPSCDes,MATCH(INDIRECT(ADDRESS(ROW(),COLUMN()-1,4)),UNSPSCCode,0)),IF(INDIRECT(ADDRESS(ROW(),COLUMN()-1,4))="80141902","Reuniones y eventos",""))</f>
        <v>Reuniones y eventos</v>
      </c>
      <c r="C539" s="72" t="str">
        <f>IFERROR(VLOOKUP("UD",'Informacion '!P:Q,2,FALSE),"")</f>
        <v>Unidad</v>
      </c>
      <c r="D539" s="39">
        <v>1</v>
      </c>
      <c r="E539" s="42">
        <v>2800000</v>
      </c>
      <c r="F539" s="41">
        <f ca="1">INDIRECT(ADDRESS(ROW(),COLUMN()-2,4))*INDIRECT(ADDRESS(ROW(),COLUMN()-1,4))</f>
        <v>2800000</v>
      </c>
    </row>
    <row r="540" spans="1:10" ht="14.25" customHeight="1" x14ac:dyDescent="0.35">
      <c r="E540" s="44" t="s">
        <v>13122</v>
      </c>
      <c r="F540" s="45">
        <f ca="1">SUM(Table32[MONTO TOTAL ESTIMADO])</f>
        <v>2800000</v>
      </c>
      <c r="H540" s="24" t="str">
        <f>C532</f>
        <v>Servicios</v>
      </c>
      <c r="I540" s="24" t="str">
        <f>E532</f>
        <v>No</v>
      </c>
      <c r="J540" s="24" t="str">
        <f>D532</f>
        <v>Licitacion Publica</v>
      </c>
    </row>
    <row r="542" spans="1:10" ht="34" customHeight="1" x14ac:dyDescent="0.35">
      <c r="A542" s="36" t="s">
        <v>17105</v>
      </c>
      <c r="B542" s="36" t="s">
        <v>167</v>
      </c>
      <c r="C542" s="36" t="s">
        <v>12252</v>
      </c>
      <c r="D542" s="36" t="s">
        <v>15021</v>
      </c>
      <c r="E542" s="36" t="s">
        <v>11455</v>
      </c>
      <c r="F542" s="36" t="s">
        <v>11595</v>
      </c>
    </row>
    <row r="543" spans="1:10" ht="14.25" customHeight="1" x14ac:dyDescent="0.35">
      <c r="A543" s="37" t="s">
        <v>17099</v>
      </c>
      <c r="B543" s="37" t="s">
        <v>17099</v>
      </c>
      <c r="C543" s="37" t="s">
        <v>7109</v>
      </c>
      <c r="D543" s="37" t="s">
        <v>2615</v>
      </c>
      <c r="E543" s="37" t="s">
        <v>18646</v>
      </c>
      <c r="F543" s="37" t="s">
        <v>7088</v>
      </c>
    </row>
    <row r="544" spans="1:10" ht="14.25" customHeight="1" x14ac:dyDescent="0.35">
      <c r="A544" s="75" t="s">
        <v>15490</v>
      </c>
      <c r="B544" s="38" t="s">
        <v>8918</v>
      </c>
      <c r="C544" s="68">
        <v>45383</v>
      </c>
      <c r="D544" s="75" t="s">
        <v>9819</v>
      </c>
      <c r="E544" s="70" t="s">
        <v>13683</v>
      </c>
      <c r="F544" s="71" t="s">
        <v>3205</v>
      </c>
    </row>
    <row r="545" spans="1:10" ht="14.25" customHeight="1" x14ac:dyDescent="0.35">
      <c r="A545" s="76"/>
      <c r="B545" s="38" t="s">
        <v>1858</v>
      </c>
      <c r="C545" s="69">
        <f>IF(C544="","",IF(AND(MONTH(C544)&gt;=1,MONTH(C544)&lt;=3),1,IF(AND(MONTH(C544)&gt;=4,MONTH(C544)&lt;=6),2,IF(AND(MONTH(C544)&gt;=7,MONTH(C544)&lt;=9),3,4))))</f>
        <v>2</v>
      </c>
      <c r="D545" s="76"/>
      <c r="E545" s="70" t="s">
        <v>2509</v>
      </c>
      <c r="F545" s="71" t="s">
        <v>11612</v>
      </c>
    </row>
    <row r="546" spans="1:10" ht="14.25" customHeight="1" x14ac:dyDescent="0.35">
      <c r="A546" s="76"/>
      <c r="B546" s="38" t="s">
        <v>13526</v>
      </c>
      <c r="C546" s="68">
        <v>45471</v>
      </c>
      <c r="D546" s="76"/>
      <c r="E546" s="70" t="s">
        <v>3198</v>
      </c>
      <c r="F546" s="71" t="s">
        <v>11612</v>
      </c>
    </row>
    <row r="547" spans="1:10" ht="14.25" customHeight="1" x14ac:dyDescent="0.35">
      <c r="A547" s="76"/>
      <c r="B547" s="38" t="s">
        <v>1858</v>
      </c>
      <c r="C547" s="69">
        <f>IF(C546="","",IF(AND(MONTH(C546)&gt;=1,MONTH(C546)&lt;=3),1,IF(AND(MONTH(C546)&gt;=4,MONTH(C546)&lt;=6),2,IF(AND(MONTH(C546)&gt;=7,MONTH(C546)&lt;=9),3,4))))</f>
        <v>2</v>
      </c>
      <c r="D547" s="76"/>
      <c r="E547" s="70" t="s">
        <v>13785</v>
      </c>
      <c r="F547" s="71"/>
    </row>
    <row r="549" spans="1:10" ht="14.25" customHeight="1" x14ac:dyDescent="0.35">
      <c r="A549" s="43" t="s">
        <v>16424</v>
      </c>
      <c r="B549" s="43" t="s">
        <v>16856</v>
      </c>
      <c r="C549" s="43" t="s">
        <v>16326</v>
      </c>
      <c r="D549" s="43" t="s">
        <v>15925</v>
      </c>
      <c r="E549" s="43" t="s">
        <v>7248</v>
      </c>
      <c r="F549" s="43" t="s">
        <v>15955</v>
      </c>
    </row>
    <row r="550" spans="1:10" ht="14.25" customHeight="1" x14ac:dyDescent="0.35">
      <c r="A550" s="39" t="s">
        <v>10331</v>
      </c>
      <c r="B550" s="40" t="str">
        <f ca="1">IFERROR(INDEX(UNSPSCDes,MATCH(INDIRECT(ADDRESS(ROW(),COLUMN()-1,4)),UNSPSCCode,0)),IF(INDIRECT(ADDRESS(ROW(),COLUMN()-1,4))="80141902","Reuniones y eventos",""))</f>
        <v>Reuniones y eventos</v>
      </c>
      <c r="C550" s="72" t="str">
        <f>IFERROR(VLOOKUP("UD",'Informacion '!P:Q,2,FALSE),"")</f>
        <v>Unidad</v>
      </c>
      <c r="D550" s="39">
        <v>1</v>
      </c>
      <c r="E550" s="42">
        <v>6000000</v>
      </c>
      <c r="F550" s="41">
        <f ca="1">INDIRECT(ADDRESS(ROW(),COLUMN()-2,4))*INDIRECT(ADDRESS(ROW(),COLUMN()-1,4))</f>
        <v>6000000</v>
      </c>
    </row>
    <row r="551" spans="1:10" ht="14.25" customHeight="1" x14ac:dyDescent="0.35">
      <c r="E551" s="44" t="s">
        <v>13122</v>
      </c>
      <c r="F551" s="45">
        <f ca="1">SUM(Table33[MONTO TOTAL ESTIMADO])</f>
        <v>6000000</v>
      </c>
      <c r="H551" s="24" t="str">
        <f>C543</f>
        <v>Servicios</v>
      </c>
      <c r="I551" s="24" t="str">
        <f>E543</f>
        <v>No</v>
      </c>
      <c r="J551" s="24" t="str">
        <f>D543</f>
        <v>Licitacion Publica</v>
      </c>
    </row>
    <row r="553" spans="1:10" ht="34" customHeight="1" x14ac:dyDescent="0.35">
      <c r="A553" s="36" t="s">
        <v>17105</v>
      </c>
      <c r="B553" s="36" t="s">
        <v>167</v>
      </c>
      <c r="C553" s="36" t="s">
        <v>12252</v>
      </c>
      <c r="D553" s="36" t="s">
        <v>15021</v>
      </c>
      <c r="E553" s="36" t="s">
        <v>11455</v>
      </c>
      <c r="F553" s="36" t="s">
        <v>11595</v>
      </c>
    </row>
    <row r="554" spans="1:10" ht="14.25" customHeight="1" x14ac:dyDescent="0.35">
      <c r="A554" s="37" t="s">
        <v>17099</v>
      </c>
      <c r="B554" s="37" t="s">
        <v>17099</v>
      </c>
      <c r="C554" s="37" t="s">
        <v>7109</v>
      </c>
      <c r="D554" s="37" t="s">
        <v>18256</v>
      </c>
      <c r="E554" s="37" t="s">
        <v>9261</v>
      </c>
      <c r="F554" s="37" t="s">
        <v>7088</v>
      </c>
    </row>
    <row r="555" spans="1:10" ht="14.25" customHeight="1" x14ac:dyDescent="0.35">
      <c r="A555" s="75" t="s">
        <v>15490</v>
      </c>
      <c r="B555" s="38" t="s">
        <v>8918</v>
      </c>
      <c r="C555" s="68">
        <v>45334</v>
      </c>
      <c r="D555" s="75" t="s">
        <v>9819</v>
      </c>
      <c r="E555" s="70" t="s">
        <v>13683</v>
      </c>
      <c r="F555" s="71" t="s">
        <v>3205</v>
      </c>
    </row>
    <row r="556" spans="1:10" ht="14.25" customHeight="1" x14ac:dyDescent="0.35">
      <c r="A556" s="76"/>
      <c r="B556" s="38" t="s">
        <v>1858</v>
      </c>
      <c r="C556" s="69">
        <f>IF(C555="","",IF(AND(MONTH(C555)&gt;=1,MONTH(C555)&lt;=3),1,IF(AND(MONTH(C555)&gt;=4,MONTH(C555)&lt;=6),2,IF(AND(MONTH(C555)&gt;=7,MONTH(C555)&lt;=9),3,4))))</f>
        <v>1</v>
      </c>
      <c r="D556" s="76"/>
      <c r="E556" s="70" t="s">
        <v>2509</v>
      </c>
      <c r="F556" s="71" t="s">
        <v>11612</v>
      </c>
    </row>
    <row r="557" spans="1:10" ht="14.25" customHeight="1" x14ac:dyDescent="0.35">
      <c r="A557" s="76"/>
      <c r="B557" s="38" t="s">
        <v>13526</v>
      </c>
      <c r="C557" s="68">
        <v>45380</v>
      </c>
      <c r="D557" s="76"/>
      <c r="E557" s="70" t="s">
        <v>3198</v>
      </c>
      <c r="F557" s="71" t="s">
        <v>11612</v>
      </c>
    </row>
    <row r="558" spans="1:10" ht="14.25" customHeight="1" x14ac:dyDescent="0.35">
      <c r="A558" s="76"/>
      <c r="B558" s="38" t="s">
        <v>1858</v>
      </c>
      <c r="C558" s="69">
        <f>IF(C557="","",IF(AND(MONTH(C557)&gt;=1,MONTH(C557)&lt;=3),1,IF(AND(MONTH(C557)&gt;=4,MONTH(C557)&lt;=6),2,IF(AND(MONTH(C557)&gt;=7,MONTH(C557)&lt;=9),3,4))))</f>
        <v>1</v>
      </c>
      <c r="D558" s="76"/>
      <c r="E558" s="70" t="s">
        <v>13785</v>
      </c>
      <c r="F558" s="71"/>
    </row>
    <row r="560" spans="1:10" ht="14.25" customHeight="1" x14ac:dyDescent="0.35">
      <c r="A560" s="43" t="s">
        <v>16424</v>
      </c>
      <c r="B560" s="43" t="s">
        <v>16856</v>
      </c>
      <c r="C560" s="43" t="s">
        <v>16326</v>
      </c>
      <c r="D560" s="43" t="s">
        <v>15925</v>
      </c>
      <c r="E560" s="43" t="s">
        <v>7248</v>
      </c>
      <c r="F560" s="43" t="s">
        <v>15955</v>
      </c>
    </row>
    <row r="561" spans="1:10" ht="14.25" customHeight="1" x14ac:dyDescent="0.35">
      <c r="A561" s="39" t="s">
        <v>10331</v>
      </c>
      <c r="B561" s="40" t="str">
        <f t="shared" ref="B561:B566" ca="1" si="24">IFERROR(INDEX(UNSPSCDes,MATCH(INDIRECT(ADDRESS(ROW(),COLUMN()-1,4)),UNSPSCCode,0)),IF(INDIRECT(ADDRESS(ROW(),COLUMN()-1,4))="80141902","Reuniones y eventos",""))</f>
        <v>Reuniones y eventos</v>
      </c>
      <c r="C561" s="72" t="str">
        <f>IFERROR(VLOOKUP("UD",'Informacion '!P:Q,2,FALSE),"")</f>
        <v>Unidad</v>
      </c>
      <c r="D561" s="39">
        <v>1</v>
      </c>
      <c r="E561" s="42">
        <v>428340</v>
      </c>
      <c r="F561" s="41">
        <f t="shared" ref="F561:F566" ca="1" si="25">INDIRECT(ADDRESS(ROW(),COLUMN()-2,4))*INDIRECT(ADDRESS(ROW(),COLUMN()-1,4))</f>
        <v>428340</v>
      </c>
    </row>
    <row r="562" spans="1:10" ht="14.25" customHeight="1" x14ac:dyDescent="0.35">
      <c r="A562" s="39" t="s">
        <v>10331</v>
      </c>
      <c r="B562" s="40" t="str">
        <f t="shared" ca="1" si="24"/>
        <v>Reuniones y eventos</v>
      </c>
      <c r="C562" s="72" t="str">
        <f>IFERROR(VLOOKUP("UD",'Informacion '!P:Q,2,FALSE),"")</f>
        <v>Unidad</v>
      </c>
      <c r="D562" s="39">
        <v>1</v>
      </c>
      <c r="E562" s="42">
        <v>66268</v>
      </c>
      <c r="F562" s="41">
        <f t="shared" ca="1" si="25"/>
        <v>66268</v>
      </c>
    </row>
    <row r="563" spans="1:10" ht="14.25" customHeight="1" x14ac:dyDescent="0.35">
      <c r="A563" s="39" t="s">
        <v>10331</v>
      </c>
      <c r="B563" s="40" t="str">
        <f t="shared" ca="1" si="24"/>
        <v>Reuniones y eventos</v>
      </c>
      <c r="C563" s="72" t="str">
        <f>IFERROR(VLOOKUP("UD",'Informacion '!P:Q,2,FALSE),"")</f>
        <v>Unidad</v>
      </c>
      <c r="D563" s="39">
        <v>1</v>
      </c>
      <c r="E563" s="42">
        <v>66268</v>
      </c>
      <c r="F563" s="41">
        <f t="shared" ca="1" si="25"/>
        <v>66268</v>
      </c>
    </row>
    <row r="564" spans="1:10" ht="14.25" customHeight="1" x14ac:dyDescent="0.35">
      <c r="A564" s="39" t="s">
        <v>10331</v>
      </c>
      <c r="B564" s="40" t="str">
        <f t="shared" ca="1" si="24"/>
        <v>Reuniones y eventos</v>
      </c>
      <c r="C564" s="72" t="str">
        <f>IFERROR(VLOOKUP("UD",'Informacion '!P:Q,2,FALSE),"")</f>
        <v>Unidad</v>
      </c>
      <c r="D564" s="39">
        <v>1</v>
      </c>
      <c r="E564" s="42">
        <v>125000</v>
      </c>
      <c r="F564" s="41">
        <f t="shared" ca="1" si="25"/>
        <v>125000</v>
      </c>
    </row>
    <row r="565" spans="1:10" ht="14.25" customHeight="1" x14ac:dyDescent="0.35">
      <c r="A565" s="39" t="s">
        <v>10331</v>
      </c>
      <c r="B565" s="40" t="str">
        <f t="shared" ca="1" si="24"/>
        <v>Reuniones y eventos</v>
      </c>
      <c r="C565" s="72" t="str">
        <f>IFERROR(VLOOKUP("UD",'Informacion '!P:Q,2,FALSE),"")</f>
        <v>Unidad</v>
      </c>
      <c r="D565" s="39">
        <v>1</v>
      </c>
      <c r="E565" s="42">
        <v>66268</v>
      </c>
      <c r="F565" s="41">
        <f t="shared" ca="1" si="25"/>
        <v>66268</v>
      </c>
    </row>
    <row r="566" spans="1:10" ht="14.25" customHeight="1" x14ac:dyDescent="0.35">
      <c r="A566" s="39" t="s">
        <v>10331</v>
      </c>
      <c r="B566" s="40" t="str">
        <f t="shared" ca="1" si="24"/>
        <v>Reuniones y eventos</v>
      </c>
      <c r="C566" s="72" t="str">
        <f>IFERROR(VLOOKUP("UD",'Informacion '!P:Q,2,FALSE),"")</f>
        <v>Unidad</v>
      </c>
      <c r="D566" s="39">
        <v>1</v>
      </c>
      <c r="E566" s="42">
        <v>450000</v>
      </c>
      <c r="F566" s="41">
        <f t="shared" ca="1" si="25"/>
        <v>450000</v>
      </c>
    </row>
    <row r="567" spans="1:10" ht="14.25" customHeight="1" x14ac:dyDescent="0.35">
      <c r="E567" s="44" t="s">
        <v>13122</v>
      </c>
      <c r="F567" s="45">
        <f ca="1">SUM(Table34[MONTO TOTAL ESTIMADO])</f>
        <v>1202144</v>
      </c>
      <c r="H567" s="24" t="str">
        <f>C554</f>
        <v>Servicios</v>
      </c>
      <c r="I567" s="24" t="str">
        <f>E554</f>
        <v>Sí</v>
      </c>
      <c r="J567" s="24" t="str">
        <f>D554</f>
        <v>Compras Menores</v>
      </c>
    </row>
    <row r="569" spans="1:10" ht="34" customHeight="1" x14ac:dyDescent="0.35">
      <c r="A569" s="36" t="s">
        <v>17105</v>
      </c>
      <c r="B569" s="36" t="s">
        <v>167</v>
      </c>
      <c r="C569" s="36" t="s">
        <v>12252</v>
      </c>
      <c r="D569" s="36" t="s">
        <v>15021</v>
      </c>
      <c r="E569" s="36" t="s">
        <v>11455</v>
      </c>
      <c r="F569" s="36" t="s">
        <v>11595</v>
      </c>
    </row>
    <row r="570" spans="1:10" ht="14.25" customHeight="1" x14ac:dyDescent="0.35">
      <c r="A570" s="37" t="s">
        <v>1830</v>
      </c>
      <c r="B570" s="37" t="s">
        <v>1830</v>
      </c>
      <c r="C570" s="37" t="s">
        <v>7109</v>
      </c>
      <c r="D570" s="37" t="s">
        <v>18256</v>
      </c>
      <c r="E570" s="37" t="s">
        <v>9261</v>
      </c>
      <c r="F570" s="37" t="s">
        <v>7088</v>
      </c>
    </row>
    <row r="571" spans="1:10" ht="14.25" customHeight="1" x14ac:dyDescent="0.35">
      <c r="A571" s="75" t="s">
        <v>15490</v>
      </c>
      <c r="B571" s="38" t="s">
        <v>8918</v>
      </c>
      <c r="C571" s="68">
        <v>45334</v>
      </c>
      <c r="D571" s="75" t="s">
        <v>9819</v>
      </c>
      <c r="E571" s="70" t="s">
        <v>13683</v>
      </c>
      <c r="F571" s="71" t="s">
        <v>3205</v>
      </c>
    </row>
    <row r="572" spans="1:10" ht="14.25" customHeight="1" x14ac:dyDescent="0.35">
      <c r="A572" s="76"/>
      <c r="B572" s="38" t="s">
        <v>1858</v>
      </c>
      <c r="C572" s="69">
        <f>IF(C571="","",IF(AND(MONTH(C571)&gt;=1,MONTH(C571)&lt;=3),1,IF(AND(MONTH(C571)&gt;=4,MONTH(C571)&lt;=6),2,IF(AND(MONTH(C571)&gt;=7,MONTH(C571)&lt;=9),3,4))))</f>
        <v>1</v>
      </c>
      <c r="D572" s="76"/>
      <c r="E572" s="70" t="s">
        <v>2509</v>
      </c>
      <c r="F572" s="71" t="s">
        <v>11612</v>
      </c>
    </row>
    <row r="573" spans="1:10" ht="14.25" customHeight="1" x14ac:dyDescent="0.35">
      <c r="A573" s="76"/>
      <c r="B573" s="38" t="s">
        <v>13526</v>
      </c>
      <c r="C573" s="68">
        <v>45380</v>
      </c>
      <c r="D573" s="76"/>
      <c r="E573" s="70" t="s">
        <v>3198</v>
      </c>
      <c r="F573" s="71" t="s">
        <v>11612</v>
      </c>
    </row>
    <row r="574" spans="1:10" ht="14.25" customHeight="1" x14ac:dyDescent="0.35">
      <c r="A574" s="76"/>
      <c r="B574" s="38" t="s">
        <v>1858</v>
      </c>
      <c r="C574" s="69">
        <f>IF(C573="","",IF(AND(MONTH(C573)&gt;=1,MONTH(C573)&lt;=3),1,IF(AND(MONTH(C573)&gt;=4,MONTH(C573)&lt;=6),2,IF(AND(MONTH(C573)&gt;=7,MONTH(C573)&lt;=9),3,4))))</f>
        <v>1</v>
      </c>
      <c r="D574" s="76"/>
      <c r="E574" s="70" t="s">
        <v>13785</v>
      </c>
      <c r="F574" s="71"/>
    </row>
    <row r="576" spans="1:10" ht="14.25" customHeight="1" x14ac:dyDescent="0.35">
      <c r="A576" s="43" t="s">
        <v>16424</v>
      </c>
      <c r="B576" s="43" t="s">
        <v>16856</v>
      </c>
      <c r="C576" s="43" t="s">
        <v>16326</v>
      </c>
      <c r="D576" s="43" t="s">
        <v>15925</v>
      </c>
      <c r="E576" s="43" t="s">
        <v>7248</v>
      </c>
      <c r="F576" s="43" t="s">
        <v>15955</v>
      </c>
    </row>
    <row r="577" spans="1:10" ht="14.25" customHeight="1" x14ac:dyDescent="0.35">
      <c r="A577" s="39" t="s">
        <v>10331</v>
      </c>
      <c r="B577" s="40" t="str">
        <f t="shared" ref="B577:B587" ca="1" si="26">IFERROR(INDEX(UNSPSCDes,MATCH(INDIRECT(ADDRESS(ROW(),COLUMN()-1,4)),UNSPSCCode,0)),IF(INDIRECT(ADDRESS(ROW(),COLUMN()-1,4))="80141902","Reuniones y eventos",""))</f>
        <v>Reuniones y eventos</v>
      </c>
      <c r="C577" s="72" t="str">
        <f>IFERROR(VLOOKUP("UD",'Informacion '!P:Q,2,FALSE),"")</f>
        <v>Unidad</v>
      </c>
      <c r="D577" s="39">
        <v>1</v>
      </c>
      <c r="E577" s="42">
        <v>20054</v>
      </c>
      <c r="F577" s="41">
        <f t="shared" ref="F577:F588" ca="1" si="27">INDIRECT(ADDRESS(ROW(),COLUMN()-2,4))*INDIRECT(ADDRESS(ROW(),COLUMN()-1,4))</f>
        <v>20054</v>
      </c>
    </row>
    <row r="578" spans="1:10" ht="14.25" customHeight="1" x14ac:dyDescent="0.35">
      <c r="A578" s="39" t="s">
        <v>10331</v>
      </c>
      <c r="B578" s="40" t="str">
        <f t="shared" ca="1" si="26"/>
        <v>Reuniones y eventos</v>
      </c>
      <c r="C578" s="72" t="str">
        <f>IFERROR(VLOOKUP("UD",'Informacion '!P:Q,2,FALSE),"")</f>
        <v>Unidad</v>
      </c>
      <c r="D578" s="39">
        <v>1</v>
      </c>
      <c r="E578" s="42">
        <v>13570</v>
      </c>
      <c r="F578" s="41">
        <f t="shared" ca="1" si="27"/>
        <v>13570</v>
      </c>
    </row>
    <row r="579" spans="1:10" ht="14.25" customHeight="1" x14ac:dyDescent="0.35">
      <c r="A579" s="39" t="s">
        <v>10331</v>
      </c>
      <c r="B579" s="40" t="str">
        <f t="shared" ca="1" si="26"/>
        <v>Reuniones y eventos</v>
      </c>
      <c r="C579" s="72" t="str">
        <f>IFERROR(VLOOKUP("UD",'Informacion '!P:Q,2,FALSE),"")</f>
        <v>Unidad</v>
      </c>
      <c r="D579" s="39">
        <v>1</v>
      </c>
      <c r="E579" s="42">
        <v>82600</v>
      </c>
      <c r="F579" s="41">
        <f t="shared" ca="1" si="27"/>
        <v>82600</v>
      </c>
    </row>
    <row r="580" spans="1:10" ht="14.25" customHeight="1" x14ac:dyDescent="0.35">
      <c r="A580" s="39" t="s">
        <v>10331</v>
      </c>
      <c r="B580" s="40" t="str">
        <f t="shared" ca="1" si="26"/>
        <v>Reuniones y eventos</v>
      </c>
      <c r="C580" s="72" t="str">
        <f>IFERROR(VLOOKUP("UD",'Informacion '!P:Q,2,FALSE),"")</f>
        <v>Unidad</v>
      </c>
      <c r="D580" s="39">
        <v>1</v>
      </c>
      <c r="E580" s="42">
        <v>51330</v>
      </c>
      <c r="F580" s="41">
        <f t="shared" ca="1" si="27"/>
        <v>51330</v>
      </c>
    </row>
    <row r="581" spans="1:10" ht="14.25" customHeight="1" x14ac:dyDescent="0.35">
      <c r="A581" s="39" t="s">
        <v>10331</v>
      </c>
      <c r="B581" s="40" t="str">
        <f t="shared" ca="1" si="26"/>
        <v>Reuniones y eventos</v>
      </c>
      <c r="C581" s="72" t="str">
        <f>IFERROR(VLOOKUP("UD",'Informacion '!P:Q,2,FALSE),"")</f>
        <v>Unidad</v>
      </c>
      <c r="D581" s="39">
        <v>1</v>
      </c>
      <c r="E581" s="42">
        <v>65720</v>
      </c>
      <c r="F581" s="41">
        <f t="shared" ca="1" si="27"/>
        <v>65720</v>
      </c>
    </row>
    <row r="582" spans="1:10" ht="14.25" customHeight="1" x14ac:dyDescent="0.35">
      <c r="A582" s="39" t="s">
        <v>10331</v>
      </c>
      <c r="B582" s="40" t="str">
        <f t="shared" ca="1" si="26"/>
        <v>Reuniones y eventos</v>
      </c>
      <c r="C582" s="72" t="str">
        <f>IFERROR(VLOOKUP("UD",'Informacion '!P:Q,2,FALSE),"")</f>
        <v>Unidad</v>
      </c>
      <c r="D582" s="39">
        <v>1</v>
      </c>
      <c r="E582" s="42">
        <v>51330</v>
      </c>
      <c r="F582" s="41">
        <f t="shared" ca="1" si="27"/>
        <v>51330</v>
      </c>
    </row>
    <row r="583" spans="1:10" ht="14.25" customHeight="1" x14ac:dyDescent="0.35">
      <c r="A583" s="39" t="s">
        <v>10331</v>
      </c>
      <c r="B583" s="40" t="str">
        <f t="shared" ca="1" si="26"/>
        <v>Reuniones y eventos</v>
      </c>
      <c r="C583" s="72" t="str">
        <f>IFERROR(VLOOKUP("UD",'Informacion '!P:Q,2,FALSE),"")</f>
        <v>Unidad</v>
      </c>
      <c r="D583" s="39">
        <v>1</v>
      </c>
      <c r="E583" s="42">
        <v>601550</v>
      </c>
      <c r="F583" s="41">
        <f t="shared" ca="1" si="27"/>
        <v>601550</v>
      </c>
    </row>
    <row r="584" spans="1:10" ht="14.25" customHeight="1" x14ac:dyDescent="0.35">
      <c r="A584" s="39" t="s">
        <v>10331</v>
      </c>
      <c r="B584" s="40" t="str">
        <f t="shared" ca="1" si="26"/>
        <v>Reuniones y eventos</v>
      </c>
      <c r="C584" s="72" t="str">
        <f>IFERROR(VLOOKUP("UD",'Informacion '!P:Q,2,FALSE),"")</f>
        <v>Unidad</v>
      </c>
      <c r="D584" s="39">
        <v>1</v>
      </c>
      <c r="E584" s="42">
        <v>51330</v>
      </c>
      <c r="F584" s="41">
        <f t="shared" ca="1" si="27"/>
        <v>51330</v>
      </c>
    </row>
    <row r="585" spans="1:10" ht="14.25" customHeight="1" x14ac:dyDescent="0.35">
      <c r="A585" s="39" t="s">
        <v>10331</v>
      </c>
      <c r="B585" s="40" t="str">
        <f t="shared" ca="1" si="26"/>
        <v>Reuniones y eventos</v>
      </c>
      <c r="C585" s="72" t="str">
        <f>IFERROR(VLOOKUP("UD",'Informacion '!P:Q,2,FALSE),"")</f>
        <v>Unidad</v>
      </c>
      <c r="D585" s="39">
        <v>1</v>
      </c>
      <c r="E585" s="42">
        <v>65720</v>
      </c>
      <c r="F585" s="41">
        <f t="shared" ca="1" si="27"/>
        <v>65720</v>
      </c>
    </row>
    <row r="586" spans="1:10" ht="14.25" customHeight="1" x14ac:dyDescent="0.35">
      <c r="A586" s="39" t="s">
        <v>10331</v>
      </c>
      <c r="B586" s="40" t="str">
        <f t="shared" ca="1" si="26"/>
        <v>Reuniones y eventos</v>
      </c>
      <c r="C586" s="72" t="str">
        <f>IFERROR(VLOOKUP("UD",'Informacion '!P:Q,2,FALSE),"")</f>
        <v>Unidad</v>
      </c>
      <c r="D586" s="39">
        <v>1</v>
      </c>
      <c r="E586" s="42">
        <v>13570</v>
      </c>
      <c r="F586" s="41">
        <f t="shared" ca="1" si="27"/>
        <v>13570</v>
      </c>
    </row>
    <row r="587" spans="1:10" ht="14.25" customHeight="1" x14ac:dyDescent="0.35">
      <c r="A587" s="39" t="s">
        <v>10331</v>
      </c>
      <c r="B587" s="40" t="str">
        <f t="shared" ca="1" si="26"/>
        <v>Reuniones y eventos</v>
      </c>
      <c r="C587" s="72" t="str">
        <f>IFERROR(VLOOKUP("UD",'Informacion '!P:Q,2,FALSE),"")</f>
        <v>Unidad</v>
      </c>
      <c r="D587" s="39">
        <v>1</v>
      </c>
      <c r="E587" s="42">
        <v>159300</v>
      </c>
      <c r="F587" s="41">
        <f t="shared" ca="1" si="27"/>
        <v>159300</v>
      </c>
    </row>
    <row r="588" spans="1:10" ht="14.25" customHeight="1" x14ac:dyDescent="0.35">
      <c r="A588" s="39" t="s">
        <v>7253</v>
      </c>
      <c r="B588" s="40" t="str">
        <f ca="1">IFERROR(INDEX(UNSPSCDes,MATCH(INDIRECT(ADDRESS(ROW(),COLUMN()-1,4)),UNSPSCCode,0)),IF(INDIRECT(ADDRESS(ROW(),COLUMN()-1,4))="80141903","Talento o entretenimiento",""))</f>
        <v>Talento o entretenimiento</v>
      </c>
      <c r="C588" s="72" t="str">
        <f>IFERROR(VLOOKUP("UD",'Informacion '!P:Q,2,FALSE),"")</f>
        <v>Unidad</v>
      </c>
      <c r="D588" s="39">
        <v>2</v>
      </c>
      <c r="E588" s="42">
        <v>20650</v>
      </c>
      <c r="F588" s="41">
        <f t="shared" ca="1" si="27"/>
        <v>41300</v>
      </c>
    </row>
    <row r="589" spans="1:10" ht="14.25" customHeight="1" x14ac:dyDescent="0.35">
      <c r="E589" s="44" t="s">
        <v>13122</v>
      </c>
      <c r="F589" s="45">
        <f ca="1">SUM(Table35[MONTO TOTAL ESTIMADO])</f>
        <v>1217374</v>
      </c>
      <c r="H589" s="24" t="str">
        <f>C570</f>
        <v>Servicios</v>
      </c>
      <c r="I589" s="24" t="str">
        <f>E570</f>
        <v>Sí</v>
      </c>
      <c r="J589" s="24" t="str">
        <f>D570</f>
        <v>Compras Menores</v>
      </c>
    </row>
    <row r="591" spans="1:10" ht="34" customHeight="1" x14ac:dyDescent="0.35">
      <c r="A591" s="36" t="s">
        <v>17105</v>
      </c>
      <c r="B591" s="36" t="s">
        <v>167</v>
      </c>
      <c r="C591" s="36" t="s">
        <v>12252</v>
      </c>
      <c r="D591" s="36" t="s">
        <v>15021</v>
      </c>
      <c r="E591" s="36" t="s">
        <v>11455</v>
      </c>
      <c r="F591" s="36" t="s">
        <v>11595</v>
      </c>
    </row>
    <row r="592" spans="1:10" ht="14.25" customHeight="1" x14ac:dyDescent="0.35">
      <c r="A592" s="37" t="s">
        <v>1830</v>
      </c>
      <c r="B592" s="37" t="s">
        <v>1830</v>
      </c>
      <c r="C592" s="37" t="s">
        <v>7109</v>
      </c>
      <c r="D592" s="37" t="s">
        <v>18256</v>
      </c>
      <c r="E592" s="37" t="s">
        <v>9261</v>
      </c>
      <c r="F592" s="37" t="s">
        <v>7088</v>
      </c>
    </row>
    <row r="593" spans="1:6" ht="14.25" customHeight="1" x14ac:dyDescent="0.35">
      <c r="A593" s="75" t="s">
        <v>15490</v>
      </c>
      <c r="B593" s="38" t="s">
        <v>8918</v>
      </c>
      <c r="C593" s="68">
        <v>45383</v>
      </c>
      <c r="D593" s="75" t="s">
        <v>9819</v>
      </c>
      <c r="E593" s="70" t="s">
        <v>13683</v>
      </c>
      <c r="F593" s="71" t="s">
        <v>3205</v>
      </c>
    </row>
    <row r="594" spans="1:6" ht="14.25" customHeight="1" x14ac:dyDescent="0.35">
      <c r="A594" s="76"/>
      <c r="B594" s="38" t="s">
        <v>1858</v>
      </c>
      <c r="C594" s="69">
        <f>IF(C593="","",IF(AND(MONTH(C593)&gt;=1,MONTH(C593)&lt;=3),1,IF(AND(MONTH(C593)&gt;=4,MONTH(C593)&lt;=6),2,IF(AND(MONTH(C593)&gt;=7,MONTH(C593)&lt;=9),3,4))))</f>
        <v>2</v>
      </c>
      <c r="D594" s="76"/>
      <c r="E594" s="70" t="s">
        <v>2509</v>
      </c>
      <c r="F594" s="71" t="s">
        <v>11612</v>
      </c>
    </row>
    <row r="595" spans="1:6" ht="14.25" customHeight="1" x14ac:dyDescent="0.35">
      <c r="A595" s="76"/>
      <c r="B595" s="38" t="s">
        <v>13526</v>
      </c>
      <c r="C595" s="68">
        <v>45471</v>
      </c>
      <c r="D595" s="76"/>
      <c r="E595" s="70" t="s">
        <v>3198</v>
      </c>
      <c r="F595" s="71" t="s">
        <v>11612</v>
      </c>
    </row>
    <row r="596" spans="1:6" ht="14.25" customHeight="1" x14ac:dyDescent="0.35">
      <c r="A596" s="76"/>
      <c r="B596" s="38" t="s">
        <v>1858</v>
      </c>
      <c r="C596" s="69">
        <f>IF(C595="","",IF(AND(MONTH(C595)&gt;=1,MONTH(C595)&lt;=3),1,IF(AND(MONTH(C595)&gt;=4,MONTH(C595)&lt;=6),2,IF(AND(MONTH(C595)&gt;=7,MONTH(C595)&lt;=9),3,4))))</f>
        <v>2</v>
      </c>
      <c r="D596" s="76"/>
      <c r="E596" s="70" t="s">
        <v>13785</v>
      </c>
      <c r="F596" s="71"/>
    </row>
    <row r="598" spans="1:6" ht="14.25" customHeight="1" x14ac:dyDescent="0.35">
      <c r="A598" s="43" t="s">
        <v>16424</v>
      </c>
      <c r="B598" s="43" t="s">
        <v>16856</v>
      </c>
      <c r="C598" s="43" t="s">
        <v>16326</v>
      </c>
      <c r="D598" s="43" t="s">
        <v>15925</v>
      </c>
      <c r="E598" s="43" t="s">
        <v>7248</v>
      </c>
      <c r="F598" s="43" t="s">
        <v>15955</v>
      </c>
    </row>
    <row r="599" spans="1:6" ht="14.25" customHeight="1" x14ac:dyDescent="0.35">
      <c r="A599" s="39" t="s">
        <v>10331</v>
      </c>
      <c r="B599" s="40" t="str">
        <f t="shared" ref="B599:B612" ca="1" si="28">IFERROR(INDEX(UNSPSCDes,MATCH(INDIRECT(ADDRESS(ROW(),COLUMN()-1,4)),UNSPSCCode,0)),IF(INDIRECT(ADDRESS(ROW(),COLUMN()-1,4))="80141902","Reuniones y eventos",""))</f>
        <v>Reuniones y eventos</v>
      </c>
      <c r="C599" s="72" t="str">
        <f>IFERROR(VLOOKUP("UD",'Informacion '!P:Q,2,FALSE),"")</f>
        <v>Unidad</v>
      </c>
      <c r="D599" s="39">
        <v>1</v>
      </c>
      <c r="E599" s="42">
        <v>82600</v>
      </c>
      <c r="F599" s="41">
        <f t="shared" ref="F599:F612" ca="1" si="29">INDIRECT(ADDRESS(ROW(),COLUMN()-2,4))*INDIRECT(ADDRESS(ROW(),COLUMN()-1,4))</f>
        <v>82600</v>
      </c>
    </row>
    <row r="600" spans="1:6" ht="14.25" customHeight="1" x14ac:dyDescent="0.35">
      <c r="A600" s="39" t="s">
        <v>10331</v>
      </c>
      <c r="B600" s="40" t="str">
        <f t="shared" ca="1" si="28"/>
        <v>Reuniones y eventos</v>
      </c>
      <c r="C600" s="72" t="str">
        <f>IFERROR(VLOOKUP("UD",'Informacion '!P:Q,2,FALSE),"")</f>
        <v>Unidad</v>
      </c>
      <c r="D600" s="39">
        <v>1</v>
      </c>
      <c r="E600" s="42">
        <v>51330</v>
      </c>
      <c r="F600" s="41">
        <f t="shared" ca="1" si="29"/>
        <v>51330</v>
      </c>
    </row>
    <row r="601" spans="1:6" ht="14.25" customHeight="1" x14ac:dyDescent="0.35">
      <c r="A601" s="39" t="s">
        <v>10331</v>
      </c>
      <c r="B601" s="40" t="str">
        <f t="shared" ca="1" si="28"/>
        <v>Reuniones y eventos</v>
      </c>
      <c r="C601" s="72" t="str">
        <f>IFERROR(VLOOKUP("UD",'Informacion '!P:Q,2,FALSE),"")</f>
        <v>Unidad</v>
      </c>
      <c r="D601" s="39">
        <v>1</v>
      </c>
      <c r="E601" s="42">
        <v>65720</v>
      </c>
      <c r="F601" s="41">
        <f t="shared" ca="1" si="29"/>
        <v>65720</v>
      </c>
    </row>
    <row r="602" spans="1:6" ht="14.25" customHeight="1" x14ac:dyDescent="0.35">
      <c r="A602" s="39" t="s">
        <v>10331</v>
      </c>
      <c r="B602" s="40" t="str">
        <f t="shared" ca="1" si="28"/>
        <v>Reuniones y eventos</v>
      </c>
      <c r="C602" s="72" t="str">
        <f>IFERROR(VLOOKUP("UD",'Informacion '!P:Q,2,FALSE),"")</f>
        <v>Unidad</v>
      </c>
      <c r="D602" s="39">
        <v>2</v>
      </c>
      <c r="E602" s="42">
        <v>13570</v>
      </c>
      <c r="F602" s="41">
        <f t="shared" ca="1" si="29"/>
        <v>27140</v>
      </c>
    </row>
    <row r="603" spans="1:6" ht="14.25" customHeight="1" x14ac:dyDescent="0.35">
      <c r="A603" s="39" t="s">
        <v>10331</v>
      </c>
      <c r="B603" s="40" t="str">
        <f t="shared" ca="1" si="28"/>
        <v>Reuniones y eventos</v>
      </c>
      <c r="C603" s="72" t="str">
        <f>IFERROR(VLOOKUP("UD",'Informacion '!P:Q,2,FALSE),"")</f>
        <v>Unidad</v>
      </c>
      <c r="D603" s="39">
        <v>2</v>
      </c>
      <c r="E603" s="42">
        <v>51330</v>
      </c>
      <c r="F603" s="41">
        <f t="shared" ca="1" si="29"/>
        <v>102660</v>
      </c>
    </row>
    <row r="604" spans="1:6" ht="14.25" customHeight="1" x14ac:dyDescent="0.35">
      <c r="A604" s="39" t="s">
        <v>10331</v>
      </c>
      <c r="B604" s="40" t="str">
        <f t="shared" ca="1" si="28"/>
        <v>Reuniones y eventos</v>
      </c>
      <c r="C604" s="72" t="str">
        <f>IFERROR(VLOOKUP("UD",'Informacion '!P:Q,2,FALSE),"")</f>
        <v>Unidad</v>
      </c>
      <c r="D604" s="39">
        <v>2</v>
      </c>
      <c r="E604" s="42">
        <v>65720</v>
      </c>
      <c r="F604" s="41">
        <f t="shared" ca="1" si="29"/>
        <v>131440</v>
      </c>
    </row>
    <row r="605" spans="1:6" ht="14.25" customHeight="1" x14ac:dyDescent="0.35">
      <c r="A605" s="39" t="s">
        <v>10331</v>
      </c>
      <c r="B605" s="40" t="str">
        <f t="shared" ca="1" si="28"/>
        <v>Reuniones y eventos</v>
      </c>
      <c r="C605" s="72" t="str">
        <f>IFERROR(VLOOKUP("UD",'Informacion '!P:Q,2,FALSE),"")</f>
        <v>Unidad</v>
      </c>
      <c r="D605" s="39">
        <v>2</v>
      </c>
      <c r="E605" s="42">
        <v>13570</v>
      </c>
      <c r="F605" s="41">
        <f t="shared" ca="1" si="29"/>
        <v>27140</v>
      </c>
    </row>
    <row r="606" spans="1:6" ht="14.25" customHeight="1" x14ac:dyDescent="0.35">
      <c r="A606" s="39" t="s">
        <v>10331</v>
      </c>
      <c r="B606" s="40" t="str">
        <f t="shared" ca="1" si="28"/>
        <v>Reuniones y eventos</v>
      </c>
      <c r="C606" s="72" t="str">
        <f>IFERROR(VLOOKUP("UD",'Informacion '!P:Q,2,FALSE),"")</f>
        <v>Unidad</v>
      </c>
      <c r="D606" s="39">
        <v>2</v>
      </c>
      <c r="E606" s="42">
        <v>159300</v>
      </c>
      <c r="F606" s="41">
        <f t="shared" ca="1" si="29"/>
        <v>318600</v>
      </c>
    </row>
    <row r="607" spans="1:6" ht="14.25" customHeight="1" x14ac:dyDescent="0.35">
      <c r="A607" s="39" t="s">
        <v>10331</v>
      </c>
      <c r="B607" s="40" t="str">
        <f t="shared" ca="1" si="28"/>
        <v>Reuniones y eventos</v>
      </c>
      <c r="C607" s="72" t="str">
        <f>IFERROR(VLOOKUP("UD",'Informacion '!P:Q,2,FALSE),"")</f>
        <v>Unidad</v>
      </c>
      <c r="D607" s="39">
        <v>2</v>
      </c>
      <c r="E607" s="42">
        <v>51330</v>
      </c>
      <c r="F607" s="41">
        <f t="shared" ca="1" si="29"/>
        <v>102660</v>
      </c>
    </row>
    <row r="608" spans="1:6" ht="14.25" customHeight="1" x14ac:dyDescent="0.35">
      <c r="A608" s="39" t="s">
        <v>10331</v>
      </c>
      <c r="B608" s="40" t="str">
        <f t="shared" ca="1" si="28"/>
        <v>Reuniones y eventos</v>
      </c>
      <c r="C608" s="72" t="str">
        <f>IFERROR(VLOOKUP("UD",'Informacion '!P:Q,2,FALSE),"")</f>
        <v>Unidad</v>
      </c>
      <c r="D608" s="39">
        <v>2</v>
      </c>
      <c r="E608" s="42">
        <v>51330</v>
      </c>
      <c r="F608" s="41">
        <f t="shared" ca="1" si="29"/>
        <v>102660</v>
      </c>
    </row>
    <row r="609" spans="1:10" ht="14.25" customHeight="1" x14ac:dyDescent="0.35">
      <c r="A609" s="39" t="s">
        <v>10331</v>
      </c>
      <c r="B609" s="40" t="str">
        <f t="shared" ca="1" si="28"/>
        <v>Reuniones y eventos</v>
      </c>
      <c r="C609" s="72" t="str">
        <f>IFERROR(VLOOKUP("UD",'Informacion '!P:Q,2,FALSE),"")</f>
        <v>Unidad</v>
      </c>
      <c r="D609" s="39">
        <v>2</v>
      </c>
      <c r="E609" s="42">
        <v>65720</v>
      </c>
      <c r="F609" s="41">
        <f t="shared" ca="1" si="29"/>
        <v>131440</v>
      </c>
    </row>
    <row r="610" spans="1:10" ht="14.25" customHeight="1" x14ac:dyDescent="0.35">
      <c r="A610" s="39" t="s">
        <v>10331</v>
      </c>
      <c r="B610" s="40" t="str">
        <f t="shared" ca="1" si="28"/>
        <v>Reuniones y eventos</v>
      </c>
      <c r="C610" s="72" t="str">
        <f>IFERROR(VLOOKUP("UD",'Informacion '!P:Q,2,FALSE),"")</f>
        <v>Unidad</v>
      </c>
      <c r="D610" s="39">
        <v>2</v>
      </c>
      <c r="E610" s="42">
        <v>13570</v>
      </c>
      <c r="F610" s="41">
        <f t="shared" ca="1" si="29"/>
        <v>27140</v>
      </c>
    </row>
    <row r="611" spans="1:10" ht="14.25" customHeight="1" x14ac:dyDescent="0.35">
      <c r="A611" s="39" t="s">
        <v>10331</v>
      </c>
      <c r="B611" s="40" t="str">
        <f t="shared" ca="1" si="28"/>
        <v>Reuniones y eventos</v>
      </c>
      <c r="C611" s="72" t="str">
        <f>IFERROR(VLOOKUP("UD",'Informacion '!P:Q,2,FALSE),"")</f>
        <v>Unidad</v>
      </c>
      <c r="D611" s="39">
        <v>2</v>
      </c>
      <c r="E611" s="42">
        <v>159300</v>
      </c>
      <c r="F611" s="41">
        <f t="shared" ca="1" si="29"/>
        <v>318600</v>
      </c>
    </row>
    <row r="612" spans="1:10" ht="14.25" customHeight="1" x14ac:dyDescent="0.35">
      <c r="A612" s="39" t="s">
        <v>10331</v>
      </c>
      <c r="B612" s="40" t="str">
        <f t="shared" ca="1" si="28"/>
        <v>Reuniones y eventos</v>
      </c>
      <c r="C612" s="72" t="str">
        <f>IFERROR(VLOOKUP("UD",'Informacion '!P:Q,2,FALSE),"")</f>
        <v>Unidad</v>
      </c>
      <c r="D612" s="39">
        <v>2</v>
      </c>
      <c r="E612" s="42">
        <v>20650</v>
      </c>
      <c r="F612" s="41">
        <f t="shared" ca="1" si="29"/>
        <v>41300</v>
      </c>
    </row>
    <row r="613" spans="1:10" ht="14.25" customHeight="1" x14ac:dyDescent="0.35">
      <c r="E613" s="44" t="s">
        <v>13122</v>
      </c>
      <c r="F613" s="45">
        <f ca="1">SUM(Table36[MONTO TOTAL ESTIMADO])</f>
        <v>1530430</v>
      </c>
      <c r="H613" s="24" t="str">
        <f>C592</f>
        <v>Servicios</v>
      </c>
      <c r="I613" s="24" t="str">
        <f>E592</f>
        <v>Sí</v>
      </c>
      <c r="J613" s="24" t="str">
        <f>D592</f>
        <v>Compras Menores</v>
      </c>
    </row>
    <row r="615" spans="1:10" ht="34" customHeight="1" x14ac:dyDescent="0.35">
      <c r="A615" s="36" t="s">
        <v>17105</v>
      </c>
      <c r="B615" s="36" t="s">
        <v>167</v>
      </c>
      <c r="C615" s="36" t="s">
        <v>12252</v>
      </c>
      <c r="D615" s="36" t="s">
        <v>15021</v>
      </c>
      <c r="E615" s="36" t="s">
        <v>11455</v>
      </c>
      <c r="F615" s="36" t="s">
        <v>11595</v>
      </c>
    </row>
    <row r="616" spans="1:10" ht="14.25" customHeight="1" x14ac:dyDescent="0.35">
      <c r="A616" s="37" t="s">
        <v>1830</v>
      </c>
      <c r="B616" s="37" t="s">
        <v>1830</v>
      </c>
      <c r="C616" s="37" t="s">
        <v>7109</v>
      </c>
      <c r="D616" s="37" t="s">
        <v>18256</v>
      </c>
      <c r="E616" s="37" t="s">
        <v>9261</v>
      </c>
      <c r="F616" s="37" t="s">
        <v>7088</v>
      </c>
    </row>
    <row r="617" spans="1:10" ht="14.25" customHeight="1" x14ac:dyDescent="0.35">
      <c r="A617" s="75" t="s">
        <v>15490</v>
      </c>
      <c r="B617" s="38" t="s">
        <v>8918</v>
      </c>
      <c r="C617" s="68">
        <v>45474</v>
      </c>
      <c r="D617" s="75" t="s">
        <v>9819</v>
      </c>
      <c r="E617" s="70" t="s">
        <v>13683</v>
      </c>
      <c r="F617" s="71" t="s">
        <v>3205</v>
      </c>
    </row>
    <row r="618" spans="1:10" ht="14.25" customHeight="1" x14ac:dyDescent="0.35">
      <c r="A618" s="76"/>
      <c r="B618" s="38" t="s">
        <v>1858</v>
      </c>
      <c r="C618" s="69">
        <f>IF(C617="","",IF(AND(MONTH(C617)&gt;=1,MONTH(C617)&lt;=3),1,IF(AND(MONTH(C617)&gt;=4,MONTH(C617)&lt;=6),2,IF(AND(MONTH(C617)&gt;=7,MONTH(C617)&lt;=9),3,4))))</f>
        <v>3</v>
      </c>
      <c r="D618" s="76"/>
      <c r="E618" s="70" t="s">
        <v>2509</v>
      </c>
      <c r="F618" s="71" t="s">
        <v>11612</v>
      </c>
    </row>
    <row r="619" spans="1:10" ht="14.25" customHeight="1" x14ac:dyDescent="0.35">
      <c r="A619" s="76"/>
      <c r="B619" s="38" t="s">
        <v>13526</v>
      </c>
      <c r="C619" s="68">
        <v>45565</v>
      </c>
      <c r="D619" s="76"/>
      <c r="E619" s="70" t="s">
        <v>3198</v>
      </c>
      <c r="F619" s="71" t="s">
        <v>11612</v>
      </c>
    </row>
    <row r="620" spans="1:10" ht="14.25" customHeight="1" x14ac:dyDescent="0.35">
      <c r="A620" s="76"/>
      <c r="B620" s="38" t="s">
        <v>1858</v>
      </c>
      <c r="C620" s="69">
        <f>IF(C619="","",IF(AND(MONTH(C619)&gt;=1,MONTH(C619)&lt;=3),1,IF(AND(MONTH(C619)&gt;=4,MONTH(C619)&lt;=6),2,IF(AND(MONTH(C619)&gt;=7,MONTH(C619)&lt;=9),3,4))))</f>
        <v>3</v>
      </c>
      <c r="D620" s="76"/>
      <c r="E620" s="70" t="s">
        <v>13785</v>
      </c>
      <c r="F620" s="71"/>
    </row>
    <row r="622" spans="1:10" ht="14.25" customHeight="1" x14ac:dyDescent="0.35">
      <c r="A622" s="43" t="s">
        <v>16424</v>
      </c>
      <c r="B622" s="43" t="s">
        <v>16856</v>
      </c>
      <c r="C622" s="43" t="s">
        <v>16326</v>
      </c>
      <c r="D622" s="43" t="s">
        <v>15925</v>
      </c>
      <c r="E622" s="43" t="s">
        <v>7248</v>
      </c>
      <c r="F622" s="43" t="s">
        <v>15955</v>
      </c>
    </row>
    <row r="623" spans="1:10" ht="14.25" customHeight="1" x14ac:dyDescent="0.35">
      <c r="A623" s="39" t="s">
        <v>10331</v>
      </c>
      <c r="B623" s="40" t="str">
        <f t="shared" ref="B623:B632" ca="1" si="30">IFERROR(INDEX(UNSPSCDes,MATCH(INDIRECT(ADDRESS(ROW(),COLUMN()-1,4)),UNSPSCCode,0)),IF(INDIRECT(ADDRESS(ROW(),COLUMN()-1,4))="80141902","Reuniones y eventos",""))</f>
        <v>Reuniones y eventos</v>
      </c>
      <c r="C623" s="72" t="str">
        <f>IFERROR(VLOOKUP("UD",'Informacion '!P:Q,2,FALSE),"")</f>
        <v>Unidad</v>
      </c>
      <c r="D623" s="39">
        <v>1</v>
      </c>
      <c r="E623" s="42">
        <v>20054</v>
      </c>
      <c r="F623" s="41">
        <f t="shared" ref="F623:F634" ca="1" si="31">INDIRECT(ADDRESS(ROW(),COLUMN()-2,4))*INDIRECT(ADDRESS(ROW(),COLUMN()-1,4))</f>
        <v>20054</v>
      </c>
    </row>
    <row r="624" spans="1:10" ht="14.25" customHeight="1" x14ac:dyDescent="0.35">
      <c r="A624" s="39" t="s">
        <v>10331</v>
      </c>
      <c r="B624" s="40" t="str">
        <f t="shared" ca="1" si="30"/>
        <v>Reuniones y eventos</v>
      </c>
      <c r="C624" s="72" t="str">
        <f>IFERROR(VLOOKUP("UD",'Informacion '!P:Q,2,FALSE),"")</f>
        <v>Unidad</v>
      </c>
      <c r="D624" s="39">
        <v>1</v>
      </c>
      <c r="E624" s="42">
        <v>13570</v>
      </c>
      <c r="F624" s="41">
        <f t="shared" ca="1" si="31"/>
        <v>13570</v>
      </c>
    </row>
    <row r="625" spans="1:10" ht="14.25" customHeight="1" x14ac:dyDescent="0.35">
      <c r="A625" s="39" t="s">
        <v>10331</v>
      </c>
      <c r="B625" s="40" t="str">
        <f t="shared" ca="1" si="30"/>
        <v>Reuniones y eventos</v>
      </c>
      <c r="C625" s="72" t="str">
        <f>IFERROR(VLOOKUP("UD",'Informacion '!P:Q,2,FALSE),"")</f>
        <v>Unidad</v>
      </c>
      <c r="D625" s="39">
        <v>1</v>
      </c>
      <c r="E625" s="42">
        <v>82600</v>
      </c>
      <c r="F625" s="41">
        <f t="shared" ca="1" si="31"/>
        <v>82600</v>
      </c>
    </row>
    <row r="626" spans="1:10" ht="14.25" customHeight="1" x14ac:dyDescent="0.35">
      <c r="A626" s="39" t="s">
        <v>10331</v>
      </c>
      <c r="B626" s="40" t="str">
        <f t="shared" ca="1" si="30"/>
        <v>Reuniones y eventos</v>
      </c>
      <c r="C626" s="72" t="str">
        <f>IFERROR(VLOOKUP("UD",'Informacion '!P:Q,2,FALSE),"")</f>
        <v>Unidad</v>
      </c>
      <c r="D626" s="39">
        <v>1</v>
      </c>
      <c r="E626" s="42">
        <v>51330</v>
      </c>
      <c r="F626" s="41">
        <f t="shared" ca="1" si="31"/>
        <v>51330</v>
      </c>
    </row>
    <row r="627" spans="1:10" ht="14.25" customHeight="1" x14ac:dyDescent="0.35">
      <c r="A627" s="39" t="s">
        <v>10331</v>
      </c>
      <c r="B627" s="40" t="str">
        <f t="shared" ca="1" si="30"/>
        <v>Reuniones y eventos</v>
      </c>
      <c r="C627" s="72" t="str">
        <f>IFERROR(VLOOKUP("UD",'Informacion '!P:Q,2,FALSE),"")</f>
        <v>Unidad</v>
      </c>
      <c r="D627" s="39">
        <v>1</v>
      </c>
      <c r="E627" s="42">
        <v>65720</v>
      </c>
      <c r="F627" s="41">
        <f t="shared" ca="1" si="31"/>
        <v>65720</v>
      </c>
    </row>
    <row r="628" spans="1:10" ht="14.25" customHeight="1" x14ac:dyDescent="0.35">
      <c r="A628" s="39" t="s">
        <v>10331</v>
      </c>
      <c r="B628" s="40" t="str">
        <f t="shared" ca="1" si="30"/>
        <v>Reuniones y eventos</v>
      </c>
      <c r="C628" s="72" t="str">
        <f>IFERROR(VLOOKUP("UD",'Informacion '!P:Q,2,FALSE),"")</f>
        <v>Unidad</v>
      </c>
      <c r="D628" s="39">
        <v>2</v>
      </c>
      <c r="E628" s="42">
        <v>51330</v>
      </c>
      <c r="F628" s="41">
        <f t="shared" ca="1" si="31"/>
        <v>102660</v>
      </c>
    </row>
    <row r="629" spans="1:10" ht="14.25" customHeight="1" x14ac:dyDescent="0.35">
      <c r="A629" s="39" t="s">
        <v>10331</v>
      </c>
      <c r="B629" s="40" t="str">
        <f t="shared" ca="1" si="30"/>
        <v>Reuniones y eventos</v>
      </c>
      <c r="C629" s="72" t="str">
        <f>IFERROR(VLOOKUP("UD",'Informacion '!P:Q,2,FALSE),"")</f>
        <v>Unidad</v>
      </c>
      <c r="D629" s="39">
        <v>2</v>
      </c>
      <c r="E629" s="42">
        <v>65720</v>
      </c>
      <c r="F629" s="41">
        <f t="shared" ca="1" si="31"/>
        <v>131440</v>
      </c>
    </row>
    <row r="630" spans="1:10" ht="14.25" customHeight="1" x14ac:dyDescent="0.35">
      <c r="A630" s="39" t="s">
        <v>10331</v>
      </c>
      <c r="B630" s="40" t="str">
        <f t="shared" ca="1" si="30"/>
        <v>Reuniones y eventos</v>
      </c>
      <c r="C630" s="72" t="str">
        <f>IFERROR(VLOOKUP("UD",'Informacion '!P:Q,2,FALSE),"")</f>
        <v>Unidad</v>
      </c>
      <c r="D630" s="39">
        <v>2</v>
      </c>
      <c r="E630" s="42">
        <v>13570</v>
      </c>
      <c r="F630" s="41">
        <f t="shared" ca="1" si="31"/>
        <v>27140</v>
      </c>
    </row>
    <row r="631" spans="1:10" ht="14.25" customHeight="1" x14ac:dyDescent="0.35">
      <c r="A631" s="39" t="s">
        <v>10331</v>
      </c>
      <c r="B631" s="40" t="str">
        <f t="shared" ca="1" si="30"/>
        <v>Reuniones y eventos</v>
      </c>
      <c r="C631" s="72" t="str">
        <f>IFERROR(VLOOKUP("UD",'Informacion '!P:Q,2,FALSE),"")</f>
        <v>Unidad</v>
      </c>
      <c r="D631" s="39">
        <v>2</v>
      </c>
      <c r="E631" s="42">
        <v>159300</v>
      </c>
      <c r="F631" s="41">
        <f t="shared" ca="1" si="31"/>
        <v>318600</v>
      </c>
    </row>
    <row r="632" spans="1:10" ht="14.25" customHeight="1" x14ac:dyDescent="0.35">
      <c r="A632" s="39" t="s">
        <v>10331</v>
      </c>
      <c r="B632" s="40" t="str">
        <f t="shared" ca="1" si="30"/>
        <v>Reuniones y eventos</v>
      </c>
      <c r="C632" s="72" t="str">
        <f>IFERROR(VLOOKUP("UD",'Informacion '!P:Q,2,FALSE),"")</f>
        <v>Unidad</v>
      </c>
      <c r="D632" s="39">
        <v>2</v>
      </c>
      <c r="E632" s="42">
        <v>20650</v>
      </c>
      <c r="F632" s="41">
        <f t="shared" ca="1" si="31"/>
        <v>41300</v>
      </c>
    </row>
    <row r="633" spans="1:10" ht="14.25" customHeight="1" x14ac:dyDescent="0.35">
      <c r="A633" s="39" t="s">
        <v>7253</v>
      </c>
      <c r="B633" s="40" t="str">
        <f ca="1">IFERROR(INDEX(UNSPSCDes,MATCH(INDIRECT(ADDRESS(ROW(),COLUMN()-1,4)),UNSPSCCode,0)),IF(INDIRECT(ADDRESS(ROW(),COLUMN()-1,4))="80141903","Talento o entretenimiento",""))</f>
        <v>Talento o entretenimiento</v>
      </c>
      <c r="C633" s="72" t="str">
        <f>IFERROR(VLOOKUP("UD",'Informacion '!P:Q,2,FALSE),"")</f>
        <v>Unidad</v>
      </c>
      <c r="D633" s="39">
        <v>1</v>
      </c>
      <c r="E633" s="42">
        <v>250000</v>
      </c>
      <c r="F633" s="41">
        <f t="shared" ca="1" si="31"/>
        <v>250000</v>
      </c>
    </row>
    <row r="634" spans="1:10" ht="14.25" customHeight="1" x14ac:dyDescent="0.35">
      <c r="A634" s="39" t="s">
        <v>7253</v>
      </c>
      <c r="B634" s="40" t="str">
        <f ca="1">IFERROR(INDEX(UNSPSCDes,MATCH(INDIRECT(ADDRESS(ROW(),COLUMN()-1,4)),UNSPSCCode,0)),IF(INDIRECT(ADDRESS(ROW(),COLUMN()-1,4))="80141903","Talento o entretenimiento",""))</f>
        <v>Talento o entretenimiento</v>
      </c>
      <c r="C634" s="72" t="str">
        <f>IFERROR(VLOOKUP("UD",'Informacion '!P:Q,2,FALSE),"")</f>
        <v>Unidad</v>
      </c>
      <c r="D634" s="39">
        <v>1</v>
      </c>
      <c r="E634" s="42">
        <v>250000</v>
      </c>
      <c r="F634" s="41">
        <f t="shared" ca="1" si="31"/>
        <v>250000</v>
      </c>
    </row>
    <row r="635" spans="1:10" ht="14.25" customHeight="1" x14ac:dyDescent="0.35">
      <c r="E635" s="44" t="s">
        <v>13122</v>
      </c>
      <c r="F635" s="45">
        <f ca="1">SUM(Table37[MONTO TOTAL ESTIMADO])</f>
        <v>1354414</v>
      </c>
      <c r="H635" s="24" t="str">
        <f>C616</f>
        <v>Servicios</v>
      </c>
      <c r="I635" s="24" t="str">
        <f>E616</f>
        <v>Sí</v>
      </c>
      <c r="J635" s="24" t="str">
        <f>D616</f>
        <v>Compras Menores</v>
      </c>
    </row>
    <row r="637" spans="1:10" ht="34" customHeight="1" x14ac:dyDescent="0.35">
      <c r="A637" s="36" t="s">
        <v>17105</v>
      </c>
      <c r="B637" s="36" t="s">
        <v>167</v>
      </c>
      <c r="C637" s="36" t="s">
        <v>12252</v>
      </c>
      <c r="D637" s="36" t="s">
        <v>15021</v>
      </c>
      <c r="E637" s="36" t="s">
        <v>11455</v>
      </c>
      <c r="F637" s="36" t="s">
        <v>11595</v>
      </c>
    </row>
    <row r="638" spans="1:10" ht="14.25" customHeight="1" x14ac:dyDescent="0.35">
      <c r="A638" s="37" t="s">
        <v>1830</v>
      </c>
      <c r="B638" s="37" t="s">
        <v>1830</v>
      </c>
      <c r="C638" s="37" t="s">
        <v>7109</v>
      </c>
      <c r="D638" s="37" t="s">
        <v>18256</v>
      </c>
      <c r="E638" s="37" t="s">
        <v>9261</v>
      </c>
      <c r="F638" s="37" t="s">
        <v>7088</v>
      </c>
    </row>
    <row r="639" spans="1:10" ht="14.25" customHeight="1" x14ac:dyDescent="0.35">
      <c r="A639" s="75" t="s">
        <v>15490</v>
      </c>
      <c r="B639" s="38" t="s">
        <v>8918</v>
      </c>
      <c r="C639" s="68">
        <v>45566</v>
      </c>
      <c r="D639" s="75" t="s">
        <v>9819</v>
      </c>
      <c r="E639" s="70" t="s">
        <v>13683</v>
      </c>
      <c r="F639" s="71" t="s">
        <v>3205</v>
      </c>
    </row>
    <row r="640" spans="1:10" ht="14.25" customHeight="1" x14ac:dyDescent="0.35">
      <c r="A640" s="76"/>
      <c r="B640" s="38" t="s">
        <v>1858</v>
      </c>
      <c r="C640" s="69">
        <f>IF(C639="","",IF(AND(MONTH(C639)&gt;=1,MONTH(C639)&lt;=3),1,IF(AND(MONTH(C639)&gt;=4,MONTH(C639)&lt;=6),2,IF(AND(MONTH(C639)&gt;=7,MONTH(C639)&lt;=9),3,4))))</f>
        <v>4</v>
      </c>
      <c r="D640" s="76"/>
      <c r="E640" s="70" t="s">
        <v>2509</v>
      </c>
      <c r="F640" s="71" t="s">
        <v>11612</v>
      </c>
    </row>
    <row r="641" spans="1:10" ht="14.25" customHeight="1" x14ac:dyDescent="0.35">
      <c r="A641" s="76"/>
      <c r="B641" s="38" t="s">
        <v>13526</v>
      </c>
      <c r="C641" s="68">
        <v>45657</v>
      </c>
      <c r="D641" s="76"/>
      <c r="E641" s="70" t="s">
        <v>3198</v>
      </c>
      <c r="F641" s="71" t="s">
        <v>11612</v>
      </c>
    </row>
    <row r="642" spans="1:10" ht="14.25" customHeight="1" x14ac:dyDescent="0.35">
      <c r="A642" s="76"/>
      <c r="B642" s="38" t="s">
        <v>1858</v>
      </c>
      <c r="C642" s="69">
        <f>IF(C641="","",IF(AND(MONTH(C641)&gt;=1,MONTH(C641)&lt;=3),1,IF(AND(MONTH(C641)&gt;=4,MONTH(C641)&lt;=6),2,IF(AND(MONTH(C641)&gt;=7,MONTH(C641)&lt;=9),3,4))))</f>
        <v>4</v>
      </c>
      <c r="D642" s="76"/>
      <c r="E642" s="70" t="s">
        <v>13785</v>
      </c>
      <c r="F642" s="71"/>
    </row>
    <row r="644" spans="1:10" ht="14.25" customHeight="1" x14ac:dyDescent="0.35">
      <c r="A644" s="43" t="s">
        <v>16424</v>
      </c>
      <c r="B644" s="43" t="s">
        <v>16856</v>
      </c>
      <c r="C644" s="43" t="s">
        <v>16326</v>
      </c>
      <c r="D644" s="43" t="s">
        <v>15925</v>
      </c>
      <c r="E644" s="43" t="s">
        <v>7248</v>
      </c>
      <c r="F644" s="43" t="s">
        <v>15955</v>
      </c>
    </row>
    <row r="645" spans="1:10" ht="14.25" customHeight="1" x14ac:dyDescent="0.35">
      <c r="A645" s="39" t="s">
        <v>10331</v>
      </c>
      <c r="B645" s="40" t="str">
        <f ca="1">IFERROR(INDEX(UNSPSCDes,MATCH(INDIRECT(ADDRESS(ROW(),COLUMN()-1,4)),UNSPSCCode,0)),IF(INDIRECT(ADDRESS(ROW(),COLUMN()-1,4))="80141902","Reuniones y eventos",""))</f>
        <v>Reuniones y eventos</v>
      </c>
      <c r="C645" s="72" t="str">
        <f>IFERROR(VLOOKUP("UD",'Informacion '!P:Q,2,FALSE),"")</f>
        <v>Unidad</v>
      </c>
      <c r="D645" s="39">
        <v>1</v>
      </c>
      <c r="E645" s="42">
        <v>20054</v>
      </c>
      <c r="F645" s="41">
        <f t="shared" ref="F645:F652" ca="1" si="32">INDIRECT(ADDRESS(ROW(),COLUMN()-2,4))*INDIRECT(ADDRESS(ROW(),COLUMN()-1,4))</f>
        <v>20054</v>
      </c>
    </row>
    <row r="646" spans="1:10" ht="14.25" customHeight="1" x14ac:dyDescent="0.35">
      <c r="A646" s="39" t="s">
        <v>10331</v>
      </c>
      <c r="B646" s="40" t="str">
        <f ca="1">IFERROR(INDEX(UNSPSCDes,MATCH(INDIRECT(ADDRESS(ROW(),COLUMN()-1,4)),UNSPSCCode,0)),IF(INDIRECT(ADDRESS(ROW(),COLUMN()-1,4))="80141902","Reuniones y eventos",""))</f>
        <v>Reuniones y eventos</v>
      </c>
      <c r="C646" s="72" t="str">
        <f>IFERROR(VLOOKUP("UD",'Informacion '!P:Q,2,FALSE),"")</f>
        <v>Unidad</v>
      </c>
      <c r="D646" s="39">
        <v>1</v>
      </c>
      <c r="E646" s="42">
        <v>13570</v>
      </c>
      <c r="F646" s="41">
        <f t="shared" ca="1" si="32"/>
        <v>13570</v>
      </c>
    </row>
    <row r="647" spans="1:10" ht="14.25" customHeight="1" x14ac:dyDescent="0.35">
      <c r="A647" s="39" t="s">
        <v>10331</v>
      </c>
      <c r="B647" s="40" t="str">
        <f ca="1">IFERROR(INDEX(UNSPSCDes,MATCH(INDIRECT(ADDRESS(ROW(),COLUMN()-1,4)),UNSPSCCode,0)),IF(INDIRECT(ADDRESS(ROW(),COLUMN()-1,4))="80141902","Reuniones y eventos",""))</f>
        <v>Reuniones y eventos</v>
      </c>
      <c r="C647" s="72" t="str">
        <f>IFERROR(VLOOKUP("UD",'Informacion '!P:Q,2,FALSE),"")</f>
        <v>Unidad</v>
      </c>
      <c r="D647" s="39">
        <v>1</v>
      </c>
      <c r="E647" s="42">
        <v>82600</v>
      </c>
      <c r="F647" s="41">
        <f t="shared" ca="1" si="32"/>
        <v>82600</v>
      </c>
    </row>
    <row r="648" spans="1:10" ht="14.25" customHeight="1" x14ac:dyDescent="0.35">
      <c r="A648" s="39" t="s">
        <v>10331</v>
      </c>
      <c r="B648" s="40" t="str">
        <f ca="1">IFERROR(INDEX(UNSPSCDes,MATCH(INDIRECT(ADDRESS(ROW(),COLUMN()-1,4)),UNSPSCCode,0)),IF(INDIRECT(ADDRESS(ROW(),COLUMN()-1,4))="80141902","Reuniones y eventos",""))</f>
        <v>Reuniones y eventos</v>
      </c>
      <c r="C648" s="72" t="str">
        <f>IFERROR(VLOOKUP("UD",'Informacion '!P:Q,2,FALSE),"")</f>
        <v>Unidad</v>
      </c>
      <c r="D648" s="39">
        <v>1</v>
      </c>
      <c r="E648" s="42">
        <v>51330</v>
      </c>
      <c r="F648" s="41">
        <f t="shared" ca="1" si="32"/>
        <v>51330</v>
      </c>
    </row>
    <row r="649" spans="1:10" ht="14.25" customHeight="1" x14ac:dyDescent="0.35">
      <c r="A649" s="39" t="s">
        <v>10331</v>
      </c>
      <c r="B649" s="40" t="str">
        <f ca="1">IFERROR(INDEX(UNSPSCDes,MATCH(INDIRECT(ADDRESS(ROW(),COLUMN()-1,4)),UNSPSCCode,0)),IF(INDIRECT(ADDRESS(ROW(),COLUMN()-1,4))="80141902","Reuniones y eventos",""))</f>
        <v>Reuniones y eventos</v>
      </c>
      <c r="C649" s="72" t="str">
        <f>IFERROR(VLOOKUP("UD",'Informacion '!P:Q,2,FALSE),"")</f>
        <v>Unidad</v>
      </c>
      <c r="D649" s="39">
        <v>1</v>
      </c>
      <c r="E649" s="42">
        <v>65720</v>
      </c>
      <c r="F649" s="41">
        <f t="shared" ca="1" si="32"/>
        <v>65720</v>
      </c>
    </row>
    <row r="650" spans="1:10" ht="14.25" customHeight="1" x14ac:dyDescent="0.35">
      <c r="A650" s="39" t="s">
        <v>7253</v>
      </c>
      <c r="B650" s="40" t="str">
        <f ca="1">IFERROR(INDEX(UNSPSCDes,MATCH(INDIRECT(ADDRESS(ROW(),COLUMN()-1,4)),UNSPSCCode,0)),IF(INDIRECT(ADDRESS(ROW(),COLUMN()-1,4))="80141903","Talento o entretenimiento",""))</f>
        <v>Talento o entretenimiento</v>
      </c>
      <c r="C650" s="72" t="str">
        <f>IFERROR(VLOOKUP("UD",'Informacion '!P:Q,2,FALSE),"")</f>
        <v>Unidad</v>
      </c>
      <c r="D650" s="39">
        <v>2</v>
      </c>
      <c r="E650" s="42">
        <v>20650</v>
      </c>
      <c r="F650" s="41">
        <f t="shared" ca="1" si="32"/>
        <v>41300</v>
      </c>
    </row>
    <row r="651" spans="1:10" ht="14.25" customHeight="1" x14ac:dyDescent="0.35">
      <c r="A651" s="39" t="s">
        <v>7454</v>
      </c>
      <c r="B651" s="40" t="str">
        <f ca="1">IFERROR(INDEX(UNSPSCDes,MATCH(INDIRECT(ADDRESS(ROW(),COLUMN()-1,4)),UNSPSCCode,0)),IF(INDIRECT(ADDRESS(ROW(),COLUMN()-1,4))="80161502","Servicios de planificación de reuniones",""))</f>
        <v>Servicios de planificación de reuniones</v>
      </c>
      <c r="C651" s="72" t="str">
        <f>IFERROR(VLOOKUP("UD",'Informacion '!P:Q,2,FALSE),"")</f>
        <v>Unidad</v>
      </c>
      <c r="D651" s="39">
        <v>1</v>
      </c>
      <c r="E651" s="42">
        <v>250000</v>
      </c>
      <c r="F651" s="41">
        <f t="shared" ca="1" si="32"/>
        <v>250000</v>
      </c>
    </row>
    <row r="652" spans="1:10" ht="14.25" customHeight="1" x14ac:dyDescent="0.35">
      <c r="A652" s="39" t="s">
        <v>7454</v>
      </c>
      <c r="B652" s="40" t="str">
        <f ca="1">IFERROR(INDEX(UNSPSCDes,MATCH(INDIRECT(ADDRESS(ROW(),COLUMN()-1,4)),UNSPSCCode,0)),IF(INDIRECT(ADDRESS(ROW(),COLUMN()-1,4))="80161502","Servicios de planificación de reuniones",""))</f>
        <v>Servicios de planificación de reuniones</v>
      </c>
      <c r="C652" s="72" t="str">
        <f>IFERROR(VLOOKUP("UD",'Informacion '!P:Q,2,FALSE),"")</f>
        <v>Unidad</v>
      </c>
      <c r="D652" s="39">
        <v>1</v>
      </c>
      <c r="E652" s="42">
        <v>250000</v>
      </c>
      <c r="F652" s="41">
        <f t="shared" ca="1" si="32"/>
        <v>250000</v>
      </c>
    </row>
    <row r="653" spans="1:10" ht="14.25" customHeight="1" x14ac:dyDescent="0.35">
      <c r="E653" s="44" t="s">
        <v>13122</v>
      </c>
      <c r="F653" s="45">
        <f ca="1">SUM(Table38[MONTO TOTAL ESTIMADO])</f>
        <v>774574</v>
      </c>
      <c r="H653" s="24" t="str">
        <f>C638</f>
        <v>Servicios</v>
      </c>
      <c r="I653" s="24" t="str">
        <f>E638</f>
        <v>Sí</v>
      </c>
      <c r="J653" s="24" t="str">
        <f>D638</f>
        <v>Compras Menores</v>
      </c>
    </row>
    <row r="655" spans="1:10" ht="34" customHeight="1" x14ac:dyDescent="0.35">
      <c r="A655" s="36" t="s">
        <v>17105</v>
      </c>
      <c r="B655" s="36" t="s">
        <v>167</v>
      </c>
      <c r="C655" s="36" t="s">
        <v>12252</v>
      </c>
      <c r="D655" s="36" t="s">
        <v>15021</v>
      </c>
      <c r="E655" s="36" t="s">
        <v>11455</v>
      </c>
      <c r="F655" s="36" t="s">
        <v>11595</v>
      </c>
    </row>
    <row r="656" spans="1:10" ht="14.25" customHeight="1" x14ac:dyDescent="0.35">
      <c r="A656" s="37" t="s">
        <v>9305</v>
      </c>
      <c r="B656" s="37" t="s">
        <v>9305</v>
      </c>
      <c r="C656" s="37" t="s">
        <v>7109</v>
      </c>
      <c r="D656" s="37" t="s">
        <v>18256</v>
      </c>
      <c r="E656" s="37" t="s">
        <v>9261</v>
      </c>
      <c r="F656" s="37" t="s">
        <v>7088</v>
      </c>
    </row>
    <row r="657" spans="1:10" ht="14.25" customHeight="1" x14ac:dyDescent="0.35">
      <c r="A657" s="75" t="s">
        <v>15490</v>
      </c>
      <c r="B657" s="38" t="s">
        <v>8918</v>
      </c>
      <c r="C657" s="68">
        <v>45383</v>
      </c>
      <c r="D657" s="75" t="s">
        <v>9819</v>
      </c>
      <c r="E657" s="70" t="s">
        <v>13683</v>
      </c>
      <c r="F657" s="71" t="s">
        <v>3205</v>
      </c>
    </row>
    <row r="658" spans="1:10" ht="14.25" customHeight="1" x14ac:dyDescent="0.35">
      <c r="A658" s="76"/>
      <c r="B658" s="38" t="s">
        <v>1858</v>
      </c>
      <c r="C658" s="69">
        <f>IF(C657="","",IF(AND(MONTH(C657)&gt;=1,MONTH(C657)&lt;=3),1,IF(AND(MONTH(C657)&gt;=4,MONTH(C657)&lt;=6),2,IF(AND(MONTH(C657)&gt;=7,MONTH(C657)&lt;=9),3,4))))</f>
        <v>2</v>
      </c>
      <c r="D658" s="76"/>
      <c r="E658" s="70" t="s">
        <v>2509</v>
      </c>
      <c r="F658" s="71" t="s">
        <v>11612</v>
      </c>
    </row>
    <row r="659" spans="1:10" ht="14.25" customHeight="1" x14ac:dyDescent="0.35">
      <c r="A659" s="76"/>
      <c r="B659" s="38" t="s">
        <v>13526</v>
      </c>
      <c r="C659" s="68">
        <v>45471</v>
      </c>
      <c r="D659" s="76"/>
      <c r="E659" s="70" t="s">
        <v>3198</v>
      </c>
      <c r="F659" s="71" t="s">
        <v>11612</v>
      </c>
    </row>
    <row r="660" spans="1:10" ht="14.25" customHeight="1" x14ac:dyDescent="0.35">
      <c r="A660" s="76"/>
      <c r="B660" s="38" t="s">
        <v>1858</v>
      </c>
      <c r="C660" s="69">
        <f>IF(C659="","",IF(AND(MONTH(C659)&gt;=1,MONTH(C659)&lt;=3),1,IF(AND(MONTH(C659)&gt;=4,MONTH(C659)&lt;=6),2,IF(AND(MONTH(C659)&gt;=7,MONTH(C659)&lt;=9),3,4))))</f>
        <v>2</v>
      </c>
      <c r="D660" s="76"/>
      <c r="E660" s="70" t="s">
        <v>13785</v>
      </c>
      <c r="F660" s="71"/>
    </row>
    <row r="662" spans="1:10" ht="14.25" customHeight="1" x14ac:dyDescent="0.35">
      <c r="A662" s="43" t="s">
        <v>16424</v>
      </c>
      <c r="B662" s="43" t="s">
        <v>16856</v>
      </c>
      <c r="C662" s="43" t="s">
        <v>16326</v>
      </c>
      <c r="D662" s="43" t="s">
        <v>15925</v>
      </c>
      <c r="E662" s="43" t="s">
        <v>7248</v>
      </c>
      <c r="F662" s="43" t="s">
        <v>15955</v>
      </c>
    </row>
    <row r="663" spans="1:10" ht="14.25" customHeight="1" x14ac:dyDescent="0.35">
      <c r="A663" s="39" t="s">
        <v>10331</v>
      </c>
      <c r="B663" s="40" t="str">
        <f ca="1">IFERROR(INDEX(UNSPSCDes,MATCH(INDIRECT(ADDRESS(ROW(),COLUMN()-1,4)),UNSPSCCode,0)),IF(INDIRECT(ADDRESS(ROW(),COLUMN()-1,4))="80141902","Reuniones y eventos",""))</f>
        <v>Reuniones y eventos</v>
      </c>
      <c r="C663" s="72" t="str">
        <f>IFERROR(VLOOKUP("UD",'Informacion '!P:Q,2,FALSE),"")</f>
        <v>Unidad</v>
      </c>
      <c r="D663" s="39">
        <v>1</v>
      </c>
      <c r="E663" s="42">
        <v>1078820</v>
      </c>
      <c r="F663" s="41">
        <f ca="1">INDIRECT(ADDRESS(ROW(),COLUMN()-2,4))*INDIRECT(ADDRESS(ROW(),COLUMN()-1,4))</f>
        <v>1078820</v>
      </c>
    </row>
    <row r="664" spans="1:10" ht="14.25" customHeight="1" x14ac:dyDescent="0.35">
      <c r="E664" s="44" t="s">
        <v>13122</v>
      </c>
      <c r="F664" s="45">
        <f ca="1">SUM(Table39[MONTO TOTAL ESTIMADO])</f>
        <v>1078820</v>
      </c>
      <c r="H664" s="24" t="str">
        <f>C656</f>
        <v>Servicios</v>
      </c>
      <c r="I664" s="24" t="str">
        <f>E656</f>
        <v>Sí</v>
      </c>
      <c r="J664" s="24" t="str">
        <f>D656</f>
        <v>Compras Menores</v>
      </c>
    </row>
    <row r="666" spans="1:10" ht="34" customHeight="1" x14ac:dyDescent="0.35">
      <c r="A666" s="36" t="s">
        <v>17105</v>
      </c>
      <c r="B666" s="36" t="s">
        <v>167</v>
      </c>
      <c r="C666" s="36" t="s">
        <v>12252</v>
      </c>
      <c r="D666" s="36" t="s">
        <v>15021</v>
      </c>
      <c r="E666" s="36" t="s">
        <v>11455</v>
      </c>
      <c r="F666" s="36" t="s">
        <v>11595</v>
      </c>
    </row>
    <row r="667" spans="1:10" ht="14.25" customHeight="1" x14ac:dyDescent="0.35">
      <c r="A667" s="37" t="s">
        <v>9305</v>
      </c>
      <c r="B667" s="37" t="s">
        <v>9305</v>
      </c>
      <c r="C667" s="37" t="s">
        <v>7109</v>
      </c>
      <c r="D667" s="37" t="s">
        <v>1950</v>
      </c>
      <c r="E667" s="37" t="s">
        <v>9261</v>
      </c>
      <c r="F667" s="37" t="s">
        <v>7088</v>
      </c>
    </row>
    <row r="668" spans="1:10" ht="14.25" customHeight="1" x14ac:dyDescent="0.35">
      <c r="A668" s="75" t="s">
        <v>15490</v>
      </c>
      <c r="B668" s="38" t="s">
        <v>8918</v>
      </c>
      <c r="C668" s="68">
        <v>45383</v>
      </c>
      <c r="D668" s="75" t="s">
        <v>9819</v>
      </c>
      <c r="E668" s="70" t="s">
        <v>13683</v>
      </c>
      <c r="F668" s="71" t="s">
        <v>3205</v>
      </c>
    </row>
    <row r="669" spans="1:10" ht="14.25" customHeight="1" x14ac:dyDescent="0.35">
      <c r="A669" s="76"/>
      <c r="B669" s="38" t="s">
        <v>1858</v>
      </c>
      <c r="C669" s="69">
        <f>IF(C668="","",IF(AND(MONTH(C668)&gt;=1,MONTH(C668)&lt;=3),1,IF(AND(MONTH(C668)&gt;=4,MONTH(C668)&lt;=6),2,IF(AND(MONTH(C668)&gt;=7,MONTH(C668)&lt;=9),3,4))))</f>
        <v>2</v>
      </c>
      <c r="D669" s="76"/>
      <c r="E669" s="70" t="s">
        <v>2509</v>
      </c>
      <c r="F669" s="71" t="s">
        <v>11612</v>
      </c>
    </row>
    <row r="670" spans="1:10" ht="14.25" customHeight="1" x14ac:dyDescent="0.35">
      <c r="A670" s="76"/>
      <c r="B670" s="38" t="s">
        <v>13526</v>
      </c>
      <c r="C670" s="68">
        <v>45471</v>
      </c>
      <c r="D670" s="76"/>
      <c r="E670" s="70" t="s">
        <v>3198</v>
      </c>
      <c r="F670" s="71" t="s">
        <v>11612</v>
      </c>
    </row>
    <row r="671" spans="1:10" ht="14.25" customHeight="1" x14ac:dyDescent="0.35">
      <c r="A671" s="76"/>
      <c r="B671" s="38" t="s">
        <v>1858</v>
      </c>
      <c r="C671" s="69">
        <f>IF(C670="","",IF(AND(MONTH(C670)&gt;=1,MONTH(C670)&lt;=3),1,IF(AND(MONTH(C670)&gt;=4,MONTH(C670)&lt;=6),2,IF(AND(MONTH(C670)&gt;=7,MONTH(C670)&lt;=9),3,4))))</f>
        <v>2</v>
      </c>
      <c r="D671" s="76"/>
      <c r="E671" s="70" t="s">
        <v>13785</v>
      </c>
      <c r="F671" s="71"/>
    </row>
    <row r="673" spans="1:10" ht="14.25" customHeight="1" x14ac:dyDescent="0.35">
      <c r="A673" s="43" t="s">
        <v>16424</v>
      </c>
      <c r="B673" s="43" t="s">
        <v>16856</v>
      </c>
      <c r="C673" s="43" t="s">
        <v>16326</v>
      </c>
      <c r="D673" s="43" t="s">
        <v>15925</v>
      </c>
      <c r="E673" s="43" t="s">
        <v>7248</v>
      </c>
      <c r="F673" s="43" t="s">
        <v>15955</v>
      </c>
    </row>
    <row r="674" spans="1:10" ht="14.25" customHeight="1" x14ac:dyDescent="0.35">
      <c r="A674" s="39" t="s">
        <v>10331</v>
      </c>
      <c r="B674" s="40" t="str">
        <f ca="1">IFERROR(INDEX(UNSPSCDes,MATCH(INDIRECT(ADDRESS(ROW(),COLUMN()-1,4)),UNSPSCCode,0)),IF(INDIRECT(ADDRESS(ROW(),COLUMN()-1,4))="80141902","Reuniones y eventos",""))</f>
        <v>Reuniones y eventos</v>
      </c>
      <c r="C674" s="72" t="str">
        <f>IFERROR(VLOOKUP("UD",'Informacion '!P:Q,2,FALSE),"")</f>
        <v>Unidad</v>
      </c>
      <c r="D674" s="39">
        <v>2</v>
      </c>
      <c r="E674" s="42">
        <v>601550</v>
      </c>
      <c r="F674" s="41">
        <f ca="1">INDIRECT(ADDRESS(ROW(),COLUMN()-2,4))*INDIRECT(ADDRESS(ROW(),COLUMN()-1,4))</f>
        <v>1203100</v>
      </c>
    </row>
    <row r="675" spans="1:10" ht="14.25" customHeight="1" x14ac:dyDescent="0.35">
      <c r="E675" s="44" t="s">
        <v>13122</v>
      </c>
      <c r="F675" s="45">
        <f ca="1">SUM(Table40[MONTO TOTAL ESTIMADO])</f>
        <v>1203100</v>
      </c>
      <c r="H675" s="24" t="str">
        <f>C667</f>
        <v>Servicios</v>
      </c>
      <c r="I675" s="24" t="str">
        <f>E667</f>
        <v>Sí</v>
      </c>
      <c r="J675" s="24" t="str">
        <f>D667</f>
        <v>Comparacion de Precios</v>
      </c>
    </row>
    <row r="677" spans="1:10" ht="34" customHeight="1" x14ac:dyDescent="0.35">
      <c r="A677" s="36" t="s">
        <v>17105</v>
      </c>
      <c r="B677" s="36" t="s">
        <v>167</v>
      </c>
      <c r="C677" s="36" t="s">
        <v>12252</v>
      </c>
      <c r="D677" s="36" t="s">
        <v>15021</v>
      </c>
      <c r="E677" s="36" t="s">
        <v>11455</v>
      </c>
      <c r="F677" s="36" t="s">
        <v>11595</v>
      </c>
    </row>
    <row r="678" spans="1:10" ht="14.25" customHeight="1" x14ac:dyDescent="0.35">
      <c r="A678" s="37" t="s">
        <v>12084</v>
      </c>
      <c r="B678" s="37" t="s">
        <v>12084</v>
      </c>
      <c r="C678" s="37" t="s">
        <v>7109</v>
      </c>
      <c r="D678" s="37" t="s">
        <v>18256</v>
      </c>
      <c r="E678" s="37" t="s">
        <v>9261</v>
      </c>
      <c r="F678" s="37" t="s">
        <v>7088</v>
      </c>
    </row>
    <row r="679" spans="1:10" ht="14.25" customHeight="1" x14ac:dyDescent="0.35">
      <c r="A679" s="75" t="s">
        <v>15490</v>
      </c>
      <c r="B679" s="38" t="s">
        <v>8918</v>
      </c>
      <c r="C679" s="68">
        <v>45383</v>
      </c>
      <c r="D679" s="75" t="s">
        <v>9819</v>
      </c>
      <c r="E679" s="70" t="s">
        <v>13683</v>
      </c>
      <c r="F679" s="71" t="s">
        <v>3205</v>
      </c>
    </row>
    <row r="680" spans="1:10" ht="14.25" customHeight="1" x14ac:dyDescent="0.35">
      <c r="A680" s="76"/>
      <c r="B680" s="38" t="s">
        <v>1858</v>
      </c>
      <c r="C680" s="69">
        <f>IF(C679="","",IF(AND(MONTH(C679)&gt;=1,MONTH(C679)&lt;=3),1,IF(AND(MONTH(C679)&gt;=4,MONTH(C679)&lt;=6),2,IF(AND(MONTH(C679)&gt;=7,MONTH(C679)&lt;=9),3,4))))</f>
        <v>2</v>
      </c>
      <c r="D680" s="76"/>
      <c r="E680" s="70" t="s">
        <v>2509</v>
      </c>
      <c r="F680" s="71" t="s">
        <v>11612</v>
      </c>
    </row>
    <row r="681" spans="1:10" ht="14.25" customHeight="1" x14ac:dyDescent="0.35">
      <c r="A681" s="76"/>
      <c r="B681" s="38" t="s">
        <v>13526</v>
      </c>
      <c r="C681" s="68">
        <v>45471</v>
      </c>
      <c r="D681" s="76"/>
      <c r="E681" s="70" t="s">
        <v>3198</v>
      </c>
      <c r="F681" s="71" t="s">
        <v>11612</v>
      </c>
    </row>
    <row r="682" spans="1:10" ht="14.25" customHeight="1" x14ac:dyDescent="0.35">
      <c r="A682" s="76"/>
      <c r="B682" s="38" t="s">
        <v>1858</v>
      </c>
      <c r="C682" s="69">
        <f>IF(C681="","",IF(AND(MONTH(C681)&gt;=1,MONTH(C681)&lt;=3),1,IF(AND(MONTH(C681)&gt;=4,MONTH(C681)&lt;=6),2,IF(AND(MONTH(C681)&gt;=7,MONTH(C681)&lt;=9),3,4))))</f>
        <v>2</v>
      </c>
      <c r="D682" s="76"/>
      <c r="E682" s="70" t="s">
        <v>13785</v>
      </c>
      <c r="F682" s="71"/>
    </row>
    <row r="684" spans="1:10" ht="14.25" customHeight="1" x14ac:dyDescent="0.35">
      <c r="A684" s="43" t="s">
        <v>16424</v>
      </c>
      <c r="B684" s="43" t="s">
        <v>16856</v>
      </c>
      <c r="C684" s="43" t="s">
        <v>16326</v>
      </c>
      <c r="D684" s="43" t="s">
        <v>15925</v>
      </c>
      <c r="E684" s="43" t="s">
        <v>7248</v>
      </c>
      <c r="F684" s="43" t="s">
        <v>15955</v>
      </c>
    </row>
    <row r="685" spans="1:10" ht="14.25" customHeight="1" x14ac:dyDescent="0.35">
      <c r="A685" s="39" t="s">
        <v>7454</v>
      </c>
      <c r="B685" s="40" t="str">
        <f ca="1">IFERROR(INDEX(UNSPSCDes,MATCH(INDIRECT(ADDRESS(ROW(),COLUMN()-1,4)),UNSPSCCode,0)),IF(INDIRECT(ADDRESS(ROW(),COLUMN()-1,4))="80161502","Servicios de planificación de reuniones",""))</f>
        <v>Servicios de planificación de reuniones</v>
      </c>
      <c r="C685" s="72" t="str">
        <f>IFERROR(VLOOKUP("UD",'Informacion '!P:Q,2,FALSE),"")</f>
        <v>Unidad</v>
      </c>
      <c r="D685" s="39">
        <v>1</v>
      </c>
      <c r="E685" s="42">
        <v>250000</v>
      </c>
      <c r="F685" s="41">
        <f ca="1">INDIRECT(ADDRESS(ROW(),COLUMN()-2,4))*INDIRECT(ADDRESS(ROW(),COLUMN()-1,4))</f>
        <v>250000</v>
      </c>
    </row>
    <row r="686" spans="1:10" ht="14.25" customHeight="1" x14ac:dyDescent="0.35">
      <c r="A686" s="39" t="s">
        <v>7454</v>
      </c>
      <c r="B686" s="40" t="str">
        <f ca="1">IFERROR(INDEX(UNSPSCDes,MATCH(INDIRECT(ADDRESS(ROW(),COLUMN()-1,4)),UNSPSCCode,0)),IF(INDIRECT(ADDRESS(ROW(),COLUMN()-1,4))="80161502","Servicios de planificación de reuniones",""))</f>
        <v>Servicios de planificación de reuniones</v>
      </c>
      <c r="C686" s="72" t="str">
        <f>IFERROR(VLOOKUP("UD",'Informacion '!P:Q,2,FALSE),"")</f>
        <v>Unidad</v>
      </c>
      <c r="D686" s="39">
        <v>1</v>
      </c>
      <c r="E686" s="42">
        <v>250000</v>
      </c>
      <c r="F686" s="41">
        <f ca="1">INDIRECT(ADDRESS(ROW(),COLUMN()-2,4))*INDIRECT(ADDRESS(ROW(),COLUMN()-1,4))</f>
        <v>250000</v>
      </c>
    </row>
    <row r="687" spans="1:10" ht="14.25" customHeight="1" x14ac:dyDescent="0.35">
      <c r="E687" s="44" t="s">
        <v>13122</v>
      </c>
      <c r="F687" s="45">
        <f ca="1">SUM(Table41[MONTO TOTAL ESTIMADO])</f>
        <v>500000</v>
      </c>
      <c r="H687" s="24" t="str">
        <f>C678</f>
        <v>Servicios</v>
      </c>
      <c r="I687" s="24" t="str">
        <f>E678</f>
        <v>Sí</v>
      </c>
      <c r="J687" s="24" t="str">
        <f>D678</f>
        <v>Compras Menores</v>
      </c>
    </row>
    <row r="689" spans="1:10" ht="34" customHeight="1" x14ac:dyDescent="0.35">
      <c r="A689" s="36" t="s">
        <v>17105</v>
      </c>
      <c r="B689" s="36" t="s">
        <v>167</v>
      </c>
      <c r="C689" s="36" t="s">
        <v>12252</v>
      </c>
      <c r="D689" s="36" t="s">
        <v>15021</v>
      </c>
      <c r="E689" s="36" t="s">
        <v>11455</v>
      </c>
      <c r="F689" s="36" t="s">
        <v>11595</v>
      </c>
    </row>
    <row r="690" spans="1:10" ht="14.25" customHeight="1" x14ac:dyDescent="0.35">
      <c r="A690" s="37" t="s">
        <v>16000</v>
      </c>
      <c r="B690" s="37" t="s">
        <v>16000</v>
      </c>
      <c r="C690" s="37" t="s">
        <v>7109</v>
      </c>
      <c r="D690" s="37" t="s">
        <v>10634</v>
      </c>
      <c r="E690" s="37" t="s">
        <v>9261</v>
      </c>
      <c r="F690" s="37" t="s">
        <v>7088</v>
      </c>
    </row>
    <row r="691" spans="1:10" ht="14.25" customHeight="1" x14ac:dyDescent="0.35">
      <c r="A691" s="75" t="s">
        <v>15490</v>
      </c>
      <c r="B691" s="38" t="s">
        <v>8918</v>
      </c>
      <c r="C691" s="68">
        <v>45334</v>
      </c>
      <c r="D691" s="75" t="s">
        <v>9819</v>
      </c>
      <c r="E691" s="70" t="s">
        <v>13683</v>
      </c>
      <c r="F691" s="71" t="s">
        <v>3205</v>
      </c>
    </row>
    <row r="692" spans="1:10" ht="14.25" customHeight="1" x14ac:dyDescent="0.35">
      <c r="A692" s="76"/>
      <c r="B692" s="38" t="s">
        <v>1858</v>
      </c>
      <c r="C692" s="69">
        <f>IF(C691="","",IF(AND(MONTH(C691)&gt;=1,MONTH(C691)&lt;=3),1,IF(AND(MONTH(C691)&gt;=4,MONTH(C691)&lt;=6),2,IF(AND(MONTH(C691)&gt;=7,MONTH(C691)&lt;=9),3,4))))</f>
        <v>1</v>
      </c>
      <c r="D692" s="76"/>
      <c r="E692" s="70" t="s">
        <v>2509</v>
      </c>
      <c r="F692" s="71" t="s">
        <v>11612</v>
      </c>
    </row>
    <row r="693" spans="1:10" ht="14.25" customHeight="1" x14ac:dyDescent="0.35">
      <c r="A693" s="76"/>
      <c r="B693" s="38" t="s">
        <v>13526</v>
      </c>
      <c r="C693" s="68">
        <v>45380</v>
      </c>
      <c r="D693" s="76"/>
      <c r="E693" s="70" t="s">
        <v>3198</v>
      </c>
      <c r="F693" s="71" t="s">
        <v>11612</v>
      </c>
    </row>
    <row r="694" spans="1:10" ht="14.25" customHeight="1" x14ac:dyDescent="0.35">
      <c r="A694" s="76"/>
      <c r="B694" s="38" t="s">
        <v>1858</v>
      </c>
      <c r="C694" s="69">
        <f>IF(C693="","",IF(AND(MONTH(C693)&gt;=1,MONTH(C693)&lt;=3),1,IF(AND(MONTH(C693)&gt;=4,MONTH(C693)&lt;=6),2,IF(AND(MONTH(C693)&gt;=7,MONTH(C693)&lt;=9),3,4))))</f>
        <v>1</v>
      </c>
      <c r="D694" s="76"/>
      <c r="E694" s="70" t="s">
        <v>13785</v>
      </c>
      <c r="F694" s="71"/>
    </row>
    <row r="696" spans="1:10" ht="14.25" customHeight="1" x14ac:dyDescent="0.35">
      <c r="A696" s="43" t="s">
        <v>16424</v>
      </c>
      <c r="B696" s="43" t="s">
        <v>16856</v>
      </c>
      <c r="C696" s="43" t="s">
        <v>16326</v>
      </c>
      <c r="D696" s="43" t="s">
        <v>15925</v>
      </c>
      <c r="E696" s="43" t="s">
        <v>7248</v>
      </c>
      <c r="F696" s="43" t="s">
        <v>15955</v>
      </c>
    </row>
    <row r="697" spans="1:10" ht="14.25" customHeight="1" x14ac:dyDescent="0.35">
      <c r="A697" s="39" t="s">
        <v>6457</v>
      </c>
      <c r="B697" s="40" t="str">
        <f ca="1">IFERROR(INDEX(UNSPSCDes,MATCH(INDIRECT(ADDRESS(ROW(),COLUMN()-1,4)),UNSPSCCode,0)),IF(INDIRECT(ADDRESS(ROW(),COLUMN()-1,4))="80161507","Servicios audiovisuales",""))</f>
        <v>Servicios audiovisuales</v>
      </c>
      <c r="C697" s="72" t="str">
        <f>IFERROR(VLOOKUP("UD",'Informacion '!P:Q,2,FALSE),"")</f>
        <v>Unidad</v>
      </c>
      <c r="D697" s="39">
        <v>1</v>
      </c>
      <c r="E697" s="42">
        <v>5900</v>
      </c>
      <c r="F697" s="41">
        <f ca="1">INDIRECT(ADDRESS(ROW(),COLUMN()-2,4))*INDIRECT(ADDRESS(ROW(),COLUMN()-1,4))</f>
        <v>5900</v>
      </c>
    </row>
    <row r="698" spans="1:10" ht="14.25" customHeight="1" x14ac:dyDescent="0.35">
      <c r="A698" s="39" t="s">
        <v>6457</v>
      </c>
      <c r="B698" s="40" t="str">
        <f ca="1">IFERROR(INDEX(UNSPSCDes,MATCH(INDIRECT(ADDRESS(ROW(),COLUMN()-1,4)),UNSPSCCode,0)),IF(INDIRECT(ADDRESS(ROW(),COLUMN()-1,4))="80161507","Servicios audiovisuales",""))</f>
        <v>Servicios audiovisuales</v>
      </c>
      <c r="C698" s="72" t="str">
        <f>IFERROR(VLOOKUP("UD",'Informacion '!P:Q,2,FALSE),"")</f>
        <v>Unidad</v>
      </c>
      <c r="D698" s="39">
        <v>1</v>
      </c>
      <c r="E698" s="42">
        <v>5900</v>
      </c>
      <c r="F698" s="41">
        <f ca="1">INDIRECT(ADDRESS(ROW(),COLUMN()-2,4))*INDIRECT(ADDRESS(ROW(),COLUMN()-1,4))</f>
        <v>5900</v>
      </c>
    </row>
    <row r="699" spans="1:10" ht="14.25" customHeight="1" x14ac:dyDescent="0.35">
      <c r="E699" s="44" t="s">
        <v>13122</v>
      </c>
      <c r="F699" s="45">
        <f ca="1">SUM(Table42[MONTO TOTAL ESTIMADO])</f>
        <v>11800</v>
      </c>
      <c r="H699" s="24" t="str">
        <f>C690</f>
        <v>Servicios</v>
      </c>
      <c r="I699" s="24" t="str">
        <f>E690</f>
        <v>Sí</v>
      </c>
      <c r="J699" s="24" t="str">
        <f>D690</f>
        <v>Compras por debajo del Umbral</v>
      </c>
    </row>
    <row r="701" spans="1:10" ht="34" customHeight="1" x14ac:dyDescent="0.35">
      <c r="A701" s="36" t="s">
        <v>17105</v>
      </c>
      <c r="B701" s="36" t="s">
        <v>167</v>
      </c>
      <c r="C701" s="36" t="s">
        <v>12252</v>
      </c>
      <c r="D701" s="36" t="s">
        <v>15021</v>
      </c>
      <c r="E701" s="36" t="s">
        <v>11455</v>
      </c>
      <c r="F701" s="36" t="s">
        <v>11595</v>
      </c>
    </row>
    <row r="702" spans="1:10" ht="14.25" customHeight="1" x14ac:dyDescent="0.35">
      <c r="A702" s="37" t="s">
        <v>16000</v>
      </c>
      <c r="B702" s="37" t="s">
        <v>16000</v>
      </c>
      <c r="C702" s="37" t="s">
        <v>7109</v>
      </c>
      <c r="D702" s="37" t="s">
        <v>10634</v>
      </c>
      <c r="E702" s="37" t="s">
        <v>9261</v>
      </c>
      <c r="F702" s="37" t="s">
        <v>7088</v>
      </c>
    </row>
    <row r="703" spans="1:10" ht="14.25" customHeight="1" x14ac:dyDescent="0.35">
      <c r="A703" s="75" t="s">
        <v>15490</v>
      </c>
      <c r="B703" s="38" t="s">
        <v>8918</v>
      </c>
      <c r="C703" s="68">
        <v>45383</v>
      </c>
      <c r="D703" s="75" t="s">
        <v>9819</v>
      </c>
      <c r="E703" s="70" t="s">
        <v>13683</v>
      </c>
      <c r="F703" s="71" t="s">
        <v>3205</v>
      </c>
    </row>
    <row r="704" spans="1:10" ht="14.25" customHeight="1" x14ac:dyDescent="0.35">
      <c r="A704" s="76"/>
      <c r="B704" s="38" t="s">
        <v>1858</v>
      </c>
      <c r="C704" s="69">
        <f>IF(C703="","",IF(AND(MONTH(C703)&gt;=1,MONTH(C703)&lt;=3),1,IF(AND(MONTH(C703)&gt;=4,MONTH(C703)&lt;=6),2,IF(AND(MONTH(C703)&gt;=7,MONTH(C703)&lt;=9),3,4))))</f>
        <v>2</v>
      </c>
      <c r="D704" s="76"/>
      <c r="E704" s="70" t="s">
        <v>2509</v>
      </c>
      <c r="F704" s="71" t="s">
        <v>11612</v>
      </c>
    </row>
    <row r="705" spans="1:10" ht="14.25" customHeight="1" x14ac:dyDescent="0.35">
      <c r="A705" s="76"/>
      <c r="B705" s="38" t="s">
        <v>13526</v>
      </c>
      <c r="C705" s="68">
        <v>45471</v>
      </c>
      <c r="D705" s="76"/>
      <c r="E705" s="70" t="s">
        <v>3198</v>
      </c>
      <c r="F705" s="71" t="s">
        <v>11612</v>
      </c>
    </row>
    <row r="706" spans="1:10" ht="14.25" customHeight="1" x14ac:dyDescent="0.35">
      <c r="A706" s="76"/>
      <c r="B706" s="38" t="s">
        <v>1858</v>
      </c>
      <c r="C706" s="69">
        <f>IF(C705="","",IF(AND(MONTH(C705)&gt;=1,MONTH(C705)&lt;=3),1,IF(AND(MONTH(C705)&gt;=4,MONTH(C705)&lt;=6),2,IF(AND(MONTH(C705)&gt;=7,MONTH(C705)&lt;=9),3,4))))</f>
        <v>2</v>
      </c>
      <c r="D706" s="76"/>
      <c r="E706" s="70" t="s">
        <v>13785</v>
      </c>
      <c r="F706" s="71"/>
    </row>
    <row r="708" spans="1:10" ht="14.25" customHeight="1" x14ac:dyDescent="0.35">
      <c r="A708" s="43" t="s">
        <v>16424</v>
      </c>
      <c r="B708" s="43" t="s">
        <v>16856</v>
      </c>
      <c r="C708" s="43" t="s">
        <v>16326</v>
      </c>
      <c r="D708" s="43" t="s">
        <v>15925</v>
      </c>
      <c r="E708" s="43" t="s">
        <v>7248</v>
      </c>
      <c r="F708" s="43" t="s">
        <v>15955</v>
      </c>
    </row>
    <row r="709" spans="1:10" ht="14.25" customHeight="1" x14ac:dyDescent="0.35">
      <c r="A709" s="39" t="s">
        <v>6457</v>
      </c>
      <c r="B709" s="40" t="str">
        <f ca="1">IFERROR(INDEX(UNSPSCDes,MATCH(INDIRECT(ADDRESS(ROW(),COLUMN()-1,4)),UNSPSCCode,0)),IF(INDIRECT(ADDRESS(ROW(),COLUMN()-1,4))="80161507","Servicios audiovisuales",""))</f>
        <v>Servicios audiovisuales</v>
      </c>
      <c r="C709" s="72" t="str">
        <f>IFERROR(VLOOKUP("UD",'Informacion '!P:Q,2,FALSE),"")</f>
        <v>Unidad</v>
      </c>
      <c r="D709" s="39">
        <v>1</v>
      </c>
      <c r="E709" s="42">
        <v>5900</v>
      </c>
      <c r="F709" s="41">
        <f ca="1">INDIRECT(ADDRESS(ROW(),COLUMN()-2,4))*INDIRECT(ADDRESS(ROW(),COLUMN()-1,4))</f>
        <v>5900</v>
      </c>
    </row>
    <row r="710" spans="1:10" ht="14.25" customHeight="1" x14ac:dyDescent="0.35">
      <c r="A710" s="39" t="s">
        <v>6457</v>
      </c>
      <c r="B710" s="40" t="str">
        <f ca="1">IFERROR(INDEX(UNSPSCDes,MATCH(INDIRECT(ADDRESS(ROW(),COLUMN()-1,4)),UNSPSCCode,0)),IF(INDIRECT(ADDRESS(ROW(),COLUMN()-1,4))="80161507","Servicios audiovisuales",""))</f>
        <v>Servicios audiovisuales</v>
      </c>
      <c r="C710" s="72" t="str">
        <f>IFERROR(VLOOKUP("UD",'Informacion '!P:Q,2,FALSE),"")</f>
        <v>Unidad</v>
      </c>
      <c r="D710" s="39">
        <v>2</v>
      </c>
      <c r="E710" s="42">
        <v>5900</v>
      </c>
      <c r="F710" s="41">
        <f ca="1">INDIRECT(ADDRESS(ROW(),COLUMN()-2,4))*INDIRECT(ADDRESS(ROW(),COLUMN()-1,4))</f>
        <v>11800</v>
      </c>
    </row>
    <row r="711" spans="1:10" ht="14.25" customHeight="1" x14ac:dyDescent="0.35">
      <c r="A711" s="39" t="s">
        <v>6457</v>
      </c>
      <c r="B711" s="40" t="str">
        <f ca="1">IFERROR(INDEX(UNSPSCDes,MATCH(INDIRECT(ADDRESS(ROW(),COLUMN()-1,4)),UNSPSCCode,0)),IF(INDIRECT(ADDRESS(ROW(),COLUMN()-1,4))="80161507","Servicios audiovisuales",""))</f>
        <v>Servicios audiovisuales</v>
      </c>
      <c r="C711" s="72" t="str">
        <f>IFERROR(VLOOKUP("UD",'Informacion '!P:Q,2,FALSE),"")</f>
        <v>Unidad</v>
      </c>
      <c r="D711" s="39">
        <v>2</v>
      </c>
      <c r="E711" s="42">
        <v>5900</v>
      </c>
      <c r="F711" s="41">
        <f ca="1">INDIRECT(ADDRESS(ROW(),COLUMN()-2,4))*INDIRECT(ADDRESS(ROW(),COLUMN()-1,4))</f>
        <v>11800</v>
      </c>
    </row>
    <row r="712" spans="1:10" ht="14.25" customHeight="1" x14ac:dyDescent="0.35">
      <c r="E712" s="44" t="s">
        <v>13122</v>
      </c>
      <c r="F712" s="45">
        <f ca="1">SUM(Table43[MONTO TOTAL ESTIMADO])</f>
        <v>29500</v>
      </c>
      <c r="H712" s="24" t="str">
        <f>C702</f>
        <v>Servicios</v>
      </c>
      <c r="I712" s="24" t="str">
        <f>E702</f>
        <v>Sí</v>
      </c>
      <c r="J712" s="24" t="str">
        <f>D702</f>
        <v>Compras por debajo del Umbral</v>
      </c>
    </row>
    <row r="714" spans="1:10" ht="34" customHeight="1" x14ac:dyDescent="0.35">
      <c r="A714" s="36" t="s">
        <v>17105</v>
      </c>
      <c r="B714" s="36" t="s">
        <v>167</v>
      </c>
      <c r="C714" s="36" t="s">
        <v>12252</v>
      </c>
      <c r="D714" s="36" t="s">
        <v>15021</v>
      </c>
      <c r="E714" s="36" t="s">
        <v>11455</v>
      </c>
      <c r="F714" s="36" t="s">
        <v>11595</v>
      </c>
    </row>
    <row r="715" spans="1:10" ht="14.25" customHeight="1" x14ac:dyDescent="0.35">
      <c r="A715" s="37" t="s">
        <v>16000</v>
      </c>
      <c r="B715" s="37" t="s">
        <v>16000</v>
      </c>
      <c r="C715" s="37" t="s">
        <v>7109</v>
      </c>
      <c r="D715" s="37" t="s">
        <v>10634</v>
      </c>
      <c r="E715" s="37" t="s">
        <v>9261</v>
      </c>
      <c r="F715" s="37" t="s">
        <v>7088</v>
      </c>
    </row>
    <row r="716" spans="1:10" ht="14.25" customHeight="1" x14ac:dyDescent="0.35">
      <c r="A716" s="75" t="s">
        <v>15490</v>
      </c>
      <c r="B716" s="38" t="s">
        <v>8918</v>
      </c>
      <c r="C716" s="68">
        <v>45474</v>
      </c>
      <c r="D716" s="75" t="s">
        <v>9819</v>
      </c>
      <c r="E716" s="70" t="s">
        <v>13683</v>
      </c>
      <c r="F716" s="71" t="s">
        <v>3205</v>
      </c>
    </row>
    <row r="717" spans="1:10" ht="14.25" customHeight="1" x14ac:dyDescent="0.35">
      <c r="A717" s="76"/>
      <c r="B717" s="38" t="s">
        <v>1858</v>
      </c>
      <c r="C717" s="69">
        <f>IF(C716="","",IF(AND(MONTH(C716)&gt;=1,MONTH(C716)&lt;=3),1,IF(AND(MONTH(C716)&gt;=4,MONTH(C716)&lt;=6),2,IF(AND(MONTH(C716)&gt;=7,MONTH(C716)&lt;=9),3,4))))</f>
        <v>3</v>
      </c>
      <c r="D717" s="76"/>
      <c r="E717" s="70" t="s">
        <v>2509</v>
      </c>
      <c r="F717" s="71" t="s">
        <v>11612</v>
      </c>
    </row>
    <row r="718" spans="1:10" ht="14.25" customHeight="1" x14ac:dyDescent="0.35">
      <c r="A718" s="76"/>
      <c r="B718" s="38" t="s">
        <v>13526</v>
      </c>
      <c r="C718" s="68">
        <v>45565</v>
      </c>
      <c r="D718" s="76"/>
      <c r="E718" s="70" t="s">
        <v>3198</v>
      </c>
      <c r="F718" s="71" t="s">
        <v>11612</v>
      </c>
    </row>
    <row r="719" spans="1:10" ht="14.25" customHeight="1" x14ac:dyDescent="0.35">
      <c r="A719" s="76"/>
      <c r="B719" s="38" t="s">
        <v>1858</v>
      </c>
      <c r="C719" s="69">
        <f>IF(C718="","",IF(AND(MONTH(C718)&gt;=1,MONTH(C718)&lt;=3),1,IF(AND(MONTH(C718)&gt;=4,MONTH(C718)&lt;=6),2,IF(AND(MONTH(C718)&gt;=7,MONTH(C718)&lt;=9),3,4))))</f>
        <v>3</v>
      </c>
      <c r="D719" s="76"/>
      <c r="E719" s="70" t="s">
        <v>13785</v>
      </c>
      <c r="F719" s="71"/>
    </row>
    <row r="721" spans="1:10" ht="14.25" customHeight="1" x14ac:dyDescent="0.35">
      <c r="A721" s="43" t="s">
        <v>16424</v>
      </c>
      <c r="B721" s="43" t="s">
        <v>16856</v>
      </c>
      <c r="C721" s="43" t="s">
        <v>16326</v>
      </c>
      <c r="D721" s="43" t="s">
        <v>15925</v>
      </c>
      <c r="E721" s="43" t="s">
        <v>7248</v>
      </c>
      <c r="F721" s="43" t="s">
        <v>15955</v>
      </c>
    </row>
    <row r="722" spans="1:10" ht="14.25" customHeight="1" x14ac:dyDescent="0.35">
      <c r="A722" s="39" t="s">
        <v>6457</v>
      </c>
      <c r="B722" s="40" t="str">
        <f ca="1">IFERROR(INDEX(UNSPSCDes,MATCH(INDIRECT(ADDRESS(ROW(),COLUMN()-1,4)),UNSPSCCode,0)),IF(INDIRECT(ADDRESS(ROW(),COLUMN()-1,4))="80161507","Servicios audiovisuales",""))</f>
        <v>Servicios audiovisuales</v>
      </c>
      <c r="C722" s="72" t="str">
        <f>IFERROR(VLOOKUP("UD",'Informacion '!P:Q,2,FALSE),"")</f>
        <v>Unidad</v>
      </c>
      <c r="D722" s="39">
        <v>1</v>
      </c>
      <c r="E722" s="42">
        <v>5900</v>
      </c>
      <c r="F722" s="41">
        <f ca="1">INDIRECT(ADDRESS(ROW(),COLUMN()-2,4))*INDIRECT(ADDRESS(ROW(),COLUMN()-1,4))</f>
        <v>5900</v>
      </c>
    </row>
    <row r="723" spans="1:10" ht="14.25" customHeight="1" x14ac:dyDescent="0.35">
      <c r="A723" s="39" t="s">
        <v>6457</v>
      </c>
      <c r="B723" s="40" t="str">
        <f ca="1">IFERROR(INDEX(UNSPSCDes,MATCH(INDIRECT(ADDRESS(ROW(),COLUMN()-1,4)),UNSPSCCode,0)),IF(INDIRECT(ADDRESS(ROW(),COLUMN()-1,4))="80161507","Servicios audiovisuales",""))</f>
        <v>Servicios audiovisuales</v>
      </c>
      <c r="C723" s="72" t="str">
        <f>IFERROR(VLOOKUP("UD",'Informacion '!P:Q,2,FALSE),"")</f>
        <v>Unidad</v>
      </c>
      <c r="D723" s="39">
        <v>2</v>
      </c>
      <c r="E723" s="42">
        <v>5900</v>
      </c>
      <c r="F723" s="41">
        <f ca="1">INDIRECT(ADDRESS(ROW(),COLUMN()-2,4))*INDIRECT(ADDRESS(ROW(),COLUMN()-1,4))</f>
        <v>11800</v>
      </c>
    </row>
    <row r="724" spans="1:10" ht="14.25" customHeight="1" x14ac:dyDescent="0.35">
      <c r="E724" s="44" t="s">
        <v>13122</v>
      </c>
      <c r="F724" s="45">
        <f ca="1">SUM(Table44[MONTO TOTAL ESTIMADO])</f>
        <v>17700</v>
      </c>
      <c r="H724" s="24" t="str">
        <f>C715</f>
        <v>Servicios</v>
      </c>
      <c r="I724" s="24" t="str">
        <f>E715</f>
        <v>Sí</v>
      </c>
      <c r="J724" s="24" t="str">
        <f>D715</f>
        <v>Compras por debajo del Umbral</v>
      </c>
    </row>
    <row r="726" spans="1:10" ht="34" customHeight="1" x14ac:dyDescent="0.35">
      <c r="A726" s="36" t="s">
        <v>17105</v>
      </c>
      <c r="B726" s="36" t="s">
        <v>167</v>
      </c>
      <c r="C726" s="36" t="s">
        <v>12252</v>
      </c>
      <c r="D726" s="36" t="s">
        <v>15021</v>
      </c>
      <c r="E726" s="36" t="s">
        <v>11455</v>
      </c>
      <c r="F726" s="36" t="s">
        <v>11595</v>
      </c>
    </row>
    <row r="727" spans="1:10" ht="14.25" customHeight="1" x14ac:dyDescent="0.35">
      <c r="A727" s="37" t="s">
        <v>16000</v>
      </c>
      <c r="B727" s="37" t="s">
        <v>16000</v>
      </c>
      <c r="C727" s="37" t="s">
        <v>7109</v>
      </c>
      <c r="D727" s="37" t="s">
        <v>10634</v>
      </c>
      <c r="E727" s="37" t="s">
        <v>9261</v>
      </c>
      <c r="F727" s="37" t="s">
        <v>7088</v>
      </c>
    </row>
    <row r="728" spans="1:10" ht="14.25" customHeight="1" x14ac:dyDescent="0.35">
      <c r="A728" s="75" t="s">
        <v>15490</v>
      </c>
      <c r="B728" s="38" t="s">
        <v>8918</v>
      </c>
      <c r="C728" s="68">
        <v>45566</v>
      </c>
      <c r="D728" s="75" t="s">
        <v>9819</v>
      </c>
      <c r="E728" s="70" t="s">
        <v>13683</v>
      </c>
      <c r="F728" s="71" t="s">
        <v>3205</v>
      </c>
    </row>
    <row r="729" spans="1:10" ht="14.25" customHeight="1" x14ac:dyDescent="0.35">
      <c r="A729" s="76"/>
      <c r="B729" s="38" t="s">
        <v>1858</v>
      </c>
      <c r="C729" s="69">
        <f>IF(C728="","",IF(AND(MONTH(C728)&gt;=1,MONTH(C728)&lt;=3),1,IF(AND(MONTH(C728)&gt;=4,MONTH(C728)&lt;=6),2,IF(AND(MONTH(C728)&gt;=7,MONTH(C728)&lt;=9),3,4))))</f>
        <v>4</v>
      </c>
      <c r="D729" s="76"/>
      <c r="E729" s="70" t="s">
        <v>2509</v>
      </c>
      <c r="F729" s="71" t="s">
        <v>11612</v>
      </c>
    </row>
    <row r="730" spans="1:10" ht="14.25" customHeight="1" x14ac:dyDescent="0.35">
      <c r="A730" s="76"/>
      <c r="B730" s="38" t="s">
        <v>13526</v>
      </c>
      <c r="C730" s="68">
        <v>45657</v>
      </c>
      <c r="D730" s="76"/>
      <c r="E730" s="70" t="s">
        <v>3198</v>
      </c>
      <c r="F730" s="71" t="s">
        <v>11612</v>
      </c>
    </row>
    <row r="731" spans="1:10" ht="14.25" customHeight="1" x14ac:dyDescent="0.35">
      <c r="A731" s="76"/>
      <c r="B731" s="38" t="s">
        <v>1858</v>
      </c>
      <c r="C731" s="69">
        <f>IF(C730="","",IF(AND(MONTH(C730)&gt;=1,MONTH(C730)&lt;=3),1,IF(AND(MONTH(C730)&gt;=4,MONTH(C730)&lt;=6),2,IF(AND(MONTH(C730)&gt;=7,MONTH(C730)&lt;=9),3,4))))</f>
        <v>4</v>
      </c>
      <c r="D731" s="76"/>
      <c r="E731" s="70" t="s">
        <v>13785</v>
      </c>
      <c r="F731" s="71"/>
    </row>
    <row r="733" spans="1:10" ht="14.25" customHeight="1" x14ac:dyDescent="0.35">
      <c r="A733" s="43" t="s">
        <v>16424</v>
      </c>
      <c r="B733" s="43" t="s">
        <v>16856</v>
      </c>
      <c r="C733" s="43" t="s">
        <v>16326</v>
      </c>
      <c r="D733" s="43" t="s">
        <v>15925</v>
      </c>
      <c r="E733" s="43" t="s">
        <v>7248</v>
      </c>
      <c r="F733" s="43" t="s">
        <v>15955</v>
      </c>
    </row>
    <row r="734" spans="1:10" ht="14.25" customHeight="1" x14ac:dyDescent="0.35">
      <c r="A734" s="39" t="s">
        <v>6457</v>
      </c>
      <c r="B734" s="40" t="str">
        <f ca="1">IFERROR(INDEX(UNSPSCDes,MATCH(INDIRECT(ADDRESS(ROW(),COLUMN()-1,4)),UNSPSCCode,0)),IF(INDIRECT(ADDRESS(ROW(),COLUMN()-1,4))="80161507","Servicios audiovisuales",""))</f>
        <v>Servicios audiovisuales</v>
      </c>
      <c r="C734" s="72" t="str">
        <f>IFERROR(VLOOKUP("UD",'Informacion '!P:Q,2,FALSE),"")</f>
        <v>Unidad</v>
      </c>
      <c r="D734" s="39">
        <v>1</v>
      </c>
      <c r="E734" s="42">
        <v>5900</v>
      </c>
      <c r="F734" s="41">
        <f ca="1">INDIRECT(ADDRESS(ROW(),COLUMN()-2,4))*INDIRECT(ADDRESS(ROW(),COLUMN()-1,4))</f>
        <v>5900</v>
      </c>
    </row>
    <row r="735" spans="1:10" ht="14.25" customHeight="1" x14ac:dyDescent="0.35">
      <c r="E735" s="44" t="s">
        <v>13122</v>
      </c>
      <c r="F735" s="45">
        <f ca="1">SUM(Table45[MONTO TOTAL ESTIMADO])</f>
        <v>5900</v>
      </c>
      <c r="H735" s="24" t="str">
        <f>C727</f>
        <v>Servicios</v>
      </c>
      <c r="I735" s="24" t="str">
        <f>E727</f>
        <v>Sí</v>
      </c>
      <c r="J735" s="24" t="str">
        <f>D727</f>
        <v>Compras por debajo del Umbral</v>
      </c>
    </row>
    <row r="737" spans="1:10" ht="34" customHeight="1" x14ac:dyDescent="0.35">
      <c r="A737" s="36" t="s">
        <v>17105</v>
      </c>
      <c r="B737" s="36" t="s">
        <v>167</v>
      </c>
      <c r="C737" s="36" t="s">
        <v>12252</v>
      </c>
      <c r="D737" s="36" t="s">
        <v>15021</v>
      </c>
      <c r="E737" s="36" t="s">
        <v>11455</v>
      </c>
      <c r="F737" s="36" t="s">
        <v>11595</v>
      </c>
    </row>
    <row r="738" spans="1:10" ht="14.25" customHeight="1" x14ac:dyDescent="0.35">
      <c r="A738" s="37" t="s">
        <v>15228</v>
      </c>
      <c r="B738" s="37" t="s">
        <v>15228</v>
      </c>
      <c r="C738" s="37" t="s">
        <v>7109</v>
      </c>
      <c r="D738" s="37" t="s">
        <v>18256</v>
      </c>
      <c r="E738" s="37" t="s">
        <v>18646</v>
      </c>
      <c r="F738" s="37" t="s">
        <v>7088</v>
      </c>
    </row>
    <row r="739" spans="1:10" ht="14.25" customHeight="1" x14ac:dyDescent="0.35">
      <c r="A739" s="75" t="s">
        <v>15490</v>
      </c>
      <c r="B739" s="38" t="s">
        <v>8918</v>
      </c>
      <c r="C739" s="68">
        <v>45334</v>
      </c>
      <c r="D739" s="75" t="s">
        <v>9819</v>
      </c>
      <c r="E739" s="70" t="s">
        <v>13683</v>
      </c>
      <c r="F739" s="71" t="s">
        <v>3205</v>
      </c>
    </row>
    <row r="740" spans="1:10" ht="14.25" customHeight="1" x14ac:dyDescent="0.35">
      <c r="A740" s="76"/>
      <c r="B740" s="38" t="s">
        <v>1858</v>
      </c>
      <c r="C740" s="69">
        <f>IF(C739="","",IF(AND(MONTH(C739)&gt;=1,MONTH(C739)&lt;=3),1,IF(AND(MONTH(C739)&gt;=4,MONTH(C739)&lt;=6),2,IF(AND(MONTH(C739)&gt;=7,MONTH(C739)&lt;=9),3,4))))</f>
        <v>1</v>
      </c>
      <c r="D740" s="76"/>
      <c r="E740" s="70" t="s">
        <v>2509</v>
      </c>
      <c r="F740" s="71" t="s">
        <v>11612</v>
      </c>
    </row>
    <row r="741" spans="1:10" ht="14.25" customHeight="1" x14ac:dyDescent="0.35">
      <c r="A741" s="76"/>
      <c r="B741" s="38" t="s">
        <v>13526</v>
      </c>
      <c r="C741" s="68">
        <v>45380</v>
      </c>
      <c r="D741" s="76"/>
      <c r="E741" s="70" t="s">
        <v>3198</v>
      </c>
      <c r="F741" s="71" t="s">
        <v>11612</v>
      </c>
    </row>
    <row r="742" spans="1:10" ht="14.25" customHeight="1" x14ac:dyDescent="0.35">
      <c r="A742" s="76"/>
      <c r="B742" s="38" t="s">
        <v>1858</v>
      </c>
      <c r="C742" s="69">
        <f>IF(C741="","",IF(AND(MONTH(C741)&gt;=1,MONTH(C741)&lt;=3),1,IF(AND(MONTH(C741)&gt;=4,MONTH(C741)&lt;=6),2,IF(AND(MONTH(C741)&gt;=7,MONTH(C741)&lt;=9),3,4))))</f>
        <v>1</v>
      </c>
      <c r="D742" s="76"/>
      <c r="E742" s="70" t="s">
        <v>13785</v>
      </c>
      <c r="F742" s="71"/>
    </row>
    <row r="744" spans="1:10" ht="14.25" customHeight="1" x14ac:dyDescent="0.35">
      <c r="A744" s="43" t="s">
        <v>16424</v>
      </c>
      <c r="B744" s="43" t="s">
        <v>16856</v>
      </c>
      <c r="C744" s="43" t="s">
        <v>16326</v>
      </c>
      <c r="D744" s="43" t="s">
        <v>15925</v>
      </c>
      <c r="E744" s="43" t="s">
        <v>7248</v>
      </c>
      <c r="F744" s="43" t="s">
        <v>15955</v>
      </c>
    </row>
    <row r="745" spans="1:10" ht="14.25" customHeight="1" x14ac:dyDescent="0.35">
      <c r="A745" s="39" t="s">
        <v>368</v>
      </c>
      <c r="B745" s="40" t="str">
        <f ca="1">IFERROR(INDEX(UNSPSCDes,MATCH(INDIRECT(ADDRESS(ROW(),COLUMN()-1,4)),UNSPSCCode,0)),IF(INDIRECT(ADDRESS(ROW(),COLUMN()-1,4))="81111805","Mantenimiento o soporte de sistemas patentados o autorizados",""))</f>
        <v>Mantenimiento o soporte de sistemas patentados o autorizados</v>
      </c>
      <c r="C745" s="72" t="str">
        <f>IFERROR(VLOOKUP("UD",'Informacion '!P:Q,2,FALSE),"")</f>
        <v>Unidad</v>
      </c>
      <c r="D745" s="39">
        <v>1</v>
      </c>
      <c r="E745" s="42">
        <v>510578</v>
      </c>
      <c r="F745" s="41">
        <f ca="1">INDIRECT(ADDRESS(ROW(),COLUMN()-2,4))*INDIRECT(ADDRESS(ROW(),COLUMN()-1,4))</f>
        <v>510578</v>
      </c>
    </row>
    <row r="746" spans="1:10" ht="14.25" customHeight="1" x14ac:dyDescent="0.35">
      <c r="A746" s="39" t="s">
        <v>368</v>
      </c>
      <c r="B746" s="40" t="str">
        <f ca="1">IFERROR(INDEX(UNSPSCDes,MATCH(INDIRECT(ADDRESS(ROW(),COLUMN()-1,4)),UNSPSCCode,0)),IF(INDIRECT(ADDRESS(ROW(),COLUMN()-1,4))="81111805","Mantenimiento o soporte de sistemas patentados o autorizados",""))</f>
        <v>Mantenimiento o soporte de sistemas patentados o autorizados</v>
      </c>
      <c r="C746" s="72" t="str">
        <f>IFERROR(VLOOKUP("UD",'Informacion '!P:Q,2,FALSE),"")</f>
        <v>Unidad</v>
      </c>
      <c r="D746" s="39">
        <v>1</v>
      </c>
      <c r="E746" s="42">
        <v>345520</v>
      </c>
      <c r="F746" s="41">
        <f ca="1">INDIRECT(ADDRESS(ROW(),COLUMN()-2,4))*INDIRECT(ADDRESS(ROW(),COLUMN()-1,4))</f>
        <v>345520</v>
      </c>
    </row>
    <row r="747" spans="1:10" ht="14.25" customHeight="1" x14ac:dyDescent="0.35">
      <c r="E747" s="44" t="s">
        <v>13122</v>
      </c>
      <c r="F747" s="45">
        <f ca="1">SUM(Table46[MONTO TOTAL ESTIMADO])</f>
        <v>856098</v>
      </c>
      <c r="H747" s="24" t="str">
        <f>C738</f>
        <v>Servicios</v>
      </c>
      <c r="I747" s="24" t="str">
        <f>E738</f>
        <v>No</v>
      </c>
      <c r="J747" s="24" t="str">
        <f>D738</f>
        <v>Compras Menores</v>
      </c>
    </row>
    <row r="749" spans="1:10" ht="34" customHeight="1" x14ac:dyDescent="0.35">
      <c r="A749" s="36" t="s">
        <v>17105</v>
      </c>
      <c r="B749" s="36" t="s">
        <v>167</v>
      </c>
      <c r="C749" s="36" t="s">
        <v>12252</v>
      </c>
      <c r="D749" s="36" t="s">
        <v>15021</v>
      </c>
      <c r="E749" s="36" t="s">
        <v>11455</v>
      </c>
      <c r="F749" s="36" t="s">
        <v>11595</v>
      </c>
    </row>
    <row r="750" spans="1:10" ht="14.25" customHeight="1" x14ac:dyDescent="0.35">
      <c r="A750" s="37" t="s">
        <v>15063</v>
      </c>
      <c r="B750" s="37" t="s">
        <v>15063</v>
      </c>
      <c r="C750" s="37" t="s">
        <v>7109</v>
      </c>
      <c r="D750" s="37" t="s">
        <v>10634</v>
      </c>
      <c r="E750" s="37" t="s">
        <v>18646</v>
      </c>
      <c r="F750" s="37" t="s">
        <v>7088</v>
      </c>
    </row>
    <row r="751" spans="1:10" ht="14.25" customHeight="1" x14ac:dyDescent="0.35">
      <c r="A751" s="75" t="s">
        <v>15490</v>
      </c>
      <c r="B751" s="38" t="s">
        <v>8918</v>
      </c>
      <c r="C751" s="68">
        <v>45334</v>
      </c>
      <c r="D751" s="75" t="s">
        <v>9819</v>
      </c>
      <c r="E751" s="70" t="s">
        <v>13683</v>
      </c>
      <c r="F751" s="71" t="s">
        <v>3205</v>
      </c>
    </row>
    <row r="752" spans="1:10" ht="14.25" customHeight="1" x14ac:dyDescent="0.35">
      <c r="A752" s="76"/>
      <c r="B752" s="38" t="s">
        <v>1858</v>
      </c>
      <c r="C752" s="69">
        <f>IF(C751="","",IF(AND(MONTH(C751)&gt;=1,MONTH(C751)&lt;=3),1,IF(AND(MONTH(C751)&gt;=4,MONTH(C751)&lt;=6),2,IF(AND(MONTH(C751)&gt;=7,MONTH(C751)&lt;=9),3,4))))</f>
        <v>1</v>
      </c>
      <c r="D752" s="76"/>
      <c r="E752" s="70" t="s">
        <v>2509</v>
      </c>
      <c r="F752" s="71" t="s">
        <v>11612</v>
      </c>
    </row>
    <row r="753" spans="1:10" ht="14.25" customHeight="1" x14ac:dyDescent="0.35">
      <c r="A753" s="76"/>
      <c r="B753" s="38" t="s">
        <v>13526</v>
      </c>
      <c r="C753" s="68">
        <v>45380</v>
      </c>
      <c r="D753" s="76"/>
      <c r="E753" s="70" t="s">
        <v>3198</v>
      </c>
      <c r="F753" s="71" t="s">
        <v>11612</v>
      </c>
    </row>
    <row r="754" spans="1:10" ht="14.25" customHeight="1" x14ac:dyDescent="0.35">
      <c r="A754" s="76"/>
      <c r="B754" s="38" t="s">
        <v>1858</v>
      </c>
      <c r="C754" s="69">
        <f>IF(C753="","",IF(AND(MONTH(C753)&gt;=1,MONTH(C753)&lt;=3),1,IF(AND(MONTH(C753)&gt;=4,MONTH(C753)&lt;=6),2,IF(AND(MONTH(C753)&gt;=7,MONTH(C753)&lt;=9),3,4))))</f>
        <v>1</v>
      </c>
      <c r="D754" s="76"/>
      <c r="E754" s="70" t="s">
        <v>13785</v>
      </c>
      <c r="F754" s="71"/>
    </row>
    <row r="756" spans="1:10" ht="14.25" customHeight="1" x14ac:dyDescent="0.35">
      <c r="A756" s="43" t="s">
        <v>16424</v>
      </c>
      <c r="B756" s="43" t="s">
        <v>16856</v>
      </c>
      <c r="C756" s="43" t="s">
        <v>16326</v>
      </c>
      <c r="D756" s="43" t="s">
        <v>15925</v>
      </c>
      <c r="E756" s="43" t="s">
        <v>7248</v>
      </c>
      <c r="F756" s="43" t="s">
        <v>15955</v>
      </c>
    </row>
    <row r="757" spans="1:10" ht="14.25" customHeight="1" x14ac:dyDescent="0.35">
      <c r="A757" s="39" t="s">
        <v>16598</v>
      </c>
      <c r="B757" s="40" t="str">
        <f ca="1">IFERROR(INDEX(UNSPSCDes,MATCH(INDIRECT(ADDRESS(ROW(),COLUMN()-1,4)),UNSPSCCode,0)),IF(INDIRECT(ADDRESS(ROW(),COLUMN()-1,4))="81112006","servicios de almacenamiento de datos",""))</f>
        <v>servicios de almacenamiento de datos</v>
      </c>
      <c r="C757" s="72" t="str">
        <f>IFERROR(VLOOKUP("UD",'Informacion '!P:Q,2,FALSE),"")</f>
        <v>Unidad</v>
      </c>
      <c r="D757" s="39">
        <v>1</v>
      </c>
      <c r="E757" s="42">
        <v>1500000</v>
      </c>
      <c r="F757" s="41">
        <f ca="1">INDIRECT(ADDRESS(ROW(),COLUMN()-2,4))*INDIRECT(ADDRESS(ROW(),COLUMN()-1,4))</f>
        <v>1500000</v>
      </c>
    </row>
    <row r="758" spans="1:10" ht="14.25" customHeight="1" x14ac:dyDescent="0.35">
      <c r="E758" s="44" t="s">
        <v>13122</v>
      </c>
      <c r="F758" s="45">
        <f ca="1">SUM(Table47[MONTO TOTAL ESTIMADO])</f>
        <v>1500000</v>
      </c>
      <c r="H758" s="24" t="str">
        <f>C750</f>
        <v>Servicios</v>
      </c>
      <c r="I758" s="24" t="str">
        <f>E750</f>
        <v>No</v>
      </c>
      <c r="J758" s="24" t="str">
        <f>D750</f>
        <v>Compras por debajo del Umbral</v>
      </c>
    </row>
    <row r="760" spans="1:10" ht="34" customHeight="1" x14ac:dyDescent="0.35">
      <c r="A760" s="36" t="s">
        <v>17105</v>
      </c>
      <c r="B760" s="36" t="s">
        <v>167</v>
      </c>
      <c r="C760" s="36" t="s">
        <v>12252</v>
      </c>
      <c r="D760" s="36" t="s">
        <v>15021</v>
      </c>
      <c r="E760" s="36" t="s">
        <v>11455</v>
      </c>
      <c r="F760" s="36" t="s">
        <v>11595</v>
      </c>
    </row>
    <row r="761" spans="1:10" ht="14.25" customHeight="1" x14ac:dyDescent="0.35">
      <c r="A761" s="37" t="s">
        <v>10551</v>
      </c>
      <c r="B761" s="37" t="s">
        <v>10551</v>
      </c>
      <c r="C761" s="37" t="s">
        <v>7109</v>
      </c>
      <c r="D761" s="37" t="s">
        <v>7582</v>
      </c>
      <c r="E761" s="37" t="s">
        <v>18646</v>
      </c>
      <c r="F761" s="37" t="s">
        <v>7088</v>
      </c>
    </row>
    <row r="762" spans="1:10" ht="14.25" customHeight="1" x14ac:dyDescent="0.35">
      <c r="A762" s="75" t="s">
        <v>15490</v>
      </c>
      <c r="B762" s="38" t="s">
        <v>8918</v>
      </c>
      <c r="C762" s="68">
        <v>45383</v>
      </c>
      <c r="D762" s="75" t="s">
        <v>9819</v>
      </c>
      <c r="E762" s="70" t="s">
        <v>13683</v>
      </c>
      <c r="F762" s="71" t="s">
        <v>3205</v>
      </c>
    </row>
    <row r="763" spans="1:10" ht="14.25" customHeight="1" x14ac:dyDescent="0.35">
      <c r="A763" s="76"/>
      <c r="B763" s="38" t="s">
        <v>1858</v>
      </c>
      <c r="C763" s="69">
        <f>IF(C762="","",IF(AND(MONTH(C762)&gt;=1,MONTH(C762)&lt;=3),1,IF(AND(MONTH(C762)&gt;=4,MONTH(C762)&lt;=6),2,IF(AND(MONTH(C762)&gt;=7,MONTH(C762)&lt;=9),3,4))))</f>
        <v>2</v>
      </c>
      <c r="D763" s="76"/>
      <c r="E763" s="70" t="s">
        <v>2509</v>
      </c>
      <c r="F763" s="71" t="s">
        <v>11612</v>
      </c>
    </row>
    <row r="764" spans="1:10" ht="14.25" customHeight="1" x14ac:dyDescent="0.35">
      <c r="A764" s="76"/>
      <c r="B764" s="38" t="s">
        <v>13526</v>
      </c>
      <c r="C764" s="68">
        <v>45471</v>
      </c>
      <c r="D764" s="76"/>
      <c r="E764" s="70" t="s">
        <v>3198</v>
      </c>
      <c r="F764" s="71" t="s">
        <v>11612</v>
      </c>
    </row>
    <row r="765" spans="1:10" ht="14.25" customHeight="1" x14ac:dyDescent="0.35">
      <c r="A765" s="76"/>
      <c r="B765" s="38" t="s">
        <v>1858</v>
      </c>
      <c r="C765" s="69">
        <f>IF(C764="","",IF(AND(MONTH(C764)&gt;=1,MONTH(C764)&lt;=3),1,IF(AND(MONTH(C764)&gt;=4,MONTH(C764)&lt;=6),2,IF(AND(MONTH(C764)&gt;=7,MONTH(C764)&lt;=9),3,4))))</f>
        <v>2</v>
      </c>
      <c r="D765" s="76"/>
      <c r="E765" s="70" t="s">
        <v>13785</v>
      </c>
      <c r="F765" s="71"/>
    </row>
    <row r="767" spans="1:10" ht="14.25" customHeight="1" x14ac:dyDescent="0.35">
      <c r="A767" s="43" t="s">
        <v>16424</v>
      </c>
      <c r="B767" s="43" t="s">
        <v>16856</v>
      </c>
      <c r="C767" s="43" t="s">
        <v>16326</v>
      </c>
      <c r="D767" s="43" t="s">
        <v>15925</v>
      </c>
      <c r="E767" s="43" t="s">
        <v>7248</v>
      </c>
      <c r="F767" s="43" t="s">
        <v>15955</v>
      </c>
    </row>
    <row r="768" spans="1:10" ht="14.25" customHeight="1" x14ac:dyDescent="0.35">
      <c r="A768" s="39" t="s">
        <v>12458</v>
      </c>
      <c r="B768" s="40" t="str">
        <f ca="1">IFERROR(INDEX(UNSPSCDes,MATCH(INDIRECT(ADDRESS(ROW(),COLUMN()-1,4)),UNSPSCCode,0)),IF(INDIRECT(ADDRESS(ROW(),COLUMN()-1,4))="81112501","Servicio de licencias de programas informáticos",""))</f>
        <v>Servicio de licencias de programas informáticos</v>
      </c>
      <c r="C768" s="72" t="str">
        <f>IFERROR(VLOOKUP("UD",'Informacion '!P:Q,2,FALSE),"")</f>
        <v>Unidad</v>
      </c>
      <c r="D768" s="39">
        <v>1</v>
      </c>
      <c r="E768" s="42">
        <v>4429242</v>
      </c>
      <c r="F768" s="41">
        <f ca="1">INDIRECT(ADDRESS(ROW(),COLUMN()-2,4))*INDIRECT(ADDRESS(ROW(),COLUMN()-1,4))</f>
        <v>4429242</v>
      </c>
    </row>
    <row r="769" spans="1:10" ht="14.25" customHeight="1" x14ac:dyDescent="0.35">
      <c r="A769" s="39" t="s">
        <v>12458</v>
      </c>
      <c r="B769" s="40" t="str">
        <f ca="1">IFERROR(INDEX(UNSPSCDes,MATCH(INDIRECT(ADDRESS(ROW(),COLUMN()-1,4)),UNSPSCCode,0)),IF(INDIRECT(ADDRESS(ROW(),COLUMN()-1,4))="81112501","Servicio de licencias de programas informáticos",""))</f>
        <v>Servicio de licencias de programas informáticos</v>
      </c>
      <c r="C769" s="72" t="str">
        <f>IFERROR(VLOOKUP("UD",'Informacion '!P:Q,2,FALSE),"")</f>
        <v>Unidad</v>
      </c>
      <c r="D769" s="39">
        <v>1</v>
      </c>
      <c r="E769" s="42">
        <v>4431397</v>
      </c>
      <c r="F769" s="41">
        <f ca="1">INDIRECT(ADDRESS(ROW(),COLUMN()-2,4))*INDIRECT(ADDRESS(ROW(),COLUMN()-1,4))</f>
        <v>4431397</v>
      </c>
    </row>
    <row r="770" spans="1:10" ht="14.25" customHeight="1" x14ac:dyDescent="0.35">
      <c r="E770" s="44" t="s">
        <v>13122</v>
      </c>
      <c r="F770" s="45">
        <f ca="1">SUM(Table48[MONTO TOTAL ESTIMADO])</f>
        <v>8860639</v>
      </c>
      <c r="H770" s="24" t="str">
        <f>C761</f>
        <v>Servicios</v>
      </c>
      <c r="I770" s="24" t="str">
        <f>E761</f>
        <v>No</v>
      </c>
      <c r="J770" s="24" t="str">
        <f>D761</f>
        <v>Excepción - Proveedor Único</v>
      </c>
    </row>
    <row r="772" spans="1:10" ht="34" customHeight="1" x14ac:dyDescent="0.35">
      <c r="A772" s="36" t="s">
        <v>17105</v>
      </c>
      <c r="B772" s="36" t="s">
        <v>167</v>
      </c>
      <c r="C772" s="36" t="s">
        <v>12252</v>
      </c>
      <c r="D772" s="36" t="s">
        <v>15021</v>
      </c>
      <c r="E772" s="36" t="s">
        <v>11455</v>
      </c>
      <c r="F772" s="36" t="s">
        <v>11595</v>
      </c>
    </row>
    <row r="773" spans="1:10" ht="14.25" customHeight="1" x14ac:dyDescent="0.35">
      <c r="A773" s="37" t="s">
        <v>4067</v>
      </c>
      <c r="B773" s="37" t="s">
        <v>4067</v>
      </c>
      <c r="C773" s="37" t="s">
        <v>7109</v>
      </c>
      <c r="D773" s="37" t="s">
        <v>1950</v>
      </c>
      <c r="E773" s="37" t="s">
        <v>18646</v>
      </c>
      <c r="F773" s="37" t="s">
        <v>7088</v>
      </c>
    </row>
    <row r="774" spans="1:10" ht="14.25" customHeight="1" x14ac:dyDescent="0.35">
      <c r="A774" s="75" t="s">
        <v>15490</v>
      </c>
      <c r="B774" s="38" t="s">
        <v>8918</v>
      </c>
      <c r="C774" s="68">
        <v>45383</v>
      </c>
      <c r="D774" s="75" t="s">
        <v>9819</v>
      </c>
      <c r="E774" s="70" t="s">
        <v>13683</v>
      </c>
      <c r="F774" s="71" t="s">
        <v>3205</v>
      </c>
    </row>
    <row r="775" spans="1:10" ht="14.25" customHeight="1" x14ac:dyDescent="0.35">
      <c r="A775" s="76"/>
      <c r="B775" s="38" t="s">
        <v>1858</v>
      </c>
      <c r="C775" s="69">
        <f>IF(C774="","",IF(AND(MONTH(C774)&gt;=1,MONTH(C774)&lt;=3),1,IF(AND(MONTH(C774)&gt;=4,MONTH(C774)&lt;=6),2,IF(AND(MONTH(C774)&gt;=7,MONTH(C774)&lt;=9),3,4))))</f>
        <v>2</v>
      </c>
      <c r="D775" s="76"/>
      <c r="E775" s="70" t="s">
        <v>2509</v>
      </c>
      <c r="F775" s="71" t="s">
        <v>11612</v>
      </c>
    </row>
    <row r="776" spans="1:10" ht="14.25" customHeight="1" x14ac:dyDescent="0.35">
      <c r="A776" s="76"/>
      <c r="B776" s="38" t="s">
        <v>13526</v>
      </c>
      <c r="C776" s="68">
        <v>45471</v>
      </c>
      <c r="D776" s="76"/>
      <c r="E776" s="70" t="s">
        <v>3198</v>
      </c>
      <c r="F776" s="71" t="s">
        <v>11612</v>
      </c>
    </row>
    <row r="777" spans="1:10" ht="14.25" customHeight="1" x14ac:dyDescent="0.35">
      <c r="A777" s="76"/>
      <c r="B777" s="38" t="s">
        <v>1858</v>
      </c>
      <c r="C777" s="69">
        <f>IF(C776="","",IF(AND(MONTH(C776)&gt;=1,MONTH(C776)&lt;=3),1,IF(AND(MONTH(C776)&gt;=4,MONTH(C776)&lt;=6),2,IF(AND(MONTH(C776)&gt;=7,MONTH(C776)&lt;=9),3,4))))</f>
        <v>2</v>
      </c>
      <c r="D777" s="76"/>
      <c r="E777" s="70" t="s">
        <v>13785</v>
      </c>
      <c r="F777" s="71"/>
    </row>
    <row r="779" spans="1:10" ht="14.25" customHeight="1" x14ac:dyDescent="0.35">
      <c r="A779" s="43" t="s">
        <v>16424</v>
      </c>
      <c r="B779" s="43" t="s">
        <v>16856</v>
      </c>
      <c r="C779" s="43" t="s">
        <v>16326</v>
      </c>
      <c r="D779" s="43" t="s">
        <v>15925</v>
      </c>
      <c r="E779" s="43" t="s">
        <v>7248</v>
      </c>
      <c r="F779" s="43" t="s">
        <v>15955</v>
      </c>
    </row>
    <row r="780" spans="1:10" ht="14.25" customHeight="1" x14ac:dyDescent="0.35">
      <c r="A780" s="39" t="s">
        <v>12458</v>
      </c>
      <c r="B780" s="40" t="str">
        <f ca="1">IFERROR(INDEX(UNSPSCDes,MATCH(INDIRECT(ADDRESS(ROW(),COLUMN()-1,4)),UNSPSCCode,0)),IF(INDIRECT(ADDRESS(ROW(),COLUMN()-1,4))="81112501","Servicio de licencias de programas informáticos",""))</f>
        <v>Servicio de licencias de programas informáticos</v>
      </c>
      <c r="C780" s="72" t="str">
        <f>IFERROR(VLOOKUP("UD",'Informacion '!P:Q,2,FALSE),"")</f>
        <v>Unidad</v>
      </c>
      <c r="D780" s="39">
        <v>1</v>
      </c>
      <c r="E780" s="42">
        <v>1400000</v>
      </c>
      <c r="F780" s="41">
        <f ca="1">INDIRECT(ADDRESS(ROW(),COLUMN()-2,4))*INDIRECT(ADDRESS(ROW(),COLUMN()-1,4))</f>
        <v>1400000</v>
      </c>
    </row>
    <row r="781" spans="1:10" ht="14.25" customHeight="1" x14ac:dyDescent="0.35">
      <c r="A781" s="39" t="s">
        <v>12458</v>
      </c>
      <c r="B781" s="40" t="str">
        <f ca="1">IFERROR(INDEX(UNSPSCDes,MATCH(INDIRECT(ADDRESS(ROW(),COLUMN()-1,4)),UNSPSCCode,0)),IF(INDIRECT(ADDRESS(ROW(),COLUMN()-1,4))="81112501","Servicio de licencias de programas informáticos",""))</f>
        <v>Servicio de licencias de programas informáticos</v>
      </c>
      <c r="C781" s="72" t="str">
        <f>IFERROR(VLOOKUP("UD",'Informacion '!P:Q,2,FALSE),"")</f>
        <v>Unidad</v>
      </c>
      <c r="D781" s="39">
        <v>1</v>
      </c>
      <c r="E781" s="42">
        <v>28800</v>
      </c>
      <c r="F781" s="41">
        <f ca="1">INDIRECT(ADDRESS(ROW(),COLUMN()-2,4))*INDIRECT(ADDRESS(ROW(),COLUMN()-1,4))</f>
        <v>28800</v>
      </c>
    </row>
    <row r="782" spans="1:10" ht="14.25" customHeight="1" x14ac:dyDescent="0.35">
      <c r="A782" s="39" t="s">
        <v>12458</v>
      </c>
      <c r="B782" s="40" t="str">
        <f ca="1">IFERROR(INDEX(UNSPSCDes,MATCH(INDIRECT(ADDRESS(ROW(),COLUMN()-1,4)),UNSPSCCode,0)),IF(INDIRECT(ADDRESS(ROW(),COLUMN()-1,4))="81112501","Servicio de licencias de programas informáticos",""))</f>
        <v>Servicio de licencias de programas informáticos</v>
      </c>
      <c r="C782" s="72" t="str">
        <f>IFERROR(VLOOKUP("UD",'Informacion '!P:Q,2,FALSE),"")</f>
        <v>Unidad</v>
      </c>
      <c r="D782" s="39">
        <v>1</v>
      </c>
      <c r="E782" s="42">
        <v>285000</v>
      </c>
      <c r="F782" s="41">
        <f ca="1">INDIRECT(ADDRESS(ROW(),COLUMN()-2,4))*INDIRECT(ADDRESS(ROW(),COLUMN()-1,4))</f>
        <v>285000</v>
      </c>
    </row>
    <row r="783" spans="1:10" ht="14.25" customHeight="1" x14ac:dyDescent="0.35">
      <c r="E783" s="44" t="s">
        <v>13122</v>
      </c>
      <c r="F783" s="45">
        <f ca="1">SUM(Table49[MONTO TOTAL ESTIMADO])</f>
        <v>1713800</v>
      </c>
      <c r="H783" s="24" t="str">
        <f>C773</f>
        <v>Servicios</v>
      </c>
      <c r="I783" s="24" t="str">
        <f>E773</f>
        <v>No</v>
      </c>
      <c r="J783" s="24" t="str">
        <f>D773</f>
        <v>Comparacion de Precios</v>
      </c>
    </row>
    <row r="785" spans="1:10" ht="34" customHeight="1" x14ac:dyDescent="0.35">
      <c r="A785" s="36" t="s">
        <v>17105</v>
      </c>
      <c r="B785" s="36" t="s">
        <v>167</v>
      </c>
      <c r="C785" s="36" t="s">
        <v>12252</v>
      </c>
      <c r="D785" s="36" t="s">
        <v>15021</v>
      </c>
      <c r="E785" s="36" t="s">
        <v>11455</v>
      </c>
      <c r="F785" s="36" t="s">
        <v>11595</v>
      </c>
    </row>
    <row r="786" spans="1:10" ht="14.25" customHeight="1" x14ac:dyDescent="0.35">
      <c r="A786" s="37" t="s">
        <v>4067</v>
      </c>
      <c r="B786" s="37" t="s">
        <v>4067</v>
      </c>
      <c r="C786" s="37" t="s">
        <v>7109</v>
      </c>
      <c r="D786" s="37" t="s">
        <v>1950</v>
      </c>
      <c r="E786" s="37" t="s">
        <v>18646</v>
      </c>
      <c r="F786" s="37" t="s">
        <v>7088</v>
      </c>
    </row>
    <row r="787" spans="1:10" ht="14.25" customHeight="1" x14ac:dyDescent="0.35">
      <c r="A787" s="75" t="s">
        <v>15490</v>
      </c>
      <c r="B787" s="38" t="s">
        <v>8918</v>
      </c>
      <c r="C787" s="68">
        <v>45474</v>
      </c>
      <c r="D787" s="75" t="s">
        <v>9819</v>
      </c>
      <c r="E787" s="70" t="s">
        <v>13683</v>
      </c>
      <c r="F787" s="71" t="s">
        <v>3205</v>
      </c>
    </row>
    <row r="788" spans="1:10" ht="14.25" customHeight="1" x14ac:dyDescent="0.35">
      <c r="A788" s="76"/>
      <c r="B788" s="38" t="s">
        <v>1858</v>
      </c>
      <c r="C788" s="69">
        <f>IF(C787="","",IF(AND(MONTH(C787)&gt;=1,MONTH(C787)&lt;=3),1,IF(AND(MONTH(C787)&gt;=4,MONTH(C787)&lt;=6),2,IF(AND(MONTH(C787)&gt;=7,MONTH(C787)&lt;=9),3,4))))</f>
        <v>3</v>
      </c>
      <c r="D788" s="76"/>
      <c r="E788" s="70" t="s">
        <v>2509</v>
      </c>
      <c r="F788" s="71" t="s">
        <v>11612</v>
      </c>
    </row>
    <row r="789" spans="1:10" ht="14.25" customHeight="1" x14ac:dyDescent="0.35">
      <c r="A789" s="76"/>
      <c r="B789" s="38" t="s">
        <v>13526</v>
      </c>
      <c r="C789" s="68">
        <v>45565</v>
      </c>
      <c r="D789" s="76"/>
      <c r="E789" s="70" t="s">
        <v>3198</v>
      </c>
      <c r="F789" s="71" t="s">
        <v>11612</v>
      </c>
    </row>
    <row r="790" spans="1:10" ht="14.25" customHeight="1" x14ac:dyDescent="0.35">
      <c r="A790" s="76"/>
      <c r="B790" s="38" t="s">
        <v>1858</v>
      </c>
      <c r="C790" s="69">
        <f>IF(C789="","",IF(AND(MONTH(C789)&gt;=1,MONTH(C789)&lt;=3),1,IF(AND(MONTH(C789)&gt;=4,MONTH(C789)&lt;=6),2,IF(AND(MONTH(C789)&gt;=7,MONTH(C789)&lt;=9),3,4))))</f>
        <v>3</v>
      </c>
      <c r="D790" s="76"/>
      <c r="E790" s="70" t="s">
        <v>13785</v>
      </c>
      <c r="F790" s="71"/>
    </row>
    <row r="792" spans="1:10" ht="14.25" customHeight="1" x14ac:dyDescent="0.35">
      <c r="A792" s="43" t="s">
        <v>16424</v>
      </c>
      <c r="B792" s="43" t="s">
        <v>16856</v>
      </c>
      <c r="C792" s="43" t="s">
        <v>16326</v>
      </c>
      <c r="D792" s="43" t="s">
        <v>15925</v>
      </c>
      <c r="E792" s="43" t="s">
        <v>7248</v>
      </c>
      <c r="F792" s="43" t="s">
        <v>15955</v>
      </c>
    </row>
    <row r="793" spans="1:10" ht="14.25" customHeight="1" x14ac:dyDescent="0.35">
      <c r="A793" s="39" t="s">
        <v>12458</v>
      </c>
      <c r="B793" s="40" t="str">
        <f ca="1">IFERROR(INDEX(UNSPSCDes,MATCH(INDIRECT(ADDRESS(ROW(),COLUMN()-1,4)),UNSPSCCode,0)),IF(INDIRECT(ADDRESS(ROW(),COLUMN()-1,4))="81112501","Servicio de licencias de programas informáticos",""))</f>
        <v>Servicio de licencias de programas informáticos</v>
      </c>
      <c r="C793" s="72" t="str">
        <f>IFERROR(VLOOKUP("UD",'Informacion '!P:Q,2,FALSE),"")</f>
        <v>Unidad</v>
      </c>
      <c r="D793" s="39">
        <v>1</v>
      </c>
      <c r="E793" s="42">
        <v>3825079</v>
      </c>
      <c r="F793" s="41">
        <f ca="1">INDIRECT(ADDRESS(ROW(),COLUMN()-2,4))*INDIRECT(ADDRESS(ROW(),COLUMN()-1,4))</f>
        <v>3825079</v>
      </c>
    </row>
    <row r="794" spans="1:10" ht="14.25" customHeight="1" x14ac:dyDescent="0.35">
      <c r="A794" s="39" t="s">
        <v>12458</v>
      </c>
      <c r="B794" s="40" t="str">
        <f ca="1">IFERROR(INDEX(UNSPSCDes,MATCH(INDIRECT(ADDRESS(ROW(),COLUMN()-1,4)),UNSPSCCode,0)),IF(INDIRECT(ADDRESS(ROW(),COLUMN()-1,4))="81112501","Servicio de licencias de programas informáticos",""))</f>
        <v>Servicio de licencias de programas informáticos</v>
      </c>
      <c r="C794" s="72" t="str">
        <f>IFERROR(VLOOKUP("UD",'Informacion '!P:Q,2,FALSE),"")</f>
        <v>Unidad</v>
      </c>
      <c r="D794" s="39">
        <v>10</v>
      </c>
      <c r="E794" s="42">
        <v>62000</v>
      </c>
      <c r="F794" s="41">
        <f ca="1">INDIRECT(ADDRESS(ROW(),COLUMN()-2,4))*INDIRECT(ADDRESS(ROW(),COLUMN()-1,4))</f>
        <v>620000</v>
      </c>
    </row>
    <row r="795" spans="1:10" ht="14.25" customHeight="1" x14ac:dyDescent="0.35">
      <c r="A795" s="39" t="s">
        <v>12458</v>
      </c>
      <c r="B795" s="40" t="str">
        <f ca="1">IFERROR(INDEX(UNSPSCDes,MATCH(INDIRECT(ADDRESS(ROW(),COLUMN()-1,4)),UNSPSCCode,0)),IF(INDIRECT(ADDRESS(ROW(),COLUMN()-1,4))="81112501","Servicio de licencias de programas informáticos",""))</f>
        <v>Servicio de licencias de programas informáticos</v>
      </c>
      <c r="C795" s="72" t="str">
        <f>IFERROR(VLOOKUP("UD",'Informacion '!P:Q,2,FALSE),"")</f>
        <v>Unidad</v>
      </c>
      <c r="D795" s="39">
        <v>20</v>
      </c>
      <c r="E795" s="42">
        <v>26500</v>
      </c>
      <c r="F795" s="41">
        <f ca="1">INDIRECT(ADDRESS(ROW(),COLUMN()-2,4))*INDIRECT(ADDRESS(ROW(),COLUMN()-1,4))</f>
        <v>530000</v>
      </c>
    </row>
    <row r="796" spans="1:10" ht="14.25" customHeight="1" x14ac:dyDescent="0.35">
      <c r="E796" s="44" t="s">
        <v>13122</v>
      </c>
      <c r="F796" s="45">
        <f ca="1">SUM(Table50[MONTO TOTAL ESTIMADO])</f>
        <v>4975079</v>
      </c>
      <c r="H796" s="24" t="str">
        <f>C786</f>
        <v>Servicios</v>
      </c>
      <c r="I796" s="24" t="str">
        <f>E786</f>
        <v>No</v>
      </c>
      <c r="J796" s="24" t="str">
        <f>D786</f>
        <v>Comparacion de Precios</v>
      </c>
    </row>
    <row r="798" spans="1:10" ht="34" customHeight="1" x14ac:dyDescent="0.35">
      <c r="A798" s="36" t="s">
        <v>17105</v>
      </c>
      <c r="B798" s="36" t="s">
        <v>167</v>
      </c>
      <c r="C798" s="36" t="s">
        <v>12252</v>
      </c>
      <c r="D798" s="36" t="s">
        <v>15021</v>
      </c>
      <c r="E798" s="36" t="s">
        <v>11455</v>
      </c>
      <c r="F798" s="36" t="s">
        <v>11595</v>
      </c>
    </row>
    <row r="799" spans="1:10" ht="14.25" customHeight="1" x14ac:dyDescent="0.35">
      <c r="A799" s="37" t="s">
        <v>1780</v>
      </c>
      <c r="B799" s="37" t="s">
        <v>1780</v>
      </c>
      <c r="C799" s="37" t="s">
        <v>7109</v>
      </c>
      <c r="D799" s="37" t="s">
        <v>1950</v>
      </c>
      <c r="E799" s="37" t="s">
        <v>18646</v>
      </c>
      <c r="F799" s="37" t="s">
        <v>7088</v>
      </c>
    </row>
    <row r="800" spans="1:10" ht="14.25" customHeight="1" x14ac:dyDescent="0.35">
      <c r="A800" s="75" t="s">
        <v>15490</v>
      </c>
      <c r="B800" s="38" t="s">
        <v>8918</v>
      </c>
      <c r="C800" s="68">
        <v>45383</v>
      </c>
      <c r="D800" s="75" t="s">
        <v>9819</v>
      </c>
      <c r="E800" s="70" t="s">
        <v>13683</v>
      </c>
      <c r="F800" s="71" t="s">
        <v>3205</v>
      </c>
    </row>
    <row r="801" spans="1:10" ht="14.25" customHeight="1" x14ac:dyDescent="0.35">
      <c r="A801" s="76"/>
      <c r="B801" s="38" t="s">
        <v>1858</v>
      </c>
      <c r="C801" s="69">
        <f>IF(C800="","",IF(AND(MONTH(C800)&gt;=1,MONTH(C800)&lt;=3),1,IF(AND(MONTH(C800)&gt;=4,MONTH(C800)&lt;=6),2,IF(AND(MONTH(C800)&gt;=7,MONTH(C800)&lt;=9),3,4))))</f>
        <v>2</v>
      </c>
      <c r="D801" s="76"/>
      <c r="E801" s="70" t="s">
        <v>2509</v>
      </c>
      <c r="F801" s="71" t="s">
        <v>11612</v>
      </c>
    </row>
    <row r="802" spans="1:10" ht="14.25" customHeight="1" x14ac:dyDescent="0.35">
      <c r="A802" s="76"/>
      <c r="B802" s="38" t="s">
        <v>13526</v>
      </c>
      <c r="C802" s="68">
        <v>45471</v>
      </c>
      <c r="D802" s="76"/>
      <c r="E802" s="70" t="s">
        <v>3198</v>
      </c>
      <c r="F802" s="71" t="s">
        <v>11612</v>
      </c>
    </row>
    <row r="803" spans="1:10" ht="14.25" customHeight="1" x14ac:dyDescent="0.35">
      <c r="A803" s="76"/>
      <c r="B803" s="38" t="s">
        <v>1858</v>
      </c>
      <c r="C803" s="69">
        <f>IF(C802="","",IF(AND(MONTH(C802)&gt;=1,MONTH(C802)&lt;=3),1,IF(AND(MONTH(C802)&gt;=4,MONTH(C802)&lt;=6),2,IF(AND(MONTH(C802)&gt;=7,MONTH(C802)&lt;=9),3,4))))</f>
        <v>2</v>
      </c>
      <c r="D803" s="76"/>
      <c r="E803" s="70" t="s">
        <v>13785</v>
      </c>
      <c r="F803" s="71"/>
    </row>
    <row r="805" spans="1:10" ht="14.25" customHeight="1" x14ac:dyDescent="0.35">
      <c r="A805" s="43" t="s">
        <v>16424</v>
      </c>
      <c r="B805" s="43" t="s">
        <v>16856</v>
      </c>
      <c r="C805" s="43" t="s">
        <v>16326</v>
      </c>
      <c r="D805" s="43" t="s">
        <v>15925</v>
      </c>
      <c r="E805" s="43" t="s">
        <v>7248</v>
      </c>
      <c r="F805" s="43" t="s">
        <v>15955</v>
      </c>
    </row>
    <row r="806" spans="1:10" ht="14.25" customHeight="1" x14ac:dyDescent="0.35">
      <c r="A806" s="39" t="s">
        <v>12458</v>
      </c>
      <c r="B806" s="40" t="str">
        <f ca="1">IFERROR(INDEX(UNSPSCDes,MATCH(INDIRECT(ADDRESS(ROW(),COLUMN()-1,4)),UNSPSCCode,0)),IF(INDIRECT(ADDRESS(ROW(),COLUMN()-1,4))="81112501","Servicio de licencias de programas informáticos",""))</f>
        <v>Servicio de licencias de programas informáticos</v>
      </c>
      <c r="C806" s="72" t="str">
        <f>IFERROR(VLOOKUP("UD",'Informacion '!P:Q,2,FALSE),"")</f>
        <v>Unidad</v>
      </c>
      <c r="D806" s="39">
        <v>1</v>
      </c>
      <c r="E806" s="42">
        <v>4953000</v>
      </c>
      <c r="F806" s="41">
        <f ca="1">INDIRECT(ADDRESS(ROW(),COLUMN()-2,4))*INDIRECT(ADDRESS(ROW(),COLUMN()-1,4))</f>
        <v>4953000</v>
      </c>
    </row>
    <row r="807" spans="1:10" ht="14.25" customHeight="1" x14ac:dyDescent="0.35">
      <c r="E807" s="44" t="s">
        <v>13122</v>
      </c>
      <c r="F807" s="45">
        <f ca="1">SUM(Table51[MONTO TOTAL ESTIMADO])</f>
        <v>4953000</v>
      </c>
      <c r="H807" s="24" t="str">
        <f>C799</f>
        <v>Servicios</v>
      </c>
      <c r="I807" s="24" t="str">
        <f>E799</f>
        <v>No</v>
      </c>
      <c r="J807" s="24" t="str">
        <f>D799</f>
        <v>Comparacion de Precios</v>
      </c>
    </row>
    <row r="809" spans="1:10" ht="34" customHeight="1" x14ac:dyDescent="0.35">
      <c r="A809" s="36" t="s">
        <v>17105</v>
      </c>
      <c r="B809" s="36" t="s">
        <v>167</v>
      </c>
      <c r="C809" s="36" t="s">
        <v>12252</v>
      </c>
      <c r="D809" s="36" t="s">
        <v>15021</v>
      </c>
      <c r="E809" s="36" t="s">
        <v>11455</v>
      </c>
      <c r="F809" s="36" t="s">
        <v>11595</v>
      </c>
    </row>
    <row r="810" spans="1:10" ht="14.25" customHeight="1" x14ac:dyDescent="0.35">
      <c r="A810" s="37" t="s">
        <v>9596</v>
      </c>
      <c r="B810" s="37" t="s">
        <v>9596</v>
      </c>
      <c r="C810" s="37" t="s">
        <v>7109</v>
      </c>
      <c r="D810" s="37" t="s">
        <v>7582</v>
      </c>
      <c r="E810" s="37" t="s">
        <v>18646</v>
      </c>
      <c r="F810" s="37" t="s">
        <v>7088</v>
      </c>
    </row>
    <row r="811" spans="1:10" ht="14.25" customHeight="1" x14ac:dyDescent="0.35">
      <c r="A811" s="75" t="s">
        <v>15490</v>
      </c>
      <c r="B811" s="38" t="s">
        <v>8918</v>
      </c>
      <c r="C811" s="68">
        <v>45383</v>
      </c>
      <c r="D811" s="75" t="s">
        <v>9819</v>
      </c>
      <c r="E811" s="70" t="s">
        <v>13683</v>
      </c>
      <c r="F811" s="71" t="s">
        <v>3205</v>
      </c>
    </row>
    <row r="812" spans="1:10" ht="14.25" customHeight="1" x14ac:dyDescent="0.35">
      <c r="A812" s="76"/>
      <c r="B812" s="38" t="s">
        <v>1858</v>
      </c>
      <c r="C812" s="69">
        <f>IF(C811="","",IF(AND(MONTH(C811)&gt;=1,MONTH(C811)&lt;=3),1,IF(AND(MONTH(C811)&gt;=4,MONTH(C811)&lt;=6),2,IF(AND(MONTH(C811)&gt;=7,MONTH(C811)&lt;=9),3,4))))</f>
        <v>2</v>
      </c>
      <c r="D812" s="76"/>
      <c r="E812" s="70" t="s">
        <v>2509</v>
      </c>
      <c r="F812" s="71" t="s">
        <v>11612</v>
      </c>
    </row>
    <row r="813" spans="1:10" ht="14.25" customHeight="1" x14ac:dyDescent="0.35">
      <c r="A813" s="76"/>
      <c r="B813" s="38" t="s">
        <v>13526</v>
      </c>
      <c r="C813" s="68">
        <v>45471</v>
      </c>
      <c r="D813" s="76"/>
      <c r="E813" s="70" t="s">
        <v>3198</v>
      </c>
      <c r="F813" s="71" t="s">
        <v>11612</v>
      </c>
    </row>
    <row r="814" spans="1:10" ht="14.25" customHeight="1" x14ac:dyDescent="0.35">
      <c r="A814" s="76"/>
      <c r="B814" s="38" t="s">
        <v>1858</v>
      </c>
      <c r="C814" s="69">
        <f>IF(C813="","",IF(AND(MONTH(C813)&gt;=1,MONTH(C813)&lt;=3),1,IF(AND(MONTH(C813)&gt;=4,MONTH(C813)&lt;=6),2,IF(AND(MONTH(C813)&gt;=7,MONTH(C813)&lt;=9),3,4))))</f>
        <v>2</v>
      </c>
      <c r="D814" s="76"/>
      <c r="E814" s="70" t="s">
        <v>13785</v>
      </c>
      <c r="F814" s="71"/>
    </row>
    <row r="816" spans="1:10" ht="14.25" customHeight="1" x14ac:dyDescent="0.35">
      <c r="A816" s="43" t="s">
        <v>16424</v>
      </c>
      <c r="B816" s="43" t="s">
        <v>16856</v>
      </c>
      <c r="C816" s="43" t="s">
        <v>16326</v>
      </c>
      <c r="D816" s="43" t="s">
        <v>15925</v>
      </c>
      <c r="E816" s="43" t="s">
        <v>7248</v>
      </c>
      <c r="F816" s="43" t="s">
        <v>15955</v>
      </c>
    </row>
    <row r="817" spans="1:10" ht="14.25" customHeight="1" x14ac:dyDescent="0.35">
      <c r="A817" s="39" t="s">
        <v>12458</v>
      </c>
      <c r="B817" s="40" t="str">
        <f ca="1">IFERROR(INDEX(UNSPSCDes,MATCH(INDIRECT(ADDRESS(ROW(),COLUMN()-1,4)),UNSPSCCode,0)),IF(INDIRECT(ADDRESS(ROW(),COLUMN()-1,4))="81112501","Servicio de licencias de programas informáticos",""))</f>
        <v>Servicio de licencias de programas informáticos</v>
      </c>
      <c r="C817" s="72" t="str">
        <f>IFERROR(VLOOKUP("UD",'Informacion '!P:Q,2,FALSE),"")</f>
        <v>Unidad</v>
      </c>
      <c r="D817" s="39">
        <v>1</v>
      </c>
      <c r="E817" s="42">
        <v>3000000</v>
      </c>
      <c r="F817" s="41">
        <f ca="1">INDIRECT(ADDRESS(ROW(),COLUMN()-2,4))*INDIRECT(ADDRESS(ROW(),COLUMN()-1,4))</f>
        <v>3000000</v>
      </c>
    </row>
    <row r="818" spans="1:10" ht="14.25" customHeight="1" x14ac:dyDescent="0.35">
      <c r="E818" s="44" t="s">
        <v>13122</v>
      </c>
      <c r="F818" s="45">
        <f ca="1">SUM(Table52[MONTO TOTAL ESTIMADO])</f>
        <v>3000000</v>
      </c>
      <c r="H818" s="24" t="str">
        <f>C810</f>
        <v>Servicios</v>
      </c>
      <c r="I818" s="24" t="str">
        <f>E810</f>
        <v>No</v>
      </c>
      <c r="J818" s="24" t="str">
        <f>D810</f>
        <v>Excepción - Proveedor Único</v>
      </c>
    </row>
    <row r="820" spans="1:10" ht="34" customHeight="1" x14ac:dyDescent="0.35">
      <c r="A820" s="36" t="s">
        <v>17105</v>
      </c>
      <c r="B820" s="36" t="s">
        <v>167</v>
      </c>
      <c r="C820" s="36" t="s">
        <v>12252</v>
      </c>
      <c r="D820" s="36" t="s">
        <v>15021</v>
      </c>
      <c r="E820" s="36" t="s">
        <v>11455</v>
      </c>
      <c r="F820" s="36" t="s">
        <v>11595</v>
      </c>
    </row>
    <row r="821" spans="1:10" ht="14.25" customHeight="1" x14ac:dyDescent="0.35">
      <c r="A821" s="37" t="s">
        <v>15198</v>
      </c>
      <c r="B821" s="37" t="s">
        <v>15198</v>
      </c>
      <c r="C821" s="37" t="s">
        <v>7109</v>
      </c>
      <c r="D821" s="37" t="s">
        <v>1950</v>
      </c>
      <c r="E821" s="37" t="s">
        <v>18646</v>
      </c>
      <c r="F821" s="37" t="s">
        <v>7088</v>
      </c>
    </row>
    <row r="822" spans="1:10" ht="14.25" customHeight="1" x14ac:dyDescent="0.35">
      <c r="A822" s="75" t="s">
        <v>15490</v>
      </c>
      <c r="B822" s="38" t="s">
        <v>8918</v>
      </c>
      <c r="C822" s="68">
        <v>45474</v>
      </c>
      <c r="D822" s="75" t="s">
        <v>9819</v>
      </c>
      <c r="E822" s="70" t="s">
        <v>13683</v>
      </c>
      <c r="F822" s="71" t="s">
        <v>3205</v>
      </c>
    </row>
    <row r="823" spans="1:10" ht="14.25" customHeight="1" x14ac:dyDescent="0.35">
      <c r="A823" s="76"/>
      <c r="B823" s="38" t="s">
        <v>1858</v>
      </c>
      <c r="C823" s="69">
        <f>IF(C822="","",IF(AND(MONTH(C822)&gt;=1,MONTH(C822)&lt;=3),1,IF(AND(MONTH(C822)&gt;=4,MONTH(C822)&lt;=6),2,IF(AND(MONTH(C822)&gt;=7,MONTH(C822)&lt;=9),3,4))))</f>
        <v>3</v>
      </c>
      <c r="D823" s="76"/>
      <c r="E823" s="70" t="s">
        <v>2509</v>
      </c>
      <c r="F823" s="71" t="s">
        <v>11612</v>
      </c>
    </row>
    <row r="824" spans="1:10" ht="14.25" customHeight="1" x14ac:dyDescent="0.35">
      <c r="A824" s="76"/>
      <c r="B824" s="38" t="s">
        <v>13526</v>
      </c>
      <c r="C824" s="68">
        <v>45565</v>
      </c>
      <c r="D824" s="76"/>
      <c r="E824" s="70" t="s">
        <v>3198</v>
      </c>
      <c r="F824" s="71" t="s">
        <v>11612</v>
      </c>
    </row>
    <row r="825" spans="1:10" ht="14.25" customHeight="1" x14ac:dyDescent="0.35">
      <c r="A825" s="76"/>
      <c r="B825" s="38" t="s">
        <v>1858</v>
      </c>
      <c r="C825" s="69">
        <f>IF(C824="","",IF(AND(MONTH(C824)&gt;=1,MONTH(C824)&lt;=3),1,IF(AND(MONTH(C824)&gt;=4,MONTH(C824)&lt;=6),2,IF(AND(MONTH(C824)&gt;=7,MONTH(C824)&lt;=9),3,4))))</f>
        <v>3</v>
      </c>
      <c r="D825" s="76"/>
      <c r="E825" s="70" t="s">
        <v>13785</v>
      </c>
      <c r="F825" s="71"/>
    </row>
    <row r="827" spans="1:10" ht="14.25" customHeight="1" x14ac:dyDescent="0.35">
      <c r="A827" s="43" t="s">
        <v>16424</v>
      </c>
      <c r="B827" s="43" t="s">
        <v>16856</v>
      </c>
      <c r="C827" s="43" t="s">
        <v>16326</v>
      </c>
      <c r="D827" s="43" t="s">
        <v>15925</v>
      </c>
      <c r="E827" s="43" t="s">
        <v>7248</v>
      </c>
      <c r="F827" s="43" t="s">
        <v>15955</v>
      </c>
    </row>
    <row r="828" spans="1:10" ht="14.25" customHeight="1" x14ac:dyDescent="0.35">
      <c r="A828" s="39" t="s">
        <v>12458</v>
      </c>
      <c r="B828" s="40" t="str">
        <f ca="1">IFERROR(INDEX(UNSPSCDes,MATCH(INDIRECT(ADDRESS(ROW(),COLUMN()-1,4)),UNSPSCCode,0)),IF(INDIRECT(ADDRESS(ROW(),COLUMN()-1,4))="81112501","Servicio de licencias de programas informáticos",""))</f>
        <v>Servicio de licencias de programas informáticos</v>
      </c>
      <c r="C828" s="72" t="str">
        <f>IFERROR(VLOOKUP("UD",'Informacion '!P:Q,2,FALSE),"")</f>
        <v>Unidad</v>
      </c>
      <c r="D828" s="39">
        <v>1</v>
      </c>
      <c r="E828" s="42">
        <v>3654253</v>
      </c>
      <c r="F828" s="41">
        <f ca="1">INDIRECT(ADDRESS(ROW(),COLUMN()-2,4))*INDIRECT(ADDRESS(ROW(),COLUMN()-1,4))</f>
        <v>3654253</v>
      </c>
    </row>
    <row r="829" spans="1:10" ht="14.25" customHeight="1" x14ac:dyDescent="0.35">
      <c r="A829" s="39" t="s">
        <v>12458</v>
      </c>
      <c r="B829" s="40" t="str">
        <f ca="1">IFERROR(INDEX(UNSPSCDes,MATCH(INDIRECT(ADDRESS(ROW(),COLUMN()-1,4)),UNSPSCCode,0)),IF(INDIRECT(ADDRESS(ROW(),COLUMN()-1,4))="81112501","Servicio de licencias de programas informáticos",""))</f>
        <v>Servicio de licencias de programas informáticos</v>
      </c>
      <c r="C829" s="72" t="str">
        <f>IFERROR(VLOOKUP("UD",'Informacion '!P:Q,2,FALSE),"")</f>
        <v>Unidad</v>
      </c>
      <c r="D829" s="39">
        <v>40</v>
      </c>
      <c r="E829" s="42">
        <v>17000</v>
      </c>
      <c r="F829" s="41">
        <f ca="1">INDIRECT(ADDRESS(ROW(),COLUMN()-2,4))*INDIRECT(ADDRESS(ROW(),COLUMN()-1,4))</f>
        <v>680000</v>
      </c>
    </row>
    <row r="830" spans="1:10" ht="14.25" customHeight="1" x14ac:dyDescent="0.35">
      <c r="A830" s="39" t="s">
        <v>12458</v>
      </c>
      <c r="B830" s="40" t="str">
        <f ca="1">IFERROR(INDEX(UNSPSCDes,MATCH(INDIRECT(ADDRESS(ROW(),COLUMN()-1,4)),UNSPSCCode,0)),IF(INDIRECT(ADDRESS(ROW(),COLUMN()-1,4))="81112501","Servicio de licencias de programas informáticos",""))</f>
        <v>Servicio de licencias de programas informáticos</v>
      </c>
      <c r="C830" s="72" t="str">
        <f>IFERROR(VLOOKUP("UD",'Informacion '!P:Q,2,FALSE),"")</f>
        <v>Unidad</v>
      </c>
      <c r="D830" s="39">
        <v>3</v>
      </c>
      <c r="E830" s="42">
        <v>10000</v>
      </c>
      <c r="F830" s="41">
        <f ca="1">INDIRECT(ADDRESS(ROW(),COLUMN()-2,4))*INDIRECT(ADDRESS(ROW(),COLUMN()-1,4))</f>
        <v>30000</v>
      </c>
    </row>
    <row r="831" spans="1:10" ht="14.25" customHeight="1" x14ac:dyDescent="0.35">
      <c r="E831" s="44" t="s">
        <v>13122</v>
      </c>
      <c r="F831" s="45">
        <f ca="1">SUM(Table53[MONTO TOTAL ESTIMADO])</f>
        <v>4364253</v>
      </c>
      <c r="H831" s="24" t="str">
        <f>C821</f>
        <v>Servicios</v>
      </c>
      <c r="I831" s="24" t="str">
        <f>E821</f>
        <v>No</v>
      </c>
      <c r="J831" s="24" t="str">
        <f>D821</f>
        <v>Comparacion de Precios</v>
      </c>
    </row>
    <row r="833" spans="1:10" ht="34" customHeight="1" x14ac:dyDescent="0.35">
      <c r="A833" s="36" t="s">
        <v>17105</v>
      </c>
      <c r="B833" s="36" t="s">
        <v>167</v>
      </c>
      <c r="C833" s="36" t="s">
        <v>12252</v>
      </c>
      <c r="D833" s="36" t="s">
        <v>15021</v>
      </c>
      <c r="E833" s="36" t="s">
        <v>11455</v>
      </c>
      <c r="F833" s="36" t="s">
        <v>11595</v>
      </c>
    </row>
    <row r="834" spans="1:10" ht="14.25" customHeight="1" x14ac:dyDescent="0.35">
      <c r="A834" s="37" t="s">
        <v>5154</v>
      </c>
      <c r="B834" s="37" t="s">
        <v>5154</v>
      </c>
      <c r="C834" s="37" t="s">
        <v>18585</v>
      </c>
      <c r="D834" s="37" t="s">
        <v>10634</v>
      </c>
      <c r="E834" s="37" t="s">
        <v>9261</v>
      </c>
      <c r="F834" s="37" t="s">
        <v>7088</v>
      </c>
    </row>
    <row r="835" spans="1:10" ht="14.25" customHeight="1" x14ac:dyDescent="0.35">
      <c r="A835" s="75" t="s">
        <v>15490</v>
      </c>
      <c r="B835" s="38" t="s">
        <v>8918</v>
      </c>
      <c r="C835" s="68">
        <v>45383</v>
      </c>
      <c r="D835" s="75" t="s">
        <v>9819</v>
      </c>
      <c r="E835" s="70" t="s">
        <v>13683</v>
      </c>
      <c r="F835" s="71" t="s">
        <v>3205</v>
      </c>
    </row>
    <row r="836" spans="1:10" ht="14.25" customHeight="1" x14ac:dyDescent="0.35">
      <c r="A836" s="76"/>
      <c r="B836" s="38" t="s">
        <v>1858</v>
      </c>
      <c r="C836" s="69">
        <f>IF(C835="","",IF(AND(MONTH(C835)&gt;=1,MONTH(C835)&lt;=3),1,IF(AND(MONTH(C835)&gt;=4,MONTH(C835)&lt;=6),2,IF(AND(MONTH(C835)&gt;=7,MONTH(C835)&lt;=9),3,4))))</f>
        <v>2</v>
      </c>
      <c r="D836" s="76"/>
      <c r="E836" s="70" t="s">
        <v>2509</v>
      </c>
      <c r="F836" s="71" t="s">
        <v>11612</v>
      </c>
    </row>
    <row r="837" spans="1:10" ht="14.25" customHeight="1" x14ac:dyDescent="0.35">
      <c r="A837" s="76"/>
      <c r="B837" s="38" t="s">
        <v>13526</v>
      </c>
      <c r="C837" s="68">
        <v>45471</v>
      </c>
      <c r="D837" s="76"/>
      <c r="E837" s="70" t="s">
        <v>3198</v>
      </c>
      <c r="F837" s="71" t="s">
        <v>11612</v>
      </c>
    </row>
    <row r="838" spans="1:10" ht="14.25" customHeight="1" x14ac:dyDescent="0.35">
      <c r="A838" s="76"/>
      <c r="B838" s="38" t="s">
        <v>1858</v>
      </c>
      <c r="C838" s="69">
        <f>IF(C837="","",IF(AND(MONTH(C837)&gt;=1,MONTH(C837)&lt;=3),1,IF(AND(MONTH(C837)&gt;=4,MONTH(C837)&lt;=6),2,IF(AND(MONTH(C837)&gt;=7,MONTH(C837)&lt;=9),3,4))))</f>
        <v>2</v>
      </c>
      <c r="D838" s="76"/>
      <c r="E838" s="70" t="s">
        <v>13785</v>
      </c>
      <c r="F838" s="71"/>
    </row>
    <row r="840" spans="1:10" ht="14.25" customHeight="1" x14ac:dyDescent="0.35">
      <c r="A840" s="43" t="s">
        <v>16424</v>
      </c>
      <c r="B840" s="43" t="s">
        <v>16856</v>
      </c>
      <c r="C840" s="43" t="s">
        <v>16326</v>
      </c>
      <c r="D840" s="43" t="s">
        <v>15925</v>
      </c>
      <c r="E840" s="43" t="s">
        <v>7248</v>
      </c>
      <c r="F840" s="43" t="s">
        <v>15955</v>
      </c>
    </row>
    <row r="841" spans="1:10" ht="14.25" customHeight="1" x14ac:dyDescent="0.35">
      <c r="A841" s="39" t="s">
        <v>7835</v>
      </c>
      <c r="B841" s="40" t="str">
        <f ca="1">IFERROR(INDEX(UNSPSCDes,MATCH(INDIRECT(ADDRESS(ROW(),COLUMN()-1,4)),UNSPSCCode,0)),IF(INDIRECT(ADDRESS(ROW(),COLUMN()-1,4))="24131501","Refrigerador y congelador combinado",""))</f>
        <v>Refrigerador y congelador combinado</v>
      </c>
      <c r="C841" s="72" t="str">
        <f>IFERROR(VLOOKUP("UD",'Informacion '!P:Q,2,FALSE),"")</f>
        <v>Unidad</v>
      </c>
      <c r="D841" s="39">
        <v>1</v>
      </c>
      <c r="E841" s="42">
        <v>12921</v>
      </c>
      <c r="F841" s="41">
        <f ca="1">INDIRECT(ADDRESS(ROW(),COLUMN()-2,4))*INDIRECT(ADDRESS(ROW(),COLUMN()-1,4))</f>
        <v>12921</v>
      </c>
    </row>
    <row r="842" spans="1:10" ht="14.25" customHeight="1" x14ac:dyDescent="0.35">
      <c r="E842" s="44" t="s">
        <v>13122</v>
      </c>
      <c r="F842" s="45">
        <f ca="1">SUM(Table54[MONTO TOTAL ESTIMADO])</f>
        <v>12921</v>
      </c>
      <c r="H842" s="24" t="str">
        <f>C834</f>
        <v>Bienes</v>
      </c>
      <c r="I842" s="24" t="str">
        <f>E834</f>
        <v>Sí</v>
      </c>
      <c r="J842" s="24" t="str">
        <f>D834</f>
        <v>Compras por debajo del Umbral</v>
      </c>
    </row>
    <row r="844" spans="1:10" ht="34" customHeight="1" x14ac:dyDescent="0.35">
      <c r="A844" s="36" t="s">
        <v>17105</v>
      </c>
      <c r="B844" s="36" t="s">
        <v>167</v>
      </c>
      <c r="C844" s="36" t="s">
        <v>12252</v>
      </c>
      <c r="D844" s="36" t="s">
        <v>15021</v>
      </c>
      <c r="E844" s="36" t="s">
        <v>11455</v>
      </c>
      <c r="F844" s="36" t="s">
        <v>11595</v>
      </c>
    </row>
    <row r="845" spans="1:10" ht="14.25" customHeight="1" x14ac:dyDescent="0.35">
      <c r="A845" s="37" t="s">
        <v>127</v>
      </c>
      <c r="B845" s="37" t="s">
        <v>127</v>
      </c>
      <c r="C845" s="37" t="s">
        <v>18585</v>
      </c>
      <c r="D845" s="37" t="s">
        <v>2615</v>
      </c>
      <c r="E845" s="37" t="s">
        <v>18646</v>
      </c>
      <c r="F845" s="37" t="s">
        <v>7088</v>
      </c>
    </row>
    <row r="846" spans="1:10" ht="14.25" customHeight="1" x14ac:dyDescent="0.35">
      <c r="A846" s="75" t="s">
        <v>15490</v>
      </c>
      <c r="B846" s="38" t="s">
        <v>8918</v>
      </c>
      <c r="C846" s="68">
        <v>45334</v>
      </c>
      <c r="D846" s="75" t="s">
        <v>9819</v>
      </c>
      <c r="E846" s="70" t="s">
        <v>13683</v>
      </c>
      <c r="F846" s="71" t="s">
        <v>3205</v>
      </c>
    </row>
    <row r="847" spans="1:10" ht="14.25" customHeight="1" x14ac:dyDescent="0.35">
      <c r="A847" s="76"/>
      <c r="B847" s="38" t="s">
        <v>1858</v>
      </c>
      <c r="C847" s="69">
        <f>IF(C846="","",IF(AND(MONTH(C846)&gt;=1,MONTH(C846)&lt;=3),1,IF(AND(MONTH(C846)&gt;=4,MONTH(C846)&lt;=6),2,IF(AND(MONTH(C846)&gt;=7,MONTH(C846)&lt;=9),3,4))))</f>
        <v>1</v>
      </c>
      <c r="D847" s="76"/>
      <c r="E847" s="70" t="s">
        <v>2509</v>
      </c>
      <c r="F847" s="71" t="s">
        <v>11612</v>
      </c>
    </row>
    <row r="848" spans="1:10" ht="14.25" customHeight="1" x14ac:dyDescent="0.35">
      <c r="A848" s="76"/>
      <c r="B848" s="38" t="s">
        <v>13526</v>
      </c>
      <c r="C848" s="68">
        <v>45378</v>
      </c>
      <c r="D848" s="76"/>
      <c r="E848" s="70" t="s">
        <v>3198</v>
      </c>
      <c r="F848" s="71" t="s">
        <v>11612</v>
      </c>
    </row>
    <row r="849" spans="1:6" ht="14.25" customHeight="1" x14ac:dyDescent="0.35">
      <c r="A849" s="76"/>
      <c r="B849" s="38" t="s">
        <v>1858</v>
      </c>
      <c r="C849" s="69">
        <f>IF(C848="","",IF(AND(MONTH(C848)&gt;=1,MONTH(C848)&lt;=3),1,IF(AND(MONTH(C848)&gt;=4,MONTH(C848)&lt;=6),2,IF(AND(MONTH(C848)&gt;=7,MONTH(C848)&lt;=9),3,4))))</f>
        <v>1</v>
      </c>
      <c r="D849" s="76"/>
      <c r="E849" s="70" t="s">
        <v>13785</v>
      </c>
      <c r="F849" s="71"/>
    </row>
    <row r="851" spans="1:6" ht="14.25" customHeight="1" x14ac:dyDescent="0.35">
      <c r="A851" s="43" t="s">
        <v>16424</v>
      </c>
      <c r="B851" s="43" t="s">
        <v>16856</v>
      </c>
      <c r="C851" s="43" t="s">
        <v>16326</v>
      </c>
      <c r="D851" s="43" t="s">
        <v>15925</v>
      </c>
      <c r="E851" s="43" t="s">
        <v>7248</v>
      </c>
      <c r="F851" s="43" t="s">
        <v>15955</v>
      </c>
    </row>
    <row r="852" spans="1:6" ht="14.25" customHeight="1" x14ac:dyDescent="0.35">
      <c r="A852" s="39" t="s">
        <v>11685</v>
      </c>
      <c r="B852" s="40" t="str">
        <f t="shared" ref="B852:B864" ca="1" si="33">IFERROR(INDEX(UNSPSCDes,MATCH(INDIRECT(ADDRESS(ROW(),COLUMN()-1,4)),UNSPSCCode,0)),IF(INDIRECT(ADDRESS(ROW(),COLUMN()-1,4))="24141705","Tubos plegables",""))</f>
        <v>Tubos plegables</v>
      </c>
      <c r="C852" s="72" t="str">
        <f>IFERROR(VLOOKUP("UD",'Informacion '!P:Q,2,FALSE),"")</f>
        <v>Unidad</v>
      </c>
      <c r="D852" s="39">
        <v>2</v>
      </c>
      <c r="E852" s="42">
        <v>776.64</v>
      </c>
      <c r="F852" s="41">
        <f t="shared" ref="F852:F864" ca="1" si="34">INDIRECT(ADDRESS(ROW(),COLUMN()-2,4))*INDIRECT(ADDRESS(ROW(),COLUMN()-1,4))</f>
        <v>1553.28</v>
      </c>
    </row>
    <row r="853" spans="1:6" ht="14.25" customHeight="1" x14ac:dyDescent="0.35">
      <c r="A853" s="39" t="s">
        <v>11685</v>
      </c>
      <c r="B853" s="40" t="str">
        <f t="shared" ca="1" si="33"/>
        <v>Tubos plegables</v>
      </c>
      <c r="C853" s="72" t="str">
        <f>IFERROR(VLOOKUP("UD",'Informacion '!P:Q,2,FALSE),"")</f>
        <v>Unidad</v>
      </c>
      <c r="D853" s="39">
        <v>12</v>
      </c>
      <c r="E853" s="42">
        <v>4659.84</v>
      </c>
      <c r="F853" s="41">
        <f t="shared" ca="1" si="34"/>
        <v>55918.080000000002</v>
      </c>
    </row>
    <row r="854" spans="1:6" ht="14.25" customHeight="1" x14ac:dyDescent="0.35">
      <c r="A854" s="39" t="s">
        <v>11685</v>
      </c>
      <c r="B854" s="40" t="str">
        <f t="shared" ca="1" si="33"/>
        <v>Tubos plegables</v>
      </c>
      <c r="C854" s="72" t="str">
        <f>IFERROR(VLOOKUP("UD",'Informacion '!P:Q,2,FALSE),"")</f>
        <v>Unidad</v>
      </c>
      <c r="D854" s="39">
        <v>12</v>
      </c>
      <c r="E854" s="42">
        <v>6000</v>
      </c>
      <c r="F854" s="41">
        <f t="shared" ca="1" si="34"/>
        <v>72000</v>
      </c>
    </row>
    <row r="855" spans="1:6" ht="14.25" customHeight="1" x14ac:dyDescent="0.35">
      <c r="A855" s="39" t="s">
        <v>11685</v>
      </c>
      <c r="B855" s="40" t="str">
        <f t="shared" ca="1" si="33"/>
        <v>Tubos plegables</v>
      </c>
      <c r="C855" s="72" t="str">
        <f>IFERROR(VLOOKUP("UD",'Informacion '!P:Q,2,FALSE),"")</f>
        <v>Unidad</v>
      </c>
      <c r="D855" s="39">
        <v>10</v>
      </c>
      <c r="E855" s="42">
        <v>3883.2</v>
      </c>
      <c r="F855" s="41">
        <f t="shared" ca="1" si="34"/>
        <v>38832</v>
      </c>
    </row>
    <row r="856" spans="1:6" ht="14.25" customHeight="1" x14ac:dyDescent="0.35">
      <c r="A856" s="39" t="s">
        <v>11685</v>
      </c>
      <c r="B856" s="40" t="str">
        <f t="shared" ca="1" si="33"/>
        <v>Tubos plegables</v>
      </c>
      <c r="C856" s="72" t="str">
        <f>IFERROR(VLOOKUP("UD",'Informacion '!P:Q,2,FALSE),"")</f>
        <v>Unidad</v>
      </c>
      <c r="D856" s="39">
        <v>50</v>
      </c>
      <c r="E856" s="42">
        <v>25000</v>
      </c>
      <c r="F856" s="41">
        <f t="shared" ca="1" si="34"/>
        <v>1250000</v>
      </c>
    </row>
    <row r="857" spans="1:6" ht="14.25" customHeight="1" x14ac:dyDescent="0.35">
      <c r="A857" s="39" t="s">
        <v>11685</v>
      </c>
      <c r="B857" s="40" t="str">
        <f t="shared" ca="1" si="33"/>
        <v>Tubos plegables</v>
      </c>
      <c r="C857" s="72" t="str">
        <f>IFERROR(VLOOKUP("UD",'Informacion '!P:Q,2,FALSE),"")</f>
        <v>Unidad</v>
      </c>
      <c r="D857" s="39">
        <v>0.5</v>
      </c>
      <c r="E857" s="42">
        <v>348.1</v>
      </c>
      <c r="F857" s="41">
        <f t="shared" ca="1" si="34"/>
        <v>174.05</v>
      </c>
    </row>
    <row r="858" spans="1:6" ht="14.25" customHeight="1" x14ac:dyDescent="0.35">
      <c r="A858" s="39" t="s">
        <v>11685</v>
      </c>
      <c r="B858" s="40" t="str">
        <f t="shared" ca="1" si="33"/>
        <v>Tubos plegables</v>
      </c>
      <c r="C858" s="72" t="str">
        <f>IFERROR(VLOOKUP("UD",'Informacion '!P:Q,2,FALSE),"")</f>
        <v>Unidad</v>
      </c>
      <c r="D858" s="39">
        <v>0.5</v>
      </c>
      <c r="E858" s="42">
        <v>348.1</v>
      </c>
      <c r="F858" s="41">
        <f t="shared" ca="1" si="34"/>
        <v>174.05</v>
      </c>
    </row>
    <row r="859" spans="1:6" ht="14.25" customHeight="1" x14ac:dyDescent="0.35">
      <c r="A859" s="39" t="s">
        <v>11685</v>
      </c>
      <c r="B859" s="40" t="str">
        <f t="shared" ca="1" si="33"/>
        <v>Tubos plegables</v>
      </c>
      <c r="C859" s="72" t="str">
        <f>IFERROR(VLOOKUP("UD",'Informacion '!P:Q,2,FALSE),"")</f>
        <v>Unidad</v>
      </c>
      <c r="D859" s="39">
        <v>0.5</v>
      </c>
      <c r="E859" s="42">
        <v>348.1</v>
      </c>
      <c r="F859" s="41">
        <f t="shared" ca="1" si="34"/>
        <v>174.05</v>
      </c>
    </row>
    <row r="860" spans="1:6" ht="14.25" customHeight="1" x14ac:dyDescent="0.35">
      <c r="A860" s="39" t="s">
        <v>11685</v>
      </c>
      <c r="B860" s="40" t="str">
        <f t="shared" ca="1" si="33"/>
        <v>Tubos plegables</v>
      </c>
      <c r="C860" s="72" t="str">
        <f>IFERROR(VLOOKUP("UD",'Informacion '!P:Q,2,FALSE),"")</f>
        <v>Unidad</v>
      </c>
      <c r="D860" s="39">
        <v>75</v>
      </c>
      <c r="E860" s="42">
        <v>44250</v>
      </c>
      <c r="F860" s="41">
        <f t="shared" ca="1" si="34"/>
        <v>3318750</v>
      </c>
    </row>
    <row r="861" spans="1:6" ht="14.25" customHeight="1" x14ac:dyDescent="0.35">
      <c r="A861" s="39" t="s">
        <v>11685</v>
      </c>
      <c r="B861" s="40" t="str">
        <f t="shared" ca="1" si="33"/>
        <v>Tubos plegables</v>
      </c>
      <c r="C861" s="72" t="str">
        <f>IFERROR(VLOOKUP("UD",'Informacion '!P:Q,2,FALSE),"")</f>
        <v>Unidad</v>
      </c>
      <c r="D861" s="39">
        <v>75</v>
      </c>
      <c r="E861" s="42">
        <v>44250</v>
      </c>
      <c r="F861" s="41">
        <f t="shared" ca="1" si="34"/>
        <v>3318750</v>
      </c>
    </row>
    <row r="862" spans="1:6" ht="14.25" customHeight="1" x14ac:dyDescent="0.35">
      <c r="A862" s="39" t="s">
        <v>11685</v>
      </c>
      <c r="B862" s="40" t="str">
        <f t="shared" ca="1" si="33"/>
        <v>Tubos plegables</v>
      </c>
      <c r="C862" s="72" t="str">
        <f>IFERROR(VLOOKUP("UD",'Informacion '!P:Q,2,FALSE),"")</f>
        <v>Unidad</v>
      </c>
      <c r="D862" s="39">
        <v>75</v>
      </c>
      <c r="E862" s="42">
        <v>44250</v>
      </c>
      <c r="F862" s="41">
        <f t="shared" ca="1" si="34"/>
        <v>3318750</v>
      </c>
    </row>
    <row r="863" spans="1:6" ht="14.25" customHeight="1" x14ac:dyDescent="0.35">
      <c r="A863" s="39" t="s">
        <v>11685</v>
      </c>
      <c r="B863" s="40" t="str">
        <f t="shared" ca="1" si="33"/>
        <v>Tubos plegables</v>
      </c>
      <c r="C863" s="72" t="str">
        <f>IFERROR(VLOOKUP("UD",'Informacion '!P:Q,2,FALSE),"")</f>
        <v>Unidad</v>
      </c>
      <c r="D863" s="39">
        <v>109</v>
      </c>
      <c r="E863" s="42">
        <v>64310</v>
      </c>
      <c r="F863" s="41">
        <f t="shared" ca="1" si="34"/>
        <v>7009790</v>
      </c>
    </row>
    <row r="864" spans="1:6" ht="14.25" customHeight="1" x14ac:dyDescent="0.35">
      <c r="A864" s="39" t="s">
        <v>11685</v>
      </c>
      <c r="B864" s="40" t="str">
        <f t="shared" ca="1" si="33"/>
        <v>Tubos plegables</v>
      </c>
      <c r="C864" s="72" t="str">
        <f>IFERROR(VLOOKUP("UD",'Informacion '!P:Q,2,FALSE),"")</f>
        <v>Unidad</v>
      </c>
      <c r="D864" s="39">
        <v>150</v>
      </c>
      <c r="E864" s="42">
        <v>88500</v>
      </c>
      <c r="F864" s="41">
        <f t="shared" ca="1" si="34"/>
        <v>13275000</v>
      </c>
    </row>
    <row r="865" spans="1:10" ht="14.25" customHeight="1" x14ac:dyDescent="0.35">
      <c r="E865" s="44" t="s">
        <v>13122</v>
      </c>
      <c r="F865" s="45">
        <f ca="1">SUM(Table55[MONTO TOTAL ESTIMADO])</f>
        <v>31659865.509999998</v>
      </c>
      <c r="H865" s="24" t="str">
        <f>C845</f>
        <v>Bienes</v>
      </c>
      <c r="I865" s="24" t="str">
        <f>E845</f>
        <v>No</v>
      </c>
      <c r="J865" s="24" t="str">
        <f>D845</f>
        <v>Licitacion Publica</v>
      </c>
    </row>
    <row r="867" spans="1:10" ht="34" customHeight="1" x14ac:dyDescent="0.35">
      <c r="A867" s="36" t="s">
        <v>17105</v>
      </c>
      <c r="B867" s="36" t="s">
        <v>167</v>
      </c>
      <c r="C867" s="36" t="s">
        <v>12252</v>
      </c>
      <c r="D867" s="36" t="s">
        <v>15021</v>
      </c>
      <c r="E867" s="36" t="s">
        <v>11455</v>
      </c>
      <c r="F867" s="36" t="s">
        <v>11595</v>
      </c>
    </row>
    <row r="868" spans="1:10" ht="14.25" customHeight="1" x14ac:dyDescent="0.35">
      <c r="A868" s="37" t="s">
        <v>1887</v>
      </c>
      <c r="B868" s="37" t="s">
        <v>1887</v>
      </c>
      <c r="C868" s="37" t="s">
        <v>18585</v>
      </c>
      <c r="D868" s="37" t="s">
        <v>2615</v>
      </c>
      <c r="E868" s="37" t="s">
        <v>18646</v>
      </c>
      <c r="F868" s="37" t="s">
        <v>7088</v>
      </c>
    </row>
    <row r="869" spans="1:10" ht="14.25" customHeight="1" x14ac:dyDescent="0.35">
      <c r="A869" s="75" t="s">
        <v>15490</v>
      </c>
      <c r="B869" s="38" t="s">
        <v>8918</v>
      </c>
      <c r="C869" s="68">
        <v>45334</v>
      </c>
      <c r="D869" s="75" t="s">
        <v>9819</v>
      </c>
      <c r="E869" s="70" t="s">
        <v>13683</v>
      </c>
      <c r="F869" s="71" t="s">
        <v>3205</v>
      </c>
    </row>
    <row r="870" spans="1:10" ht="14.25" customHeight="1" x14ac:dyDescent="0.35">
      <c r="A870" s="76"/>
      <c r="B870" s="38" t="s">
        <v>1858</v>
      </c>
      <c r="C870" s="69">
        <f>IF(C869="","",IF(AND(MONTH(C869)&gt;=1,MONTH(C869)&lt;=3),1,IF(AND(MONTH(C869)&gt;=4,MONTH(C869)&lt;=6),2,IF(AND(MONTH(C869)&gt;=7,MONTH(C869)&lt;=9),3,4))))</f>
        <v>1</v>
      </c>
      <c r="D870" s="76"/>
      <c r="E870" s="70" t="s">
        <v>2509</v>
      </c>
      <c r="F870" s="71" t="s">
        <v>11612</v>
      </c>
    </row>
    <row r="871" spans="1:10" ht="14.25" customHeight="1" x14ac:dyDescent="0.35">
      <c r="A871" s="76"/>
      <c r="B871" s="38" t="s">
        <v>13526</v>
      </c>
      <c r="C871" s="68">
        <v>45378</v>
      </c>
      <c r="D871" s="76"/>
      <c r="E871" s="70" t="s">
        <v>3198</v>
      </c>
      <c r="F871" s="71" t="s">
        <v>11612</v>
      </c>
    </row>
    <row r="872" spans="1:10" ht="14.25" customHeight="1" x14ac:dyDescent="0.35">
      <c r="A872" s="76"/>
      <c r="B872" s="38" t="s">
        <v>1858</v>
      </c>
      <c r="C872" s="69">
        <f>IF(C871="","",IF(AND(MONTH(C871)&gt;=1,MONTH(C871)&lt;=3),1,IF(AND(MONTH(C871)&gt;=4,MONTH(C871)&lt;=6),2,IF(AND(MONTH(C871)&gt;=7,MONTH(C871)&lt;=9),3,4))))</f>
        <v>1</v>
      </c>
      <c r="D872" s="76"/>
      <c r="E872" s="70" t="s">
        <v>13785</v>
      </c>
      <c r="F872" s="71"/>
    </row>
    <row r="874" spans="1:10" ht="14.25" customHeight="1" x14ac:dyDescent="0.35">
      <c r="A874" s="43" t="s">
        <v>16424</v>
      </c>
      <c r="B874" s="43" t="s">
        <v>16856</v>
      </c>
      <c r="C874" s="43" t="s">
        <v>16326</v>
      </c>
      <c r="D874" s="43" t="s">
        <v>15925</v>
      </c>
      <c r="E874" s="43" t="s">
        <v>7248</v>
      </c>
      <c r="F874" s="43" t="s">
        <v>15955</v>
      </c>
    </row>
    <row r="875" spans="1:10" ht="14.25" customHeight="1" x14ac:dyDescent="0.35">
      <c r="A875" s="39" t="s">
        <v>2619</v>
      </c>
      <c r="B875" s="40" t="str">
        <f ca="1">IFERROR(INDEX(UNSPSCDes,MATCH(INDIRECT(ADDRESS(ROW(),COLUMN()-1,4)),UNSPSCCode,0)),IF(INDIRECT(ADDRESS(ROW(),COLUMN()-1,4))="25101507","Camiones ligeros",""))</f>
        <v>Camiones ligeros</v>
      </c>
      <c r="C875" s="72" t="str">
        <f>IFERROR(VLOOKUP("UD",'Informacion '!P:Q,2,FALSE),"")</f>
        <v>Unidad</v>
      </c>
      <c r="D875" s="39">
        <v>3</v>
      </c>
      <c r="E875" s="42">
        <v>3276000</v>
      </c>
      <c r="F875" s="41">
        <f ca="1">INDIRECT(ADDRESS(ROW(),COLUMN()-2,4))*INDIRECT(ADDRESS(ROW(),COLUMN()-1,4))</f>
        <v>9828000</v>
      </c>
    </row>
    <row r="876" spans="1:10" ht="14.25" customHeight="1" x14ac:dyDescent="0.35">
      <c r="A876" s="39" t="s">
        <v>2619</v>
      </c>
      <c r="B876" s="40" t="str">
        <f ca="1">IFERROR(INDEX(UNSPSCDes,MATCH(INDIRECT(ADDRESS(ROW(),COLUMN()-1,4)),UNSPSCCode,0)),IF(INDIRECT(ADDRESS(ROW(),COLUMN()-1,4))="25101507","Camiones ligeros",""))</f>
        <v>Camiones ligeros</v>
      </c>
      <c r="C876" s="72" t="str">
        <f>IFERROR(VLOOKUP("UD",'Informacion '!P:Q,2,FALSE),"")</f>
        <v>Unidad</v>
      </c>
      <c r="D876" s="39">
        <v>1</v>
      </c>
      <c r="E876" s="42">
        <v>1168</v>
      </c>
      <c r="F876" s="41">
        <f ca="1">INDIRECT(ADDRESS(ROW(),COLUMN()-2,4))*INDIRECT(ADDRESS(ROW(),COLUMN()-1,4))</f>
        <v>1168</v>
      </c>
    </row>
    <row r="877" spans="1:10" ht="14.25" customHeight="1" x14ac:dyDescent="0.35">
      <c r="E877" s="44" t="s">
        <v>13122</v>
      </c>
      <c r="F877" s="45">
        <f ca="1">SUM(Table56[MONTO TOTAL ESTIMADO])</f>
        <v>9829168</v>
      </c>
      <c r="H877" s="24" t="str">
        <f>C868</f>
        <v>Bienes</v>
      </c>
      <c r="I877" s="24" t="str">
        <f>E868</f>
        <v>No</v>
      </c>
      <c r="J877" s="24" t="str">
        <f>D868</f>
        <v>Licitacion Publica</v>
      </c>
    </row>
    <row r="879" spans="1:10" ht="34" customHeight="1" x14ac:dyDescent="0.35">
      <c r="A879" s="36" t="s">
        <v>17105</v>
      </c>
      <c r="B879" s="36" t="s">
        <v>167</v>
      </c>
      <c r="C879" s="36" t="s">
        <v>12252</v>
      </c>
      <c r="D879" s="36" t="s">
        <v>15021</v>
      </c>
      <c r="E879" s="36" t="s">
        <v>11455</v>
      </c>
      <c r="F879" s="36" t="s">
        <v>11595</v>
      </c>
    </row>
    <row r="880" spans="1:10" ht="14.25" customHeight="1" x14ac:dyDescent="0.35">
      <c r="A880" s="37" t="s">
        <v>1887</v>
      </c>
      <c r="B880" s="37" t="s">
        <v>1887</v>
      </c>
      <c r="C880" s="37" t="s">
        <v>18585</v>
      </c>
      <c r="D880" s="37" t="s">
        <v>2615</v>
      </c>
      <c r="E880" s="37" t="s">
        <v>18646</v>
      </c>
      <c r="F880" s="37" t="s">
        <v>7088</v>
      </c>
    </row>
    <row r="881" spans="1:10" ht="14.25" customHeight="1" x14ac:dyDescent="0.35">
      <c r="A881" s="75" t="s">
        <v>15490</v>
      </c>
      <c r="B881" s="38" t="s">
        <v>8918</v>
      </c>
      <c r="C881" s="68">
        <v>45383</v>
      </c>
      <c r="D881" s="75" t="s">
        <v>9819</v>
      </c>
      <c r="E881" s="70" t="s">
        <v>13683</v>
      </c>
      <c r="F881" s="71" t="s">
        <v>3205</v>
      </c>
    </row>
    <row r="882" spans="1:10" ht="14.25" customHeight="1" x14ac:dyDescent="0.35">
      <c r="A882" s="76"/>
      <c r="B882" s="38" t="s">
        <v>1858</v>
      </c>
      <c r="C882" s="69">
        <f>IF(C881="","",IF(AND(MONTH(C881)&gt;=1,MONTH(C881)&lt;=3),1,IF(AND(MONTH(C881)&gt;=4,MONTH(C881)&lt;=6),2,IF(AND(MONTH(C881)&gt;=7,MONTH(C881)&lt;=9),3,4))))</f>
        <v>2</v>
      </c>
      <c r="D882" s="76"/>
      <c r="E882" s="70" t="s">
        <v>2509</v>
      </c>
      <c r="F882" s="71" t="s">
        <v>11612</v>
      </c>
    </row>
    <row r="883" spans="1:10" ht="14.25" customHeight="1" x14ac:dyDescent="0.35">
      <c r="A883" s="76"/>
      <c r="B883" s="38" t="s">
        <v>13526</v>
      </c>
      <c r="C883" s="68">
        <v>45471</v>
      </c>
      <c r="D883" s="76"/>
      <c r="E883" s="70" t="s">
        <v>3198</v>
      </c>
      <c r="F883" s="71" t="s">
        <v>11612</v>
      </c>
    </row>
    <row r="884" spans="1:10" ht="14.25" customHeight="1" x14ac:dyDescent="0.35">
      <c r="A884" s="76"/>
      <c r="B884" s="38" t="s">
        <v>1858</v>
      </c>
      <c r="C884" s="69">
        <f>IF(C883="","",IF(AND(MONTH(C883)&gt;=1,MONTH(C883)&lt;=3),1,IF(AND(MONTH(C883)&gt;=4,MONTH(C883)&lt;=6),2,IF(AND(MONTH(C883)&gt;=7,MONTH(C883)&lt;=9),3,4))))</f>
        <v>2</v>
      </c>
      <c r="D884" s="76"/>
      <c r="E884" s="70" t="s">
        <v>13785</v>
      </c>
      <c r="F884" s="71"/>
    </row>
    <row r="886" spans="1:10" ht="14.25" customHeight="1" x14ac:dyDescent="0.35">
      <c r="A886" s="43" t="s">
        <v>16424</v>
      </c>
      <c r="B886" s="43" t="s">
        <v>16856</v>
      </c>
      <c r="C886" s="43" t="s">
        <v>16326</v>
      </c>
      <c r="D886" s="43" t="s">
        <v>15925</v>
      </c>
      <c r="E886" s="43" t="s">
        <v>7248</v>
      </c>
      <c r="F886" s="43" t="s">
        <v>15955</v>
      </c>
    </row>
    <row r="887" spans="1:10" ht="14.25" customHeight="1" x14ac:dyDescent="0.35">
      <c r="A887" s="39" t="s">
        <v>16743</v>
      </c>
      <c r="B887" s="40" t="str">
        <f ca="1">IFERROR(INDEX(UNSPSCDes,MATCH(INDIRECT(ADDRESS(ROW(),COLUMN()-1,4)),UNSPSCCode,0)),IF(INDIRECT(ADDRESS(ROW(),COLUMN()-1,4))="25101501","Minibuses",""))</f>
        <v>Minibuses</v>
      </c>
      <c r="C887" s="72" t="str">
        <f>IFERROR(VLOOKUP("UD",'Informacion '!P:Q,2,FALSE),"")</f>
        <v>Unidad</v>
      </c>
      <c r="D887" s="39">
        <v>1</v>
      </c>
      <c r="E887" s="42">
        <v>3300000</v>
      </c>
      <c r="F887" s="41">
        <f t="shared" ref="F887:F892" ca="1" si="35">INDIRECT(ADDRESS(ROW(),COLUMN()-2,4))*INDIRECT(ADDRESS(ROW(),COLUMN()-1,4))</f>
        <v>3300000</v>
      </c>
    </row>
    <row r="888" spans="1:10" ht="14.25" customHeight="1" x14ac:dyDescent="0.35">
      <c r="A888" s="39" t="s">
        <v>2619</v>
      </c>
      <c r="B888" s="40" t="str">
        <f ca="1">IFERROR(INDEX(UNSPSCDes,MATCH(INDIRECT(ADDRESS(ROW(),COLUMN()-1,4)),UNSPSCCode,0)),IF(INDIRECT(ADDRESS(ROW(),COLUMN()-1,4))="25101507","Camiones ligeros",""))</f>
        <v>Camiones ligeros</v>
      </c>
      <c r="C888" s="72" t="str">
        <f>IFERROR(VLOOKUP("UD",'Informacion '!P:Q,2,FALSE),"")</f>
        <v>Unidad</v>
      </c>
      <c r="D888" s="39">
        <v>1</v>
      </c>
      <c r="E888" s="42">
        <v>2632830</v>
      </c>
      <c r="F888" s="41">
        <f t="shared" ca="1" si="35"/>
        <v>2632830</v>
      </c>
    </row>
    <row r="889" spans="1:10" ht="14.25" customHeight="1" x14ac:dyDescent="0.35">
      <c r="A889" s="39" t="s">
        <v>2619</v>
      </c>
      <c r="B889" s="40" t="str">
        <f ca="1">IFERROR(INDEX(UNSPSCDes,MATCH(INDIRECT(ADDRESS(ROW(),COLUMN()-1,4)),UNSPSCCode,0)),IF(INDIRECT(ADDRESS(ROW(),COLUMN()-1,4))="25101507","Camiones ligeros",""))</f>
        <v>Camiones ligeros</v>
      </c>
      <c r="C889" s="72" t="str">
        <f>IFERROR(VLOOKUP("UD",'Informacion '!P:Q,2,FALSE),"")</f>
        <v>Unidad</v>
      </c>
      <c r="D889" s="39">
        <v>2</v>
      </c>
      <c r="E889" s="42">
        <v>2059650</v>
      </c>
      <c r="F889" s="41">
        <f t="shared" ca="1" si="35"/>
        <v>4119300</v>
      </c>
    </row>
    <row r="890" spans="1:10" ht="14.25" customHeight="1" x14ac:dyDescent="0.35">
      <c r="A890" s="39" t="s">
        <v>9700</v>
      </c>
      <c r="B890" s="40" t="str">
        <f ca="1">IFERROR(INDEX(UNSPSCDes,MATCH(INDIRECT(ADDRESS(ROW(),COLUMN()-1,4)),UNSPSCCode,0)),IF(INDIRECT(ADDRESS(ROW(),COLUMN()-1,4))="25101801","Motocicletas",""))</f>
        <v>Motocicletas</v>
      </c>
      <c r="C890" s="72" t="str">
        <f>IFERROR(VLOOKUP("UD",'Informacion '!P:Q,2,FALSE),"")</f>
        <v>Unidad</v>
      </c>
      <c r="D890" s="39">
        <v>2</v>
      </c>
      <c r="E890" s="42">
        <v>300000</v>
      </c>
      <c r="F890" s="41">
        <f t="shared" ca="1" si="35"/>
        <v>600000</v>
      </c>
    </row>
    <row r="891" spans="1:10" ht="14.25" customHeight="1" x14ac:dyDescent="0.35">
      <c r="A891" s="39" t="s">
        <v>18952</v>
      </c>
      <c r="B891" s="40" t="str">
        <f ca="1">IFERROR(INDEX(UNSPSCDes,MATCH(INDIRECT(ADDRESS(ROW(),COLUMN()-1,4)),UNSPSCCode,0)),IF(INDIRECT(ADDRESS(ROW(),COLUMN()-1,4))="25101901","Tractores agrícolas",""))</f>
        <v>Tractores agrícolas</v>
      </c>
      <c r="C891" s="72" t="str">
        <f>IFERROR(VLOOKUP("UD",'Informacion '!P:Q,2,FALSE),"")</f>
        <v>Unidad</v>
      </c>
      <c r="D891" s="39">
        <v>1</v>
      </c>
      <c r="E891" s="42">
        <v>7500000</v>
      </c>
      <c r="F891" s="41">
        <f t="shared" ca="1" si="35"/>
        <v>7500000</v>
      </c>
    </row>
    <row r="892" spans="1:10" ht="14.25" customHeight="1" x14ac:dyDescent="0.35">
      <c r="A892" s="39" t="s">
        <v>6059</v>
      </c>
      <c r="B892" s="40" t="str">
        <f ca="1">IFERROR(INDEX(UNSPSCDes,MATCH(INDIRECT(ADDRESS(ROW(),COLUMN()-1,4)),UNSPSCCode,0)),IF(INDIRECT(ADDRESS(ROW(),COLUMN()-1,4))="25102106","Cabezote",""))</f>
        <v>Cabezote</v>
      </c>
      <c r="C892" s="72" t="str">
        <f>IFERROR(VLOOKUP("UD",'Informacion '!P:Q,2,FALSE),"")</f>
        <v>Unidad</v>
      </c>
      <c r="D892" s="39">
        <v>1</v>
      </c>
      <c r="E892" s="42">
        <v>4000000</v>
      </c>
      <c r="F892" s="41">
        <f t="shared" ca="1" si="35"/>
        <v>4000000</v>
      </c>
    </row>
    <row r="893" spans="1:10" ht="14.25" customHeight="1" x14ac:dyDescent="0.35">
      <c r="E893" s="44" t="s">
        <v>13122</v>
      </c>
      <c r="F893" s="45">
        <f ca="1">SUM(Table57[MONTO TOTAL ESTIMADO])</f>
        <v>22152130</v>
      </c>
      <c r="H893" s="24" t="str">
        <f>C880</f>
        <v>Bienes</v>
      </c>
      <c r="I893" s="24" t="str">
        <f>E880</f>
        <v>No</v>
      </c>
      <c r="J893" s="24" t="str">
        <f>D880</f>
        <v>Licitacion Publica</v>
      </c>
    </row>
    <row r="895" spans="1:10" ht="34" customHeight="1" x14ac:dyDescent="0.35">
      <c r="A895" s="36" t="s">
        <v>17105</v>
      </c>
      <c r="B895" s="36" t="s">
        <v>167</v>
      </c>
      <c r="C895" s="36" t="s">
        <v>12252</v>
      </c>
      <c r="D895" s="36" t="s">
        <v>15021</v>
      </c>
      <c r="E895" s="36" t="s">
        <v>11455</v>
      </c>
      <c r="F895" s="36" t="s">
        <v>11595</v>
      </c>
    </row>
    <row r="896" spans="1:10" ht="14.25" customHeight="1" x14ac:dyDescent="0.35">
      <c r="A896" s="37" t="s">
        <v>15720</v>
      </c>
      <c r="B896" s="37" t="s">
        <v>15720</v>
      </c>
      <c r="C896" s="37" t="s">
        <v>18585</v>
      </c>
      <c r="D896" s="37" t="s">
        <v>10634</v>
      </c>
      <c r="E896" s="37" t="s">
        <v>9261</v>
      </c>
      <c r="F896" s="37" t="s">
        <v>7088</v>
      </c>
    </row>
    <row r="897" spans="1:10" ht="14.25" customHeight="1" x14ac:dyDescent="0.35">
      <c r="A897" s="75" t="s">
        <v>15490</v>
      </c>
      <c r="B897" s="38" t="s">
        <v>8918</v>
      </c>
      <c r="C897" s="68">
        <v>45334</v>
      </c>
      <c r="D897" s="75" t="s">
        <v>9819</v>
      </c>
      <c r="E897" s="70" t="s">
        <v>13683</v>
      </c>
      <c r="F897" s="71" t="s">
        <v>3205</v>
      </c>
    </row>
    <row r="898" spans="1:10" ht="14.25" customHeight="1" x14ac:dyDescent="0.35">
      <c r="A898" s="76"/>
      <c r="B898" s="38" t="s">
        <v>1858</v>
      </c>
      <c r="C898" s="69">
        <f>IF(C897="","",IF(AND(MONTH(C897)&gt;=1,MONTH(C897)&lt;=3),1,IF(AND(MONTH(C897)&gt;=4,MONTH(C897)&lt;=6),2,IF(AND(MONTH(C897)&gt;=7,MONTH(C897)&lt;=9),3,4))))</f>
        <v>1</v>
      </c>
      <c r="D898" s="76"/>
      <c r="E898" s="70" t="s">
        <v>2509</v>
      </c>
      <c r="F898" s="71" t="s">
        <v>11612</v>
      </c>
    </row>
    <row r="899" spans="1:10" ht="14.25" customHeight="1" x14ac:dyDescent="0.35">
      <c r="A899" s="76"/>
      <c r="B899" s="38" t="s">
        <v>13526</v>
      </c>
      <c r="C899" s="68">
        <v>45378</v>
      </c>
      <c r="D899" s="76"/>
      <c r="E899" s="70" t="s">
        <v>3198</v>
      </c>
      <c r="F899" s="71" t="s">
        <v>11612</v>
      </c>
    </row>
    <row r="900" spans="1:10" ht="14.25" customHeight="1" x14ac:dyDescent="0.35">
      <c r="A900" s="76"/>
      <c r="B900" s="38" t="s">
        <v>1858</v>
      </c>
      <c r="C900" s="69">
        <f>IF(C899="","",IF(AND(MONTH(C899)&gt;=1,MONTH(C899)&lt;=3),1,IF(AND(MONTH(C899)&gt;=4,MONTH(C899)&lt;=6),2,IF(AND(MONTH(C899)&gt;=7,MONTH(C899)&lt;=9),3,4))))</f>
        <v>1</v>
      </c>
      <c r="D900" s="76"/>
      <c r="E900" s="70" t="s">
        <v>13785</v>
      </c>
      <c r="F900" s="71"/>
    </row>
    <row r="902" spans="1:10" ht="14.25" customHeight="1" x14ac:dyDescent="0.35">
      <c r="A902" s="43" t="s">
        <v>16424</v>
      </c>
      <c r="B902" s="43" t="s">
        <v>16856</v>
      </c>
      <c r="C902" s="43" t="s">
        <v>16326</v>
      </c>
      <c r="D902" s="43" t="s">
        <v>15925</v>
      </c>
      <c r="E902" s="43" t="s">
        <v>7248</v>
      </c>
      <c r="F902" s="43" t="s">
        <v>15955</v>
      </c>
    </row>
    <row r="903" spans="1:10" ht="14.25" customHeight="1" x14ac:dyDescent="0.35">
      <c r="A903" s="39" t="s">
        <v>5372</v>
      </c>
      <c r="B903" s="40" t="str">
        <f ca="1">IFERROR(INDEX(UNSPSCDes,MATCH(INDIRECT(ADDRESS(ROW(),COLUMN()-1,4)),UNSPSCCode,0)),IF(INDIRECT(ADDRESS(ROW(),COLUMN()-1,4))="25161507","Bicicletas",""))</f>
        <v>Bicicletas</v>
      </c>
      <c r="C903" s="72" t="str">
        <f>IFERROR(VLOOKUP("UD",'Informacion '!P:Q,2,FALSE),"")</f>
        <v>Unidad</v>
      </c>
      <c r="D903" s="39">
        <v>10</v>
      </c>
      <c r="E903" s="42">
        <v>7589</v>
      </c>
      <c r="F903" s="41">
        <f ca="1">INDIRECT(ADDRESS(ROW(),COLUMN()-2,4))*INDIRECT(ADDRESS(ROW(),COLUMN()-1,4))</f>
        <v>75890</v>
      </c>
    </row>
    <row r="904" spans="1:10" ht="14.25" customHeight="1" x14ac:dyDescent="0.35">
      <c r="A904" s="39" t="s">
        <v>5372</v>
      </c>
      <c r="B904" s="40" t="str">
        <f ca="1">IFERROR(INDEX(UNSPSCDes,MATCH(INDIRECT(ADDRESS(ROW(),COLUMN()-1,4)),UNSPSCCode,0)),IF(INDIRECT(ADDRESS(ROW(),COLUMN()-1,4))="25161507","Bicicletas",""))</f>
        <v>Bicicletas</v>
      </c>
      <c r="C904" s="72" t="str">
        <f>IFERROR(VLOOKUP("UD",'Informacion '!P:Q,2,FALSE),"")</f>
        <v>Unidad</v>
      </c>
      <c r="D904" s="39">
        <v>10</v>
      </c>
      <c r="E904" s="42">
        <v>4800</v>
      </c>
      <c r="F904" s="41">
        <f ca="1">INDIRECT(ADDRESS(ROW(),COLUMN()-2,4))*INDIRECT(ADDRESS(ROW(),COLUMN()-1,4))</f>
        <v>48000</v>
      </c>
    </row>
    <row r="905" spans="1:10" ht="14.25" customHeight="1" x14ac:dyDescent="0.35">
      <c r="E905" s="44" t="s">
        <v>13122</v>
      </c>
      <c r="F905" s="45">
        <f ca="1">SUM(Table58[MONTO TOTAL ESTIMADO])</f>
        <v>123890</v>
      </c>
      <c r="H905" s="24" t="str">
        <f>C896</f>
        <v>Bienes</v>
      </c>
      <c r="I905" s="24" t="str">
        <f>E896</f>
        <v>Sí</v>
      </c>
      <c r="J905" s="24" t="str">
        <f>D896</f>
        <v>Compras por debajo del Umbral</v>
      </c>
    </row>
    <row r="907" spans="1:10" ht="34" customHeight="1" x14ac:dyDescent="0.35">
      <c r="A907" s="36" t="s">
        <v>17105</v>
      </c>
      <c r="B907" s="36" t="s">
        <v>167</v>
      </c>
      <c r="C907" s="36" t="s">
        <v>12252</v>
      </c>
      <c r="D907" s="36" t="s">
        <v>15021</v>
      </c>
      <c r="E907" s="36" t="s">
        <v>11455</v>
      </c>
      <c r="F907" s="36" t="s">
        <v>11595</v>
      </c>
    </row>
    <row r="908" spans="1:10" ht="14.25" customHeight="1" x14ac:dyDescent="0.35">
      <c r="A908" s="37" t="s">
        <v>14166</v>
      </c>
      <c r="B908" s="37" t="s">
        <v>14166</v>
      </c>
      <c r="C908" s="37" t="s">
        <v>18585</v>
      </c>
      <c r="D908" s="37" t="s">
        <v>10634</v>
      </c>
      <c r="E908" s="37" t="s">
        <v>9261</v>
      </c>
      <c r="F908" s="37" t="s">
        <v>7088</v>
      </c>
    </row>
    <row r="909" spans="1:10" ht="14.25" customHeight="1" x14ac:dyDescent="0.35">
      <c r="A909" s="75" t="s">
        <v>15490</v>
      </c>
      <c r="B909" s="38" t="s">
        <v>8918</v>
      </c>
      <c r="C909" s="68">
        <v>45334</v>
      </c>
      <c r="D909" s="75" t="s">
        <v>9819</v>
      </c>
      <c r="E909" s="70" t="s">
        <v>13683</v>
      </c>
      <c r="F909" s="71" t="s">
        <v>3205</v>
      </c>
    </row>
    <row r="910" spans="1:10" ht="14.25" customHeight="1" x14ac:dyDescent="0.35">
      <c r="A910" s="76"/>
      <c r="B910" s="38" t="s">
        <v>1858</v>
      </c>
      <c r="C910" s="69">
        <f>IF(C909="","",IF(AND(MONTH(C909)&gt;=1,MONTH(C909)&lt;=3),1,IF(AND(MONTH(C909)&gt;=4,MONTH(C909)&lt;=6),2,IF(AND(MONTH(C909)&gt;=7,MONTH(C909)&lt;=9),3,4))))</f>
        <v>1</v>
      </c>
      <c r="D910" s="76"/>
      <c r="E910" s="70" t="s">
        <v>2509</v>
      </c>
      <c r="F910" s="71" t="s">
        <v>11612</v>
      </c>
    </row>
    <row r="911" spans="1:10" ht="14.25" customHeight="1" x14ac:dyDescent="0.35">
      <c r="A911" s="76"/>
      <c r="B911" s="38" t="s">
        <v>13526</v>
      </c>
      <c r="C911" s="68">
        <v>45378</v>
      </c>
      <c r="D911" s="76"/>
      <c r="E911" s="70" t="s">
        <v>3198</v>
      </c>
      <c r="F911" s="71" t="s">
        <v>11612</v>
      </c>
    </row>
    <row r="912" spans="1:10" ht="14.25" customHeight="1" x14ac:dyDescent="0.35">
      <c r="A912" s="76"/>
      <c r="B912" s="38" t="s">
        <v>1858</v>
      </c>
      <c r="C912" s="69">
        <f>IF(C911="","",IF(AND(MONTH(C911)&gt;=1,MONTH(C911)&lt;=3),1,IF(AND(MONTH(C911)&gt;=4,MONTH(C911)&lt;=6),2,IF(AND(MONTH(C911)&gt;=7,MONTH(C911)&lt;=9),3,4))))</f>
        <v>1</v>
      </c>
      <c r="D912" s="76"/>
      <c r="E912" s="70" t="s">
        <v>13785</v>
      </c>
      <c r="F912" s="71"/>
    </row>
    <row r="914" spans="1:10" ht="14.25" customHeight="1" x14ac:dyDescent="0.35">
      <c r="A914" s="43" t="s">
        <v>16424</v>
      </c>
      <c r="B914" s="43" t="s">
        <v>16856</v>
      </c>
      <c r="C914" s="43" t="s">
        <v>16326</v>
      </c>
      <c r="D914" s="43" t="s">
        <v>15925</v>
      </c>
      <c r="E914" s="43" t="s">
        <v>7248</v>
      </c>
      <c r="F914" s="43" t="s">
        <v>15955</v>
      </c>
    </row>
    <row r="915" spans="1:10" ht="14.25" customHeight="1" x14ac:dyDescent="0.35">
      <c r="A915" s="39" t="s">
        <v>17478</v>
      </c>
      <c r="B915" s="40" t="str">
        <f ca="1">IFERROR(INDEX(UNSPSCDes,MATCH(INDIRECT(ADDRESS(ROW(),COLUMN()-1,4)),UNSPSCCode,0)),IF(INDIRECT(ADDRESS(ROW(),COLUMN()-1,4))="25172010","Barra anti -  ladeo",""))</f>
        <v>Barra anti -  ladeo</v>
      </c>
      <c r="C915" s="72" t="str">
        <f>IFERROR(VLOOKUP("UD",'Informacion '!P:Q,2,FALSE),"")</f>
        <v>Unidad</v>
      </c>
      <c r="D915" s="39">
        <v>2</v>
      </c>
      <c r="E915" s="42">
        <v>3500</v>
      </c>
      <c r="F915" s="41">
        <f ca="1">INDIRECT(ADDRESS(ROW(),COLUMN()-2,4))*INDIRECT(ADDRESS(ROW(),COLUMN()-1,4))</f>
        <v>7000</v>
      </c>
    </row>
    <row r="916" spans="1:10" ht="14.25" customHeight="1" x14ac:dyDescent="0.35">
      <c r="E916" s="44" t="s">
        <v>13122</v>
      </c>
      <c r="F916" s="45">
        <f ca="1">SUM(Table59[MONTO TOTAL ESTIMADO])</f>
        <v>7000</v>
      </c>
      <c r="H916" s="24" t="str">
        <f>C908</f>
        <v>Bienes</v>
      </c>
      <c r="I916" s="24" t="str">
        <f>E908</f>
        <v>Sí</v>
      </c>
      <c r="J916" s="24" t="str">
        <f>D908</f>
        <v>Compras por debajo del Umbral</v>
      </c>
    </row>
    <row r="918" spans="1:10" ht="34" customHeight="1" x14ac:dyDescent="0.35">
      <c r="A918" s="36" t="s">
        <v>17105</v>
      </c>
      <c r="B918" s="36" t="s">
        <v>167</v>
      </c>
      <c r="C918" s="36" t="s">
        <v>12252</v>
      </c>
      <c r="D918" s="36" t="s">
        <v>15021</v>
      </c>
      <c r="E918" s="36" t="s">
        <v>11455</v>
      </c>
      <c r="F918" s="36" t="s">
        <v>11595</v>
      </c>
    </row>
    <row r="919" spans="1:10" ht="14.25" customHeight="1" x14ac:dyDescent="0.35">
      <c r="A919" s="37" t="s">
        <v>14166</v>
      </c>
      <c r="B919" s="37" t="s">
        <v>14166</v>
      </c>
      <c r="C919" s="37" t="s">
        <v>18585</v>
      </c>
      <c r="D919" s="37" t="s">
        <v>10634</v>
      </c>
      <c r="E919" s="37" t="s">
        <v>9261</v>
      </c>
      <c r="F919" s="37" t="s">
        <v>7088</v>
      </c>
    </row>
    <row r="920" spans="1:10" ht="14.25" customHeight="1" x14ac:dyDescent="0.35">
      <c r="A920" s="75" t="s">
        <v>15490</v>
      </c>
      <c r="B920" s="38" t="s">
        <v>8918</v>
      </c>
      <c r="C920" s="68">
        <v>45383</v>
      </c>
      <c r="D920" s="75" t="s">
        <v>9819</v>
      </c>
      <c r="E920" s="70" t="s">
        <v>13683</v>
      </c>
      <c r="F920" s="71" t="s">
        <v>3205</v>
      </c>
    </row>
    <row r="921" spans="1:10" ht="14.25" customHeight="1" x14ac:dyDescent="0.35">
      <c r="A921" s="76"/>
      <c r="B921" s="38" t="s">
        <v>1858</v>
      </c>
      <c r="C921" s="69">
        <f>IF(C920="","",IF(AND(MONTH(C920)&gt;=1,MONTH(C920)&lt;=3),1,IF(AND(MONTH(C920)&gt;=4,MONTH(C920)&lt;=6),2,IF(AND(MONTH(C920)&gt;=7,MONTH(C920)&lt;=9),3,4))))</f>
        <v>2</v>
      </c>
      <c r="D921" s="76"/>
      <c r="E921" s="70" t="s">
        <v>2509</v>
      </c>
      <c r="F921" s="71" t="s">
        <v>11612</v>
      </c>
    </row>
    <row r="922" spans="1:10" ht="14.25" customHeight="1" x14ac:dyDescent="0.35">
      <c r="A922" s="76"/>
      <c r="B922" s="38" t="s">
        <v>13526</v>
      </c>
      <c r="C922" s="68">
        <v>45471</v>
      </c>
      <c r="D922" s="76"/>
      <c r="E922" s="70" t="s">
        <v>3198</v>
      </c>
      <c r="F922" s="71" t="s">
        <v>11612</v>
      </c>
    </row>
    <row r="923" spans="1:10" ht="14.25" customHeight="1" x14ac:dyDescent="0.35">
      <c r="A923" s="76"/>
      <c r="B923" s="38" t="s">
        <v>1858</v>
      </c>
      <c r="C923" s="69">
        <f>IF(C922="","",IF(AND(MONTH(C922)&gt;=1,MONTH(C922)&lt;=3),1,IF(AND(MONTH(C922)&gt;=4,MONTH(C922)&lt;=6),2,IF(AND(MONTH(C922)&gt;=7,MONTH(C922)&lt;=9),3,4))))</f>
        <v>2</v>
      </c>
      <c r="D923" s="76"/>
      <c r="E923" s="70" t="s">
        <v>13785</v>
      </c>
      <c r="F923" s="71"/>
    </row>
    <row r="925" spans="1:10" ht="14.25" customHeight="1" x14ac:dyDescent="0.35">
      <c r="A925" s="43" t="s">
        <v>16424</v>
      </c>
      <c r="B925" s="43" t="s">
        <v>16856</v>
      </c>
      <c r="C925" s="43" t="s">
        <v>16326</v>
      </c>
      <c r="D925" s="43" t="s">
        <v>15925</v>
      </c>
      <c r="E925" s="43" t="s">
        <v>7248</v>
      </c>
      <c r="F925" s="43" t="s">
        <v>15955</v>
      </c>
    </row>
    <row r="926" spans="1:10" ht="14.25" customHeight="1" x14ac:dyDescent="0.35">
      <c r="A926" s="39" t="s">
        <v>960</v>
      </c>
      <c r="B926" s="40" t="str">
        <f ca="1">IFERROR(INDEX(UNSPSCDes,MATCH(INDIRECT(ADDRESS(ROW(),COLUMN()-1,4)),UNSPSCCode,0)),IF(INDIRECT(ADDRESS(ROW(),COLUMN()-1,4))="25171718","Kits de reparación de frenos",""))</f>
        <v>Kits de reparación de frenos</v>
      </c>
      <c r="C926" s="72" t="str">
        <f>IFERROR(VLOOKUP("UD",'Informacion '!P:Q,2,FALSE),"")</f>
        <v>Unidad</v>
      </c>
      <c r="D926" s="39">
        <v>3</v>
      </c>
      <c r="E926" s="42">
        <v>278.5</v>
      </c>
      <c r="F926" s="41">
        <f ca="1">INDIRECT(ADDRESS(ROW(),COLUMN()-2,4))*INDIRECT(ADDRESS(ROW(),COLUMN()-1,4))</f>
        <v>835.5</v>
      </c>
    </row>
    <row r="927" spans="1:10" ht="14.25" customHeight="1" x14ac:dyDescent="0.35">
      <c r="A927" s="39" t="s">
        <v>960</v>
      </c>
      <c r="B927" s="40" t="str">
        <f ca="1">IFERROR(INDEX(UNSPSCDes,MATCH(INDIRECT(ADDRESS(ROW(),COLUMN()-1,4)),UNSPSCCode,0)),IF(INDIRECT(ADDRESS(ROW(),COLUMN()-1,4))="25171718","Kits de reparación de frenos",""))</f>
        <v>Kits de reparación de frenos</v>
      </c>
      <c r="C927" s="72" t="str">
        <f>IFERROR(VLOOKUP("UD",'Informacion '!P:Q,2,FALSE),"")</f>
        <v>Unidad</v>
      </c>
      <c r="D927" s="39">
        <v>2</v>
      </c>
      <c r="E927" s="42">
        <v>276</v>
      </c>
      <c r="F927" s="41">
        <f ca="1">INDIRECT(ADDRESS(ROW(),COLUMN()-2,4))*INDIRECT(ADDRESS(ROW(),COLUMN()-1,4))</f>
        <v>552</v>
      </c>
    </row>
    <row r="928" spans="1:10" ht="14.25" customHeight="1" x14ac:dyDescent="0.35">
      <c r="A928" s="39" t="s">
        <v>2219</v>
      </c>
      <c r="B928" s="40" t="str">
        <f ca="1">IFERROR(INDEX(UNSPSCDes,MATCH(INDIRECT(ADDRESS(ROW(),COLUMN()-1,4)),UNSPSCCode,0)),IF(INDIRECT(ADDRESS(ROW(),COLUMN()-1,4))="25174601","Fundas de asientos",""))</f>
        <v>Fundas de asientos</v>
      </c>
      <c r="C928" s="72" t="str">
        <f>IFERROR(VLOOKUP("UD",'Informacion '!P:Q,2,FALSE),"")</f>
        <v>Unidad</v>
      </c>
      <c r="D928" s="39">
        <v>76</v>
      </c>
      <c r="E928" s="42">
        <v>118</v>
      </c>
      <c r="F928" s="41">
        <f ca="1">INDIRECT(ADDRESS(ROW(),COLUMN()-2,4))*INDIRECT(ADDRESS(ROW(),COLUMN()-1,4))</f>
        <v>8968</v>
      </c>
    </row>
    <row r="929" spans="1:10" ht="14.25" customHeight="1" x14ac:dyDescent="0.35">
      <c r="E929" s="44" t="s">
        <v>13122</v>
      </c>
      <c r="F929" s="45">
        <f ca="1">SUM(Table60[MONTO TOTAL ESTIMADO])</f>
        <v>10355.5</v>
      </c>
      <c r="H929" s="24" t="str">
        <f>C919</f>
        <v>Bienes</v>
      </c>
      <c r="I929" s="24" t="str">
        <f>E919</f>
        <v>Sí</v>
      </c>
      <c r="J929" s="24" t="str">
        <f>D919</f>
        <v>Compras por debajo del Umbral</v>
      </c>
    </row>
    <row r="931" spans="1:10" ht="34" customHeight="1" x14ac:dyDescent="0.35">
      <c r="A931" s="36" t="s">
        <v>17105</v>
      </c>
      <c r="B931" s="36" t="s">
        <v>167</v>
      </c>
      <c r="C931" s="36" t="s">
        <v>12252</v>
      </c>
      <c r="D931" s="36" t="s">
        <v>15021</v>
      </c>
      <c r="E931" s="36" t="s">
        <v>11455</v>
      </c>
      <c r="F931" s="36" t="s">
        <v>11595</v>
      </c>
    </row>
    <row r="932" spans="1:10" ht="14.25" customHeight="1" x14ac:dyDescent="0.35">
      <c r="A932" s="37" t="s">
        <v>17287</v>
      </c>
      <c r="B932" s="37" t="s">
        <v>17287</v>
      </c>
      <c r="C932" s="37" t="s">
        <v>7109</v>
      </c>
      <c r="D932" s="37" t="s">
        <v>18256</v>
      </c>
      <c r="E932" s="37" t="s">
        <v>9261</v>
      </c>
      <c r="F932" s="37" t="s">
        <v>7088</v>
      </c>
    </row>
    <row r="933" spans="1:10" ht="14.25" customHeight="1" x14ac:dyDescent="0.35">
      <c r="A933" s="75" t="s">
        <v>15490</v>
      </c>
      <c r="B933" s="38" t="s">
        <v>8918</v>
      </c>
      <c r="C933" s="68">
        <v>45383</v>
      </c>
      <c r="D933" s="75" t="s">
        <v>9819</v>
      </c>
      <c r="E933" s="70" t="s">
        <v>13683</v>
      </c>
      <c r="F933" s="71" t="s">
        <v>3205</v>
      </c>
    </row>
    <row r="934" spans="1:10" ht="14.25" customHeight="1" x14ac:dyDescent="0.35">
      <c r="A934" s="76"/>
      <c r="B934" s="38" t="s">
        <v>1858</v>
      </c>
      <c r="C934" s="69">
        <f>IF(C933="","",IF(AND(MONTH(C933)&gt;=1,MONTH(C933)&lt;=3),1,IF(AND(MONTH(C933)&gt;=4,MONTH(C933)&lt;=6),2,IF(AND(MONTH(C933)&gt;=7,MONTH(C933)&lt;=9),3,4))))</f>
        <v>2</v>
      </c>
      <c r="D934" s="76"/>
      <c r="E934" s="70" t="s">
        <v>2509</v>
      </c>
      <c r="F934" s="71" t="s">
        <v>11612</v>
      </c>
    </row>
    <row r="935" spans="1:10" ht="14.25" customHeight="1" x14ac:dyDescent="0.35">
      <c r="A935" s="76"/>
      <c r="B935" s="38" t="s">
        <v>13526</v>
      </c>
      <c r="C935" s="68">
        <v>45471</v>
      </c>
      <c r="D935" s="76"/>
      <c r="E935" s="70" t="s">
        <v>3198</v>
      </c>
      <c r="F935" s="71" t="s">
        <v>11612</v>
      </c>
    </row>
    <row r="936" spans="1:10" ht="14.25" customHeight="1" x14ac:dyDescent="0.35">
      <c r="A936" s="76"/>
      <c r="B936" s="38" t="s">
        <v>1858</v>
      </c>
      <c r="C936" s="69">
        <f>IF(C935="","",IF(AND(MONTH(C935)&gt;=1,MONTH(C935)&lt;=3),1,IF(AND(MONTH(C935)&gt;=4,MONTH(C935)&lt;=6),2,IF(AND(MONTH(C935)&gt;=7,MONTH(C935)&lt;=9),3,4))))</f>
        <v>2</v>
      </c>
      <c r="D936" s="76"/>
      <c r="E936" s="70" t="s">
        <v>13785</v>
      </c>
      <c r="F936" s="71"/>
    </row>
    <row r="938" spans="1:10" ht="14.25" customHeight="1" x14ac:dyDescent="0.35">
      <c r="A938" s="43" t="s">
        <v>16424</v>
      </c>
      <c r="B938" s="43" t="s">
        <v>16856</v>
      </c>
      <c r="C938" s="43" t="s">
        <v>16326</v>
      </c>
      <c r="D938" s="43" t="s">
        <v>15925</v>
      </c>
      <c r="E938" s="43" t="s">
        <v>7248</v>
      </c>
      <c r="F938" s="43" t="s">
        <v>15955</v>
      </c>
    </row>
    <row r="939" spans="1:10" ht="14.25" customHeight="1" x14ac:dyDescent="0.35">
      <c r="A939" s="39" t="s">
        <v>7935</v>
      </c>
      <c r="B939" s="40" t="str">
        <f ca="1">IFERROR(INDEX(UNSPSCDes,MATCH(INDIRECT(ADDRESS(ROW(),COLUMN()-1,4)),UNSPSCCode,0)),IF(INDIRECT(ADDRESS(ROW(),COLUMN()-1,4))="25201901","Sistemas de control o extinción de incendios en aeronaves",""))</f>
        <v>Sistemas de control o extinción de incendios en aeronaves</v>
      </c>
      <c r="C939" s="72" t="str">
        <f>IFERROR(VLOOKUP("UD",'Informacion '!P:Q,2,FALSE),"")</f>
        <v>Unidad</v>
      </c>
      <c r="D939" s="39">
        <v>1</v>
      </c>
      <c r="E939" s="42">
        <v>500000</v>
      </c>
      <c r="F939" s="41">
        <f ca="1">INDIRECT(ADDRESS(ROW(),COLUMN()-2,4))*INDIRECT(ADDRESS(ROW(),COLUMN()-1,4))</f>
        <v>500000</v>
      </c>
    </row>
    <row r="940" spans="1:10" ht="14.25" customHeight="1" x14ac:dyDescent="0.35">
      <c r="E940" s="44" t="s">
        <v>13122</v>
      </c>
      <c r="F940" s="45">
        <f ca="1">SUM(Table61[MONTO TOTAL ESTIMADO])</f>
        <v>500000</v>
      </c>
      <c r="H940" s="24" t="str">
        <f>C932</f>
        <v>Servicios</v>
      </c>
      <c r="I940" s="24" t="str">
        <f>E932</f>
        <v>Sí</v>
      </c>
      <c r="J940" s="24" t="str">
        <f>D932</f>
        <v>Compras Menores</v>
      </c>
    </row>
    <row r="942" spans="1:10" ht="34" customHeight="1" x14ac:dyDescent="0.35">
      <c r="A942" s="36" t="s">
        <v>17105</v>
      </c>
      <c r="B942" s="36" t="s">
        <v>167</v>
      </c>
      <c r="C942" s="36" t="s">
        <v>12252</v>
      </c>
      <c r="D942" s="36" t="s">
        <v>15021</v>
      </c>
      <c r="E942" s="36" t="s">
        <v>11455</v>
      </c>
      <c r="F942" s="36" t="s">
        <v>11595</v>
      </c>
    </row>
    <row r="943" spans="1:10" ht="14.25" customHeight="1" x14ac:dyDescent="0.35">
      <c r="A943" s="37" t="s">
        <v>1362</v>
      </c>
      <c r="B943" s="37" t="s">
        <v>1362</v>
      </c>
      <c r="C943" s="37" t="s">
        <v>18585</v>
      </c>
      <c r="D943" s="37" t="s">
        <v>10634</v>
      </c>
      <c r="E943" s="37" t="s">
        <v>9261</v>
      </c>
      <c r="F943" s="37" t="s">
        <v>7088</v>
      </c>
    </row>
    <row r="944" spans="1:10" ht="14.25" customHeight="1" x14ac:dyDescent="0.35">
      <c r="A944" s="75" t="s">
        <v>15490</v>
      </c>
      <c r="B944" s="38" t="s">
        <v>8918</v>
      </c>
      <c r="C944" s="68">
        <v>45334</v>
      </c>
      <c r="D944" s="75" t="s">
        <v>9819</v>
      </c>
      <c r="E944" s="70" t="s">
        <v>13683</v>
      </c>
      <c r="F944" s="71" t="s">
        <v>3205</v>
      </c>
    </row>
    <row r="945" spans="1:10" ht="14.25" customHeight="1" x14ac:dyDescent="0.35">
      <c r="A945" s="76"/>
      <c r="B945" s="38" t="s">
        <v>1858</v>
      </c>
      <c r="C945" s="69">
        <f>IF(C944="","",IF(AND(MONTH(C944)&gt;=1,MONTH(C944)&lt;=3),1,IF(AND(MONTH(C944)&gt;=4,MONTH(C944)&lt;=6),2,IF(AND(MONTH(C944)&gt;=7,MONTH(C944)&lt;=9),3,4))))</f>
        <v>1</v>
      </c>
      <c r="D945" s="76"/>
      <c r="E945" s="70" t="s">
        <v>2509</v>
      </c>
      <c r="F945" s="71" t="s">
        <v>11612</v>
      </c>
    </row>
    <row r="946" spans="1:10" ht="14.25" customHeight="1" x14ac:dyDescent="0.35">
      <c r="A946" s="76"/>
      <c r="B946" s="38" t="s">
        <v>13526</v>
      </c>
      <c r="C946" s="68">
        <v>45378</v>
      </c>
      <c r="D946" s="76"/>
      <c r="E946" s="70" t="s">
        <v>3198</v>
      </c>
      <c r="F946" s="71" t="s">
        <v>11612</v>
      </c>
    </row>
    <row r="947" spans="1:10" ht="14.25" customHeight="1" x14ac:dyDescent="0.35">
      <c r="A947" s="76"/>
      <c r="B947" s="38" t="s">
        <v>1858</v>
      </c>
      <c r="C947" s="69">
        <f>IF(C946="","",IF(AND(MONTH(C946)&gt;=1,MONTH(C946)&lt;=3),1,IF(AND(MONTH(C946)&gt;=4,MONTH(C946)&lt;=6),2,IF(AND(MONTH(C946)&gt;=7,MONTH(C946)&lt;=9),3,4))))</f>
        <v>1</v>
      </c>
      <c r="D947" s="76"/>
      <c r="E947" s="70" t="s">
        <v>13785</v>
      </c>
      <c r="F947" s="71"/>
    </row>
    <row r="949" spans="1:10" ht="14.25" customHeight="1" x14ac:dyDescent="0.35">
      <c r="A949" s="43" t="s">
        <v>16424</v>
      </c>
      <c r="B949" s="43" t="s">
        <v>16856</v>
      </c>
      <c r="C949" s="43" t="s">
        <v>16326</v>
      </c>
      <c r="D949" s="43" t="s">
        <v>15925</v>
      </c>
      <c r="E949" s="43" t="s">
        <v>7248</v>
      </c>
      <c r="F949" s="43" t="s">
        <v>15955</v>
      </c>
    </row>
    <row r="950" spans="1:10" ht="14.25" customHeight="1" x14ac:dyDescent="0.35">
      <c r="A950" s="39" t="s">
        <v>5621</v>
      </c>
      <c r="B950" s="40" t="str">
        <f ca="1">IFERROR(INDEX(UNSPSCDes,MATCH(INDIRECT(ADDRESS(ROW(),COLUMN()-1,4)),UNSPSCCode,0)),IF(INDIRECT(ADDRESS(ROW(),COLUMN()-1,4))="26101731","Brazos oscilantes",""))</f>
        <v>Brazos oscilantes</v>
      </c>
      <c r="C950" s="72" t="str">
        <f>IFERROR(VLOOKUP("UD",'Informacion '!P:Q,2,FALSE),"")</f>
        <v>Unidad</v>
      </c>
      <c r="D950" s="39">
        <v>15</v>
      </c>
      <c r="E950" s="42">
        <v>1865</v>
      </c>
      <c r="F950" s="41">
        <f ca="1">INDIRECT(ADDRESS(ROW(),COLUMN()-2,4))*INDIRECT(ADDRESS(ROW(),COLUMN()-1,4))</f>
        <v>27975</v>
      </c>
    </row>
    <row r="951" spans="1:10" ht="14.25" customHeight="1" x14ac:dyDescent="0.35">
      <c r="A951" s="39" t="s">
        <v>6236</v>
      </c>
      <c r="B951" s="40" t="str">
        <f ca="1">IFERROR(INDEX(UNSPSCDes,MATCH(INDIRECT(ADDRESS(ROW(),COLUMN()-1,4)),UNSPSCCode,0)),IF(INDIRECT(ADDRESS(ROW(),COLUMN()-1,4))="26101758","Ajustadores del balancín",""))</f>
        <v>Ajustadores del balancín</v>
      </c>
      <c r="C951" s="72" t="str">
        <f>IFERROR(VLOOKUP("UD",'Informacion '!P:Q,2,FALSE),"")</f>
        <v>Unidad</v>
      </c>
      <c r="D951" s="39">
        <v>12</v>
      </c>
      <c r="E951" s="42">
        <v>143.72</v>
      </c>
      <c r="F951" s="41">
        <f ca="1">INDIRECT(ADDRESS(ROW(),COLUMN()-2,4))*INDIRECT(ADDRESS(ROW(),COLUMN()-1,4))</f>
        <v>1724.6399999999999</v>
      </c>
    </row>
    <row r="952" spans="1:10" ht="14.25" customHeight="1" x14ac:dyDescent="0.35">
      <c r="E952" s="44" t="s">
        <v>13122</v>
      </c>
      <c r="F952" s="45">
        <f ca="1">SUM(Table62[MONTO TOTAL ESTIMADO])</f>
        <v>29699.64</v>
      </c>
      <c r="H952" s="24" t="str">
        <f>C943</f>
        <v>Bienes</v>
      </c>
      <c r="I952" s="24" t="str">
        <f>E943</f>
        <v>Sí</v>
      </c>
      <c r="J952" s="24" t="str">
        <f>D943</f>
        <v>Compras por debajo del Umbral</v>
      </c>
    </row>
    <row r="954" spans="1:10" ht="34" customHeight="1" x14ac:dyDescent="0.35">
      <c r="A954" s="36" t="s">
        <v>17105</v>
      </c>
      <c r="B954" s="36" t="s">
        <v>167</v>
      </c>
      <c r="C954" s="36" t="s">
        <v>12252</v>
      </c>
      <c r="D954" s="36" t="s">
        <v>15021</v>
      </c>
      <c r="E954" s="36" t="s">
        <v>11455</v>
      </c>
      <c r="F954" s="36" t="s">
        <v>11595</v>
      </c>
    </row>
    <row r="955" spans="1:10" ht="14.25" customHeight="1" x14ac:dyDescent="0.35">
      <c r="A955" s="37" t="s">
        <v>3488</v>
      </c>
      <c r="B955" s="37" t="s">
        <v>3488</v>
      </c>
      <c r="C955" s="37" t="s">
        <v>18585</v>
      </c>
      <c r="D955" s="37" t="s">
        <v>2615</v>
      </c>
      <c r="E955" s="37" t="s">
        <v>18646</v>
      </c>
      <c r="F955" s="37" t="s">
        <v>7088</v>
      </c>
    </row>
    <row r="956" spans="1:10" ht="14.25" customHeight="1" x14ac:dyDescent="0.35">
      <c r="A956" s="75" t="s">
        <v>15490</v>
      </c>
      <c r="B956" s="38" t="s">
        <v>8918</v>
      </c>
      <c r="C956" s="68">
        <v>45334</v>
      </c>
      <c r="D956" s="75" t="s">
        <v>9819</v>
      </c>
      <c r="E956" s="70" t="s">
        <v>13683</v>
      </c>
      <c r="F956" s="71" t="s">
        <v>3205</v>
      </c>
    </row>
    <row r="957" spans="1:10" ht="14.25" customHeight="1" x14ac:dyDescent="0.35">
      <c r="A957" s="76"/>
      <c r="B957" s="38" t="s">
        <v>1858</v>
      </c>
      <c r="C957" s="69">
        <f>IF(C956="","",IF(AND(MONTH(C956)&gt;=1,MONTH(C956)&lt;=3),1,IF(AND(MONTH(C956)&gt;=4,MONTH(C956)&lt;=6),2,IF(AND(MONTH(C956)&gt;=7,MONTH(C956)&lt;=9),3,4))))</f>
        <v>1</v>
      </c>
      <c r="D957" s="76"/>
      <c r="E957" s="70" t="s">
        <v>2509</v>
      </c>
      <c r="F957" s="71" t="s">
        <v>11612</v>
      </c>
    </row>
    <row r="958" spans="1:10" ht="14.25" customHeight="1" x14ac:dyDescent="0.35">
      <c r="A958" s="76"/>
      <c r="B958" s="38" t="s">
        <v>13526</v>
      </c>
      <c r="C958" s="68">
        <v>45378</v>
      </c>
      <c r="D958" s="76"/>
      <c r="E958" s="70" t="s">
        <v>3198</v>
      </c>
      <c r="F958" s="71" t="s">
        <v>11612</v>
      </c>
    </row>
    <row r="959" spans="1:10" ht="14.25" customHeight="1" x14ac:dyDescent="0.35">
      <c r="A959" s="76"/>
      <c r="B959" s="38" t="s">
        <v>1858</v>
      </c>
      <c r="C959" s="69">
        <f>IF(C958="","",IF(AND(MONTH(C958)&gt;=1,MONTH(C958)&lt;=3),1,IF(AND(MONTH(C958)&gt;=4,MONTH(C958)&lt;=6),2,IF(AND(MONTH(C958)&gt;=7,MONTH(C958)&lt;=9),3,4))))</f>
        <v>1</v>
      </c>
      <c r="D959" s="76"/>
      <c r="E959" s="70" t="s">
        <v>13785</v>
      </c>
      <c r="F959" s="71"/>
    </row>
    <row r="961" spans="1:10" ht="14.25" customHeight="1" x14ac:dyDescent="0.35">
      <c r="A961" s="43" t="s">
        <v>16424</v>
      </c>
      <c r="B961" s="43" t="s">
        <v>16856</v>
      </c>
      <c r="C961" s="43" t="s">
        <v>16326</v>
      </c>
      <c r="D961" s="43" t="s">
        <v>15925</v>
      </c>
      <c r="E961" s="43" t="s">
        <v>7248</v>
      </c>
      <c r="F961" s="43" t="s">
        <v>15955</v>
      </c>
    </row>
    <row r="962" spans="1:10" ht="14.25" customHeight="1" x14ac:dyDescent="0.35">
      <c r="A962" s="39" t="s">
        <v>3195</v>
      </c>
      <c r="B962" s="40" t="str">
        <f ca="1">IFERROR(INDEX(UNSPSCDes,MATCH(INDIRECT(ADDRESS(ROW(),COLUMN()-1,4)),UNSPSCCode,0)),IF(INDIRECT(ADDRESS(ROW(),COLUMN()-1,4))="26111702","Pilas alcalinas",""))</f>
        <v>Pilas alcalinas</v>
      </c>
      <c r="C962" s="72" t="str">
        <f>IFERROR(VLOOKUP("UD",'Informacion '!P:Q,2,FALSE),"")</f>
        <v>Unidad</v>
      </c>
      <c r="D962" s="39">
        <v>3</v>
      </c>
      <c r="E962" s="42">
        <v>1099</v>
      </c>
      <c r="F962" s="41">
        <f t="shared" ref="F962:F973" ca="1" si="36">INDIRECT(ADDRESS(ROW(),COLUMN()-2,4))*INDIRECT(ADDRESS(ROW(),COLUMN()-1,4))</f>
        <v>3297</v>
      </c>
    </row>
    <row r="963" spans="1:10" ht="14.25" customHeight="1" x14ac:dyDescent="0.35">
      <c r="A963" s="39" t="s">
        <v>3195</v>
      </c>
      <c r="B963" s="40" t="str">
        <f ca="1">IFERROR(INDEX(UNSPSCDes,MATCH(INDIRECT(ADDRESS(ROW(),COLUMN()-1,4)),UNSPSCCode,0)),IF(INDIRECT(ADDRESS(ROW(),COLUMN()-1,4))="26111702","Pilas alcalinas",""))</f>
        <v>Pilas alcalinas</v>
      </c>
      <c r="C963" s="72" t="str">
        <f>IFERROR(VLOOKUP("UD",'Informacion '!P:Q,2,FALSE),"")</f>
        <v>Unidad</v>
      </c>
      <c r="D963" s="39">
        <v>3</v>
      </c>
      <c r="E963" s="42">
        <v>1360</v>
      </c>
      <c r="F963" s="41">
        <f t="shared" ca="1" si="36"/>
        <v>4080</v>
      </c>
    </row>
    <row r="964" spans="1:10" ht="14.25" customHeight="1" x14ac:dyDescent="0.35">
      <c r="A964" s="39" t="s">
        <v>7680</v>
      </c>
      <c r="B964" s="40" t="str">
        <f ca="1">IFERROR(INDEX(UNSPSCDes,MATCH(INDIRECT(ADDRESS(ROW(),COLUMN()-1,4)),UNSPSCCode,0)),IF(INDIRECT(ADDRESS(ROW(),COLUMN()-1,4))="26111707","Baterías de plomo-ácido",""))</f>
        <v>Baterías de plomo-ácido</v>
      </c>
      <c r="C964" s="72" t="str">
        <f>IFERROR(VLOOKUP("UD",'Informacion '!P:Q,2,FALSE),"")</f>
        <v>Unidad</v>
      </c>
      <c r="D964" s="39">
        <v>200</v>
      </c>
      <c r="E964" s="42">
        <v>15869.74</v>
      </c>
      <c r="F964" s="41">
        <f t="shared" ca="1" si="36"/>
        <v>3173948</v>
      </c>
    </row>
    <row r="965" spans="1:10" ht="14.25" customHeight="1" x14ac:dyDescent="0.35">
      <c r="A965" s="39" t="s">
        <v>7680</v>
      </c>
      <c r="B965" s="40" t="str">
        <f ca="1">IFERROR(INDEX(UNSPSCDes,MATCH(INDIRECT(ADDRESS(ROW(),COLUMN()-1,4)),UNSPSCCode,0)),IF(INDIRECT(ADDRESS(ROW(),COLUMN()-1,4))="26111707","Baterías de plomo-ácido",""))</f>
        <v>Baterías de plomo-ácido</v>
      </c>
      <c r="C965" s="72" t="str">
        <f>IFERROR(VLOOKUP("UD",'Informacion '!P:Q,2,FALSE),"")</f>
        <v>Unidad</v>
      </c>
      <c r="D965" s="39">
        <v>200</v>
      </c>
      <c r="E965" s="42">
        <v>15869.74</v>
      </c>
      <c r="F965" s="41">
        <f t="shared" ca="1" si="36"/>
        <v>3173948</v>
      </c>
    </row>
    <row r="966" spans="1:10" ht="14.25" customHeight="1" x14ac:dyDescent="0.35">
      <c r="A966" s="39" t="s">
        <v>7680</v>
      </c>
      <c r="B966" s="40" t="str">
        <f ca="1">IFERROR(INDEX(UNSPSCDes,MATCH(INDIRECT(ADDRESS(ROW(),COLUMN()-1,4)),UNSPSCCode,0)),IF(INDIRECT(ADDRESS(ROW(),COLUMN()-1,4))="26111707","Baterías de plomo-ácido",""))</f>
        <v>Baterías de plomo-ácido</v>
      </c>
      <c r="C966" s="72" t="str">
        <f>IFERROR(VLOOKUP("UD",'Informacion '!P:Q,2,FALSE),"")</f>
        <v>Unidad</v>
      </c>
      <c r="D966" s="39">
        <v>200</v>
      </c>
      <c r="E966" s="42">
        <v>15869.74</v>
      </c>
      <c r="F966" s="41">
        <f t="shared" ca="1" si="36"/>
        <v>3173948</v>
      </c>
    </row>
    <row r="967" spans="1:10" ht="14.25" customHeight="1" x14ac:dyDescent="0.35">
      <c r="A967" s="39" t="s">
        <v>7680</v>
      </c>
      <c r="B967" s="40" t="str">
        <f ca="1">IFERROR(INDEX(UNSPSCDes,MATCH(INDIRECT(ADDRESS(ROW(),COLUMN()-1,4)),UNSPSCCode,0)),IF(INDIRECT(ADDRESS(ROW(),COLUMN()-1,4))="26111707","Baterías de plomo-ácido",""))</f>
        <v>Baterías de plomo-ácido</v>
      </c>
      <c r="C967" s="72" t="str">
        <f>IFERROR(VLOOKUP("UD",'Informacion '!P:Q,2,FALSE),"")</f>
        <v>Unidad</v>
      </c>
      <c r="D967" s="39">
        <v>290</v>
      </c>
      <c r="E967" s="42">
        <v>15869.74</v>
      </c>
      <c r="F967" s="41">
        <f t="shared" ca="1" si="36"/>
        <v>4602224.5999999996</v>
      </c>
    </row>
    <row r="968" spans="1:10" ht="14.25" customHeight="1" x14ac:dyDescent="0.35">
      <c r="A968" s="39" t="s">
        <v>7680</v>
      </c>
      <c r="B968" s="40" t="str">
        <f ca="1">IFERROR(INDEX(UNSPSCDes,MATCH(INDIRECT(ADDRESS(ROW(),COLUMN()-1,4)),UNSPSCCode,0)),IF(INDIRECT(ADDRESS(ROW(),COLUMN()-1,4))="26111707","Baterías de plomo-ácido",""))</f>
        <v>Baterías de plomo-ácido</v>
      </c>
      <c r="C968" s="72" t="str">
        <f>IFERROR(VLOOKUP("UD",'Informacion '!P:Q,2,FALSE),"")</f>
        <v>Unidad</v>
      </c>
      <c r="D968" s="39">
        <v>400</v>
      </c>
      <c r="E968" s="42">
        <v>15869.74</v>
      </c>
      <c r="F968" s="41">
        <f t="shared" ca="1" si="36"/>
        <v>6347896</v>
      </c>
    </row>
    <row r="969" spans="1:10" ht="14.25" customHeight="1" x14ac:dyDescent="0.35">
      <c r="A969" s="39" t="s">
        <v>8217</v>
      </c>
      <c r="B969" s="40" t="str">
        <f ca="1">IFERROR(INDEX(UNSPSCDes,MATCH(INDIRECT(ADDRESS(ROW(),COLUMN()-1,4)),UNSPSCCode,0)),IF(INDIRECT(ADDRESS(ROW(),COLUMN()-1,4))="26111720","Soportes de batería",""))</f>
        <v>Soportes de batería</v>
      </c>
      <c r="C969" s="72" t="str">
        <f>IFERROR(VLOOKUP("UD",'Informacion '!P:Q,2,FALSE),"")</f>
        <v>Unidad</v>
      </c>
      <c r="D969" s="39">
        <v>100</v>
      </c>
      <c r="E969" s="42">
        <v>992.23</v>
      </c>
      <c r="F969" s="41">
        <f t="shared" ca="1" si="36"/>
        <v>99223</v>
      </c>
    </row>
    <row r="970" spans="1:10" ht="14.25" customHeight="1" x14ac:dyDescent="0.35">
      <c r="A970" s="39" t="s">
        <v>8217</v>
      </c>
      <c r="B970" s="40" t="str">
        <f ca="1">IFERROR(INDEX(UNSPSCDes,MATCH(INDIRECT(ADDRESS(ROW(),COLUMN()-1,4)),UNSPSCCode,0)),IF(INDIRECT(ADDRESS(ROW(),COLUMN()-1,4))="26111720","Soportes de batería",""))</f>
        <v>Soportes de batería</v>
      </c>
      <c r="C970" s="72" t="str">
        <f>IFERROR(VLOOKUP("UD",'Informacion '!P:Q,2,FALSE),"")</f>
        <v>Unidad</v>
      </c>
      <c r="D970" s="39">
        <v>100</v>
      </c>
      <c r="E970" s="42">
        <v>992.23</v>
      </c>
      <c r="F970" s="41">
        <f t="shared" ca="1" si="36"/>
        <v>99223</v>
      </c>
    </row>
    <row r="971" spans="1:10" ht="14.25" customHeight="1" x14ac:dyDescent="0.35">
      <c r="A971" s="39" t="s">
        <v>8217</v>
      </c>
      <c r="B971" s="40" t="str">
        <f ca="1">IFERROR(INDEX(UNSPSCDes,MATCH(INDIRECT(ADDRESS(ROW(),COLUMN()-1,4)),UNSPSCCode,0)),IF(INDIRECT(ADDRESS(ROW(),COLUMN()-1,4))="26111720","Soportes de batería",""))</f>
        <v>Soportes de batería</v>
      </c>
      <c r="C971" s="72" t="str">
        <f>IFERROR(VLOOKUP("UD",'Informacion '!P:Q,2,FALSE),"")</f>
        <v>Unidad</v>
      </c>
      <c r="D971" s="39">
        <v>100</v>
      </c>
      <c r="E971" s="42">
        <v>992.23</v>
      </c>
      <c r="F971" s="41">
        <f t="shared" ca="1" si="36"/>
        <v>99223</v>
      </c>
    </row>
    <row r="972" spans="1:10" ht="14.25" customHeight="1" x14ac:dyDescent="0.35">
      <c r="A972" s="39" t="s">
        <v>8217</v>
      </c>
      <c r="B972" s="40" t="str">
        <f ca="1">IFERROR(INDEX(UNSPSCDes,MATCH(INDIRECT(ADDRESS(ROW(),COLUMN()-1,4)),UNSPSCCode,0)),IF(INDIRECT(ADDRESS(ROW(),COLUMN()-1,4))="26111720","Soportes de batería",""))</f>
        <v>Soportes de batería</v>
      </c>
      <c r="C972" s="72" t="str">
        <f>IFERROR(VLOOKUP("UD",'Informacion '!P:Q,2,FALSE),"")</f>
        <v>Unidad</v>
      </c>
      <c r="D972" s="39">
        <v>145</v>
      </c>
      <c r="E972" s="42">
        <v>992.23</v>
      </c>
      <c r="F972" s="41">
        <f t="shared" ca="1" si="36"/>
        <v>143873.35</v>
      </c>
    </row>
    <row r="973" spans="1:10" ht="14.25" customHeight="1" x14ac:dyDescent="0.35">
      <c r="A973" s="39" t="s">
        <v>8217</v>
      </c>
      <c r="B973" s="40" t="str">
        <f ca="1">IFERROR(INDEX(UNSPSCDes,MATCH(INDIRECT(ADDRESS(ROW(),COLUMN()-1,4)),UNSPSCCode,0)),IF(INDIRECT(ADDRESS(ROW(),COLUMN()-1,4))="26111720","Soportes de batería",""))</f>
        <v>Soportes de batería</v>
      </c>
      <c r="C973" s="72" t="str">
        <f>IFERROR(VLOOKUP("UD",'Informacion '!P:Q,2,FALSE),"")</f>
        <v>Unidad</v>
      </c>
      <c r="D973" s="39">
        <v>200</v>
      </c>
      <c r="E973" s="42">
        <v>992.23</v>
      </c>
      <c r="F973" s="41">
        <f t="shared" ca="1" si="36"/>
        <v>198446</v>
      </c>
    </row>
    <row r="974" spans="1:10" ht="14.25" customHeight="1" x14ac:dyDescent="0.35">
      <c r="E974" s="44" t="s">
        <v>13122</v>
      </c>
      <c r="F974" s="45">
        <f ca="1">SUM(Table63[MONTO TOTAL ESTIMADO])</f>
        <v>21119329.950000003</v>
      </c>
      <c r="H974" s="24" t="str">
        <f>C955</f>
        <v>Bienes</v>
      </c>
      <c r="I974" s="24" t="str">
        <f>E955</f>
        <v>No</v>
      </c>
      <c r="J974" s="24" t="str">
        <f>D955</f>
        <v>Licitacion Publica</v>
      </c>
    </row>
    <row r="976" spans="1:10" ht="34" customHeight="1" x14ac:dyDescent="0.35">
      <c r="A976" s="36" t="s">
        <v>17105</v>
      </c>
      <c r="B976" s="36" t="s">
        <v>167</v>
      </c>
      <c r="C976" s="36" t="s">
        <v>12252</v>
      </c>
      <c r="D976" s="36" t="s">
        <v>15021</v>
      </c>
      <c r="E976" s="36" t="s">
        <v>11455</v>
      </c>
      <c r="F976" s="36" t="s">
        <v>11595</v>
      </c>
    </row>
    <row r="977" spans="1:10" ht="14.25" customHeight="1" x14ac:dyDescent="0.35">
      <c r="A977" s="37" t="s">
        <v>3488</v>
      </c>
      <c r="B977" s="37" t="s">
        <v>3488</v>
      </c>
      <c r="C977" s="37" t="s">
        <v>18585</v>
      </c>
      <c r="D977" s="37" t="s">
        <v>10634</v>
      </c>
      <c r="E977" s="37" t="s">
        <v>9261</v>
      </c>
      <c r="F977" s="37" t="s">
        <v>7088</v>
      </c>
    </row>
    <row r="978" spans="1:10" ht="14.25" customHeight="1" x14ac:dyDescent="0.35">
      <c r="A978" s="75" t="s">
        <v>15490</v>
      </c>
      <c r="B978" s="38" t="s">
        <v>8918</v>
      </c>
      <c r="C978" s="68">
        <v>45383</v>
      </c>
      <c r="D978" s="75" t="s">
        <v>9819</v>
      </c>
      <c r="E978" s="70" t="s">
        <v>13683</v>
      </c>
      <c r="F978" s="71" t="s">
        <v>3205</v>
      </c>
    </row>
    <row r="979" spans="1:10" ht="14.25" customHeight="1" x14ac:dyDescent="0.35">
      <c r="A979" s="76"/>
      <c r="B979" s="38" t="s">
        <v>1858</v>
      </c>
      <c r="C979" s="69">
        <f>IF(C978="","",IF(AND(MONTH(C978)&gt;=1,MONTH(C978)&lt;=3),1,IF(AND(MONTH(C978)&gt;=4,MONTH(C978)&lt;=6),2,IF(AND(MONTH(C978)&gt;=7,MONTH(C978)&lt;=9),3,4))))</f>
        <v>2</v>
      </c>
      <c r="D979" s="76"/>
      <c r="E979" s="70" t="s">
        <v>2509</v>
      </c>
      <c r="F979" s="71" t="s">
        <v>11612</v>
      </c>
    </row>
    <row r="980" spans="1:10" ht="14.25" customHeight="1" x14ac:dyDescent="0.35">
      <c r="A980" s="76"/>
      <c r="B980" s="38" t="s">
        <v>13526</v>
      </c>
      <c r="C980" s="68">
        <v>45471</v>
      </c>
      <c r="D980" s="76"/>
      <c r="E980" s="70" t="s">
        <v>3198</v>
      </c>
      <c r="F980" s="71" t="s">
        <v>11612</v>
      </c>
    </row>
    <row r="981" spans="1:10" ht="14.25" customHeight="1" x14ac:dyDescent="0.35">
      <c r="A981" s="76"/>
      <c r="B981" s="38" t="s">
        <v>1858</v>
      </c>
      <c r="C981" s="69">
        <f>IF(C980="","",IF(AND(MONTH(C980)&gt;=1,MONTH(C980)&lt;=3),1,IF(AND(MONTH(C980)&gt;=4,MONTH(C980)&lt;=6),2,IF(AND(MONTH(C980)&gt;=7,MONTH(C980)&lt;=9),3,4))))</f>
        <v>2</v>
      </c>
      <c r="D981" s="76"/>
      <c r="E981" s="70" t="s">
        <v>13785</v>
      </c>
      <c r="F981" s="71"/>
    </row>
    <row r="983" spans="1:10" ht="14.25" customHeight="1" x14ac:dyDescent="0.35">
      <c r="A983" s="43" t="s">
        <v>16424</v>
      </c>
      <c r="B983" s="43" t="s">
        <v>16856</v>
      </c>
      <c r="C983" s="43" t="s">
        <v>16326</v>
      </c>
      <c r="D983" s="43" t="s">
        <v>15925</v>
      </c>
      <c r="E983" s="43" t="s">
        <v>7248</v>
      </c>
      <c r="F983" s="43" t="s">
        <v>15955</v>
      </c>
    </row>
    <row r="984" spans="1:10" ht="14.25" customHeight="1" x14ac:dyDescent="0.35">
      <c r="A984" s="39" t="s">
        <v>3195</v>
      </c>
      <c r="B984" s="40" t="str">
        <f ca="1">IFERROR(INDEX(UNSPSCDes,MATCH(INDIRECT(ADDRESS(ROW(),COLUMN()-1,4)),UNSPSCCode,0)),IF(INDIRECT(ADDRESS(ROW(),COLUMN()-1,4))="26111702","Pilas alcalinas",""))</f>
        <v>Pilas alcalinas</v>
      </c>
      <c r="C984" s="72" t="str">
        <f>IFERROR(VLOOKUP("UD",'Informacion '!P:Q,2,FALSE),"")</f>
        <v>Unidad</v>
      </c>
      <c r="D984" s="39">
        <v>6</v>
      </c>
      <c r="E984" s="42">
        <v>1099</v>
      </c>
      <c r="F984" s="41">
        <f ca="1">INDIRECT(ADDRESS(ROW(),COLUMN()-2,4))*INDIRECT(ADDRESS(ROW(),COLUMN()-1,4))</f>
        <v>6594</v>
      </c>
    </row>
    <row r="985" spans="1:10" ht="14.25" customHeight="1" x14ac:dyDescent="0.35">
      <c r="A985" s="39" t="s">
        <v>3195</v>
      </c>
      <c r="B985" s="40" t="str">
        <f ca="1">IFERROR(INDEX(UNSPSCDes,MATCH(INDIRECT(ADDRESS(ROW(),COLUMN()-1,4)),UNSPSCCode,0)),IF(INDIRECT(ADDRESS(ROW(),COLUMN()-1,4))="26111702","Pilas alcalinas",""))</f>
        <v>Pilas alcalinas</v>
      </c>
      <c r="C985" s="72" t="str">
        <f>IFERROR(VLOOKUP("UD",'Informacion '!P:Q,2,FALSE),"")</f>
        <v>Unidad</v>
      </c>
      <c r="D985" s="39">
        <v>6</v>
      </c>
      <c r="E985" s="42">
        <v>1360</v>
      </c>
      <c r="F985" s="41">
        <f ca="1">INDIRECT(ADDRESS(ROW(),COLUMN()-2,4))*INDIRECT(ADDRESS(ROW(),COLUMN()-1,4))</f>
        <v>8160</v>
      </c>
    </row>
    <row r="986" spans="1:10" ht="14.25" customHeight="1" x14ac:dyDescent="0.35">
      <c r="E986" s="44" t="s">
        <v>13122</v>
      </c>
      <c r="F986" s="45">
        <f ca="1">SUM(Table64[MONTO TOTAL ESTIMADO])</f>
        <v>14754</v>
      </c>
      <c r="H986" s="24" t="str">
        <f>C977</f>
        <v>Bienes</v>
      </c>
      <c r="I986" s="24" t="str">
        <f>E977</f>
        <v>Sí</v>
      </c>
      <c r="J986" s="24" t="str">
        <f>D977</f>
        <v>Compras por debajo del Umbral</v>
      </c>
    </row>
    <row r="988" spans="1:10" ht="34" customHeight="1" x14ac:dyDescent="0.35">
      <c r="A988" s="36" t="s">
        <v>17105</v>
      </c>
      <c r="B988" s="36" t="s">
        <v>167</v>
      </c>
      <c r="C988" s="36" t="s">
        <v>12252</v>
      </c>
      <c r="D988" s="36" t="s">
        <v>15021</v>
      </c>
      <c r="E988" s="36" t="s">
        <v>11455</v>
      </c>
      <c r="F988" s="36" t="s">
        <v>11595</v>
      </c>
    </row>
    <row r="989" spans="1:10" ht="14.25" customHeight="1" x14ac:dyDescent="0.35">
      <c r="A989" s="37" t="s">
        <v>3488</v>
      </c>
      <c r="B989" s="37" t="s">
        <v>3488</v>
      </c>
      <c r="C989" s="37" t="s">
        <v>18585</v>
      </c>
      <c r="D989" s="37" t="s">
        <v>10634</v>
      </c>
      <c r="E989" s="37" t="s">
        <v>9261</v>
      </c>
      <c r="F989" s="37" t="s">
        <v>7088</v>
      </c>
    </row>
    <row r="990" spans="1:10" ht="14.25" customHeight="1" x14ac:dyDescent="0.35">
      <c r="A990" s="75" t="s">
        <v>15490</v>
      </c>
      <c r="B990" s="38" t="s">
        <v>8918</v>
      </c>
      <c r="C990" s="68">
        <v>45474</v>
      </c>
      <c r="D990" s="75" t="s">
        <v>9819</v>
      </c>
      <c r="E990" s="70" t="s">
        <v>13683</v>
      </c>
      <c r="F990" s="71" t="s">
        <v>3205</v>
      </c>
    </row>
    <row r="991" spans="1:10" ht="14.25" customHeight="1" x14ac:dyDescent="0.35">
      <c r="A991" s="76"/>
      <c r="B991" s="38" t="s">
        <v>1858</v>
      </c>
      <c r="C991" s="69">
        <f>IF(C990="","",IF(AND(MONTH(C990)&gt;=1,MONTH(C990)&lt;=3),1,IF(AND(MONTH(C990)&gt;=4,MONTH(C990)&lt;=6),2,IF(AND(MONTH(C990)&gt;=7,MONTH(C990)&lt;=9),3,4))))</f>
        <v>3</v>
      </c>
      <c r="D991" s="76"/>
      <c r="E991" s="70" t="s">
        <v>2509</v>
      </c>
      <c r="F991" s="71" t="s">
        <v>11612</v>
      </c>
    </row>
    <row r="992" spans="1:10" ht="14.25" customHeight="1" x14ac:dyDescent="0.35">
      <c r="A992" s="76"/>
      <c r="B992" s="38" t="s">
        <v>13526</v>
      </c>
      <c r="C992" s="68">
        <v>45565</v>
      </c>
      <c r="D992" s="76"/>
      <c r="E992" s="70" t="s">
        <v>3198</v>
      </c>
      <c r="F992" s="71" t="s">
        <v>11612</v>
      </c>
    </row>
    <row r="993" spans="1:10" ht="14.25" customHeight="1" x14ac:dyDescent="0.35">
      <c r="A993" s="76"/>
      <c r="B993" s="38" t="s">
        <v>1858</v>
      </c>
      <c r="C993" s="69">
        <f>IF(C992="","",IF(AND(MONTH(C992)&gt;=1,MONTH(C992)&lt;=3),1,IF(AND(MONTH(C992)&gt;=4,MONTH(C992)&lt;=6),2,IF(AND(MONTH(C992)&gt;=7,MONTH(C992)&lt;=9),3,4))))</f>
        <v>3</v>
      </c>
      <c r="D993" s="76"/>
      <c r="E993" s="70" t="s">
        <v>13785</v>
      </c>
      <c r="F993" s="71"/>
    </row>
    <row r="995" spans="1:10" ht="14.25" customHeight="1" x14ac:dyDescent="0.35">
      <c r="A995" s="43" t="s">
        <v>16424</v>
      </c>
      <c r="B995" s="43" t="s">
        <v>16856</v>
      </c>
      <c r="C995" s="43" t="s">
        <v>16326</v>
      </c>
      <c r="D995" s="43" t="s">
        <v>15925</v>
      </c>
      <c r="E995" s="43" t="s">
        <v>7248</v>
      </c>
      <c r="F995" s="43" t="s">
        <v>15955</v>
      </c>
    </row>
    <row r="996" spans="1:10" ht="14.25" customHeight="1" x14ac:dyDescent="0.35">
      <c r="A996" s="39" t="s">
        <v>3195</v>
      </c>
      <c r="B996" s="40" t="str">
        <f ca="1">IFERROR(INDEX(UNSPSCDes,MATCH(INDIRECT(ADDRESS(ROW(),COLUMN()-1,4)),UNSPSCCode,0)),IF(INDIRECT(ADDRESS(ROW(),COLUMN()-1,4))="26111702","Pilas alcalinas",""))</f>
        <v>Pilas alcalinas</v>
      </c>
      <c r="C996" s="72" t="str">
        <f>IFERROR(VLOOKUP("UD",'Informacion '!P:Q,2,FALSE),"")</f>
        <v>Unidad</v>
      </c>
      <c r="D996" s="39">
        <v>3</v>
      </c>
      <c r="E996" s="42">
        <v>1099</v>
      </c>
      <c r="F996" s="41">
        <f ca="1">INDIRECT(ADDRESS(ROW(),COLUMN()-2,4))*INDIRECT(ADDRESS(ROW(),COLUMN()-1,4))</f>
        <v>3297</v>
      </c>
    </row>
    <row r="997" spans="1:10" ht="14.25" customHeight="1" x14ac:dyDescent="0.35">
      <c r="A997" s="39" t="s">
        <v>3195</v>
      </c>
      <c r="B997" s="40" t="str">
        <f ca="1">IFERROR(INDEX(UNSPSCDes,MATCH(INDIRECT(ADDRESS(ROW(),COLUMN()-1,4)),UNSPSCCode,0)),IF(INDIRECT(ADDRESS(ROW(),COLUMN()-1,4))="26111702","Pilas alcalinas",""))</f>
        <v>Pilas alcalinas</v>
      </c>
      <c r="C997" s="72" t="str">
        <f>IFERROR(VLOOKUP("UD",'Informacion '!P:Q,2,FALSE),"")</f>
        <v>Unidad</v>
      </c>
      <c r="D997" s="39">
        <v>3</v>
      </c>
      <c r="E997" s="42">
        <v>1360</v>
      </c>
      <c r="F997" s="41">
        <f ca="1">INDIRECT(ADDRESS(ROW(),COLUMN()-2,4))*INDIRECT(ADDRESS(ROW(),COLUMN()-1,4))</f>
        <v>4080</v>
      </c>
    </row>
    <row r="998" spans="1:10" ht="14.25" customHeight="1" x14ac:dyDescent="0.35">
      <c r="E998" s="44" t="s">
        <v>13122</v>
      </c>
      <c r="F998" s="45">
        <f ca="1">SUM(Table65[MONTO TOTAL ESTIMADO])</f>
        <v>7377</v>
      </c>
      <c r="H998" s="24" t="str">
        <f>C989</f>
        <v>Bienes</v>
      </c>
      <c r="I998" s="24" t="str">
        <f>E989</f>
        <v>Sí</v>
      </c>
      <c r="J998" s="24" t="str">
        <f>D989</f>
        <v>Compras por debajo del Umbral</v>
      </c>
    </row>
    <row r="1000" spans="1:10" ht="34" customHeight="1" x14ac:dyDescent="0.35">
      <c r="A1000" s="36" t="s">
        <v>17105</v>
      </c>
      <c r="B1000" s="36" t="s">
        <v>167</v>
      </c>
      <c r="C1000" s="36" t="s">
        <v>12252</v>
      </c>
      <c r="D1000" s="36" t="s">
        <v>15021</v>
      </c>
      <c r="E1000" s="36" t="s">
        <v>11455</v>
      </c>
      <c r="F1000" s="36" t="s">
        <v>11595</v>
      </c>
    </row>
    <row r="1001" spans="1:10" ht="14.25" customHeight="1" x14ac:dyDescent="0.35">
      <c r="A1001" s="37" t="s">
        <v>3488</v>
      </c>
      <c r="B1001" s="37" t="s">
        <v>3488</v>
      </c>
      <c r="C1001" s="37" t="s">
        <v>18585</v>
      </c>
      <c r="D1001" s="37" t="s">
        <v>10634</v>
      </c>
      <c r="E1001" s="37" t="s">
        <v>9261</v>
      </c>
      <c r="F1001" s="37" t="s">
        <v>7088</v>
      </c>
    </row>
    <row r="1002" spans="1:10" ht="14.25" customHeight="1" x14ac:dyDescent="0.35">
      <c r="A1002" s="75" t="s">
        <v>15490</v>
      </c>
      <c r="B1002" s="38" t="s">
        <v>8918</v>
      </c>
      <c r="C1002" s="68">
        <v>45566</v>
      </c>
      <c r="D1002" s="75" t="s">
        <v>9819</v>
      </c>
      <c r="E1002" s="70" t="s">
        <v>13683</v>
      </c>
      <c r="F1002" s="71" t="s">
        <v>3205</v>
      </c>
    </row>
    <row r="1003" spans="1:10" ht="14.25" customHeight="1" x14ac:dyDescent="0.35">
      <c r="A1003" s="76"/>
      <c r="B1003" s="38" t="s">
        <v>1858</v>
      </c>
      <c r="C1003" s="69">
        <f>IF(C1002="","",IF(AND(MONTH(C1002)&gt;=1,MONTH(C1002)&lt;=3),1,IF(AND(MONTH(C1002)&gt;=4,MONTH(C1002)&lt;=6),2,IF(AND(MONTH(C1002)&gt;=7,MONTH(C1002)&lt;=9),3,4))))</f>
        <v>4</v>
      </c>
      <c r="D1003" s="76"/>
      <c r="E1003" s="70" t="s">
        <v>2509</v>
      </c>
      <c r="F1003" s="71" t="s">
        <v>11612</v>
      </c>
    </row>
    <row r="1004" spans="1:10" ht="14.25" customHeight="1" x14ac:dyDescent="0.35">
      <c r="A1004" s="76"/>
      <c r="B1004" s="38" t="s">
        <v>13526</v>
      </c>
      <c r="C1004" s="68">
        <v>45657</v>
      </c>
      <c r="D1004" s="76"/>
      <c r="E1004" s="70" t="s">
        <v>3198</v>
      </c>
      <c r="F1004" s="71" t="s">
        <v>11612</v>
      </c>
    </row>
    <row r="1005" spans="1:10" ht="14.25" customHeight="1" x14ac:dyDescent="0.35">
      <c r="A1005" s="76"/>
      <c r="B1005" s="38" t="s">
        <v>1858</v>
      </c>
      <c r="C1005" s="69">
        <f>IF(C1004="","",IF(AND(MONTH(C1004)&gt;=1,MONTH(C1004)&lt;=3),1,IF(AND(MONTH(C1004)&gt;=4,MONTH(C1004)&lt;=6),2,IF(AND(MONTH(C1004)&gt;=7,MONTH(C1004)&lt;=9),3,4))))</f>
        <v>4</v>
      </c>
      <c r="D1005" s="76"/>
      <c r="E1005" s="70" t="s">
        <v>13785</v>
      </c>
      <c r="F1005" s="71"/>
    </row>
    <row r="1007" spans="1:10" ht="14.25" customHeight="1" x14ac:dyDescent="0.35">
      <c r="A1007" s="43" t="s">
        <v>16424</v>
      </c>
      <c r="B1007" s="43" t="s">
        <v>16856</v>
      </c>
      <c r="C1007" s="43" t="s">
        <v>16326</v>
      </c>
      <c r="D1007" s="43" t="s">
        <v>15925</v>
      </c>
      <c r="E1007" s="43" t="s">
        <v>7248</v>
      </c>
      <c r="F1007" s="43" t="s">
        <v>15955</v>
      </c>
    </row>
    <row r="1008" spans="1:10" ht="14.25" customHeight="1" x14ac:dyDescent="0.35">
      <c r="A1008" s="39" t="s">
        <v>3195</v>
      </c>
      <c r="B1008" s="40" t="str">
        <f ca="1">IFERROR(INDEX(UNSPSCDes,MATCH(INDIRECT(ADDRESS(ROW(),COLUMN()-1,4)),UNSPSCCode,0)),IF(INDIRECT(ADDRESS(ROW(),COLUMN()-1,4))="26111702","Pilas alcalinas",""))</f>
        <v>Pilas alcalinas</v>
      </c>
      <c r="C1008" s="72" t="str">
        <f>IFERROR(VLOOKUP("UD",'Informacion '!P:Q,2,FALSE),"")</f>
        <v>Unidad</v>
      </c>
      <c r="D1008" s="39">
        <v>6</v>
      </c>
      <c r="E1008" s="42">
        <v>1099</v>
      </c>
      <c r="F1008" s="41">
        <f ca="1">INDIRECT(ADDRESS(ROW(),COLUMN()-2,4))*INDIRECT(ADDRESS(ROW(),COLUMN()-1,4))</f>
        <v>6594</v>
      </c>
    </row>
    <row r="1009" spans="1:10" ht="14.25" customHeight="1" x14ac:dyDescent="0.35">
      <c r="A1009" s="39" t="s">
        <v>3195</v>
      </c>
      <c r="B1009" s="40" t="str">
        <f ca="1">IFERROR(INDEX(UNSPSCDes,MATCH(INDIRECT(ADDRESS(ROW(),COLUMN()-1,4)),UNSPSCCode,0)),IF(INDIRECT(ADDRESS(ROW(),COLUMN()-1,4))="26111702","Pilas alcalinas",""))</f>
        <v>Pilas alcalinas</v>
      </c>
      <c r="C1009" s="72" t="str">
        <f>IFERROR(VLOOKUP("UD",'Informacion '!P:Q,2,FALSE),"")</f>
        <v>Unidad</v>
      </c>
      <c r="D1009" s="39">
        <v>6</v>
      </c>
      <c r="E1009" s="42">
        <v>1360</v>
      </c>
      <c r="F1009" s="41">
        <f ca="1">INDIRECT(ADDRESS(ROW(),COLUMN()-2,4))*INDIRECT(ADDRESS(ROW(),COLUMN()-1,4))</f>
        <v>8160</v>
      </c>
    </row>
    <row r="1010" spans="1:10" ht="14.25" customHeight="1" x14ac:dyDescent="0.35">
      <c r="E1010" s="44" t="s">
        <v>13122</v>
      </c>
      <c r="F1010" s="45">
        <f ca="1">SUM(Table66[MONTO TOTAL ESTIMADO])</f>
        <v>14754</v>
      </c>
      <c r="H1010" s="24" t="str">
        <f>C1001</f>
        <v>Bienes</v>
      </c>
      <c r="I1010" s="24" t="str">
        <f>E1001</f>
        <v>Sí</v>
      </c>
      <c r="J1010" s="24" t="str">
        <f>D1001</f>
        <v>Compras por debajo del Umbral</v>
      </c>
    </row>
    <row r="1012" spans="1:10" ht="34" customHeight="1" x14ac:dyDescent="0.35">
      <c r="A1012" s="36" t="s">
        <v>17105</v>
      </c>
      <c r="B1012" s="36" t="s">
        <v>167</v>
      </c>
      <c r="C1012" s="36" t="s">
        <v>12252</v>
      </c>
      <c r="D1012" s="36" t="s">
        <v>15021</v>
      </c>
      <c r="E1012" s="36" t="s">
        <v>11455</v>
      </c>
      <c r="F1012" s="36" t="s">
        <v>11595</v>
      </c>
    </row>
    <row r="1013" spans="1:10" ht="14.25" customHeight="1" x14ac:dyDescent="0.35">
      <c r="A1013" s="37" t="s">
        <v>19164</v>
      </c>
      <c r="B1013" s="37" t="s">
        <v>19164</v>
      </c>
      <c r="C1013" s="37" t="s">
        <v>18585</v>
      </c>
      <c r="D1013" s="37" t="s">
        <v>2615</v>
      </c>
      <c r="E1013" s="37" t="s">
        <v>18646</v>
      </c>
      <c r="F1013" s="37" t="s">
        <v>7088</v>
      </c>
    </row>
    <row r="1014" spans="1:10" ht="14.25" customHeight="1" x14ac:dyDescent="0.35">
      <c r="A1014" s="75" t="s">
        <v>15490</v>
      </c>
      <c r="B1014" s="38" t="s">
        <v>8918</v>
      </c>
      <c r="C1014" s="68">
        <v>45334</v>
      </c>
      <c r="D1014" s="75" t="s">
        <v>9819</v>
      </c>
      <c r="E1014" s="70" t="s">
        <v>13683</v>
      </c>
      <c r="F1014" s="71" t="s">
        <v>3205</v>
      </c>
    </row>
    <row r="1015" spans="1:10" ht="14.25" customHeight="1" x14ac:dyDescent="0.35">
      <c r="A1015" s="76"/>
      <c r="B1015" s="38" t="s">
        <v>1858</v>
      </c>
      <c r="C1015" s="69">
        <f>IF(C1014="","",IF(AND(MONTH(C1014)&gt;=1,MONTH(C1014)&lt;=3),1,IF(AND(MONTH(C1014)&gt;=4,MONTH(C1014)&lt;=6),2,IF(AND(MONTH(C1014)&gt;=7,MONTH(C1014)&lt;=9),3,4))))</f>
        <v>1</v>
      </c>
      <c r="D1015" s="76"/>
      <c r="E1015" s="70" t="s">
        <v>2509</v>
      </c>
      <c r="F1015" s="71" t="s">
        <v>11612</v>
      </c>
    </row>
    <row r="1016" spans="1:10" ht="14.25" customHeight="1" x14ac:dyDescent="0.35">
      <c r="A1016" s="76"/>
      <c r="B1016" s="38" t="s">
        <v>13526</v>
      </c>
      <c r="C1016" s="68">
        <v>45378</v>
      </c>
      <c r="D1016" s="76"/>
      <c r="E1016" s="70" t="s">
        <v>3198</v>
      </c>
      <c r="F1016" s="71" t="s">
        <v>11612</v>
      </c>
    </row>
    <row r="1017" spans="1:10" ht="14.25" customHeight="1" x14ac:dyDescent="0.35">
      <c r="A1017" s="76"/>
      <c r="B1017" s="38" t="s">
        <v>1858</v>
      </c>
      <c r="C1017" s="69">
        <f>IF(C1016="","",IF(AND(MONTH(C1016)&gt;=1,MONTH(C1016)&lt;=3),1,IF(AND(MONTH(C1016)&gt;=4,MONTH(C1016)&lt;=6),2,IF(AND(MONTH(C1016)&gt;=7,MONTH(C1016)&lt;=9),3,4))))</f>
        <v>1</v>
      </c>
      <c r="D1017" s="76"/>
      <c r="E1017" s="70" t="s">
        <v>13785</v>
      </c>
      <c r="F1017" s="71"/>
    </row>
    <row r="1019" spans="1:10" ht="14.25" customHeight="1" x14ac:dyDescent="0.35">
      <c r="A1019" s="43" t="s">
        <v>16424</v>
      </c>
      <c r="B1019" s="43" t="s">
        <v>16856</v>
      </c>
      <c r="C1019" s="43" t="s">
        <v>16326</v>
      </c>
      <c r="D1019" s="43" t="s">
        <v>15925</v>
      </c>
      <c r="E1019" s="43" t="s">
        <v>7248</v>
      </c>
      <c r="F1019" s="43" t="s">
        <v>15955</v>
      </c>
    </row>
    <row r="1020" spans="1:10" ht="14.25" customHeight="1" x14ac:dyDescent="0.35">
      <c r="A1020" s="39" t="s">
        <v>18660</v>
      </c>
      <c r="B1020" s="40" t="str">
        <f ca="1">IFERROR(INDEX(UNSPSCDes,MATCH(INDIRECT(ADDRESS(ROW(),COLUMN()-1,4)),UNSPSCCode,0)),IF(INDIRECT(ADDRESS(ROW(),COLUMN()-1,4))="26121501","Alambre calentador",""))</f>
        <v>Alambre calentador</v>
      </c>
      <c r="C1020" s="72" t="str">
        <f>IFERROR(VLOOKUP("UD",'Informacion '!P:Q,2,FALSE),"")</f>
        <v>Unidad</v>
      </c>
      <c r="D1020" s="39">
        <v>2</v>
      </c>
      <c r="E1020" s="42">
        <v>53.1</v>
      </c>
      <c r="F1020" s="41">
        <f t="shared" ref="F1020:F1051" ca="1" si="37">INDIRECT(ADDRESS(ROW(),COLUMN()-2,4))*INDIRECT(ADDRESS(ROW(),COLUMN()-1,4))</f>
        <v>106.2</v>
      </c>
    </row>
    <row r="1021" spans="1:10" ht="14.25" customHeight="1" x14ac:dyDescent="0.35">
      <c r="A1021" s="39" t="s">
        <v>13982</v>
      </c>
      <c r="B1021" s="40" t="str">
        <f t="shared" ref="B1021:B1057" ca="1" si="38">IFERROR(INDEX(UNSPSCDes,MATCH(INDIRECT(ADDRESS(ROW(),COLUMN()-1,4)),UNSPSCCode,0)),IF(INDIRECT(ADDRESS(ROW(),COLUMN()-1,4))="26121505","Alambre para artefactos",""))</f>
        <v>Alambre para artefactos</v>
      </c>
      <c r="C1021" s="72" t="str">
        <f>IFERROR(VLOOKUP("FT",'Informacion '!P:Q,2,FALSE),"")</f>
        <v>Pie</v>
      </c>
      <c r="D1021" s="39">
        <v>72</v>
      </c>
      <c r="E1021" s="42">
        <v>32</v>
      </c>
      <c r="F1021" s="41">
        <f t="shared" ca="1" si="37"/>
        <v>2304</v>
      </c>
    </row>
    <row r="1022" spans="1:10" ht="14.25" customHeight="1" x14ac:dyDescent="0.35">
      <c r="A1022" s="39" t="s">
        <v>13982</v>
      </c>
      <c r="B1022" s="40" t="str">
        <f t="shared" ca="1" si="38"/>
        <v>Alambre para artefactos</v>
      </c>
      <c r="C1022" s="72" t="str">
        <f>IFERROR(VLOOKUP("FT",'Informacion '!P:Q,2,FALSE),"")</f>
        <v>Pie</v>
      </c>
      <c r="D1022" s="39">
        <v>100</v>
      </c>
      <c r="E1022" s="42">
        <v>43.89</v>
      </c>
      <c r="F1022" s="41">
        <f t="shared" ca="1" si="37"/>
        <v>4389</v>
      </c>
    </row>
    <row r="1023" spans="1:10" ht="14.25" customHeight="1" x14ac:dyDescent="0.35">
      <c r="A1023" s="39" t="s">
        <v>13982</v>
      </c>
      <c r="B1023" s="40" t="str">
        <f t="shared" ca="1" si="38"/>
        <v>Alambre para artefactos</v>
      </c>
      <c r="C1023" s="72" t="str">
        <f>IFERROR(VLOOKUP("FT",'Informacion '!P:Q,2,FALSE),"")</f>
        <v>Pie</v>
      </c>
      <c r="D1023" s="39">
        <v>500</v>
      </c>
      <c r="E1023" s="42">
        <v>10.9</v>
      </c>
      <c r="F1023" s="41">
        <f t="shared" ca="1" si="37"/>
        <v>5450</v>
      </c>
    </row>
    <row r="1024" spans="1:10" ht="14.25" customHeight="1" x14ac:dyDescent="0.35">
      <c r="A1024" s="39" t="s">
        <v>13982</v>
      </c>
      <c r="B1024" s="40" t="str">
        <f t="shared" ca="1" si="38"/>
        <v>Alambre para artefactos</v>
      </c>
      <c r="C1024" s="72" t="str">
        <f>IFERROR(VLOOKUP("FT",'Informacion '!P:Q,2,FALSE),"")</f>
        <v>Pie</v>
      </c>
      <c r="D1024" s="39">
        <v>636</v>
      </c>
      <c r="E1024" s="42">
        <v>26</v>
      </c>
      <c r="F1024" s="41">
        <f t="shared" ca="1" si="37"/>
        <v>16536</v>
      </c>
    </row>
    <row r="1025" spans="1:6" ht="14.25" customHeight="1" x14ac:dyDescent="0.35">
      <c r="A1025" s="39" t="s">
        <v>13982</v>
      </c>
      <c r="B1025" s="40" t="str">
        <f t="shared" ca="1" si="38"/>
        <v>Alambre para artefactos</v>
      </c>
      <c r="C1025" s="72" t="str">
        <f>IFERROR(VLOOKUP("FT",'Informacion '!P:Q,2,FALSE),"")</f>
        <v>Pie</v>
      </c>
      <c r="D1025" s="39">
        <v>2100</v>
      </c>
      <c r="E1025" s="42">
        <v>32</v>
      </c>
      <c r="F1025" s="41">
        <f t="shared" ca="1" si="37"/>
        <v>67200</v>
      </c>
    </row>
    <row r="1026" spans="1:6" ht="14.25" customHeight="1" x14ac:dyDescent="0.35">
      <c r="A1026" s="39" t="s">
        <v>13982</v>
      </c>
      <c r="B1026" s="40" t="str">
        <f t="shared" ca="1" si="38"/>
        <v>Alambre para artefactos</v>
      </c>
      <c r="C1026" s="72" t="str">
        <f>IFERROR(VLOOKUP("FT",'Informacion '!P:Q,2,FALSE),"")</f>
        <v>Pie</v>
      </c>
      <c r="D1026" s="39">
        <v>54</v>
      </c>
      <c r="E1026" s="42">
        <v>15</v>
      </c>
      <c r="F1026" s="41">
        <f t="shared" ca="1" si="37"/>
        <v>810</v>
      </c>
    </row>
    <row r="1027" spans="1:6" ht="14.25" customHeight="1" x14ac:dyDescent="0.35">
      <c r="A1027" s="39" t="s">
        <v>13982</v>
      </c>
      <c r="B1027" s="40" t="str">
        <f t="shared" ca="1" si="38"/>
        <v>Alambre para artefactos</v>
      </c>
      <c r="C1027" s="72" t="str">
        <f>IFERROR(VLOOKUP("FT",'Informacion '!P:Q,2,FALSE),"")</f>
        <v>Pie</v>
      </c>
      <c r="D1027" s="39">
        <v>60</v>
      </c>
      <c r="E1027" s="42">
        <v>15.25</v>
      </c>
      <c r="F1027" s="41">
        <f t="shared" ca="1" si="37"/>
        <v>915</v>
      </c>
    </row>
    <row r="1028" spans="1:6" ht="14.25" customHeight="1" x14ac:dyDescent="0.35">
      <c r="A1028" s="39" t="s">
        <v>13982</v>
      </c>
      <c r="B1028" s="40" t="str">
        <f t="shared" ca="1" si="38"/>
        <v>Alambre para artefactos</v>
      </c>
      <c r="C1028" s="72" t="str">
        <f>IFERROR(VLOOKUP("FT",'Informacion '!P:Q,2,FALSE),"")</f>
        <v>Pie</v>
      </c>
      <c r="D1028" s="39">
        <v>156</v>
      </c>
      <c r="E1028" s="42">
        <v>32</v>
      </c>
      <c r="F1028" s="41">
        <f t="shared" ca="1" si="37"/>
        <v>4992</v>
      </c>
    </row>
    <row r="1029" spans="1:6" ht="14.25" customHeight="1" x14ac:dyDescent="0.35">
      <c r="A1029" s="39" t="s">
        <v>13982</v>
      </c>
      <c r="B1029" s="40" t="str">
        <f t="shared" ca="1" si="38"/>
        <v>Alambre para artefactos</v>
      </c>
      <c r="C1029" s="72" t="str">
        <f>IFERROR(VLOOKUP("FT",'Informacion '!P:Q,2,FALSE),"")</f>
        <v>Pie</v>
      </c>
      <c r="D1029" s="39">
        <v>8750</v>
      </c>
      <c r="E1029" s="42">
        <v>32</v>
      </c>
      <c r="F1029" s="41">
        <f t="shared" ca="1" si="37"/>
        <v>280000</v>
      </c>
    </row>
    <row r="1030" spans="1:6" ht="14.25" customHeight="1" x14ac:dyDescent="0.35">
      <c r="A1030" s="39" t="s">
        <v>13982</v>
      </c>
      <c r="B1030" s="40" t="str">
        <f t="shared" ca="1" si="38"/>
        <v>Alambre para artefactos</v>
      </c>
      <c r="C1030" s="72" t="str">
        <f>IFERROR(VLOOKUP("FT",'Informacion '!P:Q,2,FALSE),"")</f>
        <v>Pie</v>
      </c>
      <c r="D1030" s="39">
        <v>18</v>
      </c>
      <c r="E1030" s="42">
        <v>15</v>
      </c>
      <c r="F1030" s="41">
        <f t="shared" ca="1" si="37"/>
        <v>270</v>
      </c>
    </row>
    <row r="1031" spans="1:6" ht="14.25" customHeight="1" x14ac:dyDescent="0.35">
      <c r="A1031" s="39" t="s">
        <v>13982</v>
      </c>
      <c r="B1031" s="40" t="str">
        <f t="shared" ca="1" si="38"/>
        <v>Alambre para artefactos</v>
      </c>
      <c r="C1031" s="72" t="str">
        <f>IFERROR(VLOOKUP("FT",'Informacion '!P:Q,2,FALSE),"")</f>
        <v>Pie</v>
      </c>
      <c r="D1031" s="39">
        <v>60</v>
      </c>
      <c r="E1031" s="42">
        <v>15.25</v>
      </c>
      <c r="F1031" s="41">
        <f t="shared" ca="1" si="37"/>
        <v>915</v>
      </c>
    </row>
    <row r="1032" spans="1:6" ht="14.25" customHeight="1" x14ac:dyDescent="0.35">
      <c r="A1032" s="39" t="s">
        <v>13982</v>
      </c>
      <c r="B1032" s="40" t="str">
        <f t="shared" ca="1" si="38"/>
        <v>Alambre para artefactos</v>
      </c>
      <c r="C1032" s="72" t="str">
        <f>IFERROR(VLOOKUP("FT",'Informacion '!P:Q,2,FALSE),"")</f>
        <v>Pie</v>
      </c>
      <c r="D1032" s="39">
        <v>60</v>
      </c>
      <c r="E1032" s="42">
        <v>32</v>
      </c>
      <c r="F1032" s="41">
        <f t="shared" ca="1" si="37"/>
        <v>1920</v>
      </c>
    </row>
    <row r="1033" spans="1:6" ht="14.25" customHeight="1" x14ac:dyDescent="0.35">
      <c r="A1033" s="39" t="s">
        <v>13982</v>
      </c>
      <c r="B1033" s="40" t="str">
        <f t="shared" ca="1" si="38"/>
        <v>Alambre para artefactos</v>
      </c>
      <c r="C1033" s="72" t="str">
        <f>IFERROR(VLOOKUP("FT",'Informacion '!P:Q,2,FALSE),"")</f>
        <v>Pie</v>
      </c>
      <c r="D1033" s="39">
        <v>200</v>
      </c>
      <c r="E1033" s="42">
        <v>32</v>
      </c>
      <c r="F1033" s="41">
        <f t="shared" ca="1" si="37"/>
        <v>6400</v>
      </c>
    </row>
    <row r="1034" spans="1:6" ht="14.25" customHeight="1" x14ac:dyDescent="0.35">
      <c r="A1034" s="39" t="s">
        <v>13982</v>
      </c>
      <c r="B1034" s="40" t="str">
        <f t="shared" ca="1" si="38"/>
        <v>Alambre para artefactos</v>
      </c>
      <c r="C1034" s="72" t="str">
        <f>IFERROR(VLOOKUP("FT",'Informacion '!P:Q,2,FALSE),"")</f>
        <v>Pie</v>
      </c>
      <c r="D1034" s="39">
        <v>400</v>
      </c>
      <c r="E1034" s="42">
        <v>25.96</v>
      </c>
      <c r="F1034" s="41">
        <f t="shared" ca="1" si="37"/>
        <v>10384</v>
      </c>
    </row>
    <row r="1035" spans="1:6" ht="14.25" customHeight="1" x14ac:dyDescent="0.35">
      <c r="A1035" s="39" t="s">
        <v>13982</v>
      </c>
      <c r="B1035" s="40" t="str">
        <f t="shared" ca="1" si="38"/>
        <v>Alambre para artefactos</v>
      </c>
      <c r="C1035" s="72" t="str">
        <f>IFERROR(VLOOKUP("FT",'Informacion '!P:Q,2,FALSE),"")</f>
        <v>Pie</v>
      </c>
      <c r="D1035" s="39">
        <v>100</v>
      </c>
      <c r="E1035" s="42">
        <v>29</v>
      </c>
      <c r="F1035" s="41">
        <f t="shared" ca="1" si="37"/>
        <v>2900</v>
      </c>
    </row>
    <row r="1036" spans="1:6" ht="14.25" customHeight="1" x14ac:dyDescent="0.35">
      <c r="A1036" s="39" t="s">
        <v>13982</v>
      </c>
      <c r="B1036" s="40" t="str">
        <f t="shared" ca="1" si="38"/>
        <v>Alambre para artefactos</v>
      </c>
      <c r="C1036" s="72" t="str">
        <f>IFERROR(VLOOKUP("FT",'Informacion '!P:Q,2,FALSE),"")</f>
        <v>Pie</v>
      </c>
      <c r="D1036" s="39">
        <v>200</v>
      </c>
      <c r="E1036" s="42">
        <v>35</v>
      </c>
      <c r="F1036" s="41">
        <f t="shared" ca="1" si="37"/>
        <v>7000</v>
      </c>
    </row>
    <row r="1037" spans="1:6" ht="14.25" customHeight="1" x14ac:dyDescent="0.35">
      <c r="A1037" s="39" t="s">
        <v>13982</v>
      </c>
      <c r="B1037" s="40" t="str">
        <f t="shared" ca="1" si="38"/>
        <v>Alambre para artefactos</v>
      </c>
      <c r="C1037" s="72" t="str">
        <f>IFERROR(VLOOKUP("FT",'Informacion '!P:Q,2,FALSE),"")</f>
        <v>Pie</v>
      </c>
      <c r="D1037" s="39">
        <v>450</v>
      </c>
      <c r="E1037" s="42">
        <v>25.96</v>
      </c>
      <c r="F1037" s="41">
        <f t="shared" ca="1" si="37"/>
        <v>11682</v>
      </c>
    </row>
    <row r="1038" spans="1:6" ht="14.25" customHeight="1" x14ac:dyDescent="0.35">
      <c r="A1038" s="39" t="s">
        <v>13982</v>
      </c>
      <c r="B1038" s="40" t="str">
        <f t="shared" ca="1" si="38"/>
        <v>Alambre para artefactos</v>
      </c>
      <c r="C1038" s="72" t="str">
        <f>IFERROR(VLOOKUP("FT",'Informacion '!P:Q,2,FALSE),"")</f>
        <v>Pie</v>
      </c>
      <c r="D1038" s="39">
        <v>100</v>
      </c>
      <c r="E1038" s="42">
        <v>29</v>
      </c>
      <c r="F1038" s="41">
        <f t="shared" ca="1" si="37"/>
        <v>2900</v>
      </c>
    </row>
    <row r="1039" spans="1:6" ht="14.25" customHeight="1" x14ac:dyDescent="0.35">
      <c r="A1039" s="39" t="s">
        <v>13982</v>
      </c>
      <c r="B1039" s="40" t="str">
        <f t="shared" ca="1" si="38"/>
        <v>Alambre para artefactos</v>
      </c>
      <c r="C1039" s="72" t="str">
        <f>IFERROR(VLOOKUP("FT",'Informacion '!P:Q,2,FALSE),"")</f>
        <v>Pie</v>
      </c>
      <c r="D1039" s="39">
        <v>200</v>
      </c>
      <c r="E1039" s="42">
        <v>35</v>
      </c>
      <c r="F1039" s="41">
        <f t="shared" ca="1" si="37"/>
        <v>7000</v>
      </c>
    </row>
    <row r="1040" spans="1:6" ht="14.25" customHeight="1" x14ac:dyDescent="0.35">
      <c r="A1040" s="39" t="s">
        <v>13982</v>
      </c>
      <c r="B1040" s="40" t="str">
        <f t="shared" ca="1" si="38"/>
        <v>Alambre para artefactos</v>
      </c>
      <c r="C1040" s="72" t="str">
        <f>IFERROR(VLOOKUP("FT",'Informacion '!P:Q,2,FALSE),"")</f>
        <v>Pie</v>
      </c>
      <c r="D1040" s="39">
        <v>450</v>
      </c>
      <c r="E1040" s="42">
        <v>25.96</v>
      </c>
      <c r="F1040" s="41">
        <f t="shared" ca="1" si="37"/>
        <v>11682</v>
      </c>
    </row>
    <row r="1041" spans="1:6" ht="14.25" customHeight="1" x14ac:dyDescent="0.35">
      <c r="A1041" s="39" t="s">
        <v>13982</v>
      </c>
      <c r="B1041" s="40" t="str">
        <f t="shared" ca="1" si="38"/>
        <v>Alambre para artefactos</v>
      </c>
      <c r="C1041" s="72" t="str">
        <f>IFERROR(VLOOKUP("FT",'Informacion '!P:Q,2,FALSE),"")</f>
        <v>Pie</v>
      </c>
      <c r="D1041" s="39">
        <v>100</v>
      </c>
      <c r="E1041" s="42">
        <v>29</v>
      </c>
      <c r="F1041" s="41">
        <f t="shared" ca="1" si="37"/>
        <v>2900</v>
      </c>
    </row>
    <row r="1042" spans="1:6" ht="14.25" customHeight="1" x14ac:dyDescent="0.35">
      <c r="A1042" s="39" t="s">
        <v>13982</v>
      </c>
      <c r="B1042" s="40" t="str">
        <f t="shared" ca="1" si="38"/>
        <v>Alambre para artefactos</v>
      </c>
      <c r="C1042" s="72" t="str">
        <f>IFERROR(VLOOKUP("FT",'Informacion '!P:Q,2,FALSE),"")</f>
        <v>Pie</v>
      </c>
      <c r="D1042" s="39">
        <v>1600</v>
      </c>
      <c r="E1042" s="42">
        <v>35</v>
      </c>
      <c r="F1042" s="41">
        <f t="shared" ca="1" si="37"/>
        <v>56000</v>
      </c>
    </row>
    <row r="1043" spans="1:6" ht="14.25" customHeight="1" x14ac:dyDescent="0.35">
      <c r="A1043" s="39" t="s">
        <v>13982</v>
      </c>
      <c r="B1043" s="40" t="str">
        <f t="shared" ca="1" si="38"/>
        <v>Alambre para artefactos</v>
      </c>
      <c r="C1043" s="72" t="str">
        <f>IFERROR(VLOOKUP("FT",'Informacion '!P:Q,2,FALSE),"")</f>
        <v>Pie</v>
      </c>
      <c r="D1043" s="39">
        <v>20000</v>
      </c>
      <c r="E1043" s="42">
        <v>190</v>
      </c>
      <c r="F1043" s="41">
        <f t="shared" ca="1" si="37"/>
        <v>3800000</v>
      </c>
    </row>
    <row r="1044" spans="1:6" ht="14.25" customHeight="1" x14ac:dyDescent="0.35">
      <c r="A1044" s="39" t="s">
        <v>13982</v>
      </c>
      <c r="B1044" s="40" t="str">
        <f t="shared" ca="1" si="38"/>
        <v>Alambre para artefactos</v>
      </c>
      <c r="C1044" s="72" t="str">
        <f>IFERROR(VLOOKUP("FT",'Informacion '!P:Q,2,FALSE),"")</f>
        <v>Pie</v>
      </c>
      <c r="D1044" s="39">
        <v>2000</v>
      </c>
      <c r="E1044" s="42">
        <v>25.96</v>
      </c>
      <c r="F1044" s="41">
        <f t="shared" ca="1" si="37"/>
        <v>51920</v>
      </c>
    </row>
    <row r="1045" spans="1:6" ht="14.25" customHeight="1" x14ac:dyDescent="0.35">
      <c r="A1045" s="39" t="s">
        <v>13982</v>
      </c>
      <c r="B1045" s="40" t="str">
        <f t="shared" ca="1" si="38"/>
        <v>Alambre para artefactos</v>
      </c>
      <c r="C1045" s="72" t="str">
        <f>IFERROR(VLOOKUP("FT",'Informacion '!P:Q,2,FALSE),"")</f>
        <v>Pie</v>
      </c>
      <c r="D1045" s="39">
        <v>1600</v>
      </c>
      <c r="E1045" s="42">
        <v>24.02</v>
      </c>
      <c r="F1045" s="41">
        <f t="shared" ca="1" si="37"/>
        <v>38432</v>
      </c>
    </row>
    <row r="1046" spans="1:6" ht="14.25" customHeight="1" x14ac:dyDescent="0.35">
      <c r="A1046" s="39" t="s">
        <v>13982</v>
      </c>
      <c r="B1046" s="40" t="str">
        <f t="shared" ca="1" si="38"/>
        <v>Alambre para artefactos</v>
      </c>
      <c r="C1046" s="72" t="str">
        <f>IFERROR(VLOOKUP("UD",'Informacion '!P:Q,2,FALSE),"")</f>
        <v>Unidad</v>
      </c>
      <c r="D1046" s="39">
        <v>20000</v>
      </c>
      <c r="E1046" s="42">
        <v>190</v>
      </c>
      <c r="F1046" s="41">
        <f t="shared" ca="1" si="37"/>
        <v>3800000</v>
      </c>
    </row>
    <row r="1047" spans="1:6" ht="14.25" customHeight="1" x14ac:dyDescent="0.35">
      <c r="A1047" s="39" t="s">
        <v>13982</v>
      </c>
      <c r="B1047" s="40" t="str">
        <f t="shared" ca="1" si="38"/>
        <v>Alambre para artefactos</v>
      </c>
      <c r="C1047" s="72" t="str">
        <f>IFERROR(VLOOKUP("UD",'Informacion '!P:Q,2,FALSE),"")</f>
        <v>Unidad</v>
      </c>
      <c r="D1047" s="39">
        <v>2000</v>
      </c>
      <c r="E1047" s="42">
        <v>25.96</v>
      </c>
      <c r="F1047" s="41">
        <f t="shared" ca="1" si="37"/>
        <v>51920</v>
      </c>
    </row>
    <row r="1048" spans="1:6" ht="14.25" customHeight="1" x14ac:dyDescent="0.35">
      <c r="A1048" s="39" t="s">
        <v>13982</v>
      </c>
      <c r="B1048" s="40" t="str">
        <f t="shared" ca="1" si="38"/>
        <v>Alambre para artefactos</v>
      </c>
      <c r="C1048" s="72" t="str">
        <f>IFERROR(VLOOKUP("UD",'Informacion '!P:Q,2,FALSE),"")</f>
        <v>Unidad</v>
      </c>
      <c r="D1048" s="39">
        <v>1600</v>
      </c>
      <c r="E1048" s="42">
        <v>24.02</v>
      </c>
      <c r="F1048" s="41">
        <f t="shared" ca="1" si="37"/>
        <v>38432</v>
      </c>
    </row>
    <row r="1049" spans="1:6" ht="14.25" customHeight="1" x14ac:dyDescent="0.35">
      <c r="A1049" s="39" t="s">
        <v>13982</v>
      </c>
      <c r="B1049" s="40" t="str">
        <f t="shared" ca="1" si="38"/>
        <v>Alambre para artefactos</v>
      </c>
      <c r="C1049" s="72" t="str">
        <f>IFERROR(VLOOKUP("FT",'Informacion '!P:Q,2,FALSE),"")</f>
        <v>Pie</v>
      </c>
      <c r="D1049" s="39">
        <v>20000</v>
      </c>
      <c r="E1049" s="42">
        <v>190</v>
      </c>
      <c r="F1049" s="41">
        <f t="shared" ca="1" si="37"/>
        <v>3800000</v>
      </c>
    </row>
    <row r="1050" spans="1:6" ht="14.25" customHeight="1" x14ac:dyDescent="0.35">
      <c r="A1050" s="39" t="s">
        <v>13982</v>
      </c>
      <c r="B1050" s="40" t="str">
        <f t="shared" ca="1" si="38"/>
        <v>Alambre para artefactos</v>
      </c>
      <c r="C1050" s="72" t="str">
        <f>IFERROR(VLOOKUP("FT",'Informacion '!P:Q,2,FALSE),"")</f>
        <v>Pie</v>
      </c>
      <c r="D1050" s="39">
        <v>2000</v>
      </c>
      <c r="E1050" s="42">
        <v>25.96</v>
      </c>
      <c r="F1050" s="41">
        <f t="shared" ca="1" si="37"/>
        <v>51920</v>
      </c>
    </row>
    <row r="1051" spans="1:6" ht="14.25" customHeight="1" x14ac:dyDescent="0.35">
      <c r="A1051" s="39" t="s">
        <v>13982</v>
      </c>
      <c r="B1051" s="40" t="str">
        <f t="shared" ca="1" si="38"/>
        <v>Alambre para artefactos</v>
      </c>
      <c r="C1051" s="72" t="str">
        <f>IFERROR(VLOOKUP("FT",'Informacion '!P:Q,2,FALSE),"")</f>
        <v>Pie</v>
      </c>
      <c r="D1051" s="39">
        <v>2320</v>
      </c>
      <c r="E1051" s="42">
        <v>24.02</v>
      </c>
      <c r="F1051" s="41">
        <f t="shared" ca="1" si="37"/>
        <v>55726.400000000001</v>
      </c>
    </row>
    <row r="1052" spans="1:6" ht="14.25" customHeight="1" x14ac:dyDescent="0.35">
      <c r="A1052" s="39" t="s">
        <v>13982</v>
      </c>
      <c r="B1052" s="40" t="str">
        <f t="shared" ca="1" si="38"/>
        <v>Alambre para artefactos</v>
      </c>
      <c r="C1052" s="72" t="str">
        <f>IFERROR(VLOOKUP("UD",'Informacion '!P:Q,2,FALSE),"")</f>
        <v>Unidad</v>
      </c>
      <c r="D1052" s="39">
        <v>29000</v>
      </c>
      <c r="E1052" s="42">
        <v>190</v>
      </c>
      <c r="F1052" s="41">
        <f t="shared" ref="F1052:F1083" ca="1" si="39">INDIRECT(ADDRESS(ROW(),COLUMN()-2,4))*INDIRECT(ADDRESS(ROW(),COLUMN()-1,4))</f>
        <v>5510000</v>
      </c>
    </row>
    <row r="1053" spans="1:6" ht="14.25" customHeight="1" x14ac:dyDescent="0.35">
      <c r="A1053" s="39" t="s">
        <v>13982</v>
      </c>
      <c r="B1053" s="40" t="str">
        <f t="shared" ca="1" si="38"/>
        <v>Alambre para artefactos</v>
      </c>
      <c r="C1053" s="72" t="str">
        <f>IFERROR(VLOOKUP("UD",'Informacion '!P:Q,2,FALSE),"")</f>
        <v>Unidad</v>
      </c>
      <c r="D1053" s="39">
        <v>2900</v>
      </c>
      <c r="E1053" s="42">
        <v>25.96</v>
      </c>
      <c r="F1053" s="41">
        <f t="shared" ca="1" si="39"/>
        <v>75284</v>
      </c>
    </row>
    <row r="1054" spans="1:6" ht="14.25" customHeight="1" x14ac:dyDescent="0.35">
      <c r="A1054" s="39" t="s">
        <v>13982</v>
      </c>
      <c r="B1054" s="40" t="str">
        <f t="shared" ca="1" si="38"/>
        <v>Alambre para artefactos</v>
      </c>
      <c r="C1054" s="72" t="str">
        <f>IFERROR(VLOOKUP("UD",'Informacion '!P:Q,2,FALSE),"")</f>
        <v>Unidad</v>
      </c>
      <c r="D1054" s="39">
        <v>3200</v>
      </c>
      <c r="E1054" s="42">
        <v>24.02</v>
      </c>
      <c r="F1054" s="41">
        <f t="shared" ca="1" si="39"/>
        <v>76864</v>
      </c>
    </row>
    <row r="1055" spans="1:6" ht="14.25" customHeight="1" x14ac:dyDescent="0.35">
      <c r="A1055" s="39" t="s">
        <v>13982</v>
      </c>
      <c r="B1055" s="40" t="str">
        <f t="shared" ca="1" si="38"/>
        <v>Alambre para artefactos</v>
      </c>
      <c r="C1055" s="72" t="str">
        <f>IFERROR(VLOOKUP("FT",'Informacion '!P:Q,2,FALSE),"")</f>
        <v>Pie</v>
      </c>
      <c r="D1055" s="39">
        <v>40000</v>
      </c>
      <c r="E1055" s="42">
        <v>190</v>
      </c>
      <c r="F1055" s="41">
        <f t="shared" ca="1" si="39"/>
        <v>7600000</v>
      </c>
    </row>
    <row r="1056" spans="1:6" ht="14.25" customHeight="1" x14ac:dyDescent="0.35">
      <c r="A1056" s="39" t="s">
        <v>13982</v>
      </c>
      <c r="B1056" s="40" t="str">
        <f t="shared" ca="1" si="38"/>
        <v>Alambre para artefactos</v>
      </c>
      <c r="C1056" s="72" t="str">
        <f>IFERROR(VLOOKUP("FT",'Informacion '!P:Q,2,FALSE),"")</f>
        <v>Pie</v>
      </c>
      <c r="D1056" s="39">
        <v>4000</v>
      </c>
      <c r="E1056" s="42">
        <v>25.96</v>
      </c>
      <c r="F1056" s="41">
        <f t="shared" ca="1" si="39"/>
        <v>103840</v>
      </c>
    </row>
    <row r="1057" spans="1:6" ht="14.25" customHeight="1" x14ac:dyDescent="0.35">
      <c r="A1057" s="39" t="s">
        <v>13982</v>
      </c>
      <c r="B1057" s="40" t="str">
        <f t="shared" ca="1" si="38"/>
        <v>Alambre para artefactos</v>
      </c>
      <c r="C1057" s="72" t="str">
        <f>IFERROR(VLOOKUP("FT",'Informacion '!P:Q,2,FALSE),"")</f>
        <v>Pie</v>
      </c>
      <c r="D1057" s="39">
        <v>147</v>
      </c>
      <c r="E1057" s="42">
        <v>24.02</v>
      </c>
      <c r="F1057" s="41">
        <f t="shared" ca="1" si="39"/>
        <v>3530.94</v>
      </c>
    </row>
    <row r="1058" spans="1:6" ht="14.25" customHeight="1" x14ac:dyDescent="0.35">
      <c r="A1058" s="39" t="s">
        <v>17758</v>
      </c>
      <c r="B1058" s="40" t="str">
        <f t="shared" ref="B1058:B1068" ca="1" si="40">IFERROR(INDEX(UNSPSCDes,MATCH(INDIRECT(ADDRESS(ROW(),COLUMN()-1,4)),UNSPSCCode,0)),IF(INDIRECT(ADDRESS(ROW(),COLUMN()-1,4))="26121520","Alambre de cobre-acero",""))</f>
        <v>Alambre de cobre-acero</v>
      </c>
      <c r="C1058" s="72" t="str">
        <f>IFERROR(VLOOKUP("FT",'Informacion '!P:Q,2,FALSE),"")</f>
        <v>Pie</v>
      </c>
      <c r="D1058" s="39">
        <v>43</v>
      </c>
      <c r="E1058" s="42">
        <v>119.61</v>
      </c>
      <c r="F1058" s="41">
        <f t="shared" ca="1" si="39"/>
        <v>5143.2299999999996</v>
      </c>
    </row>
    <row r="1059" spans="1:6" ht="14.25" customHeight="1" x14ac:dyDescent="0.35">
      <c r="A1059" s="39" t="s">
        <v>17758</v>
      </c>
      <c r="B1059" s="40" t="str">
        <f t="shared" ca="1" si="40"/>
        <v>Alambre de cobre-acero</v>
      </c>
      <c r="C1059" s="72" t="str">
        <f>IFERROR(VLOOKUP("FT",'Informacion '!P:Q,2,FALSE),"")</f>
        <v>Pie</v>
      </c>
      <c r="D1059" s="39">
        <v>229</v>
      </c>
      <c r="E1059" s="42">
        <v>119.61</v>
      </c>
      <c r="F1059" s="41">
        <f t="shared" ca="1" si="39"/>
        <v>27390.69</v>
      </c>
    </row>
    <row r="1060" spans="1:6" ht="14.25" customHeight="1" x14ac:dyDescent="0.35">
      <c r="A1060" s="39" t="s">
        <v>17758</v>
      </c>
      <c r="B1060" s="40" t="str">
        <f t="shared" ca="1" si="40"/>
        <v>Alambre de cobre-acero</v>
      </c>
      <c r="C1060" s="72" t="str">
        <f>IFERROR(VLOOKUP("FT",'Informacion '!P:Q,2,FALSE),"")</f>
        <v>Pie</v>
      </c>
      <c r="D1060" s="39">
        <v>140</v>
      </c>
      <c r="E1060" s="42">
        <v>119.61</v>
      </c>
      <c r="F1060" s="41">
        <f t="shared" ca="1" si="39"/>
        <v>16745.400000000001</v>
      </c>
    </row>
    <row r="1061" spans="1:6" ht="14.25" customHeight="1" x14ac:dyDescent="0.35">
      <c r="A1061" s="39" t="s">
        <v>17758</v>
      </c>
      <c r="B1061" s="40" t="str">
        <f t="shared" ca="1" si="40"/>
        <v>Alambre de cobre-acero</v>
      </c>
      <c r="C1061" s="72" t="str">
        <f>IFERROR(VLOOKUP("FT",'Informacion '!P:Q,2,FALSE),"")</f>
        <v>Pie</v>
      </c>
      <c r="D1061" s="39">
        <v>295</v>
      </c>
      <c r="E1061" s="42">
        <v>119.61</v>
      </c>
      <c r="F1061" s="41">
        <f t="shared" ca="1" si="39"/>
        <v>35284.949999999997</v>
      </c>
    </row>
    <row r="1062" spans="1:6" ht="14.25" customHeight="1" x14ac:dyDescent="0.35">
      <c r="A1062" s="39" t="s">
        <v>17758</v>
      </c>
      <c r="B1062" s="40" t="str">
        <f t="shared" ca="1" si="40"/>
        <v>Alambre de cobre-acero</v>
      </c>
      <c r="C1062" s="72" t="str">
        <f>IFERROR(VLOOKUP("FT",'Informacion '!P:Q,2,FALSE),"")</f>
        <v>Pie</v>
      </c>
      <c r="D1062" s="39">
        <v>2500</v>
      </c>
      <c r="E1062" s="42">
        <v>119.61</v>
      </c>
      <c r="F1062" s="41">
        <f t="shared" ca="1" si="39"/>
        <v>299025</v>
      </c>
    </row>
    <row r="1063" spans="1:6" ht="14.25" customHeight="1" x14ac:dyDescent="0.35">
      <c r="A1063" s="39" t="s">
        <v>17758</v>
      </c>
      <c r="B1063" s="40" t="str">
        <f t="shared" ca="1" si="40"/>
        <v>Alambre de cobre-acero</v>
      </c>
      <c r="C1063" s="72" t="str">
        <f>IFERROR(VLOOKUP("UD",'Informacion '!P:Q,2,FALSE),"")</f>
        <v>Unidad</v>
      </c>
      <c r="D1063" s="39">
        <v>2500</v>
      </c>
      <c r="E1063" s="42">
        <v>43.66</v>
      </c>
      <c r="F1063" s="41">
        <f t="shared" ca="1" si="39"/>
        <v>109149.99999999999</v>
      </c>
    </row>
    <row r="1064" spans="1:6" ht="14.25" customHeight="1" x14ac:dyDescent="0.35">
      <c r="A1064" s="39" t="s">
        <v>17758</v>
      </c>
      <c r="B1064" s="40" t="str">
        <f t="shared" ca="1" si="40"/>
        <v>Alambre de cobre-acero</v>
      </c>
      <c r="C1064" s="72" t="str">
        <f>IFERROR(VLOOKUP("FT",'Informacion '!P:Q,2,FALSE),"")</f>
        <v>Pie</v>
      </c>
      <c r="D1064" s="39">
        <v>2500</v>
      </c>
      <c r="E1064" s="42">
        <v>43.66</v>
      </c>
      <c r="F1064" s="41">
        <f t="shared" ca="1" si="39"/>
        <v>109149.99999999999</v>
      </c>
    </row>
    <row r="1065" spans="1:6" ht="14.25" customHeight="1" x14ac:dyDescent="0.35">
      <c r="A1065" s="39" t="s">
        <v>17758</v>
      </c>
      <c r="B1065" s="40" t="str">
        <f t="shared" ca="1" si="40"/>
        <v>Alambre de cobre-acero</v>
      </c>
      <c r="C1065" s="72" t="str">
        <f>IFERROR(VLOOKUP("FT",'Informacion '!P:Q,2,FALSE),"")</f>
        <v>Pie</v>
      </c>
      <c r="D1065" s="39">
        <v>3625</v>
      </c>
      <c r="E1065" s="42">
        <v>43.66</v>
      </c>
      <c r="F1065" s="41">
        <f t="shared" ca="1" si="39"/>
        <v>158267.5</v>
      </c>
    </row>
    <row r="1066" spans="1:6" ht="14.25" customHeight="1" x14ac:dyDescent="0.35">
      <c r="A1066" s="39" t="s">
        <v>17758</v>
      </c>
      <c r="B1066" s="40" t="str">
        <f t="shared" ca="1" si="40"/>
        <v>Alambre de cobre-acero</v>
      </c>
      <c r="C1066" s="72" t="str">
        <f>IFERROR(VLOOKUP("UD",'Informacion '!P:Q,2,FALSE),"")</f>
        <v>Unidad</v>
      </c>
      <c r="D1066" s="39">
        <v>5000</v>
      </c>
      <c r="E1066" s="42">
        <v>43.66</v>
      </c>
      <c r="F1066" s="41">
        <f t="shared" ca="1" si="39"/>
        <v>218299.99999999997</v>
      </c>
    </row>
    <row r="1067" spans="1:6" ht="14.25" customHeight="1" x14ac:dyDescent="0.35">
      <c r="A1067" s="39" t="s">
        <v>17758</v>
      </c>
      <c r="B1067" s="40" t="str">
        <f t="shared" ca="1" si="40"/>
        <v>Alambre de cobre-acero</v>
      </c>
      <c r="C1067" s="72" t="str">
        <f>IFERROR(VLOOKUP("FT",'Informacion '!P:Q,2,FALSE),"")</f>
        <v>Pie</v>
      </c>
      <c r="D1067" s="39">
        <v>2</v>
      </c>
      <c r="E1067" s="42">
        <v>2950</v>
      </c>
      <c r="F1067" s="41">
        <f t="shared" ca="1" si="39"/>
        <v>5900</v>
      </c>
    </row>
    <row r="1068" spans="1:6" ht="14.25" customHeight="1" x14ac:dyDescent="0.35">
      <c r="A1068" s="39" t="s">
        <v>17758</v>
      </c>
      <c r="B1068" s="40" t="str">
        <f t="shared" ca="1" si="40"/>
        <v>Alambre de cobre-acero</v>
      </c>
      <c r="C1068" s="72" t="str">
        <f>IFERROR(VLOOKUP("FT",'Informacion '!P:Q,2,FALSE),"")</f>
        <v>Pie</v>
      </c>
      <c r="D1068" s="39">
        <v>2</v>
      </c>
      <c r="E1068" s="42">
        <v>2950</v>
      </c>
      <c r="F1068" s="41">
        <f t="shared" ca="1" si="39"/>
        <v>5900</v>
      </c>
    </row>
    <row r="1069" spans="1:6" ht="14.25" customHeight="1" x14ac:dyDescent="0.35">
      <c r="A1069" s="39" t="s">
        <v>13073</v>
      </c>
      <c r="B1069" s="40" t="str">
        <f ca="1">IFERROR(INDEX(UNSPSCDes,MATCH(INDIRECT(ADDRESS(ROW(),COLUMN()-1,4)),UNSPSCCode,0)),IF(INDIRECT(ADDRESS(ROW(),COLUMN()-1,4))="26121524","Alambre aislado o forrado",""))</f>
        <v>Alambre aislado o forrado</v>
      </c>
      <c r="C1069" s="72" t="str">
        <f>IFERROR(VLOOKUP("UD",'Informacion '!P:Q,2,FALSE),"")</f>
        <v>Unidad</v>
      </c>
      <c r="D1069" s="39">
        <v>350</v>
      </c>
      <c r="E1069" s="42">
        <v>22.44</v>
      </c>
      <c r="F1069" s="41">
        <f t="shared" ca="1" si="39"/>
        <v>7854</v>
      </c>
    </row>
    <row r="1070" spans="1:6" ht="14.25" customHeight="1" x14ac:dyDescent="0.35">
      <c r="A1070" s="39" t="s">
        <v>13073</v>
      </c>
      <c r="B1070" s="40" t="str">
        <f ca="1">IFERROR(INDEX(UNSPSCDes,MATCH(INDIRECT(ADDRESS(ROW(),COLUMN()-1,4)),UNSPSCCode,0)),IF(INDIRECT(ADDRESS(ROW(),COLUMN()-1,4))="26121524","Alambre aislado o forrado",""))</f>
        <v>Alambre aislado o forrado</v>
      </c>
      <c r="C1070" s="72" t="str">
        <f>IFERROR(VLOOKUP("UD",'Informacion '!P:Q,2,FALSE),"")</f>
        <v>Unidad</v>
      </c>
      <c r="D1070" s="39">
        <v>350</v>
      </c>
      <c r="E1070" s="42">
        <v>15.41</v>
      </c>
      <c r="F1070" s="41">
        <f t="shared" ca="1" si="39"/>
        <v>5393.5</v>
      </c>
    </row>
    <row r="1071" spans="1:6" ht="14.25" customHeight="1" x14ac:dyDescent="0.35">
      <c r="A1071" s="39" t="s">
        <v>12465</v>
      </c>
      <c r="B1071" s="40" t="str">
        <f t="shared" ref="B1071:B1090" ca="1" si="41">IFERROR(INDEX(UNSPSCDes,MATCH(INDIRECT(ADDRESS(ROW(),COLUMN()-1,4)),UNSPSCCode,0)),IF(INDIRECT(ADDRESS(ROW(),COLUMN()-1,4))="26121532","Alambre para interconexiones",""))</f>
        <v>Alambre para interconexiones</v>
      </c>
      <c r="C1071" s="72" t="str">
        <f>IFERROR(VLOOKUP("FT",'Informacion '!P:Q,2,FALSE),"")</f>
        <v>Pie</v>
      </c>
      <c r="D1071" s="39">
        <v>325</v>
      </c>
      <c r="E1071" s="42">
        <v>22.44</v>
      </c>
      <c r="F1071" s="41">
        <f t="shared" ca="1" si="39"/>
        <v>7293</v>
      </c>
    </row>
    <row r="1072" spans="1:6" ht="14.25" customHeight="1" x14ac:dyDescent="0.35">
      <c r="A1072" s="39" t="s">
        <v>12465</v>
      </c>
      <c r="B1072" s="40" t="str">
        <f t="shared" ca="1" si="41"/>
        <v>Alambre para interconexiones</v>
      </c>
      <c r="C1072" s="72" t="str">
        <f>IFERROR(VLOOKUP("FT",'Informacion '!P:Q,2,FALSE),"")</f>
        <v>Pie</v>
      </c>
      <c r="D1072" s="39">
        <v>325</v>
      </c>
      <c r="E1072" s="42">
        <v>15.41</v>
      </c>
      <c r="F1072" s="41">
        <f t="shared" ca="1" si="39"/>
        <v>5008.25</v>
      </c>
    </row>
    <row r="1073" spans="1:6" ht="14.25" customHeight="1" x14ac:dyDescent="0.35">
      <c r="A1073" s="39" t="s">
        <v>12465</v>
      </c>
      <c r="B1073" s="40" t="str">
        <f t="shared" ca="1" si="41"/>
        <v>Alambre para interconexiones</v>
      </c>
      <c r="C1073" s="72" t="str">
        <f>IFERROR(VLOOKUP("FT",'Informacion '!P:Q,2,FALSE),"")</f>
        <v>Pie</v>
      </c>
      <c r="D1073" s="39">
        <v>325</v>
      </c>
      <c r="E1073" s="42">
        <v>50.83</v>
      </c>
      <c r="F1073" s="41">
        <f t="shared" ca="1" si="39"/>
        <v>16519.75</v>
      </c>
    </row>
    <row r="1074" spans="1:6" ht="14.25" customHeight="1" x14ac:dyDescent="0.35">
      <c r="A1074" s="39" t="s">
        <v>12465</v>
      </c>
      <c r="B1074" s="40" t="str">
        <f t="shared" ca="1" si="41"/>
        <v>Alambre para interconexiones</v>
      </c>
      <c r="C1074" s="72" t="str">
        <f>IFERROR(VLOOKUP("FT",'Informacion '!P:Q,2,FALSE),"")</f>
        <v>Pie</v>
      </c>
      <c r="D1074" s="39">
        <v>325</v>
      </c>
      <c r="E1074" s="42">
        <v>69.760000000000005</v>
      </c>
      <c r="F1074" s="41">
        <f t="shared" ca="1" si="39"/>
        <v>22672</v>
      </c>
    </row>
    <row r="1075" spans="1:6" ht="14.25" customHeight="1" x14ac:dyDescent="0.35">
      <c r="A1075" s="39" t="s">
        <v>12465</v>
      </c>
      <c r="B1075" s="40" t="str">
        <f t="shared" ca="1" si="41"/>
        <v>Alambre para interconexiones</v>
      </c>
      <c r="C1075" s="72" t="str">
        <f>IFERROR(VLOOKUP("FT",'Informacion '!P:Q,2,FALSE),"")</f>
        <v>Pie</v>
      </c>
      <c r="D1075" s="39">
        <v>325</v>
      </c>
      <c r="E1075" s="42">
        <v>21.94</v>
      </c>
      <c r="F1075" s="41">
        <f t="shared" ca="1" si="39"/>
        <v>7130.5</v>
      </c>
    </row>
    <row r="1076" spans="1:6" ht="14.25" customHeight="1" x14ac:dyDescent="0.35">
      <c r="A1076" s="39" t="s">
        <v>12465</v>
      </c>
      <c r="B1076" s="40" t="str">
        <f t="shared" ca="1" si="41"/>
        <v>Alambre para interconexiones</v>
      </c>
      <c r="C1076" s="72" t="str">
        <f>IFERROR(VLOOKUP("FT",'Informacion '!P:Q,2,FALSE),"")</f>
        <v>Pie</v>
      </c>
      <c r="D1076" s="39">
        <v>325</v>
      </c>
      <c r="E1076" s="42">
        <v>33.47</v>
      </c>
      <c r="F1076" s="41">
        <f t="shared" ca="1" si="39"/>
        <v>10877.75</v>
      </c>
    </row>
    <row r="1077" spans="1:6" ht="14.25" customHeight="1" x14ac:dyDescent="0.35">
      <c r="A1077" s="39" t="s">
        <v>12465</v>
      </c>
      <c r="B1077" s="40" t="str">
        <f t="shared" ca="1" si="41"/>
        <v>Alambre para interconexiones</v>
      </c>
      <c r="C1077" s="72" t="str">
        <f>IFERROR(VLOOKUP("FT",'Informacion '!P:Q,2,FALSE),"")</f>
        <v>Pie</v>
      </c>
      <c r="D1077" s="39">
        <v>325</v>
      </c>
      <c r="E1077" s="42">
        <v>67.53</v>
      </c>
      <c r="F1077" s="41">
        <f t="shared" ca="1" si="39"/>
        <v>21947.25</v>
      </c>
    </row>
    <row r="1078" spans="1:6" ht="14.25" customHeight="1" x14ac:dyDescent="0.35">
      <c r="A1078" s="39" t="s">
        <v>12465</v>
      </c>
      <c r="B1078" s="40" t="str">
        <f t="shared" ca="1" si="41"/>
        <v>Alambre para interconexiones</v>
      </c>
      <c r="C1078" s="72" t="str">
        <f>IFERROR(VLOOKUP("FT",'Informacion '!P:Q,2,FALSE),"")</f>
        <v>Pie</v>
      </c>
      <c r="D1078" s="39">
        <v>325</v>
      </c>
      <c r="E1078" s="42">
        <v>162.78</v>
      </c>
      <c r="F1078" s="41">
        <f t="shared" ca="1" si="39"/>
        <v>52903.5</v>
      </c>
    </row>
    <row r="1079" spans="1:6" ht="14.25" customHeight="1" x14ac:dyDescent="0.35">
      <c r="A1079" s="39" t="s">
        <v>12465</v>
      </c>
      <c r="B1079" s="40" t="str">
        <f t="shared" ca="1" si="41"/>
        <v>Alambre para interconexiones</v>
      </c>
      <c r="C1079" s="72" t="str">
        <f>IFERROR(VLOOKUP("FT",'Informacion '!P:Q,2,FALSE),"")</f>
        <v>Pie</v>
      </c>
      <c r="D1079" s="39">
        <v>325</v>
      </c>
      <c r="E1079" s="42">
        <v>33.47</v>
      </c>
      <c r="F1079" s="41">
        <f t="shared" ca="1" si="39"/>
        <v>10877.75</v>
      </c>
    </row>
    <row r="1080" spans="1:6" ht="14.25" customHeight="1" x14ac:dyDescent="0.35">
      <c r="A1080" s="39" t="s">
        <v>12465</v>
      </c>
      <c r="B1080" s="40" t="str">
        <f t="shared" ca="1" si="41"/>
        <v>Alambre para interconexiones</v>
      </c>
      <c r="C1080" s="72" t="str">
        <f>IFERROR(VLOOKUP("FT",'Informacion '!P:Q,2,FALSE),"")</f>
        <v>Pie</v>
      </c>
      <c r="D1080" s="39">
        <v>325</v>
      </c>
      <c r="E1080" s="42">
        <v>162.78</v>
      </c>
      <c r="F1080" s="41">
        <f t="shared" ca="1" si="39"/>
        <v>52903.5</v>
      </c>
    </row>
    <row r="1081" spans="1:6" ht="14.25" customHeight="1" x14ac:dyDescent="0.35">
      <c r="A1081" s="39" t="s">
        <v>12465</v>
      </c>
      <c r="B1081" s="40" t="str">
        <f t="shared" ca="1" si="41"/>
        <v>Alambre para interconexiones</v>
      </c>
      <c r="C1081" s="72" t="str">
        <f>IFERROR(VLOOKUP("FT",'Informacion '!P:Q,2,FALSE),"")</f>
        <v>Pie</v>
      </c>
      <c r="D1081" s="39">
        <v>250</v>
      </c>
      <c r="E1081" s="42">
        <v>33.47</v>
      </c>
      <c r="F1081" s="41">
        <f t="shared" ca="1" si="39"/>
        <v>8367.5</v>
      </c>
    </row>
    <row r="1082" spans="1:6" ht="14.25" customHeight="1" x14ac:dyDescent="0.35">
      <c r="A1082" s="39" t="s">
        <v>12465</v>
      </c>
      <c r="B1082" s="40" t="str">
        <f t="shared" ca="1" si="41"/>
        <v>Alambre para interconexiones</v>
      </c>
      <c r="C1082" s="72" t="str">
        <f>IFERROR(VLOOKUP("FT",'Informacion '!P:Q,2,FALSE),"")</f>
        <v>Pie</v>
      </c>
      <c r="D1082" s="39">
        <v>325</v>
      </c>
      <c r="E1082" s="42">
        <v>42.71</v>
      </c>
      <c r="F1082" s="41">
        <f t="shared" ca="1" si="39"/>
        <v>13880.75</v>
      </c>
    </row>
    <row r="1083" spans="1:6" ht="14.25" customHeight="1" x14ac:dyDescent="0.35">
      <c r="A1083" s="39" t="s">
        <v>12465</v>
      </c>
      <c r="B1083" s="40" t="str">
        <f t="shared" ca="1" si="41"/>
        <v>Alambre para interconexiones</v>
      </c>
      <c r="C1083" s="72" t="str">
        <f>IFERROR(VLOOKUP("FT",'Informacion '!P:Q,2,FALSE),"")</f>
        <v>Pie</v>
      </c>
      <c r="D1083" s="39">
        <v>325</v>
      </c>
      <c r="E1083" s="42">
        <v>33.47</v>
      </c>
      <c r="F1083" s="41">
        <f t="shared" ca="1" si="39"/>
        <v>10877.75</v>
      </c>
    </row>
    <row r="1084" spans="1:6" ht="14.25" customHeight="1" x14ac:dyDescent="0.35">
      <c r="A1084" s="39" t="s">
        <v>12465</v>
      </c>
      <c r="B1084" s="40" t="str">
        <f t="shared" ca="1" si="41"/>
        <v>Alambre para interconexiones</v>
      </c>
      <c r="C1084" s="72" t="str">
        <f>IFERROR(VLOOKUP("FT",'Informacion '!P:Q,2,FALSE),"")</f>
        <v>Pie</v>
      </c>
      <c r="D1084" s="39">
        <v>325</v>
      </c>
      <c r="E1084" s="42">
        <v>162.78</v>
      </c>
      <c r="F1084" s="41">
        <f t="shared" ref="F1084:F1108" ca="1" si="42">INDIRECT(ADDRESS(ROW(),COLUMN()-2,4))*INDIRECT(ADDRESS(ROW(),COLUMN()-1,4))</f>
        <v>52903.5</v>
      </c>
    </row>
    <row r="1085" spans="1:6" ht="14.25" customHeight="1" x14ac:dyDescent="0.35">
      <c r="A1085" s="39" t="s">
        <v>12465</v>
      </c>
      <c r="B1085" s="40" t="str">
        <f t="shared" ca="1" si="41"/>
        <v>Alambre para interconexiones</v>
      </c>
      <c r="C1085" s="72" t="str">
        <f>IFERROR(VLOOKUP("FT",'Informacion '!P:Q,2,FALSE),"")</f>
        <v>Pie</v>
      </c>
      <c r="D1085" s="39">
        <v>325</v>
      </c>
      <c r="E1085" s="42">
        <v>42.71</v>
      </c>
      <c r="F1085" s="41">
        <f t="shared" ca="1" si="42"/>
        <v>13880.75</v>
      </c>
    </row>
    <row r="1086" spans="1:6" ht="14.25" customHeight="1" x14ac:dyDescent="0.35">
      <c r="A1086" s="39" t="s">
        <v>12465</v>
      </c>
      <c r="B1086" s="40" t="str">
        <f t="shared" ca="1" si="41"/>
        <v>Alambre para interconexiones</v>
      </c>
      <c r="C1086" s="72" t="str">
        <f>IFERROR(VLOOKUP("FT",'Informacion '!P:Q,2,FALSE),"")</f>
        <v>Pie</v>
      </c>
      <c r="D1086" s="39">
        <v>325</v>
      </c>
      <c r="E1086" s="42">
        <v>4.84</v>
      </c>
      <c r="F1086" s="41">
        <f t="shared" ca="1" si="42"/>
        <v>1573</v>
      </c>
    </row>
    <row r="1087" spans="1:6" ht="14.25" customHeight="1" x14ac:dyDescent="0.35">
      <c r="A1087" s="39" t="s">
        <v>12465</v>
      </c>
      <c r="B1087" s="40" t="str">
        <f t="shared" ca="1" si="41"/>
        <v>Alambre para interconexiones</v>
      </c>
      <c r="C1087" s="72" t="str">
        <f>IFERROR(VLOOKUP("FT",'Informacion '!P:Q,2,FALSE),"")</f>
        <v>Pie</v>
      </c>
      <c r="D1087" s="39">
        <v>350</v>
      </c>
      <c r="E1087" s="42">
        <v>4.84</v>
      </c>
      <c r="F1087" s="41">
        <f t="shared" ca="1" si="42"/>
        <v>1694</v>
      </c>
    </row>
    <row r="1088" spans="1:6" ht="14.25" customHeight="1" x14ac:dyDescent="0.35">
      <c r="A1088" s="39" t="s">
        <v>12465</v>
      </c>
      <c r="B1088" s="40" t="str">
        <f t="shared" ca="1" si="41"/>
        <v>Alambre para interconexiones</v>
      </c>
      <c r="C1088" s="72" t="str">
        <f>IFERROR(VLOOKUP("FT",'Informacion '!P:Q,2,FALSE),"")</f>
        <v>Pie</v>
      </c>
      <c r="D1088" s="39">
        <v>325</v>
      </c>
      <c r="E1088" s="42">
        <v>162.78</v>
      </c>
      <c r="F1088" s="41">
        <f t="shared" ca="1" si="42"/>
        <v>52903.5</v>
      </c>
    </row>
    <row r="1089" spans="1:6" ht="14.25" customHeight="1" x14ac:dyDescent="0.35">
      <c r="A1089" s="39" t="s">
        <v>12465</v>
      </c>
      <c r="B1089" s="40" t="str">
        <f t="shared" ca="1" si="41"/>
        <v>Alambre para interconexiones</v>
      </c>
      <c r="C1089" s="72" t="str">
        <f>IFERROR(VLOOKUP("FT",'Informacion '!P:Q,2,FALSE),"")</f>
        <v>Pie</v>
      </c>
      <c r="D1089" s="39">
        <v>325</v>
      </c>
      <c r="E1089" s="42">
        <v>162.78</v>
      </c>
      <c r="F1089" s="41">
        <f t="shared" ca="1" si="42"/>
        <v>52903.5</v>
      </c>
    </row>
    <row r="1090" spans="1:6" ht="14.25" customHeight="1" x14ac:dyDescent="0.35">
      <c r="A1090" s="39" t="s">
        <v>12465</v>
      </c>
      <c r="B1090" s="40" t="str">
        <f t="shared" ca="1" si="41"/>
        <v>Alambre para interconexiones</v>
      </c>
      <c r="C1090" s="72" t="str">
        <f>IFERROR(VLOOKUP("FT",'Informacion '!P:Q,2,FALSE),"")</f>
        <v>Pie</v>
      </c>
      <c r="D1090" s="39">
        <v>325</v>
      </c>
      <c r="E1090" s="42">
        <v>42.71</v>
      </c>
      <c r="F1090" s="41">
        <f t="shared" ca="1" si="42"/>
        <v>13880.75</v>
      </c>
    </row>
    <row r="1091" spans="1:6" ht="14.25" customHeight="1" x14ac:dyDescent="0.35">
      <c r="A1091" s="39" t="s">
        <v>5257</v>
      </c>
      <c r="B1091" s="40" t="str">
        <f ca="1">IFERROR(INDEX(UNSPSCDes,MATCH(INDIRECT(ADDRESS(ROW(),COLUMN()-1,4)),UNSPSCCode,0)),IF(INDIRECT(ADDRESS(ROW(),COLUMN()-1,4))="26121604","Cable para señales",""))</f>
        <v>Cable para señales</v>
      </c>
      <c r="C1091" s="72" t="str">
        <f>IFERROR(VLOOKUP("UD",'Informacion '!P:Q,2,FALSE),"")</f>
        <v>Unidad</v>
      </c>
      <c r="D1091" s="39">
        <v>3</v>
      </c>
      <c r="E1091" s="42">
        <v>2183</v>
      </c>
      <c r="F1091" s="41">
        <f t="shared" ca="1" si="42"/>
        <v>6549</v>
      </c>
    </row>
    <row r="1092" spans="1:6" ht="14.25" customHeight="1" x14ac:dyDescent="0.35">
      <c r="A1092" s="39" t="s">
        <v>13321</v>
      </c>
      <c r="B1092" s="40" t="str">
        <f t="shared" ref="B1092:B1099" ca="1" si="43">IFERROR(INDEX(UNSPSCDes,MATCH(INDIRECT(ADDRESS(ROW(),COLUMN()-1,4)),UNSPSCCode,0)),IF(INDIRECT(ADDRESS(ROW(),COLUMN()-1,4))="26121609","Cable de redes",""))</f>
        <v>Cable de redes</v>
      </c>
      <c r="C1092" s="72" t="str">
        <f>IFERROR(VLOOKUP("FT",'Informacion '!P:Q,2,FALSE),"")</f>
        <v>Pie</v>
      </c>
      <c r="D1092" s="39">
        <v>390</v>
      </c>
      <c r="E1092" s="42">
        <v>30.09</v>
      </c>
      <c r="F1092" s="41">
        <f t="shared" ca="1" si="42"/>
        <v>11735.1</v>
      </c>
    </row>
    <row r="1093" spans="1:6" ht="14.25" customHeight="1" x14ac:dyDescent="0.35">
      <c r="A1093" s="39" t="s">
        <v>13321</v>
      </c>
      <c r="B1093" s="40" t="str">
        <f t="shared" ca="1" si="43"/>
        <v>Cable de redes</v>
      </c>
      <c r="C1093" s="72" t="str">
        <f>IFERROR(VLOOKUP("FT",'Informacion '!P:Q,2,FALSE),"")</f>
        <v>Pie</v>
      </c>
      <c r="D1093" s="39">
        <v>6</v>
      </c>
      <c r="E1093" s="42">
        <v>43.22</v>
      </c>
      <c r="F1093" s="41">
        <f t="shared" ca="1" si="42"/>
        <v>259.32</v>
      </c>
    </row>
    <row r="1094" spans="1:6" ht="14.25" customHeight="1" x14ac:dyDescent="0.35">
      <c r="A1094" s="39" t="s">
        <v>13321</v>
      </c>
      <c r="B1094" s="40" t="str">
        <f t="shared" ca="1" si="43"/>
        <v>Cable de redes</v>
      </c>
      <c r="C1094" s="72" t="str">
        <f>IFERROR(VLOOKUP("FT",'Informacion '!P:Q,2,FALSE),"")</f>
        <v>Pie</v>
      </c>
      <c r="D1094" s="39">
        <v>800</v>
      </c>
      <c r="E1094" s="42">
        <v>95</v>
      </c>
      <c r="F1094" s="41">
        <f t="shared" ca="1" si="42"/>
        <v>76000</v>
      </c>
    </row>
    <row r="1095" spans="1:6" ht="14.25" customHeight="1" x14ac:dyDescent="0.35">
      <c r="A1095" s="39" t="s">
        <v>13321</v>
      </c>
      <c r="B1095" s="40" t="str">
        <f t="shared" ca="1" si="43"/>
        <v>Cable de redes</v>
      </c>
      <c r="C1095" s="72" t="str">
        <f>IFERROR(VLOOKUP("FT",'Informacion '!P:Q,2,FALSE),"")</f>
        <v>Pie</v>
      </c>
      <c r="D1095" s="39">
        <v>2006</v>
      </c>
      <c r="E1095" s="42">
        <v>43.22</v>
      </c>
      <c r="F1095" s="41">
        <f t="shared" ca="1" si="42"/>
        <v>86699.319999999992</v>
      </c>
    </row>
    <row r="1096" spans="1:6" ht="14.25" customHeight="1" x14ac:dyDescent="0.35">
      <c r="A1096" s="39" t="s">
        <v>13321</v>
      </c>
      <c r="B1096" s="40" t="str">
        <f t="shared" ca="1" si="43"/>
        <v>Cable de redes</v>
      </c>
      <c r="C1096" s="72" t="str">
        <f>IFERROR(VLOOKUP("FT",'Informacion '!P:Q,2,FALSE),"")</f>
        <v>Pie</v>
      </c>
      <c r="D1096" s="39">
        <v>1950</v>
      </c>
      <c r="E1096" s="42">
        <v>30.09</v>
      </c>
      <c r="F1096" s="41">
        <f t="shared" ca="1" si="42"/>
        <v>58675.5</v>
      </c>
    </row>
    <row r="1097" spans="1:6" ht="14.25" customHeight="1" x14ac:dyDescent="0.35">
      <c r="A1097" s="39" t="s">
        <v>13321</v>
      </c>
      <c r="B1097" s="40" t="str">
        <f t="shared" ca="1" si="43"/>
        <v>Cable de redes</v>
      </c>
      <c r="C1097" s="72" t="str">
        <f>IFERROR(VLOOKUP("FT",'Informacion '!P:Q,2,FALSE),"")</f>
        <v>Pie</v>
      </c>
      <c r="D1097" s="39">
        <v>130</v>
      </c>
      <c r="E1097" s="42">
        <v>53.1</v>
      </c>
      <c r="F1097" s="41">
        <f t="shared" ca="1" si="42"/>
        <v>6903</v>
      </c>
    </row>
    <row r="1098" spans="1:6" ht="14.25" customHeight="1" x14ac:dyDescent="0.35">
      <c r="A1098" s="39" t="s">
        <v>13321</v>
      </c>
      <c r="B1098" s="40" t="str">
        <f t="shared" ca="1" si="43"/>
        <v>Cable de redes</v>
      </c>
      <c r="C1098" s="72" t="str">
        <f>IFERROR(VLOOKUP("FT",'Informacion '!P:Q,2,FALSE),"")</f>
        <v>Pie</v>
      </c>
      <c r="D1098" s="39">
        <v>1025</v>
      </c>
      <c r="E1098" s="42">
        <v>96</v>
      </c>
      <c r="F1098" s="41">
        <f t="shared" ca="1" si="42"/>
        <v>98400</v>
      </c>
    </row>
    <row r="1099" spans="1:6" ht="14.25" customHeight="1" x14ac:dyDescent="0.35">
      <c r="A1099" s="39" t="s">
        <v>13321</v>
      </c>
      <c r="B1099" s="40" t="str">
        <f t="shared" ca="1" si="43"/>
        <v>Cable de redes</v>
      </c>
      <c r="C1099" s="72" t="str">
        <f>IFERROR(VLOOKUP("FT",'Informacion '!P:Q,2,FALSE),"")</f>
        <v>Pie</v>
      </c>
      <c r="D1099" s="39">
        <v>6</v>
      </c>
      <c r="E1099" s="42">
        <v>107.25</v>
      </c>
      <c r="F1099" s="41">
        <f t="shared" ca="1" si="42"/>
        <v>643.5</v>
      </c>
    </row>
    <row r="1100" spans="1:6" ht="14.25" customHeight="1" x14ac:dyDescent="0.35">
      <c r="A1100" s="39" t="s">
        <v>17393</v>
      </c>
      <c r="B1100" s="40" t="str">
        <f ca="1">IFERROR(INDEX(UNSPSCDes,MATCH(INDIRECT(ADDRESS(ROW(),COLUMN()-1,4)),UNSPSCCode,0)),IF(INDIRECT(ADDRESS(ROW(),COLUMN()-1,4))="26121611","Cable desnudo",""))</f>
        <v>Cable desnudo</v>
      </c>
      <c r="C1100" s="72" t="str">
        <f>IFERROR(VLOOKUP("FT",'Informacion '!P:Q,2,FALSE),"")</f>
        <v>Pie</v>
      </c>
      <c r="D1100" s="39">
        <v>2006</v>
      </c>
      <c r="E1100" s="42">
        <v>311.23</v>
      </c>
      <c r="F1100" s="41">
        <f t="shared" ca="1" si="42"/>
        <v>624327.38</v>
      </c>
    </row>
    <row r="1101" spans="1:6" ht="14.25" customHeight="1" x14ac:dyDescent="0.35">
      <c r="A1101" s="39" t="s">
        <v>17393</v>
      </c>
      <c r="B1101" s="40" t="str">
        <f ca="1">IFERROR(INDEX(UNSPSCDes,MATCH(INDIRECT(ADDRESS(ROW(),COLUMN()-1,4)),UNSPSCCode,0)),IF(INDIRECT(ADDRESS(ROW(),COLUMN()-1,4))="26121611","Cable desnudo",""))</f>
        <v>Cable desnudo</v>
      </c>
      <c r="C1101" s="72" t="str">
        <f>IFERROR(VLOOKUP("FT",'Informacion '!P:Q,2,FALSE),"")</f>
        <v>Pie</v>
      </c>
      <c r="D1101" s="39">
        <v>1950</v>
      </c>
      <c r="E1101" s="42">
        <v>108.21</v>
      </c>
      <c r="F1101" s="41">
        <f t="shared" ca="1" si="42"/>
        <v>211009.5</v>
      </c>
    </row>
    <row r="1102" spans="1:6" ht="14.25" customHeight="1" x14ac:dyDescent="0.35">
      <c r="A1102" s="39" t="s">
        <v>17393</v>
      </c>
      <c r="B1102" s="40" t="str">
        <f ca="1">IFERROR(INDEX(UNSPSCDes,MATCH(INDIRECT(ADDRESS(ROW(),COLUMN()-1,4)),UNSPSCCode,0)),IF(INDIRECT(ADDRESS(ROW(),COLUMN()-1,4))="26121611","Cable desnudo",""))</f>
        <v>Cable desnudo</v>
      </c>
      <c r="C1102" s="72" t="str">
        <f>IFERROR(VLOOKUP("FT",'Informacion '!P:Q,2,FALSE),"")</f>
        <v>Pie</v>
      </c>
      <c r="D1102" s="39">
        <v>130</v>
      </c>
      <c r="E1102" s="42">
        <v>48</v>
      </c>
      <c r="F1102" s="41">
        <f t="shared" ca="1" si="42"/>
        <v>6240</v>
      </c>
    </row>
    <row r="1103" spans="1:6" ht="14.25" customHeight="1" x14ac:dyDescent="0.35">
      <c r="A1103" s="39" t="s">
        <v>17393</v>
      </c>
      <c r="B1103" s="40" t="str">
        <f ca="1">IFERROR(INDEX(UNSPSCDes,MATCH(INDIRECT(ADDRESS(ROW(),COLUMN()-1,4)),UNSPSCCode,0)),IF(INDIRECT(ADDRESS(ROW(),COLUMN()-1,4))="26121611","Cable desnudo",""))</f>
        <v>Cable desnudo</v>
      </c>
      <c r="C1103" s="72" t="str">
        <f>IFERROR(VLOOKUP("FT",'Informacion '!P:Q,2,FALSE),"")</f>
        <v>Pie</v>
      </c>
      <c r="D1103" s="39">
        <v>1025</v>
      </c>
      <c r="E1103" s="42">
        <v>168.37</v>
      </c>
      <c r="F1103" s="41">
        <f t="shared" ca="1" si="42"/>
        <v>172579.25</v>
      </c>
    </row>
    <row r="1104" spans="1:6" ht="14.25" customHeight="1" x14ac:dyDescent="0.35">
      <c r="A1104" s="39" t="s">
        <v>17393</v>
      </c>
      <c r="B1104" s="40" t="str">
        <f ca="1">IFERROR(INDEX(UNSPSCDes,MATCH(INDIRECT(ADDRESS(ROW(),COLUMN()-1,4)),UNSPSCCode,0)),IF(INDIRECT(ADDRESS(ROW(),COLUMN()-1,4))="26121611","Cable desnudo",""))</f>
        <v>Cable desnudo</v>
      </c>
      <c r="C1104" s="72" t="str">
        <f>IFERROR(VLOOKUP("FT",'Informacion '!P:Q,2,FALSE),"")</f>
        <v>Pie</v>
      </c>
      <c r="D1104" s="39">
        <v>6</v>
      </c>
      <c r="E1104" s="42">
        <v>48</v>
      </c>
      <c r="F1104" s="41">
        <f t="shared" ca="1" si="42"/>
        <v>288</v>
      </c>
    </row>
    <row r="1105" spans="1:10" ht="14.25" customHeight="1" x14ac:dyDescent="0.35">
      <c r="A1105" s="39" t="s">
        <v>8880</v>
      </c>
      <c r="B1105" s="40" t="str">
        <f ca="1">IFERROR(INDEX(UNSPSCDes,MATCH(INDIRECT(ADDRESS(ROW(),COLUMN()-1,4)),UNSPSCCode,0)),IF(INDIRECT(ADDRESS(ROW(),COLUMN()-1,4))="26121701","Cableado preformado de panel",""))</f>
        <v>Cableado preformado de panel</v>
      </c>
      <c r="C1105" s="72" t="str">
        <f>IFERROR(VLOOKUP("UD",'Informacion '!P:Q,2,FALSE),"")</f>
        <v>Unidad</v>
      </c>
      <c r="D1105" s="39">
        <v>360</v>
      </c>
      <c r="E1105" s="42">
        <v>10.47</v>
      </c>
      <c r="F1105" s="41">
        <f t="shared" ca="1" si="42"/>
        <v>3769.2000000000003</v>
      </c>
    </row>
    <row r="1106" spans="1:10" ht="14.25" customHeight="1" x14ac:dyDescent="0.35">
      <c r="A1106" s="39" t="s">
        <v>8880</v>
      </c>
      <c r="B1106" s="40" t="str">
        <f ca="1">IFERROR(INDEX(UNSPSCDes,MATCH(INDIRECT(ADDRESS(ROW(),COLUMN()-1,4)),UNSPSCCode,0)),IF(INDIRECT(ADDRESS(ROW(),COLUMN()-1,4))="26121701","Cableado preformado de panel",""))</f>
        <v>Cableado preformado de panel</v>
      </c>
      <c r="C1106" s="72" t="str">
        <f>IFERROR(VLOOKUP("UD",'Informacion '!P:Q,2,FALSE),"")</f>
        <v>Unidad</v>
      </c>
      <c r="D1106" s="39">
        <v>52</v>
      </c>
      <c r="E1106" s="42">
        <v>65</v>
      </c>
      <c r="F1106" s="41">
        <f t="shared" ca="1" si="42"/>
        <v>3380</v>
      </c>
    </row>
    <row r="1107" spans="1:10" ht="14.25" customHeight="1" x14ac:dyDescent="0.35">
      <c r="A1107" s="39" t="s">
        <v>8880</v>
      </c>
      <c r="B1107" s="40" t="str">
        <f ca="1">IFERROR(INDEX(UNSPSCDes,MATCH(INDIRECT(ADDRESS(ROW(),COLUMN()-1,4)),UNSPSCCode,0)),IF(INDIRECT(ADDRESS(ROW(),COLUMN()-1,4))="26121701","Cableado preformado de panel",""))</f>
        <v>Cableado preformado de panel</v>
      </c>
      <c r="C1107" s="72" t="str">
        <f>IFERROR(VLOOKUP("UD",'Informacion '!P:Q,2,FALSE),"")</f>
        <v>Unidad</v>
      </c>
      <c r="D1107" s="39">
        <v>2550</v>
      </c>
      <c r="E1107" s="42">
        <v>48</v>
      </c>
      <c r="F1107" s="41">
        <f t="shared" ca="1" si="42"/>
        <v>122400</v>
      </c>
    </row>
    <row r="1108" spans="1:10" ht="14.25" customHeight="1" x14ac:dyDescent="0.35">
      <c r="A1108" s="39" t="s">
        <v>8880</v>
      </c>
      <c r="B1108" s="40" t="str">
        <f ca="1">IFERROR(INDEX(UNSPSCDes,MATCH(INDIRECT(ADDRESS(ROW(),COLUMN()-1,4)),UNSPSCCode,0)),IF(INDIRECT(ADDRESS(ROW(),COLUMN()-1,4))="26121701","Cableado preformado de panel",""))</f>
        <v>Cableado preformado de panel</v>
      </c>
      <c r="C1108" s="72" t="str">
        <f>IFERROR(VLOOKUP("UD",'Informacion '!P:Q,2,FALSE),"")</f>
        <v>Unidad</v>
      </c>
      <c r="D1108" s="39">
        <v>12</v>
      </c>
      <c r="E1108" s="42">
        <v>19.62</v>
      </c>
      <c r="F1108" s="41">
        <f t="shared" ca="1" si="42"/>
        <v>235.44</v>
      </c>
    </row>
    <row r="1109" spans="1:10" ht="14.25" customHeight="1" x14ac:dyDescent="0.35">
      <c r="E1109" s="44" t="s">
        <v>13122</v>
      </c>
      <c r="F1109" s="45">
        <f ca="1">SUM(Table67[MONTO TOTAL ESTIMADO])</f>
        <v>28487120.570000004</v>
      </c>
      <c r="H1109" s="24" t="str">
        <f>C1013</f>
        <v>Bienes</v>
      </c>
      <c r="I1109" s="24" t="str">
        <f>E1013</f>
        <v>No</v>
      </c>
      <c r="J1109" s="24" t="str">
        <f>D1013</f>
        <v>Licitacion Publica</v>
      </c>
    </row>
    <row r="1111" spans="1:10" ht="34" customHeight="1" x14ac:dyDescent="0.35">
      <c r="A1111" s="36" t="s">
        <v>17105</v>
      </c>
      <c r="B1111" s="36" t="s">
        <v>167</v>
      </c>
      <c r="C1111" s="36" t="s">
        <v>12252</v>
      </c>
      <c r="D1111" s="36" t="s">
        <v>15021</v>
      </c>
      <c r="E1111" s="36" t="s">
        <v>11455</v>
      </c>
      <c r="F1111" s="36" t="s">
        <v>11595</v>
      </c>
    </row>
    <row r="1112" spans="1:10" ht="14.25" customHeight="1" x14ac:dyDescent="0.35">
      <c r="A1112" s="37" t="s">
        <v>19164</v>
      </c>
      <c r="B1112" s="37" t="s">
        <v>19164</v>
      </c>
      <c r="C1112" s="37" t="s">
        <v>18585</v>
      </c>
      <c r="D1112" s="37" t="s">
        <v>18256</v>
      </c>
      <c r="E1112" s="37" t="s">
        <v>9261</v>
      </c>
      <c r="F1112" s="37" t="s">
        <v>7088</v>
      </c>
    </row>
    <row r="1113" spans="1:10" ht="14.25" customHeight="1" x14ac:dyDescent="0.35">
      <c r="A1113" s="75" t="s">
        <v>15490</v>
      </c>
      <c r="B1113" s="38" t="s">
        <v>8918</v>
      </c>
      <c r="C1113" s="68">
        <v>45383</v>
      </c>
      <c r="D1113" s="75" t="s">
        <v>9819</v>
      </c>
      <c r="E1113" s="70" t="s">
        <v>13683</v>
      </c>
      <c r="F1113" s="71" t="s">
        <v>3205</v>
      </c>
    </row>
    <row r="1114" spans="1:10" ht="14.25" customHeight="1" x14ac:dyDescent="0.35">
      <c r="A1114" s="76"/>
      <c r="B1114" s="38" t="s">
        <v>1858</v>
      </c>
      <c r="C1114" s="69">
        <f>IF(C1113="","",IF(AND(MONTH(C1113)&gt;=1,MONTH(C1113)&lt;=3),1,IF(AND(MONTH(C1113)&gt;=4,MONTH(C1113)&lt;=6),2,IF(AND(MONTH(C1113)&gt;=7,MONTH(C1113)&lt;=9),3,4))))</f>
        <v>2</v>
      </c>
      <c r="D1114" s="76"/>
      <c r="E1114" s="70" t="s">
        <v>2509</v>
      </c>
      <c r="F1114" s="71" t="s">
        <v>11612</v>
      </c>
    </row>
    <row r="1115" spans="1:10" ht="14.25" customHeight="1" x14ac:dyDescent="0.35">
      <c r="A1115" s="76"/>
      <c r="B1115" s="38" t="s">
        <v>13526</v>
      </c>
      <c r="C1115" s="68">
        <v>45471</v>
      </c>
      <c r="D1115" s="76"/>
      <c r="E1115" s="70" t="s">
        <v>3198</v>
      </c>
      <c r="F1115" s="71" t="s">
        <v>11612</v>
      </c>
    </row>
    <row r="1116" spans="1:10" ht="14.25" customHeight="1" x14ac:dyDescent="0.35">
      <c r="A1116" s="76"/>
      <c r="B1116" s="38" t="s">
        <v>1858</v>
      </c>
      <c r="C1116" s="69">
        <f>IF(C1115="","",IF(AND(MONTH(C1115)&gt;=1,MONTH(C1115)&lt;=3),1,IF(AND(MONTH(C1115)&gt;=4,MONTH(C1115)&lt;=6),2,IF(AND(MONTH(C1115)&gt;=7,MONTH(C1115)&lt;=9),3,4))))</f>
        <v>2</v>
      </c>
      <c r="D1116" s="76"/>
      <c r="E1116" s="70" t="s">
        <v>13785</v>
      </c>
      <c r="F1116" s="71"/>
    </row>
    <row r="1118" spans="1:10" ht="14.25" customHeight="1" x14ac:dyDescent="0.35">
      <c r="A1118" s="43" t="s">
        <v>16424</v>
      </c>
      <c r="B1118" s="43" t="s">
        <v>16856</v>
      </c>
      <c r="C1118" s="43" t="s">
        <v>16326</v>
      </c>
      <c r="D1118" s="43" t="s">
        <v>15925</v>
      </c>
      <c r="E1118" s="43" t="s">
        <v>7248</v>
      </c>
      <c r="F1118" s="43" t="s">
        <v>15955</v>
      </c>
    </row>
    <row r="1119" spans="1:10" ht="14.25" customHeight="1" x14ac:dyDescent="0.35">
      <c r="A1119" s="39" t="s">
        <v>17758</v>
      </c>
      <c r="B1119" s="40" t="str">
        <f ca="1">IFERROR(INDEX(UNSPSCDes,MATCH(INDIRECT(ADDRESS(ROW(),COLUMN()-1,4)),UNSPSCCode,0)),IF(INDIRECT(ADDRESS(ROW(),COLUMN()-1,4))="26121520","Alambre de cobre-acero",""))</f>
        <v>Alambre de cobre-acero</v>
      </c>
      <c r="C1119" s="72" t="str">
        <f>IFERROR(VLOOKUP("UD",'Informacion '!P:Q,2,FALSE),"")</f>
        <v>Unidad</v>
      </c>
      <c r="D1119" s="39">
        <v>2</v>
      </c>
      <c r="E1119" s="42">
        <v>2950</v>
      </c>
      <c r="F1119" s="41">
        <f t="shared" ref="F1119:F1141" ca="1" si="44">INDIRECT(ADDRESS(ROW(),COLUMN()-2,4))*INDIRECT(ADDRESS(ROW(),COLUMN()-1,4))</f>
        <v>5900</v>
      </c>
    </row>
    <row r="1120" spans="1:10" ht="14.25" customHeight="1" x14ac:dyDescent="0.35">
      <c r="A1120" s="39" t="s">
        <v>13073</v>
      </c>
      <c r="B1120" s="40" t="str">
        <f ca="1">IFERROR(INDEX(UNSPSCDes,MATCH(INDIRECT(ADDRESS(ROW(),COLUMN()-1,4)),UNSPSCCode,0)),IF(INDIRECT(ADDRESS(ROW(),COLUMN()-1,4))="26121524","Alambre aislado o forrado",""))</f>
        <v>Alambre aislado o forrado</v>
      </c>
      <c r="C1120" s="72" t="str">
        <f>IFERROR(VLOOKUP("FT",'Informacion '!P:Q,2,FALSE),"")</f>
        <v>Pie</v>
      </c>
      <c r="D1120" s="39">
        <v>350</v>
      </c>
      <c r="E1120" s="42">
        <v>22.61</v>
      </c>
      <c r="F1120" s="41">
        <f t="shared" ca="1" si="44"/>
        <v>7913.5</v>
      </c>
    </row>
    <row r="1121" spans="1:6" ht="14.25" customHeight="1" x14ac:dyDescent="0.35">
      <c r="A1121" s="39" t="s">
        <v>13073</v>
      </c>
      <c r="B1121" s="40" t="str">
        <f ca="1">IFERROR(INDEX(UNSPSCDes,MATCH(INDIRECT(ADDRESS(ROW(),COLUMN()-1,4)),UNSPSCCode,0)),IF(INDIRECT(ADDRESS(ROW(),COLUMN()-1,4))="26121524","Alambre aislado o forrado",""))</f>
        <v>Alambre aislado o forrado</v>
      </c>
      <c r="C1121" s="72" t="str">
        <f>IFERROR(VLOOKUP("FT",'Informacion '!P:Q,2,FALSE),"")</f>
        <v>Pie</v>
      </c>
      <c r="D1121" s="39">
        <v>350</v>
      </c>
      <c r="E1121" s="42">
        <v>21.69</v>
      </c>
      <c r="F1121" s="41">
        <f t="shared" ca="1" si="44"/>
        <v>7591.5</v>
      </c>
    </row>
    <row r="1122" spans="1:6" ht="14.25" customHeight="1" x14ac:dyDescent="0.35">
      <c r="A1122" s="39" t="s">
        <v>12465</v>
      </c>
      <c r="B1122" s="40" t="str">
        <f t="shared" ref="B1122:B1141" ca="1" si="45">IFERROR(INDEX(UNSPSCDes,MATCH(INDIRECT(ADDRESS(ROW(),COLUMN()-1,4)),UNSPSCCode,0)),IF(INDIRECT(ADDRESS(ROW(),COLUMN()-1,4))="26121532","Alambre para interconexiones",""))</f>
        <v>Alambre para interconexiones</v>
      </c>
      <c r="C1122" s="72" t="str">
        <f>IFERROR(VLOOKUP("FT",'Informacion '!P:Q,2,FALSE),"")</f>
        <v>Pie</v>
      </c>
      <c r="D1122" s="39">
        <v>325</v>
      </c>
      <c r="E1122" s="42">
        <v>22.44</v>
      </c>
      <c r="F1122" s="41">
        <f t="shared" ca="1" si="44"/>
        <v>7293</v>
      </c>
    </row>
    <row r="1123" spans="1:6" ht="14.25" customHeight="1" x14ac:dyDescent="0.35">
      <c r="A1123" s="39" t="s">
        <v>12465</v>
      </c>
      <c r="B1123" s="40" t="str">
        <f t="shared" ca="1" si="45"/>
        <v>Alambre para interconexiones</v>
      </c>
      <c r="C1123" s="72" t="str">
        <f>IFERROR(VLOOKUP("FT",'Informacion '!P:Q,2,FALSE),"")</f>
        <v>Pie</v>
      </c>
      <c r="D1123" s="39">
        <v>325</v>
      </c>
      <c r="E1123" s="42">
        <v>15.41</v>
      </c>
      <c r="F1123" s="41">
        <f t="shared" ca="1" si="44"/>
        <v>5008.25</v>
      </c>
    </row>
    <row r="1124" spans="1:6" ht="14.25" customHeight="1" x14ac:dyDescent="0.35">
      <c r="A1124" s="39" t="s">
        <v>12465</v>
      </c>
      <c r="B1124" s="40" t="str">
        <f t="shared" ca="1" si="45"/>
        <v>Alambre para interconexiones</v>
      </c>
      <c r="C1124" s="72" t="str">
        <f>IFERROR(VLOOKUP("FT",'Informacion '!P:Q,2,FALSE),"")</f>
        <v>Pie</v>
      </c>
      <c r="D1124" s="39">
        <v>325</v>
      </c>
      <c r="E1124" s="42">
        <v>50.83</v>
      </c>
      <c r="F1124" s="41">
        <f t="shared" ca="1" si="44"/>
        <v>16519.75</v>
      </c>
    </row>
    <row r="1125" spans="1:6" ht="14.25" customHeight="1" x14ac:dyDescent="0.35">
      <c r="A1125" s="39" t="s">
        <v>12465</v>
      </c>
      <c r="B1125" s="40" t="str">
        <f t="shared" ca="1" si="45"/>
        <v>Alambre para interconexiones</v>
      </c>
      <c r="C1125" s="72" t="str">
        <f>IFERROR(VLOOKUP("FT",'Informacion '!P:Q,2,FALSE),"")</f>
        <v>Pie</v>
      </c>
      <c r="D1125" s="39">
        <v>325</v>
      </c>
      <c r="E1125" s="42">
        <v>69.760000000000005</v>
      </c>
      <c r="F1125" s="41">
        <f t="shared" ca="1" si="44"/>
        <v>22672</v>
      </c>
    </row>
    <row r="1126" spans="1:6" ht="14.25" customHeight="1" x14ac:dyDescent="0.35">
      <c r="A1126" s="39" t="s">
        <v>12465</v>
      </c>
      <c r="B1126" s="40" t="str">
        <f t="shared" ca="1" si="45"/>
        <v>Alambre para interconexiones</v>
      </c>
      <c r="C1126" s="72" t="str">
        <f>IFERROR(VLOOKUP("FT",'Informacion '!P:Q,2,FALSE),"")</f>
        <v>Pie</v>
      </c>
      <c r="D1126" s="39">
        <v>325</v>
      </c>
      <c r="E1126" s="42">
        <v>21.94</v>
      </c>
      <c r="F1126" s="41">
        <f t="shared" ca="1" si="44"/>
        <v>7130.5</v>
      </c>
    </row>
    <row r="1127" spans="1:6" ht="14.25" customHeight="1" x14ac:dyDescent="0.35">
      <c r="A1127" s="39" t="s">
        <v>12465</v>
      </c>
      <c r="B1127" s="40" t="str">
        <f t="shared" ca="1" si="45"/>
        <v>Alambre para interconexiones</v>
      </c>
      <c r="C1127" s="72" t="str">
        <f>IFERROR(VLOOKUP("FT",'Informacion '!P:Q,2,FALSE),"")</f>
        <v>Pie</v>
      </c>
      <c r="D1127" s="39">
        <v>325</v>
      </c>
      <c r="E1127" s="42">
        <v>33.47</v>
      </c>
      <c r="F1127" s="41">
        <f t="shared" ca="1" si="44"/>
        <v>10877.75</v>
      </c>
    </row>
    <row r="1128" spans="1:6" ht="14.25" customHeight="1" x14ac:dyDescent="0.35">
      <c r="A1128" s="39" t="s">
        <v>12465</v>
      </c>
      <c r="B1128" s="40" t="str">
        <f t="shared" ca="1" si="45"/>
        <v>Alambre para interconexiones</v>
      </c>
      <c r="C1128" s="72" t="str">
        <f>IFERROR(VLOOKUP("FT",'Informacion '!P:Q,2,FALSE),"")</f>
        <v>Pie</v>
      </c>
      <c r="D1128" s="39">
        <v>325</v>
      </c>
      <c r="E1128" s="42">
        <v>67.53</v>
      </c>
      <c r="F1128" s="41">
        <f t="shared" ca="1" si="44"/>
        <v>21947.25</v>
      </c>
    </row>
    <row r="1129" spans="1:6" ht="14.25" customHeight="1" x14ac:dyDescent="0.35">
      <c r="A1129" s="39" t="s">
        <v>12465</v>
      </c>
      <c r="B1129" s="40" t="str">
        <f t="shared" ca="1" si="45"/>
        <v>Alambre para interconexiones</v>
      </c>
      <c r="C1129" s="72" t="str">
        <f>IFERROR(VLOOKUP("FT",'Informacion '!P:Q,2,FALSE),"")</f>
        <v>Pie</v>
      </c>
      <c r="D1129" s="39">
        <v>325</v>
      </c>
      <c r="E1129" s="42">
        <v>162.78</v>
      </c>
      <c r="F1129" s="41">
        <f t="shared" ca="1" si="44"/>
        <v>52903.5</v>
      </c>
    </row>
    <row r="1130" spans="1:6" ht="14.25" customHeight="1" x14ac:dyDescent="0.35">
      <c r="A1130" s="39" t="s">
        <v>12465</v>
      </c>
      <c r="B1130" s="40" t="str">
        <f t="shared" ca="1" si="45"/>
        <v>Alambre para interconexiones</v>
      </c>
      <c r="C1130" s="72" t="str">
        <f>IFERROR(VLOOKUP("FT",'Informacion '!P:Q,2,FALSE),"")</f>
        <v>Pie</v>
      </c>
      <c r="D1130" s="39">
        <v>325</v>
      </c>
      <c r="E1130" s="42">
        <v>33.47</v>
      </c>
      <c r="F1130" s="41">
        <f t="shared" ca="1" si="44"/>
        <v>10877.75</v>
      </c>
    </row>
    <row r="1131" spans="1:6" ht="14.25" customHeight="1" x14ac:dyDescent="0.35">
      <c r="A1131" s="39" t="s">
        <v>12465</v>
      </c>
      <c r="B1131" s="40" t="str">
        <f t="shared" ca="1" si="45"/>
        <v>Alambre para interconexiones</v>
      </c>
      <c r="C1131" s="72" t="str">
        <f>IFERROR(VLOOKUP("FT",'Informacion '!P:Q,2,FALSE),"")</f>
        <v>Pie</v>
      </c>
      <c r="D1131" s="39">
        <v>325</v>
      </c>
      <c r="E1131" s="42">
        <v>162.78</v>
      </c>
      <c r="F1131" s="41">
        <f t="shared" ca="1" si="44"/>
        <v>52903.5</v>
      </c>
    </row>
    <row r="1132" spans="1:6" ht="14.25" customHeight="1" x14ac:dyDescent="0.35">
      <c r="A1132" s="39" t="s">
        <v>12465</v>
      </c>
      <c r="B1132" s="40" t="str">
        <f t="shared" ca="1" si="45"/>
        <v>Alambre para interconexiones</v>
      </c>
      <c r="C1132" s="72" t="str">
        <f>IFERROR(VLOOKUP("FT",'Informacion '!P:Q,2,FALSE),"")</f>
        <v>Pie</v>
      </c>
      <c r="D1132" s="39">
        <v>250</v>
      </c>
      <c r="E1132" s="42">
        <v>33.47</v>
      </c>
      <c r="F1132" s="41">
        <f t="shared" ca="1" si="44"/>
        <v>8367.5</v>
      </c>
    </row>
    <row r="1133" spans="1:6" ht="14.25" customHeight="1" x14ac:dyDescent="0.35">
      <c r="A1133" s="39" t="s">
        <v>12465</v>
      </c>
      <c r="B1133" s="40" t="str">
        <f t="shared" ca="1" si="45"/>
        <v>Alambre para interconexiones</v>
      </c>
      <c r="C1133" s="72" t="str">
        <f>IFERROR(VLOOKUP("FT",'Informacion '!P:Q,2,FALSE),"")</f>
        <v>Pie</v>
      </c>
      <c r="D1133" s="39">
        <v>325</v>
      </c>
      <c r="E1133" s="42">
        <v>42.71</v>
      </c>
      <c r="F1133" s="41">
        <f t="shared" ca="1" si="44"/>
        <v>13880.75</v>
      </c>
    </row>
    <row r="1134" spans="1:6" ht="14.25" customHeight="1" x14ac:dyDescent="0.35">
      <c r="A1134" s="39" t="s">
        <v>12465</v>
      </c>
      <c r="B1134" s="40" t="str">
        <f t="shared" ca="1" si="45"/>
        <v>Alambre para interconexiones</v>
      </c>
      <c r="C1134" s="72" t="str">
        <f>IFERROR(VLOOKUP("FT",'Informacion '!P:Q,2,FALSE),"")</f>
        <v>Pie</v>
      </c>
      <c r="D1134" s="39">
        <v>325</v>
      </c>
      <c r="E1134" s="42">
        <v>33.47</v>
      </c>
      <c r="F1134" s="41">
        <f t="shared" ca="1" si="44"/>
        <v>10877.75</v>
      </c>
    </row>
    <row r="1135" spans="1:6" ht="14.25" customHeight="1" x14ac:dyDescent="0.35">
      <c r="A1135" s="39" t="s">
        <v>12465</v>
      </c>
      <c r="B1135" s="40" t="str">
        <f t="shared" ca="1" si="45"/>
        <v>Alambre para interconexiones</v>
      </c>
      <c r="C1135" s="72" t="str">
        <f>IFERROR(VLOOKUP("FT",'Informacion '!P:Q,2,FALSE),"")</f>
        <v>Pie</v>
      </c>
      <c r="D1135" s="39">
        <v>325</v>
      </c>
      <c r="E1135" s="42">
        <v>162.78</v>
      </c>
      <c r="F1135" s="41">
        <f t="shared" ca="1" si="44"/>
        <v>52903.5</v>
      </c>
    </row>
    <row r="1136" spans="1:6" ht="14.25" customHeight="1" x14ac:dyDescent="0.35">
      <c r="A1136" s="39" t="s">
        <v>12465</v>
      </c>
      <c r="B1136" s="40" t="str">
        <f t="shared" ca="1" si="45"/>
        <v>Alambre para interconexiones</v>
      </c>
      <c r="C1136" s="72" t="str">
        <f>IFERROR(VLOOKUP("FT",'Informacion '!P:Q,2,FALSE),"")</f>
        <v>Pie</v>
      </c>
      <c r="D1136" s="39">
        <v>325</v>
      </c>
      <c r="E1136" s="42">
        <v>42.71</v>
      </c>
      <c r="F1136" s="41">
        <f t="shared" ca="1" si="44"/>
        <v>13880.75</v>
      </c>
    </row>
    <row r="1137" spans="1:10" ht="14.25" customHeight="1" x14ac:dyDescent="0.35">
      <c r="A1137" s="39" t="s">
        <v>12465</v>
      </c>
      <c r="B1137" s="40" t="str">
        <f t="shared" ca="1" si="45"/>
        <v>Alambre para interconexiones</v>
      </c>
      <c r="C1137" s="72" t="str">
        <f>IFERROR(VLOOKUP("FT",'Informacion '!P:Q,2,FALSE),"")</f>
        <v>Pie</v>
      </c>
      <c r="D1137" s="39">
        <v>325</v>
      </c>
      <c r="E1137" s="42">
        <v>4.84</v>
      </c>
      <c r="F1137" s="41">
        <f t="shared" ca="1" si="44"/>
        <v>1573</v>
      </c>
    </row>
    <row r="1138" spans="1:10" ht="14.25" customHeight="1" x14ac:dyDescent="0.35">
      <c r="A1138" s="39" t="s">
        <v>12465</v>
      </c>
      <c r="B1138" s="40" t="str">
        <f t="shared" ca="1" si="45"/>
        <v>Alambre para interconexiones</v>
      </c>
      <c r="C1138" s="72" t="str">
        <f>IFERROR(VLOOKUP("FT",'Informacion '!P:Q,2,FALSE),"")</f>
        <v>Pie</v>
      </c>
      <c r="D1138" s="39">
        <v>350</v>
      </c>
      <c r="E1138" s="42">
        <v>4.84</v>
      </c>
      <c r="F1138" s="41">
        <f t="shared" ca="1" si="44"/>
        <v>1694</v>
      </c>
    </row>
    <row r="1139" spans="1:10" ht="14.25" customHeight="1" x14ac:dyDescent="0.35">
      <c r="A1139" s="39" t="s">
        <v>12465</v>
      </c>
      <c r="B1139" s="40" t="str">
        <f t="shared" ca="1" si="45"/>
        <v>Alambre para interconexiones</v>
      </c>
      <c r="C1139" s="72" t="str">
        <f>IFERROR(VLOOKUP("FT",'Informacion '!P:Q,2,FALSE),"")</f>
        <v>Pie</v>
      </c>
      <c r="D1139" s="39">
        <v>325</v>
      </c>
      <c r="E1139" s="42">
        <v>162.78</v>
      </c>
      <c r="F1139" s="41">
        <f t="shared" ca="1" si="44"/>
        <v>52903.5</v>
      </c>
    </row>
    <row r="1140" spans="1:10" ht="14.25" customHeight="1" x14ac:dyDescent="0.35">
      <c r="A1140" s="39" t="s">
        <v>12465</v>
      </c>
      <c r="B1140" s="40" t="str">
        <f t="shared" ca="1" si="45"/>
        <v>Alambre para interconexiones</v>
      </c>
      <c r="C1140" s="72" t="str">
        <f>IFERROR(VLOOKUP("FT",'Informacion '!P:Q,2,FALSE),"")</f>
        <v>Pie</v>
      </c>
      <c r="D1140" s="39">
        <v>325</v>
      </c>
      <c r="E1140" s="42">
        <v>162.78</v>
      </c>
      <c r="F1140" s="41">
        <f t="shared" ca="1" si="44"/>
        <v>52903.5</v>
      </c>
    </row>
    <row r="1141" spans="1:10" ht="14.25" customHeight="1" x14ac:dyDescent="0.35">
      <c r="A1141" s="39" t="s">
        <v>12465</v>
      </c>
      <c r="B1141" s="40" t="str">
        <f t="shared" ca="1" si="45"/>
        <v>Alambre para interconexiones</v>
      </c>
      <c r="C1141" s="72" t="str">
        <f>IFERROR(VLOOKUP("FT",'Informacion '!P:Q,2,FALSE),"")</f>
        <v>Pie</v>
      </c>
      <c r="D1141" s="39">
        <v>325</v>
      </c>
      <c r="E1141" s="42">
        <v>42.71</v>
      </c>
      <c r="F1141" s="41">
        <f t="shared" ca="1" si="44"/>
        <v>13880.75</v>
      </c>
    </row>
    <row r="1142" spans="1:10" ht="14.25" customHeight="1" x14ac:dyDescent="0.35">
      <c r="E1142" s="44" t="s">
        <v>13122</v>
      </c>
      <c r="F1142" s="45">
        <f ca="1">SUM(Table68[MONTO TOTAL ESTIMADO])</f>
        <v>452403.25</v>
      </c>
      <c r="H1142" s="24" t="str">
        <f>C1112</f>
        <v>Bienes</v>
      </c>
      <c r="I1142" s="24" t="str">
        <f>E1112</f>
        <v>Sí</v>
      </c>
      <c r="J1142" s="24" t="str">
        <f>D1112</f>
        <v>Compras Menores</v>
      </c>
    </row>
    <row r="1144" spans="1:10" ht="34" customHeight="1" x14ac:dyDescent="0.35">
      <c r="A1144" s="36" t="s">
        <v>17105</v>
      </c>
      <c r="B1144" s="36" t="s">
        <v>167</v>
      </c>
      <c r="C1144" s="36" t="s">
        <v>12252</v>
      </c>
      <c r="D1144" s="36" t="s">
        <v>15021</v>
      </c>
      <c r="E1144" s="36" t="s">
        <v>11455</v>
      </c>
      <c r="F1144" s="36" t="s">
        <v>11595</v>
      </c>
    </row>
    <row r="1145" spans="1:10" ht="14.25" customHeight="1" x14ac:dyDescent="0.35">
      <c r="A1145" s="37" t="s">
        <v>4617</v>
      </c>
      <c r="B1145" s="37" t="s">
        <v>4617</v>
      </c>
      <c r="C1145" s="37" t="s">
        <v>18585</v>
      </c>
      <c r="D1145" s="37" t="s">
        <v>10634</v>
      </c>
      <c r="E1145" s="37" t="s">
        <v>9261</v>
      </c>
      <c r="F1145" s="37" t="s">
        <v>7088</v>
      </c>
    </row>
    <row r="1146" spans="1:10" ht="14.25" customHeight="1" x14ac:dyDescent="0.35">
      <c r="A1146" s="75" t="s">
        <v>15490</v>
      </c>
      <c r="B1146" s="38" t="s">
        <v>8918</v>
      </c>
      <c r="C1146" s="68">
        <v>45334</v>
      </c>
      <c r="D1146" s="75" t="s">
        <v>9819</v>
      </c>
      <c r="E1146" s="70" t="s">
        <v>13683</v>
      </c>
      <c r="F1146" s="71" t="s">
        <v>3205</v>
      </c>
    </row>
    <row r="1147" spans="1:10" ht="14.25" customHeight="1" x14ac:dyDescent="0.35">
      <c r="A1147" s="76"/>
      <c r="B1147" s="38" t="s">
        <v>1858</v>
      </c>
      <c r="C1147" s="69">
        <f>IF(C1146="","",IF(AND(MONTH(C1146)&gt;=1,MONTH(C1146)&lt;=3),1,IF(AND(MONTH(C1146)&gt;=4,MONTH(C1146)&lt;=6),2,IF(AND(MONTH(C1146)&gt;=7,MONTH(C1146)&lt;=9),3,4))))</f>
        <v>1</v>
      </c>
      <c r="D1147" s="76"/>
      <c r="E1147" s="70" t="s">
        <v>2509</v>
      </c>
      <c r="F1147" s="71" t="s">
        <v>11612</v>
      </c>
    </row>
    <row r="1148" spans="1:10" ht="14.25" customHeight="1" x14ac:dyDescent="0.35">
      <c r="A1148" s="76"/>
      <c r="B1148" s="38" t="s">
        <v>13526</v>
      </c>
      <c r="C1148" s="68">
        <v>45378</v>
      </c>
      <c r="D1148" s="76"/>
      <c r="E1148" s="70" t="s">
        <v>3198</v>
      </c>
      <c r="F1148" s="71" t="s">
        <v>11612</v>
      </c>
    </row>
    <row r="1149" spans="1:10" ht="14.25" customHeight="1" x14ac:dyDescent="0.35">
      <c r="A1149" s="76"/>
      <c r="B1149" s="38" t="s">
        <v>1858</v>
      </c>
      <c r="C1149" s="69">
        <f>IF(C1148="","",IF(AND(MONTH(C1148)&gt;=1,MONTH(C1148)&lt;=3),1,IF(AND(MONTH(C1148)&gt;=4,MONTH(C1148)&lt;=6),2,IF(AND(MONTH(C1148)&gt;=7,MONTH(C1148)&lt;=9),3,4))))</f>
        <v>1</v>
      </c>
      <c r="D1149" s="76"/>
      <c r="E1149" s="70" t="s">
        <v>13785</v>
      </c>
      <c r="F1149" s="71"/>
    </row>
    <row r="1151" spans="1:10" ht="14.25" customHeight="1" x14ac:dyDescent="0.35">
      <c r="A1151" s="43" t="s">
        <v>16424</v>
      </c>
      <c r="B1151" s="43" t="s">
        <v>16856</v>
      </c>
      <c r="C1151" s="43" t="s">
        <v>16326</v>
      </c>
      <c r="D1151" s="43" t="s">
        <v>15925</v>
      </c>
      <c r="E1151" s="43" t="s">
        <v>7248</v>
      </c>
      <c r="F1151" s="43" t="s">
        <v>15955</v>
      </c>
    </row>
    <row r="1152" spans="1:10" ht="14.25" customHeight="1" x14ac:dyDescent="0.35">
      <c r="A1152" s="39" t="s">
        <v>13974</v>
      </c>
      <c r="B1152" s="40" t="str">
        <f ca="1">IFERROR(INDEX(UNSPSCDes,MATCH(INDIRECT(ADDRESS(ROW(),COLUMN()-1,4)),UNSPSCCode,0)),IF(INDIRECT(ADDRESS(ROW(),COLUMN()-1,4))="51101511","Amoxicilina",""))</f>
        <v>Amoxicilina</v>
      </c>
      <c r="C1152" s="72" t="str">
        <f>IFERROR(VLOOKUP("UD",'Informacion '!P:Q,2,FALSE),"")</f>
        <v>Unidad</v>
      </c>
      <c r="D1152" s="39">
        <v>200</v>
      </c>
      <c r="E1152" s="42">
        <v>11</v>
      </c>
      <c r="F1152" s="41">
        <f t="shared" ref="F1152:F1166" ca="1" si="46">INDIRECT(ADDRESS(ROW(),COLUMN()-2,4))*INDIRECT(ADDRESS(ROW(),COLUMN()-1,4))</f>
        <v>2200</v>
      </c>
    </row>
    <row r="1153" spans="1:10" ht="14.25" customHeight="1" x14ac:dyDescent="0.35">
      <c r="A1153" s="39" t="s">
        <v>13974</v>
      </c>
      <c r="B1153" s="40" t="str">
        <f ca="1">IFERROR(INDEX(UNSPSCDes,MATCH(INDIRECT(ADDRESS(ROW(),COLUMN()-1,4)),UNSPSCCode,0)),IF(INDIRECT(ADDRESS(ROW(),COLUMN()-1,4))="51101511","Amoxicilina",""))</f>
        <v>Amoxicilina</v>
      </c>
      <c r="C1153" s="72" t="str">
        <f>IFERROR(VLOOKUP("UD",'Informacion '!P:Q,2,FALSE),"")</f>
        <v>Unidad</v>
      </c>
      <c r="D1153" s="39">
        <v>300</v>
      </c>
      <c r="E1153" s="42">
        <v>22.21</v>
      </c>
      <c r="F1153" s="41">
        <f t="shared" ca="1" si="46"/>
        <v>6663</v>
      </c>
    </row>
    <row r="1154" spans="1:10" ht="14.25" customHeight="1" x14ac:dyDescent="0.35">
      <c r="A1154" s="39" t="s">
        <v>19001</v>
      </c>
      <c r="B1154" s="40" t="str">
        <f ca="1">IFERROR(INDEX(UNSPSCDes,MATCH(INDIRECT(ADDRESS(ROW(),COLUMN()-1,4)),UNSPSCCode,0)),IF(INDIRECT(ADDRESS(ROW(),COLUMN()-1,4))="51101560","Ticarcilina",""))</f>
        <v>Ticarcilina</v>
      </c>
      <c r="C1154" s="72" t="str">
        <f>IFERROR(VLOOKUP("UD",'Informacion '!P:Q,2,FALSE),"")</f>
        <v>Unidad</v>
      </c>
      <c r="D1154" s="39">
        <v>100</v>
      </c>
      <c r="E1154" s="42">
        <v>25.21</v>
      </c>
      <c r="F1154" s="41">
        <f t="shared" ca="1" si="46"/>
        <v>2521</v>
      </c>
    </row>
    <row r="1155" spans="1:10" ht="14.25" customHeight="1" x14ac:dyDescent="0.35">
      <c r="A1155" s="39" t="s">
        <v>13971</v>
      </c>
      <c r="B1155" s="40" t="str">
        <f ca="1">IFERROR(INDEX(UNSPSCDes,MATCH(INDIRECT(ADDRESS(ROW(),COLUMN()-1,4)),UNSPSCCode,0)),IF(INDIRECT(ADDRESS(ROW(),COLUMN()-1,4))="51101561","Piperacilina",""))</f>
        <v>Piperacilina</v>
      </c>
      <c r="C1155" s="72" t="str">
        <f>IFERROR(VLOOKUP("UD",'Informacion '!P:Q,2,FALSE),"")</f>
        <v>Unidad</v>
      </c>
      <c r="D1155" s="39">
        <v>200</v>
      </c>
      <c r="E1155" s="42">
        <v>20</v>
      </c>
      <c r="F1155" s="41">
        <f t="shared" ca="1" si="46"/>
        <v>4000</v>
      </c>
    </row>
    <row r="1156" spans="1:10" ht="14.25" customHeight="1" x14ac:dyDescent="0.35">
      <c r="A1156" s="39" t="s">
        <v>13715</v>
      </c>
      <c r="B1156" s="40" t="str">
        <f ca="1">IFERROR(INDEX(UNSPSCDes,MATCH(INDIRECT(ADDRESS(ROW(),COLUMN()-1,4)),UNSPSCCode,0)),IF(INDIRECT(ADDRESS(ROW(),COLUMN()-1,4))="51102709","Peróxido de hidrógeno antiséptico",""))</f>
        <v>Peróxido de hidrógeno antiséptico</v>
      </c>
      <c r="C1156" s="72" t="str">
        <f>IFERROR(VLOOKUP("GAL",'Informacion '!P:Q,2,FALSE),"")</f>
        <v>Galón</v>
      </c>
      <c r="D1156" s="39">
        <v>10</v>
      </c>
      <c r="E1156" s="42">
        <v>150</v>
      </c>
      <c r="F1156" s="41">
        <f t="shared" ca="1" si="46"/>
        <v>1500</v>
      </c>
    </row>
    <row r="1157" spans="1:10" ht="14.25" customHeight="1" x14ac:dyDescent="0.35">
      <c r="A1157" s="39" t="s">
        <v>13715</v>
      </c>
      <c r="B1157" s="40" t="str">
        <f ca="1">IFERROR(INDEX(UNSPSCDes,MATCH(INDIRECT(ADDRESS(ROW(),COLUMN()-1,4)),UNSPSCCode,0)),IF(INDIRECT(ADDRESS(ROW(),COLUMN()-1,4))="51102709","Peróxido de hidrógeno antiséptico",""))</f>
        <v>Peróxido de hidrógeno antiséptico</v>
      </c>
      <c r="C1157" s="72" t="str">
        <f>IFERROR(VLOOKUP("UD",'Informacion '!P:Q,2,FALSE),"")</f>
        <v>Unidad</v>
      </c>
      <c r="D1157" s="39">
        <v>50</v>
      </c>
      <c r="E1157" s="42">
        <v>110.17</v>
      </c>
      <c r="F1157" s="41">
        <f t="shared" ca="1" si="46"/>
        <v>5508.5</v>
      </c>
    </row>
    <row r="1158" spans="1:10" ht="14.25" customHeight="1" x14ac:dyDescent="0.35">
      <c r="A1158" s="39" t="s">
        <v>13715</v>
      </c>
      <c r="B1158" s="40" t="str">
        <f ca="1">IFERROR(INDEX(UNSPSCDes,MATCH(INDIRECT(ADDRESS(ROW(),COLUMN()-1,4)),UNSPSCCode,0)),IF(INDIRECT(ADDRESS(ROW(),COLUMN()-1,4))="51102709","Peróxido de hidrógeno antiséptico",""))</f>
        <v>Peróxido de hidrógeno antiséptico</v>
      </c>
      <c r="C1158" s="72" t="str">
        <f>IFERROR(VLOOKUP("UD",'Informacion '!P:Q,2,FALSE),"")</f>
        <v>Unidad</v>
      </c>
      <c r="D1158" s="39">
        <v>6</v>
      </c>
      <c r="E1158" s="42">
        <v>900</v>
      </c>
      <c r="F1158" s="41">
        <f t="shared" ca="1" si="46"/>
        <v>5400</v>
      </c>
    </row>
    <row r="1159" spans="1:10" ht="14.25" customHeight="1" x14ac:dyDescent="0.35">
      <c r="A1159" s="39" t="s">
        <v>13108</v>
      </c>
      <c r="B1159" s="40" t="str">
        <f t="shared" ref="B1159:B1164" ca="1" si="47">IFERROR(INDEX(UNSPSCDes,MATCH(INDIRECT(ADDRESS(ROW(),COLUMN()-1,4)),UNSPSCCode,0)),IF(INDIRECT(ADDRESS(ROW(),COLUMN()-1,4))="51102710","Antisépticos basados en alcohol o acetona",""))</f>
        <v>Antisépticos basados en alcohol o acetona</v>
      </c>
      <c r="C1159" s="72" t="str">
        <f>IFERROR(VLOOKUP("CAJ",'Informacion '!P:Q,2,FALSE),"")</f>
        <v>Caja</v>
      </c>
      <c r="D1159" s="39">
        <v>40.5</v>
      </c>
      <c r="E1159" s="42">
        <v>690.25</v>
      </c>
      <c r="F1159" s="41">
        <f t="shared" ca="1" si="46"/>
        <v>27955.125</v>
      </c>
    </row>
    <row r="1160" spans="1:10" ht="14.25" customHeight="1" x14ac:dyDescent="0.35">
      <c r="A1160" s="39" t="s">
        <v>13108</v>
      </c>
      <c r="B1160" s="40" t="str">
        <f t="shared" ca="1" si="47"/>
        <v>Antisépticos basados en alcohol o acetona</v>
      </c>
      <c r="C1160" s="72" t="str">
        <f>IFERROR(VLOOKUP("GAL",'Informacion '!P:Q,2,FALSE),"")</f>
        <v>Galón</v>
      </c>
      <c r="D1160" s="39">
        <v>175</v>
      </c>
      <c r="E1160" s="42">
        <v>177</v>
      </c>
      <c r="F1160" s="41">
        <f t="shared" ca="1" si="46"/>
        <v>30975</v>
      </c>
    </row>
    <row r="1161" spans="1:10" ht="14.25" customHeight="1" x14ac:dyDescent="0.35">
      <c r="A1161" s="39" t="s">
        <v>13108</v>
      </c>
      <c r="B1161" s="40" t="str">
        <f t="shared" ca="1" si="47"/>
        <v>Antisépticos basados en alcohol o acetona</v>
      </c>
      <c r="C1161" s="72" t="str">
        <f>IFERROR(VLOOKUP("GAL",'Informacion '!P:Q,2,FALSE),"")</f>
        <v>Galón</v>
      </c>
      <c r="D1161" s="39">
        <v>38</v>
      </c>
      <c r="E1161" s="42">
        <v>601.79999999999995</v>
      </c>
      <c r="F1161" s="41">
        <f t="shared" ca="1" si="46"/>
        <v>22868.399999999998</v>
      </c>
    </row>
    <row r="1162" spans="1:10" ht="14.25" customHeight="1" x14ac:dyDescent="0.35">
      <c r="A1162" s="39" t="s">
        <v>13108</v>
      </c>
      <c r="B1162" s="40" t="str">
        <f t="shared" ca="1" si="47"/>
        <v>Antisépticos basados en alcohol o acetona</v>
      </c>
      <c r="C1162" s="72" t="str">
        <f>IFERROR(VLOOKUP("GAL",'Informacion '!P:Q,2,FALSE),"")</f>
        <v>Galón</v>
      </c>
      <c r="D1162" s="39">
        <v>0.5</v>
      </c>
      <c r="E1162" s="42">
        <v>371.7</v>
      </c>
      <c r="F1162" s="41">
        <f t="shared" ca="1" si="46"/>
        <v>185.85</v>
      </c>
    </row>
    <row r="1163" spans="1:10" ht="14.25" customHeight="1" x14ac:dyDescent="0.35">
      <c r="A1163" s="39" t="s">
        <v>13108</v>
      </c>
      <c r="B1163" s="40" t="str">
        <f t="shared" ca="1" si="47"/>
        <v>Antisépticos basados en alcohol o acetona</v>
      </c>
      <c r="C1163" s="72" t="str">
        <f>IFERROR(VLOOKUP("UD",'Informacion '!P:Q,2,FALSE),"")</f>
        <v>Unidad</v>
      </c>
      <c r="D1163" s="39">
        <v>6</v>
      </c>
      <c r="E1163" s="42">
        <v>550</v>
      </c>
      <c r="F1163" s="41">
        <f t="shared" ca="1" si="46"/>
        <v>3300</v>
      </c>
    </row>
    <row r="1164" spans="1:10" ht="14.25" customHeight="1" x14ac:dyDescent="0.35">
      <c r="A1164" s="39" t="s">
        <v>13108</v>
      </c>
      <c r="B1164" s="40" t="str">
        <f t="shared" ca="1" si="47"/>
        <v>Antisépticos basados en alcohol o acetona</v>
      </c>
      <c r="C1164" s="72" t="str">
        <f>IFERROR(VLOOKUP("GAL",'Informacion '!P:Q,2,FALSE),"")</f>
        <v>Galón</v>
      </c>
      <c r="D1164" s="39">
        <v>6</v>
      </c>
      <c r="E1164" s="42">
        <v>413</v>
      </c>
      <c r="F1164" s="41">
        <f t="shared" ca="1" si="46"/>
        <v>2478</v>
      </c>
    </row>
    <row r="1165" spans="1:10" ht="14.25" customHeight="1" x14ac:dyDescent="0.35">
      <c r="A1165" s="39" t="s">
        <v>7507</v>
      </c>
      <c r="B1165" s="40" t="str">
        <f ca="1">IFERROR(INDEX(UNSPSCDes,MATCH(INDIRECT(ADDRESS(ROW(),COLUMN()-1,4)),UNSPSCCode,0)),IF(INDIRECT(ADDRESS(ROW(),COLUMN()-1,4))="51111701","Sulfato de bleomicina",""))</f>
        <v>Sulfato de bleomicina</v>
      </c>
      <c r="C1165" s="72" t="str">
        <f>IFERROR(VLOOKUP("UD",'Informacion '!P:Q,2,FALSE),"")</f>
        <v>Unidad</v>
      </c>
      <c r="D1165" s="39">
        <v>20</v>
      </c>
      <c r="E1165" s="42">
        <v>826</v>
      </c>
      <c r="F1165" s="41">
        <f t="shared" ca="1" si="46"/>
        <v>16520</v>
      </c>
    </row>
    <row r="1166" spans="1:10" ht="14.25" customHeight="1" x14ac:dyDescent="0.35">
      <c r="A1166" s="39" t="s">
        <v>2701</v>
      </c>
      <c r="B1166" s="40" t="str">
        <f ca="1">IFERROR(INDEX(UNSPSCDes,MATCH(INDIRECT(ADDRESS(ROW(),COLUMN()-1,4)),UNSPSCCode,0)),IF(INDIRECT(ADDRESS(ROW(),COLUMN()-1,4))="51121703","Captopril",""))</f>
        <v>Captopril</v>
      </c>
      <c r="C1166" s="72" t="str">
        <f>IFERROR(VLOOKUP("CAJ",'Informacion '!P:Q,2,FALSE),"")</f>
        <v>Caja</v>
      </c>
      <c r="D1166" s="39">
        <v>2</v>
      </c>
      <c r="E1166" s="42">
        <v>362.5</v>
      </c>
      <c r="F1166" s="41">
        <f t="shared" ca="1" si="46"/>
        <v>725</v>
      </c>
    </row>
    <row r="1167" spans="1:10" ht="14.25" customHeight="1" x14ac:dyDescent="0.35">
      <c r="E1167" s="44" t="s">
        <v>13122</v>
      </c>
      <c r="F1167" s="45">
        <f ca="1">SUM(Table69[MONTO TOTAL ESTIMADO])</f>
        <v>132799.875</v>
      </c>
      <c r="H1167" s="24" t="str">
        <f>C1145</f>
        <v>Bienes</v>
      </c>
      <c r="I1167" s="24" t="str">
        <f>E1145</f>
        <v>Sí</v>
      </c>
      <c r="J1167" s="24" t="str">
        <f>D1145</f>
        <v>Compras por debajo del Umbral</v>
      </c>
    </row>
    <row r="1169" spans="1:10" ht="34" customHeight="1" x14ac:dyDescent="0.35">
      <c r="A1169" s="36" t="s">
        <v>17105</v>
      </c>
      <c r="B1169" s="36" t="s">
        <v>167</v>
      </c>
      <c r="C1169" s="36" t="s">
        <v>12252</v>
      </c>
      <c r="D1169" s="36" t="s">
        <v>15021</v>
      </c>
      <c r="E1169" s="36" t="s">
        <v>11455</v>
      </c>
      <c r="F1169" s="36" t="s">
        <v>11595</v>
      </c>
    </row>
    <row r="1170" spans="1:10" ht="14.25" customHeight="1" x14ac:dyDescent="0.35">
      <c r="A1170" s="37" t="s">
        <v>10965</v>
      </c>
      <c r="B1170" s="37" t="s">
        <v>10965</v>
      </c>
      <c r="C1170" s="37" t="s">
        <v>18585</v>
      </c>
      <c r="D1170" s="37" t="s">
        <v>10634</v>
      </c>
      <c r="E1170" s="37" t="s">
        <v>9261</v>
      </c>
      <c r="F1170" s="37" t="s">
        <v>7088</v>
      </c>
    </row>
    <row r="1171" spans="1:10" ht="14.25" customHeight="1" x14ac:dyDescent="0.35">
      <c r="A1171" s="75" t="s">
        <v>15490</v>
      </c>
      <c r="B1171" s="38" t="s">
        <v>8918</v>
      </c>
      <c r="C1171" s="68">
        <v>45334</v>
      </c>
      <c r="D1171" s="75" t="s">
        <v>9819</v>
      </c>
      <c r="E1171" s="70" t="s">
        <v>13683</v>
      </c>
      <c r="F1171" s="71" t="s">
        <v>3205</v>
      </c>
    </row>
    <row r="1172" spans="1:10" ht="14.25" customHeight="1" x14ac:dyDescent="0.35">
      <c r="A1172" s="76"/>
      <c r="B1172" s="38" t="s">
        <v>1858</v>
      </c>
      <c r="C1172" s="69">
        <f>IF(C1171="","",IF(AND(MONTH(C1171)&gt;=1,MONTH(C1171)&lt;=3),1,IF(AND(MONTH(C1171)&gt;=4,MONTH(C1171)&lt;=6),2,IF(AND(MONTH(C1171)&gt;=7,MONTH(C1171)&lt;=9),3,4))))</f>
        <v>1</v>
      </c>
      <c r="D1172" s="76"/>
      <c r="E1172" s="70" t="s">
        <v>2509</v>
      </c>
      <c r="F1172" s="71" t="s">
        <v>11612</v>
      </c>
    </row>
    <row r="1173" spans="1:10" ht="14.25" customHeight="1" x14ac:dyDescent="0.35">
      <c r="A1173" s="76"/>
      <c r="B1173" s="38" t="s">
        <v>13526</v>
      </c>
      <c r="C1173" s="68">
        <v>45378</v>
      </c>
      <c r="D1173" s="76"/>
      <c r="E1173" s="70" t="s">
        <v>3198</v>
      </c>
      <c r="F1173" s="71" t="s">
        <v>11612</v>
      </c>
    </row>
    <row r="1174" spans="1:10" ht="14.25" customHeight="1" x14ac:dyDescent="0.35">
      <c r="A1174" s="76"/>
      <c r="B1174" s="38" t="s">
        <v>1858</v>
      </c>
      <c r="C1174" s="69">
        <f>IF(C1173="","",IF(AND(MONTH(C1173)&gt;=1,MONTH(C1173)&lt;=3),1,IF(AND(MONTH(C1173)&gt;=4,MONTH(C1173)&lt;=6),2,IF(AND(MONTH(C1173)&gt;=7,MONTH(C1173)&lt;=9),3,4))))</f>
        <v>1</v>
      </c>
      <c r="D1174" s="76"/>
      <c r="E1174" s="70" t="s">
        <v>13785</v>
      </c>
      <c r="F1174" s="71"/>
    </row>
    <row r="1176" spans="1:10" ht="14.25" customHeight="1" x14ac:dyDescent="0.35">
      <c r="A1176" s="43" t="s">
        <v>16424</v>
      </c>
      <c r="B1176" s="43" t="s">
        <v>16856</v>
      </c>
      <c r="C1176" s="43" t="s">
        <v>16326</v>
      </c>
      <c r="D1176" s="43" t="s">
        <v>15925</v>
      </c>
      <c r="E1176" s="43" t="s">
        <v>7248</v>
      </c>
      <c r="F1176" s="43" t="s">
        <v>15955</v>
      </c>
    </row>
    <row r="1177" spans="1:10" ht="14.25" customHeight="1" x14ac:dyDescent="0.35">
      <c r="A1177" s="39" t="s">
        <v>2701</v>
      </c>
      <c r="B1177" s="40" t="str">
        <f ca="1">IFERROR(INDEX(UNSPSCDes,MATCH(INDIRECT(ADDRESS(ROW(),COLUMN()-1,4)),UNSPSCCode,0)),IF(INDIRECT(ADDRESS(ROW(),COLUMN()-1,4))="51121703","Captopril",""))</f>
        <v>Captopril</v>
      </c>
      <c r="C1177" s="72" t="str">
        <f>IFERROR(VLOOKUP("CAJ",'Informacion '!P:Q,2,FALSE),"")</f>
        <v>Caja</v>
      </c>
      <c r="D1177" s="39">
        <v>2</v>
      </c>
      <c r="E1177" s="42">
        <v>362.5</v>
      </c>
      <c r="F1177" s="41">
        <f ca="1">INDIRECT(ADDRESS(ROW(),COLUMN()-2,4))*INDIRECT(ADDRESS(ROW(),COLUMN()-1,4))</f>
        <v>725</v>
      </c>
    </row>
    <row r="1178" spans="1:10" ht="14.25" customHeight="1" x14ac:dyDescent="0.35">
      <c r="E1178" s="44" t="s">
        <v>13122</v>
      </c>
      <c r="F1178" s="45">
        <f ca="1">SUM(Table70[MONTO TOTAL ESTIMADO])</f>
        <v>725</v>
      </c>
      <c r="H1178" s="24" t="str">
        <f>C1170</f>
        <v>Bienes</v>
      </c>
      <c r="I1178" s="24" t="str">
        <f>E1170</f>
        <v>Sí</v>
      </c>
      <c r="J1178" s="24" t="str">
        <f>D1170</f>
        <v>Compras por debajo del Umbral</v>
      </c>
    </row>
    <row r="1180" spans="1:10" ht="34" customHeight="1" x14ac:dyDescent="0.35">
      <c r="A1180" s="36" t="s">
        <v>17105</v>
      </c>
      <c r="B1180" s="36" t="s">
        <v>167</v>
      </c>
      <c r="C1180" s="36" t="s">
        <v>12252</v>
      </c>
      <c r="D1180" s="36" t="s">
        <v>15021</v>
      </c>
      <c r="E1180" s="36" t="s">
        <v>11455</v>
      </c>
      <c r="F1180" s="36" t="s">
        <v>11595</v>
      </c>
    </row>
    <row r="1181" spans="1:10" ht="14.25" customHeight="1" x14ac:dyDescent="0.35">
      <c r="A1181" s="37" t="s">
        <v>4062</v>
      </c>
      <c r="B1181" s="37" t="s">
        <v>4062</v>
      </c>
      <c r="C1181" s="37" t="s">
        <v>18585</v>
      </c>
      <c r="D1181" s="37" t="s">
        <v>10634</v>
      </c>
      <c r="E1181" s="37" t="s">
        <v>9261</v>
      </c>
      <c r="F1181" s="37" t="s">
        <v>7088</v>
      </c>
    </row>
    <row r="1182" spans="1:10" ht="14.25" customHeight="1" x14ac:dyDescent="0.35">
      <c r="A1182" s="75" t="s">
        <v>15490</v>
      </c>
      <c r="B1182" s="38" t="s">
        <v>8918</v>
      </c>
      <c r="C1182" s="68">
        <v>45334</v>
      </c>
      <c r="D1182" s="75" t="s">
        <v>9819</v>
      </c>
      <c r="E1182" s="70" t="s">
        <v>13683</v>
      </c>
      <c r="F1182" s="71" t="s">
        <v>3205</v>
      </c>
    </row>
    <row r="1183" spans="1:10" ht="14.25" customHeight="1" x14ac:dyDescent="0.35">
      <c r="A1183" s="76"/>
      <c r="B1183" s="38" t="s">
        <v>1858</v>
      </c>
      <c r="C1183" s="69">
        <f>IF(C1182="","",IF(AND(MONTH(C1182)&gt;=1,MONTH(C1182)&lt;=3),1,IF(AND(MONTH(C1182)&gt;=4,MONTH(C1182)&lt;=6),2,IF(AND(MONTH(C1182)&gt;=7,MONTH(C1182)&lt;=9),3,4))))</f>
        <v>1</v>
      </c>
      <c r="D1183" s="76"/>
      <c r="E1183" s="70" t="s">
        <v>2509</v>
      </c>
      <c r="F1183" s="71" t="s">
        <v>11612</v>
      </c>
    </row>
    <row r="1184" spans="1:10" ht="14.25" customHeight="1" x14ac:dyDescent="0.35">
      <c r="A1184" s="76"/>
      <c r="B1184" s="38" t="s">
        <v>13526</v>
      </c>
      <c r="C1184" s="68">
        <v>45378</v>
      </c>
      <c r="D1184" s="76"/>
      <c r="E1184" s="70" t="s">
        <v>3198</v>
      </c>
      <c r="F1184" s="71" t="s">
        <v>11612</v>
      </c>
    </row>
    <row r="1185" spans="1:10" ht="14.25" customHeight="1" x14ac:dyDescent="0.35">
      <c r="A1185" s="76"/>
      <c r="B1185" s="38" t="s">
        <v>1858</v>
      </c>
      <c r="C1185" s="69">
        <f>IF(C1184="","",IF(AND(MONTH(C1184)&gt;=1,MONTH(C1184)&lt;=3),1,IF(AND(MONTH(C1184)&gt;=4,MONTH(C1184)&lt;=6),2,IF(AND(MONTH(C1184)&gt;=7,MONTH(C1184)&lt;=9),3,4))))</f>
        <v>1</v>
      </c>
      <c r="D1185" s="76"/>
      <c r="E1185" s="70" t="s">
        <v>13785</v>
      </c>
      <c r="F1185" s="71"/>
    </row>
    <row r="1187" spans="1:10" ht="14.25" customHeight="1" x14ac:dyDescent="0.35">
      <c r="A1187" s="43" t="s">
        <v>16424</v>
      </c>
      <c r="B1187" s="43" t="s">
        <v>16856</v>
      </c>
      <c r="C1187" s="43" t="s">
        <v>16326</v>
      </c>
      <c r="D1187" s="43" t="s">
        <v>15925</v>
      </c>
      <c r="E1187" s="43" t="s">
        <v>7248</v>
      </c>
      <c r="F1187" s="43" t="s">
        <v>15955</v>
      </c>
    </row>
    <row r="1188" spans="1:10" ht="14.25" customHeight="1" x14ac:dyDescent="0.35">
      <c r="A1188" s="39" t="s">
        <v>5458</v>
      </c>
      <c r="B1188" s="40" t="str">
        <f ca="1">IFERROR(INDEX(UNSPSCDes,MATCH(INDIRECT(ADDRESS(ROW(),COLUMN()-1,4)),UNSPSCCode,0)),IF(INDIRECT(ADDRESS(ROW(),COLUMN()-1,4))="51142001","Acetaminofén",""))</f>
        <v>Acetaminofén</v>
      </c>
      <c r="C1188" s="72" t="str">
        <f>IFERROR(VLOOKUP("UD",'Informacion '!P:Q,2,FALSE),"")</f>
        <v>Unidad</v>
      </c>
      <c r="D1188" s="39">
        <v>2</v>
      </c>
      <c r="E1188" s="42">
        <v>1331.67</v>
      </c>
      <c r="F1188" s="41">
        <f t="shared" ref="F1188:F1196" ca="1" si="48">INDIRECT(ADDRESS(ROW(),COLUMN()-2,4))*INDIRECT(ADDRESS(ROW(),COLUMN()-1,4))</f>
        <v>2663.34</v>
      </c>
    </row>
    <row r="1189" spans="1:10" ht="14.25" customHeight="1" x14ac:dyDescent="0.35">
      <c r="A1189" s="39" t="s">
        <v>17908</v>
      </c>
      <c r="B1189" s="40" t="str">
        <f ca="1">IFERROR(INDEX(UNSPSCDes,MATCH(INDIRECT(ADDRESS(ROW(),COLUMN()-1,4)),UNSPSCCode,0)),IF(INDIRECT(ADDRESS(ROW(),COLUMN()-1,4))="51142002","Ácido acetilsalicílico",""))</f>
        <v>Ácido acetilsalicílico</v>
      </c>
      <c r="C1189" s="72" t="str">
        <f>IFERROR(VLOOKUP("UD",'Informacion '!P:Q,2,FALSE),"")</f>
        <v>Unidad</v>
      </c>
      <c r="D1189" s="39">
        <v>1</v>
      </c>
      <c r="E1189" s="42">
        <v>339</v>
      </c>
      <c r="F1189" s="41">
        <f t="shared" ca="1" si="48"/>
        <v>339</v>
      </c>
    </row>
    <row r="1190" spans="1:10" ht="14.25" customHeight="1" x14ac:dyDescent="0.35">
      <c r="A1190" s="39" t="s">
        <v>14168</v>
      </c>
      <c r="B1190" s="40" t="str">
        <f ca="1">IFERROR(INDEX(UNSPSCDes,MATCH(INDIRECT(ADDRESS(ROW(),COLUMN()-1,4)),UNSPSCCode,0)),IF(INDIRECT(ADDRESS(ROW(),COLUMN()-1,4))="51142103","Diclofenaco potásico",""))</f>
        <v>Diclofenaco potásico</v>
      </c>
      <c r="C1190" s="72" t="str">
        <f>IFERROR(VLOOKUP("UD",'Informacion '!P:Q,2,FALSE),"")</f>
        <v>Unidad</v>
      </c>
      <c r="D1190" s="39">
        <v>200</v>
      </c>
      <c r="E1190" s="42">
        <v>14.47</v>
      </c>
      <c r="F1190" s="41">
        <f t="shared" ca="1" si="48"/>
        <v>2894</v>
      </c>
    </row>
    <row r="1191" spans="1:10" ht="14.25" customHeight="1" x14ac:dyDescent="0.35">
      <c r="A1191" s="39" t="s">
        <v>11446</v>
      </c>
      <c r="B1191" s="40" t="str">
        <f ca="1">IFERROR(INDEX(UNSPSCDes,MATCH(INDIRECT(ADDRESS(ROW(),COLUMN()-1,4)),UNSPSCCode,0)),IF(INDIRECT(ADDRESS(ROW(),COLUMN()-1,4))="51142119","Benorilato",""))</f>
        <v>Benorilato</v>
      </c>
      <c r="C1191" s="72" t="str">
        <f>IFERROR(VLOOKUP("UD",'Informacion '!P:Q,2,FALSE),"")</f>
        <v>Unidad</v>
      </c>
      <c r="D1191" s="39">
        <v>4</v>
      </c>
      <c r="E1191" s="42">
        <v>4095</v>
      </c>
      <c r="F1191" s="41">
        <f t="shared" ca="1" si="48"/>
        <v>16380</v>
      </c>
    </row>
    <row r="1192" spans="1:10" ht="14.25" customHeight="1" x14ac:dyDescent="0.35">
      <c r="A1192" s="39" t="s">
        <v>7495</v>
      </c>
      <c r="B1192" s="40" t="str">
        <f ca="1">IFERROR(INDEX(UNSPSCDes,MATCH(INDIRECT(ADDRESS(ROW(),COLUMN()-1,4)),UNSPSCCode,0)),IF(INDIRECT(ADDRESS(ROW(),COLUMN()-1,4))="51142121","Diclofenaco",""))</f>
        <v>Diclofenaco</v>
      </c>
      <c r="C1192" s="72" t="str">
        <f>IFERROR(VLOOKUP("UD",'Informacion '!P:Q,2,FALSE),"")</f>
        <v>Unidad</v>
      </c>
      <c r="D1192" s="39">
        <v>3</v>
      </c>
      <c r="E1192" s="42">
        <v>37</v>
      </c>
      <c r="F1192" s="41">
        <f t="shared" ca="1" si="48"/>
        <v>111</v>
      </c>
    </row>
    <row r="1193" spans="1:10" ht="14.25" customHeight="1" x14ac:dyDescent="0.35">
      <c r="A1193" s="39" t="s">
        <v>7495</v>
      </c>
      <c r="B1193" s="40" t="str">
        <f ca="1">IFERROR(INDEX(UNSPSCDes,MATCH(INDIRECT(ADDRESS(ROW(),COLUMN()-1,4)),UNSPSCCode,0)),IF(INDIRECT(ADDRESS(ROW(),COLUMN()-1,4))="51142121","Diclofenaco",""))</f>
        <v>Diclofenaco</v>
      </c>
      <c r="C1193" s="72" t="str">
        <f>IFERROR(VLOOKUP("UD",'Informacion '!P:Q,2,FALSE),"")</f>
        <v>Unidad</v>
      </c>
      <c r="D1193" s="39">
        <v>3</v>
      </c>
      <c r="E1193" s="42">
        <v>396</v>
      </c>
      <c r="F1193" s="41">
        <f t="shared" ca="1" si="48"/>
        <v>1188</v>
      </c>
    </row>
    <row r="1194" spans="1:10" ht="14.25" customHeight="1" x14ac:dyDescent="0.35">
      <c r="A1194" s="39" t="s">
        <v>18808</v>
      </c>
      <c r="B1194" s="40" t="str">
        <f ca="1">IFERROR(INDEX(UNSPSCDes,MATCH(INDIRECT(ADDRESS(ROW(),COLUMN()-1,4)),UNSPSCCode,0)),IF(INDIRECT(ADDRESS(ROW(),COLUMN()-1,4))="51142231","Clorhidrato de propoxifeno",""))</f>
        <v>Clorhidrato de propoxifeno</v>
      </c>
      <c r="C1194" s="72" t="str">
        <f>IFERROR(VLOOKUP("UD",'Informacion '!P:Q,2,FALSE),"")</f>
        <v>Unidad</v>
      </c>
      <c r="D1194" s="39">
        <v>2</v>
      </c>
      <c r="E1194" s="42">
        <v>5428</v>
      </c>
      <c r="F1194" s="41">
        <f t="shared" ca="1" si="48"/>
        <v>10856</v>
      </c>
    </row>
    <row r="1195" spans="1:10" ht="14.25" customHeight="1" x14ac:dyDescent="0.35">
      <c r="A1195" s="39" t="s">
        <v>7778</v>
      </c>
      <c r="B1195" s="40" t="str">
        <f ca="1">IFERROR(INDEX(UNSPSCDes,MATCH(INDIRECT(ADDRESS(ROW(),COLUMN()-1,4)),UNSPSCCode,0)),IF(INDIRECT(ADDRESS(ROW(),COLUMN()-1,4))="51142402","Succinato de sumatriptán",""))</f>
        <v>Succinato de sumatriptán</v>
      </c>
      <c r="C1195" s="72" t="str">
        <f>IFERROR(VLOOKUP("UD",'Informacion '!P:Q,2,FALSE),"")</f>
        <v>Unidad</v>
      </c>
      <c r="D1195" s="39">
        <v>3</v>
      </c>
      <c r="E1195" s="42">
        <v>160</v>
      </c>
      <c r="F1195" s="41">
        <f t="shared" ca="1" si="48"/>
        <v>480</v>
      </c>
    </row>
    <row r="1196" spans="1:10" ht="14.25" customHeight="1" x14ac:dyDescent="0.35">
      <c r="A1196" s="39" t="s">
        <v>3298</v>
      </c>
      <c r="B1196" s="40" t="str">
        <f ca="1">IFERROR(INDEX(UNSPSCDes,MATCH(INDIRECT(ADDRESS(ROW(),COLUMN()-1,4)),UNSPSCCode,0)),IF(INDIRECT(ADDRESS(ROW(),COLUMN()-1,4))="51142414","Sumatriptán",""))</f>
        <v>Sumatriptán</v>
      </c>
      <c r="C1196" s="72" t="str">
        <f>IFERROR(VLOOKUP("UD",'Informacion '!P:Q,2,FALSE),"")</f>
        <v>Unidad</v>
      </c>
      <c r="D1196" s="39">
        <v>4</v>
      </c>
      <c r="E1196" s="42">
        <v>4490</v>
      </c>
      <c r="F1196" s="41">
        <f t="shared" ca="1" si="48"/>
        <v>17960</v>
      </c>
    </row>
    <row r="1197" spans="1:10" ht="14.25" customHeight="1" x14ac:dyDescent="0.35">
      <c r="E1197" s="44" t="s">
        <v>13122</v>
      </c>
      <c r="F1197" s="45">
        <f ca="1">SUM(Table71[MONTO TOTAL ESTIMADO])</f>
        <v>52871.34</v>
      </c>
      <c r="H1197" s="24" t="str">
        <f>C1181</f>
        <v>Bienes</v>
      </c>
      <c r="I1197" s="24" t="str">
        <f>E1181</f>
        <v>Sí</v>
      </c>
      <c r="J1197" s="24" t="str">
        <f>D1181</f>
        <v>Compras por debajo del Umbral</v>
      </c>
    </row>
    <row r="1199" spans="1:10" ht="34" customHeight="1" x14ac:dyDescent="0.35">
      <c r="A1199" s="36" t="s">
        <v>17105</v>
      </c>
      <c r="B1199" s="36" t="s">
        <v>167</v>
      </c>
      <c r="C1199" s="36" t="s">
        <v>12252</v>
      </c>
      <c r="D1199" s="36" t="s">
        <v>15021</v>
      </c>
      <c r="E1199" s="36" t="s">
        <v>11455</v>
      </c>
      <c r="F1199" s="36" t="s">
        <v>11595</v>
      </c>
    </row>
    <row r="1200" spans="1:10" ht="14.25" customHeight="1" x14ac:dyDescent="0.35">
      <c r="A1200" s="37" t="s">
        <v>14721</v>
      </c>
      <c r="B1200" s="37" t="s">
        <v>14721</v>
      </c>
      <c r="C1200" s="37" t="s">
        <v>18585</v>
      </c>
      <c r="D1200" s="37" t="s">
        <v>10634</v>
      </c>
      <c r="E1200" s="37" t="s">
        <v>9261</v>
      </c>
      <c r="F1200" s="37" t="s">
        <v>7088</v>
      </c>
    </row>
    <row r="1201" spans="1:10" ht="14.25" customHeight="1" x14ac:dyDescent="0.35">
      <c r="A1201" s="75" t="s">
        <v>15490</v>
      </c>
      <c r="B1201" s="38" t="s">
        <v>8918</v>
      </c>
      <c r="C1201" s="68">
        <v>45334</v>
      </c>
      <c r="D1201" s="75" t="s">
        <v>9819</v>
      </c>
      <c r="E1201" s="70" t="s">
        <v>13683</v>
      </c>
      <c r="F1201" s="71" t="s">
        <v>3205</v>
      </c>
    </row>
    <row r="1202" spans="1:10" ht="14.25" customHeight="1" x14ac:dyDescent="0.35">
      <c r="A1202" s="76"/>
      <c r="B1202" s="38" t="s">
        <v>1858</v>
      </c>
      <c r="C1202" s="69">
        <f>IF(C1201="","",IF(AND(MONTH(C1201)&gt;=1,MONTH(C1201)&lt;=3),1,IF(AND(MONTH(C1201)&gt;=4,MONTH(C1201)&lt;=6),2,IF(AND(MONTH(C1201)&gt;=7,MONTH(C1201)&lt;=9),3,4))))</f>
        <v>1</v>
      </c>
      <c r="D1202" s="76"/>
      <c r="E1202" s="70" t="s">
        <v>2509</v>
      </c>
      <c r="F1202" s="71" t="s">
        <v>11612</v>
      </c>
    </row>
    <row r="1203" spans="1:10" ht="14.25" customHeight="1" x14ac:dyDescent="0.35">
      <c r="A1203" s="76"/>
      <c r="B1203" s="38" t="s">
        <v>13526</v>
      </c>
      <c r="C1203" s="68">
        <v>45378</v>
      </c>
      <c r="D1203" s="76"/>
      <c r="E1203" s="70" t="s">
        <v>3198</v>
      </c>
      <c r="F1203" s="71" t="s">
        <v>11612</v>
      </c>
    </row>
    <row r="1204" spans="1:10" ht="14.25" customHeight="1" x14ac:dyDescent="0.35">
      <c r="A1204" s="76"/>
      <c r="B1204" s="38" t="s">
        <v>1858</v>
      </c>
      <c r="C1204" s="69">
        <f>IF(C1203="","",IF(AND(MONTH(C1203)&gt;=1,MONTH(C1203)&lt;=3),1,IF(AND(MONTH(C1203)&gt;=4,MONTH(C1203)&lt;=6),2,IF(AND(MONTH(C1203)&gt;=7,MONTH(C1203)&lt;=9),3,4))))</f>
        <v>1</v>
      </c>
      <c r="D1204" s="76"/>
      <c r="E1204" s="70" t="s">
        <v>13785</v>
      </c>
      <c r="F1204" s="71"/>
    </row>
    <row r="1206" spans="1:10" ht="14.25" customHeight="1" x14ac:dyDescent="0.35">
      <c r="A1206" s="43" t="s">
        <v>16424</v>
      </c>
      <c r="B1206" s="43" t="s">
        <v>16856</v>
      </c>
      <c r="C1206" s="43" t="s">
        <v>16326</v>
      </c>
      <c r="D1206" s="43" t="s">
        <v>15925</v>
      </c>
      <c r="E1206" s="43" t="s">
        <v>7248</v>
      </c>
      <c r="F1206" s="43" t="s">
        <v>15955</v>
      </c>
    </row>
    <row r="1207" spans="1:10" ht="14.25" customHeight="1" x14ac:dyDescent="0.35">
      <c r="A1207" s="39" t="s">
        <v>19621</v>
      </c>
      <c r="B1207" s="40" t="str">
        <f ca="1">IFERROR(INDEX(UNSPSCDes,MATCH(INDIRECT(ADDRESS(ROW(),COLUMN()-1,4)),UNSPSCCode,0)),IF(INDIRECT(ADDRESS(ROW(),COLUMN()-1,4))="51161606","Loratadina",""))</f>
        <v>Loratadina</v>
      </c>
      <c r="C1207" s="72" t="str">
        <f>IFERROR(VLOOKUP("CAJ",'Informacion '!P:Q,2,FALSE),"")</f>
        <v>Caja</v>
      </c>
      <c r="D1207" s="39">
        <v>2</v>
      </c>
      <c r="E1207" s="42">
        <v>383</v>
      </c>
      <c r="F1207" s="41">
        <f ca="1">INDIRECT(ADDRESS(ROW(),COLUMN()-2,4))*INDIRECT(ADDRESS(ROW(),COLUMN()-1,4))</f>
        <v>766</v>
      </c>
    </row>
    <row r="1208" spans="1:10" ht="14.25" customHeight="1" x14ac:dyDescent="0.35">
      <c r="A1208" s="39" t="s">
        <v>7760</v>
      </c>
      <c r="B1208" s="40" t="str">
        <f ca="1">IFERROR(INDEX(UNSPSCDes,MATCH(INDIRECT(ADDRESS(ROW(),COLUMN()-1,4)),UNSPSCCode,0)),IF(INDIRECT(ADDRESS(ROW(),COLUMN()-1,4))="51161620","Difenhidramina",""))</f>
        <v>Difenhidramina</v>
      </c>
      <c r="C1208" s="72" t="str">
        <f>IFERROR(VLOOKUP("UD",'Informacion '!P:Q,2,FALSE),"")</f>
        <v>Unidad</v>
      </c>
      <c r="D1208" s="39">
        <v>200</v>
      </c>
      <c r="E1208" s="42">
        <v>7.5</v>
      </c>
      <c r="F1208" s="41">
        <f ca="1">INDIRECT(ADDRESS(ROW(),COLUMN()-2,4))*INDIRECT(ADDRESS(ROW(),COLUMN()-1,4))</f>
        <v>1500</v>
      </c>
    </row>
    <row r="1209" spans="1:10" ht="14.25" customHeight="1" x14ac:dyDescent="0.35">
      <c r="A1209" s="39" t="s">
        <v>12860</v>
      </c>
      <c r="B1209" s="40" t="str">
        <f ca="1">IFERROR(INDEX(UNSPSCDes,MATCH(INDIRECT(ADDRESS(ROW(),COLUMN()-1,4)),UNSPSCCode,0)),IF(INDIRECT(ADDRESS(ROW(),COLUMN()-1,4))="51161811","Bromhexina",""))</f>
        <v>Bromhexina</v>
      </c>
      <c r="C1209" s="72" t="str">
        <f>IFERROR(VLOOKUP("UD",'Informacion '!P:Q,2,FALSE),"")</f>
        <v>Unidad</v>
      </c>
      <c r="D1209" s="39">
        <v>30</v>
      </c>
      <c r="E1209" s="42">
        <v>42</v>
      </c>
      <c r="F1209" s="41">
        <f ca="1">INDIRECT(ADDRESS(ROW(),COLUMN()-2,4))*INDIRECT(ADDRESS(ROW(),COLUMN()-1,4))</f>
        <v>1260</v>
      </c>
    </row>
    <row r="1210" spans="1:10" ht="14.25" customHeight="1" x14ac:dyDescent="0.35">
      <c r="E1210" s="44" t="s">
        <v>13122</v>
      </c>
      <c r="F1210" s="45">
        <f ca="1">SUM(Table72[MONTO TOTAL ESTIMADO])</f>
        <v>3526</v>
      </c>
      <c r="H1210" s="24" t="str">
        <f>C1200</f>
        <v>Bienes</v>
      </c>
      <c r="I1210" s="24" t="str">
        <f>E1200</f>
        <v>Sí</v>
      </c>
      <c r="J1210" s="24" t="str">
        <f>D1200</f>
        <v>Compras por debajo del Umbral</v>
      </c>
    </row>
    <row r="1212" spans="1:10" ht="34" customHeight="1" x14ac:dyDescent="0.35">
      <c r="A1212" s="36" t="s">
        <v>17105</v>
      </c>
      <c r="B1212" s="36" t="s">
        <v>167</v>
      </c>
      <c r="C1212" s="36" t="s">
        <v>12252</v>
      </c>
      <c r="D1212" s="36" t="s">
        <v>15021</v>
      </c>
      <c r="E1212" s="36" t="s">
        <v>11455</v>
      </c>
      <c r="F1212" s="36" t="s">
        <v>11595</v>
      </c>
    </row>
    <row r="1213" spans="1:10" ht="14.25" customHeight="1" x14ac:dyDescent="0.35">
      <c r="A1213" s="37" t="s">
        <v>14721</v>
      </c>
      <c r="B1213" s="37" t="s">
        <v>14721</v>
      </c>
      <c r="C1213" s="37" t="s">
        <v>18585</v>
      </c>
      <c r="D1213" s="37" t="s">
        <v>10634</v>
      </c>
      <c r="E1213" s="37" t="s">
        <v>9261</v>
      </c>
      <c r="F1213" s="37" t="s">
        <v>7088</v>
      </c>
    </row>
    <row r="1214" spans="1:10" ht="14.25" customHeight="1" x14ac:dyDescent="0.35">
      <c r="A1214" s="75" t="s">
        <v>15490</v>
      </c>
      <c r="B1214" s="38" t="s">
        <v>8918</v>
      </c>
      <c r="C1214" s="68">
        <v>45474</v>
      </c>
      <c r="D1214" s="75" t="s">
        <v>9819</v>
      </c>
      <c r="E1214" s="70" t="s">
        <v>13683</v>
      </c>
      <c r="F1214" s="71" t="s">
        <v>3205</v>
      </c>
    </row>
    <row r="1215" spans="1:10" ht="14.25" customHeight="1" x14ac:dyDescent="0.35">
      <c r="A1215" s="76"/>
      <c r="B1215" s="38" t="s">
        <v>1858</v>
      </c>
      <c r="C1215" s="69">
        <f>IF(C1214="","",IF(AND(MONTH(C1214)&gt;=1,MONTH(C1214)&lt;=3),1,IF(AND(MONTH(C1214)&gt;=4,MONTH(C1214)&lt;=6),2,IF(AND(MONTH(C1214)&gt;=7,MONTH(C1214)&lt;=9),3,4))))</f>
        <v>3</v>
      </c>
      <c r="D1215" s="76"/>
      <c r="E1215" s="70" t="s">
        <v>2509</v>
      </c>
      <c r="F1215" s="71" t="s">
        <v>11612</v>
      </c>
    </row>
    <row r="1216" spans="1:10" ht="14.25" customHeight="1" x14ac:dyDescent="0.35">
      <c r="A1216" s="76"/>
      <c r="B1216" s="38" t="s">
        <v>13526</v>
      </c>
      <c r="C1216" s="68">
        <v>45565</v>
      </c>
      <c r="D1216" s="76"/>
      <c r="E1216" s="70" t="s">
        <v>3198</v>
      </c>
      <c r="F1216" s="71" t="s">
        <v>11612</v>
      </c>
    </row>
    <row r="1217" spans="1:10" ht="14.25" customHeight="1" x14ac:dyDescent="0.35">
      <c r="A1217" s="76"/>
      <c r="B1217" s="38" t="s">
        <v>1858</v>
      </c>
      <c r="C1217" s="69">
        <f>IF(C1216="","",IF(AND(MONTH(C1216)&gt;=1,MONTH(C1216)&lt;=3),1,IF(AND(MONTH(C1216)&gt;=4,MONTH(C1216)&lt;=6),2,IF(AND(MONTH(C1216)&gt;=7,MONTH(C1216)&lt;=9),3,4))))</f>
        <v>3</v>
      </c>
      <c r="D1217" s="76"/>
      <c r="E1217" s="70" t="s">
        <v>13785</v>
      </c>
      <c r="F1217" s="71"/>
    </row>
    <row r="1219" spans="1:10" ht="14.25" customHeight="1" x14ac:dyDescent="0.35">
      <c r="A1219" s="43" t="s">
        <v>16424</v>
      </c>
      <c r="B1219" s="43" t="s">
        <v>16856</v>
      </c>
      <c r="C1219" s="43" t="s">
        <v>16326</v>
      </c>
      <c r="D1219" s="43" t="s">
        <v>15925</v>
      </c>
      <c r="E1219" s="43" t="s">
        <v>7248</v>
      </c>
      <c r="F1219" s="43" t="s">
        <v>15955</v>
      </c>
    </row>
    <row r="1220" spans="1:10" ht="14.25" customHeight="1" x14ac:dyDescent="0.35">
      <c r="A1220" s="39" t="s">
        <v>19621</v>
      </c>
      <c r="B1220" s="40" t="str">
        <f ca="1">IFERROR(INDEX(UNSPSCDes,MATCH(INDIRECT(ADDRESS(ROW(),COLUMN()-1,4)),UNSPSCCode,0)),IF(INDIRECT(ADDRESS(ROW(),COLUMN()-1,4))="51161606","Loratadina",""))</f>
        <v>Loratadina</v>
      </c>
      <c r="C1220" s="72" t="str">
        <f>IFERROR(VLOOKUP("CAJ",'Informacion '!P:Q,2,FALSE),"")</f>
        <v>Caja</v>
      </c>
      <c r="D1220" s="39">
        <v>2</v>
      </c>
      <c r="E1220" s="42">
        <v>383</v>
      </c>
      <c r="F1220" s="41">
        <f ca="1">INDIRECT(ADDRESS(ROW(),COLUMN()-2,4))*INDIRECT(ADDRESS(ROW(),COLUMN()-1,4))</f>
        <v>766</v>
      </c>
    </row>
    <row r="1221" spans="1:10" ht="14.25" customHeight="1" x14ac:dyDescent="0.35">
      <c r="A1221" s="39" t="s">
        <v>7760</v>
      </c>
      <c r="B1221" s="40" t="str">
        <f ca="1">IFERROR(INDEX(UNSPSCDes,MATCH(INDIRECT(ADDRESS(ROW(),COLUMN()-1,4)),UNSPSCCode,0)),IF(INDIRECT(ADDRESS(ROW(),COLUMN()-1,4))="51161620","Difenhidramina",""))</f>
        <v>Difenhidramina</v>
      </c>
      <c r="C1221" s="72" t="str">
        <f>IFERROR(VLOOKUP("UD",'Informacion '!P:Q,2,FALSE),"")</f>
        <v>Unidad</v>
      </c>
      <c r="D1221" s="39">
        <v>200</v>
      </c>
      <c r="E1221" s="42">
        <v>7.5</v>
      </c>
      <c r="F1221" s="41">
        <f ca="1">INDIRECT(ADDRESS(ROW(),COLUMN()-2,4))*INDIRECT(ADDRESS(ROW(),COLUMN()-1,4))</f>
        <v>1500</v>
      </c>
    </row>
    <row r="1222" spans="1:10" ht="14.25" customHeight="1" x14ac:dyDescent="0.35">
      <c r="A1222" s="39" t="s">
        <v>12860</v>
      </c>
      <c r="B1222" s="40" t="str">
        <f ca="1">IFERROR(INDEX(UNSPSCDes,MATCH(INDIRECT(ADDRESS(ROW(),COLUMN()-1,4)),UNSPSCCode,0)),IF(INDIRECT(ADDRESS(ROW(),COLUMN()-1,4))="51161811","Bromhexina",""))</f>
        <v>Bromhexina</v>
      </c>
      <c r="C1222" s="72" t="str">
        <f>IFERROR(VLOOKUP("UD",'Informacion '!P:Q,2,FALSE),"")</f>
        <v>Unidad</v>
      </c>
      <c r="D1222" s="39">
        <v>30</v>
      </c>
      <c r="E1222" s="42">
        <v>42</v>
      </c>
      <c r="F1222" s="41">
        <f ca="1">INDIRECT(ADDRESS(ROW(),COLUMN()-2,4))*INDIRECT(ADDRESS(ROW(),COLUMN()-1,4))</f>
        <v>1260</v>
      </c>
    </row>
    <row r="1223" spans="1:10" ht="14.25" customHeight="1" x14ac:dyDescent="0.35">
      <c r="E1223" s="44" t="s">
        <v>13122</v>
      </c>
      <c r="F1223" s="45">
        <f ca="1">SUM(Table73[MONTO TOTAL ESTIMADO])</f>
        <v>3526</v>
      </c>
      <c r="H1223" s="24" t="str">
        <f>C1213</f>
        <v>Bienes</v>
      </c>
      <c r="I1223" s="24" t="str">
        <f>E1213</f>
        <v>Sí</v>
      </c>
      <c r="J1223" s="24" t="str">
        <f>D1213</f>
        <v>Compras por debajo del Umbral</v>
      </c>
    </row>
    <row r="1225" spans="1:10" ht="34" customHeight="1" x14ac:dyDescent="0.35">
      <c r="A1225" s="36" t="s">
        <v>17105</v>
      </c>
      <c r="B1225" s="36" t="s">
        <v>167</v>
      </c>
      <c r="C1225" s="36" t="s">
        <v>12252</v>
      </c>
      <c r="D1225" s="36" t="s">
        <v>15021</v>
      </c>
      <c r="E1225" s="36" t="s">
        <v>11455</v>
      </c>
      <c r="F1225" s="36" t="s">
        <v>11595</v>
      </c>
    </row>
    <row r="1226" spans="1:10" ht="14.25" customHeight="1" x14ac:dyDescent="0.35">
      <c r="A1226" s="37" t="s">
        <v>11061</v>
      </c>
      <c r="B1226" s="37" t="s">
        <v>11061</v>
      </c>
      <c r="C1226" s="37" t="s">
        <v>18585</v>
      </c>
      <c r="D1226" s="37" t="s">
        <v>10634</v>
      </c>
      <c r="E1226" s="37" t="s">
        <v>9261</v>
      </c>
      <c r="F1226" s="37" t="s">
        <v>7088</v>
      </c>
    </row>
    <row r="1227" spans="1:10" ht="14.25" customHeight="1" x14ac:dyDescent="0.35">
      <c r="A1227" s="75" t="s">
        <v>15490</v>
      </c>
      <c r="B1227" s="38" t="s">
        <v>8918</v>
      </c>
      <c r="C1227" s="68">
        <v>45334</v>
      </c>
      <c r="D1227" s="75" t="s">
        <v>9819</v>
      </c>
      <c r="E1227" s="70" t="s">
        <v>13683</v>
      </c>
      <c r="F1227" s="71" t="s">
        <v>3205</v>
      </c>
    </row>
    <row r="1228" spans="1:10" ht="14.25" customHeight="1" x14ac:dyDescent="0.35">
      <c r="A1228" s="76"/>
      <c r="B1228" s="38" t="s">
        <v>1858</v>
      </c>
      <c r="C1228" s="69">
        <f>IF(C1227="","",IF(AND(MONTH(C1227)&gt;=1,MONTH(C1227)&lt;=3),1,IF(AND(MONTH(C1227)&gt;=4,MONTH(C1227)&lt;=6),2,IF(AND(MONTH(C1227)&gt;=7,MONTH(C1227)&lt;=9),3,4))))</f>
        <v>1</v>
      </c>
      <c r="D1228" s="76"/>
      <c r="E1228" s="70" t="s">
        <v>2509</v>
      </c>
      <c r="F1228" s="71" t="s">
        <v>11612</v>
      </c>
    </row>
    <row r="1229" spans="1:10" ht="14.25" customHeight="1" x14ac:dyDescent="0.35">
      <c r="A1229" s="76"/>
      <c r="B1229" s="38" t="s">
        <v>13526</v>
      </c>
      <c r="C1229" s="68">
        <v>45378</v>
      </c>
      <c r="D1229" s="76"/>
      <c r="E1229" s="70" t="s">
        <v>3198</v>
      </c>
      <c r="F1229" s="71" t="s">
        <v>11612</v>
      </c>
    </row>
    <row r="1230" spans="1:10" ht="14.25" customHeight="1" x14ac:dyDescent="0.35">
      <c r="A1230" s="76"/>
      <c r="B1230" s="38" t="s">
        <v>1858</v>
      </c>
      <c r="C1230" s="69">
        <f>IF(C1229="","",IF(AND(MONTH(C1229)&gt;=1,MONTH(C1229)&lt;=3),1,IF(AND(MONTH(C1229)&gt;=4,MONTH(C1229)&lt;=6),2,IF(AND(MONTH(C1229)&gt;=7,MONTH(C1229)&lt;=9),3,4))))</f>
        <v>1</v>
      </c>
      <c r="D1230" s="76"/>
      <c r="E1230" s="70" t="s">
        <v>13785</v>
      </c>
      <c r="F1230" s="71"/>
    </row>
    <row r="1232" spans="1:10" ht="14.25" customHeight="1" x14ac:dyDescent="0.35">
      <c r="A1232" s="43" t="s">
        <v>16424</v>
      </c>
      <c r="B1232" s="43" t="s">
        <v>16856</v>
      </c>
      <c r="C1232" s="43" t="s">
        <v>16326</v>
      </c>
      <c r="D1232" s="43" t="s">
        <v>15925</v>
      </c>
      <c r="E1232" s="43" t="s">
        <v>7248</v>
      </c>
      <c r="F1232" s="43" t="s">
        <v>15955</v>
      </c>
    </row>
    <row r="1233" spans="1:10" ht="14.25" customHeight="1" x14ac:dyDescent="0.35">
      <c r="A1233" s="39" t="s">
        <v>1057</v>
      </c>
      <c r="B1233" s="40" t="str">
        <f ca="1">IFERROR(INDEX(UNSPSCDes,MATCH(INDIRECT(ADDRESS(ROW(),COLUMN()-1,4)),UNSPSCCode,0)),IF(INDIRECT(ADDRESS(ROW(),COLUMN()-1,4))="51171702","Hidroclorato de loperamida",""))</f>
        <v>Hidroclorato de loperamida</v>
      </c>
      <c r="C1233" s="72" t="str">
        <f>IFERROR(VLOOKUP("CAJ",'Informacion '!P:Q,2,FALSE),"")</f>
        <v>Caja</v>
      </c>
      <c r="D1233" s="39">
        <v>2</v>
      </c>
      <c r="E1233" s="42">
        <v>1210</v>
      </c>
      <c r="F1233" s="41">
        <f ca="1">INDIRECT(ADDRESS(ROW(),COLUMN()-2,4))*INDIRECT(ADDRESS(ROW(),COLUMN()-1,4))</f>
        <v>2420</v>
      </c>
    </row>
    <row r="1234" spans="1:10" ht="14.25" customHeight="1" x14ac:dyDescent="0.35">
      <c r="A1234" s="39" t="s">
        <v>5478</v>
      </c>
      <c r="B1234" s="40" t="str">
        <f ca="1">IFERROR(INDEX(UNSPSCDes,MATCH(INDIRECT(ADDRESS(ROW(),COLUMN()-1,4)),UNSPSCCode,0)),IF(INDIRECT(ADDRESS(ROW(),COLUMN()-1,4))="51171707","Subsalicilato de bismuto",""))</f>
        <v>Subsalicilato de bismuto</v>
      </c>
      <c r="C1234" s="72" t="str">
        <f>IFERROR(VLOOKUP("CAJ",'Informacion '!P:Q,2,FALSE),"")</f>
        <v>Caja</v>
      </c>
      <c r="D1234" s="39">
        <v>3</v>
      </c>
      <c r="E1234" s="42">
        <v>617.4</v>
      </c>
      <c r="F1234" s="41">
        <f ca="1">INDIRECT(ADDRESS(ROW(),COLUMN()-2,4))*INDIRECT(ADDRESS(ROW(),COLUMN()-1,4))</f>
        <v>1852.1999999999998</v>
      </c>
    </row>
    <row r="1235" spans="1:10" ht="14.25" customHeight="1" x14ac:dyDescent="0.35">
      <c r="A1235" s="39" t="s">
        <v>14156</v>
      </c>
      <c r="B1235" s="40" t="str">
        <f ca="1">IFERROR(INDEX(UNSPSCDes,MATCH(INDIRECT(ADDRESS(ROW(),COLUMN()-1,4)),UNSPSCCode,0)),IF(INDIRECT(ADDRESS(ROW(),COLUMN()-1,4))="51171909","Omeprazol",""))</f>
        <v>Omeprazol</v>
      </c>
      <c r="C1235" s="72" t="str">
        <f>IFERROR(VLOOKUP("CAJ",'Informacion '!P:Q,2,FALSE),"")</f>
        <v>Caja</v>
      </c>
      <c r="D1235" s="39">
        <v>4</v>
      </c>
      <c r="E1235" s="42">
        <v>495</v>
      </c>
      <c r="F1235" s="41">
        <f ca="1">INDIRECT(ADDRESS(ROW(),COLUMN()-2,4))*INDIRECT(ADDRESS(ROW(),COLUMN()-1,4))</f>
        <v>1980</v>
      </c>
    </row>
    <row r="1236" spans="1:10" ht="14.25" customHeight="1" x14ac:dyDescent="0.35">
      <c r="E1236" s="44" t="s">
        <v>13122</v>
      </c>
      <c r="F1236" s="45">
        <f ca="1">SUM(Table74[MONTO TOTAL ESTIMADO])</f>
        <v>6252.2</v>
      </c>
      <c r="H1236" s="24" t="str">
        <f>C1226</f>
        <v>Bienes</v>
      </c>
      <c r="I1236" s="24" t="str">
        <f>E1226</f>
        <v>Sí</v>
      </c>
      <c r="J1236" s="24" t="str">
        <f>D1226</f>
        <v>Compras por debajo del Umbral</v>
      </c>
    </row>
    <row r="1238" spans="1:10" ht="34" customHeight="1" x14ac:dyDescent="0.35">
      <c r="A1238" s="36" t="s">
        <v>17105</v>
      </c>
      <c r="B1238" s="36" t="s">
        <v>167</v>
      </c>
      <c r="C1238" s="36" t="s">
        <v>12252</v>
      </c>
      <c r="D1238" s="36" t="s">
        <v>15021</v>
      </c>
      <c r="E1238" s="36" t="s">
        <v>11455</v>
      </c>
      <c r="F1238" s="36" t="s">
        <v>11595</v>
      </c>
    </row>
    <row r="1239" spans="1:10" ht="14.25" customHeight="1" x14ac:dyDescent="0.35">
      <c r="A1239" s="37" t="s">
        <v>11061</v>
      </c>
      <c r="B1239" s="37" t="s">
        <v>11061</v>
      </c>
      <c r="C1239" s="37" t="s">
        <v>18585</v>
      </c>
      <c r="D1239" s="37" t="s">
        <v>10634</v>
      </c>
      <c r="E1239" s="37" t="s">
        <v>9261</v>
      </c>
      <c r="F1239" s="37" t="s">
        <v>7088</v>
      </c>
    </row>
    <row r="1240" spans="1:10" ht="14.25" customHeight="1" x14ac:dyDescent="0.35">
      <c r="A1240" s="75" t="s">
        <v>15490</v>
      </c>
      <c r="B1240" s="38" t="s">
        <v>8918</v>
      </c>
      <c r="C1240" s="68">
        <v>45474</v>
      </c>
      <c r="D1240" s="75" t="s">
        <v>9819</v>
      </c>
      <c r="E1240" s="70" t="s">
        <v>13683</v>
      </c>
      <c r="F1240" s="71" t="s">
        <v>3205</v>
      </c>
    </row>
    <row r="1241" spans="1:10" ht="14.25" customHeight="1" x14ac:dyDescent="0.35">
      <c r="A1241" s="76"/>
      <c r="B1241" s="38" t="s">
        <v>1858</v>
      </c>
      <c r="C1241" s="69">
        <f>IF(C1240="","",IF(AND(MONTH(C1240)&gt;=1,MONTH(C1240)&lt;=3),1,IF(AND(MONTH(C1240)&gt;=4,MONTH(C1240)&lt;=6),2,IF(AND(MONTH(C1240)&gt;=7,MONTH(C1240)&lt;=9),3,4))))</f>
        <v>3</v>
      </c>
      <c r="D1241" s="76"/>
      <c r="E1241" s="70" t="s">
        <v>2509</v>
      </c>
      <c r="F1241" s="71" t="s">
        <v>11612</v>
      </c>
    </row>
    <row r="1242" spans="1:10" ht="14.25" customHeight="1" x14ac:dyDescent="0.35">
      <c r="A1242" s="76"/>
      <c r="B1242" s="38" t="s">
        <v>13526</v>
      </c>
      <c r="C1242" s="68">
        <v>45565</v>
      </c>
      <c r="D1242" s="76"/>
      <c r="E1242" s="70" t="s">
        <v>3198</v>
      </c>
      <c r="F1242" s="71" t="s">
        <v>11612</v>
      </c>
    </row>
    <row r="1243" spans="1:10" ht="14.25" customHeight="1" x14ac:dyDescent="0.35">
      <c r="A1243" s="76"/>
      <c r="B1243" s="38" t="s">
        <v>1858</v>
      </c>
      <c r="C1243" s="69">
        <f>IF(C1242="","",IF(AND(MONTH(C1242)&gt;=1,MONTH(C1242)&lt;=3),1,IF(AND(MONTH(C1242)&gt;=4,MONTH(C1242)&lt;=6),2,IF(AND(MONTH(C1242)&gt;=7,MONTH(C1242)&lt;=9),3,4))))</f>
        <v>3</v>
      </c>
      <c r="D1243" s="76"/>
      <c r="E1243" s="70" t="s">
        <v>13785</v>
      </c>
      <c r="F1243" s="71"/>
    </row>
    <row r="1245" spans="1:10" ht="14.25" customHeight="1" x14ac:dyDescent="0.35">
      <c r="A1245" s="43" t="s">
        <v>16424</v>
      </c>
      <c r="B1245" s="43" t="s">
        <v>16856</v>
      </c>
      <c r="C1245" s="43" t="s">
        <v>16326</v>
      </c>
      <c r="D1245" s="43" t="s">
        <v>15925</v>
      </c>
      <c r="E1245" s="43" t="s">
        <v>7248</v>
      </c>
      <c r="F1245" s="43" t="s">
        <v>15955</v>
      </c>
    </row>
    <row r="1246" spans="1:10" ht="14.25" customHeight="1" x14ac:dyDescent="0.35">
      <c r="A1246" s="39" t="s">
        <v>1057</v>
      </c>
      <c r="B1246" s="40" t="str">
        <f ca="1">IFERROR(INDEX(UNSPSCDes,MATCH(INDIRECT(ADDRESS(ROW(),COLUMN()-1,4)),UNSPSCCode,0)),IF(INDIRECT(ADDRESS(ROW(),COLUMN()-1,4))="51171702","Hidroclorato de loperamida",""))</f>
        <v>Hidroclorato de loperamida</v>
      </c>
      <c r="C1246" s="72" t="str">
        <f>IFERROR(VLOOKUP("CAJ",'Informacion '!P:Q,2,FALSE),"")</f>
        <v>Caja</v>
      </c>
      <c r="D1246" s="39">
        <v>2</v>
      </c>
      <c r="E1246" s="42">
        <v>1210</v>
      </c>
      <c r="F1246" s="41">
        <f ca="1">INDIRECT(ADDRESS(ROW(),COLUMN()-2,4))*INDIRECT(ADDRESS(ROW(),COLUMN()-1,4))</f>
        <v>2420</v>
      </c>
    </row>
    <row r="1247" spans="1:10" ht="14.25" customHeight="1" x14ac:dyDescent="0.35">
      <c r="A1247" s="39" t="s">
        <v>5478</v>
      </c>
      <c r="B1247" s="40" t="str">
        <f ca="1">IFERROR(INDEX(UNSPSCDes,MATCH(INDIRECT(ADDRESS(ROW(),COLUMN()-1,4)),UNSPSCCode,0)),IF(INDIRECT(ADDRESS(ROW(),COLUMN()-1,4))="51171707","Subsalicilato de bismuto",""))</f>
        <v>Subsalicilato de bismuto</v>
      </c>
      <c r="C1247" s="72" t="str">
        <f>IFERROR(VLOOKUP("CAJ",'Informacion '!P:Q,2,FALSE),"")</f>
        <v>Caja</v>
      </c>
      <c r="D1247" s="39">
        <v>3</v>
      </c>
      <c r="E1247" s="42">
        <v>617.4</v>
      </c>
      <c r="F1247" s="41">
        <f ca="1">INDIRECT(ADDRESS(ROW(),COLUMN()-2,4))*INDIRECT(ADDRESS(ROW(),COLUMN()-1,4))</f>
        <v>1852.1999999999998</v>
      </c>
    </row>
    <row r="1248" spans="1:10" ht="14.25" customHeight="1" x14ac:dyDescent="0.35">
      <c r="E1248" s="44" t="s">
        <v>13122</v>
      </c>
      <c r="F1248" s="45">
        <f ca="1">SUM(Table75[MONTO TOTAL ESTIMADO])</f>
        <v>4272.2</v>
      </c>
      <c r="H1248" s="24" t="str">
        <f>C1239</f>
        <v>Bienes</v>
      </c>
      <c r="I1248" s="24" t="str">
        <f>E1239</f>
        <v>Sí</v>
      </c>
      <c r="J1248" s="24" t="str">
        <f>D1239</f>
        <v>Compras por debajo del Umbral</v>
      </c>
    </row>
    <row r="1250" spans="1:10" ht="34" customHeight="1" x14ac:dyDescent="0.35">
      <c r="A1250" s="36" t="s">
        <v>17105</v>
      </c>
      <c r="B1250" s="36" t="s">
        <v>167</v>
      </c>
      <c r="C1250" s="36" t="s">
        <v>12252</v>
      </c>
      <c r="D1250" s="36" t="s">
        <v>15021</v>
      </c>
      <c r="E1250" s="36" t="s">
        <v>11455</v>
      </c>
      <c r="F1250" s="36" t="s">
        <v>11595</v>
      </c>
    </row>
    <row r="1251" spans="1:10" ht="14.25" customHeight="1" x14ac:dyDescent="0.35">
      <c r="A1251" s="37" t="s">
        <v>16713</v>
      </c>
      <c r="B1251" s="37" t="s">
        <v>16713</v>
      </c>
      <c r="C1251" s="37" t="s">
        <v>18585</v>
      </c>
      <c r="D1251" s="37" t="s">
        <v>10634</v>
      </c>
      <c r="E1251" s="37" t="s">
        <v>9261</v>
      </c>
      <c r="F1251" s="37" t="s">
        <v>7088</v>
      </c>
    </row>
    <row r="1252" spans="1:10" ht="14.25" customHeight="1" x14ac:dyDescent="0.35">
      <c r="A1252" s="75" t="s">
        <v>15490</v>
      </c>
      <c r="B1252" s="38" t="s">
        <v>8918</v>
      </c>
      <c r="C1252" s="68">
        <v>45383</v>
      </c>
      <c r="D1252" s="75" t="s">
        <v>9819</v>
      </c>
      <c r="E1252" s="70" t="s">
        <v>13683</v>
      </c>
      <c r="F1252" s="71" t="s">
        <v>3205</v>
      </c>
    </row>
    <row r="1253" spans="1:10" ht="14.25" customHeight="1" x14ac:dyDescent="0.35">
      <c r="A1253" s="76"/>
      <c r="B1253" s="38" t="s">
        <v>1858</v>
      </c>
      <c r="C1253" s="69">
        <f>IF(C1252="","",IF(AND(MONTH(C1252)&gt;=1,MONTH(C1252)&lt;=3),1,IF(AND(MONTH(C1252)&gt;=4,MONTH(C1252)&lt;=6),2,IF(AND(MONTH(C1252)&gt;=7,MONTH(C1252)&lt;=9),3,4))))</f>
        <v>2</v>
      </c>
      <c r="D1253" s="76"/>
      <c r="E1253" s="70" t="s">
        <v>2509</v>
      </c>
      <c r="F1253" s="71" t="s">
        <v>11612</v>
      </c>
    </row>
    <row r="1254" spans="1:10" ht="14.25" customHeight="1" x14ac:dyDescent="0.35">
      <c r="A1254" s="76"/>
      <c r="B1254" s="38" t="s">
        <v>13526</v>
      </c>
      <c r="C1254" s="68">
        <v>45471</v>
      </c>
      <c r="D1254" s="76"/>
      <c r="E1254" s="70" t="s">
        <v>3198</v>
      </c>
      <c r="F1254" s="71" t="s">
        <v>11612</v>
      </c>
    </row>
    <row r="1255" spans="1:10" ht="14.25" customHeight="1" x14ac:dyDescent="0.35">
      <c r="A1255" s="76"/>
      <c r="B1255" s="38" t="s">
        <v>1858</v>
      </c>
      <c r="C1255" s="69">
        <f>IF(C1254="","",IF(AND(MONTH(C1254)&gt;=1,MONTH(C1254)&lt;=3),1,IF(AND(MONTH(C1254)&gt;=4,MONTH(C1254)&lt;=6),2,IF(AND(MONTH(C1254)&gt;=7,MONTH(C1254)&lt;=9),3,4))))</f>
        <v>2</v>
      </c>
      <c r="D1255" s="76"/>
      <c r="E1255" s="70" t="s">
        <v>13785</v>
      </c>
      <c r="F1255" s="71"/>
    </row>
    <row r="1257" spans="1:10" ht="14.25" customHeight="1" x14ac:dyDescent="0.35">
      <c r="A1257" s="43" t="s">
        <v>16424</v>
      </c>
      <c r="B1257" s="43" t="s">
        <v>16856</v>
      </c>
      <c r="C1257" s="43" t="s">
        <v>16326</v>
      </c>
      <c r="D1257" s="43" t="s">
        <v>15925</v>
      </c>
      <c r="E1257" s="43" t="s">
        <v>7248</v>
      </c>
      <c r="F1257" s="43" t="s">
        <v>15955</v>
      </c>
    </row>
    <row r="1258" spans="1:10" ht="14.25" customHeight="1" x14ac:dyDescent="0.35">
      <c r="A1258" s="39" t="s">
        <v>12157</v>
      </c>
      <c r="B1258" s="40" t="str">
        <f ca="1">IFERROR(INDEX(UNSPSCDes,MATCH(INDIRECT(ADDRESS(ROW(),COLUMN()-1,4)),UNSPSCCode,0)),IF(INDIRECT(ADDRESS(ROW(),COLUMN()-1,4))="51191603","Alimentación parenteral total o soluciones apt nutricionales",""))</f>
        <v>Alimentación parenteral total o soluciones apt nutricionales</v>
      </c>
      <c r="C1258" s="72" t="str">
        <f>IFERROR(VLOOKUP("UD",'Informacion '!P:Q,2,FALSE),"")</f>
        <v>Unidad</v>
      </c>
      <c r="D1258" s="39">
        <v>4</v>
      </c>
      <c r="E1258" s="42">
        <v>1482</v>
      </c>
      <c r="F1258" s="41">
        <f ca="1">INDIRECT(ADDRESS(ROW(),COLUMN()-2,4))*INDIRECT(ADDRESS(ROW(),COLUMN()-1,4))</f>
        <v>5928</v>
      </c>
    </row>
    <row r="1259" spans="1:10" ht="14.25" customHeight="1" x14ac:dyDescent="0.35">
      <c r="A1259" s="39" t="s">
        <v>12157</v>
      </c>
      <c r="B1259" s="40" t="str">
        <f ca="1">IFERROR(INDEX(UNSPSCDes,MATCH(INDIRECT(ADDRESS(ROW(),COLUMN()-1,4)),UNSPSCCode,0)),IF(INDIRECT(ADDRESS(ROW(),COLUMN()-1,4))="51191603","Alimentación parenteral total o soluciones apt nutricionales",""))</f>
        <v>Alimentación parenteral total o soluciones apt nutricionales</v>
      </c>
      <c r="C1259" s="72" t="str">
        <f>IFERROR(VLOOKUP("UD",'Informacion '!P:Q,2,FALSE),"")</f>
        <v>Unidad</v>
      </c>
      <c r="D1259" s="39">
        <v>4</v>
      </c>
      <c r="E1259" s="42">
        <v>4319.5</v>
      </c>
      <c r="F1259" s="41">
        <f ca="1">INDIRECT(ADDRESS(ROW(),COLUMN()-2,4))*INDIRECT(ADDRESS(ROW(),COLUMN()-1,4))</f>
        <v>17278</v>
      </c>
    </row>
    <row r="1260" spans="1:10" ht="14.25" customHeight="1" x14ac:dyDescent="0.35">
      <c r="E1260" s="44" t="s">
        <v>13122</v>
      </c>
      <c r="F1260" s="45">
        <f ca="1">SUM(Table76[MONTO TOTAL ESTIMADO])</f>
        <v>23206</v>
      </c>
      <c r="H1260" s="24" t="str">
        <f>C1251</f>
        <v>Bienes</v>
      </c>
      <c r="I1260" s="24" t="str">
        <f>E1251</f>
        <v>Sí</v>
      </c>
      <c r="J1260" s="24" t="str">
        <f>D1251</f>
        <v>Compras por debajo del Umbral</v>
      </c>
    </row>
    <row r="1262" spans="1:10" ht="34" customHeight="1" x14ac:dyDescent="0.35">
      <c r="A1262" s="36" t="s">
        <v>17105</v>
      </c>
      <c r="B1262" s="36" t="s">
        <v>167</v>
      </c>
      <c r="C1262" s="36" t="s">
        <v>12252</v>
      </c>
      <c r="D1262" s="36" t="s">
        <v>15021</v>
      </c>
      <c r="E1262" s="36" t="s">
        <v>11455</v>
      </c>
      <c r="F1262" s="36" t="s">
        <v>11595</v>
      </c>
    </row>
    <row r="1263" spans="1:10" ht="14.25" customHeight="1" x14ac:dyDescent="0.35">
      <c r="A1263" s="37" t="s">
        <v>16942</v>
      </c>
      <c r="B1263" s="37" t="s">
        <v>16942</v>
      </c>
      <c r="C1263" s="37" t="s">
        <v>18585</v>
      </c>
      <c r="D1263" s="37" t="s">
        <v>10634</v>
      </c>
      <c r="E1263" s="37" t="s">
        <v>9261</v>
      </c>
      <c r="F1263" s="37" t="s">
        <v>7088</v>
      </c>
    </row>
    <row r="1264" spans="1:10" ht="14.25" customHeight="1" x14ac:dyDescent="0.35">
      <c r="A1264" s="75" t="s">
        <v>15490</v>
      </c>
      <c r="B1264" s="38" t="s">
        <v>8918</v>
      </c>
      <c r="C1264" s="68">
        <v>45334</v>
      </c>
      <c r="D1264" s="75" t="s">
        <v>9819</v>
      </c>
      <c r="E1264" s="70" t="s">
        <v>13683</v>
      </c>
      <c r="F1264" s="71" t="s">
        <v>3205</v>
      </c>
    </row>
    <row r="1265" spans="1:10" ht="14.25" customHeight="1" x14ac:dyDescent="0.35">
      <c r="A1265" s="76"/>
      <c r="B1265" s="38" t="s">
        <v>1858</v>
      </c>
      <c r="C1265" s="69">
        <f>IF(C1264="","",IF(AND(MONTH(C1264)&gt;=1,MONTH(C1264)&lt;=3),1,IF(AND(MONTH(C1264)&gt;=4,MONTH(C1264)&lt;=6),2,IF(AND(MONTH(C1264)&gt;=7,MONTH(C1264)&lt;=9),3,4))))</f>
        <v>1</v>
      </c>
      <c r="D1265" s="76"/>
      <c r="E1265" s="70" t="s">
        <v>2509</v>
      </c>
      <c r="F1265" s="71" t="s">
        <v>11612</v>
      </c>
    </row>
    <row r="1266" spans="1:10" ht="14.25" customHeight="1" x14ac:dyDescent="0.35">
      <c r="A1266" s="76"/>
      <c r="B1266" s="38" t="s">
        <v>13526</v>
      </c>
      <c r="C1266" s="68">
        <v>45378</v>
      </c>
      <c r="D1266" s="76"/>
      <c r="E1266" s="70" t="s">
        <v>3198</v>
      </c>
      <c r="F1266" s="71" t="s">
        <v>11612</v>
      </c>
    </row>
    <row r="1267" spans="1:10" ht="14.25" customHeight="1" x14ac:dyDescent="0.35">
      <c r="A1267" s="76"/>
      <c r="B1267" s="38" t="s">
        <v>1858</v>
      </c>
      <c r="C1267" s="69">
        <f>IF(C1266="","",IF(AND(MONTH(C1266)&gt;=1,MONTH(C1266)&lt;=3),1,IF(AND(MONTH(C1266)&gt;=4,MONTH(C1266)&lt;=6),2,IF(AND(MONTH(C1266)&gt;=7,MONTH(C1266)&lt;=9),3,4))))</f>
        <v>1</v>
      </c>
      <c r="D1267" s="76"/>
      <c r="E1267" s="70" t="s">
        <v>13785</v>
      </c>
      <c r="F1267" s="71"/>
    </row>
    <row r="1269" spans="1:10" ht="14.25" customHeight="1" x14ac:dyDescent="0.35">
      <c r="A1269" s="43" t="s">
        <v>16424</v>
      </c>
      <c r="B1269" s="43" t="s">
        <v>16856</v>
      </c>
      <c r="C1269" s="43" t="s">
        <v>16326</v>
      </c>
      <c r="D1269" s="43" t="s">
        <v>15925</v>
      </c>
      <c r="E1269" s="43" t="s">
        <v>7248</v>
      </c>
      <c r="F1269" s="43" t="s">
        <v>15955</v>
      </c>
    </row>
    <row r="1270" spans="1:10" ht="14.25" customHeight="1" x14ac:dyDescent="0.35">
      <c r="A1270" s="39" t="s">
        <v>4121</v>
      </c>
      <c r="B1270" s="40" t="str">
        <f ca="1">IFERROR(INDEX(UNSPSCDes,MATCH(INDIRECT(ADDRESS(ROW(),COLUMN()-1,4)),UNSPSCCode,0)),IF(INDIRECT(ADDRESS(ROW(),COLUMN()-1,4))="51241208","Cremas o ungüentos hidrofilacios",""))</f>
        <v>Cremas o ungüentos hidrofilacios</v>
      </c>
      <c r="C1270" s="72" t="str">
        <f>IFERROR(VLOOKUP("UD",'Informacion '!P:Q,2,FALSE),"")</f>
        <v>Unidad</v>
      </c>
      <c r="D1270" s="39">
        <v>3</v>
      </c>
      <c r="E1270" s="42">
        <v>780</v>
      </c>
      <c r="F1270" s="41">
        <f ca="1">INDIRECT(ADDRESS(ROW(),COLUMN()-2,4))*INDIRECT(ADDRESS(ROW(),COLUMN()-1,4))</f>
        <v>2340</v>
      </c>
    </row>
    <row r="1271" spans="1:10" ht="14.25" customHeight="1" x14ac:dyDescent="0.35">
      <c r="E1271" s="44" t="s">
        <v>13122</v>
      </c>
      <c r="F1271" s="45">
        <f ca="1">SUM(Table77[MONTO TOTAL ESTIMADO])</f>
        <v>2340</v>
      </c>
      <c r="H1271" s="24" t="str">
        <f>C1263</f>
        <v>Bienes</v>
      </c>
      <c r="I1271" s="24" t="str">
        <f>E1263</f>
        <v>Sí</v>
      </c>
      <c r="J1271" s="24" t="str">
        <f>D1263</f>
        <v>Compras por debajo del Umbral</v>
      </c>
    </row>
    <row r="1273" spans="1:10" ht="34" customHeight="1" x14ac:dyDescent="0.35">
      <c r="A1273" s="36" t="s">
        <v>17105</v>
      </c>
      <c r="B1273" s="36" t="s">
        <v>167</v>
      </c>
      <c r="C1273" s="36" t="s">
        <v>12252</v>
      </c>
      <c r="D1273" s="36" t="s">
        <v>15021</v>
      </c>
      <c r="E1273" s="36" t="s">
        <v>11455</v>
      </c>
      <c r="F1273" s="36" t="s">
        <v>11595</v>
      </c>
    </row>
    <row r="1274" spans="1:10" ht="14.25" customHeight="1" x14ac:dyDescent="0.35">
      <c r="A1274" s="37" t="s">
        <v>16942</v>
      </c>
      <c r="B1274" s="37" t="s">
        <v>16942</v>
      </c>
      <c r="C1274" s="37" t="s">
        <v>18585</v>
      </c>
      <c r="D1274" s="37" t="s">
        <v>10634</v>
      </c>
      <c r="E1274" s="37" t="s">
        <v>9261</v>
      </c>
      <c r="F1274" s="37" t="s">
        <v>7088</v>
      </c>
    </row>
    <row r="1275" spans="1:10" ht="14.25" customHeight="1" x14ac:dyDescent="0.35">
      <c r="A1275" s="75" t="s">
        <v>15490</v>
      </c>
      <c r="B1275" s="38" t="s">
        <v>8918</v>
      </c>
      <c r="C1275" s="68">
        <v>45474</v>
      </c>
      <c r="D1275" s="75" t="s">
        <v>9819</v>
      </c>
      <c r="E1275" s="70" t="s">
        <v>13683</v>
      </c>
      <c r="F1275" s="71" t="s">
        <v>3205</v>
      </c>
    </row>
    <row r="1276" spans="1:10" ht="14.25" customHeight="1" x14ac:dyDescent="0.35">
      <c r="A1276" s="76"/>
      <c r="B1276" s="38" t="s">
        <v>1858</v>
      </c>
      <c r="C1276" s="69">
        <f>IF(C1275="","",IF(AND(MONTH(C1275)&gt;=1,MONTH(C1275)&lt;=3),1,IF(AND(MONTH(C1275)&gt;=4,MONTH(C1275)&lt;=6),2,IF(AND(MONTH(C1275)&gt;=7,MONTH(C1275)&lt;=9),3,4))))</f>
        <v>3</v>
      </c>
      <c r="D1276" s="76"/>
      <c r="E1276" s="70" t="s">
        <v>2509</v>
      </c>
      <c r="F1276" s="71" t="s">
        <v>11612</v>
      </c>
    </row>
    <row r="1277" spans="1:10" ht="14.25" customHeight="1" x14ac:dyDescent="0.35">
      <c r="A1277" s="76"/>
      <c r="B1277" s="38" t="s">
        <v>13526</v>
      </c>
      <c r="C1277" s="68">
        <v>45565</v>
      </c>
      <c r="D1277" s="76"/>
      <c r="E1277" s="70" t="s">
        <v>3198</v>
      </c>
      <c r="F1277" s="71" t="s">
        <v>11612</v>
      </c>
    </row>
    <row r="1278" spans="1:10" ht="14.25" customHeight="1" x14ac:dyDescent="0.35">
      <c r="A1278" s="76"/>
      <c r="B1278" s="38" t="s">
        <v>1858</v>
      </c>
      <c r="C1278" s="69">
        <f>IF(C1277="","",IF(AND(MONTH(C1277)&gt;=1,MONTH(C1277)&lt;=3),1,IF(AND(MONTH(C1277)&gt;=4,MONTH(C1277)&lt;=6),2,IF(AND(MONTH(C1277)&gt;=7,MONTH(C1277)&lt;=9),3,4))))</f>
        <v>3</v>
      </c>
      <c r="D1278" s="76"/>
      <c r="E1278" s="70" t="s">
        <v>13785</v>
      </c>
      <c r="F1278" s="71"/>
    </row>
    <row r="1280" spans="1:10" ht="14.25" customHeight="1" x14ac:dyDescent="0.35">
      <c r="A1280" s="43" t="s">
        <v>16424</v>
      </c>
      <c r="B1280" s="43" t="s">
        <v>16856</v>
      </c>
      <c r="C1280" s="43" t="s">
        <v>16326</v>
      </c>
      <c r="D1280" s="43" t="s">
        <v>15925</v>
      </c>
      <c r="E1280" s="43" t="s">
        <v>7248</v>
      </c>
      <c r="F1280" s="43" t="s">
        <v>15955</v>
      </c>
    </row>
    <row r="1281" spans="1:10" ht="14.25" customHeight="1" x14ac:dyDescent="0.35">
      <c r="A1281" s="39" t="s">
        <v>4121</v>
      </c>
      <c r="B1281" s="40" t="str">
        <f ca="1">IFERROR(INDEX(UNSPSCDes,MATCH(INDIRECT(ADDRESS(ROW(),COLUMN()-1,4)),UNSPSCCode,0)),IF(INDIRECT(ADDRESS(ROW(),COLUMN()-1,4))="51241208","Cremas o ungüentos hidrofilacios",""))</f>
        <v>Cremas o ungüentos hidrofilacios</v>
      </c>
      <c r="C1281" s="72" t="str">
        <f>IFERROR(VLOOKUP("UD",'Informacion '!P:Q,2,FALSE),"")</f>
        <v>Unidad</v>
      </c>
      <c r="D1281" s="39">
        <v>3</v>
      </c>
      <c r="E1281" s="42">
        <v>780</v>
      </c>
      <c r="F1281" s="41">
        <f ca="1">INDIRECT(ADDRESS(ROW(),COLUMN()-2,4))*INDIRECT(ADDRESS(ROW(),COLUMN()-1,4))</f>
        <v>2340</v>
      </c>
    </row>
    <row r="1282" spans="1:10" ht="14.25" customHeight="1" x14ac:dyDescent="0.35">
      <c r="E1282" s="44" t="s">
        <v>13122</v>
      </c>
      <c r="F1282" s="45">
        <f ca="1">SUM(Table78[MONTO TOTAL ESTIMADO])</f>
        <v>2340</v>
      </c>
      <c r="H1282" s="24" t="str">
        <f>C1274</f>
        <v>Bienes</v>
      </c>
      <c r="I1282" s="24" t="str">
        <f>E1274</f>
        <v>Sí</v>
      </c>
      <c r="J1282" s="24" t="str">
        <f>D1274</f>
        <v>Compras por debajo del Umbral</v>
      </c>
    </row>
    <row r="1284" spans="1:10" ht="34" customHeight="1" x14ac:dyDescent="0.35">
      <c r="A1284" s="36" t="s">
        <v>17105</v>
      </c>
      <c r="B1284" s="36" t="s">
        <v>167</v>
      </c>
      <c r="C1284" s="36" t="s">
        <v>12252</v>
      </c>
      <c r="D1284" s="36" t="s">
        <v>15021</v>
      </c>
      <c r="E1284" s="36" t="s">
        <v>11455</v>
      </c>
      <c r="F1284" s="36" t="s">
        <v>11595</v>
      </c>
    </row>
    <row r="1285" spans="1:10" ht="14.25" customHeight="1" x14ac:dyDescent="0.35">
      <c r="A1285" s="37" t="s">
        <v>4670</v>
      </c>
      <c r="B1285" s="37" t="s">
        <v>4670</v>
      </c>
      <c r="C1285" s="37" t="s">
        <v>18585</v>
      </c>
      <c r="D1285" s="37" t="s">
        <v>10634</v>
      </c>
      <c r="E1285" s="37" t="s">
        <v>9261</v>
      </c>
      <c r="F1285" s="37" t="s">
        <v>7088</v>
      </c>
    </row>
    <row r="1286" spans="1:10" ht="14.25" customHeight="1" x14ac:dyDescent="0.35">
      <c r="A1286" s="75" t="s">
        <v>15490</v>
      </c>
      <c r="B1286" s="38" t="s">
        <v>8918</v>
      </c>
      <c r="C1286" s="68">
        <v>45334</v>
      </c>
      <c r="D1286" s="75" t="s">
        <v>9819</v>
      </c>
      <c r="E1286" s="70" t="s">
        <v>13683</v>
      </c>
      <c r="F1286" s="71" t="s">
        <v>3205</v>
      </c>
    </row>
    <row r="1287" spans="1:10" ht="14.25" customHeight="1" x14ac:dyDescent="0.35">
      <c r="A1287" s="76"/>
      <c r="B1287" s="38" t="s">
        <v>1858</v>
      </c>
      <c r="C1287" s="69">
        <f>IF(C1286="","",IF(AND(MONTH(C1286)&gt;=1,MONTH(C1286)&lt;=3),1,IF(AND(MONTH(C1286)&gt;=4,MONTH(C1286)&lt;=6),2,IF(AND(MONTH(C1286)&gt;=7,MONTH(C1286)&lt;=9),3,4))))</f>
        <v>1</v>
      </c>
      <c r="D1287" s="76"/>
      <c r="E1287" s="70" t="s">
        <v>2509</v>
      </c>
      <c r="F1287" s="71" t="s">
        <v>11612</v>
      </c>
    </row>
    <row r="1288" spans="1:10" ht="14.25" customHeight="1" x14ac:dyDescent="0.35">
      <c r="A1288" s="76"/>
      <c r="B1288" s="38" t="s">
        <v>13526</v>
      </c>
      <c r="C1288" s="68">
        <v>45378</v>
      </c>
      <c r="D1288" s="76"/>
      <c r="E1288" s="70" t="s">
        <v>3198</v>
      </c>
      <c r="F1288" s="71" t="s">
        <v>11612</v>
      </c>
    </row>
    <row r="1289" spans="1:10" ht="14.25" customHeight="1" x14ac:dyDescent="0.35">
      <c r="A1289" s="76"/>
      <c r="B1289" s="38" t="s">
        <v>1858</v>
      </c>
      <c r="C1289" s="69">
        <f>IF(C1288="","",IF(AND(MONTH(C1288)&gt;=1,MONTH(C1288)&lt;=3),1,IF(AND(MONTH(C1288)&gt;=4,MONTH(C1288)&lt;=6),2,IF(AND(MONTH(C1288)&gt;=7,MONTH(C1288)&lt;=9),3,4))))</f>
        <v>1</v>
      </c>
      <c r="D1289" s="76"/>
      <c r="E1289" s="70" t="s">
        <v>13785</v>
      </c>
      <c r="F1289" s="71"/>
    </row>
    <row r="1291" spans="1:10" ht="14.25" customHeight="1" x14ac:dyDescent="0.35">
      <c r="A1291" s="43" t="s">
        <v>16424</v>
      </c>
      <c r="B1291" s="43" t="s">
        <v>16856</v>
      </c>
      <c r="C1291" s="43" t="s">
        <v>16326</v>
      </c>
      <c r="D1291" s="43" t="s">
        <v>15925</v>
      </c>
      <c r="E1291" s="43" t="s">
        <v>7248</v>
      </c>
      <c r="F1291" s="43" t="s">
        <v>15955</v>
      </c>
    </row>
    <row r="1292" spans="1:10" ht="14.25" customHeight="1" x14ac:dyDescent="0.35">
      <c r="A1292" s="39" t="s">
        <v>5304</v>
      </c>
      <c r="B1292" s="40" t="str">
        <f ca="1">IFERROR(INDEX(UNSPSCDes,MATCH(INDIRECT(ADDRESS(ROW(),COLUMN()-1,4)),UNSPSCCode,0)),IF(INDIRECT(ADDRESS(ROW(),COLUMN()-1,4))="52141501","Neveras para uso doméstico",""))</f>
        <v>Neveras para uso doméstico</v>
      </c>
      <c r="C1292" s="72" t="str">
        <f>IFERROR(VLOOKUP("UD",'Informacion '!P:Q,2,FALSE),"")</f>
        <v>Unidad</v>
      </c>
      <c r="D1292" s="39">
        <v>1</v>
      </c>
      <c r="E1292" s="42">
        <v>50150</v>
      </c>
      <c r="F1292" s="41">
        <f ca="1">INDIRECT(ADDRESS(ROW(),COLUMN()-2,4))*INDIRECT(ADDRESS(ROW(),COLUMN()-1,4))</f>
        <v>50150</v>
      </c>
    </row>
    <row r="1293" spans="1:10" ht="14.25" customHeight="1" x14ac:dyDescent="0.35">
      <c r="A1293" s="39" t="s">
        <v>12802</v>
      </c>
      <c r="B1293" s="40" t="str">
        <f ca="1">IFERROR(INDEX(UNSPSCDes,MATCH(INDIRECT(ADDRESS(ROW(),COLUMN()-1,4)),UNSPSCCode,0)),IF(INDIRECT(ADDRESS(ROW(),COLUMN()-1,4))="52141503","Trituradores de basura para uso doméstico",""))</f>
        <v>Trituradores de basura para uso doméstico</v>
      </c>
      <c r="C1293" s="72" t="str">
        <f>IFERROR(VLOOKUP("UD",'Informacion '!P:Q,2,FALSE),"")</f>
        <v>Unidad</v>
      </c>
      <c r="D1293" s="39">
        <v>2</v>
      </c>
      <c r="E1293" s="42">
        <v>13400</v>
      </c>
      <c r="F1293" s="41">
        <f ca="1">INDIRECT(ADDRESS(ROW(),COLUMN()-2,4))*INDIRECT(ADDRESS(ROW(),COLUMN()-1,4))</f>
        <v>26800</v>
      </c>
    </row>
    <row r="1294" spans="1:10" ht="14.25" customHeight="1" x14ac:dyDescent="0.35">
      <c r="A1294" s="39" t="s">
        <v>12802</v>
      </c>
      <c r="B1294" s="40" t="str">
        <f ca="1">IFERROR(INDEX(UNSPSCDes,MATCH(INDIRECT(ADDRESS(ROW(),COLUMN()-1,4)),UNSPSCCode,0)),IF(INDIRECT(ADDRESS(ROW(),COLUMN()-1,4))="52141503","Trituradores de basura para uso doméstico",""))</f>
        <v>Trituradores de basura para uso doméstico</v>
      </c>
      <c r="C1294" s="72" t="str">
        <f>IFERROR(VLOOKUP("UD",'Informacion '!P:Q,2,FALSE),"")</f>
        <v>Unidad</v>
      </c>
      <c r="D1294" s="39">
        <v>1</v>
      </c>
      <c r="E1294" s="42">
        <v>14500</v>
      </c>
      <c r="F1294" s="41">
        <f ca="1">INDIRECT(ADDRESS(ROW(),COLUMN()-2,4))*INDIRECT(ADDRESS(ROW(),COLUMN()-1,4))</f>
        <v>14500</v>
      </c>
    </row>
    <row r="1295" spans="1:10" ht="14.25" customHeight="1" x14ac:dyDescent="0.35">
      <c r="E1295" s="44" t="s">
        <v>13122</v>
      </c>
      <c r="F1295" s="45">
        <f ca="1">SUM(Table79[MONTO TOTAL ESTIMADO])</f>
        <v>91450</v>
      </c>
      <c r="H1295" s="24" t="str">
        <f>C1285</f>
        <v>Bienes</v>
      </c>
      <c r="I1295" s="24" t="str">
        <f>E1285</f>
        <v>Sí</v>
      </c>
      <c r="J1295" s="24" t="str">
        <f>D1285</f>
        <v>Compras por debajo del Umbral</v>
      </c>
    </row>
    <row r="1297" spans="1:10" ht="34" customHeight="1" x14ac:dyDescent="0.35">
      <c r="A1297" s="36" t="s">
        <v>17105</v>
      </c>
      <c r="B1297" s="36" t="s">
        <v>167</v>
      </c>
      <c r="C1297" s="36" t="s">
        <v>12252</v>
      </c>
      <c r="D1297" s="36" t="s">
        <v>15021</v>
      </c>
      <c r="E1297" s="36" t="s">
        <v>11455</v>
      </c>
      <c r="F1297" s="36" t="s">
        <v>11595</v>
      </c>
    </row>
    <row r="1298" spans="1:10" ht="14.25" customHeight="1" x14ac:dyDescent="0.35">
      <c r="A1298" s="37" t="s">
        <v>12679</v>
      </c>
      <c r="B1298" s="37" t="s">
        <v>12679</v>
      </c>
      <c r="C1298" s="37" t="s">
        <v>18585</v>
      </c>
      <c r="D1298" s="37" t="s">
        <v>10634</v>
      </c>
      <c r="E1298" s="37" t="s">
        <v>9261</v>
      </c>
      <c r="F1298" s="37" t="s">
        <v>7088</v>
      </c>
    </row>
    <row r="1299" spans="1:10" ht="14.25" customHeight="1" x14ac:dyDescent="0.35">
      <c r="A1299" s="75" t="s">
        <v>15490</v>
      </c>
      <c r="B1299" s="38" t="s">
        <v>8918</v>
      </c>
      <c r="C1299" s="68">
        <v>45334</v>
      </c>
      <c r="D1299" s="75" t="s">
        <v>9819</v>
      </c>
      <c r="E1299" s="70" t="s">
        <v>13683</v>
      </c>
      <c r="F1299" s="71" t="s">
        <v>3205</v>
      </c>
    </row>
    <row r="1300" spans="1:10" ht="14.25" customHeight="1" x14ac:dyDescent="0.35">
      <c r="A1300" s="76"/>
      <c r="B1300" s="38" t="s">
        <v>1858</v>
      </c>
      <c r="C1300" s="69">
        <f>IF(C1299="","",IF(AND(MONTH(C1299)&gt;=1,MONTH(C1299)&lt;=3),1,IF(AND(MONTH(C1299)&gt;=4,MONTH(C1299)&lt;=6),2,IF(AND(MONTH(C1299)&gt;=7,MONTH(C1299)&lt;=9),3,4))))</f>
        <v>1</v>
      </c>
      <c r="D1300" s="76"/>
      <c r="E1300" s="70" t="s">
        <v>2509</v>
      </c>
      <c r="F1300" s="71" t="s">
        <v>11612</v>
      </c>
    </row>
    <row r="1301" spans="1:10" ht="14.25" customHeight="1" x14ac:dyDescent="0.35">
      <c r="A1301" s="76"/>
      <c r="B1301" s="38" t="s">
        <v>13526</v>
      </c>
      <c r="C1301" s="68">
        <v>45378</v>
      </c>
      <c r="D1301" s="76"/>
      <c r="E1301" s="70" t="s">
        <v>3198</v>
      </c>
      <c r="F1301" s="71" t="s">
        <v>11612</v>
      </c>
    </row>
    <row r="1302" spans="1:10" ht="14.25" customHeight="1" x14ac:dyDescent="0.35">
      <c r="A1302" s="76"/>
      <c r="B1302" s="38" t="s">
        <v>1858</v>
      </c>
      <c r="C1302" s="69">
        <f>IF(C1301="","",IF(AND(MONTH(C1301)&gt;=1,MONTH(C1301)&lt;=3),1,IF(AND(MONTH(C1301)&gt;=4,MONTH(C1301)&lt;=6),2,IF(AND(MONTH(C1301)&gt;=7,MONTH(C1301)&lt;=9),3,4))))</f>
        <v>1</v>
      </c>
      <c r="D1302" s="76"/>
      <c r="E1302" s="70" t="s">
        <v>13785</v>
      </c>
      <c r="F1302" s="71"/>
    </row>
    <row r="1304" spans="1:10" ht="14.25" customHeight="1" x14ac:dyDescent="0.35">
      <c r="A1304" s="43" t="s">
        <v>16424</v>
      </c>
      <c r="B1304" s="43" t="s">
        <v>16856</v>
      </c>
      <c r="C1304" s="43" t="s">
        <v>16326</v>
      </c>
      <c r="D1304" s="43" t="s">
        <v>15925</v>
      </c>
      <c r="E1304" s="43" t="s">
        <v>7248</v>
      </c>
      <c r="F1304" s="43" t="s">
        <v>15955</v>
      </c>
    </row>
    <row r="1305" spans="1:10" ht="14.25" customHeight="1" x14ac:dyDescent="0.35">
      <c r="A1305" s="39" t="s">
        <v>8255</v>
      </c>
      <c r="B1305" s="40" t="str">
        <f ca="1">IFERROR(INDEX(UNSPSCDes,MATCH(INDIRECT(ADDRESS(ROW(),COLUMN()-1,4)),UNSPSCCode,0)),IF(INDIRECT(ADDRESS(ROW(),COLUMN()-1,4))="52151607","Tazas medidoras para uso doméstico",""))</f>
        <v>Tazas medidoras para uso doméstico</v>
      </c>
      <c r="C1305" s="72" t="str">
        <f>IFERROR(VLOOKUP("UD",'Informacion '!P:Q,2,FALSE),"")</f>
        <v>Unidad</v>
      </c>
      <c r="D1305" s="39">
        <v>1</v>
      </c>
      <c r="E1305" s="42">
        <v>6400</v>
      </c>
      <c r="F1305" s="41">
        <f ca="1">INDIRECT(ADDRESS(ROW(),COLUMN()-2,4))*INDIRECT(ADDRESS(ROW(),COLUMN()-1,4))</f>
        <v>6400</v>
      </c>
    </row>
    <row r="1306" spans="1:10" ht="14.25" customHeight="1" x14ac:dyDescent="0.35">
      <c r="A1306" s="39" t="s">
        <v>18654</v>
      </c>
      <c r="B1306" s="40" t="str">
        <f ca="1">IFERROR(INDEX(UNSPSCDes,MATCH(INDIRECT(ADDRESS(ROW(),COLUMN()-1,4)),UNSPSCCode,0)),IF(INDIRECT(ADDRESS(ROW(),COLUMN()-1,4))="52151704","Cucharas para uso doméstico",""))</f>
        <v>Cucharas para uso doméstico</v>
      </c>
      <c r="C1306" s="72" t="str">
        <f>IFERROR(VLOOKUP("PAQ",'Informacion '!P:Q,2,FALSE),"")</f>
        <v>Paquete</v>
      </c>
      <c r="D1306" s="39">
        <v>150</v>
      </c>
      <c r="E1306" s="42">
        <v>23.6</v>
      </c>
      <c r="F1306" s="41">
        <f ca="1">INDIRECT(ADDRESS(ROW(),COLUMN()-2,4))*INDIRECT(ADDRESS(ROW(),COLUMN()-1,4))</f>
        <v>3540</v>
      </c>
    </row>
    <row r="1307" spans="1:10" ht="14.25" customHeight="1" x14ac:dyDescent="0.35">
      <c r="A1307" s="39" t="s">
        <v>17266</v>
      </c>
      <c r="B1307" s="40" t="str">
        <f ca="1">IFERROR(INDEX(UNSPSCDes,MATCH(INDIRECT(ADDRESS(ROW(),COLUMN()-1,4)),UNSPSCCode,0)),IF(INDIRECT(ADDRESS(ROW(),COLUMN()-1,4))="52152102","Vasos para beber para uso doméstico",""))</f>
        <v>Vasos para beber para uso doméstico</v>
      </c>
      <c r="C1307" s="72" t="str">
        <f>IFERROR(VLOOKUP("PAQ",'Informacion '!P:Q,2,FALSE),"")</f>
        <v>Paquete</v>
      </c>
      <c r="D1307" s="39">
        <v>20</v>
      </c>
      <c r="E1307" s="42">
        <v>3894</v>
      </c>
      <c r="F1307" s="41">
        <f ca="1">INDIRECT(ADDRESS(ROW(),COLUMN()-2,4))*INDIRECT(ADDRESS(ROW(),COLUMN()-1,4))</f>
        <v>77880</v>
      </c>
    </row>
    <row r="1308" spans="1:10" ht="14.25" customHeight="1" x14ac:dyDescent="0.35">
      <c r="A1308" s="39" t="s">
        <v>17266</v>
      </c>
      <c r="B1308" s="40" t="str">
        <f ca="1">IFERROR(INDEX(UNSPSCDes,MATCH(INDIRECT(ADDRESS(ROW(),COLUMN()-1,4)),UNSPSCCode,0)),IF(INDIRECT(ADDRESS(ROW(),COLUMN()-1,4))="52152102","Vasos para beber para uso doméstico",""))</f>
        <v>Vasos para beber para uso doméstico</v>
      </c>
      <c r="C1308" s="72" t="str">
        <f>IFERROR(VLOOKUP("CAJ",'Informacion '!P:Q,2,FALSE),"")</f>
        <v>Caja</v>
      </c>
      <c r="D1308" s="39">
        <v>17</v>
      </c>
      <c r="E1308" s="42">
        <v>1475</v>
      </c>
      <c r="F1308" s="41">
        <f ca="1">INDIRECT(ADDRESS(ROW(),COLUMN()-2,4))*INDIRECT(ADDRESS(ROW(),COLUMN()-1,4))</f>
        <v>25075</v>
      </c>
    </row>
    <row r="1309" spans="1:10" ht="14.25" customHeight="1" x14ac:dyDescent="0.35">
      <c r="E1309" s="44" t="s">
        <v>13122</v>
      </c>
      <c r="F1309" s="45">
        <f ca="1">SUM(Table80[MONTO TOTAL ESTIMADO])</f>
        <v>112895</v>
      </c>
      <c r="H1309" s="24" t="str">
        <f>C1298</f>
        <v>Bienes</v>
      </c>
      <c r="I1309" s="24" t="str">
        <f>E1298</f>
        <v>Sí</v>
      </c>
      <c r="J1309" s="24" t="str">
        <f>D1298</f>
        <v>Compras por debajo del Umbral</v>
      </c>
    </row>
    <row r="1311" spans="1:10" ht="34" customHeight="1" x14ac:dyDescent="0.35">
      <c r="A1311" s="36" t="s">
        <v>17105</v>
      </c>
      <c r="B1311" s="36" t="s">
        <v>167</v>
      </c>
      <c r="C1311" s="36" t="s">
        <v>12252</v>
      </c>
      <c r="D1311" s="36" t="s">
        <v>15021</v>
      </c>
      <c r="E1311" s="36" t="s">
        <v>11455</v>
      </c>
      <c r="F1311" s="36" t="s">
        <v>11595</v>
      </c>
    </row>
    <row r="1312" spans="1:10" ht="14.25" customHeight="1" x14ac:dyDescent="0.35">
      <c r="A1312" s="37" t="s">
        <v>12679</v>
      </c>
      <c r="B1312" s="37" t="s">
        <v>12679</v>
      </c>
      <c r="C1312" s="37" t="s">
        <v>18585</v>
      </c>
      <c r="D1312" s="37" t="s">
        <v>18256</v>
      </c>
      <c r="E1312" s="37" t="s">
        <v>9261</v>
      </c>
      <c r="F1312" s="37" t="s">
        <v>7088</v>
      </c>
    </row>
    <row r="1313" spans="1:10" ht="14.25" customHeight="1" x14ac:dyDescent="0.35">
      <c r="A1313" s="75" t="s">
        <v>15490</v>
      </c>
      <c r="B1313" s="38" t="s">
        <v>8918</v>
      </c>
      <c r="C1313" s="68">
        <v>45383</v>
      </c>
      <c r="D1313" s="75" t="s">
        <v>9819</v>
      </c>
      <c r="E1313" s="70" t="s">
        <v>13683</v>
      </c>
      <c r="F1313" s="71" t="s">
        <v>3205</v>
      </c>
    </row>
    <row r="1314" spans="1:10" ht="14.25" customHeight="1" x14ac:dyDescent="0.35">
      <c r="A1314" s="76"/>
      <c r="B1314" s="38" t="s">
        <v>1858</v>
      </c>
      <c r="C1314" s="69">
        <f>IF(C1313="","",IF(AND(MONTH(C1313)&gt;=1,MONTH(C1313)&lt;=3),1,IF(AND(MONTH(C1313)&gt;=4,MONTH(C1313)&lt;=6),2,IF(AND(MONTH(C1313)&gt;=7,MONTH(C1313)&lt;=9),3,4))))</f>
        <v>2</v>
      </c>
      <c r="D1314" s="76"/>
      <c r="E1314" s="70" t="s">
        <v>2509</v>
      </c>
      <c r="F1314" s="71" t="s">
        <v>11612</v>
      </c>
    </row>
    <row r="1315" spans="1:10" ht="14.25" customHeight="1" x14ac:dyDescent="0.35">
      <c r="A1315" s="76"/>
      <c r="B1315" s="38" t="s">
        <v>13526</v>
      </c>
      <c r="C1315" s="68">
        <v>45471</v>
      </c>
      <c r="D1315" s="76"/>
      <c r="E1315" s="70" t="s">
        <v>3198</v>
      </c>
      <c r="F1315" s="71" t="s">
        <v>11612</v>
      </c>
    </row>
    <row r="1316" spans="1:10" ht="14.25" customHeight="1" x14ac:dyDescent="0.35">
      <c r="A1316" s="76"/>
      <c r="B1316" s="38" t="s">
        <v>1858</v>
      </c>
      <c r="C1316" s="69">
        <f>IF(C1315="","",IF(AND(MONTH(C1315)&gt;=1,MONTH(C1315)&lt;=3),1,IF(AND(MONTH(C1315)&gt;=4,MONTH(C1315)&lt;=6),2,IF(AND(MONTH(C1315)&gt;=7,MONTH(C1315)&lt;=9),3,4))))</f>
        <v>2</v>
      </c>
      <c r="D1316" s="76"/>
      <c r="E1316" s="70" t="s">
        <v>13785</v>
      </c>
      <c r="F1316" s="71"/>
    </row>
    <row r="1318" spans="1:10" ht="14.25" customHeight="1" x14ac:dyDescent="0.35">
      <c r="A1318" s="43" t="s">
        <v>16424</v>
      </c>
      <c r="B1318" s="43" t="s">
        <v>16856</v>
      </c>
      <c r="C1318" s="43" t="s">
        <v>16326</v>
      </c>
      <c r="D1318" s="43" t="s">
        <v>15925</v>
      </c>
      <c r="E1318" s="43" t="s">
        <v>7248</v>
      </c>
      <c r="F1318" s="43" t="s">
        <v>15955</v>
      </c>
    </row>
    <row r="1319" spans="1:10" ht="14.25" customHeight="1" x14ac:dyDescent="0.35">
      <c r="A1319" s="39" t="s">
        <v>15146</v>
      </c>
      <c r="B1319" s="40" t="str">
        <f ca="1">IFERROR(INDEX(UNSPSCDes,MATCH(INDIRECT(ADDRESS(ROW(),COLUMN()-1,4)),UNSPSCCode,0)),IF(INDIRECT(ADDRESS(ROW(),COLUMN()-1,4))="52151504","Tazas o vasos o tapas desechables para uso doméstico",""))</f>
        <v>Tazas o vasos o tapas desechables para uso doméstico</v>
      </c>
      <c r="C1319" s="72" t="str">
        <f>IFERROR(VLOOKUP("UD",'Informacion '!P:Q,2,FALSE),"")</f>
        <v>Unidad</v>
      </c>
      <c r="D1319" s="39">
        <v>100</v>
      </c>
      <c r="E1319" s="42">
        <v>206.33</v>
      </c>
      <c r="F1319" s="41">
        <f t="shared" ref="F1319:F1327" ca="1" si="49">INDIRECT(ADDRESS(ROW(),COLUMN()-2,4))*INDIRECT(ADDRESS(ROW(),COLUMN()-1,4))</f>
        <v>20633</v>
      </c>
    </row>
    <row r="1320" spans="1:10" ht="14.25" customHeight="1" x14ac:dyDescent="0.35">
      <c r="A1320" s="39" t="s">
        <v>8255</v>
      </c>
      <c r="B1320" s="40" t="str">
        <f ca="1">IFERROR(INDEX(UNSPSCDes,MATCH(INDIRECT(ADDRESS(ROW(),COLUMN()-1,4)),UNSPSCCode,0)),IF(INDIRECT(ADDRESS(ROW(),COLUMN()-1,4))="52151607","Tazas medidoras para uso doméstico",""))</f>
        <v>Tazas medidoras para uso doméstico</v>
      </c>
      <c r="C1320" s="72" t="str">
        <f>IFERROR(VLOOKUP("UD",'Informacion '!P:Q,2,FALSE),"")</f>
        <v>Unidad</v>
      </c>
      <c r="D1320" s="39">
        <v>40</v>
      </c>
      <c r="E1320" s="42">
        <v>454.3</v>
      </c>
      <c r="F1320" s="41">
        <f t="shared" ca="1" si="49"/>
        <v>18172</v>
      </c>
    </row>
    <row r="1321" spans="1:10" ht="14.25" customHeight="1" x14ac:dyDescent="0.35">
      <c r="A1321" s="39" t="s">
        <v>8255</v>
      </c>
      <c r="B1321" s="40" t="str">
        <f ca="1">IFERROR(INDEX(UNSPSCDes,MATCH(INDIRECT(ADDRESS(ROW(),COLUMN()-1,4)),UNSPSCCode,0)),IF(INDIRECT(ADDRESS(ROW(),COLUMN()-1,4))="52151607","Tazas medidoras para uso doméstico",""))</f>
        <v>Tazas medidoras para uso doméstico</v>
      </c>
      <c r="C1321" s="72" t="str">
        <f>IFERROR(VLOOKUP("UD",'Informacion '!P:Q,2,FALSE),"")</f>
        <v>Unidad</v>
      </c>
      <c r="D1321" s="39">
        <v>20</v>
      </c>
      <c r="E1321" s="42">
        <v>601.79999999999995</v>
      </c>
      <c r="F1321" s="41">
        <f t="shared" ca="1" si="49"/>
        <v>12036</v>
      </c>
    </row>
    <row r="1322" spans="1:10" ht="14.25" customHeight="1" x14ac:dyDescent="0.35">
      <c r="A1322" s="39" t="s">
        <v>8255</v>
      </c>
      <c r="B1322" s="40" t="str">
        <f ca="1">IFERROR(INDEX(UNSPSCDes,MATCH(INDIRECT(ADDRESS(ROW(),COLUMN()-1,4)),UNSPSCCode,0)),IF(INDIRECT(ADDRESS(ROW(),COLUMN()-1,4))="52151607","Tazas medidoras para uso doméstico",""))</f>
        <v>Tazas medidoras para uso doméstico</v>
      </c>
      <c r="C1322" s="72" t="str">
        <f>IFERROR(VLOOKUP("UD",'Informacion '!P:Q,2,FALSE),"")</f>
        <v>Unidad</v>
      </c>
      <c r="D1322" s="39">
        <v>100</v>
      </c>
      <c r="E1322" s="42">
        <v>649</v>
      </c>
      <c r="F1322" s="41">
        <f t="shared" ca="1" si="49"/>
        <v>64900</v>
      </c>
    </row>
    <row r="1323" spans="1:10" ht="14.25" customHeight="1" x14ac:dyDescent="0.35">
      <c r="A1323" s="39" t="s">
        <v>8255</v>
      </c>
      <c r="B1323" s="40" t="str">
        <f ca="1">IFERROR(INDEX(UNSPSCDes,MATCH(INDIRECT(ADDRESS(ROW(),COLUMN()-1,4)),UNSPSCCode,0)),IF(INDIRECT(ADDRESS(ROW(),COLUMN()-1,4))="52151607","Tazas medidoras para uso doméstico",""))</f>
        <v>Tazas medidoras para uso doméstico</v>
      </c>
      <c r="C1323" s="72" t="str">
        <f>IFERROR(VLOOKUP("UD",'Informacion '!P:Q,2,FALSE),"")</f>
        <v>Unidad</v>
      </c>
      <c r="D1323" s="39">
        <v>50</v>
      </c>
      <c r="E1323" s="42">
        <v>359.9</v>
      </c>
      <c r="F1323" s="41">
        <f t="shared" ca="1" si="49"/>
        <v>17995</v>
      </c>
    </row>
    <row r="1324" spans="1:10" ht="14.25" customHeight="1" x14ac:dyDescent="0.35">
      <c r="A1324" s="39" t="s">
        <v>18654</v>
      </c>
      <c r="B1324" s="40" t="str">
        <f ca="1">IFERROR(INDEX(UNSPSCDes,MATCH(INDIRECT(ADDRESS(ROW(),COLUMN()-1,4)),UNSPSCCode,0)),IF(INDIRECT(ADDRESS(ROW(),COLUMN()-1,4))="52151704","Cucharas para uso doméstico",""))</f>
        <v>Cucharas para uso doméstico</v>
      </c>
      <c r="C1324" s="72" t="str">
        <f>IFERROR(VLOOKUP("UD",'Informacion '!P:Q,2,FALSE),"")</f>
        <v>Unidad</v>
      </c>
      <c r="D1324" s="39">
        <v>150</v>
      </c>
      <c r="E1324" s="42">
        <v>23.6</v>
      </c>
      <c r="F1324" s="41">
        <f t="shared" ca="1" si="49"/>
        <v>3540</v>
      </c>
    </row>
    <row r="1325" spans="1:10" ht="14.25" customHeight="1" x14ac:dyDescent="0.35">
      <c r="A1325" s="39" t="s">
        <v>17266</v>
      </c>
      <c r="B1325" s="40" t="str">
        <f ca="1">IFERROR(INDEX(UNSPSCDes,MATCH(INDIRECT(ADDRESS(ROW(),COLUMN()-1,4)),UNSPSCCode,0)),IF(INDIRECT(ADDRESS(ROW(),COLUMN()-1,4))="52152102","Vasos para beber para uso doméstico",""))</f>
        <v>Vasos para beber para uso doméstico</v>
      </c>
      <c r="C1325" s="72" t="str">
        <f>IFERROR(VLOOKUP("UD",'Informacion '!P:Q,2,FALSE),"")</f>
        <v>Unidad</v>
      </c>
      <c r="D1325" s="39">
        <v>45</v>
      </c>
      <c r="E1325" s="42">
        <v>129.80000000000001</v>
      </c>
      <c r="F1325" s="41">
        <f t="shared" ca="1" si="49"/>
        <v>5841.0000000000009</v>
      </c>
    </row>
    <row r="1326" spans="1:10" ht="14.25" customHeight="1" x14ac:dyDescent="0.35">
      <c r="A1326" s="39" t="s">
        <v>17266</v>
      </c>
      <c r="B1326" s="40" t="str">
        <f ca="1">IFERROR(INDEX(UNSPSCDes,MATCH(INDIRECT(ADDRESS(ROW(),COLUMN()-1,4)),UNSPSCCode,0)),IF(INDIRECT(ADDRESS(ROW(),COLUMN()-1,4))="52152102","Vasos para beber para uso doméstico",""))</f>
        <v>Vasos para beber para uso doméstico</v>
      </c>
      <c r="C1326" s="72" t="str">
        <f>IFERROR(VLOOKUP("UD",'Informacion '!P:Q,2,FALSE),"")</f>
        <v>Unidad</v>
      </c>
      <c r="D1326" s="39">
        <v>20</v>
      </c>
      <c r="E1326" s="42">
        <v>3894</v>
      </c>
      <c r="F1326" s="41">
        <f t="shared" ca="1" si="49"/>
        <v>77880</v>
      </c>
    </row>
    <row r="1327" spans="1:10" ht="14.25" customHeight="1" x14ac:dyDescent="0.35">
      <c r="A1327" s="39" t="s">
        <v>17266</v>
      </c>
      <c r="B1327" s="40" t="str">
        <f ca="1">IFERROR(INDEX(UNSPSCDes,MATCH(INDIRECT(ADDRESS(ROW(),COLUMN()-1,4)),UNSPSCCode,0)),IF(INDIRECT(ADDRESS(ROW(),COLUMN()-1,4))="52152102","Vasos para beber para uso doméstico",""))</f>
        <v>Vasos para beber para uso doméstico</v>
      </c>
      <c r="C1327" s="72" t="str">
        <f>IFERROR(VLOOKUP("UD",'Informacion '!P:Q,2,FALSE),"")</f>
        <v>Unidad</v>
      </c>
      <c r="D1327" s="39">
        <v>17</v>
      </c>
      <c r="E1327" s="42">
        <v>1475</v>
      </c>
      <c r="F1327" s="41">
        <f t="shared" ca="1" si="49"/>
        <v>25075</v>
      </c>
    </row>
    <row r="1328" spans="1:10" ht="14.25" customHeight="1" x14ac:dyDescent="0.35">
      <c r="E1328" s="44" t="s">
        <v>13122</v>
      </c>
      <c r="F1328" s="45">
        <f ca="1">SUM(Table81[MONTO TOTAL ESTIMADO])</f>
        <v>246072</v>
      </c>
      <c r="H1328" s="24" t="str">
        <f>C1312</f>
        <v>Bienes</v>
      </c>
      <c r="I1328" s="24" t="str">
        <f>E1312</f>
        <v>Sí</v>
      </c>
      <c r="J1328" s="24" t="str">
        <f>D1312</f>
        <v>Compras Menores</v>
      </c>
    </row>
    <row r="1330" spans="1:6" ht="34" customHeight="1" x14ac:dyDescent="0.35">
      <c r="A1330" s="36" t="s">
        <v>17105</v>
      </c>
      <c r="B1330" s="36" t="s">
        <v>167</v>
      </c>
      <c r="C1330" s="36" t="s">
        <v>12252</v>
      </c>
      <c r="D1330" s="36" t="s">
        <v>15021</v>
      </c>
      <c r="E1330" s="36" t="s">
        <v>11455</v>
      </c>
      <c r="F1330" s="36" t="s">
        <v>11595</v>
      </c>
    </row>
    <row r="1331" spans="1:6" ht="14.25" customHeight="1" x14ac:dyDescent="0.35">
      <c r="A1331" s="37" t="s">
        <v>12679</v>
      </c>
      <c r="B1331" s="37" t="s">
        <v>12679</v>
      </c>
      <c r="C1331" s="37" t="s">
        <v>18585</v>
      </c>
      <c r="D1331" s="37" t="s">
        <v>18256</v>
      </c>
      <c r="E1331" s="37" t="s">
        <v>9261</v>
      </c>
      <c r="F1331" s="37" t="s">
        <v>7088</v>
      </c>
    </row>
    <row r="1332" spans="1:6" ht="14.25" customHeight="1" x14ac:dyDescent="0.35">
      <c r="A1332" s="75" t="s">
        <v>15490</v>
      </c>
      <c r="B1332" s="38" t="s">
        <v>8918</v>
      </c>
      <c r="C1332" s="68">
        <v>45474</v>
      </c>
      <c r="D1332" s="75" t="s">
        <v>9819</v>
      </c>
      <c r="E1332" s="70" t="s">
        <v>13683</v>
      </c>
      <c r="F1332" s="71" t="s">
        <v>3205</v>
      </c>
    </row>
    <row r="1333" spans="1:6" ht="14.25" customHeight="1" x14ac:dyDescent="0.35">
      <c r="A1333" s="76"/>
      <c r="B1333" s="38" t="s">
        <v>1858</v>
      </c>
      <c r="C1333" s="69">
        <f>IF(C1332="","",IF(AND(MONTH(C1332)&gt;=1,MONTH(C1332)&lt;=3),1,IF(AND(MONTH(C1332)&gt;=4,MONTH(C1332)&lt;=6),2,IF(AND(MONTH(C1332)&gt;=7,MONTH(C1332)&lt;=9),3,4))))</f>
        <v>3</v>
      </c>
      <c r="D1333" s="76"/>
      <c r="E1333" s="70" t="s">
        <v>2509</v>
      </c>
      <c r="F1333" s="71" t="s">
        <v>11612</v>
      </c>
    </row>
    <row r="1334" spans="1:6" ht="14.25" customHeight="1" x14ac:dyDescent="0.35">
      <c r="A1334" s="76"/>
      <c r="B1334" s="38" t="s">
        <v>13526</v>
      </c>
      <c r="C1334" s="68">
        <v>45565</v>
      </c>
      <c r="D1334" s="76"/>
      <c r="E1334" s="70" t="s">
        <v>3198</v>
      </c>
      <c r="F1334" s="71" t="s">
        <v>11612</v>
      </c>
    </row>
    <row r="1335" spans="1:6" ht="14.25" customHeight="1" x14ac:dyDescent="0.35">
      <c r="A1335" s="76"/>
      <c r="B1335" s="38" t="s">
        <v>1858</v>
      </c>
      <c r="C1335" s="69">
        <f>IF(C1334="","",IF(AND(MONTH(C1334)&gt;=1,MONTH(C1334)&lt;=3),1,IF(AND(MONTH(C1334)&gt;=4,MONTH(C1334)&lt;=6),2,IF(AND(MONTH(C1334)&gt;=7,MONTH(C1334)&lt;=9),3,4))))</f>
        <v>3</v>
      </c>
      <c r="D1335" s="76"/>
      <c r="E1335" s="70" t="s">
        <v>13785</v>
      </c>
      <c r="F1335" s="71"/>
    </row>
    <row r="1337" spans="1:6" ht="14.25" customHeight="1" x14ac:dyDescent="0.35">
      <c r="A1337" s="43" t="s">
        <v>16424</v>
      </c>
      <c r="B1337" s="43" t="s">
        <v>16856</v>
      </c>
      <c r="C1337" s="43" t="s">
        <v>16326</v>
      </c>
      <c r="D1337" s="43" t="s">
        <v>15925</v>
      </c>
      <c r="E1337" s="43" t="s">
        <v>7248</v>
      </c>
      <c r="F1337" s="43" t="s">
        <v>15955</v>
      </c>
    </row>
    <row r="1338" spans="1:6" ht="14.25" customHeight="1" x14ac:dyDescent="0.35">
      <c r="A1338" s="39" t="s">
        <v>15146</v>
      </c>
      <c r="B1338" s="40" t="str">
        <f ca="1">IFERROR(INDEX(UNSPSCDes,MATCH(INDIRECT(ADDRESS(ROW(),COLUMN()-1,4)),UNSPSCCode,0)),IF(INDIRECT(ADDRESS(ROW(),COLUMN()-1,4))="52151504","Tazas o vasos o tapas desechables para uso doméstico",""))</f>
        <v>Tazas o vasos o tapas desechables para uso doméstico</v>
      </c>
      <c r="C1338" s="72" t="str">
        <f>IFERROR(VLOOKUP("UD",'Informacion '!P:Q,2,FALSE),"")</f>
        <v>Unidad</v>
      </c>
      <c r="D1338" s="39">
        <v>100</v>
      </c>
      <c r="E1338" s="42">
        <v>206.33</v>
      </c>
      <c r="F1338" s="41">
        <f t="shared" ref="F1338:F1348" ca="1" si="50">INDIRECT(ADDRESS(ROW(),COLUMN()-2,4))*INDIRECT(ADDRESS(ROW(),COLUMN()-1,4))</f>
        <v>20633</v>
      </c>
    </row>
    <row r="1339" spans="1:6" ht="14.25" customHeight="1" x14ac:dyDescent="0.35">
      <c r="A1339" s="39" t="s">
        <v>8255</v>
      </c>
      <c r="B1339" s="40" t="str">
        <f t="shared" ref="B1339:B1345" ca="1" si="51">IFERROR(INDEX(UNSPSCDes,MATCH(INDIRECT(ADDRESS(ROW(),COLUMN()-1,4)),UNSPSCCode,0)),IF(INDIRECT(ADDRESS(ROW(),COLUMN()-1,4))="52151607","Tazas medidoras para uso doméstico",""))</f>
        <v>Tazas medidoras para uso doméstico</v>
      </c>
      <c r="C1339" s="72" t="str">
        <f>IFERROR(VLOOKUP("UD",'Informacion '!P:Q,2,FALSE),"")</f>
        <v>Unidad</v>
      </c>
      <c r="D1339" s="39">
        <v>1</v>
      </c>
      <c r="E1339" s="42">
        <v>3717</v>
      </c>
      <c r="F1339" s="41">
        <f t="shared" ca="1" si="50"/>
        <v>3717</v>
      </c>
    </row>
    <row r="1340" spans="1:6" ht="14.25" customHeight="1" x14ac:dyDescent="0.35">
      <c r="A1340" s="39" t="s">
        <v>8255</v>
      </c>
      <c r="B1340" s="40" t="str">
        <f t="shared" ca="1" si="51"/>
        <v>Tazas medidoras para uso doméstico</v>
      </c>
      <c r="C1340" s="72" t="str">
        <f>IFERROR(VLOOKUP("UD",'Informacion '!P:Q,2,FALSE),"")</f>
        <v>Unidad</v>
      </c>
      <c r="D1340" s="39">
        <v>50</v>
      </c>
      <c r="E1340" s="42">
        <v>1593</v>
      </c>
      <c r="F1340" s="41">
        <f t="shared" ca="1" si="50"/>
        <v>79650</v>
      </c>
    </row>
    <row r="1341" spans="1:6" ht="14.25" customHeight="1" x14ac:dyDescent="0.35">
      <c r="A1341" s="39" t="s">
        <v>8255</v>
      </c>
      <c r="B1341" s="40" t="str">
        <f t="shared" ca="1" si="51"/>
        <v>Tazas medidoras para uso doméstico</v>
      </c>
      <c r="C1341" s="72" t="str">
        <f>IFERROR(VLOOKUP("UD",'Informacion '!P:Q,2,FALSE),"")</f>
        <v>Unidad</v>
      </c>
      <c r="D1341" s="39">
        <v>50</v>
      </c>
      <c r="E1341" s="42">
        <v>354</v>
      </c>
      <c r="F1341" s="41">
        <f t="shared" ca="1" si="50"/>
        <v>17700</v>
      </c>
    </row>
    <row r="1342" spans="1:6" ht="14.25" customHeight="1" x14ac:dyDescent="0.35">
      <c r="A1342" s="39" t="s">
        <v>8255</v>
      </c>
      <c r="B1342" s="40" t="str">
        <f t="shared" ca="1" si="51"/>
        <v>Tazas medidoras para uso doméstico</v>
      </c>
      <c r="C1342" s="72" t="str">
        <f>IFERROR(VLOOKUP("UD",'Informacion '!P:Q,2,FALSE),"")</f>
        <v>Unidad</v>
      </c>
      <c r="D1342" s="39">
        <v>40</v>
      </c>
      <c r="E1342" s="42">
        <v>79.650000000000006</v>
      </c>
      <c r="F1342" s="41">
        <f t="shared" ca="1" si="50"/>
        <v>3186</v>
      </c>
    </row>
    <row r="1343" spans="1:6" ht="14.25" customHeight="1" x14ac:dyDescent="0.35">
      <c r="A1343" s="39" t="s">
        <v>8255</v>
      </c>
      <c r="B1343" s="40" t="str">
        <f t="shared" ca="1" si="51"/>
        <v>Tazas medidoras para uso doméstico</v>
      </c>
      <c r="C1343" s="72" t="str">
        <f>IFERROR(VLOOKUP("UD",'Informacion '!P:Q,2,FALSE),"")</f>
        <v>Unidad</v>
      </c>
      <c r="D1343" s="39">
        <v>70</v>
      </c>
      <c r="E1343" s="42">
        <v>531</v>
      </c>
      <c r="F1343" s="41">
        <f t="shared" ca="1" si="50"/>
        <v>37170</v>
      </c>
    </row>
    <row r="1344" spans="1:6" ht="14.25" customHeight="1" x14ac:dyDescent="0.35">
      <c r="A1344" s="39" t="s">
        <v>8255</v>
      </c>
      <c r="B1344" s="40" t="str">
        <f t="shared" ca="1" si="51"/>
        <v>Tazas medidoras para uso doméstico</v>
      </c>
      <c r="C1344" s="72" t="str">
        <f>IFERROR(VLOOKUP("UD",'Informacion '!P:Q,2,FALSE),"")</f>
        <v>Unidad</v>
      </c>
      <c r="D1344" s="39">
        <v>250</v>
      </c>
      <c r="E1344" s="42">
        <v>100.3</v>
      </c>
      <c r="F1344" s="41">
        <f t="shared" ca="1" si="50"/>
        <v>25075</v>
      </c>
    </row>
    <row r="1345" spans="1:10" ht="14.25" customHeight="1" x14ac:dyDescent="0.35">
      <c r="A1345" s="39" t="s">
        <v>8255</v>
      </c>
      <c r="B1345" s="40" t="str">
        <f t="shared" ca="1" si="51"/>
        <v>Tazas medidoras para uso doméstico</v>
      </c>
      <c r="C1345" s="72" t="str">
        <f>IFERROR(VLOOKUP("UD",'Informacion '!P:Q,2,FALSE),"")</f>
        <v>Unidad</v>
      </c>
      <c r="D1345" s="39">
        <v>90</v>
      </c>
      <c r="E1345" s="42">
        <v>265.5</v>
      </c>
      <c r="F1345" s="41">
        <f t="shared" ca="1" si="50"/>
        <v>23895</v>
      </c>
    </row>
    <row r="1346" spans="1:10" ht="14.25" customHeight="1" x14ac:dyDescent="0.35">
      <c r="A1346" s="39" t="s">
        <v>18654</v>
      </c>
      <c r="B1346" s="40" t="str">
        <f ca="1">IFERROR(INDEX(UNSPSCDes,MATCH(INDIRECT(ADDRESS(ROW(),COLUMN()-1,4)),UNSPSCCode,0)),IF(INDIRECT(ADDRESS(ROW(),COLUMN()-1,4))="52151704","Cucharas para uso doméstico",""))</f>
        <v>Cucharas para uso doméstico</v>
      </c>
      <c r="C1346" s="72" t="str">
        <f>IFERROR(VLOOKUP("PAQ",'Informacion '!P:Q,2,FALSE),"")</f>
        <v>Paquete</v>
      </c>
      <c r="D1346" s="39">
        <v>150</v>
      </c>
      <c r="E1346" s="42">
        <v>23.6</v>
      </c>
      <c r="F1346" s="41">
        <f t="shared" ca="1" si="50"/>
        <v>3540</v>
      </c>
    </row>
    <row r="1347" spans="1:10" ht="14.25" customHeight="1" x14ac:dyDescent="0.35">
      <c r="A1347" s="39" t="s">
        <v>17266</v>
      </c>
      <c r="B1347" s="40" t="str">
        <f ca="1">IFERROR(INDEX(UNSPSCDes,MATCH(INDIRECT(ADDRESS(ROW(),COLUMN()-1,4)),UNSPSCCode,0)),IF(INDIRECT(ADDRESS(ROW(),COLUMN()-1,4))="52152102","Vasos para beber para uso doméstico",""))</f>
        <v>Vasos para beber para uso doméstico</v>
      </c>
      <c r="C1347" s="72" t="str">
        <f>IFERROR(VLOOKUP("PAQ",'Informacion '!P:Q,2,FALSE),"")</f>
        <v>Paquete</v>
      </c>
      <c r="D1347" s="39">
        <v>20</v>
      </c>
      <c r="E1347" s="42">
        <v>3894</v>
      </c>
      <c r="F1347" s="41">
        <f t="shared" ca="1" si="50"/>
        <v>77880</v>
      </c>
    </row>
    <row r="1348" spans="1:10" ht="14.25" customHeight="1" x14ac:dyDescent="0.35">
      <c r="A1348" s="39" t="s">
        <v>17266</v>
      </c>
      <c r="B1348" s="40" t="str">
        <f ca="1">IFERROR(INDEX(UNSPSCDes,MATCH(INDIRECT(ADDRESS(ROW(),COLUMN()-1,4)),UNSPSCCode,0)),IF(INDIRECT(ADDRESS(ROW(),COLUMN()-1,4))="52152102","Vasos para beber para uso doméstico",""))</f>
        <v>Vasos para beber para uso doméstico</v>
      </c>
      <c r="C1348" s="72" t="str">
        <f>IFERROR(VLOOKUP("PAQ",'Informacion '!P:Q,2,FALSE),"")</f>
        <v>Paquete</v>
      </c>
      <c r="D1348" s="39">
        <v>17</v>
      </c>
      <c r="E1348" s="42">
        <v>1475</v>
      </c>
      <c r="F1348" s="41">
        <f t="shared" ca="1" si="50"/>
        <v>25075</v>
      </c>
    </row>
    <row r="1349" spans="1:10" ht="14.25" customHeight="1" x14ac:dyDescent="0.35">
      <c r="E1349" s="44" t="s">
        <v>13122</v>
      </c>
      <c r="F1349" s="45">
        <f ca="1">SUM(Table82[MONTO TOTAL ESTIMADO])</f>
        <v>317521</v>
      </c>
      <c r="H1349" s="24" t="str">
        <f>C1331</f>
        <v>Bienes</v>
      </c>
      <c r="I1349" s="24" t="str">
        <f>E1331</f>
        <v>Sí</v>
      </c>
      <c r="J1349" s="24" t="str">
        <f>D1331</f>
        <v>Compras Menores</v>
      </c>
    </row>
    <row r="1351" spans="1:10" ht="34" customHeight="1" x14ac:dyDescent="0.35">
      <c r="A1351" s="36" t="s">
        <v>17105</v>
      </c>
      <c r="B1351" s="36" t="s">
        <v>167</v>
      </c>
      <c r="C1351" s="36" t="s">
        <v>12252</v>
      </c>
      <c r="D1351" s="36" t="s">
        <v>15021</v>
      </c>
      <c r="E1351" s="36" t="s">
        <v>11455</v>
      </c>
      <c r="F1351" s="36" t="s">
        <v>11595</v>
      </c>
    </row>
    <row r="1352" spans="1:10" ht="14.25" customHeight="1" x14ac:dyDescent="0.35">
      <c r="A1352" s="37" t="s">
        <v>12679</v>
      </c>
      <c r="B1352" s="37" t="s">
        <v>12679</v>
      </c>
      <c r="C1352" s="37" t="s">
        <v>18585</v>
      </c>
      <c r="D1352" s="37" t="s">
        <v>10634</v>
      </c>
      <c r="E1352" s="37" t="s">
        <v>9261</v>
      </c>
      <c r="F1352" s="37" t="s">
        <v>7088</v>
      </c>
    </row>
    <row r="1353" spans="1:10" ht="14.25" customHeight="1" x14ac:dyDescent="0.35">
      <c r="A1353" s="75" t="s">
        <v>15490</v>
      </c>
      <c r="B1353" s="38" t="s">
        <v>8918</v>
      </c>
      <c r="C1353" s="68">
        <v>45566</v>
      </c>
      <c r="D1353" s="75" t="s">
        <v>9819</v>
      </c>
      <c r="E1353" s="70" t="s">
        <v>13683</v>
      </c>
      <c r="F1353" s="71" t="s">
        <v>3205</v>
      </c>
    </row>
    <row r="1354" spans="1:10" ht="14.25" customHeight="1" x14ac:dyDescent="0.35">
      <c r="A1354" s="76"/>
      <c r="B1354" s="38" t="s">
        <v>1858</v>
      </c>
      <c r="C1354" s="69">
        <f>IF(C1353="","",IF(AND(MONTH(C1353)&gt;=1,MONTH(C1353)&lt;=3),1,IF(AND(MONTH(C1353)&gt;=4,MONTH(C1353)&lt;=6),2,IF(AND(MONTH(C1353)&gt;=7,MONTH(C1353)&lt;=9),3,4))))</f>
        <v>4</v>
      </c>
      <c r="D1354" s="76"/>
      <c r="E1354" s="70" t="s">
        <v>2509</v>
      </c>
      <c r="F1354" s="71" t="s">
        <v>11612</v>
      </c>
    </row>
    <row r="1355" spans="1:10" ht="14.25" customHeight="1" x14ac:dyDescent="0.35">
      <c r="A1355" s="76"/>
      <c r="B1355" s="38" t="s">
        <v>13526</v>
      </c>
      <c r="C1355" s="68">
        <v>45657</v>
      </c>
      <c r="D1355" s="76"/>
      <c r="E1355" s="70" t="s">
        <v>3198</v>
      </c>
      <c r="F1355" s="71" t="s">
        <v>11612</v>
      </c>
    </row>
    <row r="1356" spans="1:10" ht="14.25" customHeight="1" x14ac:dyDescent="0.35">
      <c r="A1356" s="76"/>
      <c r="B1356" s="38" t="s">
        <v>1858</v>
      </c>
      <c r="C1356" s="69">
        <f>IF(C1355="","",IF(AND(MONTH(C1355)&gt;=1,MONTH(C1355)&lt;=3),1,IF(AND(MONTH(C1355)&gt;=4,MONTH(C1355)&lt;=6),2,IF(AND(MONTH(C1355)&gt;=7,MONTH(C1355)&lt;=9),3,4))))</f>
        <v>4</v>
      </c>
      <c r="D1356" s="76"/>
      <c r="E1356" s="70" t="s">
        <v>13785</v>
      </c>
      <c r="F1356" s="71"/>
    </row>
    <row r="1358" spans="1:10" ht="14.25" customHeight="1" x14ac:dyDescent="0.35">
      <c r="A1358" s="43" t="s">
        <v>16424</v>
      </c>
      <c r="B1358" s="43" t="s">
        <v>16856</v>
      </c>
      <c r="C1358" s="43" t="s">
        <v>16326</v>
      </c>
      <c r="D1358" s="43" t="s">
        <v>15925</v>
      </c>
      <c r="E1358" s="43" t="s">
        <v>7248</v>
      </c>
      <c r="F1358" s="43" t="s">
        <v>15955</v>
      </c>
    </row>
    <row r="1359" spans="1:10" ht="14.25" customHeight="1" x14ac:dyDescent="0.35">
      <c r="A1359" s="39" t="s">
        <v>18654</v>
      </c>
      <c r="B1359" s="40" t="str">
        <f ca="1">IFERROR(INDEX(UNSPSCDes,MATCH(INDIRECT(ADDRESS(ROW(),COLUMN()-1,4)),UNSPSCCode,0)),IF(INDIRECT(ADDRESS(ROW(),COLUMN()-1,4))="52151704","Cucharas para uso doméstico",""))</f>
        <v>Cucharas para uso doméstico</v>
      </c>
      <c r="C1359" s="72" t="str">
        <f>IFERROR(VLOOKUP("PAQ",'Informacion '!P:Q,2,FALSE),"")</f>
        <v>Paquete</v>
      </c>
      <c r="D1359" s="39">
        <v>150</v>
      </c>
      <c r="E1359" s="42">
        <v>23.6</v>
      </c>
      <c r="F1359" s="41">
        <f ca="1">INDIRECT(ADDRESS(ROW(),COLUMN()-2,4))*INDIRECT(ADDRESS(ROW(),COLUMN()-1,4))</f>
        <v>3540</v>
      </c>
    </row>
    <row r="1360" spans="1:10" ht="14.25" customHeight="1" x14ac:dyDescent="0.35">
      <c r="A1360" s="39" t="s">
        <v>17266</v>
      </c>
      <c r="B1360" s="40" t="str">
        <f ca="1">IFERROR(INDEX(UNSPSCDes,MATCH(INDIRECT(ADDRESS(ROW(),COLUMN()-1,4)),UNSPSCCode,0)),IF(INDIRECT(ADDRESS(ROW(),COLUMN()-1,4))="52152102","Vasos para beber para uso doméstico",""))</f>
        <v>Vasos para beber para uso doméstico</v>
      </c>
      <c r="C1360" s="72" t="str">
        <f>IFERROR(VLOOKUP("PAQ",'Informacion '!P:Q,2,FALSE),"")</f>
        <v>Paquete</v>
      </c>
      <c r="D1360" s="39">
        <v>20</v>
      </c>
      <c r="E1360" s="42">
        <v>3894</v>
      </c>
      <c r="F1360" s="41">
        <f ca="1">INDIRECT(ADDRESS(ROW(),COLUMN()-2,4))*INDIRECT(ADDRESS(ROW(),COLUMN()-1,4))</f>
        <v>77880</v>
      </c>
    </row>
    <row r="1361" spans="1:10" ht="14.25" customHeight="1" x14ac:dyDescent="0.35">
      <c r="A1361" s="39" t="s">
        <v>17266</v>
      </c>
      <c r="B1361" s="40" t="str">
        <f ca="1">IFERROR(INDEX(UNSPSCDes,MATCH(INDIRECT(ADDRESS(ROW(),COLUMN()-1,4)),UNSPSCCode,0)),IF(INDIRECT(ADDRESS(ROW(),COLUMN()-1,4))="52152102","Vasos para beber para uso doméstico",""))</f>
        <v>Vasos para beber para uso doméstico</v>
      </c>
      <c r="C1361" s="72" t="str">
        <f>IFERROR(VLOOKUP("CAJ",'Informacion '!P:Q,2,FALSE),"")</f>
        <v>Caja</v>
      </c>
      <c r="D1361" s="39">
        <v>17</v>
      </c>
      <c r="E1361" s="42">
        <v>1475</v>
      </c>
      <c r="F1361" s="41">
        <f ca="1">INDIRECT(ADDRESS(ROW(),COLUMN()-2,4))*INDIRECT(ADDRESS(ROW(),COLUMN()-1,4))</f>
        <v>25075</v>
      </c>
    </row>
    <row r="1362" spans="1:10" ht="14.25" customHeight="1" x14ac:dyDescent="0.35">
      <c r="E1362" s="44" t="s">
        <v>13122</v>
      </c>
      <c r="F1362" s="45">
        <f ca="1">SUM(Table83[MONTO TOTAL ESTIMADO])</f>
        <v>106495</v>
      </c>
      <c r="H1362" s="24" t="str">
        <f>C1352</f>
        <v>Bienes</v>
      </c>
      <c r="I1362" s="24" t="str">
        <f>E1352</f>
        <v>Sí</v>
      </c>
      <c r="J1362" s="24" t="str">
        <f>D1352</f>
        <v>Compras por debajo del Umbral</v>
      </c>
    </row>
    <row r="1364" spans="1:10" ht="34" customHeight="1" x14ac:dyDescent="0.35">
      <c r="A1364" s="36" t="s">
        <v>17105</v>
      </c>
      <c r="B1364" s="36" t="s">
        <v>167</v>
      </c>
      <c r="C1364" s="36" t="s">
        <v>12252</v>
      </c>
      <c r="D1364" s="36" t="s">
        <v>15021</v>
      </c>
      <c r="E1364" s="36" t="s">
        <v>11455</v>
      </c>
      <c r="F1364" s="36" t="s">
        <v>11595</v>
      </c>
    </row>
    <row r="1365" spans="1:10" ht="14.25" customHeight="1" x14ac:dyDescent="0.35">
      <c r="A1365" s="37" t="s">
        <v>15230</v>
      </c>
      <c r="B1365" s="37" t="s">
        <v>15230</v>
      </c>
      <c r="C1365" s="37" t="s">
        <v>18585</v>
      </c>
      <c r="D1365" s="37" t="s">
        <v>18256</v>
      </c>
      <c r="E1365" s="37" t="s">
        <v>9261</v>
      </c>
      <c r="F1365" s="37" t="s">
        <v>7088</v>
      </c>
    </row>
    <row r="1366" spans="1:10" ht="14.25" customHeight="1" x14ac:dyDescent="0.35">
      <c r="A1366" s="75" t="s">
        <v>15490</v>
      </c>
      <c r="B1366" s="38" t="s">
        <v>8918</v>
      </c>
      <c r="C1366" s="68">
        <v>45334</v>
      </c>
      <c r="D1366" s="75" t="s">
        <v>9819</v>
      </c>
      <c r="E1366" s="70" t="s">
        <v>13683</v>
      </c>
      <c r="F1366" s="71" t="s">
        <v>3205</v>
      </c>
    </row>
    <row r="1367" spans="1:10" ht="14.25" customHeight="1" x14ac:dyDescent="0.35">
      <c r="A1367" s="76"/>
      <c r="B1367" s="38" t="s">
        <v>1858</v>
      </c>
      <c r="C1367" s="69">
        <f>IF(C1366="","",IF(AND(MONTH(C1366)&gt;=1,MONTH(C1366)&lt;=3),1,IF(AND(MONTH(C1366)&gt;=4,MONTH(C1366)&lt;=6),2,IF(AND(MONTH(C1366)&gt;=7,MONTH(C1366)&lt;=9),3,4))))</f>
        <v>1</v>
      </c>
      <c r="D1367" s="76"/>
      <c r="E1367" s="70" t="s">
        <v>2509</v>
      </c>
      <c r="F1367" s="71" t="s">
        <v>11612</v>
      </c>
    </row>
    <row r="1368" spans="1:10" ht="14.25" customHeight="1" x14ac:dyDescent="0.35">
      <c r="A1368" s="76"/>
      <c r="B1368" s="38" t="s">
        <v>13526</v>
      </c>
      <c r="C1368" s="68">
        <v>45378</v>
      </c>
      <c r="D1368" s="76"/>
      <c r="E1368" s="70" t="s">
        <v>3198</v>
      </c>
      <c r="F1368" s="71" t="s">
        <v>11612</v>
      </c>
    </row>
    <row r="1369" spans="1:10" ht="14.25" customHeight="1" x14ac:dyDescent="0.35">
      <c r="A1369" s="76"/>
      <c r="B1369" s="38" t="s">
        <v>1858</v>
      </c>
      <c r="C1369" s="69">
        <f>IF(C1368="","",IF(AND(MONTH(C1368)&gt;=1,MONTH(C1368)&lt;=3),1,IF(AND(MONTH(C1368)&gt;=4,MONTH(C1368)&lt;=6),2,IF(AND(MONTH(C1368)&gt;=7,MONTH(C1368)&lt;=9),3,4))))</f>
        <v>1</v>
      </c>
      <c r="D1369" s="76"/>
      <c r="E1369" s="70" t="s">
        <v>13785</v>
      </c>
      <c r="F1369" s="71"/>
    </row>
    <row r="1371" spans="1:10" ht="14.25" customHeight="1" x14ac:dyDescent="0.35">
      <c r="A1371" s="43" t="s">
        <v>16424</v>
      </c>
      <c r="B1371" s="43" t="s">
        <v>16856</v>
      </c>
      <c r="C1371" s="43" t="s">
        <v>16326</v>
      </c>
      <c r="D1371" s="43" t="s">
        <v>15925</v>
      </c>
      <c r="E1371" s="43" t="s">
        <v>7248</v>
      </c>
      <c r="F1371" s="43" t="s">
        <v>15955</v>
      </c>
    </row>
    <row r="1372" spans="1:10" ht="14.25" customHeight="1" x14ac:dyDescent="0.35">
      <c r="A1372" s="39" t="s">
        <v>9860</v>
      </c>
      <c r="B1372" s="40" t="str">
        <f ca="1">IFERROR(INDEX(UNSPSCDes,MATCH(INDIRECT(ADDRESS(ROW(),COLUMN()-1,4)),UNSPSCCode,0)),IF(INDIRECT(ADDRESS(ROW(),COLUMN()-1,4))="52161505","Televisores",""))</f>
        <v>Televisores</v>
      </c>
      <c r="C1372" s="72" t="str">
        <f>IFERROR(VLOOKUP("UD",'Informacion '!P:Q,2,FALSE),"")</f>
        <v>Unidad</v>
      </c>
      <c r="D1372" s="39">
        <v>3</v>
      </c>
      <c r="E1372" s="42">
        <v>29380.75</v>
      </c>
      <c r="F1372" s="41">
        <f ca="1">INDIRECT(ADDRESS(ROW(),COLUMN()-2,4))*INDIRECT(ADDRESS(ROW(),COLUMN()-1,4))</f>
        <v>88142.25</v>
      </c>
    </row>
    <row r="1373" spans="1:10" ht="14.25" customHeight="1" x14ac:dyDescent="0.35">
      <c r="A1373" s="39" t="s">
        <v>9860</v>
      </c>
      <c r="B1373" s="40" t="str">
        <f ca="1">IFERROR(INDEX(UNSPSCDes,MATCH(INDIRECT(ADDRESS(ROW(),COLUMN()-1,4)),UNSPSCCode,0)),IF(INDIRECT(ADDRESS(ROW(),COLUMN()-1,4))="52161505","Televisores",""))</f>
        <v>Televisores</v>
      </c>
      <c r="C1373" s="72" t="str">
        <f>IFERROR(VLOOKUP("UD",'Informacion '!P:Q,2,FALSE),"")</f>
        <v>Unidad</v>
      </c>
      <c r="D1373" s="39">
        <v>2</v>
      </c>
      <c r="E1373" s="42">
        <v>22014.400000000001</v>
      </c>
      <c r="F1373" s="41">
        <f ca="1">INDIRECT(ADDRESS(ROW(),COLUMN()-2,4))*INDIRECT(ADDRESS(ROW(),COLUMN()-1,4))</f>
        <v>44028.800000000003</v>
      </c>
    </row>
    <row r="1374" spans="1:10" ht="14.25" customHeight="1" x14ac:dyDescent="0.35">
      <c r="A1374" s="39" t="s">
        <v>10260</v>
      </c>
      <c r="B1374" s="40" t="str">
        <f ca="1">IFERROR(INDEX(UNSPSCDes,MATCH(INDIRECT(ADDRESS(ROW(),COLUMN()-1,4)),UNSPSCCode,0)),IF(INDIRECT(ADDRESS(ROW(),COLUMN()-1,4))="52161518","Receptores de sistemas de posicionamiento global",""))</f>
        <v>Receptores de sistemas de posicionamiento global</v>
      </c>
      <c r="C1374" s="72" t="str">
        <f>IFERROR(VLOOKUP("UD",'Informacion '!P:Q,2,FALSE),"")</f>
        <v>Unidad</v>
      </c>
      <c r="D1374" s="39">
        <v>4</v>
      </c>
      <c r="E1374" s="42">
        <v>23128</v>
      </c>
      <c r="F1374" s="41">
        <f ca="1">INDIRECT(ADDRESS(ROW(),COLUMN()-2,4))*INDIRECT(ADDRESS(ROW(),COLUMN()-1,4))</f>
        <v>92512</v>
      </c>
    </row>
    <row r="1375" spans="1:10" ht="14.25" customHeight="1" x14ac:dyDescent="0.35">
      <c r="A1375" s="39" t="s">
        <v>18073</v>
      </c>
      <c r="B1375" s="40" t="str">
        <f ca="1">IFERROR(INDEX(UNSPSCDes,MATCH(INDIRECT(ADDRESS(ROW(),COLUMN()-1,4)),UNSPSCCode,0)),IF(INDIRECT(ADDRESS(ROW(),COLUMN()-1,4))="52161520","Micrófonos",""))</f>
        <v>Micrófonos</v>
      </c>
      <c r="C1375" s="72" t="str">
        <f>IFERROR(VLOOKUP("UD",'Informacion '!P:Q,2,FALSE),"")</f>
        <v>Unidad</v>
      </c>
      <c r="D1375" s="39">
        <v>1</v>
      </c>
      <c r="E1375" s="42">
        <v>7080</v>
      </c>
      <c r="F1375" s="41">
        <f ca="1">INDIRECT(ADDRESS(ROW(),COLUMN()-2,4))*INDIRECT(ADDRESS(ROW(),COLUMN()-1,4))</f>
        <v>7080</v>
      </c>
    </row>
    <row r="1376" spans="1:10" ht="14.25" customHeight="1" x14ac:dyDescent="0.35">
      <c r="A1376" s="39" t="s">
        <v>9689</v>
      </c>
      <c r="B1376" s="40" t="str">
        <f ca="1">IFERROR(INDEX(UNSPSCDes,MATCH(INDIRECT(ADDRESS(ROW(),COLUMN()-1,4)),UNSPSCCode,0)),IF(INDIRECT(ADDRESS(ROW(),COLUMN()-1,4))="52161535","Grabadoras de voz digitales",""))</f>
        <v>Grabadoras de voz digitales</v>
      </c>
      <c r="C1376" s="72" t="str">
        <f>IFERROR(VLOOKUP("UD",'Informacion '!P:Q,2,FALSE),"")</f>
        <v>Unidad</v>
      </c>
      <c r="D1376" s="39">
        <v>3</v>
      </c>
      <c r="E1376" s="42">
        <v>8850</v>
      </c>
      <c r="F1376" s="41">
        <f ca="1">INDIRECT(ADDRESS(ROW(),COLUMN()-2,4))*INDIRECT(ADDRESS(ROW(),COLUMN()-1,4))</f>
        <v>26550</v>
      </c>
    </row>
    <row r="1377" spans="1:10" ht="14.25" customHeight="1" x14ac:dyDescent="0.35">
      <c r="E1377" s="44" t="s">
        <v>13122</v>
      </c>
      <c r="F1377" s="45">
        <f ca="1">SUM(Table84[MONTO TOTAL ESTIMADO])</f>
        <v>258313.05</v>
      </c>
      <c r="H1377" s="24" t="str">
        <f>C1365</f>
        <v>Bienes</v>
      </c>
      <c r="I1377" s="24" t="str">
        <f>E1365</f>
        <v>Sí</v>
      </c>
      <c r="J1377" s="24" t="str">
        <f>D1365</f>
        <v>Compras Menores</v>
      </c>
    </row>
    <row r="1379" spans="1:10" ht="34" customHeight="1" x14ac:dyDescent="0.35">
      <c r="A1379" s="36" t="s">
        <v>17105</v>
      </c>
      <c r="B1379" s="36" t="s">
        <v>167</v>
      </c>
      <c r="C1379" s="36" t="s">
        <v>12252</v>
      </c>
      <c r="D1379" s="36" t="s">
        <v>15021</v>
      </c>
      <c r="E1379" s="36" t="s">
        <v>11455</v>
      </c>
      <c r="F1379" s="36" t="s">
        <v>11595</v>
      </c>
    </row>
    <row r="1380" spans="1:10" ht="14.25" customHeight="1" x14ac:dyDescent="0.35">
      <c r="A1380" s="37" t="s">
        <v>15230</v>
      </c>
      <c r="B1380" s="37" t="s">
        <v>15230</v>
      </c>
      <c r="C1380" s="37" t="s">
        <v>18585</v>
      </c>
      <c r="D1380" s="37" t="s">
        <v>10634</v>
      </c>
      <c r="E1380" s="37" t="s">
        <v>9261</v>
      </c>
      <c r="F1380" s="37" t="s">
        <v>7088</v>
      </c>
    </row>
    <row r="1381" spans="1:10" ht="14.25" customHeight="1" x14ac:dyDescent="0.35">
      <c r="A1381" s="75" t="s">
        <v>15490</v>
      </c>
      <c r="B1381" s="38" t="s">
        <v>8918</v>
      </c>
      <c r="C1381" s="68">
        <v>45383</v>
      </c>
      <c r="D1381" s="75" t="s">
        <v>9819</v>
      </c>
      <c r="E1381" s="70" t="s">
        <v>13683</v>
      </c>
      <c r="F1381" s="71" t="s">
        <v>3205</v>
      </c>
    </row>
    <row r="1382" spans="1:10" ht="14.25" customHeight="1" x14ac:dyDescent="0.35">
      <c r="A1382" s="76"/>
      <c r="B1382" s="38" t="s">
        <v>1858</v>
      </c>
      <c r="C1382" s="69">
        <f>IF(C1381="","",IF(AND(MONTH(C1381)&gt;=1,MONTH(C1381)&lt;=3),1,IF(AND(MONTH(C1381)&gt;=4,MONTH(C1381)&lt;=6),2,IF(AND(MONTH(C1381)&gt;=7,MONTH(C1381)&lt;=9),3,4))))</f>
        <v>2</v>
      </c>
      <c r="D1382" s="76"/>
      <c r="E1382" s="70" t="s">
        <v>2509</v>
      </c>
      <c r="F1382" s="71" t="s">
        <v>11612</v>
      </c>
    </row>
    <row r="1383" spans="1:10" ht="14.25" customHeight="1" x14ac:dyDescent="0.35">
      <c r="A1383" s="76"/>
      <c r="B1383" s="38" t="s">
        <v>13526</v>
      </c>
      <c r="C1383" s="68">
        <v>45471</v>
      </c>
      <c r="D1383" s="76"/>
      <c r="E1383" s="70" t="s">
        <v>3198</v>
      </c>
      <c r="F1383" s="71" t="s">
        <v>11612</v>
      </c>
    </row>
    <row r="1384" spans="1:10" ht="14.25" customHeight="1" x14ac:dyDescent="0.35">
      <c r="A1384" s="76"/>
      <c r="B1384" s="38" t="s">
        <v>1858</v>
      </c>
      <c r="C1384" s="69">
        <f>IF(C1383="","",IF(AND(MONTH(C1383)&gt;=1,MONTH(C1383)&lt;=3),1,IF(AND(MONTH(C1383)&gt;=4,MONTH(C1383)&lt;=6),2,IF(AND(MONTH(C1383)&gt;=7,MONTH(C1383)&lt;=9),3,4))))</f>
        <v>2</v>
      </c>
      <c r="D1384" s="76"/>
      <c r="E1384" s="70" t="s">
        <v>13785</v>
      </c>
      <c r="F1384" s="71"/>
    </row>
    <row r="1386" spans="1:10" ht="14.25" customHeight="1" x14ac:dyDescent="0.35">
      <c r="A1386" s="43" t="s">
        <v>16424</v>
      </c>
      <c r="B1386" s="43" t="s">
        <v>16856</v>
      </c>
      <c r="C1386" s="43" t="s">
        <v>16326</v>
      </c>
      <c r="D1386" s="43" t="s">
        <v>15925</v>
      </c>
      <c r="E1386" s="43" t="s">
        <v>7248</v>
      </c>
      <c r="F1386" s="43" t="s">
        <v>15955</v>
      </c>
    </row>
    <row r="1387" spans="1:10" ht="14.25" customHeight="1" x14ac:dyDescent="0.35">
      <c r="A1387" s="39" t="s">
        <v>9860</v>
      </c>
      <c r="B1387" s="40" t="str">
        <f ca="1">IFERROR(INDEX(UNSPSCDes,MATCH(INDIRECT(ADDRESS(ROW(),COLUMN()-1,4)),UNSPSCCode,0)),IF(INDIRECT(ADDRESS(ROW(),COLUMN()-1,4))="52161505","Televisores",""))</f>
        <v>Televisores</v>
      </c>
      <c r="C1387" s="72" t="str">
        <f>IFERROR(VLOOKUP("UD",'Informacion '!P:Q,2,FALSE),"")</f>
        <v>Unidad</v>
      </c>
      <c r="D1387" s="39">
        <v>2</v>
      </c>
      <c r="E1387" s="42">
        <v>22014.400000000001</v>
      </c>
      <c r="F1387" s="41">
        <f ca="1">INDIRECT(ADDRESS(ROW(),COLUMN()-2,4))*INDIRECT(ADDRESS(ROW(),COLUMN()-1,4))</f>
        <v>44028.800000000003</v>
      </c>
    </row>
    <row r="1388" spans="1:10" ht="14.25" customHeight="1" x14ac:dyDescent="0.35">
      <c r="A1388" s="39" t="s">
        <v>10260</v>
      </c>
      <c r="B1388" s="40" t="str">
        <f ca="1">IFERROR(INDEX(UNSPSCDes,MATCH(INDIRECT(ADDRESS(ROW(),COLUMN()-1,4)),UNSPSCCode,0)),IF(INDIRECT(ADDRESS(ROW(),COLUMN()-1,4))="52161518","Receptores de sistemas de posicionamiento global",""))</f>
        <v>Receptores de sistemas de posicionamiento global</v>
      </c>
      <c r="C1388" s="72" t="str">
        <f>IFERROR(VLOOKUP("UD",'Informacion '!P:Q,2,FALSE),"")</f>
        <v>Unidad</v>
      </c>
      <c r="D1388" s="39">
        <v>1</v>
      </c>
      <c r="E1388" s="42">
        <v>60727</v>
      </c>
      <c r="F1388" s="41">
        <f ca="1">INDIRECT(ADDRESS(ROW(),COLUMN()-2,4))*INDIRECT(ADDRESS(ROW(),COLUMN()-1,4))</f>
        <v>60727</v>
      </c>
    </row>
    <row r="1389" spans="1:10" ht="14.25" customHeight="1" x14ac:dyDescent="0.35">
      <c r="E1389" s="44" t="s">
        <v>13122</v>
      </c>
      <c r="F1389" s="45">
        <f ca="1">SUM(Table85[MONTO TOTAL ESTIMADO])</f>
        <v>104755.8</v>
      </c>
      <c r="H1389" s="24" t="str">
        <f>C1380</f>
        <v>Bienes</v>
      </c>
      <c r="I1389" s="24" t="str">
        <f>E1380</f>
        <v>Sí</v>
      </c>
      <c r="J1389" s="24" t="str">
        <f>D1380</f>
        <v>Compras por debajo del Umbral</v>
      </c>
    </row>
    <row r="1391" spans="1:10" ht="34" customHeight="1" x14ac:dyDescent="0.35">
      <c r="A1391" s="36" t="s">
        <v>17105</v>
      </c>
      <c r="B1391" s="36" t="s">
        <v>167</v>
      </c>
      <c r="C1391" s="36" t="s">
        <v>12252</v>
      </c>
      <c r="D1391" s="36" t="s">
        <v>15021</v>
      </c>
      <c r="E1391" s="36" t="s">
        <v>11455</v>
      </c>
      <c r="F1391" s="36" t="s">
        <v>11595</v>
      </c>
    </row>
    <row r="1392" spans="1:10" ht="14.25" customHeight="1" x14ac:dyDescent="0.35">
      <c r="A1392" s="37" t="s">
        <v>15230</v>
      </c>
      <c r="B1392" s="37" t="s">
        <v>15230</v>
      </c>
      <c r="C1392" s="37" t="s">
        <v>18585</v>
      </c>
      <c r="D1392" s="37" t="s">
        <v>10634</v>
      </c>
      <c r="E1392" s="37" t="s">
        <v>9261</v>
      </c>
      <c r="F1392" s="37" t="s">
        <v>7088</v>
      </c>
    </row>
    <row r="1393" spans="1:10" ht="14.25" customHeight="1" x14ac:dyDescent="0.35">
      <c r="A1393" s="75" t="s">
        <v>15490</v>
      </c>
      <c r="B1393" s="38" t="s">
        <v>8918</v>
      </c>
      <c r="C1393" s="68">
        <v>45474</v>
      </c>
      <c r="D1393" s="75" t="s">
        <v>9819</v>
      </c>
      <c r="E1393" s="70" t="s">
        <v>13683</v>
      </c>
      <c r="F1393" s="71" t="s">
        <v>3205</v>
      </c>
    </row>
    <row r="1394" spans="1:10" ht="14.25" customHeight="1" x14ac:dyDescent="0.35">
      <c r="A1394" s="76"/>
      <c r="B1394" s="38" t="s">
        <v>1858</v>
      </c>
      <c r="C1394" s="69">
        <f>IF(C1393="","",IF(AND(MONTH(C1393)&gt;=1,MONTH(C1393)&lt;=3),1,IF(AND(MONTH(C1393)&gt;=4,MONTH(C1393)&lt;=6),2,IF(AND(MONTH(C1393)&gt;=7,MONTH(C1393)&lt;=9),3,4))))</f>
        <v>3</v>
      </c>
      <c r="D1394" s="76"/>
      <c r="E1394" s="70" t="s">
        <v>2509</v>
      </c>
      <c r="F1394" s="71" t="s">
        <v>11612</v>
      </c>
    </row>
    <row r="1395" spans="1:10" ht="14.25" customHeight="1" x14ac:dyDescent="0.35">
      <c r="A1395" s="76"/>
      <c r="B1395" s="38" t="s">
        <v>13526</v>
      </c>
      <c r="C1395" s="68">
        <v>45565</v>
      </c>
      <c r="D1395" s="76"/>
      <c r="E1395" s="70" t="s">
        <v>3198</v>
      </c>
      <c r="F1395" s="71" t="s">
        <v>11612</v>
      </c>
    </row>
    <row r="1396" spans="1:10" ht="14.25" customHeight="1" x14ac:dyDescent="0.35">
      <c r="A1396" s="76"/>
      <c r="B1396" s="38" t="s">
        <v>1858</v>
      </c>
      <c r="C1396" s="69">
        <f>IF(C1395="","",IF(AND(MONTH(C1395)&gt;=1,MONTH(C1395)&lt;=3),1,IF(AND(MONTH(C1395)&gt;=4,MONTH(C1395)&lt;=6),2,IF(AND(MONTH(C1395)&gt;=7,MONTH(C1395)&lt;=9),3,4))))</f>
        <v>3</v>
      </c>
      <c r="D1396" s="76"/>
      <c r="E1396" s="70" t="s">
        <v>13785</v>
      </c>
      <c r="F1396" s="71"/>
    </row>
    <row r="1398" spans="1:10" ht="14.25" customHeight="1" x14ac:dyDescent="0.35">
      <c r="A1398" s="43" t="s">
        <v>16424</v>
      </c>
      <c r="B1398" s="43" t="s">
        <v>16856</v>
      </c>
      <c r="C1398" s="43" t="s">
        <v>16326</v>
      </c>
      <c r="D1398" s="43" t="s">
        <v>15925</v>
      </c>
      <c r="E1398" s="43" t="s">
        <v>7248</v>
      </c>
      <c r="F1398" s="43" t="s">
        <v>15955</v>
      </c>
    </row>
    <row r="1399" spans="1:10" ht="14.25" customHeight="1" x14ac:dyDescent="0.35">
      <c r="A1399" s="39" t="s">
        <v>3925</v>
      </c>
      <c r="B1399" s="40" t="str">
        <f ca="1">IFERROR(INDEX(UNSPSCDes,MATCH(INDIRECT(ADDRESS(ROW(),COLUMN()-1,4)),UNSPSCCode,0)),IF(INDIRECT(ADDRESS(ROW(),COLUMN()-1,4))="52161512","Altoparlantes",""))</f>
        <v>Altoparlantes</v>
      </c>
      <c r="C1399" s="72" t="str">
        <f>IFERROR(VLOOKUP("UD",'Informacion '!P:Q,2,FALSE),"")</f>
        <v>Unidad</v>
      </c>
      <c r="D1399" s="39">
        <v>6</v>
      </c>
      <c r="E1399" s="42">
        <v>9440</v>
      </c>
      <c r="F1399" s="41">
        <f ca="1">INDIRECT(ADDRESS(ROW(),COLUMN()-2,4))*INDIRECT(ADDRESS(ROW(),COLUMN()-1,4))</f>
        <v>56640</v>
      </c>
    </row>
    <row r="1400" spans="1:10" ht="14.25" customHeight="1" x14ac:dyDescent="0.35">
      <c r="E1400" s="44" t="s">
        <v>13122</v>
      </c>
      <c r="F1400" s="45">
        <f ca="1">SUM(Table86[MONTO TOTAL ESTIMADO])</f>
        <v>56640</v>
      </c>
      <c r="H1400" s="24" t="str">
        <f>C1392</f>
        <v>Bienes</v>
      </c>
      <c r="I1400" s="24" t="str">
        <f>E1392</f>
        <v>Sí</v>
      </c>
      <c r="J1400" s="24" t="str">
        <f>D1392</f>
        <v>Compras por debajo del Umbral</v>
      </c>
    </row>
    <row r="1402" spans="1:10" ht="34" customHeight="1" x14ac:dyDescent="0.35">
      <c r="A1402" s="36" t="s">
        <v>17105</v>
      </c>
      <c r="B1402" s="36" t="s">
        <v>167</v>
      </c>
      <c r="C1402" s="36" t="s">
        <v>12252</v>
      </c>
      <c r="D1402" s="36" t="s">
        <v>15021</v>
      </c>
      <c r="E1402" s="36" t="s">
        <v>11455</v>
      </c>
      <c r="F1402" s="36" t="s">
        <v>11595</v>
      </c>
    </row>
    <row r="1403" spans="1:10" ht="14.25" customHeight="1" x14ac:dyDescent="0.35">
      <c r="A1403" s="37" t="s">
        <v>15160</v>
      </c>
      <c r="B1403" s="37" t="s">
        <v>15160</v>
      </c>
      <c r="C1403" s="37" t="s">
        <v>18585</v>
      </c>
      <c r="D1403" s="37" t="s">
        <v>1950</v>
      </c>
      <c r="E1403" s="37" t="s">
        <v>18646</v>
      </c>
      <c r="F1403" s="37" t="s">
        <v>7088</v>
      </c>
    </row>
    <row r="1404" spans="1:10" ht="14.25" customHeight="1" x14ac:dyDescent="0.35">
      <c r="A1404" s="75" t="s">
        <v>15490</v>
      </c>
      <c r="B1404" s="38" t="s">
        <v>8918</v>
      </c>
      <c r="C1404" s="68">
        <v>45334</v>
      </c>
      <c r="D1404" s="75" t="s">
        <v>9819</v>
      </c>
      <c r="E1404" s="70" t="s">
        <v>13683</v>
      </c>
      <c r="F1404" s="71" t="s">
        <v>3205</v>
      </c>
    </row>
    <row r="1405" spans="1:10" ht="14.25" customHeight="1" x14ac:dyDescent="0.35">
      <c r="A1405" s="76"/>
      <c r="B1405" s="38" t="s">
        <v>1858</v>
      </c>
      <c r="C1405" s="69">
        <f>IF(C1404="","",IF(AND(MONTH(C1404)&gt;=1,MONTH(C1404)&lt;=3),1,IF(AND(MONTH(C1404)&gt;=4,MONTH(C1404)&lt;=6),2,IF(AND(MONTH(C1404)&gt;=7,MONTH(C1404)&lt;=9),3,4))))</f>
        <v>1</v>
      </c>
      <c r="D1405" s="76"/>
      <c r="E1405" s="70" t="s">
        <v>2509</v>
      </c>
      <c r="F1405" s="71" t="s">
        <v>11612</v>
      </c>
    </row>
    <row r="1406" spans="1:10" ht="14.25" customHeight="1" x14ac:dyDescent="0.35">
      <c r="A1406" s="76"/>
      <c r="B1406" s="38" t="s">
        <v>13526</v>
      </c>
      <c r="C1406" s="68">
        <v>45378</v>
      </c>
      <c r="D1406" s="76"/>
      <c r="E1406" s="70" t="s">
        <v>3198</v>
      </c>
      <c r="F1406" s="71" t="s">
        <v>11612</v>
      </c>
    </row>
    <row r="1407" spans="1:10" ht="14.25" customHeight="1" x14ac:dyDescent="0.35">
      <c r="A1407" s="76"/>
      <c r="B1407" s="38" t="s">
        <v>1858</v>
      </c>
      <c r="C1407" s="69">
        <f>IF(C1406="","",IF(AND(MONTH(C1406)&gt;=1,MONTH(C1406)&lt;=3),1,IF(AND(MONTH(C1406)&gt;=4,MONTH(C1406)&lt;=6),2,IF(AND(MONTH(C1406)&gt;=7,MONTH(C1406)&lt;=9),3,4))))</f>
        <v>1</v>
      </c>
      <c r="D1407" s="76"/>
      <c r="E1407" s="70" t="s">
        <v>13785</v>
      </c>
      <c r="F1407" s="71"/>
    </row>
    <row r="1409" spans="1:6" ht="14.25" customHeight="1" x14ac:dyDescent="0.35">
      <c r="A1409" s="43" t="s">
        <v>16424</v>
      </c>
      <c r="B1409" s="43" t="s">
        <v>16856</v>
      </c>
      <c r="C1409" s="43" t="s">
        <v>16326</v>
      </c>
      <c r="D1409" s="43" t="s">
        <v>15925</v>
      </c>
      <c r="E1409" s="43" t="s">
        <v>7248</v>
      </c>
      <c r="F1409" s="43" t="s">
        <v>15955</v>
      </c>
    </row>
    <row r="1410" spans="1:6" ht="14.25" customHeight="1" x14ac:dyDescent="0.35">
      <c r="A1410" s="39" t="s">
        <v>1519</v>
      </c>
      <c r="B1410" s="40" t="str">
        <f ca="1">IFERROR(INDEX(UNSPSCDes,MATCH(INDIRECT(ADDRESS(ROW(),COLUMN()-1,4)),UNSPSCCode,0)),IF(INDIRECT(ADDRESS(ROW(),COLUMN()-1,4))="53101502","Pantalones largos o cortos o pantalonetas para hombre",""))</f>
        <v>Pantalones largos o cortos o pantalonetas para hombre</v>
      </c>
      <c r="C1410" s="72" t="str">
        <f>IFERROR(VLOOKUP("UD",'Informacion '!P:Q,2,FALSE),"")</f>
        <v>Unidad</v>
      </c>
      <c r="D1410" s="39">
        <v>50</v>
      </c>
      <c r="E1410" s="42">
        <v>1829</v>
      </c>
      <c r="F1410" s="41">
        <f t="shared" ref="F1410:F1425" ca="1" si="52">INDIRECT(ADDRESS(ROW(),COLUMN()-2,4))*INDIRECT(ADDRESS(ROW(),COLUMN()-1,4))</f>
        <v>91450</v>
      </c>
    </row>
    <row r="1411" spans="1:6" ht="14.25" customHeight="1" x14ac:dyDescent="0.35">
      <c r="A1411" s="39" t="s">
        <v>1519</v>
      </c>
      <c r="B1411" s="40" t="str">
        <f ca="1">IFERROR(INDEX(UNSPSCDes,MATCH(INDIRECT(ADDRESS(ROW(),COLUMN()-1,4)),UNSPSCCode,0)),IF(INDIRECT(ADDRESS(ROW(),COLUMN()-1,4))="53101502","Pantalones largos o cortos o pantalonetas para hombre",""))</f>
        <v>Pantalones largos o cortos o pantalonetas para hombre</v>
      </c>
      <c r="C1411" s="72" t="str">
        <f>IFERROR(VLOOKUP("UD",'Informacion '!P:Q,2,FALSE),"")</f>
        <v>Unidad</v>
      </c>
      <c r="D1411" s="39">
        <v>16</v>
      </c>
      <c r="E1411" s="42">
        <v>1829</v>
      </c>
      <c r="F1411" s="41">
        <f t="shared" ca="1" si="52"/>
        <v>29264</v>
      </c>
    </row>
    <row r="1412" spans="1:6" ht="14.25" customHeight="1" x14ac:dyDescent="0.35">
      <c r="A1412" s="39" t="s">
        <v>1519</v>
      </c>
      <c r="B1412" s="40" t="str">
        <f ca="1">IFERROR(INDEX(UNSPSCDes,MATCH(INDIRECT(ADDRESS(ROW(),COLUMN()-1,4)),UNSPSCCode,0)),IF(INDIRECT(ADDRESS(ROW(),COLUMN()-1,4))="53101502","Pantalones largos o cortos o pantalonetas para hombre",""))</f>
        <v>Pantalones largos o cortos o pantalonetas para hombre</v>
      </c>
      <c r="C1412" s="72" t="str">
        <f>IFERROR(VLOOKUP("UD",'Informacion '!P:Q,2,FALSE),"")</f>
        <v>Unidad</v>
      </c>
      <c r="D1412" s="39">
        <v>40</v>
      </c>
      <c r="E1412" s="42">
        <v>1056</v>
      </c>
      <c r="F1412" s="41">
        <f t="shared" ca="1" si="52"/>
        <v>42240</v>
      </c>
    </row>
    <row r="1413" spans="1:6" ht="14.25" customHeight="1" x14ac:dyDescent="0.35">
      <c r="A1413" s="39" t="s">
        <v>1519</v>
      </c>
      <c r="B1413" s="40" t="str">
        <f ca="1">IFERROR(INDEX(UNSPSCDes,MATCH(INDIRECT(ADDRESS(ROW(),COLUMN()-1,4)),UNSPSCCode,0)),IF(INDIRECT(ADDRESS(ROW(),COLUMN()-1,4))="53101502","Pantalones largos o cortos o pantalonetas para hombre",""))</f>
        <v>Pantalones largos o cortos o pantalonetas para hombre</v>
      </c>
      <c r="C1413" s="72" t="str">
        <f>IFERROR(VLOOKUP("UD",'Informacion '!P:Q,2,FALSE),"")</f>
        <v>Unidad</v>
      </c>
      <c r="D1413" s="39">
        <v>24</v>
      </c>
      <c r="E1413" s="42">
        <v>1056</v>
      </c>
      <c r="F1413" s="41">
        <f t="shared" ca="1" si="52"/>
        <v>25344</v>
      </c>
    </row>
    <row r="1414" spans="1:6" ht="14.25" customHeight="1" x14ac:dyDescent="0.35">
      <c r="A1414" s="39" t="s">
        <v>1519</v>
      </c>
      <c r="B1414" s="40" t="str">
        <f ca="1">IFERROR(INDEX(UNSPSCDes,MATCH(INDIRECT(ADDRESS(ROW(),COLUMN()-1,4)),UNSPSCCode,0)),IF(INDIRECT(ADDRESS(ROW(),COLUMN()-1,4))="53101502","Pantalones largos o cortos o pantalonetas para hombre",""))</f>
        <v>Pantalones largos o cortos o pantalonetas para hombre</v>
      </c>
      <c r="C1414" s="72" t="str">
        <f>IFERROR(VLOOKUP("UD",'Informacion '!P:Q,2,FALSE),"")</f>
        <v>Unidad</v>
      </c>
      <c r="D1414" s="39">
        <v>4</v>
      </c>
      <c r="E1414" s="42">
        <v>1056</v>
      </c>
      <c r="F1414" s="41">
        <f t="shared" ca="1" si="52"/>
        <v>4224</v>
      </c>
    </row>
    <row r="1415" spans="1:6" ht="14.25" customHeight="1" x14ac:dyDescent="0.35">
      <c r="A1415" s="39" t="s">
        <v>8809</v>
      </c>
      <c r="B1415" s="40" t="str">
        <f ca="1">IFERROR(INDEX(UNSPSCDes,MATCH(INDIRECT(ADDRESS(ROW(),COLUMN()-1,4)),UNSPSCCode,0)),IF(INDIRECT(ADDRESS(ROW(),COLUMN()-1,4))="53101602","Camisas para hombre",""))</f>
        <v>Camisas para hombre</v>
      </c>
      <c r="C1415" s="72" t="str">
        <f>IFERROR(VLOOKUP("UD",'Informacion '!P:Q,2,FALSE),"")</f>
        <v>Unidad</v>
      </c>
      <c r="D1415" s="39">
        <v>40</v>
      </c>
      <c r="E1415" s="42">
        <v>3363</v>
      </c>
      <c r="F1415" s="41">
        <f t="shared" ca="1" si="52"/>
        <v>134520</v>
      </c>
    </row>
    <row r="1416" spans="1:6" ht="14.25" customHeight="1" x14ac:dyDescent="0.35">
      <c r="A1416" s="39" t="s">
        <v>8809</v>
      </c>
      <c r="B1416" s="40" t="str">
        <f ca="1">IFERROR(INDEX(UNSPSCDes,MATCH(INDIRECT(ADDRESS(ROW(),COLUMN()-1,4)),UNSPSCCode,0)),IF(INDIRECT(ADDRESS(ROW(),COLUMN()-1,4))="53101602","Camisas para hombre",""))</f>
        <v>Camisas para hombre</v>
      </c>
      <c r="C1416" s="72" t="str">
        <f>IFERROR(VLOOKUP("UD",'Informacion '!P:Q,2,FALSE),"")</f>
        <v>Unidad</v>
      </c>
      <c r="D1416" s="39">
        <v>12</v>
      </c>
      <c r="E1416" s="42">
        <v>3363</v>
      </c>
      <c r="F1416" s="41">
        <f t="shared" ca="1" si="52"/>
        <v>40356</v>
      </c>
    </row>
    <row r="1417" spans="1:6" ht="14.25" customHeight="1" x14ac:dyDescent="0.35">
      <c r="A1417" s="39" t="s">
        <v>8809</v>
      </c>
      <c r="B1417" s="40" t="str">
        <f ca="1">IFERROR(INDEX(UNSPSCDes,MATCH(INDIRECT(ADDRESS(ROW(),COLUMN()-1,4)),UNSPSCCode,0)),IF(INDIRECT(ADDRESS(ROW(),COLUMN()-1,4))="53101602","Camisas para hombre",""))</f>
        <v>Camisas para hombre</v>
      </c>
      <c r="C1417" s="72" t="str">
        <f>IFERROR(VLOOKUP("UD",'Informacion '!P:Q,2,FALSE),"")</f>
        <v>Unidad</v>
      </c>
      <c r="D1417" s="39">
        <v>4</v>
      </c>
      <c r="E1417" s="42">
        <v>3363</v>
      </c>
      <c r="F1417" s="41">
        <f t="shared" ca="1" si="52"/>
        <v>13452</v>
      </c>
    </row>
    <row r="1418" spans="1:6" ht="14.25" customHeight="1" x14ac:dyDescent="0.35">
      <c r="A1418" s="39" t="s">
        <v>624</v>
      </c>
      <c r="B1418" s="40" t="str">
        <f ca="1">IFERROR(INDEX(UNSPSCDes,MATCH(INDIRECT(ADDRESS(ROW(),COLUMN()-1,4)),UNSPSCCode,0)),IF(INDIRECT(ADDRESS(ROW(),COLUMN()-1,4))="53102301","Camisetas interiores",""))</f>
        <v>Camisetas interiores</v>
      </c>
      <c r="C1418" s="72" t="str">
        <f>IFERROR(VLOOKUP("UD",'Informacion '!P:Q,2,FALSE),"")</f>
        <v>Unidad</v>
      </c>
      <c r="D1418" s="39">
        <v>50</v>
      </c>
      <c r="E1418" s="42">
        <v>1003</v>
      </c>
      <c r="F1418" s="41">
        <f t="shared" ca="1" si="52"/>
        <v>50150</v>
      </c>
    </row>
    <row r="1419" spans="1:6" ht="14.25" customHeight="1" x14ac:dyDescent="0.35">
      <c r="A1419" s="39" t="s">
        <v>624</v>
      </c>
      <c r="B1419" s="40" t="str">
        <f ca="1">IFERROR(INDEX(UNSPSCDes,MATCH(INDIRECT(ADDRESS(ROW(),COLUMN()-1,4)),UNSPSCCode,0)),IF(INDIRECT(ADDRESS(ROW(),COLUMN()-1,4))="53102301","Camisetas interiores",""))</f>
        <v>Camisetas interiores</v>
      </c>
      <c r="C1419" s="72" t="str">
        <f>IFERROR(VLOOKUP("UD",'Informacion '!P:Q,2,FALSE),"")</f>
        <v>Unidad</v>
      </c>
      <c r="D1419" s="39">
        <v>16</v>
      </c>
      <c r="E1419" s="42">
        <v>1003</v>
      </c>
      <c r="F1419" s="41">
        <f t="shared" ca="1" si="52"/>
        <v>16048</v>
      </c>
    </row>
    <row r="1420" spans="1:6" ht="14.25" customHeight="1" x14ac:dyDescent="0.35">
      <c r="A1420" s="39" t="s">
        <v>231</v>
      </c>
      <c r="B1420" s="40" t="str">
        <f ca="1">IFERROR(INDEX(UNSPSCDes,MATCH(INDIRECT(ADDRESS(ROW(),COLUMN()-1,4)),UNSPSCCode,0)),IF(INDIRECT(ADDRESS(ROW(),COLUMN()-1,4))="53102504","Guantes o mitones",""))</f>
        <v>Guantes o mitones</v>
      </c>
      <c r="C1420" s="72" t="str">
        <f>IFERROR(VLOOKUP("UD",'Informacion '!P:Q,2,FALSE),"")</f>
        <v>Unidad</v>
      </c>
      <c r="D1420" s="39">
        <v>5</v>
      </c>
      <c r="E1420" s="42">
        <v>175</v>
      </c>
      <c r="F1420" s="41">
        <f t="shared" ca="1" si="52"/>
        <v>875</v>
      </c>
    </row>
    <row r="1421" spans="1:6" ht="14.25" customHeight="1" x14ac:dyDescent="0.35">
      <c r="A1421" s="39" t="s">
        <v>12253</v>
      </c>
      <c r="B1421" s="40" t="str">
        <f ca="1">IFERROR(INDEX(UNSPSCDes,MATCH(INDIRECT(ADDRESS(ROW(),COLUMN()-1,4)),UNSPSCCode,0)),IF(INDIRECT(ADDRESS(ROW(),COLUMN()-1,4))="53102710","Uniformes corporativos",""))</f>
        <v>Uniformes corporativos</v>
      </c>
      <c r="C1421" s="72" t="str">
        <f>IFERROR(VLOOKUP("UD",'Informacion '!P:Q,2,FALSE),"")</f>
        <v>Unidad</v>
      </c>
      <c r="D1421" s="39">
        <v>1</v>
      </c>
      <c r="E1421" s="42">
        <v>137175</v>
      </c>
      <c r="F1421" s="41">
        <f t="shared" ca="1" si="52"/>
        <v>137175</v>
      </c>
    </row>
    <row r="1422" spans="1:6" ht="14.25" customHeight="1" x14ac:dyDescent="0.35">
      <c r="A1422" s="39" t="s">
        <v>12253</v>
      </c>
      <c r="B1422" s="40" t="str">
        <f ca="1">IFERROR(INDEX(UNSPSCDes,MATCH(INDIRECT(ADDRESS(ROW(),COLUMN()-1,4)),UNSPSCCode,0)),IF(INDIRECT(ADDRESS(ROW(),COLUMN()-1,4))="53102710","Uniformes corporativos",""))</f>
        <v>Uniformes corporativos</v>
      </c>
      <c r="C1422" s="72" t="str">
        <f>IFERROR(VLOOKUP("UD",'Informacion '!P:Q,2,FALSE),"")</f>
        <v>Unidad</v>
      </c>
      <c r="D1422" s="39">
        <v>545</v>
      </c>
      <c r="E1422" s="42">
        <v>8000</v>
      </c>
      <c r="F1422" s="41">
        <f t="shared" ca="1" si="52"/>
        <v>4360000</v>
      </c>
    </row>
    <row r="1423" spans="1:6" ht="14.25" customHeight="1" x14ac:dyDescent="0.35">
      <c r="A1423" s="39" t="s">
        <v>14232</v>
      </c>
      <c r="B1423" s="40" t="str">
        <f ca="1">IFERROR(INDEX(UNSPSCDes,MATCH(INDIRECT(ADDRESS(ROW(),COLUMN()-1,4)),UNSPSCCode,0)),IF(INDIRECT(ADDRESS(ROW(),COLUMN()-1,4))="53103001","Camisetas (t-shirts)",""))</f>
        <v>Camisetas (t-shirts)</v>
      </c>
      <c r="C1423" s="72" t="str">
        <f>IFERROR(VLOOKUP("UD",'Informacion '!P:Q,2,FALSE),"")</f>
        <v>Unidad</v>
      </c>
      <c r="D1423" s="39">
        <v>50</v>
      </c>
      <c r="E1423" s="42">
        <v>295</v>
      </c>
      <c r="F1423" s="41">
        <f t="shared" ca="1" si="52"/>
        <v>14750</v>
      </c>
    </row>
    <row r="1424" spans="1:6" ht="14.25" customHeight="1" x14ac:dyDescent="0.35">
      <c r="A1424" s="39" t="s">
        <v>14232</v>
      </c>
      <c r="B1424" s="40" t="str">
        <f ca="1">IFERROR(INDEX(UNSPSCDes,MATCH(INDIRECT(ADDRESS(ROW(),COLUMN()-1,4)),UNSPSCCode,0)),IF(INDIRECT(ADDRESS(ROW(),COLUMN()-1,4))="53103001","Camisetas (t-shirts)",""))</f>
        <v>Camisetas (t-shirts)</v>
      </c>
      <c r="C1424" s="72" t="str">
        <f>IFERROR(VLOOKUP("UD",'Informacion '!P:Q,2,FALSE),"")</f>
        <v>Unidad</v>
      </c>
      <c r="D1424" s="39">
        <v>75</v>
      </c>
      <c r="E1424" s="42">
        <v>295</v>
      </c>
      <c r="F1424" s="41">
        <f t="shared" ca="1" si="52"/>
        <v>22125</v>
      </c>
    </row>
    <row r="1425" spans="1:10" ht="14.25" customHeight="1" x14ac:dyDescent="0.35">
      <c r="A1425" s="39" t="s">
        <v>14232</v>
      </c>
      <c r="B1425" s="40" t="str">
        <f ca="1">IFERROR(INDEX(UNSPSCDes,MATCH(INDIRECT(ADDRESS(ROW(),COLUMN()-1,4)),UNSPSCCode,0)),IF(INDIRECT(ADDRESS(ROW(),COLUMN()-1,4))="53103001","Camisetas (t-shirts)",""))</f>
        <v>Camisetas (t-shirts)</v>
      </c>
      <c r="C1425" s="72" t="str">
        <f>IFERROR(VLOOKUP("UD",'Informacion '!P:Q,2,FALSE),"")</f>
        <v>Unidad</v>
      </c>
      <c r="D1425" s="39">
        <v>2</v>
      </c>
      <c r="E1425" s="42">
        <v>401.2</v>
      </c>
      <c r="F1425" s="41">
        <f t="shared" ca="1" si="52"/>
        <v>802.4</v>
      </c>
    </row>
    <row r="1426" spans="1:10" ht="14.25" customHeight="1" x14ac:dyDescent="0.35">
      <c r="E1426" s="44" t="s">
        <v>13122</v>
      </c>
      <c r="F1426" s="45">
        <f ca="1">SUM(Table87[MONTO TOTAL ESTIMADO])</f>
        <v>4982775.4000000004</v>
      </c>
      <c r="H1426" s="24" t="str">
        <f>C1403</f>
        <v>Bienes</v>
      </c>
      <c r="I1426" s="24" t="str">
        <f>E1403</f>
        <v>No</v>
      </c>
      <c r="J1426" s="24" t="str">
        <f>D1403</f>
        <v>Comparacion de Precios</v>
      </c>
    </row>
    <row r="1428" spans="1:10" ht="34" customHeight="1" x14ac:dyDescent="0.35">
      <c r="A1428" s="36" t="s">
        <v>17105</v>
      </c>
      <c r="B1428" s="36" t="s">
        <v>167</v>
      </c>
      <c r="C1428" s="36" t="s">
        <v>12252</v>
      </c>
      <c r="D1428" s="36" t="s">
        <v>15021</v>
      </c>
      <c r="E1428" s="36" t="s">
        <v>11455</v>
      </c>
      <c r="F1428" s="36" t="s">
        <v>11595</v>
      </c>
    </row>
    <row r="1429" spans="1:10" ht="14.25" customHeight="1" x14ac:dyDescent="0.35">
      <c r="A1429" s="37" t="s">
        <v>15160</v>
      </c>
      <c r="B1429" s="37" t="s">
        <v>15160</v>
      </c>
      <c r="C1429" s="37" t="s">
        <v>18585</v>
      </c>
      <c r="D1429" s="37" t="s">
        <v>18256</v>
      </c>
      <c r="E1429" s="37" t="s">
        <v>9261</v>
      </c>
      <c r="F1429" s="37" t="s">
        <v>7088</v>
      </c>
    </row>
    <row r="1430" spans="1:10" ht="14.25" customHeight="1" x14ac:dyDescent="0.35">
      <c r="A1430" s="75" t="s">
        <v>15490</v>
      </c>
      <c r="B1430" s="38" t="s">
        <v>8918</v>
      </c>
      <c r="C1430" s="68">
        <v>45383</v>
      </c>
      <c r="D1430" s="75" t="s">
        <v>9819</v>
      </c>
      <c r="E1430" s="70" t="s">
        <v>13683</v>
      </c>
      <c r="F1430" s="71" t="s">
        <v>3205</v>
      </c>
    </row>
    <row r="1431" spans="1:10" ht="14.25" customHeight="1" x14ac:dyDescent="0.35">
      <c r="A1431" s="76"/>
      <c r="B1431" s="38" t="s">
        <v>1858</v>
      </c>
      <c r="C1431" s="69">
        <f>IF(C1430="","",IF(AND(MONTH(C1430)&gt;=1,MONTH(C1430)&lt;=3),1,IF(AND(MONTH(C1430)&gt;=4,MONTH(C1430)&lt;=6),2,IF(AND(MONTH(C1430)&gt;=7,MONTH(C1430)&lt;=9),3,4))))</f>
        <v>2</v>
      </c>
      <c r="D1431" s="76"/>
      <c r="E1431" s="70" t="s">
        <v>2509</v>
      </c>
      <c r="F1431" s="71" t="s">
        <v>11612</v>
      </c>
    </row>
    <row r="1432" spans="1:10" ht="14.25" customHeight="1" x14ac:dyDescent="0.35">
      <c r="A1432" s="76"/>
      <c r="B1432" s="38" t="s">
        <v>13526</v>
      </c>
      <c r="C1432" s="68">
        <v>45471</v>
      </c>
      <c r="D1432" s="76"/>
      <c r="E1432" s="70" t="s">
        <v>3198</v>
      </c>
      <c r="F1432" s="71" t="s">
        <v>11612</v>
      </c>
    </row>
    <row r="1433" spans="1:10" ht="14.25" customHeight="1" x14ac:dyDescent="0.35">
      <c r="A1433" s="76"/>
      <c r="B1433" s="38" t="s">
        <v>1858</v>
      </c>
      <c r="C1433" s="69">
        <f>IF(C1432="","",IF(AND(MONTH(C1432)&gt;=1,MONTH(C1432)&lt;=3),1,IF(AND(MONTH(C1432)&gt;=4,MONTH(C1432)&lt;=6),2,IF(AND(MONTH(C1432)&gt;=7,MONTH(C1432)&lt;=9),3,4))))</f>
        <v>2</v>
      </c>
      <c r="D1433" s="76"/>
      <c r="E1433" s="70" t="s">
        <v>13785</v>
      </c>
      <c r="F1433" s="71"/>
    </row>
    <row r="1435" spans="1:10" ht="14.25" customHeight="1" x14ac:dyDescent="0.35">
      <c r="A1435" s="43" t="s">
        <v>16424</v>
      </c>
      <c r="B1435" s="43" t="s">
        <v>16856</v>
      </c>
      <c r="C1435" s="43" t="s">
        <v>16326</v>
      </c>
      <c r="D1435" s="43" t="s">
        <v>15925</v>
      </c>
      <c r="E1435" s="43" t="s">
        <v>7248</v>
      </c>
      <c r="F1435" s="43" t="s">
        <v>15955</v>
      </c>
    </row>
    <row r="1436" spans="1:10" ht="14.25" customHeight="1" x14ac:dyDescent="0.35">
      <c r="A1436" s="39" t="s">
        <v>1519</v>
      </c>
      <c r="B1436" s="40" t="str">
        <f ca="1">IFERROR(INDEX(UNSPSCDes,MATCH(INDIRECT(ADDRESS(ROW(),COLUMN()-1,4)),UNSPSCCode,0)),IF(INDIRECT(ADDRESS(ROW(),COLUMN()-1,4))="53101502","Pantalones largos o cortos o pantalonetas para hombre",""))</f>
        <v>Pantalones largos o cortos o pantalonetas para hombre</v>
      </c>
      <c r="C1436" s="72" t="str">
        <f>IFERROR(VLOOKUP("UD",'Informacion '!P:Q,2,FALSE),"")</f>
        <v>Unidad</v>
      </c>
      <c r="D1436" s="39">
        <v>12</v>
      </c>
      <c r="E1436" s="42">
        <v>1056</v>
      </c>
      <c r="F1436" s="41">
        <f t="shared" ref="F1436:F1446" ca="1" si="53">INDIRECT(ADDRESS(ROW(),COLUMN()-2,4))*INDIRECT(ADDRESS(ROW(),COLUMN()-1,4))</f>
        <v>12672</v>
      </c>
    </row>
    <row r="1437" spans="1:10" ht="14.25" customHeight="1" x14ac:dyDescent="0.35">
      <c r="A1437" s="39" t="s">
        <v>1519</v>
      </c>
      <c r="B1437" s="40" t="str">
        <f ca="1">IFERROR(INDEX(UNSPSCDes,MATCH(INDIRECT(ADDRESS(ROW(),COLUMN()-1,4)),UNSPSCCode,0)),IF(INDIRECT(ADDRESS(ROW(),COLUMN()-1,4))="53101502","Pantalones largos o cortos o pantalonetas para hombre",""))</f>
        <v>Pantalones largos o cortos o pantalonetas para hombre</v>
      </c>
      <c r="C1437" s="72" t="str">
        <f>IFERROR(VLOOKUP("UD",'Informacion '!P:Q,2,FALSE),"")</f>
        <v>Unidad</v>
      </c>
      <c r="D1437" s="39">
        <v>12</v>
      </c>
      <c r="E1437" s="42">
        <v>885</v>
      </c>
      <c r="F1437" s="41">
        <f t="shared" ca="1" si="53"/>
        <v>10620</v>
      </c>
    </row>
    <row r="1438" spans="1:10" ht="14.25" customHeight="1" x14ac:dyDescent="0.35">
      <c r="A1438" s="39" t="s">
        <v>1519</v>
      </c>
      <c r="B1438" s="40" t="str">
        <f ca="1">IFERROR(INDEX(UNSPSCDes,MATCH(INDIRECT(ADDRESS(ROW(),COLUMN()-1,4)),UNSPSCCode,0)),IF(INDIRECT(ADDRESS(ROW(),COLUMN()-1,4))="53101502","Pantalones largos o cortos o pantalonetas para hombre",""))</f>
        <v>Pantalones largos o cortos o pantalonetas para hombre</v>
      </c>
      <c r="C1438" s="72" t="str">
        <f>IFERROR(VLOOKUP("UD",'Informacion '!P:Q,2,FALSE),"")</f>
        <v>Unidad</v>
      </c>
      <c r="D1438" s="39">
        <v>8</v>
      </c>
      <c r="E1438" s="42">
        <v>885</v>
      </c>
      <c r="F1438" s="41">
        <f t="shared" ca="1" si="53"/>
        <v>7080</v>
      </c>
    </row>
    <row r="1439" spans="1:10" ht="14.25" customHeight="1" x14ac:dyDescent="0.35">
      <c r="A1439" s="39" t="s">
        <v>8809</v>
      </c>
      <c r="B1439" s="40" t="str">
        <f ca="1">IFERROR(INDEX(UNSPSCDes,MATCH(INDIRECT(ADDRESS(ROW(),COLUMN()-1,4)),UNSPSCCode,0)),IF(INDIRECT(ADDRESS(ROW(),COLUMN()-1,4))="53101602","Camisas para hombre",""))</f>
        <v>Camisas para hombre</v>
      </c>
      <c r="C1439" s="72" t="str">
        <f>IFERROR(VLOOKUP("UD",'Informacion '!P:Q,2,FALSE),"")</f>
        <v>Unidad</v>
      </c>
      <c r="D1439" s="39">
        <v>10</v>
      </c>
      <c r="E1439" s="42">
        <v>5949</v>
      </c>
      <c r="F1439" s="41">
        <f t="shared" ca="1" si="53"/>
        <v>59490</v>
      </c>
    </row>
    <row r="1440" spans="1:10" ht="14.25" customHeight="1" x14ac:dyDescent="0.35">
      <c r="A1440" s="39" t="s">
        <v>8809</v>
      </c>
      <c r="B1440" s="40" t="str">
        <f ca="1">IFERROR(INDEX(UNSPSCDes,MATCH(INDIRECT(ADDRESS(ROW(),COLUMN()-1,4)),UNSPSCCode,0)),IF(INDIRECT(ADDRESS(ROW(),COLUMN()-1,4))="53101602","Camisas para hombre",""))</f>
        <v>Camisas para hombre</v>
      </c>
      <c r="C1440" s="72" t="str">
        <f>IFERROR(VLOOKUP("UD",'Informacion '!P:Q,2,FALSE),"")</f>
        <v>Unidad</v>
      </c>
      <c r="D1440" s="39">
        <v>12</v>
      </c>
      <c r="E1440" s="42">
        <v>3363</v>
      </c>
      <c r="F1440" s="41">
        <f t="shared" ca="1" si="53"/>
        <v>40356</v>
      </c>
    </row>
    <row r="1441" spans="1:10" ht="14.25" customHeight="1" x14ac:dyDescent="0.35">
      <c r="A1441" s="39" t="s">
        <v>8809</v>
      </c>
      <c r="B1441" s="40" t="str">
        <f ca="1">IFERROR(INDEX(UNSPSCDes,MATCH(INDIRECT(ADDRESS(ROW(),COLUMN()-1,4)),UNSPSCCode,0)),IF(INDIRECT(ADDRESS(ROW(),COLUMN()-1,4))="53101602","Camisas para hombre",""))</f>
        <v>Camisas para hombre</v>
      </c>
      <c r="C1441" s="72" t="str">
        <f>IFERROR(VLOOKUP("UD",'Informacion '!P:Q,2,FALSE),"")</f>
        <v>Unidad</v>
      </c>
      <c r="D1441" s="39">
        <v>18</v>
      </c>
      <c r="E1441" s="42">
        <v>3174</v>
      </c>
      <c r="F1441" s="41">
        <f t="shared" ca="1" si="53"/>
        <v>57132</v>
      </c>
    </row>
    <row r="1442" spans="1:10" ht="14.25" customHeight="1" x14ac:dyDescent="0.35">
      <c r="A1442" s="39" t="s">
        <v>8809</v>
      </c>
      <c r="B1442" s="40" t="str">
        <f ca="1">IFERROR(INDEX(UNSPSCDes,MATCH(INDIRECT(ADDRESS(ROW(),COLUMN()-1,4)),UNSPSCCode,0)),IF(INDIRECT(ADDRESS(ROW(),COLUMN()-1,4))="53101602","Camisas para hombre",""))</f>
        <v>Camisas para hombre</v>
      </c>
      <c r="C1442" s="72" t="str">
        <f>IFERROR(VLOOKUP("UD",'Informacion '!P:Q,2,FALSE),"")</f>
        <v>Unidad</v>
      </c>
      <c r="D1442" s="39">
        <v>8</v>
      </c>
      <c r="E1442" s="42">
        <v>1534</v>
      </c>
      <c r="F1442" s="41">
        <f t="shared" ca="1" si="53"/>
        <v>12272</v>
      </c>
    </row>
    <row r="1443" spans="1:10" ht="14.25" customHeight="1" x14ac:dyDescent="0.35">
      <c r="A1443" s="39" t="s">
        <v>15407</v>
      </c>
      <c r="B1443" s="40" t="str">
        <f ca="1">IFERROR(INDEX(UNSPSCDes,MATCH(INDIRECT(ADDRESS(ROW(),COLUMN()-1,4)),UNSPSCCode,0)),IF(INDIRECT(ADDRESS(ROW(),COLUMN()-1,4))="53101604","Camisas o blusas para mujer",""))</f>
        <v>Camisas o blusas para mujer</v>
      </c>
      <c r="C1443" s="72" t="str">
        <f>IFERROR(VLOOKUP("UD",'Informacion '!P:Q,2,FALSE),"")</f>
        <v>Unidad</v>
      </c>
      <c r="D1443" s="39">
        <v>18</v>
      </c>
      <c r="E1443" s="42">
        <v>1062</v>
      </c>
      <c r="F1443" s="41">
        <f t="shared" ca="1" si="53"/>
        <v>19116</v>
      </c>
    </row>
    <row r="1444" spans="1:10" ht="14.25" customHeight="1" x14ac:dyDescent="0.35">
      <c r="A1444" s="39" t="s">
        <v>12253</v>
      </c>
      <c r="B1444" s="40" t="str">
        <f ca="1">IFERROR(INDEX(UNSPSCDes,MATCH(INDIRECT(ADDRESS(ROW(),COLUMN()-1,4)),UNSPSCCode,0)),IF(INDIRECT(ADDRESS(ROW(),COLUMN()-1,4))="53102710","Uniformes corporativos",""))</f>
        <v>Uniformes corporativos</v>
      </c>
      <c r="C1444" s="72" t="str">
        <f>IFERROR(VLOOKUP("UD",'Informacion '!P:Q,2,FALSE),"")</f>
        <v>Unidad</v>
      </c>
      <c r="D1444" s="39">
        <v>18</v>
      </c>
      <c r="E1444" s="42">
        <v>1829</v>
      </c>
      <c r="F1444" s="41">
        <f t="shared" ca="1" si="53"/>
        <v>32922</v>
      </c>
    </row>
    <row r="1445" spans="1:10" ht="14.25" customHeight="1" x14ac:dyDescent="0.35">
      <c r="A1445" s="39" t="s">
        <v>14232</v>
      </c>
      <c r="B1445" s="40" t="str">
        <f ca="1">IFERROR(INDEX(UNSPSCDes,MATCH(INDIRECT(ADDRESS(ROW(),COLUMN()-1,4)),UNSPSCCode,0)),IF(INDIRECT(ADDRESS(ROW(),COLUMN()-1,4))="53103001","Camisetas (t-shirts)",""))</f>
        <v>Camisetas (t-shirts)</v>
      </c>
      <c r="C1445" s="72" t="str">
        <f>IFERROR(VLOOKUP("UD",'Informacion '!P:Q,2,FALSE),"")</f>
        <v>Unidad</v>
      </c>
      <c r="D1445" s="39">
        <v>10</v>
      </c>
      <c r="E1445" s="42">
        <v>613.55999999999995</v>
      </c>
      <c r="F1445" s="41">
        <f t="shared" ca="1" si="53"/>
        <v>6135.5999999999995</v>
      </c>
    </row>
    <row r="1446" spans="1:10" ht="14.25" customHeight="1" x14ac:dyDescent="0.35">
      <c r="A1446" s="39" t="s">
        <v>14232</v>
      </c>
      <c r="B1446" s="40" t="str">
        <f ca="1">IFERROR(INDEX(UNSPSCDes,MATCH(INDIRECT(ADDRESS(ROW(),COLUMN()-1,4)),UNSPSCCode,0)),IF(INDIRECT(ADDRESS(ROW(),COLUMN()-1,4))="53103001","Camisetas (t-shirts)",""))</f>
        <v>Camisetas (t-shirts)</v>
      </c>
      <c r="C1446" s="72" t="str">
        <f>IFERROR(VLOOKUP("UD",'Informacion '!P:Q,2,FALSE),"")</f>
        <v>Unidad</v>
      </c>
      <c r="D1446" s="39">
        <v>38</v>
      </c>
      <c r="E1446" s="42">
        <v>613.55999999999995</v>
      </c>
      <c r="F1446" s="41">
        <f t="shared" ca="1" si="53"/>
        <v>23315.279999999999</v>
      </c>
    </row>
    <row r="1447" spans="1:10" ht="14.25" customHeight="1" x14ac:dyDescent="0.35">
      <c r="E1447" s="44" t="s">
        <v>13122</v>
      </c>
      <c r="F1447" s="45">
        <f ca="1">SUM(Table88[MONTO TOTAL ESTIMADO])</f>
        <v>281110.88</v>
      </c>
      <c r="H1447" s="24" t="str">
        <f>C1429</f>
        <v>Bienes</v>
      </c>
      <c r="I1447" s="24" t="str">
        <f>E1429</f>
        <v>Sí</v>
      </c>
      <c r="J1447" s="24" t="str">
        <f>D1429</f>
        <v>Compras Menores</v>
      </c>
    </row>
    <row r="1449" spans="1:10" ht="34" customHeight="1" x14ac:dyDescent="0.35">
      <c r="A1449" s="36" t="s">
        <v>17105</v>
      </c>
      <c r="B1449" s="36" t="s">
        <v>167</v>
      </c>
      <c r="C1449" s="36" t="s">
        <v>12252</v>
      </c>
      <c r="D1449" s="36" t="s">
        <v>15021</v>
      </c>
      <c r="E1449" s="36" t="s">
        <v>11455</v>
      </c>
      <c r="F1449" s="36" t="s">
        <v>11595</v>
      </c>
    </row>
    <row r="1450" spans="1:10" ht="14.25" customHeight="1" x14ac:dyDescent="0.35">
      <c r="A1450" s="37" t="s">
        <v>15160</v>
      </c>
      <c r="B1450" s="37" t="s">
        <v>15160</v>
      </c>
      <c r="C1450" s="37" t="s">
        <v>18585</v>
      </c>
      <c r="D1450" s="37" t="s">
        <v>10634</v>
      </c>
      <c r="E1450" s="37" t="s">
        <v>9261</v>
      </c>
      <c r="F1450" s="37" t="s">
        <v>7088</v>
      </c>
    </row>
    <row r="1451" spans="1:10" ht="14.25" customHeight="1" x14ac:dyDescent="0.35">
      <c r="A1451" s="75" t="s">
        <v>15490</v>
      </c>
      <c r="B1451" s="38" t="s">
        <v>8918</v>
      </c>
      <c r="C1451" s="68">
        <v>45474</v>
      </c>
      <c r="D1451" s="75" t="s">
        <v>9819</v>
      </c>
      <c r="E1451" s="70" t="s">
        <v>13683</v>
      </c>
      <c r="F1451" s="71" t="s">
        <v>3205</v>
      </c>
    </row>
    <row r="1452" spans="1:10" ht="14.25" customHeight="1" x14ac:dyDescent="0.35">
      <c r="A1452" s="76"/>
      <c r="B1452" s="38" t="s">
        <v>1858</v>
      </c>
      <c r="C1452" s="69">
        <f>IF(C1451="","",IF(AND(MONTH(C1451)&gt;=1,MONTH(C1451)&lt;=3),1,IF(AND(MONTH(C1451)&gt;=4,MONTH(C1451)&lt;=6),2,IF(AND(MONTH(C1451)&gt;=7,MONTH(C1451)&lt;=9),3,4))))</f>
        <v>3</v>
      </c>
      <c r="D1452" s="76"/>
      <c r="E1452" s="70" t="s">
        <v>2509</v>
      </c>
      <c r="F1452" s="71" t="s">
        <v>11612</v>
      </c>
    </row>
    <row r="1453" spans="1:10" ht="14.25" customHeight="1" x14ac:dyDescent="0.35">
      <c r="A1453" s="76"/>
      <c r="B1453" s="38" t="s">
        <v>13526</v>
      </c>
      <c r="C1453" s="68">
        <v>45565</v>
      </c>
      <c r="D1453" s="76"/>
      <c r="E1453" s="70" t="s">
        <v>3198</v>
      </c>
      <c r="F1453" s="71" t="s">
        <v>11612</v>
      </c>
    </row>
    <row r="1454" spans="1:10" ht="14.25" customHeight="1" x14ac:dyDescent="0.35">
      <c r="A1454" s="76"/>
      <c r="B1454" s="38" t="s">
        <v>1858</v>
      </c>
      <c r="C1454" s="69">
        <f>IF(C1453="","",IF(AND(MONTH(C1453)&gt;=1,MONTH(C1453)&lt;=3),1,IF(AND(MONTH(C1453)&gt;=4,MONTH(C1453)&lt;=6),2,IF(AND(MONTH(C1453)&gt;=7,MONTH(C1453)&lt;=9),3,4))))</f>
        <v>3</v>
      </c>
      <c r="D1454" s="76"/>
      <c r="E1454" s="70" t="s">
        <v>13785</v>
      </c>
      <c r="F1454" s="71"/>
    </row>
    <row r="1456" spans="1:10" ht="14.25" customHeight="1" x14ac:dyDescent="0.35">
      <c r="A1456" s="43" t="s">
        <v>16424</v>
      </c>
      <c r="B1456" s="43" t="s">
        <v>16856</v>
      </c>
      <c r="C1456" s="43" t="s">
        <v>16326</v>
      </c>
      <c r="D1456" s="43" t="s">
        <v>15925</v>
      </c>
      <c r="E1456" s="43" t="s">
        <v>7248</v>
      </c>
      <c r="F1456" s="43" t="s">
        <v>15955</v>
      </c>
    </row>
    <row r="1457" spans="1:10" ht="14.25" customHeight="1" x14ac:dyDescent="0.35">
      <c r="A1457" s="39" t="s">
        <v>14232</v>
      </c>
      <c r="B1457" s="40" t="str">
        <f ca="1">IFERROR(INDEX(UNSPSCDes,MATCH(INDIRECT(ADDRESS(ROW(),COLUMN()-1,4)),UNSPSCCode,0)),IF(INDIRECT(ADDRESS(ROW(),COLUMN()-1,4))="53103001","Camisetas (t-shirts)",""))</f>
        <v>Camisetas (t-shirts)</v>
      </c>
      <c r="C1457" s="72" t="str">
        <f>IFERROR(VLOOKUP("UD",'Informacion '!P:Q,2,FALSE),"")</f>
        <v>Unidad</v>
      </c>
      <c r="D1457" s="39">
        <v>20</v>
      </c>
      <c r="E1457" s="42">
        <v>613.55999999999995</v>
      </c>
      <c r="F1457" s="41">
        <f ca="1">INDIRECT(ADDRESS(ROW(),COLUMN()-2,4))*INDIRECT(ADDRESS(ROW(),COLUMN()-1,4))</f>
        <v>12271.199999999999</v>
      </c>
    </row>
    <row r="1458" spans="1:10" ht="14.25" customHeight="1" x14ac:dyDescent="0.35">
      <c r="E1458" s="44" t="s">
        <v>13122</v>
      </c>
      <c r="F1458" s="45">
        <f ca="1">SUM(Table89[MONTO TOTAL ESTIMADO])</f>
        <v>12271.199999999999</v>
      </c>
      <c r="H1458" s="24" t="str">
        <f>C1450</f>
        <v>Bienes</v>
      </c>
      <c r="I1458" s="24" t="str">
        <f>E1450</f>
        <v>Sí</v>
      </c>
      <c r="J1458" s="24" t="str">
        <f>D1450</f>
        <v>Compras por debajo del Umbral</v>
      </c>
    </row>
    <row r="1460" spans="1:10" ht="34" customHeight="1" x14ac:dyDescent="0.35">
      <c r="A1460" s="36" t="s">
        <v>17105</v>
      </c>
      <c r="B1460" s="36" t="s">
        <v>167</v>
      </c>
      <c r="C1460" s="36" t="s">
        <v>12252</v>
      </c>
      <c r="D1460" s="36" t="s">
        <v>15021</v>
      </c>
      <c r="E1460" s="36" t="s">
        <v>11455</v>
      </c>
      <c r="F1460" s="36" t="s">
        <v>11595</v>
      </c>
    </row>
    <row r="1461" spans="1:10" ht="14.25" customHeight="1" x14ac:dyDescent="0.35">
      <c r="A1461" s="37" t="s">
        <v>15160</v>
      </c>
      <c r="B1461" s="37" t="s">
        <v>15160</v>
      </c>
      <c r="C1461" s="37" t="s">
        <v>18585</v>
      </c>
      <c r="D1461" s="37" t="s">
        <v>10634</v>
      </c>
      <c r="E1461" s="37" t="s">
        <v>9261</v>
      </c>
      <c r="F1461" s="37" t="s">
        <v>7088</v>
      </c>
    </row>
    <row r="1462" spans="1:10" ht="14.25" customHeight="1" x14ac:dyDescent="0.35">
      <c r="A1462" s="75" t="s">
        <v>15490</v>
      </c>
      <c r="B1462" s="38" t="s">
        <v>8918</v>
      </c>
      <c r="C1462" s="68">
        <v>45566</v>
      </c>
      <c r="D1462" s="75" t="s">
        <v>9819</v>
      </c>
      <c r="E1462" s="70" t="s">
        <v>13683</v>
      </c>
      <c r="F1462" s="71" t="s">
        <v>3205</v>
      </c>
    </row>
    <row r="1463" spans="1:10" ht="14.25" customHeight="1" x14ac:dyDescent="0.35">
      <c r="A1463" s="76"/>
      <c r="B1463" s="38" t="s">
        <v>1858</v>
      </c>
      <c r="C1463" s="69">
        <f>IF(C1462="","",IF(AND(MONTH(C1462)&gt;=1,MONTH(C1462)&lt;=3),1,IF(AND(MONTH(C1462)&gt;=4,MONTH(C1462)&lt;=6),2,IF(AND(MONTH(C1462)&gt;=7,MONTH(C1462)&lt;=9),3,4))))</f>
        <v>4</v>
      </c>
      <c r="D1463" s="76"/>
      <c r="E1463" s="70" t="s">
        <v>2509</v>
      </c>
      <c r="F1463" s="71" t="s">
        <v>11612</v>
      </c>
    </row>
    <row r="1464" spans="1:10" ht="14.25" customHeight="1" x14ac:dyDescent="0.35">
      <c r="A1464" s="76"/>
      <c r="B1464" s="38" t="s">
        <v>13526</v>
      </c>
      <c r="C1464" s="68">
        <v>45657</v>
      </c>
      <c r="D1464" s="76"/>
      <c r="E1464" s="70" t="s">
        <v>3198</v>
      </c>
      <c r="F1464" s="71" t="s">
        <v>11612</v>
      </c>
    </row>
    <row r="1465" spans="1:10" ht="14.25" customHeight="1" x14ac:dyDescent="0.35">
      <c r="A1465" s="76"/>
      <c r="B1465" s="38" t="s">
        <v>1858</v>
      </c>
      <c r="C1465" s="69">
        <f>IF(C1464="","",IF(AND(MONTH(C1464)&gt;=1,MONTH(C1464)&lt;=3),1,IF(AND(MONTH(C1464)&gt;=4,MONTH(C1464)&lt;=6),2,IF(AND(MONTH(C1464)&gt;=7,MONTH(C1464)&lt;=9),3,4))))</f>
        <v>4</v>
      </c>
      <c r="D1465" s="76"/>
      <c r="E1465" s="70" t="s">
        <v>13785</v>
      </c>
      <c r="F1465" s="71"/>
    </row>
    <row r="1467" spans="1:10" ht="14.25" customHeight="1" x14ac:dyDescent="0.35">
      <c r="A1467" s="43" t="s">
        <v>16424</v>
      </c>
      <c r="B1467" s="43" t="s">
        <v>16856</v>
      </c>
      <c r="C1467" s="43" t="s">
        <v>16326</v>
      </c>
      <c r="D1467" s="43" t="s">
        <v>15925</v>
      </c>
      <c r="E1467" s="43" t="s">
        <v>7248</v>
      </c>
      <c r="F1467" s="43" t="s">
        <v>15955</v>
      </c>
    </row>
    <row r="1468" spans="1:10" ht="14.25" customHeight="1" x14ac:dyDescent="0.35">
      <c r="A1468" s="39" t="s">
        <v>14232</v>
      </c>
      <c r="B1468" s="40" t="str">
        <f ca="1">IFERROR(INDEX(UNSPSCDes,MATCH(INDIRECT(ADDRESS(ROW(),COLUMN()-1,4)),UNSPSCCode,0)),IF(INDIRECT(ADDRESS(ROW(),COLUMN()-1,4))="53103001","Camisetas (t-shirts)",""))</f>
        <v>Camisetas (t-shirts)</v>
      </c>
      <c r="C1468" s="72" t="str">
        <f>IFERROR(VLOOKUP("UD",'Informacion '!P:Q,2,FALSE),"")</f>
        <v>Unidad</v>
      </c>
      <c r="D1468" s="39">
        <v>10</v>
      </c>
      <c r="E1468" s="42">
        <v>613.55999999999995</v>
      </c>
      <c r="F1468" s="41">
        <f ca="1">INDIRECT(ADDRESS(ROW(),COLUMN()-2,4))*INDIRECT(ADDRESS(ROW(),COLUMN()-1,4))</f>
        <v>6135.5999999999995</v>
      </c>
    </row>
    <row r="1469" spans="1:10" ht="14.25" customHeight="1" x14ac:dyDescent="0.35">
      <c r="E1469" s="44" t="s">
        <v>13122</v>
      </c>
      <c r="F1469" s="45">
        <f ca="1">SUM(Table90[MONTO TOTAL ESTIMADO])</f>
        <v>6135.5999999999995</v>
      </c>
      <c r="H1469" s="24" t="str">
        <f>C1461</f>
        <v>Bienes</v>
      </c>
      <c r="I1469" s="24" t="str">
        <f>E1461</f>
        <v>Sí</v>
      </c>
      <c r="J1469" s="24" t="str">
        <f>D1461</f>
        <v>Compras por debajo del Umbral</v>
      </c>
    </row>
    <row r="1471" spans="1:10" ht="34" customHeight="1" x14ac:dyDescent="0.35">
      <c r="A1471" s="36" t="s">
        <v>17105</v>
      </c>
      <c r="B1471" s="36" t="s">
        <v>167</v>
      </c>
      <c r="C1471" s="36" t="s">
        <v>12252</v>
      </c>
      <c r="D1471" s="36" t="s">
        <v>15021</v>
      </c>
      <c r="E1471" s="36" t="s">
        <v>11455</v>
      </c>
      <c r="F1471" s="36" t="s">
        <v>11595</v>
      </c>
    </row>
    <row r="1472" spans="1:10" ht="14.25" customHeight="1" x14ac:dyDescent="0.35">
      <c r="A1472" s="37" t="s">
        <v>13732</v>
      </c>
      <c r="B1472" s="37" t="s">
        <v>13732</v>
      </c>
      <c r="C1472" s="37" t="s">
        <v>7109</v>
      </c>
      <c r="D1472" s="37" t="s">
        <v>2615</v>
      </c>
      <c r="E1472" s="37" t="s">
        <v>18646</v>
      </c>
      <c r="F1472" s="37" t="s">
        <v>7088</v>
      </c>
    </row>
    <row r="1473" spans="1:10" ht="14.25" customHeight="1" x14ac:dyDescent="0.35">
      <c r="A1473" s="75" t="s">
        <v>15490</v>
      </c>
      <c r="B1473" s="38" t="s">
        <v>8918</v>
      </c>
      <c r="C1473" s="68">
        <v>45334</v>
      </c>
      <c r="D1473" s="75" t="s">
        <v>9819</v>
      </c>
      <c r="E1473" s="70" t="s">
        <v>13683</v>
      </c>
      <c r="F1473" s="71" t="s">
        <v>3205</v>
      </c>
    </row>
    <row r="1474" spans="1:10" ht="14.25" customHeight="1" x14ac:dyDescent="0.35">
      <c r="A1474" s="76"/>
      <c r="B1474" s="38" t="s">
        <v>1858</v>
      </c>
      <c r="C1474" s="69">
        <f>IF(C1473="","",IF(AND(MONTH(C1473)&gt;=1,MONTH(C1473)&lt;=3),1,IF(AND(MONTH(C1473)&gt;=4,MONTH(C1473)&lt;=6),2,IF(AND(MONTH(C1473)&gt;=7,MONTH(C1473)&lt;=9),3,4))))</f>
        <v>1</v>
      </c>
      <c r="D1474" s="76"/>
      <c r="E1474" s="70" t="s">
        <v>2509</v>
      </c>
      <c r="F1474" s="71" t="s">
        <v>11612</v>
      </c>
    </row>
    <row r="1475" spans="1:10" ht="14.25" customHeight="1" x14ac:dyDescent="0.35">
      <c r="A1475" s="76"/>
      <c r="B1475" s="38" t="s">
        <v>13526</v>
      </c>
      <c r="C1475" s="68">
        <v>45380</v>
      </c>
      <c r="D1475" s="76"/>
      <c r="E1475" s="70" t="s">
        <v>3198</v>
      </c>
      <c r="F1475" s="71" t="s">
        <v>11612</v>
      </c>
    </row>
    <row r="1476" spans="1:10" ht="14.25" customHeight="1" x14ac:dyDescent="0.35">
      <c r="A1476" s="76"/>
      <c r="B1476" s="38" t="s">
        <v>1858</v>
      </c>
      <c r="C1476" s="69">
        <f>IF(C1475="","",IF(AND(MONTH(C1475)&gt;=1,MONTH(C1475)&lt;=3),1,IF(AND(MONTH(C1475)&gt;=4,MONTH(C1475)&lt;=6),2,IF(AND(MONTH(C1475)&gt;=7,MONTH(C1475)&lt;=9),3,4))))</f>
        <v>1</v>
      </c>
      <c r="D1476" s="76"/>
      <c r="E1476" s="70" t="s">
        <v>13785</v>
      </c>
      <c r="F1476" s="71"/>
    </row>
    <row r="1478" spans="1:10" ht="14.25" customHeight="1" x14ac:dyDescent="0.35">
      <c r="A1478" s="43" t="s">
        <v>16424</v>
      </c>
      <c r="B1478" s="43" t="s">
        <v>16856</v>
      </c>
      <c r="C1478" s="43" t="s">
        <v>16326</v>
      </c>
      <c r="D1478" s="43" t="s">
        <v>15925</v>
      </c>
      <c r="E1478" s="43" t="s">
        <v>7248</v>
      </c>
      <c r="F1478" s="43" t="s">
        <v>15955</v>
      </c>
    </row>
    <row r="1479" spans="1:10" ht="14.25" customHeight="1" x14ac:dyDescent="0.35">
      <c r="A1479" s="39" t="s">
        <v>3387</v>
      </c>
      <c r="B1479" s="40" t="str">
        <f ca="1">IFERROR(INDEX(UNSPSCDes,MATCH(INDIRECT(ADDRESS(ROW(),COLUMN()-1,4)),UNSPSCCode,0)),IF(INDIRECT(ADDRESS(ROW(),COLUMN()-1,4))="43231512","Software de manejo de licencias",""))</f>
        <v>Software de manejo de licencias</v>
      </c>
      <c r="C1479" s="72" t="str">
        <f>IFERROR(VLOOKUP("UD",'Informacion '!P:Q,2,FALSE),"")</f>
        <v>Unidad</v>
      </c>
      <c r="D1479" s="39">
        <v>1</v>
      </c>
      <c r="E1479" s="42">
        <v>1539870</v>
      </c>
      <c r="F1479" s="41">
        <f ca="1">INDIRECT(ADDRESS(ROW(),COLUMN()-2,4))*INDIRECT(ADDRESS(ROW(),COLUMN()-1,4))</f>
        <v>1539870</v>
      </c>
    </row>
    <row r="1480" spans="1:10" ht="14.25" customHeight="1" x14ac:dyDescent="0.35">
      <c r="A1480" s="39" t="s">
        <v>3387</v>
      </c>
      <c r="B1480" s="40" t="str">
        <f ca="1">IFERROR(INDEX(UNSPSCDes,MATCH(INDIRECT(ADDRESS(ROW(),COLUMN()-1,4)),UNSPSCCode,0)),IF(INDIRECT(ADDRESS(ROW(),COLUMN()-1,4))="43231512","Software de manejo de licencias",""))</f>
        <v>Software de manejo de licencias</v>
      </c>
      <c r="C1480" s="72" t="str">
        <f>IFERROR(VLOOKUP("UD",'Informacion '!P:Q,2,FALSE),"")</f>
        <v>Unidad</v>
      </c>
      <c r="D1480" s="39">
        <v>1</v>
      </c>
      <c r="E1480" s="42">
        <v>12000000</v>
      </c>
      <c r="F1480" s="41">
        <f ca="1">INDIRECT(ADDRESS(ROW(),COLUMN()-2,4))*INDIRECT(ADDRESS(ROW(),COLUMN()-1,4))</f>
        <v>12000000</v>
      </c>
    </row>
    <row r="1481" spans="1:10" ht="14.25" customHeight="1" x14ac:dyDescent="0.35">
      <c r="A1481" s="39" t="s">
        <v>3387</v>
      </c>
      <c r="B1481" s="40" t="str">
        <f ca="1">IFERROR(INDEX(UNSPSCDes,MATCH(INDIRECT(ADDRESS(ROW(),COLUMN()-1,4)),UNSPSCCode,0)),IF(INDIRECT(ADDRESS(ROW(),COLUMN()-1,4))="43231512","Software de manejo de licencias",""))</f>
        <v>Software de manejo de licencias</v>
      </c>
      <c r="C1481" s="72" t="str">
        <f>IFERROR(VLOOKUP("UD",'Informacion '!P:Q,2,FALSE),"")</f>
        <v>Unidad</v>
      </c>
      <c r="D1481" s="39">
        <v>3</v>
      </c>
      <c r="E1481" s="42">
        <v>500000</v>
      </c>
      <c r="F1481" s="41">
        <f ca="1">INDIRECT(ADDRESS(ROW(),COLUMN()-2,4))*INDIRECT(ADDRESS(ROW(),COLUMN()-1,4))</f>
        <v>1500000</v>
      </c>
    </row>
    <row r="1482" spans="1:10" ht="14.25" customHeight="1" x14ac:dyDescent="0.35">
      <c r="E1482" s="44" t="s">
        <v>13122</v>
      </c>
      <c r="F1482" s="45">
        <f ca="1">SUM(Table91[MONTO TOTAL ESTIMADO])</f>
        <v>15039870</v>
      </c>
      <c r="H1482" s="24" t="str">
        <f>C1472</f>
        <v>Servicios</v>
      </c>
      <c r="I1482" s="24" t="str">
        <f>E1472</f>
        <v>No</v>
      </c>
      <c r="J1482" s="24" t="str">
        <f>D1472</f>
        <v>Licitacion Publica</v>
      </c>
    </row>
    <row r="1484" spans="1:10" ht="34" customHeight="1" x14ac:dyDescent="0.35">
      <c r="A1484" s="36" t="s">
        <v>17105</v>
      </c>
      <c r="B1484" s="36" t="s">
        <v>167</v>
      </c>
      <c r="C1484" s="36" t="s">
        <v>12252</v>
      </c>
      <c r="D1484" s="36" t="s">
        <v>15021</v>
      </c>
      <c r="E1484" s="36" t="s">
        <v>11455</v>
      </c>
      <c r="F1484" s="36" t="s">
        <v>11595</v>
      </c>
    </row>
    <row r="1485" spans="1:10" ht="14.25" customHeight="1" x14ac:dyDescent="0.35">
      <c r="A1485" s="37" t="s">
        <v>13732</v>
      </c>
      <c r="B1485" s="37" t="s">
        <v>13732</v>
      </c>
      <c r="C1485" s="37" t="s">
        <v>7109</v>
      </c>
      <c r="D1485" s="37" t="s">
        <v>2615</v>
      </c>
      <c r="E1485" s="37" t="s">
        <v>18646</v>
      </c>
      <c r="F1485" s="37" t="s">
        <v>7088</v>
      </c>
    </row>
    <row r="1486" spans="1:10" ht="14.25" customHeight="1" x14ac:dyDescent="0.35">
      <c r="A1486" s="75" t="s">
        <v>15490</v>
      </c>
      <c r="B1486" s="38" t="s">
        <v>8918</v>
      </c>
      <c r="C1486" s="68">
        <v>45383</v>
      </c>
      <c r="D1486" s="75" t="s">
        <v>9819</v>
      </c>
      <c r="E1486" s="70" t="s">
        <v>13683</v>
      </c>
      <c r="F1486" s="71" t="s">
        <v>3205</v>
      </c>
    </row>
    <row r="1487" spans="1:10" ht="14.25" customHeight="1" x14ac:dyDescent="0.35">
      <c r="A1487" s="76"/>
      <c r="B1487" s="38" t="s">
        <v>1858</v>
      </c>
      <c r="C1487" s="69">
        <f>IF(C1486="","",IF(AND(MONTH(C1486)&gt;=1,MONTH(C1486)&lt;=3),1,IF(AND(MONTH(C1486)&gt;=4,MONTH(C1486)&lt;=6),2,IF(AND(MONTH(C1486)&gt;=7,MONTH(C1486)&lt;=9),3,4))))</f>
        <v>2</v>
      </c>
      <c r="D1487" s="76"/>
      <c r="E1487" s="70" t="s">
        <v>2509</v>
      </c>
      <c r="F1487" s="71" t="s">
        <v>11612</v>
      </c>
    </row>
    <row r="1488" spans="1:10" ht="14.25" customHeight="1" x14ac:dyDescent="0.35">
      <c r="A1488" s="76"/>
      <c r="B1488" s="38" t="s">
        <v>13526</v>
      </c>
      <c r="C1488" s="68">
        <v>45471</v>
      </c>
      <c r="D1488" s="76"/>
      <c r="E1488" s="70" t="s">
        <v>3198</v>
      </c>
      <c r="F1488" s="71" t="s">
        <v>11612</v>
      </c>
    </row>
    <row r="1489" spans="1:10" ht="14.25" customHeight="1" x14ac:dyDescent="0.35">
      <c r="A1489" s="76"/>
      <c r="B1489" s="38" t="s">
        <v>1858</v>
      </c>
      <c r="C1489" s="69">
        <f>IF(C1488="","",IF(AND(MONTH(C1488)&gt;=1,MONTH(C1488)&lt;=3),1,IF(AND(MONTH(C1488)&gt;=4,MONTH(C1488)&lt;=6),2,IF(AND(MONTH(C1488)&gt;=7,MONTH(C1488)&lt;=9),3,4))))</f>
        <v>2</v>
      </c>
      <c r="D1489" s="76"/>
      <c r="E1489" s="70" t="s">
        <v>13785</v>
      </c>
      <c r="F1489" s="71"/>
    </row>
    <row r="1491" spans="1:10" ht="14.25" customHeight="1" x14ac:dyDescent="0.35">
      <c r="A1491" s="43" t="s">
        <v>16424</v>
      </c>
      <c r="B1491" s="43" t="s">
        <v>16856</v>
      </c>
      <c r="C1491" s="43" t="s">
        <v>16326</v>
      </c>
      <c r="D1491" s="43" t="s">
        <v>15925</v>
      </c>
      <c r="E1491" s="43" t="s">
        <v>7248</v>
      </c>
      <c r="F1491" s="43" t="s">
        <v>15955</v>
      </c>
    </row>
    <row r="1492" spans="1:10" ht="14.25" customHeight="1" x14ac:dyDescent="0.35">
      <c r="A1492" s="39" t="s">
        <v>3387</v>
      </c>
      <c r="B1492" s="40" t="str">
        <f ca="1">IFERROR(INDEX(UNSPSCDes,MATCH(INDIRECT(ADDRESS(ROW(),COLUMN()-1,4)),UNSPSCCode,0)),IF(INDIRECT(ADDRESS(ROW(),COLUMN()-1,4))="43231512","Software de manejo de licencias",""))</f>
        <v>Software de manejo de licencias</v>
      </c>
      <c r="C1492" s="72" t="str">
        <f>IFERROR(VLOOKUP("PAQ",'Informacion '!P:Q,2,FALSE),"")</f>
        <v>Paquete</v>
      </c>
      <c r="D1492" s="39">
        <v>1</v>
      </c>
      <c r="E1492" s="42">
        <v>3726090</v>
      </c>
      <c r="F1492" s="41">
        <f ca="1">INDIRECT(ADDRESS(ROW(),COLUMN()-2,4))*INDIRECT(ADDRESS(ROW(),COLUMN()-1,4))</f>
        <v>3726090</v>
      </c>
    </row>
    <row r="1493" spans="1:10" ht="14.25" customHeight="1" x14ac:dyDescent="0.35">
      <c r="A1493" s="39" t="s">
        <v>3387</v>
      </c>
      <c r="B1493" s="40" t="str">
        <f ca="1">IFERROR(INDEX(UNSPSCDes,MATCH(INDIRECT(ADDRESS(ROW(),COLUMN()-1,4)),UNSPSCCode,0)),IF(INDIRECT(ADDRESS(ROW(),COLUMN()-1,4))="43231512","Software de manejo de licencias",""))</f>
        <v>Software de manejo de licencias</v>
      </c>
      <c r="C1493" s="72" t="str">
        <f>IFERROR(VLOOKUP("PAQ",'Informacion '!P:Q,2,FALSE),"")</f>
        <v>Paquete</v>
      </c>
      <c r="D1493" s="39">
        <v>1</v>
      </c>
      <c r="E1493" s="42">
        <v>22782765</v>
      </c>
      <c r="F1493" s="41">
        <f ca="1">INDIRECT(ADDRESS(ROW(),COLUMN()-2,4))*INDIRECT(ADDRESS(ROW(),COLUMN()-1,4))</f>
        <v>22782765</v>
      </c>
    </row>
    <row r="1494" spans="1:10" ht="14.25" customHeight="1" x14ac:dyDescent="0.35">
      <c r="A1494" s="39" t="s">
        <v>3093</v>
      </c>
      <c r="B1494" s="40" t="str">
        <f ca="1">IFERROR(INDEX(UNSPSCDes,MATCH(INDIRECT(ADDRESS(ROW(),COLUMN()-1,4)),UNSPSCCode,0)),IF(INDIRECT(ADDRESS(ROW(),COLUMN()-1,4))="43232907","Software de almacenamiento de red",""))</f>
        <v>Software de almacenamiento de red</v>
      </c>
      <c r="C1494" s="72" t="str">
        <f>IFERROR(VLOOKUP("UD",'Informacion '!P:Q,2,FALSE),"")</f>
        <v>Unidad</v>
      </c>
      <c r="D1494" s="39">
        <v>1</v>
      </c>
      <c r="E1494" s="42">
        <v>2895661</v>
      </c>
      <c r="F1494" s="41">
        <f ca="1">INDIRECT(ADDRESS(ROW(),COLUMN()-2,4))*INDIRECT(ADDRESS(ROW(),COLUMN()-1,4))</f>
        <v>2895661</v>
      </c>
    </row>
    <row r="1495" spans="1:10" ht="14.25" customHeight="1" x14ac:dyDescent="0.35">
      <c r="E1495" s="44" t="s">
        <v>13122</v>
      </c>
      <c r="F1495" s="45">
        <f ca="1">SUM(Table92[MONTO TOTAL ESTIMADO])</f>
        <v>29404516</v>
      </c>
      <c r="H1495" s="24" t="str">
        <f>C1485</f>
        <v>Servicios</v>
      </c>
      <c r="I1495" s="24" t="str">
        <f>E1485</f>
        <v>No</v>
      </c>
      <c r="J1495" s="24" t="str">
        <f>D1485</f>
        <v>Licitacion Publica</v>
      </c>
    </row>
    <row r="1497" spans="1:10" ht="34" customHeight="1" x14ac:dyDescent="0.35">
      <c r="A1497" s="36" t="s">
        <v>17105</v>
      </c>
      <c r="B1497" s="36" t="s">
        <v>167</v>
      </c>
      <c r="C1497" s="36" t="s">
        <v>12252</v>
      </c>
      <c r="D1497" s="36" t="s">
        <v>15021</v>
      </c>
      <c r="E1497" s="36" t="s">
        <v>11455</v>
      </c>
      <c r="F1497" s="36" t="s">
        <v>11595</v>
      </c>
    </row>
    <row r="1498" spans="1:10" ht="14.25" customHeight="1" x14ac:dyDescent="0.35">
      <c r="A1498" s="37" t="s">
        <v>16575</v>
      </c>
      <c r="B1498" s="37" t="s">
        <v>16575</v>
      </c>
      <c r="C1498" s="37" t="s">
        <v>18585</v>
      </c>
      <c r="D1498" s="37" t="s">
        <v>18256</v>
      </c>
      <c r="E1498" s="37" t="s">
        <v>9261</v>
      </c>
      <c r="F1498" s="37" t="s">
        <v>7088</v>
      </c>
    </row>
    <row r="1499" spans="1:10" ht="14.25" customHeight="1" x14ac:dyDescent="0.35">
      <c r="A1499" s="75" t="s">
        <v>15490</v>
      </c>
      <c r="B1499" s="38" t="s">
        <v>8918</v>
      </c>
      <c r="C1499" s="68">
        <v>45334</v>
      </c>
      <c r="D1499" s="75" t="s">
        <v>9819</v>
      </c>
      <c r="E1499" s="70" t="s">
        <v>13683</v>
      </c>
      <c r="F1499" s="71" t="s">
        <v>3205</v>
      </c>
    </row>
    <row r="1500" spans="1:10" ht="14.25" customHeight="1" x14ac:dyDescent="0.35">
      <c r="A1500" s="76"/>
      <c r="B1500" s="38" t="s">
        <v>1858</v>
      </c>
      <c r="C1500" s="69">
        <f>IF(C1499="","",IF(AND(MONTH(C1499)&gt;=1,MONTH(C1499)&lt;=3),1,IF(AND(MONTH(C1499)&gt;=4,MONTH(C1499)&lt;=6),2,IF(AND(MONTH(C1499)&gt;=7,MONTH(C1499)&lt;=9),3,4))))</f>
        <v>1</v>
      </c>
      <c r="D1500" s="76"/>
      <c r="E1500" s="70" t="s">
        <v>2509</v>
      </c>
      <c r="F1500" s="71" t="s">
        <v>11612</v>
      </c>
    </row>
    <row r="1501" spans="1:10" ht="14.25" customHeight="1" x14ac:dyDescent="0.35">
      <c r="A1501" s="76"/>
      <c r="B1501" s="38" t="s">
        <v>13526</v>
      </c>
      <c r="C1501" s="68">
        <v>45380</v>
      </c>
      <c r="D1501" s="76"/>
      <c r="E1501" s="70" t="s">
        <v>3198</v>
      </c>
      <c r="F1501" s="71" t="s">
        <v>11612</v>
      </c>
    </row>
    <row r="1502" spans="1:10" ht="14.25" customHeight="1" x14ac:dyDescent="0.35">
      <c r="A1502" s="76"/>
      <c r="B1502" s="38" t="s">
        <v>1858</v>
      </c>
      <c r="C1502" s="69">
        <f>IF(C1501="","",IF(AND(MONTH(C1501)&gt;=1,MONTH(C1501)&lt;=3),1,IF(AND(MONTH(C1501)&gt;=4,MONTH(C1501)&lt;=6),2,IF(AND(MONTH(C1501)&gt;=7,MONTH(C1501)&lt;=9),3,4))))</f>
        <v>1</v>
      </c>
      <c r="D1502" s="76"/>
      <c r="E1502" s="70" t="s">
        <v>13785</v>
      </c>
      <c r="F1502" s="71"/>
    </row>
    <row r="1504" spans="1:10" ht="14.25" customHeight="1" x14ac:dyDescent="0.35">
      <c r="A1504" s="43" t="s">
        <v>16424</v>
      </c>
      <c r="B1504" s="43" t="s">
        <v>16856</v>
      </c>
      <c r="C1504" s="43" t="s">
        <v>16326</v>
      </c>
      <c r="D1504" s="43" t="s">
        <v>15925</v>
      </c>
      <c r="E1504" s="43" t="s">
        <v>7248</v>
      </c>
      <c r="F1504" s="43" t="s">
        <v>15955</v>
      </c>
    </row>
    <row r="1505" spans="1:6" ht="14.25" customHeight="1" x14ac:dyDescent="0.35">
      <c r="A1505" s="39" t="s">
        <v>4546</v>
      </c>
      <c r="B1505" s="40" t="str">
        <f ca="1">IFERROR(INDEX(UNSPSCDes,MATCH(INDIRECT(ADDRESS(ROW(),COLUMN()-1,4)),UNSPSCCode,0)),IF(INDIRECT(ADDRESS(ROW(),COLUMN()-1,4))="44101716","Unidades de perforación de orificios",""))</f>
        <v>Unidades de perforación de orificios</v>
      </c>
      <c r="C1505" s="72" t="str">
        <f>IFERROR(VLOOKUP("UD",'Informacion '!P:Q,2,FALSE),"")</f>
        <v>Unidad</v>
      </c>
      <c r="D1505" s="39">
        <v>5</v>
      </c>
      <c r="E1505" s="42">
        <v>935</v>
      </c>
      <c r="F1505" s="41">
        <f t="shared" ref="F1505:F1536" ca="1" si="54">INDIRECT(ADDRESS(ROW(),COLUMN()-2,4))*INDIRECT(ADDRESS(ROW(),COLUMN()-1,4))</f>
        <v>4675</v>
      </c>
    </row>
    <row r="1506" spans="1:6" ht="14.25" customHeight="1" x14ac:dyDescent="0.35">
      <c r="A1506" s="39" t="s">
        <v>5290</v>
      </c>
      <c r="B1506" s="40" t="str">
        <f ca="1">IFERROR(INDEX(UNSPSCDes,MATCH(INDIRECT(ADDRESS(ROW(),COLUMN()-1,4)),UNSPSCCode,0)),IF(INDIRECT(ADDRESS(ROW(),COLUMN()-1,4))="44103504","Alambres o espirales de encuadernación",""))</f>
        <v>Alambres o espirales de encuadernación</v>
      </c>
      <c r="C1506" s="72" t="str">
        <f>IFERROR(VLOOKUP("DOC",'Informacion '!P:Q,2,FALSE),"")</f>
        <v>Docena</v>
      </c>
      <c r="D1506" s="39">
        <v>21</v>
      </c>
      <c r="E1506" s="42">
        <v>15.8</v>
      </c>
      <c r="F1506" s="41">
        <f t="shared" ca="1" si="54"/>
        <v>331.8</v>
      </c>
    </row>
    <row r="1507" spans="1:6" ht="14.25" customHeight="1" x14ac:dyDescent="0.35">
      <c r="A1507" s="39" t="s">
        <v>5290</v>
      </c>
      <c r="B1507" s="40" t="str">
        <f ca="1">IFERROR(INDEX(UNSPSCDes,MATCH(INDIRECT(ADDRESS(ROW(),COLUMN()-1,4)),UNSPSCCode,0)),IF(INDIRECT(ADDRESS(ROW(),COLUMN()-1,4))="44103504","Alambres o espirales de encuadernación",""))</f>
        <v>Alambres o espirales de encuadernación</v>
      </c>
      <c r="C1507" s="72" t="str">
        <f>IFERROR(VLOOKUP("DOC",'Informacion '!P:Q,2,FALSE),"")</f>
        <v>Docena</v>
      </c>
      <c r="D1507" s="39">
        <v>21</v>
      </c>
      <c r="E1507" s="42">
        <v>31.87</v>
      </c>
      <c r="F1507" s="41">
        <f t="shared" ca="1" si="54"/>
        <v>669.27</v>
      </c>
    </row>
    <row r="1508" spans="1:6" ht="14.25" customHeight="1" x14ac:dyDescent="0.35">
      <c r="A1508" s="39" t="s">
        <v>10628</v>
      </c>
      <c r="B1508" s="40" t="str">
        <f ca="1">IFERROR(INDEX(UNSPSCDes,MATCH(INDIRECT(ADDRESS(ROW(),COLUMN()-1,4)),UNSPSCCode,0)),IF(INDIRECT(ADDRESS(ROW(),COLUMN()-1,4))="44111611","Clips para billetes",""))</f>
        <v>Clips para billetes</v>
      </c>
      <c r="C1508" s="72" t="str">
        <f>IFERROR(VLOOKUP("UD",'Informacion '!P:Q,2,FALSE),"")</f>
        <v>Unidad</v>
      </c>
      <c r="D1508" s="39">
        <v>120</v>
      </c>
      <c r="E1508" s="42">
        <v>80.900000000000006</v>
      </c>
      <c r="F1508" s="41">
        <f t="shared" ca="1" si="54"/>
        <v>9708</v>
      </c>
    </row>
    <row r="1509" spans="1:6" ht="14.25" customHeight="1" x14ac:dyDescent="0.35">
      <c r="A1509" s="39" t="s">
        <v>10628</v>
      </c>
      <c r="B1509" s="40" t="str">
        <f ca="1">IFERROR(INDEX(UNSPSCDes,MATCH(INDIRECT(ADDRESS(ROW(),COLUMN()-1,4)),UNSPSCCode,0)),IF(INDIRECT(ADDRESS(ROW(),COLUMN()-1,4))="44111611","Clips para billetes",""))</f>
        <v>Clips para billetes</v>
      </c>
      <c r="C1509" s="72" t="str">
        <f>IFERROR(VLOOKUP("UD",'Informacion '!P:Q,2,FALSE),"")</f>
        <v>Unidad</v>
      </c>
      <c r="D1509" s="39">
        <v>75</v>
      </c>
      <c r="E1509" s="42">
        <v>25</v>
      </c>
      <c r="F1509" s="41">
        <f t="shared" ca="1" si="54"/>
        <v>1875</v>
      </c>
    </row>
    <row r="1510" spans="1:6" ht="14.25" customHeight="1" x14ac:dyDescent="0.35">
      <c r="A1510" s="39" t="s">
        <v>10628</v>
      </c>
      <c r="B1510" s="40" t="str">
        <f ca="1">IFERROR(INDEX(UNSPSCDes,MATCH(INDIRECT(ADDRESS(ROW(),COLUMN()-1,4)),UNSPSCCode,0)),IF(INDIRECT(ADDRESS(ROW(),COLUMN()-1,4))="44111611","Clips para billetes",""))</f>
        <v>Clips para billetes</v>
      </c>
      <c r="C1510" s="72" t="str">
        <f>IFERROR(VLOOKUP("UD",'Informacion '!P:Q,2,FALSE),"")</f>
        <v>Unidad</v>
      </c>
      <c r="D1510" s="39">
        <v>50</v>
      </c>
      <c r="E1510" s="42">
        <v>34.9</v>
      </c>
      <c r="F1510" s="41">
        <f t="shared" ca="1" si="54"/>
        <v>1745</v>
      </c>
    </row>
    <row r="1511" spans="1:6" ht="14.25" customHeight="1" x14ac:dyDescent="0.35">
      <c r="A1511" s="39" t="s">
        <v>10628</v>
      </c>
      <c r="B1511" s="40" t="str">
        <f ca="1">IFERROR(INDEX(UNSPSCDes,MATCH(INDIRECT(ADDRESS(ROW(),COLUMN()-1,4)),UNSPSCCode,0)),IF(INDIRECT(ADDRESS(ROW(),COLUMN()-1,4))="44111611","Clips para billetes",""))</f>
        <v>Clips para billetes</v>
      </c>
      <c r="C1511" s="72" t="str">
        <f>IFERROR(VLOOKUP("CAJ",'Informacion '!P:Q,2,FALSE),"")</f>
        <v>Caja</v>
      </c>
      <c r="D1511" s="39">
        <v>75</v>
      </c>
      <c r="E1511" s="42">
        <v>8.23</v>
      </c>
      <c r="F1511" s="41">
        <f t="shared" ca="1" si="54"/>
        <v>617.25</v>
      </c>
    </row>
    <row r="1512" spans="1:6" ht="14.25" customHeight="1" x14ac:dyDescent="0.35">
      <c r="A1512" s="39" t="s">
        <v>9252</v>
      </c>
      <c r="B1512" s="40" t="str">
        <f ca="1">IFERROR(INDEX(UNSPSCDes,MATCH(INDIRECT(ADDRESS(ROW(),COLUMN()-1,4)),UNSPSCCode,0)),IF(INDIRECT(ADDRESS(ROW(),COLUMN()-1,4))="44111808","Reglas t",""))</f>
        <v>Reglas t</v>
      </c>
      <c r="C1512" s="72" t="str">
        <f>IFERROR(VLOOKUP("UD",'Informacion '!P:Q,2,FALSE),"")</f>
        <v>Unidad</v>
      </c>
      <c r="D1512" s="39">
        <v>30</v>
      </c>
      <c r="E1512" s="42">
        <v>5.6</v>
      </c>
      <c r="F1512" s="41">
        <f t="shared" ca="1" si="54"/>
        <v>168</v>
      </c>
    </row>
    <row r="1513" spans="1:6" ht="14.25" customHeight="1" x14ac:dyDescent="0.35">
      <c r="A1513" s="39" t="s">
        <v>1909</v>
      </c>
      <c r="B1513" s="40" t="str">
        <f ca="1">IFERROR(INDEX(UNSPSCDes,MATCH(INDIRECT(ADDRESS(ROW(),COLUMN()-1,4)),UNSPSCCode,0)),IF(INDIRECT(ADDRESS(ROW(),COLUMN()-1,4))="44111905","Tableros de borrado en seco o accesorios",""))</f>
        <v>Tableros de borrado en seco o accesorios</v>
      </c>
      <c r="C1513" s="72" t="str">
        <f>IFERROR(VLOOKUP("UD",'Informacion '!P:Q,2,FALSE),"")</f>
        <v>Unidad</v>
      </c>
      <c r="D1513" s="39">
        <v>2</v>
      </c>
      <c r="E1513" s="42">
        <v>5900</v>
      </c>
      <c r="F1513" s="41">
        <f t="shared" ca="1" si="54"/>
        <v>11800</v>
      </c>
    </row>
    <row r="1514" spans="1:6" ht="14.25" customHeight="1" x14ac:dyDescent="0.35">
      <c r="A1514" s="39" t="s">
        <v>1909</v>
      </c>
      <c r="B1514" s="40" t="str">
        <f ca="1">IFERROR(INDEX(UNSPSCDes,MATCH(INDIRECT(ADDRESS(ROW(),COLUMN()-1,4)),UNSPSCCode,0)),IF(INDIRECT(ADDRESS(ROW(),COLUMN()-1,4))="44111905","Tableros de borrado en seco o accesorios",""))</f>
        <v>Tableros de borrado en seco o accesorios</v>
      </c>
      <c r="C1514" s="72" t="str">
        <f>IFERROR(VLOOKUP("UD",'Informacion '!P:Q,2,FALSE),"")</f>
        <v>Unidad</v>
      </c>
      <c r="D1514" s="39">
        <v>1</v>
      </c>
      <c r="E1514" s="42">
        <v>944</v>
      </c>
      <c r="F1514" s="41">
        <f t="shared" ca="1" si="54"/>
        <v>944</v>
      </c>
    </row>
    <row r="1515" spans="1:6" ht="14.25" customHeight="1" x14ac:dyDescent="0.35">
      <c r="A1515" s="39" t="s">
        <v>12198</v>
      </c>
      <c r="B1515" s="40" t="str">
        <f ca="1">IFERROR(INDEX(UNSPSCDes,MATCH(INDIRECT(ADDRESS(ROW(),COLUMN()-1,4)),UNSPSCCode,0)),IF(INDIRECT(ADDRESS(ROW(),COLUMN()-1,4))="44112005","Libretas de citas o repuestos",""))</f>
        <v>Libretas de citas o repuestos</v>
      </c>
      <c r="C1515" s="72" t="str">
        <f>IFERROR(VLOOKUP("UD",'Informacion '!P:Q,2,FALSE),"")</f>
        <v>Unidad</v>
      </c>
      <c r="D1515" s="39">
        <v>210</v>
      </c>
      <c r="E1515" s="42">
        <v>218.3</v>
      </c>
      <c r="F1515" s="41">
        <f t="shared" ca="1" si="54"/>
        <v>45843</v>
      </c>
    </row>
    <row r="1516" spans="1:6" ht="14.25" customHeight="1" x14ac:dyDescent="0.35">
      <c r="A1516" s="39" t="s">
        <v>12198</v>
      </c>
      <c r="B1516" s="40" t="str">
        <f ca="1">IFERROR(INDEX(UNSPSCDes,MATCH(INDIRECT(ADDRESS(ROW(),COLUMN()-1,4)),UNSPSCCode,0)),IF(INDIRECT(ADDRESS(ROW(),COLUMN()-1,4))="44112005","Libretas de citas o repuestos",""))</f>
        <v>Libretas de citas o repuestos</v>
      </c>
      <c r="C1516" s="72" t="str">
        <f>IFERROR(VLOOKUP("UD",'Informacion '!P:Q,2,FALSE),"")</f>
        <v>Unidad</v>
      </c>
      <c r="D1516" s="39">
        <v>50</v>
      </c>
      <c r="E1516" s="42">
        <v>29.99</v>
      </c>
      <c r="F1516" s="41">
        <f t="shared" ca="1" si="54"/>
        <v>1499.5</v>
      </c>
    </row>
    <row r="1517" spans="1:6" ht="14.25" customHeight="1" x14ac:dyDescent="0.35">
      <c r="A1517" s="39" t="s">
        <v>12198</v>
      </c>
      <c r="B1517" s="40" t="str">
        <f ca="1">IFERROR(INDEX(UNSPSCDes,MATCH(INDIRECT(ADDRESS(ROW(),COLUMN()-1,4)),UNSPSCCode,0)),IF(INDIRECT(ADDRESS(ROW(),COLUMN()-1,4))="44112005","Libretas de citas o repuestos",""))</f>
        <v>Libretas de citas o repuestos</v>
      </c>
      <c r="C1517" s="72" t="str">
        <f>IFERROR(VLOOKUP("UD",'Informacion '!P:Q,2,FALSE),"")</f>
        <v>Unidad</v>
      </c>
      <c r="D1517" s="39">
        <v>70</v>
      </c>
      <c r="E1517" s="42">
        <v>466.1</v>
      </c>
      <c r="F1517" s="41">
        <f t="shared" ca="1" si="54"/>
        <v>32627</v>
      </c>
    </row>
    <row r="1518" spans="1:6" ht="14.25" customHeight="1" x14ac:dyDescent="0.35">
      <c r="A1518" s="39" t="s">
        <v>12198</v>
      </c>
      <c r="B1518" s="40" t="str">
        <f ca="1">IFERROR(INDEX(UNSPSCDes,MATCH(INDIRECT(ADDRESS(ROW(),COLUMN()-1,4)),UNSPSCCode,0)),IF(INDIRECT(ADDRESS(ROW(),COLUMN()-1,4))="44112005","Libretas de citas o repuestos",""))</f>
        <v>Libretas de citas o repuestos</v>
      </c>
      <c r="C1518" s="72" t="str">
        <f>IFERROR(VLOOKUP("UD",'Informacion '!P:Q,2,FALSE),"")</f>
        <v>Unidad</v>
      </c>
      <c r="D1518" s="39">
        <v>15</v>
      </c>
      <c r="E1518" s="42">
        <v>123.83</v>
      </c>
      <c r="F1518" s="41">
        <f t="shared" ca="1" si="54"/>
        <v>1857.45</v>
      </c>
    </row>
    <row r="1519" spans="1:6" ht="14.25" customHeight="1" x14ac:dyDescent="0.35">
      <c r="A1519" s="39" t="s">
        <v>12198</v>
      </c>
      <c r="B1519" s="40" t="str">
        <f ca="1">IFERROR(INDEX(UNSPSCDes,MATCH(INDIRECT(ADDRESS(ROW(),COLUMN()-1,4)),UNSPSCCode,0)),IF(INDIRECT(ADDRESS(ROW(),COLUMN()-1,4))="44112005","Libretas de citas o repuestos",""))</f>
        <v>Libretas de citas o repuestos</v>
      </c>
      <c r="C1519" s="72" t="str">
        <f>IFERROR(VLOOKUP("UD",'Informacion '!P:Q,2,FALSE),"")</f>
        <v>Unidad</v>
      </c>
      <c r="D1519" s="39">
        <v>500</v>
      </c>
      <c r="E1519" s="42">
        <v>14.45</v>
      </c>
      <c r="F1519" s="41">
        <f t="shared" ca="1" si="54"/>
        <v>7225</v>
      </c>
    </row>
    <row r="1520" spans="1:6" ht="14.25" customHeight="1" x14ac:dyDescent="0.35">
      <c r="A1520" s="39" t="s">
        <v>16730</v>
      </c>
      <c r="B1520" s="40" t="str">
        <f ca="1">IFERROR(INDEX(UNSPSCDes,MATCH(INDIRECT(ADDRESS(ROW(),COLUMN()-1,4)),UNSPSCCode,0)),IF(INDIRECT(ADDRESS(ROW(),COLUMN()-1,4))="44121506","Sobres estándar",""))</f>
        <v>Sobres estándar</v>
      </c>
      <c r="C1520" s="72" t="str">
        <f>IFERROR(VLOOKUP("UD",'Informacion '!P:Q,2,FALSE),"")</f>
        <v>Unidad</v>
      </c>
      <c r="D1520" s="39">
        <v>75</v>
      </c>
      <c r="E1520" s="42">
        <v>22.42</v>
      </c>
      <c r="F1520" s="41">
        <f t="shared" ca="1" si="54"/>
        <v>1681.5000000000002</v>
      </c>
    </row>
    <row r="1521" spans="1:6" ht="14.25" customHeight="1" x14ac:dyDescent="0.35">
      <c r="A1521" s="39" t="s">
        <v>16730</v>
      </c>
      <c r="B1521" s="40" t="str">
        <f ca="1">IFERROR(INDEX(UNSPSCDes,MATCH(INDIRECT(ADDRESS(ROW(),COLUMN()-1,4)),UNSPSCCode,0)),IF(INDIRECT(ADDRESS(ROW(),COLUMN()-1,4))="44121506","Sobres estándar",""))</f>
        <v>Sobres estándar</v>
      </c>
      <c r="C1521" s="72" t="str">
        <f>IFERROR(VLOOKUP("UD",'Informacion '!P:Q,2,FALSE),"")</f>
        <v>Unidad</v>
      </c>
      <c r="D1521" s="39">
        <v>2</v>
      </c>
      <c r="E1521" s="42">
        <v>1829</v>
      </c>
      <c r="F1521" s="41">
        <f t="shared" ca="1" si="54"/>
        <v>3658</v>
      </c>
    </row>
    <row r="1522" spans="1:6" ht="14.25" customHeight="1" x14ac:dyDescent="0.35">
      <c r="A1522" s="39" t="s">
        <v>16730</v>
      </c>
      <c r="B1522" s="40" t="str">
        <f ca="1">IFERROR(INDEX(UNSPSCDes,MATCH(INDIRECT(ADDRESS(ROW(),COLUMN()-1,4)),UNSPSCCode,0)),IF(INDIRECT(ADDRESS(ROW(),COLUMN()-1,4))="44121506","Sobres estándar",""))</f>
        <v>Sobres estándar</v>
      </c>
      <c r="C1522" s="72" t="str">
        <f>IFERROR(VLOOKUP("UD",'Informacion '!P:Q,2,FALSE),"")</f>
        <v>Unidad</v>
      </c>
      <c r="D1522" s="39">
        <v>250</v>
      </c>
      <c r="E1522" s="42">
        <v>1.66</v>
      </c>
      <c r="F1522" s="41">
        <f t="shared" ca="1" si="54"/>
        <v>415</v>
      </c>
    </row>
    <row r="1523" spans="1:6" ht="14.25" customHeight="1" x14ac:dyDescent="0.35">
      <c r="A1523" s="39" t="s">
        <v>16730</v>
      </c>
      <c r="B1523" s="40" t="str">
        <f ca="1">IFERROR(INDEX(UNSPSCDes,MATCH(INDIRECT(ADDRESS(ROW(),COLUMN()-1,4)),UNSPSCCode,0)),IF(INDIRECT(ADDRESS(ROW(),COLUMN()-1,4))="44121506","Sobres estándar",""))</f>
        <v>Sobres estándar</v>
      </c>
      <c r="C1523" s="72" t="str">
        <f>IFERROR(VLOOKUP("UD",'Informacion '!P:Q,2,FALSE),"")</f>
        <v>Unidad</v>
      </c>
      <c r="D1523" s="39">
        <v>375</v>
      </c>
      <c r="E1523" s="42">
        <v>2.12</v>
      </c>
      <c r="F1523" s="41">
        <f t="shared" ca="1" si="54"/>
        <v>795</v>
      </c>
    </row>
    <row r="1524" spans="1:6" ht="14.25" customHeight="1" x14ac:dyDescent="0.35">
      <c r="A1524" s="39" t="s">
        <v>16730</v>
      </c>
      <c r="B1524" s="40" t="str">
        <f ca="1">IFERROR(INDEX(UNSPSCDes,MATCH(INDIRECT(ADDRESS(ROW(),COLUMN()-1,4)),UNSPSCCode,0)),IF(INDIRECT(ADDRESS(ROW(),COLUMN()-1,4))="44121506","Sobres estándar",""))</f>
        <v>Sobres estándar</v>
      </c>
      <c r="C1524" s="72" t="str">
        <f>IFERROR(VLOOKUP("UD",'Informacion '!P:Q,2,FALSE),"")</f>
        <v>Unidad</v>
      </c>
      <c r="D1524" s="39">
        <v>50</v>
      </c>
      <c r="E1524" s="42">
        <v>6.49</v>
      </c>
      <c r="F1524" s="41">
        <f t="shared" ca="1" si="54"/>
        <v>324.5</v>
      </c>
    </row>
    <row r="1525" spans="1:6" ht="14.25" customHeight="1" x14ac:dyDescent="0.35">
      <c r="A1525" s="39" t="s">
        <v>12198</v>
      </c>
      <c r="B1525" s="40" t="str">
        <f ca="1">IFERROR(INDEX(UNSPSCDes,MATCH(INDIRECT(ADDRESS(ROW(),COLUMN()-1,4)),UNSPSCCode,0)),IF(INDIRECT(ADDRESS(ROW(),COLUMN()-1,4))="44112005","Libretas de citas o repuestos",""))</f>
        <v>Libretas de citas o repuestos</v>
      </c>
      <c r="C1525" s="72" t="str">
        <f>IFERROR(VLOOKUP("UD",'Informacion '!P:Q,2,FALSE),"")</f>
        <v>Unidad</v>
      </c>
      <c r="D1525" s="39">
        <v>250</v>
      </c>
      <c r="E1525" s="42">
        <v>41.29</v>
      </c>
      <c r="F1525" s="41">
        <f t="shared" ca="1" si="54"/>
        <v>10322.5</v>
      </c>
    </row>
    <row r="1526" spans="1:6" ht="14.25" customHeight="1" x14ac:dyDescent="0.35">
      <c r="A1526" s="39" t="s">
        <v>16730</v>
      </c>
      <c r="B1526" s="40" t="str">
        <f ca="1">IFERROR(INDEX(UNSPSCDes,MATCH(INDIRECT(ADDRESS(ROW(),COLUMN()-1,4)),UNSPSCCode,0)),IF(INDIRECT(ADDRESS(ROW(),COLUMN()-1,4))="44121506","Sobres estándar",""))</f>
        <v>Sobres estándar</v>
      </c>
      <c r="C1526" s="72" t="str">
        <f>IFERROR(VLOOKUP("UD",'Informacion '!P:Q,2,FALSE),"")</f>
        <v>Unidad</v>
      </c>
      <c r="D1526" s="39">
        <v>1000</v>
      </c>
      <c r="E1526" s="42">
        <v>2.33</v>
      </c>
      <c r="F1526" s="41">
        <f t="shared" ca="1" si="54"/>
        <v>2330</v>
      </c>
    </row>
    <row r="1527" spans="1:6" ht="14.25" customHeight="1" x14ac:dyDescent="0.35">
      <c r="A1527" s="39" t="s">
        <v>16730</v>
      </c>
      <c r="B1527" s="40" t="str">
        <f ca="1">IFERROR(INDEX(UNSPSCDes,MATCH(INDIRECT(ADDRESS(ROW(),COLUMN()-1,4)),UNSPSCCode,0)),IF(INDIRECT(ADDRESS(ROW(),COLUMN()-1,4))="44121506","Sobres estándar",""))</f>
        <v>Sobres estándar</v>
      </c>
      <c r="C1527" s="72" t="str">
        <f>IFERROR(VLOOKUP("UD",'Informacion '!P:Q,2,FALSE),"")</f>
        <v>Unidad</v>
      </c>
      <c r="D1527" s="39">
        <v>375</v>
      </c>
      <c r="E1527" s="42">
        <v>2.12</v>
      </c>
      <c r="F1527" s="41">
        <f t="shared" ca="1" si="54"/>
        <v>795</v>
      </c>
    </row>
    <row r="1528" spans="1:6" ht="14.25" customHeight="1" x14ac:dyDescent="0.35">
      <c r="A1528" s="39" t="s">
        <v>102</v>
      </c>
      <c r="B1528" s="40" t="str">
        <f ca="1">IFERROR(INDEX(UNSPSCDes,MATCH(INDIRECT(ADDRESS(ROW(),COLUMN()-1,4)),UNSPSCCode,0)),IF(INDIRECT(ADDRESS(ROW(),COLUMN()-1,4))="44121604","Estampillas",""))</f>
        <v>Estampillas</v>
      </c>
      <c r="C1528" s="72" t="str">
        <f>IFERROR(VLOOKUP("CAJ",'Informacion '!P:Q,2,FALSE),"")</f>
        <v>Caja</v>
      </c>
      <c r="D1528" s="39">
        <v>4</v>
      </c>
      <c r="E1528" s="42">
        <v>465</v>
      </c>
      <c r="F1528" s="41">
        <f t="shared" ca="1" si="54"/>
        <v>1860</v>
      </c>
    </row>
    <row r="1529" spans="1:6" ht="14.25" customHeight="1" x14ac:dyDescent="0.35">
      <c r="A1529" s="39" t="s">
        <v>16611</v>
      </c>
      <c r="B1529" s="40" t="str">
        <f ca="1">IFERROR(INDEX(UNSPSCDes,MATCH(INDIRECT(ADDRESS(ROW(),COLUMN()-1,4)),UNSPSCCode,0)),IF(INDIRECT(ADDRESS(ROW(),COLUMN()-1,4))="44121613","Removedores de grapas (saca ganchos)",""))</f>
        <v>Removedores de grapas (saca ganchos)</v>
      </c>
      <c r="C1529" s="72" t="str">
        <f>IFERROR(VLOOKUP("UD",'Informacion '!P:Q,2,FALSE),"")</f>
        <v>Unidad</v>
      </c>
      <c r="D1529" s="39">
        <v>20</v>
      </c>
      <c r="E1529" s="42">
        <v>22.42</v>
      </c>
      <c r="F1529" s="41">
        <f t="shared" ca="1" si="54"/>
        <v>448.40000000000003</v>
      </c>
    </row>
    <row r="1530" spans="1:6" ht="14.25" customHeight="1" x14ac:dyDescent="0.35">
      <c r="A1530" s="39" t="s">
        <v>16460</v>
      </c>
      <c r="B1530" s="40" t="str">
        <f ca="1">IFERROR(INDEX(UNSPSCDes,MATCH(INDIRECT(ADDRESS(ROW(),COLUMN()-1,4)),UNSPSCCode,0)),IF(INDIRECT(ADDRESS(ROW(),COLUMN()-1,4))="44121615","Grapadoras",""))</f>
        <v>Grapadoras</v>
      </c>
      <c r="C1530" s="72" t="str">
        <f>IFERROR(VLOOKUP("UD",'Informacion '!P:Q,2,FALSE),"")</f>
        <v>Unidad</v>
      </c>
      <c r="D1530" s="39">
        <v>30</v>
      </c>
      <c r="E1530" s="42">
        <v>256.04000000000002</v>
      </c>
      <c r="F1530" s="41">
        <f t="shared" ca="1" si="54"/>
        <v>7681.2000000000007</v>
      </c>
    </row>
    <row r="1531" spans="1:6" ht="14.25" customHeight="1" x14ac:dyDescent="0.35">
      <c r="A1531" s="39" t="s">
        <v>9590</v>
      </c>
      <c r="B1531" s="40" t="str">
        <f ca="1">IFERROR(INDEX(UNSPSCDes,MATCH(INDIRECT(ADDRESS(ROW(),COLUMN()-1,4)),UNSPSCCode,0)),IF(INDIRECT(ADDRESS(ROW(),COLUMN()-1,4))="44121618","Tijeras",""))</f>
        <v>Tijeras</v>
      </c>
      <c r="C1531" s="72" t="str">
        <f>IFERROR(VLOOKUP("UD",'Informacion '!P:Q,2,FALSE),"")</f>
        <v>Unidad</v>
      </c>
      <c r="D1531" s="39">
        <v>2</v>
      </c>
      <c r="E1531" s="42">
        <v>590</v>
      </c>
      <c r="F1531" s="41">
        <f t="shared" ca="1" si="54"/>
        <v>1180</v>
      </c>
    </row>
    <row r="1532" spans="1:6" ht="14.25" customHeight="1" x14ac:dyDescent="0.35">
      <c r="A1532" s="39" t="s">
        <v>9590</v>
      </c>
      <c r="B1532" s="40" t="str">
        <f ca="1">IFERROR(INDEX(UNSPSCDes,MATCH(INDIRECT(ADDRESS(ROW(),COLUMN()-1,4)),UNSPSCCode,0)),IF(INDIRECT(ADDRESS(ROW(),COLUMN()-1,4))="44121618","Tijeras",""))</f>
        <v>Tijeras</v>
      </c>
      <c r="C1532" s="72" t="str">
        <f>IFERROR(VLOOKUP("UD",'Informacion '!P:Q,2,FALSE),"")</f>
        <v>Unidad</v>
      </c>
      <c r="D1532" s="39">
        <v>25</v>
      </c>
      <c r="E1532" s="42">
        <v>31.85</v>
      </c>
      <c r="F1532" s="41">
        <f t="shared" ca="1" si="54"/>
        <v>796.25</v>
      </c>
    </row>
    <row r="1533" spans="1:6" ht="14.25" customHeight="1" x14ac:dyDescent="0.35">
      <c r="A1533" s="39" t="s">
        <v>9590</v>
      </c>
      <c r="B1533" s="40" t="str">
        <f ca="1">IFERROR(INDEX(UNSPSCDes,MATCH(INDIRECT(ADDRESS(ROW(),COLUMN()-1,4)),UNSPSCCode,0)),IF(INDIRECT(ADDRESS(ROW(),COLUMN()-1,4))="44121618","Tijeras",""))</f>
        <v>Tijeras</v>
      </c>
      <c r="C1533" s="72" t="str">
        <f>IFERROR(VLOOKUP("UD",'Informacion '!P:Q,2,FALSE),"")</f>
        <v>Unidad</v>
      </c>
      <c r="D1533" s="39">
        <v>60</v>
      </c>
      <c r="E1533" s="42">
        <v>28.27</v>
      </c>
      <c r="F1533" s="41">
        <f t="shared" ca="1" si="54"/>
        <v>1696.2</v>
      </c>
    </row>
    <row r="1534" spans="1:6" ht="14.25" customHeight="1" x14ac:dyDescent="0.35">
      <c r="A1534" s="39" t="s">
        <v>9579</v>
      </c>
      <c r="B1534" s="40" t="str">
        <f ca="1">IFERROR(INDEX(UNSPSCDes,MATCH(INDIRECT(ADDRESS(ROW(),COLUMN()-1,4)),UNSPSCCode,0)),IF(INDIRECT(ADDRESS(ROW(),COLUMN()-1,4))="44121628","Contenedores o dispensadores de clips",""))</f>
        <v>Contenedores o dispensadores de clips</v>
      </c>
      <c r="C1534" s="72" t="str">
        <f>IFERROR(VLOOKUP("UD",'Informacion '!P:Q,2,FALSE),"")</f>
        <v>Unidad</v>
      </c>
      <c r="D1534" s="39">
        <v>5</v>
      </c>
      <c r="E1534" s="42">
        <v>35.33</v>
      </c>
      <c r="F1534" s="41">
        <f t="shared" ca="1" si="54"/>
        <v>176.64999999999998</v>
      </c>
    </row>
    <row r="1535" spans="1:6" ht="14.25" customHeight="1" x14ac:dyDescent="0.35">
      <c r="A1535" s="39" t="s">
        <v>16550</v>
      </c>
      <c r="B1535" s="40" t="str">
        <f t="shared" ref="B1535:B1540" ca="1" si="55">IFERROR(INDEX(UNSPSCDes,MATCH(INDIRECT(ADDRESS(ROW(),COLUMN()-1,4)),UNSPSCCode,0)),IF(INDIRECT(ADDRESS(ROW(),COLUMN()-1,4))="44121701","Bolígrafos",""))</f>
        <v>Bolígrafos</v>
      </c>
      <c r="C1535" s="72" t="str">
        <f>IFERROR(VLOOKUP("UD",'Informacion '!P:Q,2,FALSE),"")</f>
        <v>Unidad</v>
      </c>
      <c r="D1535" s="39">
        <v>50</v>
      </c>
      <c r="E1535" s="42">
        <v>38.049999999999997</v>
      </c>
      <c r="F1535" s="41">
        <f t="shared" ca="1" si="54"/>
        <v>1902.4999999999998</v>
      </c>
    </row>
    <row r="1536" spans="1:6" ht="14.25" customHeight="1" x14ac:dyDescent="0.35">
      <c r="A1536" s="39" t="s">
        <v>16550</v>
      </c>
      <c r="B1536" s="40" t="str">
        <f t="shared" ca="1" si="55"/>
        <v>Bolígrafos</v>
      </c>
      <c r="C1536" s="72" t="str">
        <f>IFERROR(VLOOKUP("UD",'Informacion '!P:Q,2,FALSE),"")</f>
        <v>Unidad</v>
      </c>
      <c r="D1536" s="39">
        <v>60</v>
      </c>
      <c r="E1536" s="42">
        <v>64</v>
      </c>
      <c r="F1536" s="41">
        <f t="shared" ca="1" si="54"/>
        <v>3840</v>
      </c>
    </row>
    <row r="1537" spans="1:6" ht="14.25" customHeight="1" x14ac:dyDescent="0.35">
      <c r="A1537" s="39" t="s">
        <v>16550</v>
      </c>
      <c r="B1537" s="40" t="str">
        <f t="shared" ca="1" si="55"/>
        <v>Bolígrafos</v>
      </c>
      <c r="C1537" s="72" t="str">
        <f>IFERROR(VLOOKUP("DOC",'Informacion '!P:Q,2,FALSE),"")</f>
        <v>Docena</v>
      </c>
      <c r="D1537" s="39">
        <v>20</v>
      </c>
      <c r="E1537" s="42">
        <v>64</v>
      </c>
      <c r="F1537" s="41">
        <f t="shared" ref="F1537:F1567" ca="1" si="56">INDIRECT(ADDRESS(ROW(),COLUMN()-2,4))*INDIRECT(ADDRESS(ROW(),COLUMN()-1,4))</f>
        <v>1280</v>
      </c>
    </row>
    <row r="1538" spans="1:6" ht="14.25" customHeight="1" x14ac:dyDescent="0.35">
      <c r="A1538" s="39" t="s">
        <v>16550</v>
      </c>
      <c r="B1538" s="40" t="str">
        <f t="shared" ca="1" si="55"/>
        <v>Bolígrafos</v>
      </c>
      <c r="C1538" s="72" t="str">
        <f>IFERROR(VLOOKUP("DOC",'Informacion '!P:Q,2,FALSE),"")</f>
        <v>Docena</v>
      </c>
      <c r="D1538" s="39">
        <v>6</v>
      </c>
      <c r="E1538" s="42">
        <v>64</v>
      </c>
      <c r="F1538" s="41">
        <f t="shared" ca="1" si="56"/>
        <v>384</v>
      </c>
    </row>
    <row r="1539" spans="1:6" ht="14.25" customHeight="1" x14ac:dyDescent="0.35">
      <c r="A1539" s="39" t="s">
        <v>16550</v>
      </c>
      <c r="B1539" s="40" t="str">
        <f t="shared" ca="1" si="55"/>
        <v>Bolígrafos</v>
      </c>
      <c r="C1539" s="72" t="str">
        <f>IFERROR(VLOOKUP("UD",'Informacion '!P:Q,2,FALSE),"")</f>
        <v>Unidad</v>
      </c>
      <c r="D1539" s="39">
        <v>1750</v>
      </c>
      <c r="E1539" s="42">
        <v>3.75</v>
      </c>
      <c r="F1539" s="41">
        <f t="shared" ca="1" si="56"/>
        <v>6562.5</v>
      </c>
    </row>
    <row r="1540" spans="1:6" ht="14.25" customHeight="1" x14ac:dyDescent="0.35">
      <c r="A1540" s="39" t="s">
        <v>16550</v>
      </c>
      <c r="B1540" s="40" t="str">
        <f t="shared" ca="1" si="55"/>
        <v>Bolígrafos</v>
      </c>
      <c r="C1540" s="72" t="str">
        <f>IFERROR(VLOOKUP("UD",'Informacion '!P:Q,2,FALSE),"")</f>
        <v>Unidad</v>
      </c>
      <c r="D1540" s="39">
        <v>125</v>
      </c>
      <c r="E1540" s="42">
        <v>94.38</v>
      </c>
      <c r="F1540" s="41">
        <f t="shared" ca="1" si="56"/>
        <v>11797.5</v>
      </c>
    </row>
    <row r="1541" spans="1:6" ht="14.25" customHeight="1" x14ac:dyDescent="0.35">
      <c r="A1541" s="39" t="s">
        <v>12891</v>
      </c>
      <c r="B1541" s="40" t="str">
        <f ca="1">IFERROR(INDEX(UNSPSCDes,MATCH(INDIRECT(ADDRESS(ROW(),COLUMN()-1,4)),UNSPSCCode,0)),IF(INDIRECT(ADDRESS(ROW(),COLUMN()-1,4))="44121706","Lápices de madera",""))</f>
        <v>Lápices de madera</v>
      </c>
      <c r="C1541" s="72" t="str">
        <f>IFERROR(VLOOKUP("CAJ",'Informacion '!P:Q,2,FALSE),"")</f>
        <v>Caja</v>
      </c>
      <c r="D1541" s="39">
        <v>60</v>
      </c>
      <c r="E1541" s="42">
        <v>100.3</v>
      </c>
      <c r="F1541" s="41">
        <f t="shared" ca="1" si="56"/>
        <v>6018</v>
      </c>
    </row>
    <row r="1542" spans="1:6" ht="14.25" customHeight="1" x14ac:dyDescent="0.35">
      <c r="A1542" s="39" t="s">
        <v>12891</v>
      </c>
      <c r="B1542" s="40" t="str">
        <f ca="1">IFERROR(INDEX(UNSPSCDes,MATCH(INDIRECT(ADDRESS(ROW(),COLUMN()-1,4)),UNSPSCCode,0)),IF(INDIRECT(ADDRESS(ROW(),COLUMN()-1,4))="44121706","Lápices de madera",""))</f>
        <v>Lápices de madera</v>
      </c>
      <c r="C1542" s="72" t="str">
        <f>IFERROR(VLOOKUP("UD",'Informacion '!P:Q,2,FALSE),"")</f>
        <v>Unidad</v>
      </c>
      <c r="D1542" s="39">
        <v>719</v>
      </c>
      <c r="E1542" s="42">
        <v>30</v>
      </c>
      <c r="F1542" s="41">
        <f t="shared" ca="1" si="56"/>
        <v>21570</v>
      </c>
    </row>
    <row r="1543" spans="1:6" ht="14.25" customHeight="1" x14ac:dyDescent="0.35">
      <c r="A1543" s="39" t="s">
        <v>2450</v>
      </c>
      <c r="B1543" s="40" t="str">
        <f ca="1">IFERROR(INDEX(UNSPSCDes,MATCH(INDIRECT(ADDRESS(ROW(),COLUMN()-1,4)),UNSPSCCode,0)),IF(INDIRECT(ADDRESS(ROW(),COLUMN()-1,4))="44121708","Marcadores",""))</f>
        <v>Marcadores</v>
      </c>
      <c r="C1543" s="72" t="str">
        <f>IFERROR(VLOOKUP("UD",'Informacion '!P:Q,2,FALSE),"")</f>
        <v>Unidad</v>
      </c>
      <c r="D1543" s="39">
        <v>100</v>
      </c>
      <c r="E1543" s="42">
        <v>13</v>
      </c>
      <c r="F1543" s="41">
        <f t="shared" ca="1" si="56"/>
        <v>1300</v>
      </c>
    </row>
    <row r="1544" spans="1:6" ht="14.25" customHeight="1" x14ac:dyDescent="0.35">
      <c r="A1544" s="39" t="s">
        <v>2450</v>
      </c>
      <c r="B1544" s="40" t="str">
        <f ca="1">IFERROR(INDEX(UNSPSCDes,MATCH(INDIRECT(ADDRESS(ROW(),COLUMN()-1,4)),UNSPSCCode,0)),IF(INDIRECT(ADDRESS(ROW(),COLUMN()-1,4))="44121708","Marcadores",""))</f>
        <v>Marcadores</v>
      </c>
      <c r="C1544" s="72" t="str">
        <f>IFERROR(VLOOKUP("UD",'Informacion '!P:Q,2,FALSE),"")</f>
        <v>Unidad</v>
      </c>
      <c r="D1544" s="39">
        <v>30</v>
      </c>
      <c r="E1544" s="42">
        <v>14.5</v>
      </c>
      <c r="F1544" s="41">
        <f t="shared" ca="1" si="56"/>
        <v>435</v>
      </c>
    </row>
    <row r="1545" spans="1:6" ht="14.25" customHeight="1" x14ac:dyDescent="0.35">
      <c r="A1545" s="39" t="s">
        <v>2450</v>
      </c>
      <c r="B1545" s="40" t="str">
        <f ca="1">IFERROR(INDEX(UNSPSCDes,MATCH(INDIRECT(ADDRESS(ROW(),COLUMN()-1,4)),UNSPSCCode,0)),IF(INDIRECT(ADDRESS(ROW(),COLUMN()-1,4))="44121708","Marcadores",""))</f>
        <v>Marcadores</v>
      </c>
      <c r="C1545" s="72" t="str">
        <f>IFERROR(VLOOKUP("UD",'Informacion '!P:Q,2,FALSE),"")</f>
        <v>Unidad</v>
      </c>
      <c r="D1545" s="39">
        <v>45</v>
      </c>
      <c r="E1545" s="42">
        <v>21.17</v>
      </c>
      <c r="F1545" s="41">
        <f t="shared" ca="1" si="56"/>
        <v>952.65000000000009</v>
      </c>
    </row>
    <row r="1546" spans="1:6" ht="14.25" customHeight="1" x14ac:dyDescent="0.35">
      <c r="A1546" s="39" t="s">
        <v>9649</v>
      </c>
      <c r="B1546" s="40" t="str">
        <f ca="1">IFERROR(INDEX(UNSPSCDes,MATCH(INDIRECT(ADDRESS(ROW(),COLUMN()-1,4)),UNSPSCCode,0)),IF(INDIRECT(ADDRESS(ROW(),COLUMN()-1,4))="44121715","Combinaciones de esfero y lápiz",""))</f>
        <v>Combinaciones de esfero y lápiz</v>
      </c>
      <c r="C1546" s="72" t="str">
        <f>IFERROR(VLOOKUP("UD",'Informacion '!P:Q,2,FALSE),"")</f>
        <v>Unidad</v>
      </c>
      <c r="D1546" s="39">
        <v>15</v>
      </c>
      <c r="E1546" s="42">
        <v>92</v>
      </c>
      <c r="F1546" s="41">
        <f t="shared" ca="1" si="56"/>
        <v>1380</v>
      </c>
    </row>
    <row r="1547" spans="1:6" ht="14.25" customHeight="1" x14ac:dyDescent="0.35">
      <c r="A1547" s="39" t="s">
        <v>12884</v>
      </c>
      <c r="B1547" s="40" t="str">
        <f ca="1">IFERROR(INDEX(UNSPSCDes,MATCH(INDIRECT(ADDRESS(ROW(),COLUMN()-1,4)),UNSPSCCode,0)),IF(INDIRECT(ADDRESS(ROW(),COLUMN()-1,4))="44121716","Resaltadores",""))</f>
        <v>Resaltadores</v>
      </c>
      <c r="C1547" s="72" t="str">
        <f>IFERROR(VLOOKUP("UD",'Informacion '!P:Q,2,FALSE),"")</f>
        <v>Unidad</v>
      </c>
      <c r="D1547" s="39">
        <v>60</v>
      </c>
      <c r="E1547" s="42">
        <v>8.48</v>
      </c>
      <c r="F1547" s="41">
        <f t="shared" ca="1" si="56"/>
        <v>508.8</v>
      </c>
    </row>
    <row r="1548" spans="1:6" ht="14.25" customHeight="1" x14ac:dyDescent="0.35">
      <c r="A1548" s="39" t="s">
        <v>12884</v>
      </c>
      <c r="B1548" s="40" t="str">
        <f ca="1">IFERROR(INDEX(UNSPSCDes,MATCH(INDIRECT(ADDRESS(ROW(),COLUMN()-1,4)),UNSPSCCode,0)),IF(INDIRECT(ADDRESS(ROW(),COLUMN()-1,4))="44121716","Resaltadores",""))</f>
        <v>Resaltadores</v>
      </c>
      <c r="C1548" s="72" t="str">
        <f>IFERROR(VLOOKUP("UD",'Informacion '!P:Q,2,FALSE),"")</f>
        <v>Unidad</v>
      </c>
      <c r="D1548" s="39">
        <v>30</v>
      </c>
      <c r="E1548" s="42">
        <v>165.67</v>
      </c>
      <c r="F1548" s="41">
        <f t="shared" ca="1" si="56"/>
        <v>4970.0999999999995</v>
      </c>
    </row>
    <row r="1549" spans="1:6" ht="14.25" customHeight="1" x14ac:dyDescent="0.35">
      <c r="A1549" s="39" t="s">
        <v>12884</v>
      </c>
      <c r="B1549" s="40" t="str">
        <f ca="1">IFERROR(INDEX(UNSPSCDes,MATCH(INDIRECT(ADDRESS(ROW(),COLUMN()-1,4)),UNSPSCCode,0)),IF(INDIRECT(ADDRESS(ROW(),COLUMN()-1,4))="44121716","Resaltadores",""))</f>
        <v>Resaltadores</v>
      </c>
      <c r="C1549" s="72" t="str">
        <f>IFERROR(VLOOKUP("UD",'Informacion '!P:Q,2,FALSE),"")</f>
        <v>Unidad</v>
      </c>
      <c r="D1549" s="39">
        <v>60</v>
      </c>
      <c r="E1549" s="42">
        <v>19.440000000000001</v>
      </c>
      <c r="F1549" s="41">
        <f t="shared" ca="1" si="56"/>
        <v>1166.4000000000001</v>
      </c>
    </row>
    <row r="1550" spans="1:6" ht="14.25" customHeight="1" x14ac:dyDescent="0.35">
      <c r="A1550" s="39" t="s">
        <v>12884</v>
      </c>
      <c r="B1550" s="40" t="str">
        <f ca="1">IFERROR(INDEX(UNSPSCDes,MATCH(INDIRECT(ADDRESS(ROW(),COLUMN()-1,4)),UNSPSCCode,0)),IF(INDIRECT(ADDRESS(ROW(),COLUMN()-1,4))="44121716","Resaltadores",""))</f>
        <v>Resaltadores</v>
      </c>
      <c r="C1550" s="72" t="str">
        <f>IFERROR(VLOOKUP("UD",'Informacion '!P:Q,2,FALSE),"")</f>
        <v>Unidad</v>
      </c>
      <c r="D1550" s="39">
        <v>30</v>
      </c>
      <c r="E1550" s="42">
        <v>9.3800000000000008</v>
      </c>
      <c r="F1550" s="41">
        <f t="shared" ca="1" si="56"/>
        <v>281.40000000000003</v>
      </c>
    </row>
    <row r="1551" spans="1:6" ht="14.25" customHeight="1" x14ac:dyDescent="0.35">
      <c r="A1551" s="39" t="s">
        <v>10350</v>
      </c>
      <c r="B1551" s="40" t="str">
        <f ca="1">IFERROR(INDEX(UNSPSCDes,MATCH(INDIRECT(ADDRESS(ROW(),COLUMN()-1,4)),UNSPSCCode,0)),IF(INDIRECT(ADDRESS(ROW(),COLUMN()-1,4))="44121802","Fluido de corrección",""))</f>
        <v>Fluido de corrección</v>
      </c>
      <c r="C1551" s="72" t="str">
        <f>IFERROR(VLOOKUP("UD",'Informacion '!P:Q,2,FALSE),"")</f>
        <v>Unidad</v>
      </c>
      <c r="D1551" s="39">
        <v>125</v>
      </c>
      <c r="E1551" s="42">
        <v>25.92</v>
      </c>
      <c r="F1551" s="41">
        <f t="shared" ca="1" si="56"/>
        <v>3240</v>
      </c>
    </row>
    <row r="1552" spans="1:6" ht="14.25" customHeight="1" x14ac:dyDescent="0.35">
      <c r="A1552" s="39" t="s">
        <v>1273</v>
      </c>
      <c r="B1552" s="40" t="str">
        <f ca="1">IFERROR(INDEX(UNSPSCDes,MATCH(INDIRECT(ADDRESS(ROW(),COLUMN()-1,4)),UNSPSCCode,0)),IF(INDIRECT(ADDRESS(ROW(),COLUMN()-1,4))="44122003","Carpetas",""))</f>
        <v>Carpetas</v>
      </c>
      <c r="C1552" s="72" t="str">
        <f>IFERROR(VLOOKUP("UD",'Informacion '!P:Q,2,FALSE),"")</f>
        <v>Unidad</v>
      </c>
      <c r="D1552" s="39">
        <v>45</v>
      </c>
      <c r="E1552" s="42">
        <v>133.30000000000001</v>
      </c>
      <c r="F1552" s="41">
        <f t="shared" ca="1" si="56"/>
        <v>5998.5000000000009</v>
      </c>
    </row>
    <row r="1553" spans="1:10" ht="14.25" customHeight="1" x14ac:dyDescent="0.35">
      <c r="A1553" s="39" t="s">
        <v>1273</v>
      </c>
      <c r="B1553" s="40" t="str">
        <f ca="1">IFERROR(INDEX(UNSPSCDes,MATCH(INDIRECT(ADDRESS(ROW(),COLUMN()-1,4)),UNSPSCCode,0)),IF(INDIRECT(ADDRESS(ROW(),COLUMN()-1,4))="44122003","Carpetas",""))</f>
        <v>Carpetas</v>
      </c>
      <c r="C1553" s="72" t="str">
        <f>IFERROR(VLOOKUP("UD",'Informacion '!P:Q,2,FALSE),"")</f>
        <v>Unidad</v>
      </c>
      <c r="D1553" s="39">
        <v>45</v>
      </c>
      <c r="E1553" s="42">
        <v>187.61</v>
      </c>
      <c r="F1553" s="41">
        <f t="shared" ca="1" si="56"/>
        <v>8442.4500000000007</v>
      </c>
    </row>
    <row r="1554" spans="1:10" ht="14.25" customHeight="1" x14ac:dyDescent="0.35">
      <c r="A1554" s="39" t="s">
        <v>1273</v>
      </c>
      <c r="B1554" s="40" t="str">
        <f ca="1">IFERROR(INDEX(UNSPSCDes,MATCH(INDIRECT(ADDRESS(ROW(),COLUMN()-1,4)),UNSPSCCode,0)),IF(INDIRECT(ADDRESS(ROW(),COLUMN()-1,4))="44122003","Carpetas",""))</f>
        <v>Carpetas</v>
      </c>
      <c r="C1554" s="72" t="str">
        <f>IFERROR(VLOOKUP("UD",'Informacion '!P:Q,2,FALSE),"")</f>
        <v>Unidad</v>
      </c>
      <c r="D1554" s="39">
        <v>75</v>
      </c>
      <c r="E1554" s="42">
        <v>188.8</v>
      </c>
      <c r="F1554" s="41">
        <f t="shared" ca="1" si="56"/>
        <v>14160</v>
      </c>
    </row>
    <row r="1555" spans="1:10" ht="14.25" customHeight="1" x14ac:dyDescent="0.35">
      <c r="A1555" s="39" t="s">
        <v>8915</v>
      </c>
      <c r="B1555" s="40" t="str">
        <f ca="1">IFERROR(INDEX(UNSPSCDes,MATCH(INDIRECT(ADDRESS(ROW(),COLUMN()-1,4)),UNSPSCCode,0)),IF(INDIRECT(ADDRESS(ROW(),COLUMN()-1,4))="44122005","Cubiertas para revistas o libros",""))</f>
        <v>Cubiertas para revistas o libros</v>
      </c>
      <c r="C1555" s="72" t="str">
        <f>IFERROR(VLOOKUP("UD",'Informacion '!P:Q,2,FALSE),"")</f>
        <v>Unidad</v>
      </c>
      <c r="D1555" s="39">
        <v>250</v>
      </c>
      <c r="E1555" s="42">
        <v>590</v>
      </c>
      <c r="F1555" s="41">
        <f t="shared" ca="1" si="56"/>
        <v>147500</v>
      </c>
    </row>
    <row r="1556" spans="1:10" ht="14.25" customHeight="1" x14ac:dyDescent="0.35">
      <c r="A1556" s="39" t="s">
        <v>8013</v>
      </c>
      <c r="B1556" s="40" t="str">
        <f ca="1">IFERROR(INDEX(UNSPSCDes,MATCH(INDIRECT(ADDRESS(ROW(),COLUMN()-1,4)),UNSPSCCode,0)),IF(INDIRECT(ADDRESS(ROW(),COLUMN()-1,4))="44122011","Folders",""))</f>
        <v>Folders</v>
      </c>
      <c r="C1556" s="72" t="str">
        <f>IFERROR(VLOOKUP("UD",'Informacion '!P:Q,2,FALSE),"")</f>
        <v>Unidad</v>
      </c>
      <c r="D1556" s="39">
        <v>50</v>
      </c>
      <c r="E1556" s="42">
        <v>236</v>
      </c>
      <c r="F1556" s="41">
        <f t="shared" ca="1" si="56"/>
        <v>11800</v>
      </c>
    </row>
    <row r="1557" spans="1:10" ht="14.25" customHeight="1" x14ac:dyDescent="0.35">
      <c r="A1557" s="39" t="s">
        <v>8013</v>
      </c>
      <c r="B1557" s="40" t="str">
        <f ca="1">IFERROR(INDEX(UNSPSCDes,MATCH(INDIRECT(ADDRESS(ROW(),COLUMN()-1,4)),UNSPSCCode,0)),IF(INDIRECT(ADDRESS(ROW(),COLUMN()-1,4))="44122011","Folders",""))</f>
        <v>Folders</v>
      </c>
      <c r="C1557" s="72" t="str">
        <f>IFERROR(VLOOKUP("CAJ",'Informacion '!P:Q,2,FALSE),"")</f>
        <v>Caja</v>
      </c>
      <c r="D1557" s="39">
        <v>1</v>
      </c>
      <c r="E1557" s="42">
        <v>472</v>
      </c>
      <c r="F1557" s="41">
        <f t="shared" ca="1" si="56"/>
        <v>472</v>
      </c>
    </row>
    <row r="1558" spans="1:10" ht="14.25" customHeight="1" x14ac:dyDescent="0.35">
      <c r="A1558" s="39" t="s">
        <v>8013</v>
      </c>
      <c r="B1558" s="40" t="str">
        <f ca="1">IFERROR(INDEX(UNSPSCDes,MATCH(INDIRECT(ADDRESS(ROW(),COLUMN()-1,4)),UNSPSCCode,0)),IF(INDIRECT(ADDRESS(ROW(),COLUMN()-1,4))="44122011","Folders",""))</f>
        <v>Folders</v>
      </c>
      <c r="C1558" s="72" t="str">
        <f>IFERROR(VLOOKUP("UD",'Informacion '!P:Q,2,FALSE),"")</f>
        <v>Unidad</v>
      </c>
      <c r="D1558" s="39">
        <v>75</v>
      </c>
      <c r="E1558" s="42">
        <v>796.5</v>
      </c>
      <c r="F1558" s="41">
        <f t="shared" ca="1" si="56"/>
        <v>59737.5</v>
      </c>
    </row>
    <row r="1559" spans="1:10" ht="14.25" customHeight="1" x14ac:dyDescent="0.35">
      <c r="A1559" s="39" t="s">
        <v>8013</v>
      </c>
      <c r="B1559" s="40" t="str">
        <f ca="1">IFERROR(INDEX(UNSPSCDes,MATCH(INDIRECT(ADDRESS(ROW(),COLUMN()-1,4)),UNSPSCCode,0)),IF(INDIRECT(ADDRESS(ROW(),COLUMN()-1,4))="44122011","Folders",""))</f>
        <v>Folders</v>
      </c>
      <c r="C1559" s="72" t="str">
        <f>IFERROR(VLOOKUP("UD",'Informacion '!P:Q,2,FALSE),"")</f>
        <v>Unidad</v>
      </c>
      <c r="D1559" s="39">
        <v>75</v>
      </c>
      <c r="E1559" s="42">
        <v>210</v>
      </c>
      <c r="F1559" s="41">
        <f t="shared" ca="1" si="56"/>
        <v>15750</v>
      </c>
    </row>
    <row r="1560" spans="1:10" ht="14.25" customHeight="1" x14ac:dyDescent="0.35">
      <c r="A1560" s="39" t="s">
        <v>8013</v>
      </c>
      <c r="B1560" s="40" t="str">
        <f ca="1">IFERROR(INDEX(UNSPSCDes,MATCH(INDIRECT(ADDRESS(ROW(),COLUMN()-1,4)),UNSPSCCode,0)),IF(INDIRECT(ADDRESS(ROW(),COLUMN()-1,4))="44122011","Folders",""))</f>
        <v>Folders</v>
      </c>
      <c r="C1560" s="72" t="str">
        <f>IFERROR(VLOOKUP("UD",'Informacion '!P:Q,2,FALSE),"")</f>
        <v>Unidad</v>
      </c>
      <c r="D1560" s="39">
        <v>5</v>
      </c>
      <c r="E1560" s="42">
        <v>442.5</v>
      </c>
      <c r="F1560" s="41">
        <f t="shared" ca="1" si="56"/>
        <v>2212.5</v>
      </c>
    </row>
    <row r="1561" spans="1:10" ht="14.25" customHeight="1" x14ac:dyDescent="0.35">
      <c r="A1561" s="39" t="s">
        <v>4690</v>
      </c>
      <c r="B1561" s="40" t="str">
        <f ca="1">IFERROR(INDEX(UNSPSCDes,MATCH(INDIRECT(ADDRESS(ROW(),COLUMN()-1,4)),UNSPSCCode,0)),IF(INDIRECT(ADDRESS(ROW(),COLUMN()-1,4))="44122022","Accesorios de carpetas de folders",""))</f>
        <v>Accesorios de carpetas de folders</v>
      </c>
      <c r="C1561" s="72" t="str">
        <f>IFERROR(VLOOKUP("CAJ",'Informacion '!P:Q,2,FALSE),"")</f>
        <v>Caja</v>
      </c>
      <c r="D1561" s="39">
        <v>40</v>
      </c>
      <c r="E1561" s="42">
        <v>56.63</v>
      </c>
      <c r="F1561" s="41">
        <f t="shared" ca="1" si="56"/>
        <v>2265.2000000000003</v>
      </c>
    </row>
    <row r="1562" spans="1:10" ht="14.25" customHeight="1" x14ac:dyDescent="0.35">
      <c r="A1562" s="39" t="s">
        <v>16445</v>
      </c>
      <c r="B1562" s="40" t="str">
        <f ca="1">IFERROR(INDEX(UNSPSCDes,MATCH(INDIRECT(ADDRESS(ROW(),COLUMN()-1,4)),UNSPSCCode,0)),IF(INDIRECT(ADDRESS(ROW(),COLUMN()-1,4))="44122026","Garras para papel",""))</f>
        <v>Garras para papel</v>
      </c>
      <c r="C1562" s="72" t="str">
        <f>IFERROR(VLOOKUP("CAJ",'Informacion '!P:Q,2,FALSE),"")</f>
        <v>Caja</v>
      </c>
      <c r="D1562" s="39">
        <v>50</v>
      </c>
      <c r="E1562" s="42">
        <v>27.78</v>
      </c>
      <c r="F1562" s="41">
        <f t="shared" ca="1" si="56"/>
        <v>1389</v>
      </c>
    </row>
    <row r="1563" spans="1:10" ht="14.25" customHeight="1" x14ac:dyDescent="0.35">
      <c r="A1563" s="39" t="s">
        <v>16445</v>
      </c>
      <c r="B1563" s="40" t="str">
        <f ca="1">IFERROR(INDEX(UNSPSCDes,MATCH(INDIRECT(ADDRESS(ROW(),COLUMN()-1,4)),UNSPSCCode,0)),IF(INDIRECT(ADDRESS(ROW(),COLUMN()-1,4))="44122026","Garras para papel",""))</f>
        <v>Garras para papel</v>
      </c>
      <c r="C1563" s="72" t="str">
        <f>IFERROR(VLOOKUP("CAJ",'Informacion '!P:Q,2,FALSE),"")</f>
        <v>Caja</v>
      </c>
      <c r="D1563" s="39">
        <v>30</v>
      </c>
      <c r="E1563" s="42">
        <v>54.2</v>
      </c>
      <c r="F1563" s="41">
        <f t="shared" ca="1" si="56"/>
        <v>1626</v>
      </c>
    </row>
    <row r="1564" spans="1:10" ht="14.25" customHeight="1" x14ac:dyDescent="0.35">
      <c r="A1564" s="39" t="s">
        <v>13117</v>
      </c>
      <c r="B1564" s="40" t="str">
        <f ca="1">IFERROR(INDEX(UNSPSCDes,MATCH(INDIRECT(ADDRESS(ROW(),COLUMN()-1,4)),UNSPSCCode,0)),IF(INDIRECT(ADDRESS(ROW(),COLUMN()-1,4))="44122027","Folders de archivo expandibles",""))</f>
        <v>Folders de archivo expandibles</v>
      </c>
      <c r="C1564" s="72" t="str">
        <f>IFERROR(VLOOKUP("PAQ",'Informacion '!P:Q,2,FALSE),"")</f>
        <v>Paquete</v>
      </c>
      <c r="D1564" s="39">
        <v>24</v>
      </c>
      <c r="E1564" s="42">
        <v>403.28</v>
      </c>
      <c r="F1564" s="41">
        <f t="shared" ca="1" si="56"/>
        <v>9678.7199999999993</v>
      </c>
    </row>
    <row r="1565" spans="1:10" ht="14.25" customHeight="1" x14ac:dyDescent="0.35">
      <c r="A1565" s="39" t="s">
        <v>13117</v>
      </c>
      <c r="B1565" s="40" t="str">
        <f ca="1">IFERROR(INDEX(UNSPSCDes,MATCH(INDIRECT(ADDRESS(ROW(),COLUMN()-1,4)),UNSPSCCode,0)),IF(INDIRECT(ADDRESS(ROW(),COLUMN()-1,4))="44122027","Folders de archivo expandibles",""))</f>
        <v>Folders de archivo expandibles</v>
      </c>
      <c r="C1565" s="72" t="str">
        <f>IFERROR(VLOOKUP("CAJ",'Informacion '!P:Q,2,FALSE),"")</f>
        <v>Caja</v>
      </c>
      <c r="D1565" s="39">
        <v>20</v>
      </c>
      <c r="E1565" s="42">
        <v>371.8</v>
      </c>
      <c r="F1565" s="41">
        <f t="shared" ca="1" si="56"/>
        <v>7436</v>
      </c>
    </row>
    <row r="1566" spans="1:10" ht="14.25" customHeight="1" x14ac:dyDescent="0.35">
      <c r="A1566" s="39" t="s">
        <v>14415</v>
      </c>
      <c r="B1566" s="40" t="str">
        <f ca="1">IFERROR(INDEX(UNSPSCDes,MATCH(INDIRECT(ADDRESS(ROW(),COLUMN()-1,4)),UNSPSCCode,0)),IF(INDIRECT(ADDRESS(ROW(),COLUMN()-1,4))="44122104","Clips para papel",""))</f>
        <v>Clips para papel</v>
      </c>
      <c r="C1566" s="72" t="str">
        <f>IFERROR(VLOOKUP("UD",'Informacion '!P:Q,2,FALSE),"")</f>
        <v>Unidad</v>
      </c>
      <c r="D1566" s="39">
        <v>50</v>
      </c>
      <c r="E1566" s="42">
        <v>21.77</v>
      </c>
      <c r="F1566" s="41">
        <f t="shared" ca="1" si="56"/>
        <v>1088.5</v>
      </c>
    </row>
    <row r="1567" spans="1:10" ht="14.25" customHeight="1" x14ac:dyDescent="0.35">
      <c r="A1567" s="39" t="s">
        <v>11081</v>
      </c>
      <c r="B1567" s="40" t="str">
        <f ca="1">IFERROR(INDEX(UNSPSCDes,MATCH(INDIRECT(ADDRESS(ROW(),COLUMN()-1,4)),UNSPSCCode,0)),IF(INDIRECT(ADDRESS(ROW(),COLUMN()-1,4))="44122107","Grapas",""))</f>
        <v>Grapas</v>
      </c>
      <c r="C1567" s="72" t="str">
        <f>IFERROR(VLOOKUP("UD",'Informacion '!P:Q,2,FALSE),"")</f>
        <v>Unidad</v>
      </c>
      <c r="D1567" s="39">
        <v>10</v>
      </c>
      <c r="E1567" s="42">
        <v>419.67</v>
      </c>
      <c r="F1567" s="41">
        <f t="shared" ca="1" si="56"/>
        <v>4196.7</v>
      </c>
    </row>
    <row r="1568" spans="1:10" ht="14.25" customHeight="1" x14ac:dyDescent="0.35">
      <c r="E1568" s="44" t="s">
        <v>13122</v>
      </c>
      <c r="F1568" s="45">
        <f ca="1">SUM(Table93[MONTO TOTAL ESTIMADO])</f>
        <v>517087.39</v>
      </c>
      <c r="H1568" s="24" t="str">
        <f>C1498</f>
        <v>Bienes</v>
      </c>
      <c r="I1568" s="24" t="str">
        <f>E1498</f>
        <v>Sí</v>
      </c>
      <c r="J1568" s="24" t="str">
        <f>D1498</f>
        <v>Compras Menores</v>
      </c>
    </row>
    <row r="1570" spans="1:6" ht="34" customHeight="1" x14ac:dyDescent="0.35">
      <c r="A1570" s="36" t="s">
        <v>17105</v>
      </c>
      <c r="B1570" s="36" t="s">
        <v>167</v>
      </c>
      <c r="C1570" s="36" t="s">
        <v>12252</v>
      </c>
      <c r="D1570" s="36" t="s">
        <v>15021</v>
      </c>
      <c r="E1570" s="36" t="s">
        <v>11455</v>
      </c>
      <c r="F1570" s="36" t="s">
        <v>11595</v>
      </c>
    </row>
    <row r="1571" spans="1:6" ht="14.25" customHeight="1" x14ac:dyDescent="0.35">
      <c r="A1571" s="37" t="s">
        <v>16575</v>
      </c>
      <c r="B1571" s="37" t="s">
        <v>16575</v>
      </c>
      <c r="C1571" s="37" t="s">
        <v>18585</v>
      </c>
      <c r="D1571" s="37" t="s">
        <v>18256</v>
      </c>
      <c r="E1571" s="37" t="s">
        <v>9261</v>
      </c>
      <c r="F1571" s="37" t="s">
        <v>7088</v>
      </c>
    </row>
    <row r="1572" spans="1:6" ht="14.25" customHeight="1" x14ac:dyDescent="0.35">
      <c r="A1572" s="75" t="s">
        <v>15490</v>
      </c>
      <c r="B1572" s="38" t="s">
        <v>8918</v>
      </c>
      <c r="C1572" s="68">
        <v>45383</v>
      </c>
      <c r="D1572" s="75" t="s">
        <v>9819</v>
      </c>
      <c r="E1572" s="70" t="s">
        <v>13683</v>
      </c>
      <c r="F1572" s="71" t="s">
        <v>3205</v>
      </c>
    </row>
    <row r="1573" spans="1:6" ht="14.25" customHeight="1" x14ac:dyDescent="0.35">
      <c r="A1573" s="76"/>
      <c r="B1573" s="38" t="s">
        <v>1858</v>
      </c>
      <c r="C1573" s="69">
        <f>IF(C1572="","",IF(AND(MONTH(C1572)&gt;=1,MONTH(C1572)&lt;=3),1,IF(AND(MONTH(C1572)&gt;=4,MONTH(C1572)&lt;=6),2,IF(AND(MONTH(C1572)&gt;=7,MONTH(C1572)&lt;=9),3,4))))</f>
        <v>2</v>
      </c>
      <c r="D1573" s="76"/>
      <c r="E1573" s="70" t="s">
        <v>2509</v>
      </c>
      <c r="F1573" s="71" t="s">
        <v>11612</v>
      </c>
    </row>
    <row r="1574" spans="1:6" ht="14.25" customHeight="1" x14ac:dyDescent="0.35">
      <c r="A1574" s="76"/>
      <c r="B1574" s="38" t="s">
        <v>13526</v>
      </c>
      <c r="C1574" s="68">
        <v>45471</v>
      </c>
      <c r="D1574" s="76"/>
      <c r="E1574" s="70" t="s">
        <v>3198</v>
      </c>
      <c r="F1574" s="71" t="s">
        <v>11612</v>
      </c>
    </row>
    <row r="1575" spans="1:6" ht="14.25" customHeight="1" x14ac:dyDescent="0.35">
      <c r="A1575" s="76"/>
      <c r="B1575" s="38" t="s">
        <v>1858</v>
      </c>
      <c r="C1575" s="69">
        <f>IF(C1574="","",IF(AND(MONTH(C1574)&gt;=1,MONTH(C1574)&lt;=3),1,IF(AND(MONTH(C1574)&gt;=4,MONTH(C1574)&lt;=6),2,IF(AND(MONTH(C1574)&gt;=7,MONTH(C1574)&lt;=9),3,4))))</f>
        <v>2</v>
      </c>
      <c r="D1575" s="76"/>
      <c r="E1575" s="70" t="s">
        <v>13785</v>
      </c>
      <c r="F1575" s="71"/>
    </row>
    <row r="1577" spans="1:6" ht="14.25" customHeight="1" x14ac:dyDescent="0.35">
      <c r="A1577" s="43" t="s">
        <v>16424</v>
      </c>
      <c r="B1577" s="43" t="s">
        <v>16856</v>
      </c>
      <c r="C1577" s="43" t="s">
        <v>16326</v>
      </c>
      <c r="D1577" s="43" t="s">
        <v>15925</v>
      </c>
      <c r="E1577" s="43" t="s">
        <v>7248</v>
      </c>
      <c r="F1577" s="43" t="s">
        <v>15955</v>
      </c>
    </row>
    <row r="1578" spans="1:6" ht="14.25" customHeight="1" x14ac:dyDescent="0.35">
      <c r="A1578" s="39" t="s">
        <v>5290</v>
      </c>
      <c r="B1578" s="40" t="str">
        <f ca="1">IFERROR(INDEX(UNSPSCDes,MATCH(INDIRECT(ADDRESS(ROW(),COLUMN()-1,4)),UNSPSCCode,0)),IF(INDIRECT(ADDRESS(ROW(),COLUMN()-1,4))="44103504","Alambres o espirales de encuadernación",""))</f>
        <v>Alambres o espirales de encuadernación</v>
      </c>
      <c r="C1578" s="72" t="str">
        <f>IFERROR(VLOOKUP("DOC",'Informacion '!P:Q,2,FALSE),"")</f>
        <v>Docena</v>
      </c>
      <c r="D1578" s="39">
        <v>21</v>
      </c>
      <c r="E1578" s="42">
        <v>15.8</v>
      </c>
      <c r="F1578" s="41">
        <f t="shared" ref="F1578:F1609" ca="1" si="57">INDIRECT(ADDRESS(ROW(),COLUMN()-2,4))*INDIRECT(ADDRESS(ROW(),COLUMN()-1,4))</f>
        <v>331.8</v>
      </c>
    </row>
    <row r="1579" spans="1:6" ht="14.25" customHeight="1" x14ac:dyDescent="0.35">
      <c r="A1579" s="39" t="s">
        <v>5290</v>
      </c>
      <c r="B1579" s="40" t="str">
        <f ca="1">IFERROR(INDEX(UNSPSCDes,MATCH(INDIRECT(ADDRESS(ROW(),COLUMN()-1,4)),UNSPSCCode,0)),IF(INDIRECT(ADDRESS(ROW(),COLUMN()-1,4))="44103504","Alambres o espirales de encuadernación",""))</f>
        <v>Alambres o espirales de encuadernación</v>
      </c>
      <c r="C1579" s="72" t="str">
        <f>IFERROR(VLOOKUP("DOC",'Informacion '!P:Q,2,FALSE),"")</f>
        <v>Docena</v>
      </c>
      <c r="D1579" s="39">
        <v>21</v>
      </c>
      <c r="E1579" s="42">
        <v>31.87</v>
      </c>
      <c r="F1579" s="41">
        <f t="shared" ca="1" si="57"/>
        <v>669.27</v>
      </c>
    </row>
    <row r="1580" spans="1:6" ht="14.25" customHeight="1" x14ac:dyDescent="0.35">
      <c r="A1580" s="39" t="s">
        <v>10628</v>
      </c>
      <c r="B1580" s="40" t="str">
        <f ca="1">IFERROR(INDEX(UNSPSCDes,MATCH(INDIRECT(ADDRESS(ROW(),COLUMN()-1,4)),UNSPSCCode,0)),IF(INDIRECT(ADDRESS(ROW(),COLUMN()-1,4))="44111611","Clips para billetes",""))</f>
        <v>Clips para billetes</v>
      </c>
      <c r="C1580" s="72" t="str">
        <f>IFERROR(VLOOKUP("UD",'Informacion '!P:Q,2,FALSE),"")</f>
        <v>Unidad</v>
      </c>
      <c r="D1580" s="39">
        <v>120</v>
      </c>
      <c r="E1580" s="42">
        <v>80.900000000000006</v>
      </c>
      <c r="F1580" s="41">
        <f t="shared" ca="1" si="57"/>
        <v>9708</v>
      </c>
    </row>
    <row r="1581" spans="1:6" ht="14.25" customHeight="1" x14ac:dyDescent="0.35">
      <c r="A1581" s="39" t="s">
        <v>10628</v>
      </c>
      <c r="B1581" s="40" t="str">
        <f ca="1">IFERROR(INDEX(UNSPSCDes,MATCH(INDIRECT(ADDRESS(ROW(),COLUMN()-1,4)),UNSPSCCode,0)),IF(INDIRECT(ADDRESS(ROW(),COLUMN()-1,4))="44111611","Clips para billetes",""))</f>
        <v>Clips para billetes</v>
      </c>
      <c r="C1581" s="72" t="str">
        <f>IFERROR(VLOOKUP("UD",'Informacion '!P:Q,2,FALSE),"")</f>
        <v>Unidad</v>
      </c>
      <c r="D1581" s="39">
        <v>75</v>
      </c>
      <c r="E1581" s="42">
        <v>25</v>
      </c>
      <c r="F1581" s="41">
        <f t="shared" ca="1" si="57"/>
        <v>1875</v>
      </c>
    </row>
    <row r="1582" spans="1:6" ht="14.25" customHeight="1" x14ac:dyDescent="0.35">
      <c r="A1582" s="39" t="s">
        <v>10628</v>
      </c>
      <c r="B1582" s="40" t="str">
        <f ca="1">IFERROR(INDEX(UNSPSCDes,MATCH(INDIRECT(ADDRESS(ROW(),COLUMN()-1,4)),UNSPSCCode,0)),IF(INDIRECT(ADDRESS(ROW(),COLUMN()-1,4))="44111611","Clips para billetes",""))</f>
        <v>Clips para billetes</v>
      </c>
      <c r="C1582" s="72" t="str">
        <f>IFERROR(VLOOKUP("UD",'Informacion '!P:Q,2,FALSE),"")</f>
        <v>Unidad</v>
      </c>
      <c r="D1582" s="39">
        <v>50</v>
      </c>
      <c r="E1582" s="42">
        <v>34.9</v>
      </c>
      <c r="F1582" s="41">
        <f t="shared" ca="1" si="57"/>
        <v>1745</v>
      </c>
    </row>
    <row r="1583" spans="1:6" ht="14.25" customHeight="1" x14ac:dyDescent="0.35">
      <c r="A1583" s="39" t="s">
        <v>10628</v>
      </c>
      <c r="B1583" s="40" t="str">
        <f ca="1">IFERROR(INDEX(UNSPSCDes,MATCH(INDIRECT(ADDRESS(ROW(),COLUMN()-1,4)),UNSPSCCode,0)),IF(INDIRECT(ADDRESS(ROW(),COLUMN()-1,4))="44111611","Clips para billetes",""))</f>
        <v>Clips para billetes</v>
      </c>
      <c r="C1583" s="72" t="str">
        <f>IFERROR(VLOOKUP("CAJ",'Informacion '!P:Q,2,FALSE),"")</f>
        <v>Caja</v>
      </c>
      <c r="D1583" s="39">
        <v>75</v>
      </c>
      <c r="E1583" s="42">
        <v>8.23</v>
      </c>
      <c r="F1583" s="41">
        <f t="shared" ca="1" si="57"/>
        <v>617.25</v>
      </c>
    </row>
    <row r="1584" spans="1:6" ht="14.25" customHeight="1" x14ac:dyDescent="0.35">
      <c r="A1584" s="39" t="s">
        <v>9252</v>
      </c>
      <c r="B1584" s="40" t="str">
        <f ca="1">IFERROR(INDEX(UNSPSCDes,MATCH(INDIRECT(ADDRESS(ROW(),COLUMN()-1,4)),UNSPSCCode,0)),IF(INDIRECT(ADDRESS(ROW(),COLUMN()-1,4))="44111808","Reglas t",""))</f>
        <v>Reglas t</v>
      </c>
      <c r="C1584" s="72" t="str">
        <f>IFERROR(VLOOKUP("UD",'Informacion '!P:Q,2,FALSE),"")</f>
        <v>Unidad</v>
      </c>
      <c r="D1584" s="39">
        <v>30</v>
      </c>
      <c r="E1584" s="42">
        <v>5.6</v>
      </c>
      <c r="F1584" s="41">
        <f t="shared" ca="1" si="57"/>
        <v>168</v>
      </c>
    </row>
    <row r="1585" spans="1:6" ht="14.25" customHeight="1" x14ac:dyDescent="0.35">
      <c r="A1585" s="39" t="s">
        <v>12198</v>
      </c>
      <c r="B1585" s="40" t="str">
        <f ca="1">IFERROR(INDEX(UNSPSCDes,MATCH(INDIRECT(ADDRESS(ROW(),COLUMN()-1,4)),UNSPSCCode,0)),IF(INDIRECT(ADDRESS(ROW(),COLUMN()-1,4))="44112005","Libretas de citas o repuestos",""))</f>
        <v>Libretas de citas o repuestos</v>
      </c>
      <c r="C1585" s="72" t="str">
        <f>IFERROR(VLOOKUP("UD",'Informacion '!P:Q,2,FALSE),"")</f>
        <v>Unidad</v>
      </c>
      <c r="D1585" s="39">
        <v>40</v>
      </c>
      <c r="E1585" s="42">
        <v>36.33</v>
      </c>
      <c r="F1585" s="41">
        <f t="shared" ca="1" si="57"/>
        <v>1453.1999999999998</v>
      </c>
    </row>
    <row r="1586" spans="1:6" ht="14.25" customHeight="1" x14ac:dyDescent="0.35">
      <c r="A1586" s="39" t="s">
        <v>12198</v>
      </c>
      <c r="B1586" s="40" t="str">
        <f ca="1">IFERROR(INDEX(UNSPSCDes,MATCH(INDIRECT(ADDRESS(ROW(),COLUMN()-1,4)),UNSPSCCode,0)),IF(INDIRECT(ADDRESS(ROW(),COLUMN()-1,4))="44112005","Libretas de citas o repuestos",""))</f>
        <v>Libretas de citas o repuestos</v>
      </c>
      <c r="C1586" s="72" t="str">
        <f>IFERROR(VLOOKUP("DOC",'Informacion '!P:Q,2,FALSE),"")</f>
        <v>Docena</v>
      </c>
      <c r="D1586" s="39">
        <v>1000</v>
      </c>
      <c r="E1586" s="42">
        <v>300.02999999999997</v>
      </c>
      <c r="F1586" s="41">
        <f t="shared" ca="1" si="57"/>
        <v>300030</v>
      </c>
    </row>
    <row r="1587" spans="1:6" ht="14.25" customHeight="1" x14ac:dyDescent="0.35">
      <c r="A1587" s="39" t="s">
        <v>12198</v>
      </c>
      <c r="B1587" s="40" t="str">
        <f ca="1">IFERROR(INDEX(UNSPSCDes,MATCH(INDIRECT(ADDRESS(ROW(),COLUMN()-1,4)),UNSPSCCode,0)),IF(INDIRECT(ADDRESS(ROW(),COLUMN()-1,4))="44112005","Libretas de citas o repuestos",""))</f>
        <v>Libretas de citas o repuestos</v>
      </c>
      <c r="C1587" s="72" t="str">
        <f>IFERROR(VLOOKUP("UD",'Informacion '!P:Q,2,FALSE),"")</f>
        <v>Unidad</v>
      </c>
      <c r="D1587" s="39">
        <v>250</v>
      </c>
      <c r="E1587" s="42">
        <v>14.45</v>
      </c>
      <c r="F1587" s="41">
        <f t="shared" ca="1" si="57"/>
        <v>3612.5</v>
      </c>
    </row>
    <row r="1588" spans="1:6" ht="14.25" customHeight="1" x14ac:dyDescent="0.35">
      <c r="A1588" s="39" t="s">
        <v>12198</v>
      </c>
      <c r="B1588" s="40" t="str">
        <f ca="1">IFERROR(INDEX(UNSPSCDes,MATCH(INDIRECT(ADDRESS(ROW(),COLUMN()-1,4)),UNSPSCCode,0)),IF(INDIRECT(ADDRESS(ROW(),COLUMN()-1,4))="44112005","Libretas de citas o repuestos",""))</f>
        <v>Libretas de citas o repuestos</v>
      </c>
      <c r="C1588" s="72" t="str">
        <f>IFERROR(VLOOKUP("UD",'Informacion '!P:Q,2,FALSE),"")</f>
        <v>Unidad</v>
      </c>
      <c r="D1588" s="39">
        <v>250</v>
      </c>
      <c r="E1588" s="42">
        <v>41.29</v>
      </c>
      <c r="F1588" s="41">
        <f t="shared" ca="1" si="57"/>
        <v>10322.5</v>
      </c>
    </row>
    <row r="1589" spans="1:6" ht="14.25" customHeight="1" x14ac:dyDescent="0.35">
      <c r="A1589" s="39" t="s">
        <v>5591</v>
      </c>
      <c r="B1589" s="40" t="str">
        <f ca="1">IFERROR(INDEX(UNSPSCDes,MATCH(INDIRECT(ADDRESS(ROW(),COLUMN()-1,4)),UNSPSCCode,0)),IF(INDIRECT(ADDRESS(ROW(),COLUMN()-1,4))="44121505","Sobres especiales",""))</f>
        <v>Sobres especiales</v>
      </c>
      <c r="C1589" s="72" t="str">
        <f>IFERROR(VLOOKUP("CAJ",'Informacion '!P:Q,2,FALSE),"")</f>
        <v>Caja</v>
      </c>
      <c r="D1589" s="39">
        <v>12</v>
      </c>
      <c r="E1589" s="42">
        <v>1694</v>
      </c>
      <c r="F1589" s="41">
        <f t="shared" ca="1" si="57"/>
        <v>20328</v>
      </c>
    </row>
    <row r="1590" spans="1:6" ht="14.25" customHeight="1" x14ac:dyDescent="0.35">
      <c r="A1590" s="39" t="s">
        <v>16730</v>
      </c>
      <c r="B1590" s="40" t="str">
        <f ca="1">IFERROR(INDEX(UNSPSCDes,MATCH(INDIRECT(ADDRESS(ROW(),COLUMN()-1,4)),UNSPSCCode,0)),IF(INDIRECT(ADDRESS(ROW(),COLUMN()-1,4))="44121506","Sobres estándar",""))</f>
        <v>Sobres estándar</v>
      </c>
      <c r="C1590" s="72" t="str">
        <f>IFERROR(VLOOKUP("CAJ",'Informacion '!P:Q,2,FALSE),"")</f>
        <v>Caja</v>
      </c>
      <c r="D1590" s="39">
        <v>200</v>
      </c>
      <c r="E1590" s="42">
        <v>649</v>
      </c>
      <c r="F1590" s="41">
        <f t="shared" ca="1" si="57"/>
        <v>129800</v>
      </c>
    </row>
    <row r="1591" spans="1:6" ht="14.25" customHeight="1" x14ac:dyDescent="0.35">
      <c r="A1591" s="39" t="s">
        <v>16730</v>
      </c>
      <c r="B1591" s="40" t="str">
        <f ca="1">IFERROR(INDEX(UNSPSCDes,MATCH(INDIRECT(ADDRESS(ROW(),COLUMN()-1,4)),UNSPSCCode,0)),IF(INDIRECT(ADDRESS(ROW(),COLUMN()-1,4))="44121506","Sobres estándar",""))</f>
        <v>Sobres estándar</v>
      </c>
      <c r="C1591" s="72" t="str">
        <f>IFERROR(VLOOKUP("UD",'Informacion '!P:Q,2,FALSE),"")</f>
        <v>Unidad</v>
      </c>
      <c r="D1591" s="39">
        <v>250</v>
      </c>
      <c r="E1591" s="42">
        <v>1.66</v>
      </c>
      <c r="F1591" s="41">
        <f t="shared" ca="1" si="57"/>
        <v>415</v>
      </c>
    </row>
    <row r="1592" spans="1:6" ht="14.25" customHeight="1" x14ac:dyDescent="0.35">
      <c r="A1592" s="39" t="s">
        <v>16730</v>
      </c>
      <c r="B1592" s="40" t="str">
        <f ca="1">IFERROR(INDEX(UNSPSCDes,MATCH(INDIRECT(ADDRESS(ROW(),COLUMN()-1,4)),UNSPSCCode,0)),IF(INDIRECT(ADDRESS(ROW(),COLUMN()-1,4))="44121506","Sobres estándar",""))</f>
        <v>Sobres estándar</v>
      </c>
      <c r="C1592" s="72" t="str">
        <f>IFERROR(VLOOKUP("UD",'Informacion '!P:Q,2,FALSE),"")</f>
        <v>Unidad</v>
      </c>
      <c r="D1592" s="39">
        <v>375</v>
      </c>
      <c r="E1592" s="42">
        <v>2.12</v>
      </c>
      <c r="F1592" s="41">
        <f t="shared" ca="1" si="57"/>
        <v>795</v>
      </c>
    </row>
    <row r="1593" spans="1:6" ht="14.25" customHeight="1" x14ac:dyDescent="0.35">
      <c r="A1593" s="39" t="s">
        <v>16730</v>
      </c>
      <c r="B1593" s="40" t="str">
        <f ca="1">IFERROR(INDEX(UNSPSCDes,MATCH(INDIRECT(ADDRESS(ROW(),COLUMN()-1,4)),UNSPSCCode,0)),IF(INDIRECT(ADDRESS(ROW(),COLUMN()-1,4))="44121506","Sobres estándar",""))</f>
        <v>Sobres estándar</v>
      </c>
      <c r="C1593" s="72" t="str">
        <f>IFERROR(VLOOKUP("UD",'Informacion '!P:Q,2,FALSE),"")</f>
        <v>Unidad</v>
      </c>
      <c r="D1593" s="39">
        <v>50</v>
      </c>
      <c r="E1593" s="42">
        <v>6.49</v>
      </c>
      <c r="F1593" s="41">
        <f t="shared" ca="1" si="57"/>
        <v>324.5</v>
      </c>
    </row>
    <row r="1594" spans="1:6" ht="14.25" customHeight="1" x14ac:dyDescent="0.35">
      <c r="A1594" s="39" t="s">
        <v>16730</v>
      </c>
      <c r="B1594" s="40" t="str">
        <f ca="1">IFERROR(INDEX(UNSPSCDes,MATCH(INDIRECT(ADDRESS(ROW(),COLUMN()-1,4)),UNSPSCCode,0)),IF(INDIRECT(ADDRESS(ROW(),COLUMN()-1,4))="44121506","Sobres estándar",""))</f>
        <v>Sobres estándar</v>
      </c>
      <c r="C1594" s="72" t="str">
        <f>IFERROR(VLOOKUP("UD",'Informacion '!P:Q,2,FALSE),"")</f>
        <v>Unidad</v>
      </c>
      <c r="D1594" s="39">
        <v>1000</v>
      </c>
      <c r="E1594" s="42">
        <v>2.33</v>
      </c>
      <c r="F1594" s="41">
        <f t="shared" ca="1" si="57"/>
        <v>2330</v>
      </c>
    </row>
    <row r="1595" spans="1:6" ht="14.25" customHeight="1" x14ac:dyDescent="0.35">
      <c r="A1595" s="39" t="s">
        <v>16611</v>
      </c>
      <c r="B1595" s="40" t="str">
        <f ca="1">IFERROR(INDEX(UNSPSCDes,MATCH(INDIRECT(ADDRESS(ROW(),COLUMN()-1,4)),UNSPSCCode,0)),IF(INDIRECT(ADDRESS(ROW(),COLUMN()-1,4))="44121613","Removedores de grapas (saca ganchos)",""))</f>
        <v>Removedores de grapas (saca ganchos)</v>
      </c>
      <c r="C1595" s="72" t="str">
        <f>IFERROR(VLOOKUP("UD",'Informacion '!P:Q,2,FALSE),"")</f>
        <v>Unidad</v>
      </c>
      <c r="D1595" s="39">
        <v>20</v>
      </c>
      <c r="E1595" s="42">
        <v>22.42</v>
      </c>
      <c r="F1595" s="41">
        <f t="shared" ca="1" si="57"/>
        <v>448.40000000000003</v>
      </c>
    </row>
    <row r="1596" spans="1:6" ht="14.25" customHeight="1" x14ac:dyDescent="0.35">
      <c r="A1596" s="39" t="s">
        <v>16460</v>
      </c>
      <c r="B1596" s="40" t="str">
        <f ca="1">IFERROR(INDEX(UNSPSCDes,MATCH(INDIRECT(ADDRESS(ROW(),COLUMN()-1,4)),UNSPSCCode,0)),IF(INDIRECT(ADDRESS(ROW(),COLUMN()-1,4))="44121615","Grapadoras",""))</f>
        <v>Grapadoras</v>
      </c>
      <c r="C1596" s="72" t="str">
        <f>IFERROR(VLOOKUP("UD",'Informacion '!P:Q,2,FALSE),"")</f>
        <v>Unidad</v>
      </c>
      <c r="D1596" s="39">
        <v>30</v>
      </c>
      <c r="E1596" s="42">
        <v>256.04000000000002</v>
      </c>
      <c r="F1596" s="41">
        <f t="shared" ca="1" si="57"/>
        <v>7681.2000000000007</v>
      </c>
    </row>
    <row r="1597" spans="1:6" ht="14.25" customHeight="1" x14ac:dyDescent="0.35">
      <c r="A1597" s="39" t="s">
        <v>9590</v>
      </c>
      <c r="B1597" s="40" t="str">
        <f ca="1">IFERROR(INDEX(UNSPSCDes,MATCH(INDIRECT(ADDRESS(ROW(),COLUMN()-1,4)),UNSPSCCode,0)),IF(INDIRECT(ADDRESS(ROW(),COLUMN()-1,4))="44121618","Tijeras",""))</f>
        <v>Tijeras</v>
      </c>
      <c r="C1597" s="72" t="str">
        <f>IFERROR(VLOOKUP("UD",'Informacion '!P:Q,2,FALSE),"")</f>
        <v>Unidad</v>
      </c>
      <c r="D1597" s="39">
        <v>25</v>
      </c>
      <c r="E1597" s="42">
        <v>31.85</v>
      </c>
      <c r="F1597" s="41">
        <f t="shared" ca="1" si="57"/>
        <v>796.25</v>
      </c>
    </row>
    <row r="1598" spans="1:6" ht="14.25" customHeight="1" x14ac:dyDescent="0.35">
      <c r="A1598" s="39" t="s">
        <v>9579</v>
      </c>
      <c r="B1598" s="40" t="str">
        <f ca="1">IFERROR(INDEX(UNSPSCDes,MATCH(INDIRECT(ADDRESS(ROW(),COLUMN()-1,4)),UNSPSCCode,0)),IF(INDIRECT(ADDRESS(ROW(),COLUMN()-1,4))="44121628","Contenedores o dispensadores de clips",""))</f>
        <v>Contenedores o dispensadores de clips</v>
      </c>
      <c r="C1598" s="72" t="str">
        <f>IFERROR(VLOOKUP("UD",'Informacion '!P:Q,2,FALSE),"")</f>
        <v>Unidad</v>
      </c>
      <c r="D1598" s="39">
        <v>5</v>
      </c>
      <c r="E1598" s="42">
        <v>35.33</v>
      </c>
      <c r="F1598" s="41">
        <f t="shared" ca="1" si="57"/>
        <v>176.64999999999998</v>
      </c>
    </row>
    <row r="1599" spans="1:6" ht="14.25" customHeight="1" x14ac:dyDescent="0.35">
      <c r="A1599" s="39" t="s">
        <v>16550</v>
      </c>
      <c r="B1599" s="40" t="str">
        <f ca="1">IFERROR(INDEX(UNSPSCDes,MATCH(INDIRECT(ADDRESS(ROW(),COLUMN()-1,4)),UNSPSCCode,0)),IF(INDIRECT(ADDRESS(ROW(),COLUMN()-1,4))="44121701","Bolígrafos",""))</f>
        <v>Bolígrafos</v>
      </c>
      <c r="C1599" s="72" t="str">
        <f>IFERROR(VLOOKUP("CAJ",'Informacion '!P:Q,2,FALSE),"")</f>
        <v>Caja</v>
      </c>
      <c r="D1599" s="39">
        <v>1000</v>
      </c>
      <c r="E1599" s="42">
        <v>117.9</v>
      </c>
      <c r="F1599" s="41">
        <f t="shared" ca="1" si="57"/>
        <v>117900</v>
      </c>
    </row>
    <row r="1600" spans="1:6" ht="14.25" customHeight="1" x14ac:dyDescent="0.35">
      <c r="A1600" s="39" t="s">
        <v>16550</v>
      </c>
      <c r="B1600" s="40" t="str">
        <f ca="1">IFERROR(INDEX(UNSPSCDes,MATCH(INDIRECT(ADDRESS(ROW(),COLUMN()-1,4)),UNSPSCCode,0)),IF(INDIRECT(ADDRESS(ROW(),COLUMN()-1,4))="44121701","Bolígrafos",""))</f>
        <v>Bolígrafos</v>
      </c>
      <c r="C1600" s="72" t="str">
        <f>IFERROR(VLOOKUP("CAJ",'Informacion '!P:Q,2,FALSE),"")</f>
        <v>Caja</v>
      </c>
      <c r="D1600" s="39">
        <v>1750</v>
      </c>
      <c r="E1600" s="42">
        <v>3.75</v>
      </c>
      <c r="F1600" s="41">
        <f t="shared" ca="1" si="57"/>
        <v>6562.5</v>
      </c>
    </row>
    <row r="1601" spans="1:6" ht="14.25" customHeight="1" x14ac:dyDescent="0.35">
      <c r="A1601" s="39" t="s">
        <v>16550</v>
      </c>
      <c r="B1601" s="40" t="str">
        <f ca="1">IFERROR(INDEX(UNSPSCDes,MATCH(INDIRECT(ADDRESS(ROW(),COLUMN()-1,4)),UNSPSCCode,0)),IF(INDIRECT(ADDRESS(ROW(),COLUMN()-1,4))="44121701","Bolígrafos",""))</f>
        <v>Bolígrafos</v>
      </c>
      <c r="C1601" s="72" t="str">
        <f>IFERROR(VLOOKUP("UD",'Informacion '!P:Q,2,FALSE),"")</f>
        <v>Unidad</v>
      </c>
      <c r="D1601" s="39">
        <v>125</v>
      </c>
      <c r="E1601" s="42">
        <v>94.35</v>
      </c>
      <c r="F1601" s="41">
        <f t="shared" ca="1" si="57"/>
        <v>11793.75</v>
      </c>
    </row>
    <row r="1602" spans="1:6" ht="14.25" customHeight="1" x14ac:dyDescent="0.35">
      <c r="A1602" s="39" t="s">
        <v>12891</v>
      </c>
      <c r="B1602" s="40" t="str">
        <f ca="1">IFERROR(INDEX(UNSPSCDes,MATCH(INDIRECT(ADDRESS(ROW(),COLUMN()-1,4)),UNSPSCCode,0)),IF(INDIRECT(ADDRESS(ROW(),COLUMN()-1,4))="44121706","Lápices de madera",""))</f>
        <v>Lápices de madera</v>
      </c>
      <c r="C1602" s="72" t="str">
        <f>IFERROR(VLOOKUP("CAJ",'Informacion '!P:Q,2,FALSE),"")</f>
        <v>Caja</v>
      </c>
      <c r="D1602" s="39">
        <v>8</v>
      </c>
      <c r="E1602" s="42">
        <v>30</v>
      </c>
      <c r="F1602" s="41">
        <f t="shared" ca="1" si="57"/>
        <v>240</v>
      </c>
    </row>
    <row r="1603" spans="1:6" ht="14.25" customHeight="1" x14ac:dyDescent="0.35">
      <c r="A1603" s="39" t="s">
        <v>12891</v>
      </c>
      <c r="B1603" s="40" t="str">
        <f ca="1">IFERROR(INDEX(UNSPSCDes,MATCH(INDIRECT(ADDRESS(ROW(),COLUMN()-1,4)),UNSPSCCode,0)),IF(INDIRECT(ADDRESS(ROW(),COLUMN()-1,4))="44121706","Lápices de madera",""))</f>
        <v>Lápices de madera</v>
      </c>
      <c r="C1603" s="72" t="str">
        <f>IFERROR(VLOOKUP("UD",'Informacion '!P:Q,2,FALSE),"")</f>
        <v>Unidad</v>
      </c>
      <c r="D1603" s="39">
        <v>719</v>
      </c>
      <c r="E1603" s="42">
        <v>30</v>
      </c>
      <c r="F1603" s="41">
        <f t="shared" ca="1" si="57"/>
        <v>21570</v>
      </c>
    </row>
    <row r="1604" spans="1:6" ht="14.25" customHeight="1" x14ac:dyDescent="0.35">
      <c r="A1604" s="39" t="s">
        <v>2450</v>
      </c>
      <c r="B1604" s="40" t="str">
        <f ca="1">IFERROR(INDEX(UNSPSCDes,MATCH(INDIRECT(ADDRESS(ROW(),COLUMN()-1,4)),UNSPSCCode,0)),IF(INDIRECT(ADDRESS(ROW(),COLUMN()-1,4))="44121708","Marcadores",""))</f>
        <v>Marcadores</v>
      </c>
      <c r="C1604" s="72" t="str">
        <f>IFERROR(VLOOKUP("UD",'Informacion '!P:Q,2,FALSE),"")</f>
        <v>Unidad</v>
      </c>
      <c r="D1604" s="39">
        <v>100</v>
      </c>
      <c r="E1604" s="42">
        <v>13</v>
      </c>
      <c r="F1604" s="41">
        <f t="shared" ca="1" si="57"/>
        <v>1300</v>
      </c>
    </row>
    <row r="1605" spans="1:6" ht="14.25" customHeight="1" x14ac:dyDescent="0.35">
      <c r="A1605" s="39" t="s">
        <v>2450</v>
      </c>
      <c r="B1605" s="40" t="str">
        <f ca="1">IFERROR(INDEX(UNSPSCDes,MATCH(INDIRECT(ADDRESS(ROW(),COLUMN()-1,4)),UNSPSCCode,0)),IF(INDIRECT(ADDRESS(ROW(),COLUMN()-1,4))="44121708","Marcadores",""))</f>
        <v>Marcadores</v>
      </c>
      <c r="C1605" s="72" t="str">
        <f>IFERROR(VLOOKUP("UD",'Informacion '!P:Q,2,FALSE),"")</f>
        <v>Unidad</v>
      </c>
      <c r="D1605" s="39">
        <v>30</v>
      </c>
      <c r="E1605" s="42">
        <v>14.5</v>
      </c>
      <c r="F1605" s="41">
        <f t="shared" ca="1" si="57"/>
        <v>435</v>
      </c>
    </row>
    <row r="1606" spans="1:6" ht="14.25" customHeight="1" x14ac:dyDescent="0.35">
      <c r="A1606" s="39" t="s">
        <v>2450</v>
      </c>
      <c r="B1606" s="40" t="str">
        <f ca="1">IFERROR(INDEX(UNSPSCDes,MATCH(INDIRECT(ADDRESS(ROW(),COLUMN()-1,4)),UNSPSCCode,0)),IF(INDIRECT(ADDRESS(ROW(),COLUMN()-1,4))="44121708","Marcadores",""))</f>
        <v>Marcadores</v>
      </c>
      <c r="C1606" s="72" t="str">
        <f>IFERROR(VLOOKUP("UD",'Informacion '!P:Q,2,FALSE),"")</f>
        <v>Unidad</v>
      </c>
      <c r="D1606" s="39">
        <v>45</v>
      </c>
      <c r="E1606" s="42">
        <v>21.17</v>
      </c>
      <c r="F1606" s="41">
        <f t="shared" ca="1" si="57"/>
        <v>952.65000000000009</v>
      </c>
    </row>
    <row r="1607" spans="1:6" ht="14.25" customHeight="1" x14ac:dyDescent="0.35">
      <c r="A1607" s="39" t="s">
        <v>9649</v>
      </c>
      <c r="B1607" s="40" t="str">
        <f ca="1">IFERROR(INDEX(UNSPSCDes,MATCH(INDIRECT(ADDRESS(ROW(),COLUMN()-1,4)),UNSPSCCode,0)),IF(INDIRECT(ADDRESS(ROW(),COLUMN()-1,4))="44121715","Combinaciones de esfero y lápiz",""))</f>
        <v>Combinaciones de esfero y lápiz</v>
      </c>
      <c r="C1607" s="72" t="str">
        <f>IFERROR(VLOOKUP("UD",'Informacion '!P:Q,2,FALSE),"")</f>
        <v>Unidad</v>
      </c>
      <c r="D1607" s="39">
        <v>10</v>
      </c>
      <c r="E1607" s="42">
        <v>92</v>
      </c>
      <c r="F1607" s="41">
        <f t="shared" ca="1" si="57"/>
        <v>920</v>
      </c>
    </row>
    <row r="1608" spans="1:6" ht="14.25" customHeight="1" x14ac:dyDescent="0.35">
      <c r="A1608" s="39" t="s">
        <v>12884</v>
      </c>
      <c r="B1608" s="40" t="str">
        <f t="shared" ref="B1608:B1613" ca="1" si="58">IFERROR(INDEX(UNSPSCDes,MATCH(INDIRECT(ADDRESS(ROW(),COLUMN()-1,4)),UNSPSCCode,0)),IF(INDIRECT(ADDRESS(ROW(),COLUMN()-1,4))="44121716","Resaltadores",""))</f>
        <v>Resaltadores</v>
      </c>
      <c r="C1608" s="72" t="str">
        <f>IFERROR(VLOOKUP("RESMA",'Informacion '!P:Q,2,FALSE),"")</f>
        <v>Resma</v>
      </c>
      <c r="D1608" s="39">
        <v>4</v>
      </c>
      <c r="E1608" s="42">
        <v>29.4</v>
      </c>
      <c r="F1608" s="41">
        <f t="shared" ca="1" si="57"/>
        <v>117.6</v>
      </c>
    </row>
    <row r="1609" spans="1:6" ht="14.25" customHeight="1" x14ac:dyDescent="0.35">
      <c r="A1609" s="39" t="s">
        <v>12884</v>
      </c>
      <c r="B1609" s="40" t="str">
        <f t="shared" ca="1" si="58"/>
        <v>Resaltadores</v>
      </c>
      <c r="C1609" s="72" t="str">
        <f>IFERROR(VLOOKUP("UD",'Informacion '!P:Q,2,FALSE),"")</f>
        <v>Unidad</v>
      </c>
      <c r="D1609" s="39">
        <v>10</v>
      </c>
      <c r="E1609" s="42">
        <v>141.5</v>
      </c>
      <c r="F1609" s="41">
        <f t="shared" ca="1" si="57"/>
        <v>1415</v>
      </c>
    </row>
    <row r="1610" spans="1:6" ht="14.25" customHeight="1" x14ac:dyDescent="0.35">
      <c r="A1610" s="39" t="s">
        <v>12884</v>
      </c>
      <c r="B1610" s="40" t="str">
        <f t="shared" ca="1" si="58"/>
        <v>Resaltadores</v>
      </c>
      <c r="C1610" s="72" t="str">
        <f>IFERROR(VLOOKUP("UD",'Informacion '!P:Q,2,FALSE),"")</f>
        <v>Unidad</v>
      </c>
      <c r="D1610" s="39">
        <v>60</v>
      </c>
      <c r="E1610" s="42">
        <v>4.4800000000000004</v>
      </c>
      <c r="F1610" s="41">
        <f t="shared" ref="F1610:F1629" ca="1" si="59">INDIRECT(ADDRESS(ROW(),COLUMN()-2,4))*INDIRECT(ADDRESS(ROW(),COLUMN()-1,4))</f>
        <v>268.8</v>
      </c>
    </row>
    <row r="1611" spans="1:6" ht="14.25" customHeight="1" x14ac:dyDescent="0.35">
      <c r="A1611" s="39" t="s">
        <v>12884</v>
      </c>
      <c r="B1611" s="40" t="str">
        <f t="shared" ca="1" si="58"/>
        <v>Resaltadores</v>
      </c>
      <c r="C1611" s="72" t="str">
        <f>IFERROR(VLOOKUP("UD",'Informacion '!P:Q,2,FALSE),"")</f>
        <v>Unidad</v>
      </c>
      <c r="D1611" s="39">
        <v>30</v>
      </c>
      <c r="E1611" s="42">
        <v>165.67</v>
      </c>
      <c r="F1611" s="41">
        <f t="shared" ca="1" si="59"/>
        <v>4970.0999999999995</v>
      </c>
    </row>
    <row r="1612" spans="1:6" ht="14.25" customHeight="1" x14ac:dyDescent="0.35">
      <c r="A1612" s="39" t="s">
        <v>12884</v>
      </c>
      <c r="B1612" s="40" t="str">
        <f t="shared" ca="1" si="58"/>
        <v>Resaltadores</v>
      </c>
      <c r="C1612" s="72" t="str">
        <f>IFERROR(VLOOKUP("UD",'Informacion '!P:Q,2,FALSE),"")</f>
        <v>Unidad</v>
      </c>
      <c r="D1612" s="39">
        <v>60</v>
      </c>
      <c r="E1612" s="42">
        <v>19.440000000000001</v>
      </c>
      <c r="F1612" s="41">
        <f t="shared" ca="1" si="59"/>
        <v>1166.4000000000001</v>
      </c>
    </row>
    <row r="1613" spans="1:6" ht="14.25" customHeight="1" x14ac:dyDescent="0.35">
      <c r="A1613" s="39" t="s">
        <v>12884</v>
      </c>
      <c r="B1613" s="40" t="str">
        <f t="shared" ca="1" si="58"/>
        <v>Resaltadores</v>
      </c>
      <c r="C1613" s="72" t="str">
        <f>IFERROR(VLOOKUP("UD",'Informacion '!P:Q,2,FALSE),"")</f>
        <v>Unidad</v>
      </c>
      <c r="D1613" s="39">
        <v>30</v>
      </c>
      <c r="E1613" s="42">
        <v>9.3800000000000008</v>
      </c>
      <c r="F1613" s="41">
        <f t="shared" ca="1" si="59"/>
        <v>281.40000000000003</v>
      </c>
    </row>
    <row r="1614" spans="1:6" ht="14.25" customHeight="1" x14ac:dyDescent="0.35">
      <c r="A1614" s="39" t="s">
        <v>1273</v>
      </c>
      <c r="B1614" s="40" t="str">
        <f ca="1">IFERROR(INDEX(UNSPSCDes,MATCH(INDIRECT(ADDRESS(ROW(),COLUMN()-1,4)),UNSPSCCode,0)),IF(INDIRECT(ADDRESS(ROW(),COLUMN()-1,4))="44122003","Carpetas",""))</f>
        <v>Carpetas</v>
      </c>
      <c r="C1614" s="72" t="str">
        <f>IFERROR(VLOOKUP("UD",'Informacion '!P:Q,2,FALSE),"")</f>
        <v>Unidad</v>
      </c>
      <c r="D1614" s="39">
        <v>4</v>
      </c>
      <c r="E1614" s="42">
        <v>100.3</v>
      </c>
      <c r="F1614" s="41">
        <f t="shared" ca="1" si="59"/>
        <v>401.2</v>
      </c>
    </row>
    <row r="1615" spans="1:6" ht="14.25" customHeight="1" x14ac:dyDescent="0.35">
      <c r="A1615" s="39" t="s">
        <v>1273</v>
      </c>
      <c r="B1615" s="40" t="str">
        <f ca="1">IFERROR(INDEX(UNSPSCDes,MATCH(INDIRECT(ADDRESS(ROW(),COLUMN()-1,4)),UNSPSCCode,0)),IF(INDIRECT(ADDRESS(ROW(),COLUMN()-1,4))="44122003","Carpetas",""))</f>
        <v>Carpetas</v>
      </c>
      <c r="C1615" s="72" t="str">
        <f>IFERROR(VLOOKUP("UD",'Informacion '!P:Q,2,FALSE),"")</f>
        <v>Unidad</v>
      </c>
      <c r="D1615" s="39">
        <v>45</v>
      </c>
      <c r="E1615" s="42">
        <v>133.30000000000001</v>
      </c>
      <c r="F1615" s="41">
        <f t="shared" ca="1" si="59"/>
        <v>5998.5000000000009</v>
      </c>
    </row>
    <row r="1616" spans="1:6" ht="14.25" customHeight="1" x14ac:dyDescent="0.35">
      <c r="A1616" s="39" t="s">
        <v>1273</v>
      </c>
      <c r="B1616" s="40" t="str">
        <f ca="1">IFERROR(INDEX(UNSPSCDes,MATCH(INDIRECT(ADDRESS(ROW(),COLUMN()-1,4)),UNSPSCCode,0)),IF(INDIRECT(ADDRESS(ROW(),COLUMN()-1,4))="44122003","Carpetas",""))</f>
        <v>Carpetas</v>
      </c>
      <c r="C1616" s="72" t="str">
        <f>IFERROR(VLOOKUP("UD",'Informacion '!P:Q,2,FALSE),"")</f>
        <v>Unidad</v>
      </c>
      <c r="D1616" s="39">
        <v>45</v>
      </c>
      <c r="E1616" s="42">
        <v>187.61</v>
      </c>
      <c r="F1616" s="41">
        <f t="shared" ca="1" si="59"/>
        <v>8442.4500000000007</v>
      </c>
    </row>
    <row r="1617" spans="1:10" ht="14.25" customHeight="1" x14ac:dyDescent="0.35">
      <c r="A1617" s="39" t="s">
        <v>1273</v>
      </c>
      <c r="B1617" s="40" t="str">
        <f ca="1">IFERROR(INDEX(UNSPSCDes,MATCH(INDIRECT(ADDRESS(ROW(),COLUMN()-1,4)),UNSPSCCode,0)),IF(INDIRECT(ADDRESS(ROW(),COLUMN()-1,4))="44122003","Carpetas",""))</f>
        <v>Carpetas</v>
      </c>
      <c r="C1617" s="72" t="str">
        <f>IFERROR(VLOOKUP("UD",'Informacion '!P:Q,2,FALSE),"")</f>
        <v>Unidad</v>
      </c>
      <c r="D1617" s="39">
        <v>75</v>
      </c>
      <c r="E1617" s="42">
        <v>188.8</v>
      </c>
      <c r="F1617" s="41">
        <f t="shared" ca="1" si="59"/>
        <v>14160</v>
      </c>
    </row>
    <row r="1618" spans="1:10" ht="14.25" customHeight="1" x14ac:dyDescent="0.35">
      <c r="A1618" s="39" t="s">
        <v>8915</v>
      </c>
      <c r="B1618" s="40" t="str">
        <f ca="1">IFERROR(INDEX(UNSPSCDes,MATCH(INDIRECT(ADDRESS(ROW(),COLUMN()-1,4)),UNSPSCCode,0)),IF(INDIRECT(ADDRESS(ROW(),COLUMN()-1,4))="44122005","Cubiertas para revistas o libros",""))</f>
        <v>Cubiertas para revistas o libros</v>
      </c>
      <c r="C1618" s="72" t="str">
        <f>IFERROR(VLOOKUP("UD",'Informacion '!P:Q,2,FALSE),"")</f>
        <v>Unidad</v>
      </c>
      <c r="D1618" s="39">
        <v>250</v>
      </c>
      <c r="E1618" s="42">
        <v>590</v>
      </c>
      <c r="F1618" s="41">
        <f t="shared" ca="1" si="59"/>
        <v>147500</v>
      </c>
    </row>
    <row r="1619" spans="1:10" ht="14.25" customHeight="1" x14ac:dyDescent="0.35">
      <c r="A1619" s="39" t="s">
        <v>5536</v>
      </c>
      <c r="B1619" s="40" t="str">
        <f ca="1">IFERROR(INDEX(UNSPSCDes,MATCH(INDIRECT(ADDRESS(ROW(),COLUMN()-1,4)),UNSPSCCode,0)),IF(INDIRECT(ADDRESS(ROW(),COLUMN()-1,4))="44122010","Separadores",""))</f>
        <v>Separadores</v>
      </c>
      <c r="C1619" s="72" t="str">
        <f>IFERROR(VLOOKUP("PAQ",'Informacion '!P:Q,2,FALSE),"")</f>
        <v>Paquete</v>
      </c>
      <c r="D1619" s="39">
        <v>500</v>
      </c>
      <c r="E1619" s="42">
        <v>96.44</v>
      </c>
      <c r="F1619" s="41">
        <f t="shared" ca="1" si="59"/>
        <v>48220</v>
      </c>
    </row>
    <row r="1620" spans="1:10" ht="14.25" customHeight="1" x14ac:dyDescent="0.35">
      <c r="A1620" s="39" t="s">
        <v>8013</v>
      </c>
      <c r="B1620" s="40" t="str">
        <f ca="1">IFERROR(INDEX(UNSPSCDes,MATCH(INDIRECT(ADDRESS(ROW(),COLUMN()-1,4)),UNSPSCCode,0)),IF(INDIRECT(ADDRESS(ROW(),COLUMN()-1,4))="44122011","Folders",""))</f>
        <v>Folders</v>
      </c>
      <c r="C1620" s="72" t="str">
        <f>IFERROR(VLOOKUP("UD",'Informacion '!P:Q,2,FALSE),"")</f>
        <v>Unidad</v>
      </c>
      <c r="D1620" s="39">
        <v>100</v>
      </c>
      <c r="E1620" s="42">
        <v>236</v>
      </c>
      <c r="F1620" s="41">
        <f t="shared" ca="1" si="59"/>
        <v>23600</v>
      </c>
    </row>
    <row r="1621" spans="1:10" ht="14.25" customHeight="1" x14ac:dyDescent="0.35">
      <c r="A1621" s="39" t="s">
        <v>8013</v>
      </c>
      <c r="B1621" s="40" t="str">
        <f ca="1">IFERROR(INDEX(UNSPSCDes,MATCH(INDIRECT(ADDRESS(ROW(),COLUMN()-1,4)),UNSPSCCode,0)),IF(INDIRECT(ADDRESS(ROW(),COLUMN()-1,4))="44122011","Folders",""))</f>
        <v>Folders</v>
      </c>
      <c r="C1621" s="72" t="str">
        <f>IFERROR(VLOOKUP("UD",'Informacion '!P:Q,2,FALSE),"")</f>
        <v>Unidad</v>
      </c>
      <c r="D1621" s="39">
        <v>75</v>
      </c>
      <c r="E1621" s="42">
        <v>796.5</v>
      </c>
      <c r="F1621" s="41">
        <f t="shared" ca="1" si="59"/>
        <v>59737.5</v>
      </c>
    </row>
    <row r="1622" spans="1:10" ht="14.25" customHeight="1" x14ac:dyDescent="0.35">
      <c r="A1622" s="39" t="s">
        <v>8013</v>
      </c>
      <c r="B1622" s="40" t="str">
        <f ca="1">IFERROR(INDEX(UNSPSCDes,MATCH(INDIRECT(ADDRESS(ROW(),COLUMN()-1,4)),UNSPSCCode,0)),IF(INDIRECT(ADDRESS(ROW(),COLUMN()-1,4))="44122011","Folders",""))</f>
        <v>Folders</v>
      </c>
      <c r="C1622" s="72" t="str">
        <f>IFERROR(VLOOKUP("UD",'Informacion '!P:Q,2,FALSE),"")</f>
        <v>Unidad</v>
      </c>
      <c r="D1622" s="39">
        <v>75</v>
      </c>
      <c r="E1622" s="42">
        <v>210</v>
      </c>
      <c r="F1622" s="41">
        <f t="shared" ca="1" si="59"/>
        <v>15750</v>
      </c>
    </row>
    <row r="1623" spans="1:10" ht="14.25" customHeight="1" x14ac:dyDescent="0.35">
      <c r="A1623" s="39" t="s">
        <v>8013</v>
      </c>
      <c r="B1623" s="40" t="str">
        <f ca="1">IFERROR(INDEX(UNSPSCDes,MATCH(INDIRECT(ADDRESS(ROW(),COLUMN()-1,4)),UNSPSCCode,0)),IF(INDIRECT(ADDRESS(ROW(),COLUMN()-1,4))="44122011","Folders",""))</f>
        <v>Folders</v>
      </c>
      <c r="C1623" s="72" t="str">
        <f>IFERROR(VLOOKUP("UD",'Informacion '!P:Q,2,FALSE),"")</f>
        <v>Unidad</v>
      </c>
      <c r="D1623" s="39">
        <v>5</v>
      </c>
      <c r="E1623" s="42">
        <v>442.5</v>
      </c>
      <c r="F1623" s="41">
        <f t="shared" ca="1" si="59"/>
        <v>2212.5</v>
      </c>
    </row>
    <row r="1624" spans="1:10" ht="14.25" customHeight="1" x14ac:dyDescent="0.35">
      <c r="A1624" s="39" t="s">
        <v>4690</v>
      </c>
      <c r="B1624" s="40" t="str">
        <f ca="1">IFERROR(INDEX(UNSPSCDes,MATCH(INDIRECT(ADDRESS(ROW(),COLUMN()-1,4)),UNSPSCCode,0)),IF(INDIRECT(ADDRESS(ROW(),COLUMN()-1,4))="44122022","Accesorios de carpetas de folders",""))</f>
        <v>Accesorios de carpetas de folders</v>
      </c>
      <c r="C1624" s="72" t="str">
        <f>IFERROR(VLOOKUP("UD",'Informacion '!P:Q,2,FALSE),"")</f>
        <v>Unidad</v>
      </c>
      <c r="D1624" s="39">
        <v>40</v>
      </c>
      <c r="E1624" s="42">
        <v>56.63</v>
      </c>
      <c r="F1624" s="41">
        <f t="shared" ca="1" si="59"/>
        <v>2265.2000000000003</v>
      </c>
    </row>
    <row r="1625" spans="1:10" ht="14.25" customHeight="1" x14ac:dyDescent="0.35">
      <c r="A1625" s="39" t="s">
        <v>16445</v>
      </c>
      <c r="B1625" s="40" t="str">
        <f ca="1">IFERROR(INDEX(UNSPSCDes,MATCH(INDIRECT(ADDRESS(ROW(),COLUMN()-1,4)),UNSPSCCode,0)),IF(INDIRECT(ADDRESS(ROW(),COLUMN()-1,4))="44122026","Garras para papel",""))</f>
        <v>Garras para papel</v>
      </c>
      <c r="C1625" s="72" t="str">
        <f>IFERROR(VLOOKUP("CAJ",'Informacion '!P:Q,2,FALSE),"")</f>
        <v>Caja</v>
      </c>
      <c r="D1625" s="39">
        <v>50</v>
      </c>
      <c r="E1625" s="42">
        <v>27.78</v>
      </c>
      <c r="F1625" s="41">
        <f t="shared" ca="1" si="59"/>
        <v>1389</v>
      </c>
    </row>
    <row r="1626" spans="1:10" ht="14.25" customHeight="1" x14ac:dyDescent="0.35">
      <c r="A1626" s="39" t="s">
        <v>16445</v>
      </c>
      <c r="B1626" s="40" t="str">
        <f ca="1">IFERROR(INDEX(UNSPSCDes,MATCH(INDIRECT(ADDRESS(ROW(),COLUMN()-1,4)),UNSPSCCode,0)),IF(INDIRECT(ADDRESS(ROW(),COLUMN()-1,4))="44122026","Garras para papel",""))</f>
        <v>Garras para papel</v>
      </c>
      <c r="C1626" s="72" t="str">
        <f>IFERROR(VLOOKUP("CAJ",'Informacion '!P:Q,2,FALSE),"")</f>
        <v>Caja</v>
      </c>
      <c r="D1626" s="39">
        <v>30</v>
      </c>
      <c r="E1626" s="42">
        <v>54.2</v>
      </c>
      <c r="F1626" s="41">
        <f t="shared" ca="1" si="59"/>
        <v>1626</v>
      </c>
    </row>
    <row r="1627" spans="1:10" ht="14.25" customHeight="1" x14ac:dyDescent="0.35">
      <c r="A1627" s="39" t="s">
        <v>13117</v>
      </c>
      <c r="B1627" s="40" t="str">
        <f ca="1">IFERROR(INDEX(UNSPSCDes,MATCH(INDIRECT(ADDRESS(ROW(),COLUMN()-1,4)),UNSPSCCode,0)),IF(INDIRECT(ADDRESS(ROW(),COLUMN()-1,4))="44122027","Folders de archivo expandibles",""))</f>
        <v>Folders de archivo expandibles</v>
      </c>
      <c r="C1627" s="72" t="str">
        <f>IFERROR(VLOOKUP("PAQ",'Informacion '!P:Q,2,FALSE),"")</f>
        <v>Paquete</v>
      </c>
      <c r="D1627" s="39">
        <v>22</v>
      </c>
      <c r="E1627" s="42">
        <v>403.28</v>
      </c>
      <c r="F1627" s="41">
        <f t="shared" ca="1" si="59"/>
        <v>8872.16</v>
      </c>
    </row>
    <row r="1628" spans="1:10" ht="14.25" customHeight="1" x14ac:dyDescent="0.35">
      <c r="A1628" s="39" t="s">
        <v>13117</v>
      </c>
      <c r="B1628" s="40" t="str">
        <f ca="1">IFERROR(INDEX(UNSPSCDes,MATCH(INDIRECT(ADDRESS(ROW(),COLUMN()-1,4)),UNSPSCCode,0)),IF(INDIRECT(ADDRESS(ROW(),COLUMN()-1,4))="44122027","Folders de archivo expandibles",""))</f>
        <v>Folders de archivo expandibles</v>
      </c>
      <c r="C1628" s="72" t="str">
        <f>IFERROR(VLOOKUP("CAJ",'Informacion '!P:Q,2,FALSE),"")</f>
        <v>Caja</v>
      </c>
      <c r="D1628" s="39">
        <v>20</v>
      </c>
      <c r="E1628" s="42">
        <v>371.8</v>
      </c>
      <c r="F1628" s="41">
        <f t="shared" ca="1" si="59"/>
        <v>7436</v>
      </c>
    </row>
    <row r="1629" spans="1:10" ht="14.25" customHeight="1" x14ac:dyDescent="0.35">
      <c r="A1629" s="39" t="s">
        <v>14415</v>
      </c>
      <c r="B1629" s="40" t="str">
        <f ca="1">IFERROR(INDEX(UNSPSCDes,MATCH(INDIRECT(ADDRESS(ROW(),COLUMN()-1,4)),UNSPSCCode,0)),IF(INDIRECT(ADDRESS(ROW(),COLUMN()-1,4))="44122104","Clips para papel",""))</f>
        <v>Clips para papel</v>
      </c>
      <c r="C1629" s="72" t="str">
        <f>IFERROR(VLOOKUP("UD",'Informacion '!P:Q,2,FALSE),"")</f>
        <v>Unidad</v>
      </c>
      <c r="D1629" s="39">
        <v>50</v>
      </c>
      <c r="E1629" s="42">
        <v>21.77</v>
      </c>
      <c r="F1629" s="41">
        <f t="shared" ca="1" si="59"/>
        <v>1088.5</v>
      </c>
    </row>
    <row r="1630" spans="1:10" ht="14.25" customHeight="1" x14ac:dyDescent="0.35">
      <c r="E1630" s="44" t="s">
        <v>13122</v>
      </c>
      <c r="F1630" s="45">
        <f ca="1">SUM(Table94[MONTO TOTAL ESTIMADO])</f>
        <v>1012219.73</v>
      </c>
      <c r="H1630" s="24" t="str">
        <f>C1571</f>
        <v>Bienes</v>
      </c>
      <c r="I1630" s="24" t="str">
        <f>E1571</f>
        <v>Sí</v>
      </c>
      <c r="J1630" s="24" t="str">
        <f>D1571</f>
        <v>Compras Menores</v>
      </c>
    </row>
    <row r="1632" spans="1:10" ht="34" customHeight="1" x14ac:dyDescent="0.35">
      <c r="A1632" s="36" t="s">
        <v>17105</v>
      </c>
      <c r="B1632" s="36" t="s">
        <v>167</v>
      </c>
      <c r="C1632" s="36" t="s">
        <v>12252</v>
      </c>
      <c r="D1632" s="36" t="s">
        <v>15021</v>
      </c>
      <c r="E1632" s="36" t="s">
        <v>11455</v>
      </c>
      <c r="F1632" s="36" t="s">
        <v>11595</v>
      </c>
    </row>
    <row r="1633" spans="1:6" ht="14.25" customHeight="1" x14ac:dyDescent="0.35">
      <c r="A1633" s="37" t="s">
        <v>16575</v>
      </c>
      <c r="B1633" s="37" t="s">
        <v>16575</v>
      </c>
      <c r="C1633" s="37" t="s">
        <v>18585</v>
      </c>
      <c r="D1633" s="37" t="s">
        <v>18256</v>
      </c>
      <c r="E1633" s="37" t="s">
        <v>9261</v>
      </c>
      <c r="F1633" s="37" t="s">
        <v>7088</v>
      </c>
    </row>
    <row r="1634" spans="1:6" ht="14.25" customHeight="1" x14ac:dyDescent="0.35">
      <c r="A1634" s="75" t="s">
        <v>15490</v>
      </c>
      <c r="B1634" s="38" t="s">
        <v>8918</v>
      </c>
      <c r="C1634" s="68">
        <v>45474</v>
      </c>
      <c r="D1634" s="75" t="s">
        <v>9819</v>
      </c>
      <c r="E1634" s="70" t="s">
        <v>13683</v>
      </c>
      <c r="F1634" s="71" t="s">
        <v>3205</v>
      </c>
    </row>
    <row r="1635" spans="1:6" ht="14.25" customHeight="1" x14ac:dyDescent="0.35">
      <c r="A1635" s="76"/>
      <c r="B1635" s="38" t="s">
        <v>1858</v>
      </c>
      <c r="C1635" s="69">
        <f>IF(C1634="","",IF(AND(MONTH(C1634)&gt;=1,MONTH(C1634)&lt;=3),1,IF(AND(MONTH(C1634)&gt;=4,MONTH(C1634)&lt;=6),2,IF(AND(MONTH(C1634)&gt;=7,MONTH(C1634)&lt;=9),3,4))))</f>
        <v>3</v>
      </c>
      <c r="D1635" s="76"/>
      <c r="E1635" s="70" t="s">
        <v>2509</v>
      </c>
      <c r="F1635" s="71" t="s">
        <v>11612</v>
      </c>
    </row>
    <row r="1636" spans="1:6" ht="14.25" customHeight="1" x14ac:dyDescent="0.35">
      <c r="A1636" s="76"/>
      <c r="B1636" s="38" t="s">
        <v>13526</v>
      </c>
      <c r="C1636" s="68">
        <v>45565</v>
      </c>
      <c r="D1636" s="76"/>
      <c r="E1636" s="70" t="s">
        <v>3198</v>
      </c>
      <c r="F1636" s="71" t="s">
        <v>11612</v>
      </c>
    </row>
    <row r="1637" spans="1:6" ht="14.25" customHeight="1" x14ac:dyDescent="0.35">
      <c r="A1637" s="76"/>
      <c r="B1637" s="38" t="s">
        <v>1858</v>
      </c>
      <c r="C1637" s="69">
        <f>IF(C1636="","",IF(AND(MONTH(C1636)&gt;=1,MONTH(C1636)&lt;=3),1,IF(AND(MONTH(C1636)&gt;=4,MONTH(C1636)&lt;=6),2,IF(AND(MONTH(C1636)&gt;=7,MONTH(C1636)&lt;=9),3,4))))</f>
        <v>3</v>
      </c>
      <c r="D1637" s="76"/>
      <c r="E1637" s="70" t="s">
        <v>13785</v>
      </c>
      <c r="F1637" s="71"/>
    </row>
    <row r="1639" spans="1:6" ht="14.25" customHeight="1" x14ac:dyDescent="0.35">
      <c r="A1639" s="43" t="s">
        <v>16424</v>
      </c>
      <c r="B1639" s="43" t="s">
        <v>16856</v>
      </c>
      <c r="C1639" s="43" t="s">
        <v>16326</v>
      </c>
      <c r="D1639" s="43" t="s">
        <v>15925</v>
      </c>
      <c r="E1639" s="43" t="s">
        <v>7248</v>
      </c>
      <c r="F1639" s="43" t="s">
        <v>15955</v>
      </c>
    </row>
    <row r="1640" spans="1:6" ht="14.25" customHeight="1" x14ac:dyDescent="0.35">
      <c r="A1640" s="39" t="s">
        <v>4546</v>
      </c>
      <c r="B1640" s="40" t="str">
        <f ca="1">IFERROR(INDEX(UNSPSCDes,MATCH(INDIRECT(ADDRESS(ROW(),COLUMN()-1,4)),UNSPSCCode,0)),IF(INDIRECT(ADDRESS(ROW(),COLUMN()-1,4))="44101716","Unidades de perforación de orificios",""))</f>
        <v>Unidades de perforación de orificios</v>
      </c>
      <c r="C1640" s="72" t="str">
        <f>IFERROR(VLOOKUP("UD",'Informacion '!P:Q,2,FALSE),"")</f>
        <v>Unidad</v>
      </c>
      <c r="D1640" s="39">
        <v>5</v>
      </c>
      <c r="E1640" s="42">
        <v>190</v>
      </c>
      <c r="F1640" s="41">
        <f t="shared" ref="F1640:F1687" ca="1" si="60">INDIRECT(ADDRESS(ROW(),COLUMN()-2,4))*INDIRECT(ADDRESS(ROW(),COLUMN()-1,4))</f>
        <v>950</v>
      </c>
    </row>
    <row r="1641" spans="1:6" ht="14.25" customHeight="1" x14ac:dyDescent="0.35">
      <c r="A1641" s="39" t="s">
        <v>5290</v>
      </c>
      <c r="B1641" s="40" t="str">
        <f ca="1">IFERROR(INDEX(UNSPSCDes,MATCH(INDIRECT(ADDRESS(ROW(),COLUMN()-1,4)),UNSPSCCode,0)),IF(INDIRECT(ADDRESS(ROW(),COLUMN()-1,4))="44103504","Alambres o espirales de encuadernación",""))</f>
        <v>Alambres o espirales de encuadernación</v>
      </c>
      <c r="C1641" s="72" t="str">
        <f>IFERROR(VLOOKUP("DOC",'Informacion '!P:Q,2,FALSE),"")</f>
        <v>Docena</v>
      </c>
      <c r="D1641" s="39">
        <v>21</v>
      </c>
      <c r="E1641" s="42">
        <v>15.8</v>
      </c>
      <c r="F1641" s="41">
        <f t="shared" ca="1" si="60"/>
        <v>331.8</v>
      </c>
    </row>
    <row r="1642" spans="1:6" ht="14.25" customHeight="1" x14ac:dyDescent="0.35">
      <c r="A1642" s="39" t="s">
        <v>5290</v>
      </c>
      <c r="B1642" s="40" t="str">
        <f ca="1">IFERROR(INDEX(UNSPSCDes,MATCH(INDIRECT(ADDRESS(ROW(),COLUMN()-1,4)),UNSPSCCode,0)),IF(INDIRECT(ADDRESS(ROW(),COLUMN()-1,4))="44103504","Alambres o espirales de encuadernación",""))</f>
        <v>Alambres o espirales de encuadernación</v>
      </c>
      <c r="C1642" s="72" t="str">
        <f>IFERROR(VLOOKUP("DOC",'Informacion '!P:Q,2,FALSE),"")</f>
        <v>Docena</v>
      </c>
      <c r="D1642" s="39">
        <v>21</v>
      </c>
      <c r="E1642" s="42">
        <v>31.87</v>
      </c>
      <c r="F1642" s="41">
        <f t="shared" ca="1" si="60"/>
        <v>669.27</v>
      </c>
    </row>
    <row r="1643" spans="1:6" ht="14.25" customHeight="1" x14ac:dyDescent="0.35">
      <c r="A1643" s="39" t="s">
        <v>10628</v>
      </c>
      <c r="B1643" s="40" t="str">
        <f ca="1">IFERROR(INDEX(UNSPSCDes,MATCH(INDIRECT(ADDRESS(ROW(),COLUMN()-1,4)),UNSPSCCode,0)),IF(INDIRECT(ADDRESS(ROW(),COLUMN()-1,4))="44111611","Clips para billetes",""))</f>
        <v>Clips para billetes</v>
      </c>
      <c r="C1643" s="72" t="str">
        <f>IFERROR(VLOOKUP("UD",'Informacion '!P:Q,2,FALSE),"")</f>
        <v>Unidad</v>
      </c>
      <c r="D1643" s="39">
        <v>120</v>
      </c>
      <c r="E1643" s="42">
        <v>80.900000000000006</v>
      </c>
      <c r="F1643" s="41">
        <f t="shared" ca="1" si="60"/>
        <v>9708</v>
      </c>
    </row>
    <row r="1644" spans="1:6" ht="14.25" customHeight="1" x14ac:dyDescent="0.35">
      <c r="A1644" s="39" t="s">
        <v>10628</v>
      </c>
      <c r="B1644" s="40" t="str">
        <f ca="1">IFERROR(INDEX(UNSPSCDes,MATCH(INDIRECT(ADDRESS(ROW(),COLUMN()-1,4)),UNSPSCCode,0)),IF(INDIRECT(ADDRESS(ROW(),COLUMN()-1,4))="44111611","Clips para billetes",""))</f>
        <v>Clips para billetes</v>
      </c>
      <c r="C1644" s="72" t="str">
        <f>IFERROR(VLOOKUP("UD",'Informacion '!P:Q,2,FALSE),"")</f>
        <v>Unidad</v>
      </c>
      <c r="D1644" s="39">
        <v>75</v>
      </c>
      <c r="E1644" s="42">
        <v>25</v>
      </c>
      <c r="F1644" s="41">
        <f t="shared" ca="1" si="60"/>
        <v>1875</v>
      </c>
    </row>
    <row r="1645" spans="1:6" ht="14.25" customHeight="1" x14ac:dyDescent="0.35">
      <c r="A1645" s="39" t="s">
        <v>10628</v>
      </c>
      <c r="B1645" s="40" t="str">
        <f ca="1">IFERROR(INDEX(UNSPSCDes,MATCH(INDIRECT(ADDRESS(ROW(),COLUMN()-1,4)),UNSPSCCode,0)),IF(INDIRECT(ADDRESS(ROW(),COLUMN()-1,4))="44111611","Clips para billetes",""))</f>
        <v>Clips para billetes</v>
      </c>
      <c r="C1645" s="72" t="str">
        <f>IFERROR(VLOOKUP("UD",'Informacion '!P:Q,2,FALSE),"")</f>
        <v>Unidad</v>
      </c>
      <c r="D1645" s="39">
        <v>50</v>
      </c>
      <c r="E1645" s="42">
        <v>34.9</v>
      </c>
      <c r="F1645" s="41">
        <f t="shared" ca="1" si="60"/>
        <v>1745</v>
      </c>
    </row>
    <row r="1646" spans="1:6" ht="14.25" customHeight="1" x14ac:dyDescent="0.35">
      <c r="A1646" s="39" t="s">
        <v>10628</v>
      </c>
      <c r="B1646" s="40" t="str">
        <f ca="1">IFERROR(INDEX(UNSPSCDes,MATCH(INDIRECT(ADDRESS(ROW(),COLUMN()-1,4)),UNSPSCCode,0)),IF(INDIRECT(ADDRESS(ROW(),COLUMN()-1,4))="44111611","Clips para billetes",""))</f>
        <v>Clips para billetes</v>
      </c>
      <c r="C1646" s="72" t="str">
        <f>IFERROR(VLOOKUP("CAJ",'Informacion '!P:Q,2,FALSE),"")</f>
        <v>Caja</v>
      </c>
      <c r="D1646" s="39">
        <v>75</v>
      </c>
      <c r="E1646" s="42">
        <v>8.23</v>
      </c>
      <c r="F1646" s="41">
        <f t="shared" ca="1" si="60"/>
        <v>617.25</v>
      </c>
    </row>
    <row r="1647" spans="1:6" ht="14.25" customHeight="1" x14ac:dyDescent="0.35">
      <c r="A1647" s="39" t="s">
        <v>9252</v>
      </c>
      <c r="B1647" s="40" t="str">
        <f ca="1">IFERROR(INDEX(UNSPSCDes,MATCH(INDIRECT(ADDRESS(ROW(),COLUMN()-1,4)),UNSPSCCode,0)),IF(INDIRECT(ADDRESS(ROW(),COLUMN()-1,4))="44111808","Reglas t",""))</f>
        <v>Reglas t</v>
      </c>
      <c r="C1647" s="72" t="str">
        <f>IFERROR(VLOOKUP("UD",'Informacion '!P:Q,2,FALSE),"")</f>
        <v>Unidad</v>
      </c>
      <c r="D1647" s="39">
        <v>30</v>
      </c>
      <c r="E1647" s="42">
        <v>5.6</v>
      </c>
      <c r="F1647" s="41">
        <f t="shared" ca="1" si="60"/>
        <v>168</v>
      </c>
    </row>
    <row r="1648" spans="1:6" ht="14.25" customHeight="1" x14ac:dyDescent="0.35">
      <c r="A1648" s="39" t="s">
        <v>12198</v>
      </c>
      <c r="B1648" s="40" t="str">
        <f ca="1">IFERROR(INDEX(UNSPSCDes,MATCH(INDIRECT(ADDRESS(ROW(),COLUMN()-1,4)),UNSPSCCode,0)),IF(INDIRECT(ADDRESS(ROW(),COLUMN()-1,4))="44112005","Libretas de citas o repuestos",""))</f>
        <v>Libretas de citas o repuestos</v>
      </c>
      <c r="C1648" s="72" t="str">
        <f>IFERROR(VLOOKUP("UD",'Informacion '!P:Q,2,FALSE),"")</f>
        <v>Unidad</v>
      </c>
      <c r="D1648" s="39">
        <v>250</v>
      </c>
      <c r="E1648" s="42">
        <v>41.29</v>
      </c>
      <c r="F1648" s="41">
        <f t="shared" ca="1" si="60"/>
        <v>10322.5</v>
      </c>
    </row>
    <row r="1649" spans="1:6" ht="14.25" customHeight="1" x14ac:dyDescent="0.35">
      <c r="A1649" s="39" t="s">
        <v>5591</v>
      </c>
      <c r="B1649" s="40" t="str">
        <f ca="1">IFERROR(INDEX(UNSPSCDes,MATCH(INDIRECT(ADDRESS(ROW(),COLUMN()-1,4)),UNSPSCCode,0)),IF(INDIRECT(ADDRESS(ROW(),COLUMN()-1,4))="44121505","Sobres especiales",""))</f>
        <v>Sobres especiales</v>
      </c>
      <c r="C1649" s="72" t="str">
        <f>IFERROR(VLOOKUP("CAJ",'Informacion '!P:Q,2,FALSE),"")</f>
        <v>Caja</v>
      </c>
      <c r="D1649" s="39">
        <v>12</v>
      </c>
      <c r="E1649" s="42">
        <v>1694</v>
      </c>
      <c r="F1649" s="41">
        <f t="shared" ca="1" si="60"/>
        <v>20328</v>
      </c>
    </row>
    <row r="1650" spans="1:6" ht="14.25" customHeight="1" x14ac:dyDescent="0.35">
      <c r="A1650" s="39" t="s">
        <v>16730</v>
      </c>
      <c r="B1650" s="40" t="str">
        <f ca="1">IFERROR(INDEX(UNSPSCDes,MATCH(INDIRECT(ADDRESS(ROW(),COLUMN()-1,4)),UNSPSCCode,0)),IF(INDIRECT(ADDRESS(ROW(),COLUMN()-1,4))="44121506","Sobres estándar",""))</f>
        <v>Sobres estándar</v>
      </c>
      <c r="C1650" s="72" t="str">
        <f>IFERROR(VLOOKUP("UD",'Informacion '!P:Q,2,FALSE),"")</f>
        <v>Unidad</v>
      </c>
      <c r="D1650" s="39">
        <v>250</v>
      </c>
      <c r="E1650" s="42">
        <v>1.66</v>
      </c>
      <c r="F1650" s="41">
        <f t="shared" ca="1" si="60"/>
        <v>415</v>
      </c>
    </row>
    <row r="1651" spans="1:6" ht="14.25" customHeight="1" x14ac:dyDescent="0.35">
      <c r="A1651" s="39" t="s">
        <v>16730</v>
      </c>
      <c r="B1651" s="40" t="str">
        <f ca="1">IFERROR(INDEX(UNSPSCDes,MATCH(INDIRECT(ADDRESS(ROW(),COLUMN()-1,4)),UNSPSCCode,0)),IF(INDIRECT(ADDRESS(ROW(),COLUMN()-1,4))="44121506","Sobres estándar",""))</f>
        <v>Sobres estándar</v>
      </c>
      <c r="C1651" s="72" t="str">
        <f>IFERROR(VLOOKUP("UD",'Informacion '!P:Q,2,FALSE),"")</f>
        <v>Unidad</v>
      </c>
      <c r="D1651" s="39">
        <v>375</v>
      </c>
      <c r="E1651" s="42">
        <v>2.12</v>
      </c>
      <c r="F1651" s="41">
        <f t="shared" ca="1" si="60"/>
        <v>795</v>
      </c>
    </row>
    <row r="1652" spans="1:6" ht="14.25" customHeight="1" x14ac:dyDescent="0.35">
      <c r="A1652" s="39" t="s">
        <v>16730</v>
      </c>
      <c r="B1652" s="40" t="str">
        <f ca="1">IFERROR(INDEX(UNSPSCDes,MATCH(INDIRECT(ADDRESS(ROW(),COLUMN()-1,4)),UNSPSCCode,0)),IF(INDIRECT(ADDRESS(ROW(),COLUMN()-1,4))="44121506","Sobres estándar",""))</f>
        <v>Sobres estándar</v>
      </c>
      <c r="C1652" s="72" t="str">
        <f>IFERROR(VLOOKUP("UD",'Informacion '!P:Q,2,FALSE),"")</f>
        <v>Unidad</v>
      </c>
      <c r="D1652" s="39">
        <v>50</v>
      </c>
      <c r="E1652" s="42">
        <v>6.49</v>
      </c>
      <c r="F1652" s="41">
        <f t="shared" ca="1" si="60"/>
        <v>324.5</v>
      </c>
    </row>
    <row r="1653" spans="1:6" ht="14.25" customHeight="1" x14ac:dyDescent="0.35">
      <c r="A1653" s="39" t="s">
        <v>16730</v>
      </c>
      <c r="B1653" s="40" t="str">
        <f ca="1">IFERROR(INDEX(UNSPSCDes,MATCH(INDIRECT(ADDRESS(ROW(),COLUMN()-1,4)),UNSPSCCode,0)),IF(INDIRECT(ADDRESS(ROW(),COLUMN()-1,4))="44121506","Sobres estándar",""))</f>
        <v>Sobres estándar</v>
      </c>
      <c r="C1653" s="72" t="str">
        <f>IFERROR(VLOOKUP("UD",'Informacion '!P:Q,2,FALSE),"")</f>
        <v>Unidad</v>
      </c>
      <c r="D1653" s="39">
        <v>1000</v>
      </c>
      <c r="E1653" s="42">
        <v>2.33</v>
      </c>
      <c r="F1653" s="41">
        <f t="shared" ca="1" si="60"/>
        <v>2330</v>
      </c>
    </row>
    <row r="1654" spans="1:6" ht="14.25" customHeight="1" x14ac:dyDescent="0.35">
      <c r="A1654" s="39" t="s">
        <v>16611</v>
      </c>
      <c r="B1654" s="40" t="str">
        <f ca="1">IFERROR(INDEX(UNSPSCDes,MATCH(INDIRECT(ADDRESS(ROW(),COLUMN()-1,4)),UNSPSCCode,0)),IF(INDIRECT(ADDRESS(ROW(),COLUMN()-1,4))="44121613","Removedores de grapas (saca ganchos)",""))</f>
        <v>Removedores de grapas (saca ganchos)</v>
      </c>
      <c r="C1654" s="72" t="str">
        <f>IFERROR(VLOOKUP("UD",'Informacion '!P:Q,2,FALSE),"")</f>
        <v>Unidad</v>
      </c>
      <c r="D1654" s="39">
        <v>20</v>
      </c>
      <c r="E1654" s="42">
        <v>22.42</v>
      </c>
      <c r="F1654" s="41">
        <f t="shared" ca="1" si="60"/>
        <v>448.40000000000003</v>
      </c>
    </row>
    <row r="1655" spans="1:6" ht="14.25" customHeight="1" x14ac:dyDescent="0.35">
      <c r="A1655" s="39" t="s">
        <v>16460</v>
      </c>
      <c r="B1655" s="40" t="str">
        <f ca="1">IFERROR(INDEX(UNSPSCDes,MATCH(INDIRECT(ADDRESS(ROW(),COLUMN()-1,4)),UNSPSCCode,0)),IF(INDIRECT(ADDRESS(ROW(),COLUMN()-1,4))="44121615","Grapadoras",""))</f>
        <v>Grapadoras</v>
      </c>
      <c r="C1655" s="72" t="str">
        <f>IFERROR(VLOOKUP("UD",'Informacion '!P:Q,2,FALSE),"")</f>
        <v>Unidad</v>
      </c>
      <c r="D1655" s="39">
        <v>30</v>
      </c>
      <c r="E1655" s="42">
        <v>256.04000000000002</v>
      </c>
      <c r="F1655" s="41">
        <f t="shared" ca="1" si="60"/>
        <v>7681.2000000000007</v>
      </c>
    </row>
    <row r="1656" spans="1:6" ht="14.25" customHeight="1" x14ac:dyDescent="0.35">
      <c r="A1656" s="39" t="s">
        <v>9590</v>
      </c>
      <c r="B1656" s="40" t="str">
        <f ca="1">IFERROR(INDEX(UNSPSCDes,MATCH(INDIRECT(ADDRESS(ROW(),COLUMN()-1,4)),UNSPSCCode,0)),IF(INDIRECT(ADDRESS(ROW(),COLUMN()-1,4))="44121618","Tijeras",""))</f>
        <v>Tijeras</v>
      </c>
      <c r="C1656" s="72" t="str">
        <f>IFERROR(VLOOKUP("UD",'Informacion '!P:Q,2,FALSE),"")</f>
        <v>Unidad</v>
      </c>
      <c r="D1656" s="39">
        <v>25</v>
      </c>
      <c r="E1656" s="42">
        <v>31.85</v>
      </c>
      <c r="F1656" s="41">
        <f t="shared" ca="1" si="60"/>
        <v>796.25</v>
      </c>
    </row>
    <row r="1657" spans="1:6" ht="14.25" customHeight="1" x14ac:dyDescent="0.35">
      <c r="A1657" s="39" t="s">
        <v>9579</v>
      </c>
      <c r="B1657" s="40" t="str">
        <f ca="1">IFERROR(INDEX(UNSPSCDes,MATCH(INDIRECT(ADDRESS(ROW(),COLUMN()-1,4)),UNSPSCCode,0)),IF(INDIRECT(ADDRESS(ROW(),COLUMN()-1,4))="44121628","Contenedores o dispensadores de clips",""))</f>
        <v>Contenedores o dispensadores de clips</v>
      </c>
      <c r="C1657" s="72" t="str">
        <f>IFERROR(VLOOKUP("UD",'Informacion '!P:Q,2,FALSE),"")</f>
        <v>Unidad</v>
      </c>
      <c r="D1657" s="39">
        <v>5</v>
      </c>
      <c r="E1657" s="42">
        <v>35.33</v>
      </c>
      <c r="F1657" s="41">
        <f t="shared" ca="1" si="60"/>
        <v>176.64999999999998</v>
      </c>
    </row>
    <row r="1658" spans="1:6" ht="14.25" customHeight="1" x14ac:dyDescent="0.35">
      <c r="A1658" s="39" t="s">
        <v>16550</v>
      </c>
      <c r="B1658" s="40" t="str">
        <f ca="1">IFERROR(INDEX(UNSPSCDes,MATCH(INDIRECT(ADDRESS(ROW(),COLUMN()-1,4)),UNSPSCCode,0)),IF(INDIRECT(ADDRESS(ROW(),COLUMN()-1,4))="44121701","Bolígrafos",""))</f>
        <v>Bolígrafos</v>
      </c>
      <c r="C1658" s="72" t="str">
        <f>IFERROR(VLOOKUP("UD",'Informacion '!P:Q,2,FALSE),"")</f>
        <v>Unidad</v>
      </c>
      <c r="D1658" s="39">
        <v>100</v>
      </c>
      <c r="E1658" s="42">
        <v>38.049999999999997</v>
      </c>
      <c r="F1658" s="41">
        <f t="shared" ca="1" si="60"/>
        <v>3804.9999999999995</v>
      </c>
    </row>
    <row r="1659" spans="1:6" ht="14.25" customHeight="1" x14ac:dyDescent="0.35">
      <c r="A1659" s="39" t="s">
        <v>16550</v>
      </c>
      <c r="B1659" s="40" t="str">
        <f ca="1">IFERROR(INDEX(UNSPSCDes,MATCH(INDIRECT(ADDRESS(ROW(),COLUMN()-1,4)),UNSPSCCode,0)),IF(INDIRECT(ADDRESS(ROW(),COLUMN()-1,4))="44121701","Bolígrafos",""))</f>
        <v>Bolígrafos</v>
      </c>
      <c r="C1659" s="72" t="str">
        <f>IFERROR(VLOOKUP("UD",'Informacion '!P:Q,2,FALSE),"")</f>
        <v>Unidad</v>
      </c>
      <c r="D1659" s="39">
        <v>1000</v>
      </c>
      <c r="E1659" s="42">
        <v>117.9</v>
      </c>
      <c r="F1659" s="41">
        <f t="shared" ca="1" si="60"/>
        <v>117900</v>
      </c>
    </row>
    <row r="1660" spans="1:6" ht="14.25" customHeight="1" x14ac:dyDescent="0.35">
      <c r="A1660" s="39" t="s">
        <v>16550</v>
      </c>
      <c r="B1660" s="40" t="str">
        <f ca="1">IFERROR(INDEX(UNSPSCDes,MATCH(INDIRECT(ADDRESS(ROW(),COLUMN()-1,4)),UNSPSCCode,0)),IF(INDIRECT(ADDRESS(ROW(),COLUMN()-1,4))="44121701","Bolígrafos",""))</f>
        <v>Bolígrafos</v>
      </c>
      <c r="C1660" s="72" t="str">
        <f>IFERROR(VLOOKUP("UD",'Informacion '!P:Q,2,FALSE),"")</f>
        <v>Unidad</v>
      </c>
      <c r="D1660" s="39">
        <v>1750</v>
      </c>
      <c r="E1660" s="42">
        <v>3.75</v>
      </c>
      <c r="F1660" s="41">
        <f t="shared" ca="1" si="60"/>
        <v>6562.5</v>
      </c>
    </row>
    <row r="1661" spans="1:6" ht="14.25" customHeight="1" x14ac:dyDescent="0.35">
      <c r="A1661" s="39" t="s">
        <v>16550</v>
      </c>
      <c r="B1661" s="40" t="str">
        <f ca="1">IFERROR(INDEX(UNSPSCDes,MATCH(INDIRECT(ADDRESS(ROW(),COLUMN()-1,4)),UNSPSCCode,0)),IF(INDIRECT(ADDRESS(ROW(),COLUMN()-1,4))="44121701","Bolígrafos",""))</f>
        <v>Bolígrafos</v>
      </c>
      <c r="C1661" s="72" t="str">
        <f>IFERROR(VLOOKUP("UD",'Informacion '!P:Q,2,FALSE),"")</f>
        <v>Unidad</v>
      </c>
      <c r="D1661" s="39">
        <v>125</v>
      </c>
      <c r="E1661" s="42">
        <v>94.38</v>
      </c>
      <c r="F1661" s="41">
        <f t="shared" ca="1" si="60"/>
        <v>11797.5</v>
      </c>
    </row>
    <row r="1662" spans="1:6" ht="14.25" customHeight="1" x14ac:dyDescent="0.35">
      <c r="A1662" s="39" t="s">
        <v>12891</v>
      </c>
      <c r="B1662" s="40" t="str">
        <f ca="1">IFERROR(INDEX(UNSPSCDes,MATCH(INDIRECT(ADDRESS(ROW(),COLUMN()-1,4)),UNSPSCCode,0)),IF(INDIRECT(ADDRESS(ROW(),COLUMN()-1,4))="44121706","Lápices de madera",""))</f>
        <v>Lápices de madera</v>
      </c>
      <c r="C1662" s="72" t="str">
        <f>IFERROR(VLOOKUP("CAJ",'Informacion '!P:Q,2,FALSE),"")</f>
        <v>Caja</v>
      </c>
      <c r="D1662" s="39">
        <v>8</v>
      </c>
      <c r="E1662" s="42">
        <v>30</v>
      </c>
      <c r="F1662" s="41">
        <f t="shared" ca="1" si="60"/>
        <v>240</v>
      </c>
    </row>
    <row r="1663" spans="1:6" ht="14.25" customHeight="1" x14ac:dyDescent="0.35">
      <c r="A1663" s="39" t="s">
        <v>12891</v>
      </c>
      <c r="B1663" s="40" t="str">
        <f ca="1">IFERROR(INDEX(UNSPSCDes,MATCH(INDIRECT(ADDRESS(ROW(),COLUMN()-1,4)),UNSPSCCode,0)),IF(INDIRECT(ADDRESS(ROW(),COLUMN()-1,4))="44121706","Lápices de madera",""))</f>
        <v>Lápices de madera</v>
      </c>
      <c r="C1663" s="72" t="str">
        <f>IFERROR(VLOOKUP("UD",'Informacion '!P:Q,2,FALSE),"")</f>
        <v>Unidad</v>
      </c>
      <c r="D1663" s="39">
        <v>719</v>
      </c>
      <c r="E1663" s="42">
        <v>30</v>
      </c>
      <c r="F1663" s="41">
        <f t="shared" ca="1" si="60"/>
        <v>21570</v>
      </c>
    </row>
    <row r="1664" spans="1:6" ht="14.25" customHeight="1" x14ac:dyDescent="0.35">
      <c r="A1664" s="39" t="s">
        <v>2450</v>
      </c>
      <c r="B1664" s="40" t="str">
        <f ca="1">IFERROR(INDEX(UNSPSCDes,MATCH(INDIRECT(ADDRESS(ROW(),COLUMN()-1,4)),UNSPSCCode,0)),IF(INDIRECT(ADDRESS(ROW(),COLUMN()-1,4))="44121708","Marcadores",""))</f>
        <v>Marcadores</v>
      </c>
      <c r="C1664" s="72" t="str">
        <f>IFERROR(VLOOKUP("UD",'Informacion '!P:Q,2,FALSE),"")</f>
        <v>Unidad</v>
      </c>
      <c r="D1664" s="39">
        <v>100</v>
      </c>
      <c r="E1664" s="42">
        <v>13</v>
      </c>
      <c r="F1664" s="41">
        <f t="shared" ca="1" si="60"/>
        <v>1300</v>
      </c>
    </row>
    <row r="1665" spans="1:6" ht="14.25" customHeight="1" x14ac:dyDescent="0.35">
      <c r="A1665" s="39" t="s">
        <v>2450</v>
      </c>
      <c r="B1665" s="40" t="str">
        <f ca="1">IFERROR(INDEX(UNSPSCDes,MATCH(INDIRECT(ADDRESS(ROW(),COLUMN()-1,4)),UNSPSCCode,0)),IF(INDIRECT(ADDRESS(ROW(),COLUMN()-1,4))="44121708","Marcadores",""))</f>
        <v>Marcadores</v>
      </c>
      <c r="C1665" s="72" t="str">
        <f>IFERROR(VLOOKUP("UD",'Informacion '!P:Q,2,FALSE),"")</f>
        <v>Unidad</v>
      </c>
      <c r="D1665" s="39">
        <v>30</v>
      </c>
      <c r="E1665" s="42">
        <v>14.5</v>
      </c>
      <c r="F1665" s="41">
        <f t="shared" ca="1" si="60"/>
        <v>435</v>
      </c>
    </row>
    <row r="1666" spans="1:6" ht="14.25" customHeight="1" x14ac:dyDescent="0.35">
      <c r="A1666" s="39" t="s">
        <v>2450</v>
      </c>
      <c r="B1666" s="40" t="str">
        <f ca="1">IFERROR(INDEX(UNSPSCDes,MATCH(INDIRECT(ADDRESS(ROW(),COLUMN()-1,4)),UNSPSCCode,0)),IF(INDIRECT(ADDRESS(ROW(),COLUMN()-1,4))="44121708","Marcadores",""))</f>
        <v>Marcadores</v>
      </c>
      <c r="C1666" s="72" t="str">
        <f>IFERROR(VLOOKUP("UD",'Informacion '!P:Q,2,FALSE),"")</f>
        <v>Unidad</v>
      </c>
      <c r="D1666" s="39">
        <v>45</v>
      </c>
      <c r="E1666" s="42">
        <v>21.17</v>
      </c>
      <c r="F1666" s="41">
        <f t="shared" ca="1" si="60"/>
        <v>952.65000000000009</v>
      </c>
    </row>
    <row r="1667" spans="1:6" ht="14.25" customHeight="1" x14ac:dyDescent="0.35">
      <c r="A1667" s="39" t="s">
        <v>9649</v>
      </c>
      <c r="B1667" s="40" t="str">
        <f ca="1">IFERROR(INDEX(UNSPSCDes,MATCH(INDIRECT(ADDRESS(ROW(),COLUMN()-1,4)),UNSPSCCode,0)),IF(INDIRECT(ADDRESS(ROW(),COLUMN()-1,4))="44121715","Combinaciones de esfero y lápiz",""))</f>
        <v>Combinaciones de esfero y lápiz</v>
      </c>
      <c r="C1667" s="72" t="str">
        <f>IFERROR(VLOOKUP("UD",'Informacion '!P:Q,2,FALSE),"")</f>
        <v>Unidad</v>
      </c>
      <c r="D1667" s="39">
        <v>10</v>
      </c>
      <c r="E1667" s="42">
        <v>92</v>
      </c>
      <c r="F1667" s="41">
        <f t="shared" ca="1" si="60"/>
        <v>920</v>
      </c>
    </row>
    <row r="1668" spans="1:6" ht="14.25" customHeight="1" x14ac:dyDescent="0.35">
      <c r="A1668" s="39" t="s">
        <v>12884</v>
      </c>
      <c r="B1668" s="40" t="str">
        <f ca="1">IFERROR(INDEX(UNSPSCDes,MATCH(INDIRECT(ADDRESS(ROW(),COLUMN()-1,4)),UNSPSCCode,0)),IF(INDIRECT(ADDRESS(ROW(),COLUMN()-1,4))="44121716","Resaltadores",""))</f>
        <v>Resaltadores</v>
      </c>
      <c r="C1668" s="72" t="str">
        <f>IFERROR(VLOOKUP("RESMA",'Informacion '!P:Q,2,FALSE),"")</f>
        <v>Resma</v>
      </c>
      <c r="D1668" s="39">
        <v>4</v>
      </c>
      <c r="E1668" s="42">
        <v>29.4</v>
      </c>
      <c r="F1668" s="41">
        <f t="shared" ca="1" si="60"/>
        <v>117.6</v>
      </c>
    </row>
    <row r="1669" spans="1:6" ht="14.25" customHeight="1" x14ac:dyDescent="0.35">
      <c r="A1669" s="39" t="s">
        <v>12884</v>
      </c>
      <c r="B1669" s="40" t="str">
        <f ca="1">IFERROR(INDEX(UNSPSCDes,MATCH(INDIRECT(ADDRESS(ROW(),COLUMN()-1,4)),UNSPSCCode,0)),IF(INDIRECT(ADDRESS(ROW(),COLUMN()-1,4))="44121716","Resaltadores",""))</f>
        <v>Resaltadores</v>
      </c>
      <c r="C1669" s="72" t="str">
        <f>IFERROR(VLOOKUP("UD",'Informacion '!P:Q,2,FALSE),"")</f>
        <v>Unidad</v>
      </c>
      <c r="D1669" s="39">
        <v>60</v>
      </c>
      <c r="E1669" s="42">
        <v>8.48</v>
      </c>
      <c r="F1669" s="41">
        <f t="shared" ca="1" si="60"/>
        <v>508.8</v>
      </c>
    </row>
    <row r="1670" spans="1:6" ht="14.25" customHeight="1" x14ac:dyDescent="0.35">
      <c r="A1670" s="39" t="s">
        <v>12884</v>
      </c>
      <c r="B1670" s="40" t="str">
        <f ca="1">IFERROR(INDEX(UNSPSCDes,MATCH(INDIRECT(ADDRESS(ROW(),COLUMN()-1,4)),UNSPSCCode,0)),IF(INDIRECT(ADDRESS(ROW(),COLUMN()-1,4))="44121716","Resaltadores",""))</f>
        <v>Resaltadores</v>
      </c>
      <c r="C1670" s="72" t="str">
        <f>IFERROR(VLOOKUP("UD",'Informacion '!P:Q,2,FALSE),"")</f>
        <v>Unidad</v>
      </c>
      <c r="D1670" s="39">
        <v>30</v>
      </c>
      <c r="E1670" s="42">
        <v>165.67</v>
      </c>
      <c r="F1670" s="41">
        <f t="shared" ca="1" si="60"/>
        <v>4970.0999999999995</v>
      </c>
    </row>
    <row r="1671" spans="1:6" ht="14.25" customHeight="1" x14ac:dyDescent="0.35">
      <c r="A1671" s="39" t="s">
        <v>12884</v>
      </c>
      <c r="B1671" s="40" t="str">
        <f ca="1">IFERROR(INDEX(UNSPSCDes,MATCH(INDIRECT(ADDRESS(ROW(),COLUMN()-1,4)),UNSPSCCode,0)),IF(INDIRECT(ADDRESS(ROW(),COLUMN()-1,4))="44121716","Resaltadores",""))</f>
        <v>Resaltadores</v>
      </c>
      <c r="C1671" s="72" t="str">
        <f>IFERROR(VLOOKUP("UD",'Informacion '!P:Q,2,FALSE),"")</f>
        <v>Unidad</v>
      </c>
      <c r="D1671" s="39">
        <v>60</v>
      </c>
      <c r="E1671" s="42">
        <v>19.440000000000001</v>
      </c>
      <c r="F1671" s="41">
        <f t="shared" ca="1" si="60"/>
        <v>1166.4000000000001</v>
      </c>
    </row>
    <row r="1672" spans="1:6" ht="14.25" customHeight="1" x14ac:dyDescent="0.35">
      <c r="A1672" s="39" t="s">
        <v>12884</v>
      </c>
      <c r="B1672" s="40" t="str">
        <f ca="1">IFERROR(INDEX(UNSPSCDes,MATCH(INDIRECT(ADDRESS(ROW(),COLUMN()-1,4)),UNSPSCCode,0)),IF(INDIRECT(ADDRESS(ROW(),COLUMN()-1,4))="44121716","Resaltadores",""))</f>
        <v>Resaltadores</v>
      </c>
      <c r="C1672" s="72" t="str">
        <f>IFERROR(VLOOKUP("UD",'Informacion '!P:Q,2,FALSE),"")</f>
        <v>Unidad</v>
      </c>
      <c r="D1672" s="39">
        <v>30</v>
      </c>
      <c r="E1672" s="42">
        <v>9.3800000000000008</v>
      </c>
      <c r="F1672" s="41">
        <f t="shared" ca="1" si="60"/>
        <v>281.40000000000003</v>
      </c>
    </row>
    <row r="1673" spans="1:6" ht="14.25" customHeight="1" x14ac:dyDescent="0.35">
      <c r="A1673" s="39" t="s">
        <v>10350</v>
      </c>
      <c r="B1673" s="40" t="str">
        <f ca="1">IFERROR(INDEX(UNSPSCDes,MATCH(INDIRECT(ADDRESS(ROW(),COLUMN()-1,4)),UNSPSCCode,0)),IF(INDIRECT(ADDRESS(ROW(),COLUMN()-1,4))="44121802","Fluido de corrección",""))</f>
        <v>Fluido de corrección</v>
      </c>
      <c r="C1673" s="72" t="str">
        <f>IFERROR(VLOOKUP("UD",'Informacion '!P:Q,2,FALSE),"")</f>
        <v>Unidad</v>
      </c>
      <c r="D1673" s="39">
        <v>125</v>
      </c>
      <c r="E1673" s="42">
        <v>25.92</v>
      </c>
      <c r="F1673" s="41">
        <f t="shared" ca="1" si="60"/>
        <v>3240</v>
      </c>
    </row>
    <row r="1674" spans="1:6" ht="14.25" customHeight="1" x14ac:dyDescent="0.35">
      <c r="A1674" s="39" t="s">
        <v>1273</v>
      </c>
      <c r="B1674" s="40" t="str">
        <f ca="1">IFERROR(INDEX(UNSPSCDes,MATCH(INDIRECT(ADDRESS(ROW(),COLUMN()-1,4)),UNSPSCCode,0)),IF(INDIRECT(ADDRESS(ROW(),COLUMN()-1,4))="44122003","Carpetas",""))</f>
        <v>Carpetas</v>
      </c>
      <c r="C1674" s="72" t="str">
        <f>IFERROR(VLOOKUP("UD",'Informacion '!P:Q,2,FALSE),"")</f>
        <v>Unidad</v>
      </c>
      <c r="D1674" s="39">
        <v>4</v>
      </c>
      <c r="E1674" s="42">
        <v>100.3</v>
      </c>
      <c r="F1674" s="41">
        <f t="shared" ca="1" si="60"/>
        <v>401.2</v>
      </c>
    </row>
    <row r="1675" spans="1:6" ht="14.25" customHeight="1" x14ac:dyDescent="0.35">
      <c r="A1675" s="39" t="s">
        <v>1273</v>
      </c>
      <c r="B1675" s="40" t="str">
        <f ca="1">IFERROR(INDEX(UNSPSCDes,MATCH(INDIRECT(ADDRESS(ROW(),COLUMN()-1,4)),UNSPSCCode,0)),IF(INDIRECT(ADDRESS(ROW(),COLUMN()-1,4))="44122003","Carpetas",""))</f>
        <v>Carpetas</v>
      </c>
      <c r="C1675" s="72" t="str">
        <f>IFERROR(VLOOKUP("UD",'Informacion '!P:Q,2,FALSE),"")</f>
        <v>Unidad</v>
      </c>
      <c r="D1675" s="39">
        <v>45</v>
      </c>
      <c r="E1675" s="42">
        <v>133.30000000000001</v>
      </c>
      <c r="F1675" s="41">
        <f t="shared" ca="1" si="60"/>
        <v>5998.5000000000009</v>
      </c>
    </row>
    <row r="1676" spans="1:6" ht="14.25" customHeight="1" x14ac:dyDescent="0.35">
      <c r="A1676" s="39" t="s">
        <v>1273</v>
      </c>
      <c r="B1676" s="40" t="str">
        <f ca="1">IFERROR(INDEX(UNSPSCDes,MATCH(INDIRECT(ADDRESS(ROW(),COLUMN()-1,4)),UNSPSCCode,0)),IF(INDIRECT(ADDRESS(ROW(),COLUMN()-1,4))="44122003","Carpetas",""))</f>
        <v>Carpetas</v>
      </c>
      <c r="C1676" s="72" t="str">
        <f>IFERROR(VLOOKUP("UD",'Informacion '!P:Q,2,FALSE),"")</f>
        <v>Unidad</v>
      </c>
      <c r="D1676" s="39">
        <v>45</v>
      </c>
      <c r="E1676" s="42">
        <v>187.61</v>
      </c>
      <c r="F1676" s="41">
        <f t="shared" ca="1" si="60"/>
        <v>8442.4500000000007</v>
      </c>
    </row>
    <row r="1677" spans="1:6" ht="14.25" customHeight="1" x14ac:dyDescent="0.35">
      <c r="A1677" s="39" t="s">
        <v>1273</v>
      </c>
      <c r="B1677" s="40" t="str">
        <f ca="1">IFERROR(INDEX(UNSPSCDes,MATCH(INDIRECT(ADDRESS(ROW(),COLUMN()-1,4)),UNSPSCCode,0)),IF(INDIRECT(ADDRESS(ROW(),COLUMN()-1,4))="44122003","Carpetas",""))</f>
        <v>Carpetas</v>
      </c>
      <c r="C1677" s="72" t="str">
        <f>IFERROR(VLOOKUP("UD",'Informacion '!P:Q,2,FALSE),"")</f>
        <v>Unidad</v>
      </c>
      <c r="D1677" s="39">
        <v>75</v>
      </c>
      <c r="E1677" s="42">
        <v>188.8</v>
      </c>
      <c r="F1677" s="41">
        <f t="shared" ca="1" si="60"/>
        <v>14160</v>
      </c>
    </row>
    <row r="1678" spans="1:6" ht="14.25" customHeight="1" x14ac:dyDescent="0.35">
      <c r="A1678" s="39" t="s">
        <v>8915</v>
      </c>
      <c r="B1678" s="40" t="str">
        <f ca="1">IFERROR(INDEX(UNSPSCDes,MATCH(INDIRECT(ADDRESS(ROW(),COLUMN()-1,4)),UNSPSCCode,0)),IF(INDIRECT(ADDRESS(ROW(),COLUMN()-1,4))="44122005","Cubiertas para revistas o libros",""))</f>
        <v>Cubiertas para revistas o libros</v>
      </c>
      <c r="C1678" s="72" t="str">
        <f>IFERROR(VLOOKUP("UD",'Informacion '!P:Q,2,FALSE),"")</f>
        <v>Unidad</v>
      </c>
      <c r="D1678" s="39">
        <v>250</v>
      </c>
      <c r="E1678" s="42">
        <v>590</v>
      </c>
      <c r="F1678" s="41">
        <f t="shared" ca="1" si="60"/>
        <v>147500</v>
      </c>
    </row>
    <row r="1679" spans="1:6" ht="14.25" customHeight="1" x14ac:dyDescent="0.35">
      <c r="A1679" s="39" t="s">
        <v>8013</v>
      </c>
      <c r="B1679" s="40" t="str">
        <f ca="1">IFERROR(INDEX(UNSPSCDes,MATCH(INDIRECT(ADDRESS(ROW(),COLUMN()-1,4)),UNSPSCCode,0)),IF(INDIRECT(ADDRESS(ROW(),COLUMN()-1,4))="44122011","Folders",""))</f>
        <v>Folders</v>
      </c>
      <c r="C1679" s="72" t="str">
        <f>IFERROR(VLOOKUP("UD",'Informacion '!P:Q,2,FALSE),"")</f>
        <v>Unidad</v>
      </c>
      <c r="D1679" s="39">
        <v>75</v>
      </c>
      <c r="E1679" s="42">
        <v>796.5</v>
      </c>
      <c r="F1679" s="41">
        <f t="shared" ca="1" si="60"/>
        <v>59737.5</v>
      </c>
    </row>
    <row r="1680" spans="1:6" ht="14.25" customHeight="1" x14ac:dyDescent="0.35">
      <c r="A1680" s="39" t="s">
        <v>8013</v>
      </c>
      <c r="B1680" s="40" t="str">
        <f ca="1">IFERROR(INDEX(UNSPSCDes,MATCH(INDIRECT(ADDRESS(ROW(),COLUMN()-1,4)),UNSPSCCode,0)),IF(INDIRECT(ADDRESS(ROW(),COLUMN()-1,4))="44122011","Folders",""))</f>
        <v>Folders</v>
      </c>
      <c r="C1680" s="72" t="str">
        <f>IFERROR(VLOOKUP("UD",'Informacion '!P:Q,2,FALSE),"")</f>
        <v>Unidad</v>
      </c>
      <c r="D1680" s="39">
        <v>75</v>
      </c>
      <c r="E1680" s="42">
        <v>210</v>
      </c>
      <c r="F1680" s="41">
        <f t="shared" ca="1" si="60"/>
        <v>15750</v>
      </c>
    </row>
    <row r="1681" spans="1:10" ht="14.25" customHeight="1" x14ac:dyDescent="0.35">
      <c r="A1681" s="39" t="s">
        <v>8013</v>
      </c>
      <c r="B1681" s="40" t="str">
        <f ca="1">IFERROR(INDEX(UNSPSCDes,MATCH(INDIRECT(ADDRESS(ROW(),COLUMN()-1,4)),UNSPSCCode,0)),IF(INDIRECT(ADDRESS(ROW(),COLUMN()-1,4))="44122011","Folders",""))</f>
        <v>Folders</v>
      </c>
      <c r="C1681" s="72" t="str">
        <f>IFERROR(VLOOKUP("UD",'Informacion '!P:Q,2,FALSE),"")</f>
        <v>Unidad</v>
      </c>
      <c r="D1681" s="39">
        <v>5</v>
      </c>
      <c r="E1681" s="42">
        <v>442.5</v>
      </c>
      <c r="F1681" s="41">
        <f t="shared" ca="1" si="60"/>
        <v>2212.5</v>
      </c>
    </row>
    <row r="1682" spans="1:10" ht="14.25" customHeight="1" x14ac:dyDescent="0.35">
      <c r="A1682" s="39" t="s">
        <v>4690</v>
      </c>
      <c r="B1682" s="40" t="str">
        <f ca="1">IFERROR(INDEX(UNSPSCDes,MATCH(INDIRECT(ADDRESS(ROW(),COLUMN()-1,4)),UNSPSCCode,0)),IF(INDIRECT(ADDRESS(ROW(),COLUMN()-1,4))="44122022","Accesorios de carpetas de folders",""))</f>
        <v>Accesorios de carpetas de folders</v>
      </c>
      <c r="C1682" s="72" t="str">
        <f>IFERROR(VLOOKUP("CAJ",'Informacion '!P:Q,2,FALSE),"")</f>
        <v>Caja</v>
      </c>
      <c r="D1682" s="39">
        <v>40</v>
      </c>
      <c r="E1682" s="42">
        <v>56.63</v>
      </c>
      <c r="F1682" s="41">
        <f t="shared" ca="1" si="60"/>
        <v>2265.2000000000003</v>
      </c>
    </row>
    <row r="1683" spans="1:10" ht="14.25" customHeight="1" x14ac:dyDescent="0.35">
      <c r="A1683" s="39" t="s">
        <v>16445</v>
      </c>
      <c r="B1683" s="40" t="str">
        <f ca="1">IFERROR(INDEX(UNSPSCDes,MATCH(INDIRECT(ADDRESS(ROW(),COLUMN()-1,4)),UNSPSCCode,0)),IF(INDIRECT(ADDRESS(ROW(),COLUMN()-1,4))="44122026","Garras para papel",""))</f>
        <v>Garras para papel</v>
      </c>
      <c r="C1683" s="72" t="str">
        <f>IFERROR(VLOOKUP("CAJ",'Informacion '!P:Q,2,FALSE),"")</f>
        <v>Caja</v>
      </c>
      <c r="D1683" s="39">
        <v>50</v>
      </c>
      <c r="E1683" s="42">
        <v>27.78</v>
      </c>
      <c r="F1683" s="41">
        <f t="shared" ca="1" si="60"/>
        <v>1389</v>
      </c>
    </row>
    <row r="1684" spans="1:10" ht="14.25" customHeight="1" x14ac:dyDescent="0.35">
      <c r="A1684" s="39" t="s">
        <v>16445</v>
      </c>
      <c r="B1684" s="40" t="str">
        <f ca="1">IFERROR(INDEX(UNSPSCDes,MATCH(INDIRECT(ADDRESS(ROW(),COLUMN()-1,4)),UNSPSCCode,0)),IF(INDIRECT(ADDRESS(ROW(),COLUMN()-1,4))="44122026","Garras para papel",""))</f>
        <v>Garras para papel</v>
      </c>
      <c r="C1684" s="72" t="str">
        <f>IFERROR(VLOOKUP("CAJ",'Informacion '!P:Q,2,FALSE),"")</f>
        <v>Caja</v>
      </c>
      <c r="D1684" s="39">
        <v>30</v>
      </c>
      <c r="E1684" s="42">
        <v>54.2</v>
      </c>
      <c r="F1684" s="41">
        <f t="shared" ca="1" si="60"/>
        <v>1626</v>
      </c>
    </row>
    <row r="1685" spans="1:10" ht="14.25" customHeight="1" x14ac:dyDescent="0.35">
      <c r="A1685" s="39" t="s">
        <v>13117</v>
      </c>
      <c r="B1685" s="40" t="str">
        <f ca="1">IFERROR(INDEX(UNSPSCDes,MATCH(INDIRECT(ADDRESS(ROW(),COLUMN()-1,4)),UNSPSCCode,0)),IF(INDIRECT(ADDRESS(ROW(),COLUMN()-1,4))="44122027","Folders de archivo expandibles",""))</f>
        <v>Folders de archivo expandibles</v>
      </c>
      <c r="C1685" s="72" t="str">
        <f>IFERROR(VLOOKUP("PAQ",'Informacion '!P:Q,2,FALSE),"")</f>
        <v>Paquete</v>
      </c>
      <c r="D1685" s="39">
        <v>22</v>
      </c>
      <c r="E1685" s="42">
        <v>403.28</v>
      </c>
      <c r="F1685" s="41">
        <f t="shared" ca="1" si="60"/>
        <v>8872.16</v>
      </c>
    </row>
    <row r="1686" spans="1:10" ht="14.25" customHeight="1" x14ac:dyDescent="0.35">
      <c r="A1686" s="39" t="s">
        <v>13117</v>
      </c>
      <c r="B1686" s="40" t="str">
        <f ca="1">IFERROR(INDEX(UNSPSCDes,MATCH(INDIRECT(ADDRESS(ROW(),COLUMN()-1,4)),UNSPSCCode,0)),IF(INDIRECT(ADDRESS(ROW(),COLUMN()-1,4))="44122027","Folders de archivo expandibles",""))</f>
        <v>Folders de archivo expandibles</v>
      </c>
      <c r="C1686" s="72" t="str">
        <f>IFERROR(VLOOKUP("CAJ",'Informacion '!P:Q,2,FALSE),"")</f>
        <v>Caja</v>
      </c>
      <c r="D1686" s="39">
        <v>15</v>
      </c>
      <c r="E1686" s="42">
        <v>371.8</v>
      </c>
      <c r="F1686" s="41">
        <f t="shared" ca="1" si="60"/>
        <v>5577</v>
      </c>
    </row>
    <row r="1687" spans="1:10" ht="14.25" customHeight="1" x14ac:dyDescent="0.35">
      <c r="A1687" s="39" t="s">
        <v>14415</v>
      </c>
      <c r="B1687" s="40" t="str">
        <f ca="1">IFERROR(INDEX(UNSPSCDes,MATCH(INDIRECT(ADDRESS(ROW(),COLUMN()-1,4)),UNSPSCCode,0)),IF(INDIRECT(ADDRESS(ROW(),COLUMN()-1,4))="44122104","Clips para papel",""))</f>
        <v>Clips para papel</v>
      </c>
      <c r="C1687" s="72" t="str">
        <f>IFERROR(VLOOKUP("UD",'Informacion '!P:Q,2,FALSE),"")</f>
        <v>Unidad</v>
      </c>
      <c r="D1687" s="39">
        <v>50</v>
      </c>
      <c r="E1687" s="42">
        <v>21.77</v>
      </c>
      <c r="F1687" s="41">
        <f t="shared" ca="1" si="60"/>
        <v>1088.5</v>
      </c>
    </row>
    <row r="1688" spans="1:10" ht="14.25" customHeight="1" x14ac:dyDescent="0.35">
      <c r="E1688" s="44" t="s">
        <v>13122</v>
      </c>
      <c r="F1688" s="45">
        <f ca="1">SUM(Table95[MONTO TOTAL ESTIMADO])</f>
        <v>510468.78</v>
      </c>
      <c r="H1688" s="24" t="str">
        <f>C1633</f>
        <v>Bienes</v>
      </c>
      <c r="I1688" s="24" t="str">
        <f>E1633</f>
        <v>Sí</v>
      </c>
      <c r="J1688" s="24" t="str">
        <f>D1633</f>
        <v>Compras Menores</v>
      </c>
    </row>
    <row r="1690" spans="1:10" ht="34" customHeight="1" x14ac:dyDescent="0.35">
      <c r="A1690" s="36" t="s">
        <v>17105</v>
      </c>
      <c r="B1690" s="36" t="s">
        <v>167</v>
      </c>
      <c r="C1690" s="36" t="s">
        <v>12252</v>
      </c>
      <c r="D1690" s="36" t="s">
        <v>15021</v>
      </c>
      <c r="E1690" s="36" t="s">
        <v>11455</v>
      </c>
      <c r="F1690" s="36" t="s">
        <v>11595</v>
      </c>
    </row>
    <row r="1691" spans="1:10" ht="14.25" customHeight="1" x14ac:dyDescent="0.35">
      <c r="A1691" s="37" t="s">
        <v>16575</v>
      </c>
      <c r="B1691" s="37" t="s">
        <v>16575</v>
      </c>
      <c r="C1691" s="37" t="s">
        <v>18585</v>
      </c>
      <c r="D1691" s="37" t="s">
        <v>18256</v>
      </c>
      <c r="E1691" s="37" t="s">
        <v>9261</v>
      </c>
      <c r="F1691" s="37" t="s">
        <v>7088</v>
      </c>
    </row>
    <row r="1692" spans="1:10" ht="14.25" customHeight="1" x14ac:dyDescent="0.35">
      <c r="A1692" s="75" t="s">
        <v>15490</v>
      </c>
      <c r="B1692" s="38" t="s">
        <v>8918</v>
      </c>
      <c r="C1692" s="68">
        <v>45566</v>
      </c>
      <c r="D1692" s="75" t="s">
        <v>9819</v>
      </c>
      <c r="E1692" s="70" t="s">
        <v>13683</v>
      </c>
      <c r="F1692" s="71" t="s">
        <v>3205</v>
      </c>
    </row>
    <row r="1693" spans="1:10" ht="14.25" customHeight="1" x14ac:dyDescent="0.35">
      <c r="A1693" s="76"/>
      <c r="B1693" s="38" t="s">
        <v>1858</v>
      </c>
      <c r="C1693" s="69">
        <f>IF(C1692="","",IF(AND(MONTH(C1692)&gt;=1,MONTH(C1692)&lt;=3),1,IF(AND(MONTH(C1692)&gt;=4,MONTH(C1692)&lt;=6),2,IF(AND(MONTH(C1692)&gt;=7,MONTH(C1692)&lt;=9),3,4))))</f>
        <v>4</v>
      </c>
      <c r="D1693" s="76"/>
      <c r="E1693" s="70" t="s">
        <v>2509</v>
      </c>
      <c r="F1693" s="71" t="s">
        <v>11612</v>
      </c>
    </row>
    <row r="1694" spans="1:10" ht="14.25" customHeight="1" x14ac:dyDescent="0.35">
      <c r="A1694" s="76"/>
      <c r="B1694" s="38" t="s">
        <v>13526</v>
      </c>
      <c r="C1694" s="68">
        <v>45657</v>
      </c>
      <c r="D1694" s="76"/>
      <c r="E1694" s="70" t="s">
        <v>3198</v>
      </c>
      <c r="F1694" s="71" t="s">
        <v>11612</v>
      </c>
    </row>
    <row r="1695" spans="1:10" ht="14.25" customHeight="1" x14ac:dyDescent="0.35">
      <c r="A1695" s="76"/>
      <c r="B1695" s="38" t="s">
        <v>1858</v>
      </c>
      <c r="C1695" s="69">
        <f>IF(C1694="","",IF(AND(MONTH(C1694)&gt;=1,MONTH(C1694)&lt;=3),1,IF(AND(MONTH(C1694)&gt;=4,MONTH(C1694)&lt;=6),2,IF(AND(MONTH(C1694)&gt;=7,MONTH(C1694)&lt;=9),3,4))))</f>
        <v>4</v>
      </c>
      <c r="D1695" s="76"/>
      <c r="E1695" s="70" t="s">
        <v>13785</v>
      </c>
      <c r="F1695" s="71"/>
    </row>
    <row r="1697" spans="1:6" ht="14.25" customHeight="1" x14ac:dyDescent="0.35">
      <c r="A1697" s="43" t="s">
        <v>16424</v>
      </c>
      <c r="B1697" s="43" t="s">
        <v>16856</v>
      </c>
      <c r="C1697" s="43" t="s">
        <v>16326</v>
      </c>
      <c r="D1697" s="43" t="s">
        <v>15925</v>
      </c>
      <c r="E1697" s="43" t="s">
        <v>7248</v>
      </c>
      <c r="F1697" s="43" t="s">
        <v>15955</v>
      </c>
    </row>
    <row r="1698" spans="1:6" ht="14.25" customHeight="1" x14ac:dyDescent="0.35">
      <c r="A1698" s="39" t="s">
        <v>5290</v>
      </c>
      <c r="B1698" s="40" t="str">
        <f ca="1">IFERROR(INDEX(UNSPSCDes,MATCH(INDIRECT(ADDRESS(ROW(),COLUMN()-1,4)),UNSPSCCode,0)),IF(INDIRECT(ADDRESS(ROW(),COLUMN()-1,4))="44103504","Alambres o espirales de encuadernación",""))</f>
        <v>Alambres o espirales de encuadernación</v>
      </c>
      <c r="C1698" s="72" t="str">
        <f>IFERROR(VLOOKUP("DOC",'Informacion '!P:Q,2,FALSE),"")</f>
        <v>Docena</v>
      </c>
      <c r="D1698" s="39">
        <v>21</v>
      </c>
      <c r="E1698" s="42">
        <v>15.8</v>
      </c>
      <c r="F1698" s="41">
        <f t="shared" ref="F1698:F1745" ca="1" si="61">INDIRECT(ADDRESS(ROW(),COLUMN()-2,4))*INDIRECT(ADDRESS(ROW(),COLUMN()-1,4))</f>
        <v>331.8</v>
      </c>
    </row>
    <row r="1699" spans="1:6" ht="14.25" customHeight="1" x14ac:dyDescent="0.35">
      <c r="A1699" s="39" t="s">
        <v>5290</v>
      </c>
      <c r="B1699" s="40" t="str">
        <f ca="1">IFERROR(INDEX(UNSPSCDes,MATCH(INDIRECT(ADDRESS(ROW(),COLUMN()-1,4)),UNSPSCCode,0)),IF(INDIRECT(ADDRESS(ROW(),COLUMN()-1,4))="44103504","Alambres o espirales de encuadernación",""))</f>
        <v>Alambres o espirales de encuadernación</v>
      </c>
      <c r="C1699" s="72" t="str">
        <f>IFERROR(VLOOKUP("DOC",'Informacion '!P:Q,2,FALSE),"")</f>
        <v>Docena</v>
      </c>
      <c r="D1699" s="39">
        <v>21</v>
      </c>
      <c r="E1699" s="42">
        <v>31.87</v>
      </c>
      <c r="F1699" s="41">
        <f t="shared" ca="1" si="61"/>
        <v>669.27</v>
      </c>
    </row>
    <row r="1700" spans="1:6" ht="14.25" customHeight="1" x14ac:dyDescent="0.35">
      <c r="A1700" s="39" t="s">
        <v>10628</v>
      </c>
      <c r="B1700" s="40" t="str">
        <f ca="1">IFERROR(INDEX(UNSPSCDes,MATCH(INDIRECT(ADDRESS(ROW(),COLUMN()-1,4)),UNSPSCCode,0)),IF(INDIRECT(ADDRESS(ROW(),COLUMN()-1,4))="44111611","Clips para billetes",""))</f>
        <v>Clips para billetes</v>
      </c>
      <c r="C1700" s="72" t="str">
        <f>IFERROR(VLOOKUP("UD",'Informacion '!P:Q,2,FALSE),"")</f>
        <v>Unidad</v>
      </c>
      <c r="D1700" s="39">
        <v>120</v>
      </c>
      <c r="E1700" s="42">
        <v>80.900000000000006</v>
      </c>
      <c r="F1700" s="41">
        <f t="shared" ca="1" si="61"/>
        <v>9708</v>
      </c>
    </row>
    <row r="1701" spans="1:6" ht="14.25" customHeight="1" x14ac:dyDescent="0.35">
      <c r="A1701" s="39" t="s">
        <v>10628</v>
      </c>
      <c r="B1701" s="40" t="str">
        <f ca="1">IFERROR(INDEX(UNSPSCDes,MATCH(INDIRECT(ADDRESS(ROW(),COLUMN()-1,4)),UNSPSCCode,0)),IF(INDIRECT(ADDRESS(ROW(),COLUMN()-1,4))="44111611","Clips para billetes",""))</f>
        <v>Clips para billetes</v>
      </c>
      <c r="C1701" s="72" t="str">
        <f>IFERROR(VLOOKUP("UD",'Informacion '!P:Q,2,FALSE),"")</f>
        <v>Unidad</v>
      </c>
      <c r="D1701" s="39">
        <v>75</v>
      </c>
      <c r="E1701" s="42">
        <v>25</v>
      </c>
      <c r="F1701" s="41">
        <f t="shared" ca="1" si="61"/>
        <v>1875</v>
      </c>
    </row>
    <row r="1702" spans="1:6" ht="14.25" customHeight="1" x14ac:dyDescent="0.35">
      <c r="A1702" s="39" t="s">
        <v>10628</v>
      </c>
      <c r="B1702" s="40" t="str">
        <f ca="1">IFERROR(INDEX(UNSPSCDes,MATCH(INDIRECT(ADDRESS(ROW(),COLUMN()-1,4)),UNSPSCCode,0)),IF(INDIRECT(ADDRESS(ROW(),COLUMN()-1,4))="44111611","Clips para billetes",""))</f>
        <v>Clips para billetes</v>
      </c>
      <c r="C1702" s="72" t="str">
        <f>IFERROR(VLOOKUP("UD",'Informacion '!P:Q,2,FALSE),"")</f>
        <v>Unidad</v>
      </c>
      <c r="D1702" s="39">
        <v>50</v>
      </c>
      <c r="E1702" s="42">
        <v>34.9</v>
      </c>
      <c r="F1702" s="41">
        <f t="shared" ca="1" si="61"/>
        <v>1745</v>
      </c>
    </row>
    <row r="1703" spans="1:6" ht="14.25" customHeight="1" x14ac:dyDescent="0.35">
      <c r="A1703" s="39" t="s">
        <v>10628</v>
      </c>
      <c r="B1703" s="40" t="str">
        <f ca="1">IFERROR(INDEX(UNSPSCDes,MATCH(INDIRECT(ADDRESS(ROW(),COLUMN()-1,4)),UNSPSCCode,0)),IF(INDIRECT(ADDRESS(ROW(),COLUMN()-1,4))="44111611","Clips para billetes",""))</f>
        <v>Clips para billetes</v>
      </c>
      <c r="C1703" s="72" t="str">
        <f>IFERROR(VLOOKUP("CAJ",'Informacion '!P:Q,2,FALSE),"")</f>
        <v>Caja</v>
      </c>
      <c r="D1703" s="39">
        <v>75</v>
      </c>
      <c r="E1703" s="42">
        <v>8.23</v>
      </c>
      <c r="F1703" s="41">
        <f t="shared" ca="1" si="61"/>
        <v>617.25</v>
      </c>
    </row>
    <row r="1704" spans="1:6" ht="14.25" customHeight="1" x14ac:dyDescent="0.35">
      <c r="A1704" s="39" t="s">
        <v>9252</v>
      </c>
      <c r="B1704" s="40" t="str">
        <f ca="1">IFERROR(INDEX(UNSPSCDes,MATCH(INDIRECT(ADDRESS(ROW(),COLUMN()-1,4)),UNSPSCCode,0)),IF(INDIRECT(ADDRESS(ROW(),COLUMN()-1,4))="44111808","Reglas t",""))</f>
        <v>Reglas t</v>
      </c>
      <c r="C1704" s="72" t="str">
        <f>IFERROR(VLOOKUP("UD",'Informacion '!P:Q,2,FALSE),"")</f>
        <v>Unidad</v>
      </c>
      <c r="D1704" s="39">
        <v>25</v>
      </c>
      <c r="E1704" s="42">
        <v>5.6</v>
      </c>
      <c r="F1704" s="41">
        <f t="shared" ca="1" si="61"/>
        <v>140</v>
      </c>
    </row>
    <row r="1705" spans="1:6" ht="14.25" customHeight="1" x14ac:dyDescent="0.35">
      <c r="A1705" s="39" t="s">
        <v>12198</v>
      </c>
      <c r="B1705" s="40" t="str">
        <f ca="1">IFERROR(INDEX(UNSPSCDes,MATCH(INDIRECT(ADDRESS(ROW(),COLUMN()-1,4)),UNSPSCCode,0)),IF(INDIRECT(ADDRESS(ROW(),COLUMN()-1,4))="44112005","Libretas de citas o repuestos",""))</f>
        <v>Libretas de citas o repuestos</v>
      </c>
      <c r="C1705" s="72" t="str">
        <f>IFERROR(VLOOKUP("UD",'Informacion '!P:Q,2,FALSE),"")</f>
        <v>Unidad</v>
      </c>
      <c r="D1705" s="39">
        <v>40</v>
      </c>
      <c r="E1705" s="42">
        <v>31.85</v>
      </c>
      <c r="F1705" s="41">
        <f t="shared" ca="1" si="61"/>
        <v>1274</v>
      </c>
    </row>
    <row r="1706" spans="1:6" ht="14.25" customHeight="1" x14ac:dyDescent="0.35">
      <c r="A1706" s="39" t="s">
        <v>12198</v>
      </c>
      <c r="B1706" s="40" t="str">
        <f ca="1">IFERROR(INDEX(UNSPSCDes,MATCH(INDIRECT(ADDRESS(ROW(),COLUMN()-1,4)),UNSPSCCode,0)),IF(INDIRECT(ADDRESS(ROW(),COLUMN()-1,4))="44112005","Libretas de citas o repuestos",""))</f>
        <v>Libretas de citas o repuestos</v>
      </c>
      <c r="C1706" s="72" t="str">
        <f>IFERROR(VLOOKUP("DOC",'Informacion '!P:Q,2,FALSE),"")</f>
        <v>Docena</v>
      </c>
      <c r="D1706" s="39">
        <v>1000</v>
      </c>
      <c r="E1706" s="42">
        <v>300.02999999999997</v>
      </c>
      <c r="F1706" s="41">
        <f t="shared" ca="1" si="61"/>
        <v>300030</v>
      </c>
    </row>
    <row r="1707" spans="1:6" ht="14.25" customHeight="1" x14ac:dyDescent="0.35">
      <c r="A1707" s="39" t="s">
        <v>12198</v>
      </c>
      <c r="B1707" s="40" t="str">
        <f ca="1">IFERROR(INDEX(UNSPSCDes,MATCH(INDIRECT(ADDRESS(ROW(),COLUMN()-1,4)),UNSPSCCode,0)),IF(INDIRECT(ADDRESS(ROW(),COLUMN()-1,4))="44112005","Libretas de citas o repuestos",""))</f>
        <v>Libretas de citas o repuestos</v>
      </c>
      <c r="C1707" s="72" t="str">
        <f>IFERROR(VLOOKUP("UD",'Informacion '!P:Q,2,FALSE),"")</f>
        <v>Unidad</v>
      </c>
      <c r="D1707" s="39">
        <v>250</v>
      </c>
      <c r="E1707" s="42">
        <v>41.29</v>
      </c>
      <c r="F1707" s="41">
        <f t="shared" ca="1" si="61"/>
        <v>10322.5</v>
      </c>
    </row>
    <row r="1708" spans="1:6" ht="14.25" customHeight="1" x14ac:dyDescent="0.35">
      <c r="A1708" s="39" t="s">
        <v>16730</v>
      </c>
      <c r="B1708" s="40" t="str">
        <f ca="1">IFERROR(INDEX(UNSPSCDes,MATCH(INDIRECT(ADDRESS(ROW(),COLUMN()-1,4)),UNSPSCCode,0)),IF(INDIRECT(ADDRESS(ROW(),COLUMN()-1,4))="44121506","Sobres estándar",""))</f>
        <v>Sobres estándar</v>
      </c>
      <c r="C1708" s="72" t="str">
        <f>IFERROR(VLOOKUP("UD",'Informacion '!P:Q,2,FALSE),"")</f>
        <v>Unidad</v>
      </c>
      <c r="D1708" s="39">
        <v>250</v>
      </c>
      <c r="E1708" s="42">
        <v>1.66</v>
      </c>
      <c r="F1708" s="41">
        <f t="shared" ca="1" si="61"/>
        <v>415</v>
      </c>
    </row>
    <row r="1709" spans="1:6" ht="14.25" customHeight="1" x14ac:dyDescent="0.35">
      <c r="A1709" s="39" t="s">
        <v>16730</v>
      </c>
      <c r="B1709" s="40" t="str">
        <f ca="1">IFERROR(INDEX(UNSPSCDes,MATCH(INDIRECT(ADDRESS(ROW(),COLUMN()-1,4)),UNSPSCCode,0)),IF(INDIRECT(ADDRESS(ROW(),COLUMN()-1,4))="44121506","Sobres estándar",""))</f>
        <v>Sobres estándar</v>
      </c>
      <c r="C1709" s="72" t="str">
        <f>IFERROR(VLOOKUP("UD",'Informacion '!P:Q,2,FALSE),"")</f>
        <v>Unidad</v>
      </c>
      <c r="D1709" s="39">
        <v>375</v>
      </c>
      <c r="E1709" s="42">
        <v>2.12</v>
      </c>
      <c r="F1709" s="41">
        <f t="shared" ca="1" si="61"/>
        <v>795</v>
      </c>
    </row>
    <row r="1710" spans="1:6" ht="14.25" customHeight="1" x14ac:dyDescent="0.35">
      <c r="A1710" s="39" t="s">
        <v>16730</v>
      </c>
      <c r="B1710" s="40" t="str">
        <f ca="1">IFERROR(INDEX(UNSPSCDes,MATCH(INDIRECT(ADDRESS(ROW(),COLUMN()-1,4)),UNSPSCCode,0)),IF(INDIRECT(ADDRESS(ROW(),COLUMN()-1,4))="44121506","Sobres estándar",""))</f>
        <v>Sobres estándar</v>
      </c>
      <c r="C1710" s="72" t="str">
        <f>IFERROR(VLOOKUP("UD",'Informacion '!P:Q,2,FALSE),"")</f>
        <v>Unidad</v>
      </c>
      <c r="D1710" s="39">
        <v>50</v>
      </c>
      <c r="E1710" s="42">
        <v>6.49</v>
      </c>
      <c r="F1710" s="41">
        <f t="shared" ca="1" si="61"/>
        <v>324.5</v>
      </c>
    </row>
    <row r="1711" spans="1:6" ht="14.25" customHeight="1" x14ac:dyDescent="0.35">
      <c r="A1711" s="39" t="s">
        <v>16730</v>
      </c>
      <c r="B1711" s="40" t="str">
        <f ca="1">IFERROR(INDEX(UNSPSCDes,MATCH(INDIRECT(ADDRESS(ROW(),COLUMN()-1,4)),UNSPSCCode,0)),IF(INDIRECT(ADDRESS(ROW(),COLUMN()-1,4))="44121506","Sobres estándar",""))</f>
        <v>Sobres estándar</v>
      </c>
      <c r="C1711" s="72" t="str">
        <f>IFERROR(VLOOKUP("UD",'Informacion '!P:Q,2,FALSE),"")</f>
        <v>Unidad</v>
      </c>
      <c r="D1711" s="39">
        <v>1000</v>
      </c>
      <c r="E1711" s="42">
        <v>2.33</v>
      </c>
      <c r="F1711" s="41">
        <f t="shared" ca="1" si="61"/>
        <v>2330</v>
      </c>
    </row>
    <row r="1712" spans="1:6" ht="14.25" customHeight="1" x14ac:dyDescent="0.35">
      <c r="A1712" s="39" t="s">
        <v>16611</v>
      </c>
      <c r="B1712" s="40" t="str">
        <f ca="1">IFERROR(INDEX(UNSPSCDes,MATCH(INDIRECT(ADDRESS(ROW(),COLUMN()-1,4)),UNSPSCCode,0)),IF(INDIRECT(ADDRESS(ROW(),COLUMN()-1,4))="44121613","Removedores de grapas (saca ganchos)",""))</f>
        <v>Removedores de grapas (saca ganchos)</v>
      </c>
      <c r="C1712" s="72" t="str">
        <f>IFERROR(VLOOKUP("UD",'Informacion '!P:Q,2,FALSE),"")</f>
        <v>Unidad</v>
      </c>
      <c r="D1712" s="39">
        <v>20</v>
      </c>
      <c r="E1712" s="42">
        <v>22.42</v>
      </c>
      <c r="F1712" s="41">
        <f t="shared" ca="1" si="61"/>
        <v>448.40000000000003</v>
      </c>
    </row>
    <row r="1713" spans="1:6" ht="14.25" customHeight="1" x14ac:dyDescent="0.35">
      <c r="A1713" s="39" t="s">
        <v>16460</v>
      </c>
      <c r="B1713" s="40" t="str">
        <f ca="1">IFERROR(INDEX(UNSPSCDes,MATCH(INDIRECT(ADDRESS(ROW(),COLUMN()-1,4)),UNSPSCCode,0)),IF(INDIRECT(ADDRESS(ROW(),COLUMN()-1,4))="44121615","Grapadoras",""))</f>
        <v>Grapadoras</v>
      </c>
      <c r="C1713" s="72" t="str">
        <f>IFERROR(VLOOKUP("UD",'Informacion '!P:Q,2,FALSE),"")</f>
        <v>Unidad</v>
      </c>
      <c r="D1713" s="39">
        <v>30</v>
      </c>
      <c r="E1713" s="42">
        <v>256.04000000000002</v>
      </c>
      <c r="F1713" s="41">
        <f t="shared" ca="1" si="61"/>
        <v>7681.2000000000007</v>
      </c>
    </row>
    <row r="1714" spans="1:6" ht="14.25" customHeight="1" x14ac:dyDescent="0.35">
      <c r="A1714" s="39" t="s">
        <v>9590</v>
      </c>
      <c r="B1714" s="40" t="str">
        <f ca="1">IFERROR(INDEX(UNSPSCDes,MATCH(INDIRECT(ADDRESS(ROW(),COLUMN()-1,4)),UNSPSCCode,0)),IF(INDIRECT(ADDRESS(ROW(),COLUMN()-1,4))="44121618","Tijeras",""))</f>
        <v>Tijeras</v>
      </c>
      <c r="C1714" s="72" t="str">
        <f>IFERROR(VLOOKUP("UD",'Informacion '!P:Q,2,FALSE),"")</f>
        <v>Unidad</v>
      </c>
      <c r="D1714" s="39">
        <v>25</v>
      </c>
      <c r="E1714" s="42">
        <v>31.85</v>
      </c>
      <c r="F1714" s="41">
        <f t="shared" ca="1" si="61"/>
        <v>796.25</v>
      </c>
    </row>
    <row r="1715" spans="1:6" ht="14.25" customHeight="1" x14ac:dyDescent="0.35">
      <c r="A1715" s="39" t="s">
        <v>16550</v>
      </c>
      <c r="B1715" s="40" t="str">
        <f ca="1">IFERROR(INDEX(UNSPSCDes,MATCH(INDIRECT(ADDRESS(ROW(),COLUMN()-1,4)),UNSPSCCode,0)),IF(INDIRECT(ADDRESS(ROW(),COLUMN()-1,4))="44121701","Bolígrafos",""))</f>
        <v>Bolígrafos</v>
      </c>
      <c r="C1715" s="72" t="str">
        <f>IFERROR(VLOOKUP("UD",'Informacion '!P:Q,2,FALSE),"")</f>
        <v>Unidad</v>
      </c>
      <c r="D1715" s="39">
        <v>50</v>
      </c>
      <c r="E1715" s="42">
        <v>35.33</v>
      </c>
      <c r="F1715" s="41">
        <f t="shared" ca="1" si="61"/>
        <v>1766.5</v>
      </c>
    </row>
    <row r="1716" spans="1:6" ht="14.25" customHeight="1" x14ac:dyDescent="0.35">
      <c r="A1716" s="39" t="s">
        <v>16550</v>
      </c>
      <c r="B1716" s="40" t="str">
        <f ca="1">IFERROR(INDEX(UNSPSCDes,MATCH(INDIRECT(ADDRESS(ROW(),COLUMN()-1,4)),UNSPSCCode,0)),IF(INDIRECT(ADDRESS(ROW(),COLUMN()-1,4))="44121701","Bolígrafos",""))</f>
        <v>Bolígrafos</v>
      </c>
      <c r="C1716" s="72" t="str">
        <f>IFERROR(VLOOKUP("UD",'Informacion '!P:Q,2,FALSE),"")</f>
        <v>Unidad</v>
      </c>
      <c r="D1716" s="39">
        <v>4</v>
      </c>
      <c r="E1716" s="42">
        <v>118</v>
      </c>
      <c r="F1716" s="41">
        <f t="shared" ca="1" si="61"/>
        <v>472</v>
      </c>
    </row>
    <row r="1717" spans="1:6" ht="14.25" customHeight="1" x14ac:dyDescent="0.35">
      <c r="A1717" s="39" t="s">
        <v>16550</v>
      </c>
      <c r="B1717" s="40" t="str">
        <f ca="1">IFERROR(INDEX(UNSPSCDes,MATCH(INDIRECT(ADDRESS(ROW(),COLUMN()-1,4)),UNSPSCCode,0)),IF(INDIRECT(ADDRESS(ROW(),COLUMN()-1,4))="44121701","Bolígrafos",""))</f>
        <v>Bolígrafos</v>
      </c>
      <c r="C1717" s="72" t="str">
        <f>IFERROR(VLOOKUP("CAJ",'Informacion '!P:Q,2,FALSE),"")</f>
        <v>Caja</v>
      </c>
      <c r="D1717" s="39">
        <v>1000</v>
      </c>
      <c r="E1717" s="42">
        <v>117.9</v>
      </c>
      <c r="F1717" s="41">
        <f t="shared" ca="1" si="61"/>
        <v>117900</v>
      </c>
    </row>
    <row r="1718" spans="1:6" ht="14.25" customHeight="1" x14ac:dyDescent="0.35">
      <c r="A1718" s="39" t="s">
        <v>16550</v>
      </c>
      <c r="B1718" s="40" t="str">
        <f ca="1">IFERROR(INDEX(UNSPSCDes,MATCH(INDIRECT(ADDRESS(ROW(),COLUMN()-1,4)),UNSPSCCode,0)),IF(INDIRECT(ADDRESS(ROW(),COLUMN()-1,4))="44121701","Bolígrafos",""))</f>
        <v>Bolígrafos</v>
      </c>
      <c r="C1718" s="72" t="str">
        <f>IFERROR(VLOOKUP("UD",'Informacion '!P:Q,2,FALSE),"")</f>
        <v>Unidad</v>
      </c>
      <c r="D1718" s="39">
        <v>1750</v>
      </c>
      <c r="E1718" s="42">
        <v>3.75</v>
      </c>
      <c r="F1718" s="41">
        <f t="shared" ca="1" si="61"/>
        <v>6562.5</v>
      </c>
    </row>
    <row r="1719" spans="1:6" ht="14.25" customHeight="1" x14ac:dyDescent="0.35">
      <c r="A1719" s="39" t="s">
        <v>16550</v>
      </c>
      <c r="B1719" s="40" t="str">
        <f ca="1">IFERROR(INDEX(UNSPSCDes,MATCH(INDIRECT(ADDRESS(ROW(),COLUMN()-1,4)),UNSPSCCode,0)),IF(INDIRECT(ADDRESS(ROW(),COLUMN()-1,4))="44121701","Bolígrafos",""))</f>
        <v>Bolígrafos</v>
      </c>
      <c r="C1719" s="72" t="str">
        <f>IFERROR(VLOOKUP("UD",'Informacion '!P:Q,2,FALSE),"")</f>
        <v>Unidad</v>
      </c>
      <c r="D1719" s="39">
        <v>125</v>
      </c>
      <c r="E1719" s="42">
        <v>94.38</v>
      </c>
      <c r="F1719" s="41">
        <f t="shared" ca="1" si="61"/>
        <v>11797.5</v>
      </c>
    </row>
    <row r="1720" spans="1:6" ht="14.25" customHeight="1" x14ac:dyDescent="0.35">
      <c r="A1720" s="39" t="s">
        <v>12891</v>
      </c>
      <c r="B1720" s="40" t="str">
        <f ca="1">IFERROR(INDEX(UNSPSCDes,MATCH(INDIRECT(ADDRESS(ROW(),COLUMN()-1,4)),UNSPSCCode,0)),IF(INDIRECT(ADDRESS(ROW(),COLUMN()-1,4))="44121706","Lápices de madera",""))</f>
        <v>Lápices de madera</v>
      </c>
      <c r="C1720" s="72" t="str">
        <f>IFERROR(VLOOKUP("CAJ",'Informacion '!P:Q,2,FALSE),"")</f>
        <v>Caja</v>
      </c>
      <c r="D1720" s="39">
        <v>8</v>
      </c>
      <c r="E1720" s="42">
        <v>30</v>
      </c>
      <c r="F1720" s="41">
        <f t="shared" ca="1" si="61"/>
        <v>240</v>
      </c>
    </row>
    <row r="1721" spans="1:6" ht="14.25" customHeight="1" x14ac:dyDescent="0.35">
      <c r="A1721" s="39" t="s">
        <v>12891</v>
      </c>
      <c r="B1721" s="40" t="str">
        <f ca="1">IFERROR(INDEX(UNSPSCDes,MATCH(INDIRECT(ADDRESS(ROW(),COLUMN()-1,4)),UNSPSCCode,0)),IF(INDIRECT(ADDRESS(ROW(),COLUMN()-1,4))="44121706","Lápices de madera",""))</f>
        <v>Lápices de madera</v>
      </c>
      <c r="C1721" s="72" t="str">
        <f>IFERROR(VLOOKUP("UD",'Informacion '!P:Q,2,FALSE),"")</f>
        <v>Unidad</v>
      </c>
      <c r="D1721" s="39">
        <v>719</v>
      </c>
      <c r="E1721" s="42">
        <v>30</v>
      </c>
      <c r="F1721" s="41">
        <f t="shared" ca="1" si="61"/>
        <v>21570</v>
      </c>
    </row>
    <row r="1722" spans="1:6" ht="14.25" customHeight="1" x14ac:dyDescent="0.35">
      <c r="A1722" s="39" t="s">
        <v>2450</v>
      </c>
      <c r="B1722" s="40" t="str">
        <f ca="1">IFERROR(INDEX(UNSPSCDes,MATCH(INDIRECT(ADDRESS(ROW(),COLUMN()-1,4)),UNSPSCCode,0)),IF(INDIRECT(ADDRESS(ROW(),COLUMN()-1,4))="44121708","Marcadores",""))</f>
        <v>Marcadores</v>
      </c>
      <c r="C1722" s="72" t="str">
        <f>IFERROR(VLOOKUP("UD",'Informacion '!P:Q,2,FALSE),"")</f>
        <v>Unidad</v>
      </c>
      <c r="D1722" s="39">
        <v>100</v>
      </c>
      <c r="E1722" s="42">
        <v>13</v>
      </c>
      <c r="F1722" s="41">
        <f t="shared" ca="1" si="61"/>
        <v>1300</v>
      </c>
    </row>
    <row r="1723" spans="1:6" ht="14.25" customHeight="1" x14ac:dyDescent="0.35">
      <c r="A1723" s="39" t="s">
        <v>2450</v>
      </c>
      <c r="B1723" s="40" t="str">
        <f ca="1">IFERROR(INDEX(UNSPSCDes,MATCH(INDIRECT(ADDRESS(ROW(),COLUMN()-1,4)),UNSPSCCode,0)),IF(INDIRECT(ADDRESS(ROW(),COLUMN()-1,4))="44121708","Marcadores",""))</f>
        <v>Marcadores</v>
      </c>
      <c r="C1723" s="72" t="str">
        <f>IFERROR(VLOOKUP("UD",'Informacion '!P:Q,2,FALSE),"")</f>
        <v>Unidad</v>
      </c>
      <c r="D1723" s="39">
        <v>30</v>
      </c>
      <c r="E1723" s="42">
        <v>14.5</v>
      </c>
      <c r="F1723" s="41">
        <f t="shared" ca="1" si="61"/>
        <v>435</v>
      </c>
    </row>
    <row r="1724" spans="1:6" ht="14.25" customHeight="1" x14ac:dyDescent="0.35">
      <c r="A1724" s="39" t="s">
        <v>12884</v>
      </c>
      <c r="B1724" s="40" t="str">
        <f ca="1">IFERROR(INDEX(UNSPSCDes,MATCH(INDIRECT(ADDRESS(ROW(),COLUMN()-1,4)),UNSPSCCode,0)),IF(INDIRECT(ADDRESS(ROW(),COLUMN()-1,4))="44121716","Resaltadores",""))</f>
        <v>Resaltadores</v>
      </c>
      <c r="C1724" s="72" t="str">
        <f>IFERROR(VLOOKUP("UD",'Informacion '!P:Q,2,FALSE),"")</f>
        <v>Unidad</v>
      </c>
      <c r="D1724" s="39">
        <v>4</v>
      </c>
      <c r="E1724" s="42">
        <v>29.4</v>
      </c>
      <c r="F1724" s="41">
        <f t="shared" ca="1" si="61"/>
        <v>117.6</v>
      </c>
    </row>
    <row r="1725" spans="1:6" ht="14.25" customHeight="1" x14ac:dyDescent="0.35">
      <c r="A1725" s="39" t="s">
        <v>12884</v>
      </c>
      <c r="B1725" s="40" t="str">
        <f ca="1">IFERROR(INDEX(UNSPSCDes,MATCH(INDIRECT(ADDRESS(ROW(),COLUMN()-1,4)),UNSPSCCode,0)),IF(INDIRECT(ADDRESS(ROW(),COLUMN()-1,4))="44121716","Resaltadores",""))</f>
        <v>Resaltadores</v>
      </c>
      <c r="C1725" s="72" t="str">
        <f>IFERROR(VLOOKUP("UD",'Informacion '!P:Q,2,FALSE),"")</f>
        <v>Unidad</v>
      </c>
      <c r="D1725" s="39">
        <v>60</v>
      </c>
      <c r="E1725" s="42">
        <v>8.48</v>
      </c>
      <c r="F1725" s="41">
        <f t="shared" ca="1" si="61"/>
        <v>508.8</v>
      </c>
    </row>
    <row r="1726" spans="1:6" ht="14.25" customHeight="1" x14ac:dyDescent="0.35">
      <c r="A1726" s="39" t="s">
        <v>12884</v>
      </c>
      <c r="B1726" s="40" t="str">
        <f ca="1">IFERROR(INDEX(UNSPSCDes,MATCH(INDIRECT(ADDRESS(ROW(),COLUMN()-1,4)),UNSPSCCode,0)),IF(INDIRECT(ADDRESS(ROW(),COLUMN()-1,4))="44121716","Resaltadores",""))</f>
        <v>Resaltadores</v>
      </c>
      <c r="C1726" s="72" t="str">
        <f>IFERROR(VLOOKUP("UD",'Informacion '!P:Q,2,FALSE),"")</f>
        <v>Unidad</v>
      </c>
      <c r="D1726" s="39">
        <v>30</v>
      </c>
      <c r="E1726" s="42">
        <v>165.67</v>
      </c>
      <c r="F1726" s="41">
        <f t="shared" ca="1" si="61"/>
        <v>4970.0999999999995</v>
      </c>
    </row>
    <row r="1727" spans="1:6" ht="14.25" customHeight="1" x14ac:dyDescent="0.35">
      <c r="A1727" s="39" t="s">
        <v>12884</v>
      </c>
      <c r="B1727" s="40" t="str">
        <f ca="1">IFERROR(INDEX(UNSPSCDes,MATCH(INDIRECT(ADDRESS(ROW(),COLUMN()-1,4)),UNSPSCCode,0)),IF(INDIRECT(ADDRESS(ROW(),COLUMN()-1,4))="44121716","Resaltadores",""))</f>
        <v>Resaltadores</v>
      </c>
      <c r="C1727" s="72" t="str">
        <f>IFERROR(VLOOKUP("UD",'Informacion '!P:Q,2,FALSE),"")</f>
        <v>Unidad</v>
      </c>
      <c r="D1727" s="39">
        <v>60</v>
      </c>
      <c r="E1727" s="42">
        <v>19.440000000000001</v>
      </c>
      <c r="F1727" s="41">
        <f t="shared" ca="1" si="61"/>
        <v>1166.4000000000001</v>
      </c>
    </row>
    <row r="1728" spans="1:6" ht="14.25" customHeight="1" x14ac:dyDescent="0.35">
      <c r="A1728" s="39" t="s">
        <v>12884</v>
      </c>
      <c r="B1728" s="40" t="str">
        <f ca="1">IFERROR(INDEX(UNSPSCDes,MATCH(INDIRECT(ADDRESS(ROW(),COLUMN()-1,4)),UNSPSCCode,0)),IF(INDIRECT(ADDRESS(ROW(),COLUMN()-1,4))="44121716","Resaltadores",""))</f>
        <v>Resaltadores</v>
      </c>
      <c r="C1728" s="72" t="str">
        <f>IFERROR(VLOOKUP("UD",'Informacion '!P:Q,2,FALSE),"")</f>
        <v>Unidad</v>
      </c>
      <c r="D1728" s="39">
        <v>30</v>
      </c>
      <c r="E1728" s="42">
        <v>9.3800000000000008</v>
      </c>
      <c r="F1728" s="41">
        <f t="shared" ca="1" si="61"/>
        <v>281.40000000000003</v>
      </c>
    </row>
    <row r="1729" spans="1:6" ht="14.25" customHeight="1" x14ac:dyDescent="0.35">
      <c r="A1729" s="39" t="s">
        <v>1273</v>
      </c>
      <c r="B1729" s="40" t="str">
        <f ca="1">IFERROR(INDEX(UNSPSCDes,MATCH(INDIRECT(ADDRESS(ROW(),COLUMN()-1,4)),UNSPSCCode,0)),IF(INDIRECT(ADDRESS(ROW(),COLUMN()-1,4))="44122003","Carpetas",""))</f>
        <v>Carpetas</v>
      </c>
      <c r="C1729" s="72" t="str">
        <f>IFERROR(VLOOKUP("UD",'Informacion '!P:Q,2,FALSE),"")</f>
        <v>Unidad</v>
      </c>
      <c r="D1729" s="39">
        <v>4</v>
      </c>
      <c r="E1729" s="42">
        <v>100.3</v>
      </c>
      <c r="F1729" s="41">
        <f t="shared" ca="1" si="61"/>
        <v>401.2</v>
      </c>
    </row>
    <row r="1730" spans="1:6" ht="14.25" customHeight="1" x14ac:dyDescent="0.35">
      <c r="A1730" s="39" t="s">
        <v>1273</v>
      </c>
      <c r="B1730" s="40" t="str">
        <f ca="1">IFERROR(INDEX(UNSPSCDes,MATCH(INDIRECT(ADDRESS(ROW(),COLUMN()-1,4)),UNSPSCCode,0)),IF(INDIRECT(ADDRESS(ROW(),COLUMN()-1,4))="44122003","Carpetas",""))</f>
        <v>Carpetas</v>
      </c>
      <c r="C1730" s="72" t="str">
        <f>IFERROR(VLOOKUP("UD",'Informacion '!P:Q,2,FALSE),"")</f>
        <v>Unidad</v>
      </c>
      <c r="D1730" s="39">
        <v>45</v>
      </c>
      <c r="E1730" s="42">
        <v>133.30000000000001</v>
      </c>
      <c r="F1730" s="41">
        <f t="shared" ca="1" si="61"/>
        <v>5998.5000000000009</v>
      </c>
    </row>
    <row r="1731" spans="1:6" ht="14.25" customHeight="1" x14ac:dyDescent="0.35">
      <c r="A1731" s="39" t="s">
        <v>1273</v>
      </c>
      <c r="B1731" s="40" t="str">
        <f ca="1">IFERROR(INDEX(UNSPSCDes,MATCH(INDIRECT(ADDRESS(ROW(),COLUMN()-1,4)),UNSPSCCode,0)),IF(INDIRECT(ADDRESS(ROW(),COLUMN()-1,4))="44122003","Carpetas",""))</f>
        <v>Carpetas</v>
      </c>
      <c r="C1731" s="72" t="str">
        <f>IFERROR(VLOOKUP("UD",'Informacion '!P:Q,2,FALSE),"")</f>
        <v>Unidad</v>
      </c>
      <c r="D1731" s="39">
        <v>45</v>
      </c>
      <c r="E1731" s="42">
        <v>187.61</v>
      </c>
      <c r="F1731" s="41">
        <f t="shared" ca="1" si="61"/>
        <v>8442.4500000000007</v>
      </c>
    </row>
    <row r="1732" spans="1:6" ht="14.25" customHeight="1" x14ac:dyDescent="0.35">
      <c r="A1732" s="39" t="s">
        <v>1273</v>
      </c>
      <c r="B1732" s="40" t="str">
        <f ca="1">IFERROR(INDEX(UNSPSCDes,MATCH(INDIRECT(ADDRESS(ROW(),COLUMN()-1,4)),UNSPSCCode,0)),IF(INDIRECT(ADDRESS(ROW(),COLUMN()-1,4))="44122003","Carpetas",""))</f>
        <v>Carpetas</v>
      </c>
      <c r="C1732" s="72" t="str">
        <f>IFERROR(VLOOKUP("UD",'Informacion '!P:Q,2,FALSE),"")</f>
        <v>Unidad</v>
      </c>
      <c r="D1732" s="39">
        <v>75</v>
      </c>
      <c r="E1732" s="42">
        <v>188.8</v>
      </c>
      <c r="F1732" s="41">
        <f t="shared" ca="1" si="61"/>
        <v>14160</v>
      </c>
    </row>
    <row r="1733" spans="1:6" ht="14.25" customHeight="1" x14ac:dyDescent="0.35">
      <c r="A1733" s="39" t="s">
        <v>8915</v>
      </c>
      <c r="B1733" s="40" t="str">
        <f ca="1">IFERROR(INDEX(UNSPSCDes,MATCH(INDIRECT(ADDRESS(ROW(),COLUMN()-1,4)),UNSPSCCode,0)),IF(INDIRECT(ADDRESS(ROW(),COLUMN()-1,4))="44122005","Cubiertas para revistas o libros",""))</f>
        <v>Cubiertas para revistas o libros</v>
      </c>
      <c r="C1733" s="72" t="str">
        <f>IFERROR(VLOOKUP("UD",'Informacion '!P:Q,2,FALSE),"")</f>
        <v>Unidad</v>
      </c>
      <c r="D1733" s="39">
        <v>250</v>
      </c>
      <c r="E1733" s="42">
        <v>590</v>
      </c>
      <c r="F1733" s="41">
        <f t="shared" ca="1" si="61"/>
        <v>147500</v>
      </c>
    </row>
    <row r="1734" spans="1:6" ht="14.25" customHeight="1" x14ac:dyDescent="0.35">
      <c r="A1734" s="39" t="s">
        <v>5536</v>
      </c>
      <c r="B1734" s="40" t="str">
        <f ca="1">IFERROR(INDEX(UNSPSCDes,MATCH(INDIRECT(ADDRESS(ROW(),COLUMN()-1,4)),UNSPSCCode,0)),IF(INDIRECT(ADDRESS(ROW(),COLUMN()-1,4))="44122010","Separadores",""))</f>
        <v>Separadores</v>
      </c>
      <c r="C1734" s="72" t="str">
        <f>IFERROR(VLOOKUP("PAQ",'Informacion '!P:Q,2,FALSE),"")</f>
        <v>Paquete</v>
      </c>
      <c r="D1734" s="39">
        <v>500</v>
      </c>
      <c r="E1734" s="42">
        <v>96.44</v>
      </c>
      <c r="F1734" s="41">
        <f t="shared" ca="1" si="61"/>
        <v>48220</v>
      </c>
    </row>
    <row r="1735" spans="1:6" ht="14.25" customHeight="1" x14ac:dyDescent="0.35">
      <c r="A1735" s="39" t="s">
        <v>8013</v>
      </c>
      <c r="B1735" s="40" t="str">
        <f ca="1">IFERROR(INDEX(UNSPSCDes,MATCH(INDIRECT(ADDRESS(ROW(),COLUMN()-1,4)),UNSPSCCode,0)),IF(INDIRECT(ADDRESS(ROW(),COLUMN()-1,4))="44122011","Folders",""))</f>
        <v>Folders</v>
      </c>
      <c r="C1735" s="72" t="str">
        <f>IFERROR(VLOOKUP("PAQ",'Informacion '!P:Q,2,FALSE),"")</f>
        <v>Paquete</v>
      </c>
      <c r="D1735" s="39">
        <v>50</v>
      </c>
      <c r="E1735" s="42">
        <v>236</v>
      </c>
      <c r="F1735" s="41">
        <f t="shared" ca="1" si="61"/>
        <v>11800</v>
      </c>
    </row>
    <row r="1736" spans="1:6" ht="14.25" customHeight="1" x14ac:dyDescent="0.35">
      <c r="A1736" s="39" t="s">
        <v>8013</v>
      </c>
      <c r="B1736" s="40" t="str">
        <f ca="1">IFERROR(INDEX(UNSPSCDes,MATCH(INDIRECT(ADDRESS(ROW(),COLUMN()-1,4)),UNSPSCCode,0)),IF(INDIRECT(ADDRESS(ROW(),COLUMN()-1,4))="44122011","Folders",""))</f>
        <v>Folders</v>
      </c>
      <c r="C1736" s="72" t="str">
        <f>IFERROR(VLOOKUP("UD",'Informacion '!P:Q,2,FALSE),"")</f>
        <v>Unidad</v>
      </c>
      <c r="D1736" s="39">
        <v>50</v>
      </c>
      <c r="E1736" s="42">
        <v>236</v>
      </c>
      <c r="F1736" s="41">
        <f t="shared" ca="1" si="61"/>
        <v>11800</v>
      </c>
    </row>
    <row r="1737" spans="1:6" ht="14.25" customHeight="1" x14ac:dyDescent="0.35">
      <c r="A1737" s="39" t="s">
        <v>8013</v>
      </c>
      <c r="B1737" s="40" t="str">
        <f ca="1">IFERROR(INDEX(UNSPSCDes,MATCH(INDIRECT(ADDRESS(ROW(),COLUMN()-1,4)),UNSPSCCode,0)),IF(INDIRECT(ADDRESS(ROW(),COLUMN()-1,4))="44122011","Folders",""))</f>
        <v>Folders</v>
      </c>
      <c r="C1737" s="72" t="str">
        <f>IFERROR(VLOOKUP("UD",'Informacion '!P:Q,2,FALSE),"")</f>
        <v>Unidad</v>
      </c>
      <c r="D1737" s="39">
        <v>75</v>
      </c>
      <c r="E1737" s="42">
        <v>796.5</v>
      </c>
      <c r="F1737" s="41">
        <f t="shared" ca="1" si="61"/>
        <v>59737.5</v>
      </c>
    </row>
    <row r="1738" spans="1:6" ht="14.25" customHeight="1" x14ac:dyDescent="0.35">
      <c r="A1738" s="39" t="s">
        <v>8013</v>
      </c>
      <c r="B1738" s="40" t="str">
        <f ca="1">IFERROR(INDEX(UNSPSCDes,MATCH(INDIRECT(ADDRESS(ROW(),COLUMN()-1,4)),UNSPSCCode,0)),IF(INDIRECT(ADDRESS(ROW(),COLUMN()-1,4))="44122011","Folders",""))</f>
        <v>Folders</v>
      </c>
      <c r="C1738" s="72" t="str">
        <f>IFERROR(VLOOKUP("UD",'Informacion '!P:Q,2,FALSE),"")</f>
        <v>Unidad</v>
      </c>
      <c r="D1738" s="39">
        <v>75</v>
      </c>
      <c r="E1738" s="42">
        <v>210</v>
      </c>
      <c r="F1738" s="41">
        <f t="shared" ca="1" si="61"/>
        <v>15750</v>
      </c>
    </row>
    <row r="1739" spans="1:6" ht="14.25" customHeight="1" x14ac:dyDescent="0.35">
      <c r="A1739" s="39" t="s">
        <v>8013</v>
      </c>
      <c r="B1739" s="40" t="str">
        <f ca="1">IFERROR(INDEX(UNSPSCDes,MATCH(INDIRECT(ADDRESS(ROW(),COLUMN()-1,4)),UNSPSCCode,0)),IF(INDIRECT(ADDRESS(ROW(),COLUMN()-1,4))="44122011","Folders",""))</f>
        <v>Folders</v>
      </c>
      <c r="C1739" s="72" t="str">
        <f>IFERROR(VLOOKUP("UD",'Informacion '!P:Q,2,FALSE),"")</f>
        <v>Unidad</v>
      </c>
      <c r="D1739" s="39">
        <v>5</v>
      </c>
      <c r="E1739" s="42">
        <v>442.5</v>
      </c>
      <c r="F1739" s="41">
        <f t="shared" ca="1" si="61"/>
        <v>2212.5</v>
      </c>
    </row>
    <row r="1740" spans="1:6" ht="14.25" customHeight="1" x14ac:dyDescent="0.35">
      <c r="A1740" s="39" t="s">
        <v>4690</v>
      </c>
      <c r="B1740" s="40" t="str">
        <f ca="1">IFERROR(INDEX(UNSPSCDes,MATCH(INDIRECT(ADDRESS(ROW(),COLUMN()-1,4)),UNSPSCCode,0)),IF(INDIRECT(ADDRESS(ROW(),COLUMN()-1,4))="44122022","Accesorios de carpetas de folders",""))</f>
        <v>Accesorios de carpetas de folders</v>
      </c>
      <c r="C1740" s="72" t="str">
        <f>IFERROR(VLOOKUP("CAJ",'Informacion '!P:Q,2,FALSE),"")</f>
        <v>Caja</v>
      </c>
      <c r="D1740" s="39">
        <v>40</v>
      </c>
      <c r="E1740" s="42">
        <v>56.63</v>
      </c>
      <c r="F1740" s="41">
        <f t="shared" ca="1" si="61"/>
        <v>2265.2000000000003</v>
      </c>
    </row>
    <row r="1741" spans="1:6" ht="14.25" customHeight="1" x14ac:dyDescent="0.35">
      <c r="A1741" s="39" t="s">
        <v>16445</v>
      </c>
      <c r="B1741" s="40" t="str">
        <f ca="1">IFERROR(INDEX(UNSPSCDes,MATCH(INDIRECT(ADDRESS(ROW(),COLUMN()-1,4)),UNSPSCCode,0)),IF(INDIRECT(ADDRESS(ROW(),COLUMN()-1,4))="44122026","Garras para papel",""))</f>
        <v>Garras para papel</v>
      </c>
      <c r="C1741" s="72" t="str">
        <f>IFERROR(VLOOKUP("CAJ",'Informacion '!P:Q,2,FALSE),"")</f>
        <v>Caja</v>
      </c>
      <c r="D1741" s="39">
        <v>50</v>
      </c>
      <c r="E1741" s="42">
        <v>27.78</v>
      </c>
      <c r="F1741" s="41">
        <f t="shared" ca="1" si="61"/>
        <v>1389</v>
      </c>
    </row>
    <row r="1742" spans="1:6" ht="14.25" customHeight="1" x14ac:dyDescent="0.35">
      <c r="A1742" s="39" t="s">
        <v>16445</v>
      </c>
      <c r="B1742" s="40" t="str">
        <f ca="1">IFERROR(INDEX(UNSPSCDes,MATCH(INDIRECT(ADDRESS(ROW(),COLUMN()-1,4)),UNSPSCCode,0)),IF(INDIRECT(ADDRESS(ROW(),COLUMN()-1,4))="44122026","Garras para papel",""))</f>
        <v>Garras para papel</v>
      </c>
      <c r="C1742" s="72" t="str">
        <f>IFERROR(VLOOKUP("CAJ",'Informacion '!P:Q,2,FALSE),"")</f>
        <v>Caja</v>
      </c>
      <c r="D1742" s="39">
        <v>30</v>
      </c>
      <c r="E1742" s="42">
        <v>54.2</v>
      </c>
      <c r="F1742" s="41">
        <f t="shared" ca="1" si="61"/>
        <v>1626</v>
      </c>
    </row>
    <row r="1743" spans="1:6" ht="14.25" customHeight="1" x14ac:dyDescent="0.35">
      <c r="A1743" s="39" t="s">
        <v>13117</v>
      </c>
      <c r="B1743" s="40" t="str">
        <f ca="1">IFERROR(INDEX(UNSPSCDes,MATCH(INDIRECT(ADDRESS(ROW(),COLUMN()-1,4)),UNSPSCCode,0)),IF(INDIRECT(ADDRESS(ROW(),COLUMN()-1,4))="44122027","Folders de archivo expandibles",""))</f>
        <v>Folders de archivo expandibles</v>
      </c>
      <c r="C1743" s="72" t="str">
        <f>IFERROR(VLOOKUP("PAQ",'Informacion '!P:Q,2,FALSE),"")</f>
        <v>Paquete</v>
      </c>
      <c r="D1743" s="39">
        <v>22</v>
      </c>
      <c r="E1743" s="42">
        <v>403.28</v>
      </c>
      <c r="F1743" s="41">
        <f t="shared" ca="1" si="61"/>
        <v>8872.16</v>
      </c>
    </row>
    <row r="1744" spans="1:6" ht="14.25" customHeight="1" x14ac:dyDescent="0.35">
      <c r="A1744" s="39" t="s">
        <v>13117</v>
      </c>
      <c r="B1744" s="40" t="str">
        <f ca="1">IFERROR(INDEX(UNSPSCDes,MATCH(INDIRECT(ADDRESS(ROW(),COLUMN()-1,4)),UNSPSCCode,0)),IF(INDIRECT(ADDRESS(ROW(),COLUMN()-1,4))="44122027","Folders de archivo expandibles",""))</f>
        <v>Folders de archivo expandibles</v>
      </c>
      <c r="C1744" s="72" t="str">
        <f>IFERROR(VLOOKUP("CAJ",'Informacion '!P:Q,2,FALSE),"")</f>
        <v>Caja</v>
      </c>
      <c r="D1744" s="39">
        <v>15</v>
      </c>
      <c r="E1744" s="42">
        <v>371.8</v>
      </c>
      <c r="F1744" s="41">
        <f t="shared" ca="1" si="61"/>
        <v>5577</v>
      </c>
    </row>
    <row r="1745" spans="1:10" ht="14.25" customHeight="1" x14ac:dyDescent="0.35">
      <c r="A1745" s="39" t="s">
        <v>14415</v>
      </c>
      <c r="B1745" s="40" t="str">
        <f ca="1">IFERROR(INDEX(UNSPSCDes,MATCH(INDIRECT(ADDRESS(ROW(),COLUMN()-1,4)),UNSPSCCode,0)),IF(INDIRECT(ADDRESS(ROW(),COLUMN()-1,4))="44122104","Clips para papel",""))</f>
        <v>Clips para papel</v>
      </c>
      <c r="C1745" s="72" t="str">
        <f>IFERROR(VLOOKUP("UD",'Informacion '!P:Q,2,FALSE),"")</f>
        <v>Unidad</v>
      </c>
      <c r="D1745" s="39">
        <v>50</v>
      </c>
      <c r="E1745" s="42">
        <v>21.77</v>
      </c>
      <c r="F1745" s="41">
        <f t="shared" ca="1" si="61"/>
        <v>1088.5</v>
      </c>
    </row>
    <row r="1746" spans="1:10" ht="14.25" customHeight="1" x14ac:dyDescent="0.35">
      <c r="E1746" s="44" t="s">
        <v>13122</v>
      </c>
      <c r="F1746" s="45">
        <f ca="1">SUM(Table96[MONTO TOTAL ESTIMADO])</f>
        <v>855430.9800000001</v>
      </c>
      <c r="H1746" s="24" t="str">
        <f>C1691</f>
        <v>Bienes</v>
      </c>
      <c r="I1746" s="24" t="str">
        <f>E1691</f>
        <v>Sí</v>
      </c>
      <c r="J1746" s="24" t="str">
        <f>D1691</f>
        <v>Compras Menores</v>
      </c>
    </row>
    <row r="1748" spans="1:10" ht="34" customHeight="1" x14ac:dyDescent="0.35">
      <c r="A1748" s="36" t="s">
        <v>17105</v>
      </c>
      <c r="B1748" s="36" t="s">
        <v>167</v>
      </c>
      <c r="C1748" s="36" t="s">
        <v>12252</v>
      </c>
      <c r="D1748" s="36" t="s">
        <v>15021</v>
      </c>
      <c r="E1748" s="36" t="s">
        <v>11455</v>
      </c>
      <c r="F1748" s="36" t="s">
        <v>11595</v>
      </c>
    </row>
    <row r="1749" spans="1:10" ht="14.25" customHeight="1" x14ac:dyDescent="0.35">
      <c r="A1749" s="37" t="s">
        <v>14880</v>
      </c>
      <c r="B1749" s="37" t="s">
        <v>14880</v>
      </c>
      <c r="C1749" s="37" t="s">
        <v>18585</v>
      </c>
      <c r="D1749" s="37" t="s">
        <v>18256</v>
      </c>
      <c r="E1749" s="37" t="s">
        <v>9261</v>
      </c>
      <c r="F1749" s="37" t="s">
        <v>7088</v>
      </c>
    </row>
    <row r="1750" spans="1:10" ht="14.25" customHeight="1" x14ac:dyDescent="0.35">
      <c r="A1750" s="75" t="s">
        <v>15490</v>
      </c>
      <c r="B1750" s="38" t="s">
        <v>8918</v>
      </c>
      <c r="C1750" s="68">
        <v>45334</v>
      </c>
      <c r="D1750" s="75" t="s">
        <v>9819</v>
      </c>
      <c r="E1750" s="70" t="s">
        <v>13683</v>
      </c>
      <c r="F1750" s="71" t="s">
        <v>3205</v>
      </c>
    </row>
    <row r="1751" spans="1:10" ht="14.25" customHeight="1" x14ac:dyDescent="0.35">
      <c r="A1751" s="76"/>
      <c r="B1751" s="38" t="s">
        <v>1858</v>
      </c>
      <c r="C1751" s="69">
        <f>IF(C1750="","",IF(AND(MONTH(C1750)&gt;=1,MONTH(C1750)&lt;=3),1,IF(AND(MONTH(C1750)&gt;=4,MONTH(C1750)&lt;=6),2,IF(AND(MONTH(C1750)&gt;=7,MONTH(C1750)&lt;=9),3,4))))</f>
        <v>1</v>
      </c>
      <c r="D1751" s="76"/>
      <c r="E1751" s="70" t="s">
        <v>2509</v>
      </c>
      <c r="F1751" s="71" t="s">
        <v>11612</v>
      </c>
    </row>
    <row r="1752" spans="1:10" ht="14.25" customHeight="1" x14ac:dyDescent="0.35">
      <c r="A1752" s="76"/>
      <c r="B1752" s="38" t="s">
        <v>13526</v>
      </c>
      <c r="C1752" s="68">
        <v>45380</v>
      </c>
      <c r="D1752" s="76"/>
      <c r="E1752" s="70" t="s">
        <v>3198</v>
      </c>
      <c r="F1752" s="71" t="s">
        <v>11612</v>
      </c>
    </row>
    <row r="1753" spans="1:10" ht="14.25" customHeight="1" x14ac:dyDescent="0.35">
      <c r="A1753" s="76"/>
      <c r="B1753" s="38" t="s">
        <v>1858</v>
      </c>
      <c r="C1753" s="69">
        <f>IF(C1752="","",IF(AND(MONTH(C1752)&gt;=1,MONTH(C1752)&lt;=3),1,IF(AND(MONTH(C1752)&gt;=4,MONTH(C1752)&lt;=6),2,IF(AND(MONTH(C1752)&gt;=7,MONTH(C1752)&lt;=9),3,4))))</f>
        <v>1</v>
      </c>
      <c r="D1753" s="76"/>
      <c r="E1753" s="70" t="s">
        <v>13785</v>
      </c>
      <c r="F1753" s="71"/>
    </row>
    <row r="1755" spans="1:10" ht="14.25" customHeight="1" x14ac:dyDescent="0.35">
      <c r="A1755" s="43" t="s">
        <v>16424</v>
      </c>
      <c r="B1755" s="43" t="s">
        <v>16856</v>
      </c>
      <c r="C1755" s="43" t="s">
        <v>16326</v>
      </c>
      <c r="D1755" s="43" t="s">
        <v>15925</v>
      </c>
      <c r="E1755" s="43" t="s">
        <v>7248</v>
      </c>
      <c r="F1755" s="43" t="s">
        <v>15955</v>
      </c>
    </row>
    <row r="1756" spans="1:10" ht="14.25" customHeight="1" x14ac:dyDescent="0.35">
      <c r="A1756" s="39" t="s">
        <v>12658</v>
      </c>
      <c r="B1756" s="40" t="str">
        <f ca="1">IFERROR(INDEX(UNSPSCDes,MATCH(INDIRECT(ADDRESS(ROW(),COLUMN()-1,4)),UNSPSCCode,0)),IF(INDIRECT(ADDRESS(ROW(),COLUMN()-1,4))="45121504","Cámaras digitales",""))</f>
        <v>Cámaras digitales</v>
      </c>
      <c r="C1756" s="72" t="str">
        <f>IFERROR(VLOOKUP("UD",'Informacion '!P:Q,2,FALSE),"")</f>
        <v>Unidad</v>
      </c>
      <c r="D1756" s="39">
        <v>1</v>
      </c>
      <c r="E1756" s="42">
        <v>177000</v>
      </c>
      <c r="F1756" s="41">
        <f ca="1">INDIRECT(ADDRESS(ROW(),COLUMN()-2,4))*INDIRECT(ADDRESS(ROW(),COLUMN()-1,4))</f>
        <v>177000</v>
      </c>
    </row>
    <row r="1757" spans="1:10" ht="14.25" customHeight="1" x14ac:dyDescent="0.35">
      <c r="A1757" s="39" t="s">
        <v>10578</v>
      </c>
      <c r="B1757" s="40" t="str">
        <f ca="1">IFERROR(INDEX(UNSPSCDes,MATCH(INDIRECT(ADDRESS(ROW(),COLUMN()-1,4)),UNSPSCCode,0)),IF(INDIRECT(ADDRESS(ROW(),COLUMN()-1,4))="45121510","Cámaras aéreas",""))</f>
        <v>Cámaras aéreas</v>
      </c>
      <c r="C1757" s="72" t="str">
        <f>IFERROR(VLOOKUP("UD",'Informacion '!P:Q,2,FALSE),"")</f>
        <v>Unidad</v>
      </c>
      <c r="D1757" s="39">
        <v>1</v>
      </c>
      <c r="E1757" s="42">
        <v>110684</v>
      </c>
      <c r="F1757" s="41">
        <f ca="1">INDIRECT(ADDRESS(ROW(),COLUMN()-2,4))*INDIRECT(ADDRESS(ROW(),COLUMN()-1,4))</f>
        <v>110684</v>
      </c>
    </row>
    <row r="1758" spans="1:10" ht="14.25" customHeight="1" x14ac:dyDescent="0.35">
      <c r="A1758" s="39" t="s">
        <v>9956</v>
      </c>
      <c r="B1758" s="40" t="str">
        <f ca="1">IFERROR(INDEX(UNSPSCDes,MATCH(INDIRECT(ADDRESS(ROW(),COLUMN()-1,4)),UNSPSCCode,0)),IF(INDIRECT(ADDRESS(ROW(),COLUMN()-1,4))="45121516","Cámaras grabadoras o video cámaras digitales",""))</f>
        <v>Cámaras grabadoras o video cámaras digitales</v>
      </c>
      <c r="C1758" s="72" t="str">
        <f>IFERROR(VLOOKUP("UD",'Informacion '!P:Q,2,FALSE),"")</f>
        <v>Unidad</v>
      </c>
      <c r="D1758" s="39">
        <v>2</v>
      </c>
      <c r="E1758" s="42">
        <v>367054</v>
      </c>
      <c r="F1758" s="41">
        <f ca="1">INDIRECT(ADDRESS(ROW(),COLUMN()-2,4))*INDIRECT(ADDRESS(ROW(),COLUMN()-1,4))</f>
        <v>734108</v>
      </c>
    </row>
    <row r="1759" spans="1:10" ht="14.25" customHeight="1" x14ac:dyDescent="0.35">
      <c r="A1759" s="39" t="s">
        <v>5990</v>
      </c>
      <c r="B1759" s="40" t="str">
        <f ca="1">IFERROR(INDEX(UNSPSCDes,MATCH(INDIRECT(ADDRESS(ROW(),COLUMN()-1,4)),UNSPSCCode,0)),IF(INDIRECT(ADDRESS(ROW(),COLUMN()-1,4))="45121601","Flashes o iluminación para cámaras",""))</f>
        <v>Flashes o iluminación para cámaras</v>
      </c>
      <c r="C1759" s="72" t="str">
        <f>IFERROR(VLOOKUP("UD",'Informacion '!P:Q,2,FALSE),"")</f>
        <v>Unidad</v>
      </c>
      <c r="D1759" s="39">
        <v>1</v>
      </c>
      <c r="E1759" s="42">
        <v>43028</v>
      </c>
      <c r="F1759" s="41">
        <f ca="1">INDIRECT(ADDRESS(ROW(),COLUMN()-2,4))*INDIRECT(ADDRESS(ROW(),COLUMN()-1,4))</f>
        <v>43028</v>
      </c>
    </row>
    <row r="1760" spans="1:10" ht="14.25" customHeight="1" x14ac:dyDescent="0.35">
      <c r="E1760" s="44" t="s">
        <v>13122</v>
      </c>
      <c r="F1760" s="45">
        <f ca="1">SUM(Table97[MONTO TOTAL ESTIMADO])</f>
        <v>1064820</v>
      </c>
      <c r="H1760" s="24" t="str">
        <f>C1749</f>
        <v>Bienes</v>
      </c>
      <c r="I1760" s="24" t="str">
        <f>E1749</f>
        <v>Sí</v>
      </c>
      <c r="J1760" s="24" t="str">
        <f>D1749</f>
        <v>Compras Menores</v>
      </c>
    </row>
    <row r="1762" spans="1:10" ht="34" customHeight="1" x14ac:dyDescent="0.35">
      <c r="A1762" s="36" t="s">
        <v>17105</v>
      </c>
      <c r="B1762" s="36" t="s">
        <v>167</v>
      </c>
      <c r="C1762" s="36" t="s">
        <v>12252</v>
      </c>
      <c r="D1762" s="36" t="s">
        <v>15021</v>
      </c>
      <c r="E1762" s="36" t="s">
        <v>11455</v>
      </c>
      <c r="F1762" s="36" t="s">
        <v>11595</v>
      </c>
    </row>
    <row r="1763" spans="1:10" ht="14.25" customHeight="1" x14ac:dyDescent="0.35">
      <c r="A1763" s="37" t="s">
        <v>1159</v>
      </c>
      <c r="B1763" s="37" t="s">
        <v>1159</v>
      </c>
      <c r="C1763" s="37" t="s">
        <v>18585</v>
      </c>
      <c r="D1763" s="37" t="s">
        <v>18256</v>
      </c>
      <c r="E1763" s="37" t="s">
        <v>9261</v>
      </c>
      <c r="F1763" s="37" t="s">
        <v>7088</v>
      </c>
    </row>
    <row r="1764" spans="1:10" ht="14.25" customHeight="1" x14ac:dyDescent="0.35">
      <c r="A1764" s="75" t="s">
        <v>15490</v>
      </c>
      <c r="B1764" s="38" t="s">
        <v>8918</v>
      </c>
      <c r="C1764" s="68">
        <v>45383</v>
      </c>
      <c r="D1764" s="75" t="s">
        <v>9819</v>
      </c>
      <c r="E1764" s="70" t="s">
        <v>13683</v>
      </c>
      <c r="F1764" s="71" t="s">
        <v>3205</v>
      </c>
    </row>
    <row r="1765" spans="1:10" ht="14.25" customHeight="1" x14ac:dyDescent="0.35">
      <c r="A1765" s="76"/>
      <c r="B1765" s="38" t="s">
        <v>1858</v>
      </c>
      <c r="C1765" s="69">
        <f>IF(C1764="","",IF(AND(MONTH(C1764)&gt;=1,MONTH(C1764)&lt;=3),1,IF(AND(MONTH(C1764)&gt;=4,MONTH(C1764)&lt;=6),2,IF(AND(MONTH(C1764)&gt;=7,MONTH(C1764)&lt;=9),3,4))))</f>
        <v>2</v>
      </c>
      <c r="D1765" s="76"/>
      <c r="E1765" s="70" t="s">
        <v>2509</v>
      </c>
      <c r="F1765" s="71" t="s">
        <v>11612</v>
      </c>
    </row>
    <row r="1766" spans="1:10" ht="14.25" customHeight="1" x14ac:dyDescent="0.35">
      <c r="A1766" s="76"/>
      <c r="B1766" s="38" t="s">
        <v>13526</v>
      </c>
      <c r="C1766" s="68">
        <v>45471</v>
      </c>
      <c r="D1766" s="76"/>
      <c r="E1766" s="70" t="s">
        <v>3198</v>
      </c>
      <c r="F1766" s="71" t="s">
        <v>11612</v>
      </c>
    </row>
    <row r="1767" spans="1:10" ht="14.25" customHeight="1" x14ac:dyDescent="0.35">
      <c r="A1767" s="76"/>
      <c r="B1767" s="38" t="s">
        <v>1858</v>
      </c>
      <c r="C1767" s="69">
        <f>IF(C1766="","",IF(AND(MONTH(C1766)&gt;=1,MONTH(C1766)&lt;=3),1,IF(AND(MONTH(C1766)&gt;=4,MONTH(C1766)&lt;=6),2,IF(AND(MONTH(C1766)&gt;=7,MONTH(C1766)&lt;=9),3,4))))</f>
        <v>2</v>
      </c>
      <c r="D1767" s="76"/>
      <c r="E1767" s="70" t="s">
        <v>13785</v>
      </c>
      <c r="F1767" s="71"/>
    </row>
    <row r="1769" spans="1:10" ht="14.25" customHeight="1" x14ac:dyDescent="0.35">
      <c r="A1769" s="43" t="s">
        <v>16424</v>
      </c>
      <c r="B1769" s="43" t="s">
        <v>16856</v>
      </c>
      <c r="C1769" s="43" t="s">
        <v>16326</v>
      </c>
      <c r="D1769" s="43" t="s">
        <v>15925</v>
      </c>
      <c r="E1769" s="43" t="s">
        <v>7248</v>
      </c>
      <c r="F1769" s="43" t="s">
        <v>15955</v>
      </c>
    </row>
    <row r="1770" spans="1:10" ht="14.25" customHeight="1" x14ac:dyDescent="0.35">
      <c r="A1770" s="39" t="s">
        <v>10578</v>
      </c>
      <c r="B1770" s="40" t="str">
        <f ca="1">IFERROR(INDEX(UNSPSCDes,MATCH(INDIRECT(ADDRESS(ROW(),COLUMN()-1,4)),UNSPSCCode,0)),IF(INDIRECT(ADDRESS(ROW(),COLUMN()-1,4))="45121510","Cámaras aéreas",""))</f>
        <v>Cámaras aéreas</v>
      </c>
      <c r="C1770" s="72" t="str">
        <f>IFERROR(VLOOKUP("UD",'Informacion '!P:Q,2,FALSE),"")</f>
        <v>Unidad</v>
      </c>
      <c r="D1770" s="39">
        <v>1</v>
      </c>
      <c r="E1770" s="42">
        <v>110684</v>
      </c>
      <c r="F1770" s="41">
        <f ca="1">INDIRECT(ADDRESS(ROW(),COLUMN()-2,4))*INDIRECT(ADDRESS(ROW(),COLUMN()-1,4))</f>
        <v>110684</v>
      </c>
    </row>
    <row r="1771" spans="1:10" ht="14.25" customHeight="1" x14ac:dyDescent="0.35">
      <c r="A1771" s="39" t="s">
        <v>10578</v>
      </c>
      <c r="B1771" s="40" t="str">
        <f ca="1">IFERROR(INDEX(UNSPSCDes,MATCH(INDIRECT(ADDRESS(ROW(),COLUMN()-1,4)),UNSPSCCode,0)),IF(INDIRECT(ADDRESS(ROW(),COLUMN()-1,4))="45121510","Cámaras aéreas",""))</f>
        <v>Cámaras aéreas</v>
      </c>
      <c r="C1771" s="72" t="str">
        <f>IFERROR(VLOOKUP("UD",'Informacion '!P:Q,2,FALSE),"")</f>
        <v>Unidad</v>
      </c>
      <c r="D1771" s="39">
        <v>1</v>
      </c>
      <c r="E1771" s="42">
        <v>547200</v>
      </c>
      <c r="F1771" s="41">
        <f ca="1">INDIRECT(ADDRESS(ROW(),COLUMN()-2,4))*INDIRECT(ADDRESS(ROW(),COLUMN()-1,4))</f>
        <v>547200</v>
      </c>
    </row>
    <row r="1772" spans="1:10" ht="14.25" customHeight="1" x14ac:dyDescent="0.35">
      <c r="E1772" s="44" t="s">
        <v>13122</v>
      </c>
      <c r="F1772" s="45">
        <f ca="1">SUM(Table98[MONTO TOTAL ESTIMADO])</f>
        <v>657884</v>
      </c>
      <c r="H1772" s="24" t="str">
        <f>C1763</f>
        <v>Bienes</v>
      </c>
      <c r="I1772" s="24" t="str">
        <f>E1763</f>
        <v>Sí</v>
      </c>
      <c r="J1772" s="24" t="str">
        <f>D1763</f>
        <v>Compras Menores</v>
      </c>
    </row>
    <row r="1774" spans="1:10" ht="34" customHeight="1" x14ac:dyDescent="0.35">
      <c r="A1774" s="36" t="s">
        <v>17105</v>
      </c>
      <c r="B1774" s="36" t="s">
        <v>167</v>
      </c>
      <c r="C1774" s="36" t="s">
        <v>12252</v>
      </c>
      <c r="D1774" s="36" t="s">
        <v>15021</v>
      </c>
      <c r="E1774" s="36" t="s">
        <v>11455</v>
      </c>
      <c r="F1774" s="36" t="s">
        <v>11595</v>
      </c>
    </row>
    <row r="1775" spans="1:10" ht="14.25" customHeight="1" x14ac:dyDescent="0.35">
      <c r="A1775" s="37" t="s">
        <v>9678</v>
      </c>
      <c r="B1775" s="37" t="s">
        <v>9678</v>
      </c>
      <c r="C1775" s="37" t="s">
        <v>18585</v>
      </c>
      <c r="D1775" s="37" t="s">
        <v>18256</v>
      </c>
      <c r="E1775" s="37" t="s">
        <v>18646</v>
      </c>
      <c r="F1775" s="37" t="s">
        <v>7088</v>
      </c>
    </row>
    <row r="1776" spans="1:10" ht="14.25" customHeight="1" x14ac:dyDescent="0.35">
      <c r="A1776" s="75" t="s">
        <v>15490</v>
      </c>
      <c r="B1776" s="38" t="s">
        <v>8918</v>
      </c>
      <c r="C1776" s="68">
        <v>45334</v>
      </c>
      <c r="D1776" s="75" t="s">
        <v>9819</v>
      </c>
      <c r="E1776" s="70" t="s">
        <v>13683</v>
      </c>
      <c r="F1776" s="71" t="s">
        <v>3205</v>
      </c>
    </row>
    <row r="1777" spans="1:6" ht="14.25" customHeight="1" x14ac:dyDescent="0.35">
      <c r="A1777" s="76"/>
      <c r="B1777" s="38" t="s">
        <v>1858</v>
      </c>
      <c r="C1777" s="69">
        <f>IF(C1776="","",IF(AND(MONTH(C1776)&gt;=1,MONTH(C1776)&lt;=3),1,IF(AND(MONTH(C1776)&gt;=4,MONTH(C1776)&lt;=6),2,IF(AND(MONTH(C1776)&gt;=7,MONTH(C1776)&lt;=9),3,4))))</f>
        <v>1</v>
      </c>
      <c r="D1777" s="76"/>
      <c r="E1777" s="70" t="s">
        <v>2509</v>
      </c>
      <c r="F1777" s="71" t="s">
        <v>11612</v>
      </c>
    </row>
    <row r="1778" spans="1:6" ht="14.25" customHeight="1" x14ac:dyDescent="0.35">
      <c r="A1778" s="76"/>
      <c r="B1778" s="38" t="s">
        <v>13526</v>
      </c>
      <c r="C1778" s="68">
        <v>45380</v>
      </c>
      <c r="D1778" s="76"/>
      <c r="E1778" s="70" t="s">
        <v>3198</v>
      </c>
      <c r="F1778" s="71" t="s">
        <v>11612</v>
      </c>
    </row>
    <row r="1779" spans="1:6" ht="14.25" customHeight="1" x14ac:dyDescent="0.35">
      <c r="A1779" s="76"/>
      <c r="B1779" s="38" t="s">
        <v>1858</v>
      </c>
      <c r="C1779" s="69">
        <f>IF(C1778="","",IF(AND(MONTH(C1778)&gt;=1,MONTH(C1778)&lt;=3),1,IF(AND(MONTH(C1778)&gt;=4,MONTH(C1778)&lt;=6),2,IF(AND(MONTH(C1778)&gt;=7,MONTH(C1778)&lt;=9),3,4))))</f>
        <v>1</v>
      </c>
      <c r="D1779" s="76"/>
      <c r="E1779" s="70" t="s">
        <v>13785</v>
      </c>
      <c r="F1779" s="71"/>
    </row>
    <row r="1781" spans="1:6" ht="14.25" customHeight="1" x14ac:dyDescent="0.35">
      <c r="A1781" s="43" t="s">
        <v>16424</v>
      </c>
      <c r="B1781" s="43" t="s">
        <v>16856</v>
      </c>
      <c r="C1781" s="43" t="s">
        <v>16326</v>
      </c>
      <c r="D1781" s="43" t="s">
        <v>15925</v>
      </c>
      <c r="E1781" s="43" t="s">
        <v>7248</v>
      </c>
      <c r="F1781" s="43" t="s">
        <v>15955</v>
      </c>
    </row>
    <row r="1782" spans="1:6" ht="14.25" customHeight="1" x14ac:dyDescent="0.35">
      <c r="A1782" s="39" t="s">
        <v>943</v>
      </c>
      <c r="B1782" s="40" t="str">
        <f t="shared" ref="B1782:B1788" ca="1" si="62">IFERROR(INDEX(UNSPSCDes,MATCH(INDIRECT(ADDRESS(ROW(),COLUMN()-1,4)),UNSPSCCode,0)),IF(INDIRECT(ADDRESS(ROW(),COLUMN()-1,4))="46181504","Guantes de protección",""))</f>
        <v>Guantes de protección</v>
      </c>
      <c r="C1782" s="72" t="str">
        <f>IFERROR(VLOOKUP("UD",'Informacion '!P:Q,2,FALSE),"")</f>
        <v>Unidad</v>
      </c>
      <c r="D1782" s="39">
        <v>5</v>
      </c>
      <c r="E1782" s="42">
        <v>448.94</v>
      </c>
      <c r="F1782" s="41">
        <f t="shared" ref="F1782:F1825" ca="1" si="63">INDIRECT(ADDRESS(ROW(),COLUMN()-2,4))*INDIRECT(ADDRESS(ROW(),COLUMN()-1,4))</f>
        <v>2244.6999999999998</v>
      </c>
    </row>
    <row r="1783" spans="1:6" ht="14.25" customHeight="1" x14ac:dyDescent="0.35">
      <c r="A1783" s="39" t="s">
        <v>943</v>
      </c>
      <c r="B1783" s="40" t="str">
        <f t="shared" ca="1" si="62"/>
        <v>Guantes de protección</v>
      </c>
      <c r="C1783" s="72" t="str">
        <f>IFERROR(VLOOKUP("UD",'Informacion '!P:Q,2,FALSE),"")</f>
        <v>Unidad</v>
      </c>
      <c r="D1783" s="39">
        <v>50</v>
      </c>
      <c r="E1783" s="42">
        <v>77.930000000000007</v>
      </c>
      <c r="F1783" s="41">
        <f t="shared" ca="1" si="63"/>
        <v>3896.5000000000005</v>
      </c>
    </row>
    <row r="1784" spans="1:6" ht="14.25" customHeight="1" x14ac:dyDescent="0.35">
      <c r="A1784" s="39" t="s">
        <v>943</v>
      </c>
      <c r="B1784" s="40" t="str">
        <f t="shared" ca="1" si="62"/>
        <v>Guantes de protección</v>
      </c>
      <c r="C1784" s="72" t="str">
        <f>IFERROR(VLOOKUP("UD",'Informacion '!P:Q,2,FALSE),"")</f>
        <v>Unidad</v>
      </c>
      <c r="D1784" s="39">
        <v>2</v>
      </c>
      <c r="E1784" s="42">
        <v>28650</v>
      </c>
      <c r="F1784" s="41">
        <f t="shared" ca="1" si="63"/>
        <v>57300</v>
      </c>
    </row>
    <row r="1785" spans="1:6" ht="14.25" customHeight="1" x14ac:dyDescent="0.35">
      <c r="A1785" s="39" t="s">
        <v>943</v>
      </c>
      <c r="B1785" s="40" t="str">
        <f t="shared" ca="1" si="62"/>
        <v>Guantes de protección</v>
      </c>
      <c r="C1785" s="72" t="str">
        <f>IFERROR(VLOOKUP("UD",'Informacion '!P:Q,2,FALSE),"")</f>
        <v>Unidad</v>
      </c>
      <c r="D1785" s="39">
        <v>2</v>
      </c>
      <c r="E1785" s="42">
        <v>4640</v>
      </c>
      <c r="F1785" s="41">
        <f t="shared" ca="1" si="63"/>
        <v>9280</v>
      </c>
    </row>
    <row r="1786" spans="1:6" ht="14.25" customHeight="1" x14ac:dyDescent="0.35">
      <c r="A1786" s="39" t="s">
        <v>943</v>
      </c>
      <c r="B1786" s="40" t="str">
        <f t="shared" ca="1" si="62"/>
        <v>Guantes de protección</v>
      </c>
      <c r="C1786" s="72" t="str">
        <f>IFERROR(VLOOKUP("UD",'Informacion '!P:Q,2,FALSE),"")</f>
        <v>Unidad</v>
      </c>
      <c r="D1786" s="39">
        <v>10</v>
      </c>
      <c r="E1786" s="42">
        <v>1575</v>
      </c>
      <c r="F1786" s="41">
        <f t="shared" ca="1" si="63"/>
        <v>15750</v>
      </c>
    </row>
    <row r="1787" spans="1:6" ht="14.25" customHeight="1" x14ac:dyDescent="0.35">
      <c r="A1787" s="39" t="s">
        <v>943</v>
      </c>
      <c r="B1787" s="40" t="str">
        <f t="shared" ca="1" si="62"/>
        <v>Guantes de protección</v>
      </c>
      <c r="C1787" s="72" t="str">
        <f>IFERROR(VLOOKUP("UD",'Informacion '!P:Q,2,FALSE),"")</f>
        <v>Unidad</v>
      </c>
      <c r="D1787" s="39">
        <v>8</v>
      </c>
      <c r="E1787" s="42">
        <v>598.25</v>
      </c>
      <c r="F1787" s="41">
        <f t="shared" ca="1" si="63"/>
        <v>4786</v>
      </c>
    </row>
    <row r="1788" spans="1:6" ht="14.25" customHeight="1" x14ac:dyDescent="0.35">
      <c r="A1788" s="39" t="s">
        <v>943</v>
      </c>
      <c r="B1788" s="40" t="str">
        <f t="shared" ca="1" si="62"/>
        <v>Guantes de protección</v>
      </c>
      <c r="C1788" s="72" t="str">
        <f>IFERROR(VLOOKUP("UD",'Informacion '!P:Q,2,FALSE),"")</f>
        <v>Unidad</v>
      </c>
      <c r="D1788" s="39">
        <v>9</v>
      </c>
      <c r="E1788" s="42">
        <v>69.959999999999994</v>
      </c>
      <c r="F1788" s="41">
        <f t="shared" ca="1" si="63"/>
        <v>629.64</v>
      </c>
    </row>
    <row r="1789" spans="1:6" ht="14.25" customHeight="1" x14ac:dyDescent="0.35">
      <c r="A1789" s="39" t="s">
        <v>18049</v>
      </c>
      <c r="B1789" s="40" t="str">
        <f ca="1">IFERROR(INDEX(UNSPSCDes,MATCH(INDIRECT(ADDRESS(ROW(),COLUMN()-1,4)),UNSPSCCode,0)),IF(INDIRECT(ADDRESS(ROW(),COLUMN()-1,4))="46181506","Ponchos de protección",""))</f>
        <v>Ponchos de protección</v>
      </c>
      <c r="C1789" s="72" t="str">
        <f>IFERROR(VLOOKUP("UD",'Informacion '!P:Q,2,FALSE),"")</f>
        <v>Unidad</v>
      </c>
      <c r="D1789" s="39">
        <v>250</v>
      </c>
      <c r="E1789" s="42">
        <v>1019.52</v>
      </c>
      <c r="F1789" s="41">
        <f t="shared" ca="1" si="63"/>
        <v>254880</v>
      </c>
    </row>
    <row r="1790" spans="1:6" ht="14.25" customHeight="1" x14ac:dyDescent="0.35">
      <c r="A1790" s="39" t="s">
        <v>19060</v>
      </c>
      <c r="B1790" s="40" t="str">
        <f t="shared" ref="B1790:B1796" ca="1" si="64">IFERROR(INDEX(UNSPSCDes,MATCH(INDIRECT(ADDRESS(ROW(),COLUMN()-1,4)),UNSPSCCode,0)),IF(INDIRECT(ADDRESS(ROW(),COLUMN()-1,4))="46181507","Chalecos de seguridad",""))</f>
        <v>Chalecos de seguridad</v>
      </c>
      <c r="C1790" s="72" t="str">
        <f>IFERROR(VLOOKUP("UD",'Informacion '!P:Q,2,FALSE),"")</f>
        <v>Unidad</v>
      </c>
      <c r="D1790" s="39">
        <v>22</v>
      </c>
      <c r="E1790" s="42">
        <v>560.5</v>
      </c>
      <c r="F1790" s="41">
        <f t="shared" ca="1" si="63"/>
        <v>12331</v>
      </c>
    </row>
    <row r="1791" spans="1:6" ht="14.25" customHeight="1" x14ac:dyDescent="0.35">
      <c r="A1791" s="39" t="s">
        <v>19060</v>
      </c>
      <c r="B1791" s="40" t="str">
        <f t="shared" ca="1" si="64"/>
        <v>Chalecos de seguridad</v>
      </c>
      <c r="C1791" s="72" t="str">
        <f>IFERROR(VLOOKUP("UD",'Informacion '!P:Q,2,FALSE),"")</f>
        <v>Unidad</v>
      </c>
      <c r="D1791" s="39">
        <v>8</v>
      </c>
      <c r="E1791" s="42">
        <v>808</v>
      </c>
      <c r="F1791" s="41">
        <f t="shared" ca="1" si="63"/>
        <v>6464</v>
      </c>
    </row>
    <row r="1792" spans="1:6" ht="14.25" customHeight="1" x14ac:dyDescent="0.35">
      <c r="A1792" s="39" t="s">
        <v>19060</v>
      </c>
      <c r="B1792" s="40" t="str">
        <f t="shared" ca="1" si="64"/>
        <v>Chalecos de seguridad</v>
      </c>
      <c r="C1792" s="72" t="str">
        <f>IFERROR(VLOOKUP("UD",'Informacion '!P:Q,2,FALSE),"")</f>
        <v>Unidad</v>
      </c>
      <c r="D1792" s="39">
        <v>5</v>
      </c>
      <c r="E1792" s="42">
        <v>500</v>
      </c>
      <c r="F1792" s="41">
        <f t="shared" ca="1" si="63"/>
        <v>2500</v>
      </c>
    </row>
    <row r="1793" spans="1:6" ht="14.25" customHeight="1" x14ac:dyDescent="0.35">
      <c r="A1793" s="39" t="s">
        <v>19060</v>
      </c>
      <c r="B1793" s="40" t="str">
        <f t="shared" ca="1" si="64"/>
        <v>Chalecos de seguridad</v>
      </c>
      <c r="C1793" s="72" t="str">
        <f>IFERROR(VLOOKUP("UD",'Informacion '!P:Q,2,FALSE),"")</f>
        <v>Unidad</v>
      </c>
      <c r="D1793" s="39">
        <v>50</v>
      </c>
      <c r="E1793" s="42">
        <v>300.89999999999998</v>
      </c>
      <c r="F1793" s="41">
        <f t="shared" ca="1" si="63"/>
        <v>15044.999999999998</v>
      </c>
    </row>
    <row r="1794" spans="1:6" ht="14.25" customHeight="1" x14ac:dyDescent="0.35">
      <c r="A1794" s="39" t="s">
        <v>19060</v>
      </c>
      <c r="B1794" s="40" t="str">
        <f t="shared" ca="1" si="64"/>
        <v>Chalecos de seguridad</v>
      </c>
      <c r="C1794" s="72" t="str">
        <f>IFERROR(VLOOKUP("UD",'Informacion '!P:Q,2,FALSE),"")</f>
        <v>Unidad</v>
      </c>
      <c r="D1794" s="39">
        <v>20</v>
      </c>
      <c r="E1794" s="42">
        <v>409.33</v>
      </c>
      <c r="F1794" s="41">
        <f t="shared" ca="1" si="63"/>
        <v>8186.5999999999995</v>
      </c>
    </row>
    <row r="1795" spans="1:6" ht="14.25" customHeight="1" x14ac:dyDescent="0.35">
      <c r="A1795" s="39" t="s">
        <v>19060</v>
      </c>
      <c r="B1795" s="40" t="str">
        <f t="shared" ca="1" si="64"/>
        <v>Chalecos de seguridad</v>
      </c>
      <c r="C1795" s="72" t="str">
        <f>IFERROR(VLOOKUP("UD",'Informacion '!P:Q,2,FALSE),"")</f>
        <v>Unidad</v>
      </c>
      <c r="D1795" s="39">
        <v>6</v>
      </c>
      <c r="E1795" s="42">
        <v>409.33</v>
      </c>
      <c r="F1795" s="41">
        <f t="shared" ca="1" si="63"/>
        <v>2455.98</v>
      </c>
    </row>
    <row r="1796" spans="1:6" ht="14.25" customHeight="1" x14ac:dyDescent="0.35">
      <c r="A1796" s="39" t="s">
        <v>19060</v>
      </c>
      <c r="B1796" s="40" t="str">
        <f t="shared" ca="1" si="64"/>
        <v>Chalecos de seguridad</v>
      </c>
      <c r="C1796" s="72" t="str">
        <f>IFERROR(VLOOKUP("UD",'Informacion '!P:Q,2,FALSE),"")</f>
        <v>Unidad</v>
      </c>
      <c r="D1796" s="39">
        <v>4</v>
      </c>
      <c r="E1796" s="42">
        <v>1778.5</v>
      </c>
      <c r="F1796" s="41">
        <f t="shared" ca="1" si="63"/>
        <v>7114</v>
      </c>
    </row>
    <row r="1797" spans="1:6" ht="14.25" customHeight="1" x14ac:dyDescent="0.35">
      <c r="A1797" s="39" t="s">
        <v>620</v>
      </c>
      <c r="B1797" s="40" t="str">
        <f t="shared" ref="B1797:B1803" ca="1" si="65">IFERROR(INDEX(UNSPSCDes,MATCH(INDIRECT(ADDRESS(ROW(),COLUMN()-1,4)),UNSPSCCode,0)),IF(INDIRECT(ADDRESS(ROW(),COLUMN()-1,4))="46181604","Botas de seguridad",""))</f>
        <v>Botas de seguridad</v>
      </c>
      <c r="C1797" s="72" t="str">
        <f>IFERROR(VLOOKUP("UD",'Informacion '!P:Q,2,FALSE),"")</f>
        <v>Unidad</v>
      </c>
      <c r="D1797" s="39">
        <v>12</v>
      </c>
      <c r="E1797" s="42">
        <v>1947</v>
      </c>
      <c r="F1797" s="41">
        <f t="shared" ca="1" si="63"/>
        <v>23364</v>
      </c>
    </row>
    <row r="1798" spans="1:6" ht="14.25" customHeight="1" x14ac:dyDescent="0.35">
      <c r="A1798" s="39" t="s">
        <v>620</v>
      </c>
      <c r="B1798" s="40" t="str">
        <f t="shared" ca="1" si="65"/>
        <v>Botas de seguridad</v>
      </c>
      <c r="C1798" s="72" t="str">
        <f>IFERROR(VLOOKUP("UD",'Informacion '!P:Q,2,FALSE),"")</f>
        <v>Unidad</v>
      </c>
      <c r="D1798" s="39">
        <v>8</v>
      </c>
      <c r="E1798" s="42">
        <v>3540</v>
      </c>
      <c r="F1798" s="41">
        <f t="shared" ca="1" si="63"/>
        <v>28320</v>
      </c>
    </row>
    <row r="1799" spans="1:6" ht="14.25" customHeight="1" x14ac:dyDescent="0.35">
      <c r="A1799" s="39" t="s">
        <v>620</v>
      </c>
      <c r="B1799" s="40" t="str">
        <f t="shared" ca="1" si="65"/>
        <v>Botas de seguridad</v>
      </c>
      <c r="C1799" s="72" t="str">
        <f>IFERROR(VLOOKUP("UD",'Informacion '!P:Q,2,FALSE),"")</f>
        <v>Unidad</v>
      </c>
      <c r="D1799" s="39">
        <v>5</v>
      </c>
      <c r="E1799" s="42">
        <v>3704</v>
      </c>
      <c r="F1799" s="41">
        <f t="shared" ca="1" si="63"/>
        <v>18520</v>
      </c>
    </row>
    <row r="1800" spans="1:6" ht="14.25" customHeight="1" x14ac:dyDescent="0.35">
      <c r="A1800" s="39" t="s">
        <v>620</v>
      </c>
      <c r="B1800" s="40" t="str">
        <f t="shared" ca="1" si="65"/>
        <v>Botas de seguridad</v>
      </c>
      <c r="C1800" s="72" t="str">
        <f>IFERROR(VLOOKUP("UD",'Informacion '!P:Q,2,FALSE),"")</f>
        <v>Unidad</v>
      </c>
      <c r="D1800" s="39">
        <v>50</v>
      </c>
      <c r="E1800" s="42">
        <v>4484</v>
      </c>
      <c r="F1800" s="41">
        <f t="shared" ca="1" si="63"/>
        <v>224200</v>
      </c>
    </row>
    <row r="1801" spans="1:6" ht="14.25" customHeight="1" x14ac:dyDescent="0.35">
      <c r="A1801" s="39" t="s">
        <v>620</v>
      </c>
      <c r="B1801" s="40" t="str">
        <f t="shared" ca="1" si="65"/>
        <v>Botas de seguridad</v>
      </c>
      <c r="C1801" s="72" t="str">
        <f>IFERROR(VLOOKUP("UD",'Informacion '!P:Q,2,FALSE),"")</f>
        <v>Unidad</v>
      </c>
      <c r="D1801" s="39">
        <v>16</v>
      </c>
      <c r="E1801" s="42">
        <v>4484</v>
      </c>
      <c r="F1801" s="41">
        <f t="shared" ca="1" si="63"/>
        <v>71744</v>
      </c>
    </row>
    <row r="1802" spans="1:6" ht="14.25" customHeight="1" x14ac:dyDescent="0.35">
      <c r="A1802" s="39" t="s">
        <v>620</v>
      </c>
      <c r="B1802" s="40" t="str">
        <f t="shared" ca="1" si="65"/>
        <v>Botas de seguridad</v>
      </c>
      <c r="C1802" s="72" t="str">
        <f>IFERROR(VLOOKUP("UD",'Informacion '!P:Q,2,FALSE),"")</f>
        <v>Unidad</v>
      </c>
      <c r="D1802" s="39">
        <v>20</v>
      </c>
      <c r="E1802" s="42">
        <v>3704.83</v>
      </c>
      <c r="F1802" s="41">
        <f t="shared" ca="1" si="63"/>
        <v>74096.600000000006</v>
      </c>
    </row>
    <row r="1803" spans="1:6" ht="14.25" customHeight="1" x14ac:dyDescent="0.35">
      <c r="A1803" s="39" t="s">
        <v>620</v>
      </c>
      <c r="B1803" s="40" t="str">
        <f t="shared" ca="1" si="65"/>
        <v>Botas de seguridad</v>
      </c>
      <c r="C1803" s="72" t="str">
        <f>IFERROR(VLOOKUP("UD",'Informacion '!P:Q,2,FALSE),"")</f>
        <v>Unidad</v>
      </c>
      <c r="D1803" s="39">
        <v>6</v>
      </c>
      <c r="E1803" s="42">
        <v>3704.83</v>
      </c>
      <c r="F1803" s="41">
        <f t="shared" ca="1" si="63"/>
        <v>22228.98</v>
      </c>
    </row>
    <row r="1804" spans="1:6" ht="14.25" customHeight="1" x14ac:dyDescent="0.35">
      <c r="A1804" s="39" t="s">
        <v>19302</v>
      </c>
      <c r="B1804" s="40" t="str">
        <f ca="1">IFERROR(INDEX(UNSPSCDes,MATCH(INDIRECT(ADDRESS(ROW(),COLUMN()-1,4)),UNSPSCCode,0)),IF(INDIRECT(ADDRESS(ROW(),COLUMN()-1,4))="46181605","Zapatos de seguridad",""))</f>
        <v>Zapatos de seguridad</v>
      </c>
      <c r="C1804" s="72" t="str">
        <f>IFERROR(VLOOKUP("UD",'Informacion '!P:Q,2,FALSE),"")</f>
        <v>Unidad</v>
      </c>
      <c r="D1804" s="39">
        <v>4</v>
      </c>
      <c r="E1804" s="42">
        <v>365</v>
      </c>
      <c r="F1804" s="41">
        <f t="shared" ca="1" si="63"/>
        <v>1460</v>
      </c>
    </row>
    <row r="1805" spans="1:6" ht="14.25" customHeight="1" x14ac:dyDescent="0.35">
      <c r="A1805" s="39" t="s">
        <v>19302</v>
      </c>
      <c r="B1805" s="40" t="str">
        <f ca="1">IFERROR(INDEX(UNSPSCDes,MATCH(INDIRECT(ADDRESS(ROW(),COLUMN()-1,4)),UNSPSCCode,0)),IF(INDIRECT(ADDRESS(ROW(),COLUMN()-1,4))="46181605","Zapatos de seguridad",""))</f>
        <v>Zapatos de seguridad</v>
      </c>
      <c r="C1805" s="72" t="str">
        <f>IFERROR(VLOOKUP("UD",'Informacion '!P:Q,2,FALSE),"")</f>
        <v>Unidad</v>
      </c>
      <c r="D1805" s="39">
        <v>8</v>
      </c>
      <c r="E1805" s="42">
        <v>264</v>
      </c>
      <c r="F1805" s="41">
        <f t="shared" ca="1" si="63"/>
        <v>2112</v>
      </c>
    </row>
    <row r="1806" spans="1:6" ht="14.25" customHeight="1" x14ac:dyDescent="0.35">
      <c r="A1806" s="39" t="s">
        <v>4373</v>
      </c>
      <c r="B1806" s="40" t="str">
        <f t="shared" ref="B1806:B1812" ca="1" si="66">IFERROR(INDEX(UNSPSCDes,MATCH(INDIRECT(ADDRESS(ROW(),COLUMN()-1,4)),UNSPSCCode,0)),IF(INDIRECT(ADDRESS(ROW(),COLUMN()-1,4))="46181704","Cascos de seguridad",""))</f>
        <v>Cascos de seguridad</v>
      </c>
      <c r="C1806" s="72" t="str">
        <f>IFERROR(VLOOKUP("UD",'Informacion '!P:Q,2,FALSE),"")</f>
        <v>Unidad</v>
      </c>
      <c r="D1806" s="39">
        <v>22</v>
      </c>
      <c r="E1806" s="42">
        <v>171.09</v>
      </c>
      <c r="F1806" s="41">
        <f t="shared" ca="1" si="63"/>
        <v>3763.98</v>
      </c>
    </row>
    <row r="1807" spans="1:6" ht="14.25" customHeight="1" x14ac:dyDescent="0.35">
      <c r="A1807" s="39" t="s">
        <v>4373</v>
      </c>
      <c r="B1807" s="40" t="str">
        <f t="shared" ca="1" si="66"/>
        <v>Cascos de seguridad</v>
      </c>
      <c r="C1807" s="72" t="str">
        <f>IFERROR(VLOOKUP("UD",'Informacion '!P:Q,2,FALSE),"")</f>
        <v>Unidad</v>
      </c>
      <c r="D1807" s="39">
        <v>5</v>
      </c>
      <c r="E1807" s="42">
        <v>743.4</v>
      </c>
      <c r="F1807" s="41">
        <f t="shared" ca="1" si="63"/>
        <v>3717</v>
      </c>
    </row>
    <row r="1808" spans="1:6" ht="14.25" customHeight="1" x14ac:dyDescent="0.35">
      <c r="A1808" s="39" t="s">
        <v>4373</v>
      </c>
      <c r="B1808" s="40" t="str">
        <f t="shared" ca="1" si="66"/>
        <v>Cascos de seguridad</v>
      </c>
      <c r="C1808" s="72" t="str">
        <f>IFERROR(VLOOKUP("UD",'Informacion '!P:Q,2,FALSE),"")</f>
        <v>Unidad</v>
      </c>
      <c r="D1808" s="39">
        <v>50</v>
      </c>
      <c r="E1808" s="42">
        <v>171.09</v>
      </c>
      <c r="F1808" s="41">
        <f t="shared" ca="1" si="63"/>
        <v>8554.5</v>
      </c>
    </row>
    <row r="1809" spans="1:6" ht="14.25" customHeight="1" x14ac:dyDescent="0.35">
      <c r="A1809" s="39" t="s">
        <v>4373</v>
      </c>
      <c r="B1809" s="40" t="str">
        <f t="shared" ca="1" si="66"/>
        <v>Cascos de seguridad</v>
      </c>
      <c r="C1809" s="72" t="str">
        <f>IFERROR(VLOOKUP("UD",'Informacion '!P:Q,2,FALSE),"")</f>
        <v>Unidad</v>
      </c>
      <c r="D1809" s="39">
        <v>16</v>
      </c>
      <c r="E1809" s="42">
        <v>171.09</v>
      </c>
      <c r="F1809" s="41">
        <f t="shared" ca="1" si="63"/>
        <v>2737.44</v>
      </c>
    </row>
    <row r="1810" spans="1:6" ht="14.25" customHeight="1" x14ac:dyDescent="0.35">
      <c r="A1810" s="39" t="s">
        <v>4373</v>
      </c>
      <c r="B1810" s="40" t="str">
        <f t="shared" ca="1" si="66"/>
        <v>Cascos de seguridad</v>
      </c>
      <c r="C1810" s="72" t="str">
        <f>IFERROR(VLOOKUP("UD",'Informacion '!P:Q,2,FALSE),"")</f>
        <v>Unidad</v>
      </c>
      <c r="D1810" s="39">
        <v>10</v>
      </c>
      <c r="E1810" s="42">
        <v>649</v>
      </c>
      <c r="F1810" s="41">
        <f t="shared" ca="1" si="63"/>
        <v>6490</v>
      </c>
    </row>
    <row r="1811" spans="1:6" ht="14.25" customHeight="1" x14ac:dyDescent="0.35">
      <c r="A1811" s="39" t="s">
        <v>4373</v>
      </c>
      <c r="B1811" s="40" t="str">
        <f t="shared" ca="1" si="66"/>
        <v>Cascos de seguridad</v>
      </c>
      <c r="C1811" s="72" t="str">
        <f>IFERROR(VLOOKUP("UD",'Informacion '!P:Q,2,FALSE),"")</f>
        <v>Unidad</v>
      </c>
      <c r="D1811" s="39">
        <v>6</v>
      </c>
      <c r="E1811" s="42">
        <v>649</v>
      </c>
      <c r="F1811" s="41">
        <f t="shared" ca="1" si="63"/>
        <v>3894</v>
      </c>
    </row>
    <row r="1812" spans="1:6" ht="14.25" customHeight="1" x14ac:dyDescent="0.35">
      <c r="A1812" s="39" t="s">
        <v>4373</v>
      </c>
      <c r="B1812" s="40" t="str">
        <f t="shared" ca="1" si="66"/>
        <v>Cascos de seguridad</v>
      </c>
      <c r="C1812" s="72" t="str">
        <f>IFERROR(VLOOKUP("UD",'Informacion '!P:Q,2,FALSE),"")</f>
        <v>Unidad</v>
      </c>
      <c r="D1812" s="39">
        <v>4</v>
      </c>
      <c r="E1812" s="42">
        <v>1003</v>
      </c>
      <c r="F1812" s="41">
        <f t="shared" ca="1" si="63"/>
        <v>4012</v>
      </c>
    </row>
    <row r="1813" spans="1:6" ht="14.25" customHeight="1" x14ac:dyDescent="0.35">
      <c r="A1813" s="39" t="s">
        <v>16662</v>
      </c>
      <c r="B1813" s="40" t="str">
        <f ca="1">IFERROR(INDEX(UNSPSCDes,MATCH(INDIRECT(ADDRESS(ROW(),COLUMN()-1,4)),UNSPSCCode,0)),IF(INDIRECT(ADDRESS(ROW(),COLUMN()-1,4))="46181802","Anteojos de seguridad",""))</f>
        <v>Anteojos de seguridad</v>
      </c>
      <c r="C1813" s="72" t="str">
        <f>IFERROR(VLOOKUP("UD",'Informacion '!P:Q,2,FALSE),"")</f>
        <v>Unidad</v>
      </c>
      <c r="D1813" s="39">
        <v>50</v>
      </c>
      <c r="E1813" s="42">
        <v>206.5</v>
      </c>
      <c r="F1813" s="41">
        <f t="shared" ca="1" si="63"/>
        <v>10325</v>
      </c>
    </row>
    <row r="1814" spans="1:6" ht="14.25" customHeight="1" x14ac:dyDescent="0.35">
      <c r="A1814" s="39" t="s">
        <v>16662</v>
      </c>
      <c r="B1814" s="40" t="str">
        <f ca="1">IFERROR(INDEX(UNSPSCDes,MATCH(INDIRECT(ADDRESS(ROW(),COLUMN()-1,4)),UNSPSCCode,0)),IF(INDIRECT(ADDRESS(ROW(),COLUMN()-1,4))="46181802","Anteojos de seguridad",""))</f>
        <v>Anteojos de seguridad</v>
      </c>
      <c r="C1814" s="72" t="str">
        <f>IFERROR(VLOOKUP("UD",'Informacion '!P:Q,2,FALSE),"")</f>
        <v>Unidad</v>
      </c>
      <c r="D1814" s="39">
        <v>16</v>
      </c>
      <c r="E1814" s="42">
        <v>206.5</v>
      </c>
      <c r="F1814" s="41">
        <f t="shared" ca="1" si="63"/>
        <v>3304</v>
      </c>
    </row>
    <row r="1815" spans="1:6" ht="14.25" customHeight="1" x14ac:dyDescent="0.35">
      <c r="A1815" s="39" t="s">
        <v>16662</v>
      </c>
      <c r="B1815" s="40" t="str">
        <f ca="1">IFERROR(INDEX(UNSPSCDes,MATCH(INDIRECT(ADDRESS(ROW(),COLUMN()-1,4)),UNSPSCCode,0)),IF(INDIRECT(ADDRESS(ROW(),COLUMN()-1,4))="46181802","Anteojos de seguridad",""))</f>
        <v>Anteojos de seguridad</v>
      </c>
      <c r="C1815" s="72" t="str">
        <f>IFERROR(VLOOKUP("UD",'Informacion '!P:Q,2,FALSE),"")</f>
        <v>Unidad</v>
      </c>
      <c r="D1815" s="39">
        <v>10</v>
      </c>
      <c r="E1815" s="42">
        <v>206.5</v>
      </c>
      <c r="F1815" s="41">
        <f t="shared" ca="1" si="63"/>
        <v>2065</v>
      </c>
    </row>
    <row r="1816" spans="1:6" ht="14.25" customHeight="1" x14ac:dyDescent="0.35">
      <c r="A1816" s="39" t="s">
        <v>17256</v>
      </c>
      <c r="B1816" s="40" t="str">
        <f ca="1">IFERROR(INDEX(UNSPSCDes,MATCH(INDIRECT(ADDRESS(ROW(),COLUMN()-1,4)),UNSPSCCode,0)),IF(INDIRECT(ADDRESS(ROW(),COLUMN()-1,4))="46181804","Gafas protectoras",""))</f>
        <v>Gafas protectoras</v>
      </c>
      <c r="C1816" s="72" t="str">
        <f>IFERROR(VLOOKUP("UD",'Informacion '!P:Q,2,FALSE),"")</f>
        <v>Unidad</v>
      </c>
      <c r="D1816" s="39">
        <v>8</v>
      </c>
      <c r="E1816" s="42">
        <v>460.2</v>
      </c>
      <c r="F1816" s="41">
        <f t="shared" ca="1" si="63"/>
        <v>3681.6</v>
      </c>
    </row>
    <row r="1817" spans="1:6" ht="14.25" customHeight="1" x14ac:dyDescent="0.35">
      <c r="A1817" s="39" t="s">
        <v>17256</v>
      </c>
      <c r="B1817" s="40" t="str">
        <f ca="1">IFERROR(INDEX(UNSPSCDes,MATCH(INDIRECT(ADDRESS(ROW(),COLUMN()-1,4)),UNSPSCCode,0)),IF(INDIRECT(ADDRESS(ROW(),COLUMN()-1,4))="46181804","Gafas protectoras",""))</f>
        <v>Gafas protectoras</v>
      </c>
      <c r="C1817" s="72" t="str">
        <f>IFERROR(VLOOKUP("UD",'Informacion '!P:Q,2,FALSE),"")</f>
        <v>Unidad</v>
      </c>
      <c r="D1817" s="39">
        <v>5</v>
      </c>
      <c r="E1817" s="42">
        <v>396.48</v>
      </c>
      <c r="F1817" s="41">
        <f t="shared" ca="1" si="63"/>
        <v>1982.4</v>
      </c>
    </row>
    <row r="1818" spans="1:6" ht="14.25" customHeight="1" x14ac:dyDescent="0.35">
      <c r="A1818" s="39" t="s">
        <v>768</v>
      </c>
      <c r="B1818" s="40" t="str">
        <f ca="1">IFERROR(INDEX(UNSPSCDes,MATCH(INDIRECT(ADDRESS(ROW(),COLUMN()-1,4)),UNSPSCCode,0)),IF(INDIRECT(ADDRESS(ROW(),COLUMN()-1,4))="46181811","Lentes protectores",""))</f>
        <v>Lentes protectores</v>
      </c>
      <c r="C1818" s="72" t="str">
        <f>IFERROR(VLOOKUP("UD",'Informacion '!P:Q,2,FALSE),"")</f>
        <v>Unidad</v>
      </c>
      <c r="D1818" s="39">
        <v>16</v>
      </c>
      <c r="E1818" s="42">
        <v>501.5</v>
      </c>
      <c r="F1818" s="41">
        <f t="shared" ca="1" si="63"/>
        <v>8024</v>
      </c>
    </row>
    <row r="1819" spans="1:6" ht="14.25" customHeight="1" x14ac:dyDescent="0.35">
      <c r="A1819" s="39" t="s">
        <v>768</v>
      </c>
      <c r="B1819" s="40" t="str">
        <f ca="1">IFERROR(INDEX(UNSPSCDes,MATCH(INDIRECT(ADDRESS(ROW(),COLUMN()-1,4)),UNSPSCCode,0)),IF(INDIRECT(ADDRESS(ROW(),COLUMN()-1,4))="46181811","Lentes protectores",""))</f>
        <v>Lentes protectores</v>
      </c>
      <c r="C1819" s="72" t="str">
        <f>IFERROR(VLOOKUP("UD",'Informacion '!P:Q,2,FALSE),"")</f>
        <v>Unidad</v>
      </c>
      <c r="D1819" s="39">
        <v>2</v>
      </c>
      <c r="E1819" s="42">
        <v>236</v>
      </c>
      <c r="F1819" s="41">
        <f t="shared" ca="1" si="63"/>
        <v>472</v>
      </c>
    </row>
    <row r="1820" spans="1:6" ht="14.25" customHeight="1" x14ac:dyDescent="0.35">
      <c r="A1820" s="39" t="s">
        <v>18021</v>
      </c>
      <c r="B1820" s="40" t="str">
        <f ca="1">IFERROR(INDEX(UNSPSCDes,MATCH(INDIRECT(ADDRESS(ROW(),COLUMN()-1,4)),UNSPSCCode,0)),IF(INDIRECT(ADDRESS(ROW(),COLUMN()-1,4))="46181901","Tapones de oídos",""))</f>
        <v>Tapones de oídos</v>
      </c>
      <c r="C1820" s="72" t="str">
        <f>IFERROR(VLOOKUP("UD",'Informacion '!P:Q,2,FALSE),"")</f>
        <v>Unidad</v>
      </c>
      <c r="D1820" s="39">
        <v>100</v>
      </c>
      <c r="E1820" s="42">
        <v>25</v>
      </c>
      <c r="F1820" s="41">
        <f t="shared" ca="1" si="63"/>
        <v>2500</v>
      </c>
    </row>
    <row r="1821" spans="1:6" ht="14.25" customHeight="1" x14ac:dyDescent="0.35">
      <c r="A1821" s="39" t="s">
        <v>9040</v>
      </c>
      <c r="B1821" s="40" t="str">
        <f ca="1">IFERROR(INDEX(UNSPSCDes,MATCH(INDIRECT(ADDRESS(ROW(),COLUMN()-1,4)),UNSPSCCode,0)),IF(INDIRECT(ADDRESS(ROW(),COLUMN()-1,4))="46182001","Máscaras o accesorios",""))</f>
        <v>Máscaras o accesorios</v>
      </c>
      <c r="C1821" s="72" t="str">
        <f>IFERROR(VLOOKUP("UD",'Informacion '!P:Q,2,FALSE),"")</f>
        <v>Unidad</v>
      </c>
      <c r="D1821" s="39">
        <v>10</v>
      </c>
      <c r="E1821" s="42">
        <v>2500</v>
      </c>
      <c r="F1821" s="41">
        <f t="shared" ca="1" si="63"/>
        <v>25000</v>
      </c>
    </row>
    <row r="1822" spans="1:6" ht="14.25" customHeight="1" x14ac:dyDescent="0.35">
      <c r="A1822" s="39" t="s">
        <v>9040</v>
      </c>
      <c r="B1822" s="40" t="str">
        <f ca="1">IFERROR(INDEX(UNSPSCDes,MATCH(INDIRECT(ADDRESS(ROW(),COLUMN()-1,4)),UNSPSCCode,0)),IF(INDIRECT(ADDRESS(ROW(),COLUMN()-1,4))="46182001","Máscaras o accesorios",""))</f>
        <v>Máscaras o accesorios</v>
      </c>
      <c r="C1822" s="72" t="str">
        <f>IFERROR(VLOOKUP("UD",'Informacion '!P:Q,2,FALSE),"")</f>
        <v>Unidad</v>
      </c>
      <c r="D1822" s="39">
        <v>12</v>
      </c>
      <c r="E1822" s="42">
        <v>618</v>
      </c>
      <c r="F1822" s="41">
        <f t="shared" ca="1" si="63"/>
        <v>7416</v>
      </c>
    </row>
    <row r="1823" spans="1:6" ht="14.25" customHeight="1" x14ac:dyDescent="0.35">
      <c r="A1823" s="39" t="s">
        <v>9330</v>
      </c>
      <c r="B1823" s="40" t="str">
        <f ca="1">IFERROR(INDEX(UNSPSCDes,MATCH(INDIRECT(ADDRESS(ROW(),COLUMN()-1,4)),UNSPSCCode,0)),IF(INDIRECT(ADDRESS(ROW(),COLUMN()-1,4))="46182201","Cinturones de soporte de la espalda",""))</f>
        <v>Cinturones de soporte de la espalda</v>
      </c>
      <c r="C1823" s="72" t="str">
        <f>IFERROR(VLOOKUP("UD",'Informacion '!P:Q,2,FALSE),"")</f>
        <v>Unidad</v>
      </c>
      <c r="D1823" s="39">
        <v>20</v>
      </c>
      <c r="E1823" s="42">
        <v>1700</v>
      </c>
      <c r="F1823" s="41">
        <f t="shared" ca="1" si="63"/>
        <v>34000</v>
      </c>
    </row>
    <row r="1824" spans="1:6" ht="14.25" customHeight="1" x14ac:dyDescent="0.35">
      <c r="A1824" s="39" t="s">
        <v>1176</v>
      </c>
      <c r="B1824" s="40" t="str">
        <f ca="1">IFERROR(INDEX(UNSPSCDes,MATCH(INDIRECT(ADDRESS(ROW(),COLUMN()-1,4)),UNSPSCCode,0)),IF(INDIRECT(ADDRESS(ROW(),COLUMN()-1,4))="46182306","Arneses o cinturones de seguridad",""))</f>
        <v>Arneses o cinturones de seguridad</v>
      </c>
      <c r="C1824" s="72" t="str">
        <f>IFERROR(VLOOKUP("UD",'Informacion '!P:Q,2,FALSE),"")</f>
        <v>Unidad</v>
      </c>
      <c r="D1824" s="39">
        <v>30</v>
      </c>
      <c r="E1824" s="42">
        <v>9440</v>
      </c>
      <c r="F1824" s="41">
        <f t="shared" ca="1" si="63"/>
        <v>283200</v>
      </c>
    </row>
    <row r="1825" spans="1:10" ht="14.25" customHeight="1" x14ac:dyDescent="0.35">
      <c r="A1825" s="39" t="s">
        <v>2381</v>
      </c>
      <c r="B1825" s="40" t="str">
        <f ca="1">IFERROR(INDEX(UNSPSCDes,MATCH(INDIRECT(ADDRESS(ROW(),COLUMN()-1,4)),UNSPSCCode,0)),IF(INDIRECT(ADDRESS(ROW(),COLUMN()-1,4))="46171613","Detectores de gas",""))</f>
        <v>Detectores de gas</v>
      </c>
      <c r="C1825" s="72" t="str">
        <f>IFERROR(VLOOKUP("UD",'Informacion '!P:Q,2,FALSE),"")</f>
        <v>Unidad</v>
      </c>
      <c r="D1825" s="39">
        <v>3</v>
      </c>
      <c r="E1825" s="42">
        <v>2300</v>
      </c>
      <c r="F1825" s="41">
        <f t="shared" ca="1" si="63"/>
        <v>6900</v>
      </c>
    </row>
    <row r="1826" spans="1:10" ht="14.25" customHeight="1" x14ac:dyDescent="0.35">
      <c r="E1826" s="44" t="s">
        <v>13122</v>
      </c>
      <c r="F1826" s="45">
        <f ca="1">SUM(Table99[MONTO TOTAL ESTIMADO])</f>
        <v>1290947.92</v>
      </c>
      <c r="H1826" s="24" t="str">
        <f>C1775</f>
        <v>Bienes</v>
      </c>
      <c r="I1826" s="24" t="str">
        <f>E1775</f>
        <v>No</v>
      </c>
      <c r="J1826" s="24" t="str">
        <f>D1775</f>
        <v>Compras Menores</v>
      </c>
    </row>
    <row r="1828" spans="1:10" ht="34" customHeight="1" x14ac:dyDescent="0.35">
      <c r="A1828" s="36" t="s">
        <v>17105</v>
      </c>
      <c r="B1828" s="36" t="s">
        <v>167</v>
      </c>
      <c r="C1828" s="36" t="s">
        <v>12252</v>
      </c>
      <c r="D1828" s="36" t="s">
        <v>15021</v>
      </c>
      <c r="E1828" s="36" t="s">
        <v>11455</v>
      </c>
      <c r="F1828" s="36" t="s">
        <v>11595</v>
      </c>
    </row>
    <row r="1829" spans="1:10" ht="14.25" customHeight="1" x14ac:dyDescent="0.35">
      <c r="A1829" s="37" t="s">
        <v>9678</v>
      </c>
      <c r="B1829" s="37" t="s">
        <v>9678</v>
      </c>
      <c r="C1829" s="37" t="s">
        <v>18585</v>
      </c>
      <c r="D1829" s="37" t="s">
        <v>18256</v>
      </c>
      <c r="E1829" s="37" t="s">
        <v>18646</v>
      </c>
      <c r="F1829" s="37" t="s">
        <v>7088</v>
      </c>
    </row>
    <row r="1830" spans="1:10" ht="14.25" customHeight="1" x14ac:dyDescent="0.35">
      <c r="A1830" s="75" t="s">
        <v>15490</v>
      </c>
      <c r="B1830" s="38" t="s">
        <v>8918</v>
      </c>
      <c r="C1830" s="68">
        <v>45383</v>
      </c>
      <c r="D1830" s="75" t="s">
        <v>9819</v>
      </c>
      <c r="E1830" s="70" t="s">
        <v>13683</v>
      </c>
      <c r="F1830" s="71" t="s">
        <v>3205</v>
      </c>
    </row>
    <row r="1831" spans="1:10" ht="14.25" customHeight="1" x14ac:dyDescent="0.35">
      <c r="A1831" s="76"/>
      <c r="B1831" s="38" t="s">
        <v>1858</v>
      </c>
      <c r="C1831" s="69">
        <f>IF(C1830="","",IF(AND(MONTH(C1830)&gt;=1,MONTH(C1830)&lt;=3),1,IF(AND(MONTH(C1830)&gt;=4,MONTH(C1830)&lt;=6),2,IF(AND(MONTH(C1830)&gt;=7,MONTH(C1830)&lt;=9),3,4))))</f>
        <v>2</v>
      </c>
      <c r="D1831" s="76"/>
      <c r="E1831" s="70" t="s">
        <v>2509</v>
      </c>
      <c r="F1831" s="71" t="s">
        <v>11612</v>
      </c>
    </row>
    <row r="1832" spans="1:10" ht="14.25" customHeight="1" x14ac:dyDescent="0.35">
      <c r="A1832" s="76"/>
      <c r="B1832" s="38" t="s">
        <v>13526</v>
      </c>
      <c r="C1832" s="68">
        <v>45471</v>
      </c>
      <c r="D1832" s="76"/>
      <c r="E1832" s="70" t="s">
        <v>3198</v>
      </c>
      <c r="F1832" s="71" t="s">
        <v>11612</v>
      </c>
    </row>
    <row r="1833" spans="1:10" ht="14.25" customHeight="1" x14ac:dyDescent="0.35">
      <c r="A1833" s="76"/>
      <c r="B1833" s="38" t="s">
        <v>1858</v>
      </c>
      <c r="C1833" s="69">
        <f>IF(C1832="","",IF(AND(MONTH(C1832)&gt;=1,MONTH(C1832)&lt;=3),1,IF(AND(MONTH(C1832)&gt;=4,MONTH(C1832)&lt;=6),2,IF(AND(MONTH(C1832)&gt;=7,MONTH(C1832)&lt;=9),3,4))))</f>
        <v>2</v>
      </c>
      <c r="D1833" s="76"/>
      <c r="E1833" s="70" t="s">
        <v>13785</v>
      </c>
      <c r="F1833" s="71"/>
    </row>
    <row r="1835" spans="1:10" ht="14.25" customHeight="1" x14ac:dyDescent="0.35">
      <c r="A1835" s="43" t="s">
        <v>16424</v>
      </c>
      <c r="B1835" s="43" t="s">
        <v>16856</v>
      </c>
      <c r="C1835" s="43" t="s">
        <v>16326</v>
      </c>
      <c r="D1835" s="43" t="s">
        <v>15925</v>
      </c>
      <c r="E1835" s="43" t="s">
        <v>7248</v>
      </c>
      <c r="F1835" s="43" t="s">
        <v>15955</v>
      </c>
    </row>
    <row r="1836" spans="1:10" ht="14.25" customHeight="1" x14ac:dyDescent="0.35">
      <c r="A1836" s="39" t="s">
        <v>18384</v>
      </c>
      <c r="B1836" s="40" t="str">
        <f ca="1">IFERROR(INDEX(UNSPSCDes,MATCH(INDIRECT(ADDRESS(ROW(),COLUMN()-1,4)),UNSPSCCode,0)),IF(INDIRECT(ADDRESS(ROW(),COLUMN()-1,4))="46181501","Delantales protectores",""))</f>
        <v>Delantales protectores</v>
      </c>
      <c r="C1836" s="72" t="str">
        <f>IFERROR(VLOOKUP("UD",'Informacion '!P:Q,2,FALSE),"")</f>
        <v>Unidad</v>
      </c>
      <c r="D1836" s="39">
        <v>2</v>
      </c>
      <c r="E1836" s="42">
        <v>163.98</v>
      </c>
      <c r="F1836" s="41">
        <f t="shared" ref="F1836:F1872" ca="1" si="67">INDIRECT(ADDRESS(ROW(),COLUMN()-2,4))*INDIRECT(ADDRESS(ROW(),COLUMN()-1,4))</f>
        <v>327.96</v>
      </c>
    </row>
    <row r="1837" spans="1:10" ht="14.25" customHeight="1" x14ac:dyDescent="0.35">
      <c r="A1837" s="39" t="s">
        <v>4145</v>
      </c>
      <c r="B1837" s="40" t="str">
        <f ca="1">IFERROR(INDEX(UNSPSCDes,MATCH(INDIRECT(ADDRESS(ROW(),COLUMN()-1,4)),UNSPSCCode,0)),IF(INDIRECT(ADDRESS(ROW(),COLUMN()-1,4))="46181503","Overoles de protección",""))</f>
        <v>Overoles de protección</v>
      </c>
      <c r="C1837" s="72" t="str">
        <f>IFERROR(VLOOKUP("UD",'Informacion '!P:Q,2,FALSE),"")</f>
        <v>Unidad</v>
      </c>
      <c r="D1837" s="39">
        <v>50</v>
      </c>
      <c r="E1837" s="42">
        <v>2400</v>
      </c>
      <c r="F1837" s="41">
        <f t="shared" ca="1" si="67"/>
        <v>120000</v>
      </c>
    </row>
    <row r="1838" spans="1:10" ht="14.25" customHeight="1" x14ac:dyDescent="0.35">
      <c r="A1838" s="39" t="s">
        <v>943</v>
      </c>
      <c r="B1838" s="40" t="str">
        <f ca="1">IFERROR(INDEX(UNSPSCDes,MATCH(INDIRECT(ADDRESS(ROW(),COLUMN()-1,4)),UNSPSCCode,0)),IF(INDIRECT(ADDRESS(ROW(),COLUMN()-1,4))="46181504","Guantes de protección",""))</f>
        <v>Guantes de protección</v>
      </c>
      <c r="C1838" s="72" t="str">
        <f>IFERROR(VLOOKUP("UD",'Informacion '!P:Q,2,FALSE),"")</f>
        <v>Unidad</v>
      </c>
      <c r="D1838" s="39">
        <v>12</v>
      </c>
      <c r="E1838" s="42">
        <v>448.94</v>
      </c>
      <c r="F1838" s="41">
        <f t="shared" ca="1" si="67"/>
        <v>5387.28</v>
      </c>
    </row>
    <row r="1839" spans="1:10" ht="14.25" customHeight="1" x14ac:dyDescent="0.35">
      <c r="A1839" s="39" t="s">
        <v>18049</v>
      </c>
      <c r="B1839" s="40" t="str">
        <f ca="1">IFERROR(INDEX(UNSPSCDes,MATCH(INDIRECT(ADDRESS(ROW(),COLUMN()-1,4)),UNSPSCCode,0)),IF(INDIRECT(ADDRESS(ROW(),COLUMN()-1,4))="46181506","Ponchos de protección",""))</f>
        <v>Ponchos de protección</v>
      </c>
      <c r="C1839" s="72" t="str">
        <f>IFERROR(VLOOKUP("UD",'Informacion '!P:Q,2,FALSE),"")</f>
        <v>Unidad</v>
      </c>
      <c r="D1839" s="39">
        <v>4</v>
      </c>
      <c r="E1839" s="42">
        <v>2354.08</v>
      </c>
      <c r="F1839" s="41">
        <f t="shared" ca="1" si="67"/>
        <v>9416.32</v>
      </c>
    </row>
    <row r="1840" spans="1:10" ht="14.25" customHeight="1" x14ac:dyDescent="0.35">
      <c r="A1840" s="39" t="s">
        <v>19060</v>
      </c>
      <c r="B1840" s="40" t="str">
        <f t="shared" ref="B1840:B1845" ca="1" si="68">IFERROR(INDEX(UNSPSCDes,MATCH(INDIRECT(ADDRESS(ROW(),COLUMN()-1,4)),UNSPSCCode,0)),IF(INDIRECT(ADDRESS(ROW(),COLUMN()-1,4))="46181507","Chalecos de seguridad",""))</f>
        <v>Chalecos de seguridad</v>
      </c>
      <c r="C1840" s="72" t="str">
        <f>IFERROR(VLOOKUP("UD",'Informacion '!P:Q,2,FALSE),"")</f>
        <v>Unidad</v>
      </c>
      <c r="D1840" s="39">
        <v>26</v>
      </c>
      <c r="E1840" s="42">
        <v>409.33</v>
      </c>
      <c r="F1840" s="41">
        <f t="shared" ca="1" si="67"/>
        <v>10642.58</v>
      </c>
    </row>
    <row r="1841" spans="1:6" ht="14.25" customHeight="1" x14ac:dyDescent="0.35">
      <c r="A1841" s="39" t="s">
        <v>19060</v>
      </c>
      <c r="B1841" s="40" t="str">
        <f t="shared" ca="1" si="68"/>
        <v>Chalecos de seguridad</v>
      </c>
      <c r="C1841" s="72" t="str">
        <f>IFERROR(VLOOKUP("UD",'Informacion '!P:Q,2,FALSE),"")</f>
        <v>Unidad</v>
      </c>
      <c r="D1841" s="39">
        <v>4</v>
      </c>
      <c r="E1841" s="42">
        <v>500</v>
      </c>
      <c r="F1841" s="41">
        <f t="shared" ca="1" si="67"/>
        <v>2000</v>
      </c>
    </row>
    <row r="1842" spans="1:6" ht="14.25" customHeight="1" x14ac:dyDescent="0.35">
      <c r="A1842" s="39" t="s">
        <v>19060</v>
      </c>
      <c r="B1842" s="40" t="str">
        <f t="shared" ca="1" si="68"/>
        <v>Chalecos de seguridad</v>
      </c>
      <c r="C1842" s="72" t="str">
        <f>IFERROR(VLOOKUP("UD",'Informacion '!P:Q,2,FALSE),"")</f>
        <v>Unidad</v>
      </c>
      <c r="D1842" s="39">
        <v>3</v>
      </c>
      <c r="E1842" s="42">
        <v>409.33</v>
      </c>
      <c r="F1842" s="41">
        <f t="shared" ca="1" si="67"/>
        <v>1227.99</v>
      </c>
    </row>
    <row r="1843" spans="1:6" ht="14.25" customHeight="1" x14ac:dyDescent="0.35">
      <c r="A1843" s="39" t="s">
        <v>19060</v>
      </c>
      <c r="B1843" s="40" t="str">
        <f t="shared" ca="1" si="68"/>
        <v>Chalecos de seguridad</v>
      </c>
      <c r="C1843" s="72" t="str">
        <f>IFERROR(VLOOKUP("UD",'Informacion '!P:Q,2,FALSE),"")</f>
        <v>Unidad</v>
      </c>
      <c r="D1843" s="39">
        <v>8</v>
      </c>
      <c r="E1843" s="42">
        <v>2596</v>
      </c>
      <c r="F1843" s="41">
        <f t="shared" ca="1" si="67"/>
        <v>20768</v>
      </c>
    </row>
    <row r="1844" spans="1:6" ht="14.25" customHeight="1" x14ac:dyDescent="0.35">
      <c r="A1844" s="39" t="s">
        <v>19060</v>
      </c>
      <c r="B1844" s="40" t="str">
        <f t="shared" ca="1" si="68"/>
        <v>Chalecos de seguridad</v>
      </c>
      <c r="C1844" s="72" t="str">
        <f>IFERROR(VLOOKUP("UD",'Informacion '!P:Q,2,FALSE),"")</f>
        <v>Unidad</v>
      </c>
      <c r="D1844" s="39">
        <v>70</v>
      </c>
      <c r="E1844" s="42">
        <v>289.83</v>
      </c>
      <c r="F1844" s="41">
        <f t="shared" ca="1" si="67"/>
        <v>20288.099999999999</v>
      </c>
    </row>
    <row r="1845" spans="1:6" ht="14.25" customHeight="1" x14ac:dyDescent="0.35">
      <c r="A1845" s="39" t="s">
        <v>19060</v>
      </c>
      <c r="B1845" s="40" t="str">
        <f t="shared" ca="1" si="68"/>
        <v>Chalecos de seguridad</v>
      </c>
      <c r="C1845" s="72" t="str">
        <f>IFERROR(VLOOKUP("UD",'Informacion '!P:Q,2,FALSE),"")</f>
        <v>Unidad</v>
      </c>
      <c r="D1845" s="39">
        <v>1</v>
      </c>
      <c r="E1845" s="42">
        <v>4838.3</v>
      </c>
      <c r="F1845" s="41">
        <f t="shared" ca="1" si="67"/>
        <v>4838.3</v>
      </c>
    </row>
    <row r="1846" spans="1:6" ht="14.25" customHeight="1" x14ac:dyDescent="0.35">
      <c r="A1846" s="39" t="s">
        <v>620</v>
      </c>
      <c r="B1846" s="40" t="str">
        <f t="shared" ref="B1846:B1855" ca="1" si="69">IFERROR(INDEX(UNSPSCDes,MATCH(INDIRECT(ADDRESS(ROW(),COLUMN()-1,4)),UNSPSCCode,0)),IF(INDIRECT(ADDRESS(ROW(),COLUMN()-1,4))="46181604","Botas de seguridad",""))</f>
        <v>Botas de seguridad</v>
      </c>
      <c r="C1846" s="72" t="str">
        <f>IFERROR(VLOOKUP("UD",'Informacion '!P:Q,2,FALSE),"")</f>
        <v>Unidad</v>
      </c>
      <c r="D1846" s="39">
        <v>6</v>
      </c>
      <c r="E1846" s="42">
        <v>3704.83</v>
      </c>
      <c r="F1846" s="41">
        <f t="shared" ca="1" si="67"/>
        <v>22228.98</v>
      </c>
    </row>
    <row r="1847" spans="1:6" ht="14.25" customHeight="1" x14ac:dyDescent="0.35">
      <c r="A1847" s="39" t="s">
        <v>620</v>
      </c>
      <c r="B1847" s="40" t="str">
        <f t="shared" ca="1" si="69"/>
        <v>Botas de seguridad</v>
      </c>
      <c r="C1847" s="72" t="str">
        <f>IFERROR(VLOOKUP("UD",'Informacion '!P:Q,2,FALSE),"")</f>
        <v>Unidad</v>
      </c>
      <c r="D1847" s="39">
        <v>8</v>
      </c>
      <c r="E1847" s="42">
        <v>532.73</v>
      </c>
      <c r="F1847" s="41">
        <f t="shared" ca="1" si="67"/>
        <v>4261.84</v>
      </c>
    </row>
    <row r="1848" spans="1:6" ht="14.25" customHeight="1" x14ac:dyDescent="0.35">
      <c r="A1848" s="39" t="s">
        <v>620</v>
      </c>
      <c r="B1848" s="40" t="str">
        <f t="shared" ca="1" si="69"/>
        <v>Botas de seguridad</v>
      </c>
      <c r="C1848" s="72" t="str">
        <f>IFERROR(VLOOKUP("UD",'Informacion '!P:Q,2,FALSE),"")</f>
        <v>Unidad</v>
      </c>
      <c r="D1848" s="39">
        <v>8</v>
      </c>
      <c r="E1848" s="42">
        <v>2855.38</v>
      </c>
      <c r="F1848" s="41">
        <f t="shared" ca="1" si="67"/>
        <v>22843.040000000001</v>
      </c>
    </row>
    <row r="1849" spans="1:6" ht="14.25" customHeight="1" x14ac:dyDescent="0.35">
      <c r="A1849" s="39" t="s">
        <v>620</v>
      </c>
      <c r="B1849" s="40" t="str">
        <f t="shared" ca="1" si="69"/>
        <v>Botas de seguridad</v>
      </c>
      <c r="C1849" s="72" t="str">
        <f>IFERROR(VLOOKUP("UD",'Informacion '!P:Q,2,FALSE),"")</f>
        <v>Unidad</v>
      </c>
      <c r="D1849" s="39">
        <v>11</v>
      </c>
      <c r="E1849" s="42">
        <v>2531</v>
      </c>
      <c r="F1849" s="41">
        <f t="shared" ca="1" si="67"/>
        <v>27841</v>
      </c>
    </row>
    <row r="1850" spans="1:6" ht="14.25" customHeight="1" x14ac:dyDescent="0.35">
      <c r="A1850" s="39" t="s">
        <v>620</v>
      </c>
      <c r="B1850" s="40" t="str">
        <f t="shared" ca="1" si="69"/>
        <v>Botas de seguridad</v>
      </c>
      <c r="C1850" s="72" t="str">
        <f>IFERROR(VLOOKUP("UD",'Informacion '!P:Q,2,FALSE),"")</f>
        <v>Unidad</v>
      </c>
      <c r="D1850" s="39">
        <v>75</v>
      </c>
      <c r="E1850" s="42">
        <v>2855.38</v>
      </c>
      <c r="F1850" s="41">
        <f t="shared" ca="1" si="67"/>
        <v>214153.5</v>
      </c>
    </row>
    <row r="1851" spans="1:6" ht="14.25" customHeight="1" x14ac:dyDescent="0.35">
      <c r="A1851" s="39" t="s">
        <v>620</v>
      </c>
      <c r="B1851" s="40" t="str">
        <f t="shared" ca="1" si="69"/>
        <v>Botas de seguridad</v>
      </c>
      <c r="C1851" s="72" t="str">
        <f>IFERROR(VLOOKUP("UD",'Informacion '!P:Q,2,FALSE),"")</f>
        <v>Unidad</v>
      </c>
      <c r="D1851" s="39">
        <v>3</v>
      </c>
      <c r="E1851" s="42">
        <v>2855.38</v>
      </c>
      <c r="F1851" s="41">
        <f t="shared" ca="1" si="67"/>
        <v>8566.14</v>
      </c>
    </row>
    <row r="1852" spans="1:6" ht="14.25" customHeight="1" x14ac:dyDescent="0.35">
      <c r="A1852" s="39" t="s">
        <v>620</v>
      </c>
      <c r="B1852" s="40" t="str">
        <f t="shared" ca="1" si="69"/>
        <v>Botas de seguridad</v>
      </c>
      <c r="C1852" s="72" t="str">
        <f>IFERROR(VLOOKUP("UD",'Informacion '!P:Q,2,FALSE),"")</f>
        <v>Unidad</v>
      </c>
      <c r="D1852" s="39">
        <v>5</v>
      </c>
      <c r="E1852" s="42">
        <v>743.4</v>
      </c>
      <c r="F1852" s="41">
        <f t="shared" ca="1" si="67"/>
        <v>3717</v>
      </c>
    </row>
    <row r="1853" spans="1:6" ht="14.25" customHeight="1" x14ac:dyDescent="0.35">
      <c r="A1853" s="39" t="s">
        <v>620</v>
      </c>
      <c r="B1853" s="40" t="str">
        <f t="shared" ca="1" si="69"/>
        <v>Botas de seguridad</v>
      </c>
      <c r="C1853" s="72" t="str">
        <f>IFERROR(VLOOKUP("UD",'Informacion '!P:Q,2,FALSE),"")</f>
        <v>Unidad</v>
      </c>
      <c r="D1853" s="39">
        <v>2</v>
      </c>
      <c r="E1853" s="42">
        <v>2855.38</v>
      </c>
      <c r="F1853" s="41">
        <f t="shared" ca="1" si="67"/>
        <v>5710.76</v>
      </c>
    </row>
    <row r="1854" spans="1:6" ht="14.25" customHeight="1" x14ac:dyDescent="0.35">
      <c r="A1854" s="39" t="s">
        <v>620</v>
      </c>
      <c r="B1854" s="40" t="str">
        <f t="shared" ca="1" si="69"/>
        <v>Botas de seguridad</v>
      </c>
      <c r="C1854" s="72" t="str">
        <f>IFERROR(VLOOKUP("UD",'Informacion '!P:Q,2,FALSE),"")</f>
        <v>Unidad</v>
      </c>
      <c r="D1854" s="39">
        <v>120</v>
      </c>
      <c r="E1854" s="42">
        <v>3500</v>
      </c>
      <c r="F1854" s="41">
        <f t="shared" ca="1" si="67"/>
        <v>420000</v>
      </c>
    </row>
    <row r="1855" spans="1:6" ht="14.25" customHeight="1" x14ac:dyDescent="0.35">
      <c r="A1855" s="39" t="s">
        <v>620</v>
      </c>
      <c r="B1855" s="40" t="str">
        <f t="shared" ca="1" si="69"/>
        <v>Botas de seguridad</v>
      </c>
      <c r="C1855" s="72" t="str">
        <f>IFERROR(VLOOKUP("UD",'Informacion '!P:Q,2,FALSE),"")</f>
        <v>Unidad</v>
      </c>
      <c r="D1855" s="39">
        <v>70</v>
      </c>
      <c r="E1855" s="42">
        <v>264</v>
      </c>
      <c r="F1855" s="41">
        <f t="shared" ca="1" si="67"/>
        <v>18480</v>
      </c>
    </row>
    <row r="1856" spans="1:6" ht="14.25" customHeight="1" x14ac:dyDescent="0.35">
      <c r="A1856" s="39" t="s">
        <v>4373</v>
      </c>
      <c r="B1856" s="40" t="str">
        <f t="shared" ref="B1856:B1861" ca="1" si="70">IFERROR(INDEX(UNSPSCDes,MATCH(INDIRECT(ADDRESS(ROW(),COLUMN()-1,4)),UNSPSCCode,0)),IF(INDIRECT(ADDRESS(ROW(),COLUMN()-1,4))="46181704","Cascos de seguridad",""))</f>
        <v>Cascos de seguridad</v>
      </c>
      <c r="C1856" s="72" t="str">
        <f>IFERROR(VLOOKUP("UD",'Informacion '!P:Q,2,FALSE),"")</f>
        <v>Unidad</v>
      </c>
      <c r="D1856" s="39">
        <v>12</v>
      </c>
      <c r="E1856" s="42">
        <v>5049</v>
      </c>
      <c r="F1856" s="41">
        <f t="shared" ca="1" si="67"/>
        <v>60588</v>
      </c>
    </row>
    <row r="1857" spans="1:6" ht="14.25" customHeight="1" x14ac:dyDescent="0.35">
      <c r="A1857" s="39" t="s">
        <v>4373</v>
      </c>
      <c r="B1857" s="40" t="str">
        <f t="shared" ca="1" si="70"/>
        <v>Cascos de seguridad</v>
      </c>
      <c r="C1857" s="72" t="str">
        <f>IFERROR(VLOOKUP("UD",'Informacion '!P:Q,2,FALSE),"")</f>
        <v>Unidad</v>
      </c>
      <c r="D1857" s="39">
        <v>10</v>
      </c>
      <c r="E1857" s="42">
        <v>649</v>
      </c>
      <c r="F1857" s="41">
        <f t="shared" ca="1" si="67"/>
        <v>6490</v>
      </c>
    </row>
    <row r="1858" spans="1:6" ht="14.25" customHeight="1" x14ac:dyDescent="0.35">
      <c r="A1858" s="39" t="s">
        <v>4373</v>
      </c>
      <c r="B1858" s="40" t="str">
        <f t="shared" ca="1" si="70"/>
        <v>Cascos de seguridad</v>
      </c>
      <c r="C1858" s="72" t="str">
        <f>IFERROR(VLOOKUP("UD",'Informacion '!P:Q,2,FALSE),"")</f>
        <v>Unidad</v>
      </c>
      <c r="D1858" s="39">
        <v>6</v>
      </c>
      <c r="E1858" s="42">
        <v>649</v>
      </c>
      <c r="F1858" s="41">
        <f t="shared" ca="1" si="67"/>
        <v>3894</v>
      </c>
    </row>
    <row r="1859" spans="1:6" ht="14.25" customHeight="1" x14ac:dyDescent="0.35">
      <c r="A1859" s="39" t="s">
        <v>4373</v>
      </c>
      <c r="B1859" s="40" t="str">
        <f t="shared" ca="1" si="70"/>
        <v>Cascos de seguridad</v>
      </c>
      <c r="C1859" s="72" t="str">
        <f>IFERROR(VLOOKUP("UD",'Informacion '!P:Q,2,FALSE),"")</f>
        <v>Unidad</v>
      </c>
      <c r="D1859" s="39">
        <v>4</v>
      </c>
      <c r="E1859" s="42">
        <v>171.09</v>
      </c>
      <c r="F1859" s="41">
        <f t="shared" ca="1" si="67"/>
        <v>684.36</v>
      </c>
    </row>
    <row r="1860" spans="1:6" ht="14.25" customHeight="1" x14ac:dyDescent="0.35">
      <c r="A1860" s="39" t="s">
        <v>4373</v>
      </c>
      <c r="B1860" s="40" t="str">
        <f t="shared" ca="1" si="70"/>
        <v>Cascos de seguridad</v>
      </c>
      <c r="C1860" s="72" t="str">
        <f>IFERROR(VLOOKUP("UD",'Informacion '!P:Q,2,FALSE),"")</f>
        <v>Unidad</v>
      </c>
      <c r="D1860" s="39">
        <v>3</v>
      </c>
      <c r="E1860" s="42">
        <v>743.4</v>
      </c>
      <c r="F1860" s="41">
        <f t="shared" ca="1" si="67"/>
        <v>2230.1999999999998</v>
      </c>
    </row>
    <row r="1861" spans="1:6" ht="14.25" customHeight="1" x14ac:dyDescent="0.35">
      <c r="A1861" s="39" t="s">
        <v>4373</v>
      </c>
      <c r="B1861" s="40" t="str">
        <f t="shared" ca="1" si="70"/>
        <v>Cascos de seguridad</v>
      </c>
      <c r="C1861" s="72" t="str">
        <f>IFERROR(VLOOKUP("UD",'Informacion '!P:Q,2,FALSE),"")</f>
        <v>Unidad</v>
      </c>
      <c r="D1861" s="39">
        <v>34</v>
      </c>
      <c r="E1861" s="42">
        <v>649</v>
      </c>
      <c r="F1861" s="41">
        <f t="shared" ca="1" si="67"/>
        <v>22066</v>
      </c>
    </row>
    <row r="1862" spans="1:6" ht="14.25" customHeight="1" x14ac:dyDescent="0.35">
      <c r="A1862" s="39" t="s">
        <v>385</v>
      </c>
      <c r="B1862" s="40" t="str">
        <f ca="1">IFERROR(INDEX(UNSPSCDes,MATCH(INDIRECT(ADDRESS(ROW(),COLUMN()-1,4)),UNSPSCCode,0)),IF(INDIRECT(ADDRESS(ROW(),COLUMN()-1,4))="46181801","Sujetadores o estuches de anteojos",""))</f>
        <v>Sujetadores o estuches de anteojos</v>
      </c>
      <c r="C1862" s="72" t="str">
        <f>IFERROR(VLOOKUP("UD",'Informacion '!P:Q,2,FALSE),"")</f>
        <v>Unidad</v>
      </c>
      <c r="D1862" s="39">
        <v>12</v>
      </c>
      <c r="E1862" s="42">
        <v>236</v>
      </c>
      <c r="F1862" s="41">
        <f t="shared" ca="1" si="67"/>
        <v>2832</v>
      </c>
    </row>
    <row r="1863" spans="1:6" ht="14.25" customHeight="1" x14ac:dyDescent="0.35">
      <c r="A1863" s="39" t="s">
        <v>16662</v>
      </c>
      <c r="B1863" s="40" t="str">
        <f ca="1">IFERROR(INDEX(UNSPSCDes,MATCH(INDIRECT(ADDRESS(ROW(),COLUMN()-1,4)),UNSPSCCode,0)),IF(INDIRECT(ADDRESS(ROW(),COLUMN()-1,4))="46181802","Anteojos de seguridad",""))</f>
        <v>Anteojos de seguridad</v>
      </c>
      <c r="C1863" s="72" t="str">
        <f>IFERROR(VLOOKUP("UD",'Informacion '!P:Q,2,FALSE),"")</f>
        <v>Unidad</v>
      </c>
      <c r="D1863" s="39">
        <v>3</v>
      </c>
      <c r="E1863" s="42">
        <v>153.33000000000001</v>
      </c>
      <c r="F1863" s="41">
        <f t="shared" ca="1" si="67"/>
        <v>459.99</v>
      </c>
    </row>
    <row r="1864" spans="1:6" ht="14.25" customHeight="1" x14ac:dyDescent="0.35">
      <c r="A1864" s="39" t="s">
        <v>16662</v>
      </c>
      <c r="B1864" s="40" t="str">
        <f ca="1">IFERROR(INDEX(UNSPSCDes,MATCH(INDIRECT(ADDRESS(ROW(),COLUMN()-1,4)),UNSPSCCode,0)),IF(INDIRECT(ADDRESS(ROW(),COLUMN()-1,4))="46181802","Anteojos de seguridad",""))</f>
        <v>Anteojos de seguridad</v>
      </c>
      <c r="C1864" s="72" t="str">
        <f>IFERROR(VLOOKUP("UD",'Informacion '!P:Q,2,FALSE),"")</f>
        <v>Unidad</v>
      </c>
      <c r="D1864" s="39">
        <v>3</v>
      </c>
      <c r="E1864" s="42">
        <v>501.5</v>
      </c>
      <c r="F1864" s="41">
        <f t="shared" ca="1" si="67"/>
        <v>1504.5</v>
      </c>
    </row>
    <row r="1865" spans="1:6" ht="14.25" customHeight="1" x14ac:dyDescent="0.35">
      <c r="A1865" s="39" t="s">
        <v>17256</v>
      </c>
      <c r="B1865" s="40" t="str">
        <f ca="1">IFERROR(INDEX(UNSPSCDes,MATCH(INDIRECT(ADDRESS(ROW(),COLUMN()-1,4)),UNSPSCCode,0)),IF(INDIRECT(ADDRESS(ROW(),COLUMN()-1,4))="46181804","Gafas protectoras",""))</f>
        <v>Gafas protectoras</v>
      </c>
      <c r="C1865" s="72" t="str">
        <f>IFERROR(VLOOKUP("UD",'Informacion '!P:Q,2,FALSE),"")</f>
        <v>Unidad</v>
      </c>
      <c r="D1865" s="39">
        <v>70</v>
      </c>
      <c r="E1865" s="42">
        <v>396.48</v>
      </c>
      <c r="F1865" s="41">
        <f t="shared" ca="1" si="67"/>
        <v>27753.600000000002</v>
      </c>
    </row>
    <row r="1866" spans="1:6" ht="14.25" customHeight="1" x14ac:dyDescent="0.35">
      <c r="A1866" s="39" t="s">
        <v>768</v>
      </c>
      <c r="B1866" s="40" t="str">
        <f ca="1">IFERROR(INDEX(UNSPSCDes,MATCH(INDIRECT(ADDRESS(ROW(),COLUMN()-1,4)),UNSPSCCode,0)),IF(INDIRECT(ADDRESS(ROW(),COLUMN()-1,4))="46181811","Lentes protectores",""))</f>
        <v>Lentes protectores</v>
      </c>
      <c r="C1866" s="72" t="str">
        <f>IFERROR(VLOOKUP("UD",'Informacion '!P:Q,2,FALSE),"")</f>
        <v>Unidad</v>
      </c>
      <c r="D1866" s="39">
        <v>4</v>
      </c>
      <c r="E1866" s="42">
        <v>159.4</v>
      </c>
      <c r="F1866" s="41">
        <f t="shared" ca="1" si="67"/>
        <v>637.6</v>
      </c>
    </row>
    <row r="1867" spans="1:6" ht="14.25" customHeight="1" x14ac:dyDescent="0.35">
      <c r="A1867" s="39" t="s">
        <v>18021</v>
      </c>
      <c r="B1867" s="40" t="str">
        <f ca="1">IFERROR(INDEX(UNSPSCDes,MATCH(INDIRECT(ADDRESS(ROW(),COLUMN()-1,4)),UNSPSCCode,0)),IF(INDIRECT(ADDRESS(ROW(),COLUMN()-1,4))="46181901","Tapones de oídos",""))</f>
        <v>Tapones de oídos</v>
      </c>
      <c r="C1867" s="72" t="str">
        <f>IFERROR(VLOOKUP("UD",'Informacion '!P:Q,2,FALSE),"")</f>
        <v>Unidad</v>
      </c>
      <c r="D1867" s="39">
        <v>100</v>
      </c>
      <c r="E1867" s="42">
        <v>25</v>
      </c>
      <c r="F1867" s="41">
        <f t="shared" ca="1" si="67"/>
        <v>2500</v>
      </c>
    </row>
    <row r="1868" spans="1:6" ht="14.25" customHeight="1" x14ac:dyDescent="0.35">
      <c r="A1868" s="39" t="s">
        <v>18021</v>
      </c>
      <c r="B1868" s="40" t="str">
        <f ca="1">IFERROR(INDEX(UNSPSCDes,MATCH(INDIRECT(ADDRESS(ROW(),COLUMN()-1,4)),UNSPSCCode,0)),IF(INDIRECT(ADDRESS(ROW(),COLUMN()-1,4))="46181901","Tapones de oídos",""))</f>
        <v>Tapones de oídos</v>
      </c>
      <c r="C1868" s="72" t="str">
        <f>IFERROR(VLOOKUP("UD",'Informacion '!P:Q,2,FALSE),"")</f>
        <v>Unidad</v>
      </c>
      <c r="D1868" s="39">
        <v>12</v>
      </c>
      <c r="E1868" s="42">
        <v>295</v>
      </c>
      <c r="F1868" s="41">
        <f t="shared" ca="1" si="67"/>
        <v>3540</v>
      </c>
    </row>
    <row r="1869" spans="1:6" ht="14.25" customHeight="1" x14ac:dyDescent="0.35">
      <c r="A1869" s="39" t="s">
        <v>9040</v>
      </c>
      <c r="B1869" s="40" t="str">
        <f ca="1">IFERROR(INDEX(UNSPSCDes,MATCH(INDIRECT(ADDRESS(ROW(),COLUMN()-1,4)),UNSPSCCode,0)),IF(INDIRECT(ADDRESS(ROW(),COLUMN()-1,4))="46182001","Máscaras o accesorios",""))</f>
        <v>Máscaras o accesorios</v>
      </c>
      <c r="C1869" s="72" t="str">
        <f>IFERROR(VLOOKUP("UD",'Informacion '!P:Q,2,FALSE),"")</f>
        <v>Unidad</v>
      </c>
      <c r="D1869" s="39">
        <v>1</v>
      </c>
      <c r="E1869" s="42">
        <v>1009.5</v>
      </c>
      <c r="F1869" s="41">
        <f t="shared" ca="1" si="67"/>
        <v>1009.5</v>
      </c>
    </row>
    <row r="1870" spans="1:6" ht="14.25" customHeight="1" x14ac:dyDescent="0.35">
      <c r="A1870" s="39" t="s">
        <v>9040</v>
      </c>
      <c r="B1870" s="40" t="str">
        <f ca="1">IFERROR(INDEX(UNSPSCDes,MATCH(INDIRECT(ADDRESS(ROW(),COLUMN()-1,4)),UNSPSCCode,0)),IF(INDIRECT(ADDRESS(ROW(),COLUMN()-1,4))="46182001","Máscaras o accesorios",""))</f>
        <v>Máscaras o accesorios</v>
      </c>
      <c r="C1870" s="72" t="str">
        <f>IFERROR(VLOOKUP("UD",'Informacion '!P:Q,2,FALSE),"")</f>
        <v>Unidad</v>
      </c>
      <c r="D1870" s="39">
        <v>4</v>
      </c>
      <c r="E1870" s="42">
        <v>1009.5</v>
      </c>
      <c r="F1870" s="41">
        <f t="shared" ca="1" si="67"/>
        <v>4038</v>
      </c>
    </row>
    <row r="1871" spans="1:6" ht="14.25" customHeight="1" x14ac:dyDescent="0.35">
      <c r="A1871" s="39" t="s">
        <v>620</v>
      </c>
      <c r="B1871" s="40" t="str">
        <f ca="1">IFERROR(INDEX(UNSPSCDes,MATCH(INDIRECT(ADDRESS(ROW(),COLUMN()-1,4)),UNSPSCCode,0)),IF(INDIRECT(ADDRESS(ROW(),COLUMN()-1,4))="46181604","Botas de seguridad",""))</f>
        <v>Botas de seguridad</v>
      </c>
      <c r="C1871" s="72" t="str">
        <f>IFERROR(VLOOKUP("UD",'Informacion '!P:Q,2,FALSE),"")</f>
        <v>Unidad</v>
      </c>
      <c r="D1871" s="39">
        <v>41</v>
      </c>
      <c r="E1871" s="42">
        <v>6000</v>
      </c>
      <c r="F1871" s="41">
        <f t="shared" ca="1" si="67"/>
        <v>246000</v>
      </c>
    </row>
    <row r="1872" spans="1:6" ht="14.25" customHeight="1" x14ac:dyDescent="0.35">
      <c r="A1872" s="39" t="s">
        <v>14963</v>
      </c>
      <c r="B1872" s="40" t="str">
        <f ca="1">IFERROR(INDEX(UNSPSCDes,MATCH(INDIRECT(ADDRESS(ROW(),COLUMN()-1,4)),UNSPSCCode,0)),IF(INDIRECT(ADDRESS(ROW(),COLUMN()-1,4))="46171604","Sistemas de alarma",""))</f>
        <v>Sistemas de alarma</v>
      </c>
      <c r="C1872" s="72" t="str">
        <f>IFERROR(VLOOKUP("UD",'Informacion '!P:Q,2,FALSE),"")</f>
        <v>Unidad</v>
      </c>
      <c r="D1872" s="39">
        <v>3</v>
      </c>
      <c r="E1872" s="42">
        <v>2206</v>
      </c>
      <c r="F1872" s="41">
        <f t="shared" ca="1" si="67"/>
        <v>6618</v>
      </c>
    </row>
    <row r="1873" spans="1:10" ht="14.25" customHeight="1" x14ac:dyDescent="0.35">
      <c r="E1873" s="44" t="s">
        <v>13122</v>
      </c>
      <c r="F1873" s="45">
        <f ca="1">SUM(Table100[MONTO TOTAL ESTIMADO])</f>
        <v>1335544.54</v>
      </c>
      <c r="H1873" s="24" t="str">
        <f>C1829</f>
        <v>Bienes</v>
      </c>
      <c r="I1873" s="24" t="str">
        <f>E1829</f>
        <v>No</v>
      </c>
      <c r="J1873" s="24" t="str">
        <f>D1829</f>
        <v>Compras Menores</v>
      </c>
    </row>
    <row r="1875" spans="1:10" ht="34" customHeight="1" x14ac:dyDescent="0.35">
      <c r="A1875" s="36" t="s">
        <v>17105</v>
      </c>
      <c r="B1875" s="36" t="s">
        <v>167</v>
      </c>
      <c r="C1875" s="36" t="s">
        <v>12252</v>
      </c>
      <c r="D1875" s="36" t="s">
        <v>15021</v>
      </c>
      <c r="E1875" s="36" t="s">
        <v>11455</v>
      </c>
      <c r="F1875" s="36" t="s">
        <v>11595</v>
      </c>
    </row>
    <row r="1876" spans="1:10" ht="14.25" customHeight="1" x14ac:dyDescent="0.35">
      <c r="A1876" s="37" t="s">
        <v>9678</v>
      </c>
      <c r="B1876" s="37" t="s">
        <v>9678</v>
      </c>
      <c r="C1876" s="37" t="s">
        <v>18585</v>
      </c>
      <c r="D1876" s="37" t="s">
        <v>10634</v>
      </c>
      <c r="E1876" s="37" t="s">
        <v>9261</v>
      </c>
      <c r="F1876" s="37" t="s">
        <v>7088</v>
      </c>
    </row>
    <row r="1877" spans="1:10" ht="14.25" customHeight="1" x14ac:dyDescent="0.35">
      <c r="A1877" s="75" t="s">
        <v>15490</v>
      </c>
      <c r="B1877" s="38" t="s">
        <v>8918</v>
      </c>
      <c r="C1877" s="68">
        <v>45474</v>
      </c>
      <c r="D1877" s="75" t="s">
        <v>9819</v>
      </c>
      <c r="E1877" s="70" t="s">
        <v>13683</v>
      </c>
      <c r="F1877" s="71" t="s">
        <v>3205</v>
      </c>
    </row>
    <row r="1878" spans="1:10" ht="14.25" customHeight="1" x14ac:dyDescent="0.35">
      <c r="A1878" s="76"/>
      <c r="B1878" s="38" t="s">
        <v>1858</v>
      </c>
      <c r="C1878" s="69">
        <f>IF(C1877="","",IF(AND(MONTH(C1877)&gt;=1,MONTH(C1877)&lt;=3),1,IF(AND(MONTH(C1877)&gt;=4,MONTH(C1877)&lt;=6),2,IF(AND(MONTH(C1877)&gt;=7,MONTH(C1877)&lt;=9),3,4))))</f>
        <v>3</v>
      </c>
      <c r="D1878" s="76"/>
      <c r="E1878" s="70" t="s">
        <v>2509</v>
      </c>
      <c r="F1878" s="71" t="s">
        <v>11612</v>
      </c>
    </row>
    <row r="1879" spans="1:10" ht="14.25" customHeight="1" x14ac:dyDescent="0.35">
      <c r="A1879" s="76"/>
      <c r="B1879" s="38" t="s">
        <v>13526</v>
      </c>
      <c r="C1879" s="68">
        <v>45565</v>
      </c>
      <c r="D1879" s="76"/>
      <c r="E1879" s="70" t="s">
        <v>3198</v>
      </c>
      <c r="F1879" s="71" t="s">
        <v>11612</v>
      </c>
    </row>
    <row r="1880" spans="1:10" ht="14.25" customHeight="1" x14ac:dyDescent="0.35">
      <c r="A1880" s="76"/>
      <c r="B1880" s="38" t="s">
        <v>1858</v>
      </c>
      <c r="C1880" s="69">
        <f>IF(C1879="","",IF(AND(MONTH(C1879)&gt;=1,MONTH(C1879)&lt;=3),1,IF(AND(MONTH(C1879)&gt;=4,MONTH(C1879)&lt;=6),2,IF(AND(MONTH(C1879)&gt;=7,MONTH(C1879)&lt;=9),3,4))))</f>
        <v>3</v>
      </c>
      <c r="D1880" s="76"/>
      <c r="E1880" s="70" t="s">
        <v>13785</v>
      </c>
      <c r="F1880" s="71"/>
    </row>
    <row r="1882" spans="1:10" ht="14.25" customHeight="1" x14ac:dyDescent="0.35">
      <c r="A1882" s="43" t="s">
        <v>16424</v>
      </c>
      <c r="B1882" s="43" t="s">
        <v>16856</v>
      </c>
      <c r="C1882" s="43" t="s">
        <v>16326</v>
      </c>
      <c r="D1882" s="43" t="s">
        <v>15925</v>
      </c>
      <c r="E1882" s="43" t="s">
        <v>7248</v>
      </c>
      <c r="F1882" s="43" t="s">
        <v>15955</v>
      </c>
    </row>
    <row r="1883" spans="1:10" ht="14.25" customHeight="1" x14ac:dyDescent="0.35">
      <c r="A1883" s="39" t="s">
        <v>19060</v>
      </c>
      <c r="B1883" s="40" t="str">
        <f ca="1">IFERROR(INDEX(UNSPSCDes,MATCH(INDIRECT(ADDRESS(ROW(),COLUMN()-1,4)),UNSPSCCode,0)),IF(INDIRECT(ADDRESS(ROW(),COLUMN()-1,4))="46181507","Chalecos de seguridad",""))</f>
        <v>Chalecos de seguridad</v>
      </c>
      <c r="C1883" s="72" t="str">
        <f>IFERROR(VLOOKUP("UD",'Informacion '!P:Q,2,FALSE),"")</f>
        <v>Unidad</v>
      </c>
      <c r="D1883" s="39">
        <v>24</v>
      </c>
      <c r="E1883" s="42">
        <v>2596</v>
      </c>
      <c r="F1883" s="41">
        <f ca="1">INDIRECT(ADDRESS(ROW(),COLUMN()-2,4))*INDIRECT(ADDRESS(ROW(),COLUMN()-1,4))</f>
        <v>62304</v>
      </c>
    </row>
    <row r="1884" spans="1:10" ht="14.25" customHeight="1" x14ac:dyDescent="0.35">
      <c r="A1884" s="39" t="s">
        <v>19060</v>
      </c>
      <c r="B1884" s="40" t="str">
        <f ca="1">IFERROR(INDEX(UNSPSCDes,MATCH(INDIRECT(ADDRESS(ROW(),COLUMN()-1,4)),UNSPSCCode,0)),IF(INDIRECT(ADDRESS(ROW(),COLUMN()-1,4))="46181507","Chalecos de seguridad",""))</f>
        <v>Chalecos de seguridad</v>
      </c>
      <c r="C1884" s="72" t="str">
        <f>IFERROR(VLOOKUP("UD",'Informacion '!P:Q,2,FALSE),"")</f>
        <v>Unidad</v>
      </c>
      <c r="D1884" s="39">
        <v>5</v>
      </c>
      <c r="E1884" s="42">
        <v>2855.38</v>
      </c>
      <c r="F1884" s="41">
        <f ca="1">INDIRECT(ADDRESS(ROW(),COLUMN()-2,4))*INDIRECT(ADDRESS(ROW(),COLUMN()-1,4))</f>
        <v>14276.900000000001</v>
      </c>
    </row>
    <row r="1885" spans="1:10" ht="14.25" customHeight="1" x14ac:dyDescent="0.35">
      <c r="A1885" s="39" t="s">
        <v>19302</v>
      </c>
      <c r="B1885" s="40" t="str">
        <f ca="1">IFERROR(INDEX(UNSPSCDes,MATCH(INDIRECT(ADDRESS(ROW(),COLUMN()-1,4)),UNSPSCCode,0)),IF(INDIRECT(ADDRESS(ROW(),COLUMN()-1,4))="46181605","Zapatos de seguridad",""))</f>
        <v>Zapatos de seguridad</v>
      </c>
      <c r="C1885" s="72" t="str">
        <f>IFERROR(VLOOKUP("UD",'Informacion '!P:Q,2,FALSE),"")</f>
        <v>Unidad</v>
      </c>
      <c r="D1885" s="39">
        <v>3</v>
      </c>
      <c r="E1885" s="42">
        <v>2855.38</v>
      </c>
      <c r="F1885" s="41">
        <f ca="1">INDIRECT(ADDRESS(ROW(),COLUMN()-2,4))*INDIRECT(ADDRESS(ROW(),COLUMN()-1,4))</f>
        <v>8566.14</v>
      </c>
    </row>
    <row r="1886" spans="1:10" ht="14.25" customHeight="1" x14ac:dyDescent="0.35">
      <c r="A1886" s="39" t="s">
        <v>4373</v>
      </c>
      <c r="B1886" s="40" t="str">
        <f ca="1">IFERROR(INDEX(UNSPSCDes,MATCH(INDIRECT(ADDRESS(ROW(),COLUMN()-1,4)),UNSPSCCode,0)),IF(INDIRECT(ADDRESS(ROW(),COLUMN()-1,4))="46181704","Cascos de seguridad",""))</f>
        <v>Cascos de seguridad</v>
      </c>
      <c r="C1886" s="72" t="str">
        <f>IFERROR(VLOOKUP("UD",'Informacion '!P:Q,2,FALSE),"")</f>
        <v>Unidad</v>
      </c>
      <c r="D1886" s="39">
        <v>5</v>
      </c>
      <c r="E1886" s="42">
        <v>1770</v>
      </c>
      <c r="F1886" s="41">
        <f ca="1">INDIRECT(ADDRESS(ROW(),COLUMN()-2,4))*INDIRECT(ADDRESS(ROW(),COLUMN()-1,4))</f>
        <v>8850</v>
      </c>
    </row>
    <row r="1887" spans="1:10" ht="14.25" customHeight="1" x14ac:dyDescent="0.35">
      <c r="E1887" s="44" t="s">
        <v>13122</v>
      </c>
      <c r="F1887" s="45">
        <f ca="1">SUM(Table101[MONTO TOTAL ESTIMADO])</f>
        <v>93997.04</v>
      </c>
      <c r="H1887" s="24" t="str">
        <f>C1876</f>
        <v>Bienes</v>
      </c>
      <c r="I1887" s="24" t="str">
        <f>E1876</f>
        <v>Sí</v>
      </c>
      <c r="J1887" s="24" t="str">
        <f>D1876</f>
        <v>Compras por debajo del Umbral</v>
      </c>
    </row>
    <row r="1889" spans="1:10" ht="34" customHeight="1" x14ac:dyDescent="0.35">
      <c r="A1889" s="36" t="s">
        <v>17105</v>
      </c>
      <c r="B1889" s="36" t="s">
        <v>167</v>
      </c>
      <c r="C1889" s="36" t="s">
        <v>12252</v>
      </c>
      <c r="D1889" s="36" t="s">
        <v>15021</v>
      </c>
      <c r="E1889" s="36" t="s">
        <v>11455</v>
      </c>
      <c r="F1889" s="36" t="s">
        <v>11595</v>
      </c>
    </row>
    <row r="1890" spans="1:10" ht="14.25" customHeight="1" x14ac:dyDescent="0.35">
      <c r="A1890" s="37" t="s">
        <v>5045</v>
      </c>
      <c r="B1890" s="37" t="s">
        <v>5045</v>
      </c>
      <c r="C1890" s="37" t="s">
        <v>18585</v>
      </c>
      <c r="D1890" s="37" t="s">
        <v>10634</v>
      </c>
      <c r="E1890" s="37" t="s">
        <v>9261</v>
      </c>
      <c r="F1890" s="37" t="s">
        <v>7088</v>
      </c>
    </row>
    <row r="1891" spans="1:10" ht="14.25" customHeight="1" x14ac:dyDescent="0.35">
      <c r="A1891" s="75" t="s">
        <v>15490</v>
      </c>
      <c r="B1891" s="38" t="s">
        <v>8918</v>
      </c>
      <c r="C1891" s="68">
        <v>45383</v>
      </c>
      <c r="D1891" s="75" t="s">
        <v>9819</v>
      </c>
      <c r="E1891" s="70" t="s">
        <v>13683</v>
      </c>
      <c r="F1891" s="71" t="s">
        <v>3205</v>
      </c>
    </row>
    <row r="1892" spans="1:10" ht="14.25" customHeight="1" x14ac:dyDescent="0.35">
      <c r="A1892" s="76"/>
      <c r="B1892" s="38" t="s">
        <v>1858</v>
      </c>
      <c r="C1892" s="69">
        <f>IF(C1891="","",IF(AND(MONTH(C1891)&gt;=1,MONTH(C1891)&lt;=3),1,IF(AND(MONTH(C1891)&gt;=4,MONTH(C1891)&lt;=6),2,IF(AND(MONTH(C1891)&gt;=7,MONTH(C1891)&lt;=9),3,4))))</f>
        <v>2</v>
      </c>
      <c r="D1892" s="76"/>
      <c r="E1892" s="70" t="s">
        <v>2509</v>
      </c>
      <c r="F1892" s="71" t="s">
        <v>11612</v>
      </c>
    </row>
    <row r="1893" spans="1:10" ht="14.25" customHeight="1" x14ac:dyDescent="0.35">
      <c r="A1893" s="76"/>
      <c r="B1893" s="38" t="s">
        <v>13526</v>
      </c>
      <c r="C1893" s="68">
        <v>45471</v>
      </c>
      <c r="D1893" s="76"/>
      <c r="E1893" s="70" t="s">
        <v>3198</v>
      </c>
      <c r="F1893" s="71" t="s">
        <v>11612</v>
      </c>
    </row>
    <row r="1894" spans="1:10" ht="14.25" customHeight="1" x14ac:dyDescent="0.35">
      <c r="A1894" s="76"/>
      <c r="B1894" s="38" t="s">
        <v>1858</v>
      </c>
      <c r="C1894" s="69">
        <f>IF(C1893="","",IF(AND(MONTH(C1893)&gt;=1,MONTH(C1893)&lt;=3),1,IF(AND(MONTH(C1893)&gt;=4,MONTH(C1893)&lt;=6),2,IF(AND(MONTH(C1893)&gt;=7,MONTH(C1893)&lt;=9),3,4))))</f>
        <v>2</v>
      </c>
      <c r="D1894" s="76"/>
      <c r="E1894" s="70" t="s">
        <v>13785</v>
      </c>
      <c r="F1894" s="71"/>
    </row>
    <row r="1896" spans="1:10" ht="14.25" customHeight="1" x14ac:dyDescent="0.35">
      <c r="A1896" s="43" t="s">
        <v>16424</v>
      </c>
      <c r="B1896" s="43" t="s">
        <v>16856</v>
      </c>
      <c r="C1896" s="43" t="s">
        <v>16326</v>
      </c>
      <c r="D1896" s="43" t="s">
        <v>15925</v>
      </c>
      <c r="E1896" s="43" t="s">
        <v>7248</v>
      </c>
      <c r="F1896" s="43" t="s">
        <v>15955</v>
      </c>
    </row>
    <row r="1897" spans="1:10" ht="14.25" customHeight="1" x14ac:dyDescent="0.35">
      <c r="A1897" s="39" t="s">
        <v>11077</v>
      </c>
      <c r="B1897" s="40" t="str">
        <f ca="1">IFERROR(INDEX(UNSPSCDes,MATCH(INDIRECT(ADDRESS(ROW(),COLUMN()-1,4)),UNSPSCCode,0)),IF(INDIRECT(ADDRESS(ROW(),COLUMN()-1,4))="31171804","Poleas",""))</f>
        <v>Poleas</v>
      </c>
      <c r="C1897" s="72" t="str">
        <f>IFERROR(VLOOKUP("UD",'Informacion '!P:Q,2,FALSE),"")</f>
        <v>Unidad</v>
      </c>
      <c r="D1897" s="39">
        <v>1</v>
      </c>
      <c r="E1897" s="42">
        <v>1892</v>
      </c>
      <c r="F1897" s="41">
        <f ca="1">INDIRECT(ADDRESS(ROW(),COLUMN()-2,4))*INDIRECT(ADDRESS(ROW(),COLUMN()-1,4))</f>
        <v>1892</v>
      </c>
    </row>
    <row r="1898" spans="1:10" ht="14.25" customHeight="1" x14ac:dyDescent="0.35">
      <c r="E1898" s="44" t="s">
        <v>13122</v>
      </c>
      <c r="F1898" s="45">
        <f ca="1">SUM(Table102[MONTO TOTAL ESTIMADO])</f>
        <v>1892</v>
      </c>
      <c r="H1898" s="24" t="str">
        <f>C1890</f>
        <v>Bienes</v>
      </c>
      <c r="I1898" s="24" t="str">
        <f>E1890</f>
        <v>Sí</v>
      </c>
      <c r="J1898" s="24" t="str">
        <f>D1890</f>
        <v>Compras por debajo del Umbral</v>
      </c>
    </row>
    <row r="1900" spans="1:10" ht="34" customHeight="1" x14ac:dyDescent="0.35">
      <c r="A1900" s="36" t="s">
        <v>17105</v>
      </c>
      <c r="B1900" s="36" t="s">
        <v>167</v>
      </c>
      <c r="C1900" s="36" t="s">
        <v>12252</v>
      </c>
      <c r="D1900" s="36" t="s">
        <v>15021</v>
      </c>
      <c r="E1900" s="36" t="s">
        <v>11455</v>
      </c>
      <c r="F1900" s="36" t="s">
        <v>11595</v>
      </c>
    </row>
    <row r="1901" spans="1:10" ht="14.25" customHeight="1" x14ac:dyDescent="0.35">
      <c r="A1901" s="37" t="s">
        <v>4039</v>
      </c>
      <c r="B1901" s="37" t="s">
        <v>4039</v>
      </c>
      <c r="C1901" s="37" t="s">
        <v>18585</v>
      </c>
      <c r="D1901" s="37" t="s">
        <v>10634</v>
      </c>
      <c r="E1901" s="37" t="s">
        <v>9261</v>
      </c>
      <c r="F1901" s="37" t="s">
        <v>7088</v>
      </c>
    </row>
    <row r="1902" spans="1:10" ht="14.25" customHeight="1" x14ac:dyDescent="0.35">
      <c r="A1902" s="75" t="s">
        <v>15490</v>
      </c>
      <c r="B1902" s="38" t="s">
        <v>8918</v>
      </c>
      <c r="C1902" s="68">
        <v>45334</v>
      </c>
      <c r="D1902" s="75" t="s">
        <v>9819</v>
      </c>
      <c r="E1902" s="70" t="s">
        <v>13683</v>
      </c>
      <c r="F1902" s="71" t="s">
        <v>3205</v>
      </c>
    </row>
    <row r="1903" spans="1:10" ht="14.25" customHeight="1" x14ac:dyDescent="0.35">
      <c r="A1903" s="76"/>
      <c r="B1903" s="38" t="s">
        <v>1858</v>
      </c>
      <c r="C1903" s="69">
        <f>IF(C1902="","",IF(AND(MONTH(C1902)&gt;=1,MONTH(C1902)&lt;=3),1,IF(AND(MONTH(C1902)&gt;=4,MONTH(C1902)&lt;=6),2,IF(AND(MONTH(C1902)&gt;=7,MONTH(C1902)&lt;=9),3,4))))</f>
        <v>1</v>
      </c>
      <c r="D1903" s="76"/>
      <c r="E1903" s="70" t="s">
        <v>2509</v>
      </c>
      <c r="F1903" s="71" t="s">
        <v>11612</v>
      </c>
    </row>
    <row r="1904" spans="1:10" ht="14.25" customHeight="1" x14ac:dyDescent="0.35">
      <c r="A1904" s="76"/>
      <c r="B1904" s="38" t="s">
        <v>13526</v>
      </c>
      <c r="C1904" s="68">
        <v>45378</v>
      </c>
      <c r="D1904" s="76"/>
      <c r="E1904" s="70" t="s">
        <v>3198</v>
      </c>
      <c r="F1904" s="71" t="s">
        <v>11612</v>
      </c>
    </row>
    <row r="1905" spans="1:10" ht="14.25" customHeight="1" x14ac:dyDescent="0.35">
      <c r="A1905" s="76"/>
      <c r="B1905" s="38" t="s">
        <v>1858</v>
      </c>
      <c r="C1905" s="69">
        <f>IF(C1904="","",IF(AND(MONTH(C1904)&gt;=1,MONTH(C1904)&lt;=3),1,IF(AND(MONTH(C1904)&gt;=4,MONTH(C1904)&lt;=6),2,IF(AND(MONTH(C1904)&gt;=7,MONTH(C1904)&lt;=9),3,4))))</f>
        <v>1</v>
      </c>
      <c r="D1905" s="76"/>
      <c r="E1905" s="70" t="s">
        <v>13785</v>
      </c>
      <c r="F1905" s="71"/>
    </row>
    <row r="1907" spans="1:10" ht="14.25" customHeight="1" x14ac:dyDescent="0.35">
      <c r="A1907" s="43" t="s">
        <v>16424</v>
      </c>
      <c r="B1907" s="43" t="s">
        <v>16856</v>
      </c>
      <c r="C1907" s="43" t="s">
        <v>16326</v>
      </c>
      <c r="D1907" s="43" t="s">
        <v>15925</v>
      </c>
      <c r="E1907" s="43" t="s">
        <v>7248</v>
      </c>
      <c r="F1907" s="43" t="s">
        <v>15955</v>
      </c>
    </row>
    <row r="1908" spans="1:10" ht="14.25" customHeight="1" x14ac:dyDescent="0.35">
      <c r="A1908" s="39" t="s">
        <v>10743</v>
      </c>
      <c r="B1908" s="40" t="str">
        <f ca="1">IFERROR(INDEX(UNSPSCDes,MATCH(INDIRECT(ADDRESS(ROW(),COLUMN()-1,4)),UNSPSCCode,0)),IF(INDIRECT(ADDRESS(ROW(),COLUMN()-1,4))="31181506","Juntas teóricas",""))</f>
        <v>Juntas teóricas</v>
      </c>
      <c r="C1908" s="72" t="str">
        <f>IFERROR(VLOOKUP("UD",'Informacion '!P:Q,2,FALSE),"")</f>
        <v>Unidad</v>
      </c>
      <c r="D1908" s="39">
        <v>24</v>
      </c>
      <c r="E1908" s="42">
        <v>206.5</v>
      </c>
      <c r="F1908" s="41">
        <f ca="1">INDIRECT(ADDRESS(ROW(),COLUMN()-2,4))*INDIRECT(ADDRESS(ROW(),COLUMN()-1,4))</f>
        <v>4956</v>
      </c>
    </row>
    <row r="1909" spans="1:10" ht="14.25" customHeight="1" x14ac:dyDescent="0.35">
      <c r="A1909" s="39" t="s">
        <v>9597</v>
      </c>
      <c r="B1909" s="40" t="str">
        <f ca="1">IFERROR(INDEX(UNSPSCDes,MATCH(INDIRECT(ADDRESS(ROW(),COLUMN()-1,4)),UNSPSCCode,0)),IF(INDIRECT(ADDRESS(ROW(),COLUMN()-1,4))="31181510","Juntas de silicona",""))</f>
        <v>Juntas de silicona</v>
      </c>
      <c r="C1909" s="72" t="str">
        <f>IFERROR(VLOOKUP("UD",'Informacion '!P:Q,2,FALSE),"")</f>
        <v>Unidad</v>
      </c>
      <c r="D1909" s="39">
        <v>30</v>
      </c>
      <c r="E1909" s="42">
        <v>130</v>
      </c>
      <c r="F1909" s="41">
        <f ca="1">INDIRECT(ADDRESS(ROW(),COLUMN()-2,4))*INDIRECT(ADDRESS(ROW(),COLUMN()-1,4))</f>
        <v>3900</v>
      </c>
    </row>
    <row r="1910" spans="1:10" ht="14.25" customHeight="1" x14ac:dyDescent="0.35">
      <c r="A1910" s="39" t="s">
        <v>9597</v>
      </c>
      <c r="B1910" s="40" t="str">
        <f ca="1">IFERROR(INDEX(UNSPSCDes,MATCH(INDIRECT(ADDRESS(ROW(),COLUMN()-1,4)),UNSPSCCode,0)),IF(INDIRECT(ADDRESS(ROW(),COLUMN()-1,4))="31181510","Juntas de silicona",""))</f>
        <v>Juntas de silicona</v>
      </c>
      <c r="C1910" s="72" t="str">
        <f>IFERROR(VLOOKUP("UD",'Informacion '!P:Q,2,FALSE),"")</f>
        <v>Unidad</v>
      </c>
      <c r="D1910" s="39">
        <v>30</v>
      </c>
      <c r="E1910" s="42">
        <v>94.38</v>
      </c>
      <c r="F1910" s="41">
        <f ca="1">INDIRECT(ADDRESS(ROW(),COLUMN()-2,4))*INDIRECT(ADDRESS(ROW(),COLUMN()-1,4))</f>
        <v>2831.3999999999996</v>
      </c>
    </row>
    <row r="1911" spans="1:10" ht="14.25" customHeight="1" x14ac:dyDescent="0.35">
      <c r="A1911" s="39" t="s">
        <v>9597</v>
      </c>
      <c r="B1911" s="40" t="str">
        <f ca="1">IFERROR(INDEX(UNSPSCDes,MATCH(INDIRECT(ADDRESS(ROW(),COLUMN()-1,4)),UNSPSCCode,0)),IF(INDIRECT(ADDRESS(ROW(),COLUMN()-1,4))="31181510","Juntas de silicona",""))</f>
        <v>Juntas de silicona</v>
      </c>
      <c r="C1911" s="72" t="str">
        <f>IFERROR(VLOOKUP("UD",'Informacion '!P:Q,2,FALSE),"")</f>
        <v>Unidad</v>
      </c>
      <c r="D1911" s="39">
        <v>20</v>
      </c>
      <c r="E1911" s="42">
        <v>206.5</v>
      </c>
      <c r="F1911" s="41">
        <f ca="1">INDIRECT(ADDRESS(ROW(),COLUMN()-2,4))*INDIRECT(ADDRESS(ROW(),COLUMN()-1,4))</f>
        <v>4130</v>
      </c>
    </row>
    <row r="1912" spans="1:10" ht="14.25" customHeight="1" x14ac:dyDescent="0.35">
      <c r="E1912" s="44" t="s">
        <v>13122</v>
      </c>
      <c r="F1912" s="45">
        <f ca="1">SUM(Table103[MONTO TOTAL ESTIMADO])</f>
        <v>15817.4</v>
      </c>
      <c r="H1912" s="24" t="str">
        <f>C1901</f>
        <v>Bienes</v>
      </c>
      <c r="I1912" s="24" t="str">
        <f>E1901</f>
        <v>Sí</v>
      </c>
      <c r="J1912" s="24" t="str">
        <f>D1901</f>
        <v>Compras por debajo del Umbral</v>
      </c>
    </row>
    <row r="1914" spans="1:10" ht="34" customHeight="1" x14ac:dyDescent="0.35">
      <c r="A1914" s="36" t="s">
        <v>17105</v>
      </c>
      <c r="B1914" s="36" t="s">
        <v>167</v>
      </c>
      <c r="C1914" s="36" t="s">
        <v>12252</v>
      </c>
      <c r="D1914" s="36" t="s">
        <v>15021</v>
      </c>
      <c r="E1914" s="36" t="s">
        <v>11455</v>
      </c>
      <c r="F1914" s="36" t="s">
        <v>11595</v>
      </c>
    </row>
    <row r="1915" spans="1:10" ht="14.25" customHeight="1" x14ac:dyDescent="0.35">
      <c r="A1915" s="37" t="s">
        <v>14007</v>
      </c>
      <c r="B1915" s="37" t="s">
        <v>14007</v>
      </c>
      <c r="C1915" s="37" t="s">
        <v>18585</v>
      </c>
      <c r="D1915" s="37" t="s">
        <v>10634</v>
      </c>
      <c r="E1915" s="37" t="s">
        <v>9261</v>
      </c>
      <c r="F1915" s="37" t="s">
        <v>7088</v>
      </c>
    </row>
    <row r="1916" spans="1:10" ht="14.25" customHeight="1" x14ac:dyDescent="0.35">
      <c r="A1916" s="75" t="s">
        <v>15490</v>
      </c>
      <c r="B1916" s="38" t="s">
        <v>8918</v>
      </c>
      <c r="C1916" s="68">
        <v>45334</v>
      </c>
      <c r="D1916" s="75" t="s">
        <v>9819</v>
      </c>
      <c r="E1916" s="70" t="s">
        <v>13683</v>
      </c>
      <c r="F1916" s="71" t="s">
        <v>3205</v>
      </c>
    </row>
    <row r="1917" spans="1:10" ht="14.25" customHeight="1" x14ac:dyDescent="0.35">
      <c r="A1917" s="76"/>
      <c r="B1917" s="38" t="s">
        <v>1858</v>
      </c>
      <c r="C1917" s="69">
        <f>IF(C1916="","",IF(AND(MONTH(C1916)&gt;=1,MONTH(C1916)&lt;=3),1,IF(AND(MONTH(C1916)&gt;=4,MONTH(C1916)&lt;=6),2,IF(AND(MONTH(C1916)&gt;=7,MONTH(C1916)&lt;=9),3,4))))</f>
        <v>1</v>
      </c>
      <c r="D1917" s="76"/>
      <c r="E1917" s="70" t="s">
        <v>2509</v>
      </c>
      <c r="F1917" s="71" t="s">
        <v>11612</v>
      </c>
    </row>
    <row r="1918" spans="1:10" ht="14.25" customHeight="1" x14ac:dyDescent="0.35">
      <c r="A1918" s="76"/>
      <c r="B1918" s="38" t="s">
        <v>13526</v>
      </c>
      <c r="C1918" s="68">
        <v>45378</v>
      </c>
      <c r="D1918" s="76"/>
      <c r="E1918" s="70" t="s">
        <v>3198</v>
      </c>
      <c r="F1918" s="71" t="s">
        <v>11612</v>
      </c>
    </row>
    <row r="1919" spans="1:10" ht="14.25" customHeight="1" x14ac:dyDescent="0.35">
      <c r="A1919" s="76"/>
      <c r="B1919" s="38" t="s">
        <v>1858</v>
      </c>
      <c r="C1919" s="69">
        <f>IF(C1918="","",IF(AND(MONTH(C1918)&gt;=1,MONTH(C1918)&lt;=3),1,IF(AND(MONTH(C1918)&gt;=4,MONTH(C1918)&lt;=6),2,IF(AND(MONTH(C1918)&gt;=7,MONTH(C1918)&lt;=9),3,4))))</f>
        <v>1</v>
      </c>
      <c r="D1919" s="76"/>
      <c r="E1919" s="70" t="s">
        <v>13785</v>
      </c>
      <c r="F1919" s="71"/>
    </row>
    <row r="1921" spans="1:10" ht="14.25" customHeight="1" x14ac:dyDescent="0.35">
      <c r="A1921" s="43" t="s">
        <v>16424</v>
      </c>
      <c r="B1921" s="43" t="s">
        <v>16856</v>
      </c>
      <c r="C1921" s="43" t="s">
        <v>16326</v>
      </c>
      <c r="D1921" s="43" t="s">
        <v>15925</v>
      </c>
      <c r="E1921" s="43" t="s">
        <v>7248</v>
      </c>
      <c r="F1921" s="43" t="s">
        <v>15955</v>
      </c>
    </row>
    <row r="1922" spans="1:10" ht="14.25" customHeight="1" x14ac:dyDescent="0.35">
      <c r="A1922" s="39" t="s">
        <v>5062</v>
      </c>
      <c r="B1922" s="40" t="str">
        <f ca="1">IFERROR(INDEX(UNSPSCDes,MATCH(INDIRECT(ADDRESS(ROW(),COLUMN()-1,4)),UNSPSCCode,0)),IF(INDIRECT(ADDRESS(ROW(),COLUMN()-1,4))="31191507","Cintas abrasivas",""))</f>
        <v>Cintas abrasivas</v>
      </c>
      <c r="C1922" s="72" t="str">
        <f>IFERROR(VLOOKUP("UD",'Informacion '!P:Q,2,FALSE),"")</f>
        <v>Unidad</v>
      </c>
      <c r="D1922" s="39">
        <v>30</v>
      </c>
      <c r="E1922" s="42">
        <v>63.63</v>
      </c>
      <c r="F1922" s="41">
        <f ca="1">INDIRECT(ADDRESS(ROW(),COLUMN()-2,4))*INDIRECT(ADDRESS(ROW(),COLUMN()-1,4))</f>
        <v>1908.9</v>
      </c>
    </row>
    <row r="1923" spans="1:10" ht="14.25" customHeight="1" x14ac:dyDescent="0.35">
      <c r="E1923" s="44" t="s">
        <v>13122</v>
      </c>
      <c r="F1923" s="45">
        <f ca="1">SUM(Table104[MONTO TOTAL ESTIMADO])</f>
        <v>1908.9</v>
      </c>
      <c r="H1923" s="24" t="str">
        <f>C1915</f>
        <v>Bienes</v>
      </c>
      <c r="I1923" s="24" t="str">
        <f>E1915</f>
        <v>Sí</v>
      </c>
      <c r="J1923" s="24" t="str">
        <f>D1915</f>
        <v>Compras por debajo del Umbral</v>
      </c>
    </row>
    <row r="1925" spans="1:10" ht="34" customHeight="1" x14ac:dyDescent="0.35">
      <c r="A1925" s="36" t="s">
        <v>17105</v>
      </c>
      <c r="B1925" s="36" t="s">
        <v>167</v>
      </c>
      <c r="C1925" s="36" t="s">
        <v>12252</v>
      </c>
      <c r="D1925" s="36" t="s">
        <v>15021</v>
      </c>
      <c r="E1925" s="36" t="s">
        <v>11455</v>
      </c>
      <c r="F1925" s="36" t="s">
        <v>11595</v>
      </c>
    </row>
    <row r="1926" spans="1:10" ht="14.25" customHeight="1" x14ac:dyDescent="0.35">
      <c r="A1926" s="37" t="s">
        <v>5399</v>
      </c>
      <c r="B1926" s="37" t="s">
        <v>5399</v>
      </c>
      <c r="C1926" s="37" t="s">
        <v>18585</v>
      </c>
      <c r="D1926" s="37" t="s">
        <v>10634</v>
      </c>
      <c r="E1926" s="37" t="s">
        <v>9261</v>
      </c>
      <c r="F1926" s="37" t="s">
        <v>7088</v>
      </c>
    </row>
    <row r="1927" spans="1:10" ht="14.25" customHeight="1" x14ac:dyDescent="0.35">
      <c r="A1927" s="75" t="s">
        <v>15490</v>
      </c>
      <c r="B1927" s="38" t="s">
        <v>8918</v>
      </c>
      <c r="C1927" s="68">
        <v>45334</v>
      </c>
      <c r="D1927" s="75" t="s">
        <v>9819</v>
      </c>
      <c r="E1927" s="70" t="s">
        <v>13683</v>
      </c>
      <c r="F1927" s="71" t="s">
        <v>3205</v>
      </c>
    </row>
    <row r="1928" spans="1:10" ht="14.25" customHeight="1" x14ac:dyDescent="0.35">
      <c r="A1928" s="76"/>
      <c r="B1928" s="38" t="s">
        <v>1858</v>
      </c>
      <c r="C1928" s="69">
        <f>IF(C1927="","",IF(AND(MONTH(C1927)&gt;=1,MONTH(C1927)&lt;=3),1,IF(AND(MONTH(C1927)&gt;=4,MONTH(C1927)&lt;=6),2,IF(AND(MONTH(C1927)&gt;=7,MONTH(C1927)&lt;=9),3,4))))</f>
        <v>1</v>
      </c>
      <c r="D1928" s="76"/>
      <c r="E1928" s="70" t="s">
        <v>2509</v>
      </c>
      <c r="F1928" s="71" t="s">
        <v>11612</v>
      </c>
    </row>
    <row r="1929" spans="1:10" ht="14.25" customHeight="1" x14ac:dyDescent="0.35">
      <c r="A1929" s="76"/>
      <c r="B1929" s="38" t="s">
        <v>13526</v>
      </c>
      <c r="C1929" s="68">
        <v>45378</v>
      </c>
      <c r="D1929" s="76"/>
      <c r="E1929" s="70" t="s">
        <v>3198</v>
      </c>
      <c r="F1929" s="71" t="s">
        <v>11612</v>
      </c>
    </row>
    <row r="1930" spans="1:10" ht="14.25" customHeight="1" x14ac:dyDescent="0.35">
      <c r="A1930" s="76"/>
      <c r="B1930" s="38" t="s">
        <v>1858</v>
      </c>
      <c r="C1930" s="69">
        <f>IF(C1929="","",IF(AND(MONTH(C1929)&gt;=1,MONTH(C1929)&lt;=3),1,IF(AND(MONTH(C1929)&gt;=4,MONTH(C1929)&lt;=6),2,IF(AND(MONTH(C1929)&gt;=7,MONTH(C1929)&lt;=9),3,4))))</f>
        <v>1</v>
      </c>
      <c r="D1930" s="76"/>
      <c r="E1930" s="70" t="s">
        <v>13785</v>
      </c>
      <c r="F1930" s="71"/>
    </row>
    <row r="1932" spans="1:10" ht="14.25" customHeight="1" x14ac:dyDescent="0.35">
      <c r="A1932" s="43" t="s">
        <v>16424</v>
      </c>
      <c r="B1932" s="43" t="s">
        <v>16856</v>
      </c>
      <c r="C1932" s="43" t="s">
        <v>16326</v>
      </c>
      <c r="D1932" s="43" t="s">
        <v>15925</v>
      </c>
      <c r="E1932" s="43" t="s">
        <v>7248</v>
      </c>
      <c r="F1932" s="43" t="s">
        <v>15955</v>
      </c>
    </row>
    <row r="1933" spans="1:10" ht="14.25" customHeight="1" x14ac:dyDescent="0.35">
      <c r="A1933" s="39" t="s">
        <v>7027</v>
      </c>
      <c r="B1933" s="40" t="str">
        <f ca="1">IFERROR(INDEX(UNSPSCDes,MATCH(INDIRECT(ADDRESS(ROW(),COLUMN()-1,4)),UNSPSCCode,0)),IF(INDIRECT(ADDRESS(ROW(),COLUMN()-1,4))="31201512","Cinta transparente",""))</f>
        <v>Cinta transparente</v>
      </c>
      <c r="C1933" s="72" t="str">
        <f>IFERROR(VLOOKUP("UD",'Informacion '!P:Q,2,FALSE),"")</f>
        <v>Unidad</v>
      </c>
      <c r="D1933" s="39">
        <v>40</v>
      </c>
      <c r="E1933" s="42">
        <v>130</v>
      </c>
      <c r="F1933" s="41">
        <f t="shared" ref="F1933:F1952" ca="1" si="71">INDIRECT(ADDRESS(ROW(),COLUMN()-2,4))*INDIRECT(ADDRESS(ROW(),COLUMN()-1,4))</f>
        <v>5200</v>
      </c>
    </row>
    <row r="1934" spans="1:10" ht="14.25" customHeight="1" x14ac:dyDescent="0.35">
      <c r="A1934" s="39" t="s">
        <v>7027</v>
      </c>
      <c r="B1934" s="40" t="str">
        <f ca="1">IFERROR(INDEX(UNSPSCDes,MATCH(INDIRECT(ADDRESS(ROW(),COLUMN()-1,4)),UNSPSCCode,0)),IF(INDIRECT(ADDRESS(ROW(),COLUMN()-1,4))="31201512","Cinta transparente",""))</f>
        <v>Cinta transparente</v>
      </c>
      <c r="C1934" s="72" t="str">
        <f>IFERROR(VLOOKUP("UD",'Informacion '!P:Q,2,FALSE),"")</f>
        <v>Unidad</v>
      </c>
      <c r="D1934" s="39">
        <v>37</v>
      </c>
      <c r="E1934" s="42">
        <v>11.78</v>
      </c>
      <c r="F1934" s="41">
        <f t="shared" ca="1" si="71"/>
        <v>435.85999999999996</v>
      </c>
    </row>
    <row r="1935" spans="1:10" ht="14.25" customHeight="1" x14ac:dyDescent="0.35">
      <c r="A1935" s="39" t="s">
        <v>7027</v>
      </c>
      <c r="B1935" s="40" t="str">
        <f ca="1">IFERROR(INDEX(UNSPSCDes,MATCH(INDIRECT(ADDRESS(ROW(),COLUMN()-1,4)),UNSPSCCode,0)),IF(INDIRECT(ADDRESS(ROW(),COLUMN()-1,4))="31201512","Cinta transparente",""))</f>
        <v>Cinta transparente</v>
      </c>
      <c r="C1935" s="72" t="str">
        <f>IFERROR(VLOOKUP("UD",'Informacion '!P:Q,2,FALSE),"")</f>
        <v>Unidad</v>
      </c>
      <c r="D1935" s="39">
        <v>75</v>
      </c>
      <c r="E1935" s="42">
        <v>100.29</v>
      </c>
      <c r="F1935" s="41">
        <f t="shared" ca="1" si="71"/>
        <v>7521.7500000000009</v>
      </c>
    </row>
    <row r="1936" spans="1:10" ht="14.25" customHeight="1" x14ac:dyDescent="0.35">
      <c r="A1936" s="39" t="s">
        <v>7027</v>
      </c>
      <c r="B1936" s="40" t="str">
        <f ca="1">IFERROR(INDEX(UNSPSCDes,MATCH(INDIRECT(ADDRESS(ROW(),COLUMN()-1,4)),UNSPSCCode,0)),IF(INDIRECT(ADDRESS(ROW(),COLUMN()-1,4))="31201512","Cinta transparente",""))</f>
        <v>Cinta transparente</v>
      </c>
      <c r="C1936" s="72" t="str">
        <f>IFERROR(VLOOKUP("UD",'Informacion '!P:Q,2,FALSE),"")</f>
        <v>Unidad</v>
      </c>
      <c r="D1936" s="39">
        <v>50</v>
      </c>
      <c r="E1936" s="42">
        <v>56.58</v>
      </c>
      <c r="F1936" s="41">
        <f t="shared" ca="1" si="71"/>
        <v>2829</v>
      </c>
    </row>
    <row r="1937" spans="1:6" ht="14.25" customHeight="1" x14ac:dyDescent="0.35">
      <c r="A1937" s="39" t="s">
        <v>7027</v>
      </c>
      <c r="B1937" s="40" t="str">
        <f ca="1">IFERROR(INDEX(UNSPSCDes,MATCH(INDIRECT(ADDRESS(ROW(),COLUMN()-1,4)),UNSPSCCode,0)),IF(INDIRECT(ADDRESS(ROW(),COLUMN()-1,4))="31201512","Cinta transparente",""))</f>
        <v>Cinta transparente</v>
      </c>
      <c r="C1937" s="72" t="str">
        <f>IFERROR(VLOOKUP("CAJ",'Informacion '!P:Q,2,FALSE),"")</f>
        <v>Caja</v>
      </c>
      <c r="D1937" s="39">
        <v>3</v>
      </c>
      <c r="E1937" s="42">
        <v>177</v>
      </c>
      <c r="F1937" s="41">
        <f t="shared" ca="1" si="71"/>
        <v>531</v>
      </c>
    </row>
    <row r="1938" spans="1:6" ht="14.25" customHeight="1" x14ac:dyDescent="0.35">
      <c r="A1938" s="39" t="s">
        <v>3899</v>
      </c>
      <c r="B1938" s="40" t="str">
        <f ca="1">IFERROR(INDEX(UNSPSCDes,MATCH(INDIRECT(ADDRESS(ROW(),COLUMN()-1,4)),UNSPSCCode,0)),IF(INDIRECT(ADDRESS(ROW(),COLUMN()-1,4))="31201521","Cinta metálica",""))</f>
        <v>Cinta metálica</v>
      </c>
      <c r="C1938" s="72" t="str">
        <f>IFERROR(VLOOKUP("UD",'Informacion '!P:Q,2,FALSE),"")</f>
        <v>Unidad</v>
      </c>
      <c r="D1938" s="39">
        <v>10</v>
      </c>
      <c r="E1938" s="42">
        <v>7245</v>
      </c>
      <c r="F1938" s="41">
        <f t="shared" ca="1" si="71"/>
        <v>72450</v>
      </c>
    </row>
    <row r="1939" spans="1:6" ht="14.25" customHeight="1" x14ac:dyDescent="0.35">
      <c r="A1939" s="39" t="s">
        <v>3899</v>
      </c>
      <c r="B1939" s="40" t="str">
        <f ca="1">IFERROR(INDEX(UNSPSCDes,MATCH(INDIRECT(ADDRESS(ROW(),COLUMN()-1,4)),UNSPSCCode,0)),IF(INDIRECT(ADDRESS(ROW(),COLUMN()-1,4))="31201521","Cinta metálica",""))</f>
        <v>Cinta metálica</v>
      </c>
      <c r="C1939" s="72" t="str">
        <f>IFERROR(VLOOKUP("UD",'Informacion '!P:Q,2,FALSE),"")</f>
        <v>Unidad</v>
      </c>
      <c r="D1939" s="39">
        <v>15</v>
      </c>
      <c r="E1939" s="42">
        <v>1085</v>
      </c>
      <c r="F1939" s="41">
        <f t="shared" ca="1" si="71"/>
        <v>16275</v>
      </c>
    </row>
    <row r="1940" spans="1:6" ht="14.25" customHeight="1" x14ac:dyDescent="0.35">
      <c r="A1940" s="39" t="s">
        <v>3899</v>
      </c>
      <c r="B1940" s="40" t="str">
        <f ca="1">IFERROR(INDEX(UNSPSCDes,MATCH(INDIRECT(ADDRESS(ROW(),COLUMN()-1,4)),UNSPSCCode,0)),IF(INDIRECT(ADDRESS(ROW(),COLUMN()-1,4))="31201521","Cinta metálica",""))</f>
        <v>Cinta metálica</v>
      </c>
      <c r="C1940" s="72" t="str">
        <f>IFERROR(VLOOKUP("UD",'Informacion '!P:Q,2,FALSE),"")</f>
        <v>Unidad</v>
      </c>
      <c r="D1940" s="39">
        <v>20</v>
      </c>
      <c r="E1940" s="42">
        <v>51.6</v>
      </c>
      <c r="F1940" s="41">
        <f t="shared" ca="1" si="71"/>
        <v>1032</v>
      </c>
    </row>
    <row r="1941" spans="1:6" ht="14.25" customHeight="1" x14ac:dyDescent="0.35">
      <c r="A1941" s="39" t="s">
        <v>3899</v>
      </c>
      <c r="B1941" s="40" t="str">
        <f ca="1">IFERROR(INDEX(UNSPSCDes,MATCH(INDIRECT(ADDRESS(ROW(),COLUMN()-1,4)),UNSPSCCode,0)),IF(INDIRECT(ADDRESS(ROW(),COLUMN()-1,4))="31201521","Cinta metálica",""))</f>
        <v>Cinta metálica</v>
      </c>
      <c r="C1941" s="72" t="str">
        <f>IFERROR(VLOOKUP("UD",'Informacion '!P:Q,2,FALSE),"")</f>
        <v>Unidad</v>
      </c>
      <c r="D1941" s="39">
        <v>24</v>
      </c>
      <c r="E1941" s="42">
        <v>130</v>
      </c>
      <c r="F1941" s="41">
        <f t="shared" ca="1" si="71"/>
        <v>3120</v>
      </c>
    </row>
    <row r="1942" spans="1:6" ht="14.25" customHeight="1" x14ac:dyDescent="0.35">
      <c r="A1942" s="39" t="s">
        <v>7553</v>
      </c>
      <c r="B1942" s="40" t="str">
        <f ca="1">IFERROR(INDEX(UNSPSCDes,MATCH(INDIRECT(ADDRESS(ROW(),COLUMN()-1,4)),UNSPSCCode,0)),IF(INDIRECT(ADDRESS(ROW(),COLUMN()-1,4))="31201522","Cinta de transferencia adhesiva",""))</f>
        <v>Cinta de transferencia adhesiva</v>
      </c>
      <c r="C1942" s="72" t="str">
        <f>IFERROR(VLOOKUP("UD",'Informacion '!P:Q,2,FALSE),"")</f>
        <v>Unidad</v>
      </c>
      <c r="D1942" s="39">
        <v>42</v>
      </c>
      <c r="E1942" s="42">
        <v>55</v>
      </c>
      <c r="F1942" s="41">
        <f t="shared" ca="1" si="71"/>
        <v>2310</v>
      </c>
    </row>
    <row r="1943" spans="1:6" ht="14.25" customHeight="1" x14ac:dyDescent="0.35">
      <c r="A1943" s="39" t="s">
        <v>4412</v>
      </c>
      <c r="B1943" s="40" t="str">
        <f ca="1">IFERROR(INDEX(UNSPSCDes,MATCH(INDIRECT(ADDRESS(ROW(),COLUMN()-1,4)),UNSPSCCode,0)),IF(INDIRECT(ADDRESS(ROW(),COLUMN()-1,4))="31201601","Adhesivos químicos",""))</f>
        <v>Adhesivos químicos</v>
      </c>
      <c r="C1943" s="72" t="str">
        <f>IFERROR(VLOOKUP("UD",'Informacion '!P:Q,2,FALSE),"")</f>
        <v>Unidad</v>
      </c>
      <c r="D1943" s="39">
        <v>5</v>
      </c>
      <c r="E1943" s="42">
        <v>27.13</v>
      </c>
      <c r="F1943" s="41">
        <f t="shared" ca="1" si="71"/>
        <v>135.65</v>
      </c>
    </row>
    <row r="1944" spans="1:6" ht="14.25" customHeight="1" x14ac:dyDescent="0.35">
      <c r="A1944" s="39" t="s">
        <v>8688</v>
      </c>
      <c r="B1944" s="40" t="str">
        <f ca="1">IFERROR(INDEX(UNSPSCDes,MATCH(INDIRECT(ADDRESS(ROW(),COLUMN()-1,4)),UNSPSCCode,0)),IF(INDIRECT(ADDRESS(ROW(),COLUMN()-1,4))="31201603","Gomas",""))</f>
        <v>Gomas</v>
      </c>
      <c r="C1944" s="72" t="str">
        <f>IFERROR(VLOOKUP("UD",'Informacion '!P:Q,2,FALSE),"")</f>
        <v>Unidad</v>
      </c>
      <c r="D1944" s="39">
        <v>25</v>
      </c>
      <c r="E1944" s="42">
        <v>21.24</v>
      </c>
      <c r="F1944" s="41">
        <f t="shared" ca="1" si="71"/>
        <v>531</v>
      </c>
    </row>
    <row r="1945" spans="1:6" ht="14.25" customHeight="1" x14ac:dyDescent="0.35">
      <c r="A1945" s="39" t="s">
        <v>4211</v>
      </c>
      <c r="B1945" s="40" t="str">
        <f ca="1">IFERROR(INDEX(UNSPSCDes,MATCH(INDIRECT(ADDRESS(ROW(),COLUMN()-1,4)),UNSPSCCode,0)),IF(INDIRECT(ADDRESS(ROW(),COLUMN()-1,4))="31201605","Masillas",""))</f>
        <v>Masillas</v>
      </c>
      <c r="C1945" s="72" t="str">
        <f>IFERROR(VLOOKUP("UD",'Informacion '!P:Q,2,FALSE),"")</f>
        <v>Unidad</v>
      </c>
      <c r="D1945" s="39">
        <v>12</v>
      </c>
      <c r="E1945" s="42">
        <v>135.6</v>
      </c>
      <c r="F1945" s="41">
        <f t="shared" ca="1" si="71"/>
        <v>1627.1999999999998</v>
      </c>
    </row>
    <row r="1946" spans="1:6" ht="14.25" customHeight="1" x14ac:dyDescent="0.35">
      <c r="A1946" s="39" t="s">
        <v>4211</v>
      </c>
      <c r="B1946" s="40" t="str">
        <f ca="1">IFERROR(INDEX(UNSPSCDes,MATCH(INDIRECT(ADDRESS(ROW(),COLUMN()-1,4)),UNSPSCCode,0)),IF(INDIRECT(ADDRESS(ROW(),COLUMN()-1,4))="31201605","Masillas",""))</f>
        <v>Masillas</v>
      </c>
      <c r="C1946" s="72" t="str">
        <f>IFERROR(VLOOKUP("UD",'Informacion '!P:Q,2,FALSE),"")</f>
        <v>Unidad</v>
      </c>
      <c r="D1946" s="39">
        <v>10</v>
      </c>
      <c r="E1946" s="42">
        <v>678</v>
      </c>
      <c r="F1946" s="41">
        <f t="shared" ca="1" si="71"/>
        <v>6780</v>
      </c>
    </row>
    <row r="1947" spans="1:6" ht="14.25" customHeight="1" x14ac:dyDescent="0.35">
      <c r="A1947" s="39" t="s">
        <v>4211</v>
      </c>
      <c r="B1947" s="40" t="str">
        <f ca="1">IFERROR(INDEX(UNSPSCDes,MATCH(INDIRECT(ADDRESS(ROW(),COLUMN()-1,4)),UNSPSCCode,0)),IF(INDIRECT(ADDRESS(ROW(),COLUMN()-1,4))="31201605","Masillas",""))</f>
        <v>Masillas</v>
      </c>
      <c r="C1947" s="72" t="str">
        <f>IFERROR(VLOOKUP("UD",'Informacion '!P:Q,2,FALSE),"")</f>
        <v>Unidad</v>
      </c>
      <c r="D1947" s="39">
        <v>5</v>
      </c>
      <c r="E1947" s="42">
        <v>1226</v>
      </c>
      <c r="F1947" s="41">
        <f t="shared" ca="1" si="71"/>
        <v>6130</v>
      </c>
    </row>
    <row r="1948" spans="1:6" ht="14.25" customHeight="1" x14ac:dyDescent="0.35">
      <c r="A1948" s="39" t="s">
        <v>8676</v>
      </c>
      <c r="B1948" s="40" t="str">
        <f ca="1">IFERROR(INDEX(UNSPSCDes,MATCH(INDIRECT(ADDRESS(ROW(),COLUMN()-1,4)),UNSPSCCode,0)),IF(INDIRECT(ADDRESS(ROW(),COLUMN()-1,4))="31201610","Pegamentos",""))</f>
        <v>Pegamentos</v>
      </c>
      <c r="C1948" s="72" t="str">
        <f>IFERROR(VLOOKUP("GAL",'Informacion '!P:Q,2,FALSE),"")</f>
        <v>Galón</v>
      </c>
      <c r="D1948" s="39">
        <v>5</v>
      </c>
      <c r="E1948" s="42">
        <v>1180</v>
      </c>
      <c r="F1948" s="41">
        <f t="shared" ca="1" si="71"/>
        <v>5900</v>
      </c>
    </row>
    <row r="1949" spans="1:6" ht="14.25" customHeight="1" x14ac:dyDescent="0.35">
      <c r="A1949" s="39" t="s">
        <v>8676</v>
      </c>
      <c r="B1949" s="40" t="str">
        <f ca="1">IFERROR(INDEX(UNSPSCDes,MATCH(INDIRECT(ADDRESS(ROW(),COLUMN()-1,4)),UNSPSCCode,0)),IF(INDIRECT(ADDRESS(ROW(),COLUMN()-1,4))="31201610","Pegamentos",""))</f>
        <v>Pegamentos</v>
      </c>
      <c r="C1949" s="72" t="str">
        <f>IFERROR(VLOOKUP("CAJ",'Informacion '!P:Q,2,FALSE),"")</f>
        <v>Caja</v>
      </c>
      <c r="D1949" s="39">
        <v>10</v>
      </c>
      <c r="E1949" s="42">
        <v>200</v>
      </c>
      <c r="F1949" s="41">
        <f t="shared" ca="1" si="71"/>
        <v>2000</v>
      </c>
    </row>
    <row r="1950" spans="1:6" ht="14.25" customHeight="1" x14ac:dyDescent="0.35">
      <c r="A1950" s="39" t="s">
        <v>8676</v>
      </c>
      <c r="B1950" s="40" t="str">
        <f ca="1">IFERROR(INDEX(UNSPSCDes,MATCH(INDIRECT(ADDRESS(ROW(),COLUMN()-1,4)),UNSPSCCode,0)),IF(INDIRECT(ADDRESS(ROW(),COLUMN()-1,4))="31201610","Pegamentos",""))</f>
        <v>Pegamentos</v>
      </c>
      <c r="C1950" s="72" t="str">
        <f>IFERROR(VLOOKUP("UD",'Informacion '!P:Q,2,FALSE),"")</f>
        <v>Unidad</v>
      </c>
      <c r="D1950" s="39">
        <v>12</v>
      </c>
      <c r="E1950" s="42">
        <v>193.82</v>
      </c>
      <c r="F1950" s="41">
        <f t="shared" ca="1" si="71"/>
        <v>2325.84</v>
      </c>
    </row>
    <row r="1951" spans="1:6" ht="14.25" customHeight="1" x14ac:dyDescent="0.35">
      <c r="A1951" s="39" t="s">
        <v>12734</v>
      </c>
      <c r="B1951" s="40" t="str">
        <f ca="1">IFERROR(INDEX(UNSPSCDes,MATCH(INDIRECT(ADDRESS(ROW(),COLUMN()-1,4)),UNSPSCCode,0)),IF(INDIRECT(ADDRESS(ROW(),COLUMN()-1,4))="31201617","Cementos disolventes",""))</f>
        <v>Cementos disolventes</v>
      </c>
      <c r="C1951" s="72" t="str">
        <f>IFERROR(VLOOKUP("UD",'Informacion '!P:Q,2,FALSE),"")</f>
        <v>Unidad</v>
      </c>
      <c r="D1951" s="39">
        <v>6</v>
      </c>
      <c r="E1951" s="42">
        <v>351.33</v>
      </c>
      <c r="F1951" s="41">
        <f t="shared" ca="1" si="71"/>
        <v>2107.98</v>
      </c>
    </row>
    <row r="1952" spans="1:6" ht="14.25" customHeight="1" x14ac:dyDescent="0.35">
      <c r="A1952" s="39" t="s">
        <v>12734</v>
      </c>
      <c r="B1952" s="40" t="str">
        <f ca="1">IFERROR(INDEX(UNSPSCDes,MATCH(INDIRECT(ADDRESS(ROW(),COLUMN()-1,4)),UNSPSCCode,0)),IF(INDIRECT(ADDRESS(ROW(),COLUMN()-1,4))="31201617","Cementos disolventes",""))</f>
        <v>Cementos disolventes</v>
      </c>
      <c r="C1952" s="72" t="str">
        <f>IFERROR(VLOOKUP("GAL",'Informacion '!P:Q,2,FALSE),"")</f>
        <v>Galón</v>
      </c>
      <c r="D1952" s="39">
        <v>2</v>
      </c>
      <c r="E1952" s="42">
        <v>1500</v>
      </c>
      <c r="F1952" s="41">
        <f t="shared" ca="1" si="71"/>
        <v>3000</v>
      </c>
    </row>
    <row r="1953" spans="1:10" ht="14.25" customHeight="1" x14ac:dyDescent="0.35">
      <c r="E1953" s="44" t="s">
        <v>13122</v>
      </c>
      <c r="F1953" s="45">
        <f ca="1">SUM(Table105[MONTO TOTAL ESTIMADO])</f>
        <v>142242.28</v>
      </c>
      <c r="H1953" s="24" t="str">
        <f>C1926</f>
        <v>Bienes</v>
      </c>
      <c r="I1953" s="24" t="str">
        <f>E1926</f>
        <v>Sí</v>
      </c>
      <c r="J1953" s="24" t="str">
        <f>D1926</f>
        <v>Compras por debajo del Umbral</v>
      </c>
    </row>
    <row r="1955" spans="1:10" ht="34" customHeight="1" x14ac:dyDescent="0.35">
      <c r="A1955" s="36" t="s">
        <v>17105</v>
      </c>
      <c r="B1955" s="36" t="s">
        <v>167</v>
      </c>
      <c r="C1955" s="36" t="s">
        <v>12252</v>
      </c>
      <c r="D1955" s="36" t="s">
        <v>15021</v>
      </c>
      <c r="E1955" s="36" t="s">
        <v>11455</v>
      </c>
      <c r="F1955" s="36" t="s">
        <v>11595</v>
      </c>
    </row>
    <row r="1956" spans="1:10" ht="14.25" customHeight="1" x14ac:dyDescent="0.35">
      <c r="A1956" s="37" t="s">
        <v>5399</v>
      </c>
      <c r="B1956" s="37" t="s">
        <v>5399</v>
      </c>
      <c r="C1956" s="37" t="s">
        <v>18585</v>
      </c>
      <c r="D1956" s="37" t="s">
        <v>10634</v>
      </c>
      <c r="E1956" s="37" t="s">
        <v>9261</v>
      </c>
      <c r="F1956" s="37" t="s">
        <v>7088</v>
      </c>
    </row>
    <row r="1957" spans="1:10" ht="14.25" customHeight="1" x14ac:dyDescent="0.35">
      <c r="A1957" s="75" t="s">
        <v>15490</v>
      </c>
      <c r="B1957" s="38" t="s">
        <v>8918</v>
      </c>
      <c r="C1957" s="68">
        <v>45383</v>
      </c>
      <c r="D1957" s="75" t="s">
        <v>9819</v>
      </c>
      <c r="E1957" s="70" t="s">
        <v>13683</v>
      </c>
      <c r="F1957" s="71" t="s">
        <v>3205</v>
      </c>
    </row>
    <row r="1958" spans="1:10" ht="14.25" customHeight="1" x14ac:dyDescent="0.35">
      <c r="A1958" s="76"/>
      <c r="B1958" s="38" t="s">
        <v>1858</v>
      </c>
      <c r="C1958" s="69">
        <f>IF(C1957="","",IF(AND(MONTH(C1957)&gt;=1,MONTH(C1957)&lt;=3),1,IF(AND(MONTH(C1957)&gt;=4,MONTH(C1957)&lt;=6),2,IF(AND(MONTH(C1957)&gt;=7,MONTH(C1957)&lt;=9),3,4))))</f>
        <v>2</v>
      </c>
      <c r="D1958" s="76"/>
      <c r="E1958" s="70" t="s">
        <v>2509</v>
      </c>
      <c r="F1958" s="71" t="s">
        <v>11612</v>
      </c>
    </row>
    <row r="1959" spans="1:10" ht="14.25" customHeight="1" x14ac:dyDescent="0.35">
      <c r="A1959" s="76"/>
      <c r="B1959" s="38" t="s">
        <v>13526</v>
      </c>
      <c r="C1959" s="68">
        <v>45471</v>
      </c>
      <c r="D1959" s="76"/>
      <c r="E1959" s="70" t="s">
        <v>3198</v>
      </c>
      <c r="F1959" s="71" t="s">
        <v>11612</v>
      </c>
    </row>
    <row r="1960" spans="1:10" ht="14.25" customHeight="1" x14ac:dyDescent="0.35">
      <c r="A1960" s="76"/>
      <c r="B1960" s="38" t="s">
        <v>1858</v>
      </c>
      <c r="C1960" s="69">
        <f>IF(C1959="","",IF(AND(MONTH(C1959)&gt;=1,MONTH(C1959)&lt;=3),1,IF(AND(MONTH(C1959)&gt;=4,MONTH(C1959)&lt;=6),2,IF(AND(MONTH(C1959)&gt;=7,MONTH(C1959)&lt;=9),3,4))))</f>
        <v>2</v>
      </c>
      <c r="D1960" s="76"/>
      <c r="E1960" s="70" t="s">
        <v>13785</v>
      </c>
      <c r="F1960" s="71"/>
    </row>
    <row r="1962" spans="1:10" ht="14.25" customHeight="1" x14ac:dyDescent="0.35">
      <c r="A1962" s="43" t="s">
        <v>16424</v>
      </c>
      <c r="B1962" s="43" t="s">
        <v>16856</v>
      </c>
      <c r="C1962" s="43" t="s">
        <v>16326</v>
      </c>
      <c r="D1962" s="43" t="s">
        <v>15925</v>
      </c>
      <c r="E1962" s="43" t="s">
        <v>7248</v>
      </c>
      <c r="F1962" s="43" t="s">
        <v>15955</v>
      </c>
    </row>
    <row r="1963" spans="1:10" ht="14.25" customHeight="1" x14ac:dyDescent="0.35">
      <c r="A1963" s="39" t="s">
        <v>7027</v>
      </c>
      <c r="B1963" s="40" t="str">
        <f ca="1">IFERROR(INDEX(UNSPSCDes,MATCH(INDIRECT(ADDRESS(ROW(),COLUMN()-1,4)),UNSPSCCode,0)),IF(INDIRECT(ADDRESS(ROW(),COLUMN()-1,4))="31201512","Cinta transparente",""))</f>
        <v>Cinta transparente</v>
      </c>
      <c r="C1963" s="72" t="str">
        <f>IFERROR(VLOOKUP("UD",'Informacion '!P:Q,2,FALSE),"")</f>
        <v>Unidad</v>
      </c>
      <c r="D1963" s="39">
        <v>38</v>
      </c>
      <c r="E1963" s="42">
        <v>11.78</v>
      </c>
      <c r="F1963" s="41">
        <f t="shared" ref="F1963:F1968" ca="1" si="72">INDIRECT(ADDRESS(ROW(),COLUMN()-2,4))*INDIRECT(ADDRESS(ROW(),COLUMN()-1,4))</f>
        <v>447.64</v>
      </c>
    </row>
    <row r="1964" spans="1:10" ht="14.25" customHeight="1" x14ac:dyDescent="0.35">
      <c r="A1964" s="39" t="s">
        <v>7027</v>
      </c>
      <c r="B1964" s="40" t="str">
        <f ca="1">IFERROR(INDEX(UNSPSCDes,MATCH(INDIRECT(ADDRESS(ROW(),COLUMN()-1,4)),UNSPSCCode,0)),IF(INDIRECT(ADDRESS(ROW(),COLUMN()-1,4))="31201512","Cinta transparente",""))</f>
        <v>Cinta transparente</v>
      </c>
      <c r="C1964" s="72" t="str">
        <f>IFERROR(VLOOKUP("UD",'Informacion '!P:Q,2,FALSE),"")</f>
        <v>Unidad</v>
      </c>
      <c r="D1964" s="39">
        <v>75</v>
      </c>
      <c r="E1964" s="42">
        <v>110.29</v>
      </c>
      <c r="F1964" s="41">
        <f t="shared" ca="1" si="72"/>
        <v>8271.75</v>
      </c>
    </row>
    <row r="1965" spans="1:10" ht="14.25" customHeight="1" x14ac:dyDescent="0.35">
      <c r="A1965" s="39" t="s">
        <v>7027</v>
      </c>
      <c r="B1965" s="40" t="str">
        <f ca="1">IFERROR(INDEX(UNSPSCDes,MATCH(INDIRECT(ADDRESS(ROW(),COLUMN()-1,4)),UNSPSCCode,0)),IF(INDIRECT(ADDRESS(ROW(),COLUMN()-1,4))="31201512","Cinta transparente",""))</f>
        <v>Cinta transparente</v>
      </c>
      <c r="C1965" s="72" t="str">
        <f>IFERROR(VLOOKUP("UD",'Informacion '!P:Q,2,FALSE),"")</f>
        <v>Unidad</v>
      </c>
      <c r="D1965" s="39">
        <v>50</v>
      </c>
      <c r="E1965" s="42">
        <v>56.58</v>
      </c>
      <c r="F1965" s="41">
        <f t="shared" ca="1" si="72"/>
        <v>2829</v>
      </c>
    </row>
    <row r="1966" spans="1:10" ht="14.25" customHeight="1" x14ac:dyDescent="0.35">
      <c r="A1966" s="39" t="s">
        <v>4412</v>
      </c>
      <c r="B1966" s="40" t="str">
        <f ca="1">IFERROR(INDEX(UNSPSCDes,MATCH(INDIRECT(ADDRESS(ROW(),COLUMN()-1,4)),UNSPSCCode,0)),IF(INDIRECT(ADDRESS(ROW(),COLUMN()-1,4))="31201601","Adhesivos químicos",""))</f>
        <v>Adhesivos químicos</v>
      </c>
      <c r="C1966" s="72" t="str">
        <f>IFERROR(VLOOKUP("UD",'Informacion '!P:Q,2,FALSE),"")</f>
        <v>Unidad</v>
      </c>
      <c r="D1966" s="39">
        <v>5</v>
      </c>
      <c r="E1966" s="42">
        <v>27.13</v>
      </c>
      <c r="F1966" s="41">
        <f t="shared" ca="1" si="72"/>
        <v>135.65</v>
      </c>
    </row>
    <row r="1967" spans="1:10" ht="14.25" customHeight="1" x14ac:dyDescent="0.35">
      <c r="A1967" s="39" t="s">
        <v>8688</v>
      </c>
      <c r="B1967" s="40" t="str">
        <f ca="1">IFERROR(INDEX(UNSPSCDes,MATCH(INDIRECT(ADDRESS(ROW(),COLUMN()-1,4)),UNSPSCCode,0)),IF(INDIRECT(ADDRESS(ROW(),COLUMN()-1,4))="31201603","Gomas",""))</f>
        <v>Gomas</v>
      </c>
      <c r="C1967" s="72" t="str">
        <f>IFERROR(VLOOKUP("UD",'Informacion '!P:Q,2,FALSE),"")</f>
        <v>Unidad</v>
      </c>
      <c r="D1967" s="39">
        <v>25</v>
      </c>
      <c r="E1967" s="42">
        <v>21.24</v>
      </c>
      <c r="F1967" s="41">
        <f t="shared" ca="1" si="72"/>
        <v>531</v>
      </c>
    </row>
    <row r="1968" spans="1:10" ht="14.25" customHeight="1" x14ac:dyDescent="0.35">
      <c r="A1968" s="39" t="s">
        <v>8676</v>
      </c>
      <c r="B1968" s="40" t="str">
        <f ca="1">IFERROR(INDEX(UNSPSCDes,MATCH(INDIRECT(ADDRESS(ROW(),COLUMN()-1,4)),UNSPSCCode,0)),IF(INDIRECT(ADDRESS(ROW(),COLUMN()-1,4))="31201610","Pegamentos",""))</f>
        <v>Pegamentos</v>
      </c>
      <c r="C1968" s="72" t="str">
        <f>IFERROR(VLOOKUP("UD",'Informacion '!P:Q,2,FALSE),"")</f>
        <v>Unidad</v>
      </c>
      <c r="D1968" s="39">
        <v>11</v>
      </c>
      <c r="E1968" s="42">
        <v>193.82</v>
      </c>
      <c r="F1968" s="41">
        <f t="shared" ca="1" si="72"/>
        <v>2132.02</v>
      </c>
    </row>
    <row r="1969" spans="1:10" ht="14.25" customHeight="1" x14ac:dyDescent="0.35">
      <c r="E1969" s="44" t="s">
        <v>13122</v>
      </c>
      <c r="F1969" s="45">
        <f ca="1">SUM(Table106[MONTO TOTAL ESTIMADO])</f>
        <v>14347.06</v>
      </c>
      <c r="H1969" s="24" t="str">
        <f>C1956</f>
        <v>Bienes</v>
      </c>
      <c r="I1969" s="24" t="str">
        <f>E1956</f>
        <v>Sí</v>
      </c>
      <c r="J1969" s="24" t="str">
        <f>D1956</f>
        <v>Compras por debajo del Umbral</v>
      </c>
    </row>
    <row r="1971" spans="1:10" ht="34" customHeight="1" x14ac:dyDescent="0.35">
      <c r="A1971" s="36" t="s">
        <v>17105</v>
      </c>
      <c r="B1971" s="36" t="s">
        <v>167</v>
      </c>
      <c r="C1971" s="36" t="s">
        <v>12252</v>
      </c>
      <c r="D1971" s="36" t="s">
        <v>15021</v>
      </c>
      <c r="E1971" s="36" t="s">
        <v>11455</v>
      </c>
      <c r="F1971" s="36" t="s">
        <v>11595</v>
      </c>
    </row>
    <row r="1972" spans="1:10" ht="14.25" customHeight="1" x14ac:dyDescent="0.35">
      <c r="A1972" s="37" t="s">
        <v>5399</v>
      </c>
      <c r="B1972" s="37" t="s">
        <v>5399</v>
      </c>
      <c r="C1972" s="37" t="s">
        <v>18585</v>
      </c>
      <c r="D1972" s="37" t="s">
        <v>10634</v>
      </c>
      <c r="E1972" s="37" t="s">
        <v>9261</v>
      </c>
      <c r="F1972" s="37" t="s">
        <v>7088</v>
      </c>
    </row>
    <row r="1973" spans="1:10" ht="14.25" customHeight="1" x14ac:dyDescent="0.35">
      <c r="A1973" s="75" t="s">
        <v>15490</v>
      </c>
      <c r="B1973" s="38" t="s">
        <v>8918</v>
      </c>
      <c r="C1973" s="68">
        <v>45474</v>
      </c>
      <c r="D1973" s="75" t="s">
        <v>9819</v>
      </c>
      <c r="E1973" s="70" t="s">
        <v>13683</v>
      </c>
      <c r="F1973" s="71" t="s">
        <v>3205</v>
      </c>
    </row>
    <row r="1974" spans="1:10" ht="14.25" customHeight="1" x14ac:dyDescent="0.35">
      <c r="A1974" s="76"/>
      <c r="B1974" s="38" t="s">
        <v>1858</v>
      </c>
      <c r="C1974" s="69">
        <f>IF(C1973="","",IF(AND(MONTH(C1973)&gt;=1,MONTH(C1973)&lt;=3),1,IF(AND(MONTH(C1973)&gt;=4,MONTH(C1973)&lt;=6),2,IF(AND(MONTH(C1973)&gt;=7,MONTH(C1973)&lt;=9),3,4))))</f>
        <v>3</v>
      </c>
      <c r="D1974" s="76"/>
      <c r="E1974" s="70" t="s">
        <v>2509</v>
      </c>
      <c r="F1974" s="71" t="s">
        <v>11612</v>
      </c>
    </row>
    <row r="1975" spans="1:10" ht="14.25" customHeight="1" x14ac:dyDescent="0.35">
      <c r="A1975" s="76"/>
      <c r="B1975" s="38" t="s">
        <v>13526</v>
      </c>
      <c r="C1975" s="68">
        <v>45565</v>
      </c>
      <c r="D1975" s="76"/>
      <c r="E1975" s="70" t="s">
        <v>3198</v>
      </c>
      <c r="F1975" s="71" t="s">
        <v>11612</v>
      </c>
    </row>
    <row r="1976" spans="1:10" ht="14.25" customHeight="1" x14ac:dyDescent="0.35">
      <c r="A1976" s="76"/>
      <c r="B1976" s="38" t="s">
        <v>1858</v>
      </c>
      <c r="C1976" s="69">
        <f>IF(C1975="","",IF(AND(MONTH(C1975)&gt;=1,MONTH(C1975)&lt;=3),1,IF(AND(MONTH(C1975)&gt;=4,MONTH(C1975)&lt;=6),2,IF(AND(MONTH(C1975)&gt;=7,MONTH(C1975)&lt;=9),3,4))))</f>
        <v>3</v>
      </c>
      <c r="D1976" s="76"/>
      <c r="E1976" s="70" t="s">
        <v>13785</v>
      </c>
      <c r="F1976" s="71"/>
    </row>
    <row r="1978" spans="1:10" ht="14.25" customHeight="1" x14ac:dyDescent="0.35">
      <c r="A1978" s="43" t="s">
        <v>16424</v>
      </c>
      <c r="B1978" s="43" t="s">
        <v>16856</v>
      </c>
      <c r="C1978" s="43" t="s">
        <v>16326</v>
      </c>
      <c r="D1978" s="43" t="s">
        <v>15925</v>
      </c>
      <c r="E1978" s="43" t="s">
        <v>7248</v>
      </c>
      <c r="F1978" s="43" t="s">
        <v>15955</v>
      </c>
    </row>
    <row r="1979" spans="1:10" ht="14.25" customHeight="1" x14ac:dyDescent="0.35">
      <c r="A1979" s="39" t="s">
        <v>7027</v>
      </c>
      <c r="B1979" s="40" t="str">
        <f ca="1">IFERROR(INDEX(UNSPSCDes,MATCH(INDIRECT(ADDRESS(ROW(),COLUMN()-1,4)),UNSPSCCode,0)),IF(INDIRECT(ADDRESS(ROW(),COLUMN()-1,4))="31201512","Cinta transparente",""))</f>
        <v>Cinta transparente</v>
      </c>
      <c r="C1979" s="72" t="str">
        <f>IFERROR(VLOOKUP("UD",'Informacion '!P:Q,2,FALSE),"")</f>
        <v>Unidad</v>
      </c>
      <c r="D1979" s="39">
        <v>75</v>
      </c>
      <c r="E1979" s="42">
        <v>100.29</v>
      </c>
      <c r="F1979" s="41">
        <f t="shared" ref="F1979:F1984" ca="1" si="73">INDIRECT(ADDRESS(ROW(),COLUMN()-2,4))*INDIRECT(ADDRESS(ROW(),COLUMN()-1,4))</f>
        <v>7521.7500000000009</v>
      </c>
    </row>
    <row r="1980" spans="1:10" ht="14.25" customHeight="1" x14ac:dyDescent="0.35">
      <c r="A1980" s="39" t="s">
        <v>7027</v>
      </c>
      <c r="B1980" s="40" t="str">
        <f ca="1">IFERROR(INDEX(UNSPSCDes,MATCH(INDIRECT(ADDRESS(ROW(),COLUMN()-1,4)),UNSPSCCode,0)),IF(INDIRECT(ADDRESS(ROW(),COLUMN()-1,4))="31201512","Cinta transparente",""))</f>
        <v>Cinta transparente</v>
      </c>
      <c r="C1980" s="72" t="str">
        <f>IFERROR(VLOOKUP("UD",'Informacion '!P:Q,2,FALSE),"")</f>
        <v>Unidad</v>
      </c>
      <c r="D1980" s="39">
        <v>50</v>
      </c>
      <c r="E1980" s="42">
        <v>56.58</v>
      </c>
      <c r="F1980" s="41">
        <f t="shared" ca="1" si="73"/>
        <v>2829</v>
      </c>
    </row>
    <row r="1981" spans="1:10" ht="14.25" customHeight="1" x14ac:dyDescent="0.35">
      <c r="A1981" s="39" t="s">
        <v>7027</v>
      </c>
      <c r="B1981" s="40" t="str">
        <f ca="1">IFERROR(INDEX(UNSPSCDes,MATCH(INDIRECT(ADDRESS(ROW(),COLUMN()-1,4)),UNSPSCCode,0)),IF(INDIRECT(ADDRESS(ROW(),COLUMN()-1,4))="31201512","Cinta transparente",""))</f>
        <v>Cinta transparente</v>
      </c>
      <c r="C1981" s="72" t="str">
        <f>IFERROR(VLOOKUP("CAJ",'Informacion '!P:Q,2,FALSE),"")</f>
        <v>Caja</v>
      </c>
      <c r="D1981" s="39">
        <v>2</v>
      </c>
      <c r="E1981" s="42">
        <v>177</v>
      </c>
      <c r="F1981" s="41">
        <f t="shared" ca="1" si="73"/>
        <v>354</v>
      </c>
    </row>
    <row r="1982" spans="1:10" ht="14.25" customHeight="1" x14ac:dyDescent="0.35">
      <c r="A1982" s="39" t="s">
        <v>4412</v>
      </c>
      <c r="B1982" s="40" t="str">
        <f ca="1">IFERROR(INDEX(UNSPSCDes,MATCH(INDIRECT(ADDRESS(ROW(),COLUMN()-1,4)),UNSPSCCode,0)),IF(INDIRECT(ADDRESS(ROW(),COLUMN()-1,4))="31201601","Adhesivos químicos",""))</f>
        <v>Adhesivos químicos</v>
      </c>
      <c r="C1982" s="72" t="str">
        <f>IFERROR(VLOOKUP("UD",'Informacion '!P:Q,2,FALSE),"")</f>
        <v>Unidad</v>
      </c>
      <c r="D1982" s="39">
        <v>5</v>
      </c>
      <c r="E1982" s="42">
        <v>27.13</v>
      </c>
      <c r="F1982" s="41">
        <f t="shared" ca="1" si="73"/>
        <v>135.65</v>
      </c>
    </row>
    <row r="1983" spans="1:10" ht="14.25" customHeight="1" x14ac:dyDescent="0.35">
      <c r="A1983" s="39" t="s">
        <v>8688</v>
      </c>
      <c r="B1983" s="40" t="str">
        <f ca="1">IFERROR(INDEX(UNSPSCDes,MATCH(INDIRECT(ADDRESS(ROW(),COLUMN()-1,4)),UNSPSCCode,0)),IF(INDIRECT(ADDRESS(ROW(),COLUMN()-1,4))="31201603","Gomas",""))</f>
        <v>Gomas</v>
      </c>
      <c r="C1983" s="72" t="str">
        <f>IFERROR(VLOOKUP("UD",'Informacion '!P:Q,2,FALSE),"")</f>
        <v>Unidad</v>
      </c>
      <c r="D1983" s="39">
        <v>25</v>
      </c>
      <c r="E1983" s="42">
        <v>21.24</v>
      </c>
      <c r="F1983" s="41">
        <f t="shared" ca="1" si="73"/>
        <v>531</v>
      </c>
    </row>
    <row r="1984" spans="1:10" ht="14.25" customHeight="1" x14ac:dyDescent="0.35">
      <c r="A1984" s="39" t="s">
        <v>8676</v>
      </c>
      <c r="B1984" s="40" t="str">
        <f ca="1">IFERROR(INDEX(UNSPSCDes,MATCH(INDIRECT(ADDRESS(ROW(),COLUMN()-1,4)),UNSPSCCode,0)),IF(INDIRECT(ADDRESS(ROW(),COLUMN()-1,4))="31201610","Pegamentos",""))</f>
        <v>Pegamentos</v>
      </c>
      <c r="C1984" s="72" t="str">
        <f>IFERROR(VLOOKUP("UD",'Informacion '!P:Q,2,FALSE),"")</f>
        <v>Unidad</v>
      </c>
      <c r="D1984" s="39">
        <v>11</v>
      </c>
      <c r="E1984" s="42">
        <v>193.82</v>
      </c>
      <c r="F1984" s="41">
        <f t="shared" ca="1" si="73"/>
        <v>2132.02</v>
      </c>
    </row>
    <row r="1985" spans="1:10" ht="14.25" customHeight="1" x14ac:dyDescent="0.35">
      <c r="E1985" s="44" t="s">
        <v>13122</v>
      </c>
      <c r="F1985" s="45">
        <f ca="1">SUM(Table107[MONTO TOTAL ESTIMADO])</f>
        <v>13503.42</v>
      </c>
      <c r="H1985" s="24" t="str">
        <f>C1972</f>
        <v>Bienes</v>
      </c>
      <c r="I1985" s="24" t="str">
        <f>E1972</f>
        <v>Sí</v>
      </c>
      <c r="J1985" s="24" t="str">
        <f>D1972</f>
        <v>Compras por debajo del Umbral</v>
      </c>
    </row>
    <row r="1987" spans="1:10" ht="34" customHeight="1" x14ac:dyDescent="0.35">
      <c r="A1987" s="36" t="s">
        <v>17105</v>
      </c>
      <c r="B1987" s="36" t="s">
        <v>167</v>
      </c>
      <c r="C1987" s="36" t="s">
        <v>12252</v>
      </c>
      <c r="D1987" s="36" t="s">
        <v>15021</v>
      </c>
      <c r="E1987" s="36" t="s">
        <v>11455</v>
      </c>
      <c r="F1987" s="36" t="s">
        <v>11595</v>
      </c>
    </row>
    <row r="1988" spans="1:10" ht="14.25" customHeight="1" x14ac:dyDescent="0.35">
      <c r="A1988" s="37" t="s">
        <v>5399</v>
      </c>
      <c r="B1988" s="37" t="s">
        <v>5399</v>
      </c>
      <c r="C1988" s="37" t="s">
        <v>18585</v>
      </c>
      <c r="D1988" s="37" t="s">
        <v>10634</v>
      </c>
      <c r="E1988" s="37" t="s">
        <v>9261</v>
      </c>
      <c r="F1988" s="37" t="s">
        <v>7088</v>
      </c>
    </row>
    <row r="1989" spans="1:10" ht="14.25" customHeight="1" x14ac:dyDescent="0.35">
      <c r="A1989" s="75" t="s">
        <v>15490</v>
      </c>
      <c r="B1989" s="38" t="s">
        <v>8918</v>
      </c>
      <c r="C1989" s="68">
        <v>45566</v>
      </c>
      <c r="D1989" s="75" t="s">
        <v>9819</v>
      </c>
      <c r="E1989" s="70" t="s">
        <v>13683</v>
      </c>
      <c r="F1989" s="71" t="s">
        <v>3205</v>
      </c>
    </row>
    <row r="1990" spans="1:10" ht="14.25" customHeight="1" x14ac:dyDescent="0.35">
      <c r="A1990" s="76"/>
      <c r="B1990" s="38" t="s">
        <v>1858</v>
      </c>
      <c r="C1990" s="69">
        <f>IF(C1989="","",IF(AND(MONTH(C1989)&gt;=1,MONTH(C1989)&lt;=3),1,IF(AND(MONTH(C1989)&gt;=4,MONTH(C1989)&lt;=6),2,IF(AND(MONTH(C1989)&gt;=7,MONTH(C1989)&lt;=9),3,4))))</f>
        <v>4</v>
      </c>
      <c r="D1990" s="76"/>
      <c r="E1990" s="70" t="s">
        <v>2509</v>
      </c>
      <c r="F1990" s="71" t="s">
        <v>11612</v>
      </c>
    </row>
    <row r="1991" spans="1:10" ht="14.25" customHeight="1" x14ac:dyDescent="0.35">
      <c r="A1991" s="76"/>
      <c r="B1991" s="38" t="s">
        <v>13526</v>
      </c>
      <c r="C1991" s="68">
        <v>45657</v>
      </c>
      <c r="D1991" s="76"/>
      <c r="E1991" s="70" t="s">
        <v>3198</v>
      </c>
      <c r="F1991" s="71" t="s">
        <v>11612</v>
      </c>
    </row>
    <row r="1992" spans="1:10" ht="14.25" customHeight="1" x14ac:dyDescent="0.35">
      <c r="A1992" s="76"/>
      <c r="B1992" s="38" t="s">
        <v>1858</v>
      </c>
      <c r="C1992" s="69">
        <f>IF(C1991="","",IF(AND(MONTH(C1991)&gt;=1,MONTH(C1991)&lt;=3),1,IF(AND(MONTH(C1991)&gt;=4,MONTH(C1991)&lt;=6),2,IF(AND(MONTH(C1991)&gt;=7,MONTH(C1991)&lt;=9),3,4))))</f>
        <v>4</v>
      </c>
      <c r="D1992" s="76"/>
      <c r="E1992" s="70" t="s">
        <v>13785</v>
      </c>
      <c r="F1992" s="71"/>
    </row>
    <row r="1994" spans="1:10" ht="14.25" customHeight="1" x14ac:dyDescent="0.35">
      <c r="A1994" s="43" t="s">
        <v>16424</v>
      </c>
      <c r="B1994" s="43" t="s">
        <v>16856</v>
      </c>
      <c r="C1994" s="43" t="s">
        <v>16326</v>
      </c>
      <c r="D1994" s="43" t="s">
        <v>15925</v>
      </c>
      <c r="E1994" s="43" t="s">
        <v>7248</v>
      </c>
      <c r="F1994" s="43" t="s">
        <v>15955</v>
      </c>
    </row>
    <row r="1995" spans="1:10" ht="14.25" customHeight="1" x14ac:dyDescent="0.35">
      <c r="A1995" s="39" t="s">
        <v>7027</v>
      </c>
      <c r="B1995" s="40" t="str">
        <f ca="1">IFERROR(INDEX(UNSPSCDes,MATCH(INDIRECT(ADDRESS(ROW(),COLUMN()-1,4)),UNSPSCCode,0)),IF(INDIRECT(ADDRESS(ROW(),COLUMN()-1,4))="31201512","Cinta transparente",""))</f>
        <v>Cinta transparente</v>
      </c>
      <c r="C1995" s="72" t="str">
        <f>IFERROR(VLOOKUP("UD",'Informacion '!P:Q,2,FALSE),"")</f>
        <v>Unidad</v>
      </c>
      <c r="D1995" s="39">
        <v>75</v>
      </c>
      <c r="E1995" s="42">
        <v>100.29</v>
      </c>
      <c r="F1995" s="41">
        <f ca="1">INDIRECT(ADDRESS(ROW(),COLUMN()-2,4))*INDIRECT(ADDRESS(ROW(),COLUMN()-1,4))</f>
        <v>7521.7500000000009</v>
      </c>
    </row>
    <row r="1996" spans="1:10" ht="14.25" customHeight="1" x14ac:dyDescent="0.35">
      <c r="A1996" s="39" t="s">
        <v>7027</v>
      </c>
      <c r="B1996" s="40" t="str">
        <f ca="1">IFERROR(INDEX(UNSPSCDes,MATCH(INDIRECT(ADDRESS(ROW(),COLUMN()-1,4)),UNSPSCCode,0)),IF(INDIRECT(ADDRESS(ROW(),COLUMN()-1,4))="31201512","Cinta transparente",""))</f>
        <v>Cinta transparente</v>
      </c>
      <c r="C1996" s="72" t="str">
        <f>IFERROR(VLOOKUP("UD",'Informacion '!P:Q,2,FALSE),"")</f>
        <v>Unidad</v>
      </c>
      <c r="D1996" s="39">
        <v>50</v>
      </c>
      <c r="E1996" s="42">
        <v>56.58</v>
      </c>
      <c r="F1996" s="41">
        <f ca="1">INDIRECT(ADDRESS(ROW(),COLUMN()-2,4))*INDIRECT(ADDRESS(ROW(),COLUMN()-1,4))</f>
        <v>2829</v>
      </c>
    </row>
    <row r="1997" spans="1:10" ht="14.25" customHeight="1" x14ac:dyDescent="0.35">
      <c r="A1997" s="39" t="s">
        <v>4412</v>
      </c>
      <c r="B1997" s="40" t="str">
        <f ca="1">IFERROR(INDEX(UNSPSCDes,MATCH(INDIRECT(ADDRESS(ROW(),COLUMN()-1,4)),UNSPSCCode,0)),IF(INDIRECT(ADDRESS(ROW(),COLUMN()-1,4))="31201601","Adhesivos químicos",""))</f>
        <v>Adhesivos químicos</v>
      </c>
      <c r="C1997" s="72" t="str">
        <f>IFERROR(VLOOKUP("UD",'Informacion '!P:Q,2,FALSE),"")</f>
        <v>Unidad</v>
      </c>
      <c r="D1997" s="39">
        <v>5</v>
      </c>
      <c r="E1997" s="42">
        <v>27.13</v>
      </c>
      <c r="F1997" s="41">
        <f ca="1">INDIRECT(ADDRESS(ROW(),COLUMN()-2,4))*INDIRECT(ADDRESS(ROW(),COLUMN()-1,4))</f>
        <v>135.65</v>
      </c>
    </row>
    <row r="1998" spans="1:10" ht="14.25" customHeight="1" x14ac:dyDescent="0.35">
      <c r="A1998" s="39" t="s">
        <v>8688</v>
      </c>
      <c r="B1998" s="40" t="str">
        <f ca="1">IFERROR(INDEX(UNSPSCDes,MATCH(INDIRECT(ADDRESS(ROW(),COLUMN()-1,4)),UNSPSCCode,0)),IF(INDIRECT(ADDRESS(ROW(),COLUMN()-1,4))="31201603","Gomas",""))</f>
        <v>Gomas</v>
      </c>
      <c r="C1998" s="72" t="str">
        <f>IFERROR(VLOOKUP("UD",'Informacion '!P:Q,2,FALSE),"")</f>
        <v>Unidad</v>
      </c>
      <c r="D1998" s="39">
        <v>25</v>
      </c>
      <c r="E1998" s="42">
        <v>21.24</v>
      </c>
      <c r="F1998" s="41">
        <f ca="1">INDIRECT(ADDRESS(ROW(),COLUMN()-2,4))*INDIRECT(ADDRESS(ROW(),COLUMN()-1,4))</f>
        <v>531</v>
      </c>
    </row>
    <row r="1999" spans="1:10" ht="14.25" customHeight="1" x14ac:dyDescent="0.35">
      <c r="A1999" s="39" t="s">
        <v>8676</v>
      </c>
      <c r="B1999" s="40" t="str">
        <f ca="1">IFERROR(INDEX(UNSPSCDes,MATCH(INDIRECT(ADDRESS(ROW(),COLUMN()-1,4)),UNSPSCCode,0)),IF(INDIRECT(ADDRESS(ROW(),COLUMN()-1,4))="31201610","Pegamentos",""))</f>
        <v>Pegamentos</v>
      </c>
      <c r="C1999" s="72" t="str">
        <f>IFERROR(VLOOKUP("UD",'Informacion '!P:Q,2,FALSE),"")</f>
        <v>Unidad</v>
      </c>
      <c r="D1999" s="39">
        <v>11</v>
      </c>
      <c r="E1999" s="42">
        <v>193.82</v>
      </c>
      <c r="F1999" s="41">
        <f ca="1">INDIRECT(ADDRESS(ROW(),COLUMN()-2,4))*INDIRECT(ADDRESS(ROW(),COLUMN()-1,4))</f>
        <v>2132.02</v>
      </c>
    </row>
    <row r="2000" spans="1:10" ht="14.25" customHeight="1" x14ac:dyDescent="0.35">
      <c r="E2000" s="44" t="s">
        <v>13122</v>
      </c>
      <c r="F2000" s="45">
        <f ca="1">SUM(Table108[MONTO TOTAL ESTIMADO])</f>
        <v>13149.42</v>
      </c>
      <c r="H2000" s="24" t="str">
        <f>C1988</f>
        <v>Bienes</v>
      </c>
      <c r="I2000" s="24" t="str">
        <f>E1988</f>
        <v>Sí</v>
      </c>
      <c r="J2000" s="24" t="str">
        <f>D1988</f>
        <v>Compras por debajo del Umbral</v>
      </c>
    </row>
    <row r="2002" spans="1:6" ht="34" customHeight="1" x14ac:dyDescent="0.35">
      <c r="A2002" s="36" t="s">
        <v>17105</v>
      </c>
      <c r="B2002" s="36" t="s">
        <v>167</v>
      </c>
      <c r="C2002" s="36" t="s">
        <v>12252</v>
      </c>
      <c r="D2002" s="36" t="s">
        <v>15021</v>
      </c>
      <c r="E2002" s="36" t="s">
        <v>11455</v>
      </c>
      <c r="F2002" s="36" t="s">
        <v>11595</v>
      </c>
    </row>
    <row r="2003" spans="1:6" ht="14.25" customHeight="1" x14ac:dyDescent="0.35">
      <c r="A2003" s="37" t="s">
        <v>16939</v>
      </c>
      <c r="B2003" s="37" t="s">
        <v>16939</v>
      </c>
      <c r="C2003" s="37" t="s">
        <v>18585</v>
      </c>
      <c r="D2003" s="37" t="s">
        <v>18256</v>
      </c>
      <c r="E2003" s="37" t="s">
        <v>9261</v>
      </c>
      <c r="F2003" s="37" t="s">
        <v>7088</v>
      </c>
    </row>
    <row r="2004" spans="1:6" ht="14.25" customHeight="1" x14ac:dyDescent="0.35">
      <c r="A2004" s="75" t="s">
        <v>15490</v>
      </c>
      <c r="B2004" s="38" t="s">
        <v>8918</v>
      </c>
      <c r="C2004" s="68">
        <v>45334</v>
      </c>
      <c r="D2004" s="75" t="s">
        <v>9819</v>
      </c>
      <c r="E2004" s="70" t="s">
        <v>13683</v>
      </c>
      <c r="F2004" s="71" t="s">
        <v>3205</v>
      </c>
    </row>
    <row r="2005" spans="1:6" ht="14.25" customHeight="1" x14ac:dyDescent="0.35">
      <c r="A2005" s="76"/>
      <c r="B2005" s="38" t="s">
        <v>1858</v>
      </c>
      <c r="C2005" s="69">
        <f>IF(C2004="","",IF(AND(MONTH(C2004)&gt;=1,MONTH(C2004)&lt;=3),1,IF(AND(MONTH(C2004)&gt;=4,MONTH(C2004)&lt;=6),2,IF(AND(MONTH(C2004)&gt;=7,MONTH(C2004)&lt;=9),3,4))))</f>
        <v>1</v>
      </c>
      <c r="D2005" s="76"/>
      <c r="E2005" s="70" t="s">
        <v>2509</v>
      </c>
      <c r="F2005" s="71" t="s">
        <v>11612</v>
      </c>
    </row>
    <row r="2006" spans="1:6" ht="14.25" customHeight="1" x14ac:dyDescent="0.35">
      <c r="A2006" s="76"/>
      <c r="B2006" s="38" t="s">
        <v>13526</v>
      </c>
      <c r="C2006" s="68">
        <v>45378</v>
      </c>
      <c r="D2006" s="76"/>
      <c r="E2006" s="70" t="s">
        <v>3198</v>
      </c>
      <c r="F2006" s="71" t="s">
        <v>11612</v>
      </c>
    </row>
    <row r="2007" spans="1:6" ht="14.25" customHeight="1" x14ac:dyDescent="0.35">
      <c r="A2007" s="76"/>
      <c r="B2007" s="38" t="s">
        <v>1858</v>
      </c>
      <c r="C2007" s="69">
        <f>IF(C2006="","",IF(AND(MONTH(C2006)&gt;=1,MONTH(C2006)&lt;=3),1,IF(AND(MONTH(C2006)&gt;=4,MONTH(C2006)&lt;=6),2,IF(AND(MONTH(C2006)&gt;=7,MONTH(C2006)&lt;=9),3,4))))</f>
        <v>1</v>
      </c>
      <c r="D2007" s="76"/>
      <c r="E2007" s="70" t="s">
        <v>13785</v>
      </c>
      <c r="F2007" s="71"/>
    </row>
    <row r="2009" spans="1:6" ht="14.25" customHeight="1" x14ac:dyDescent="0.35">
      <c r="A2009" s="43" t="s">
        <v>16424</v>
      </c>
      <c r="B2009" s="43" t="s">
        <v>16856</v>
      </c>
      <c r="C2009" s="43" t="s">
        <v>16326</v>
      </c>
      <c r="D2009" s="43" t="s">
        <v>15925</v>
      </c>
      <c r="E2009" s="43" t="s">
        <v>7248</v>
      </c>
      <c r="F2009" s="43" t="s">
        <v>15955</v>
      </c>
    </row>
    <row r="2010" spans="1:6" ht="14.25" customHeight="1" x14ac:dyDescent="0.35">
      <c r="A2010" s="39" t="s">
        <v>2119</v>
      </c>
      <c r="B2010" s="40" t="str">
        <f ca="1">IFERROR(INDEX(UNSPSCDes,MATCH(INDIRECT(ADDRESS(ROW(),COLUMN()-1,4)),UNSPSCCode,0)),IF(INDIRECT(ADDRESS(ROW(),COLUMN()-1,4))="31211501","Pinturas de esmalte",""))</f>
        <v>Pinturas de esmalte</v>
      </c>
      <c r="C2010" s="72" t="str">
        <f>IFERROR(VLOOKUP("UD",'Informacion '!P:Q,2,FALSE),"")</f>
        <v>Unidad</v>
      </c>
      <c r="D2010" s="39">
        <v>2</v>
      </c>
      <c r="E2010" s="42">
        <v>35.4</v>
      </c>
      <c r="F2010" s="41">
        <f t="shared" ref="F2010:F2035" ca="1" si="74">INDIRECT(ADDRESS(ROW(),COLUMN()-2,4))*INDIRECT(ADDRESS(ROW(),COLUMN()-1,4))</f>
        <v>70.8</v>
      </c>
    </row>
    <row r="2011" spans="1:6" ht="14.25" customHeight="1" x14ac:dyDescent="0.35">
      <c r="A2011" s="39" t="s">
        <v>13160</v>
      </c>
      <c r="B2011" s="40" t="str">
        <f ca="1">IFERROR(INDEX(UNSPSCDes,MATCH(INDIRECT(ADDRESS(ROW(),COLUMN()-1,4)),UNSPSCCode,0)),IF(INDIRECT(ADDRESS(ROW(),COLUMN()-1,4))="31211504","Pinturas de revestimiento",""))</f>
        <v>Pinturas de revestimiento</v>
      </c>
      <c r="C2011" s="72" t="str">
        <f>IFERROR(VLOOKUP("GAL",'Informacion '!P:Q,2,FALSE),"")</f>
        <v>Galón</v>
      </c>
      <c r="D2011" s="39">
        <v>10</v>
      </c>
      <c r="E2011" s="42">
        <v>971.09</v>
      </c>
      <c r="F2011" s="41">
        <f t="shared" ca="1" si="74"/>
        <v>9710.9</v>
      </c>
    </row>
    <row r="2012" spans="1:6" ht="14.25" customHeight="1" x14ac:dyDescent="0.35">
      <c r="A2012" s="39" t="s">
        <v>7976</v>
      </c>
      <c r="B2012" s="40" t="str">
        <f t="shared" ref="B2012:B2017" ca="1" si="75">IFERROR(INDEX(UNSPSCDes,MATCH(INDIRECT(ADDRESS(ROW(),COLUMN()-1,4)),UNSPSCCode,0)),IF(INDIRECT(ADDRESS(ROW(),COLUMN()-1,4))="31211505","Pinturas de aceite",""))</f>
        <v>Pinturas de aceite</v>
      </c>
      <c r="C2012" s="72" t="str">
        <f>IFERROR(VLOOKUP("GAL",'Informacion '!P:Q,2,FALSE),"")</f>
        <v>Galón</v>
      </c>
      <c r="D2012" s="39">
        <v>18</v>
      </c>
      <c r="E2012" s="42">
        <v>900</v>
      </c>
      <c r="F2012" s="41">
        <f t="shared" ca="1" si="74"/>
        <v>16200</v>
      </c>
    </row>
    <row r="2013" spans="1:6" ht="14.25" customHeight="1" x14ac:dyDescent="0.35">
      <c r="A2013" s="39" t="s">
        <v>7976</v>
      </c>
      <c r="B2013" s="40" t="str">
        <f t="shared" ca="1" si="75"/>
        <v>Pinturas de aceite</v>
      </c>
      <c r="C2013" s="72" t="str">
        <f>IFERROR(VLOOKUP("GAL",'Informacion '!P:Q,2,FALSE),"")</f>
        <v>Galón</v>
      </c>
      <c r="D2013" s="39">
        <v>25</v>
      </c>
      <c r="E2013" s="42">
        <v>1115.0999999999999</v>
      </c>
      <c r="F2013" s="41">
        <f t="shared" ca="1" si="74"/>
        <v>27877.499999999996</v>
      </c>
    </row>
    <row r="2014" spans="1:6" ht="14.25" customHeight="1" x14ac:dyDescent="0.35">
      <c r="A2014" s="39" t="s">
        <v>7976</v>
      </c>
      <c r="B2014" s="40" t="str">
        <f t="shared" ca="1" si="75"/>
        <v>Pinturas de aceite</v>
      </c>
      <c r="C2014" s="72" t="str">
        <f>IFERROR(VLOOKUP("UD",'Informacion '!P:Q,2,FALSE),"")</f>
        <v>Unidad</v>
      </c>
      <c r="D2014" s="39">
        <v>10</v>
      </c>
      <c r="E2014" s="42">
        <v>6484.1</v>
      </c>
      <c r="F2014" s="41">
        <f t="shared" ca="1" si="74"/>
        <v>64841</v>
      </c>
    </row>
    <row r="2015" spans="1:6" ht="14.25" customHeight="1" x14ac:dyDescent="0.35">
      <c r="A2015" s="39" t="s">
        <v>7976</v>
      </c>
      <c r="B2015" s="40" t="str">
        <f t="shared" ca="1" si="75"/>
        <v>Pinturas de aceite</v>
      </c>
      <c r="C2015" s="72" t="str">
        <f>IFERROR(VLOOKUP("UD",'Informacion '!P:Q,2,FALSE),"")</f>
        <v>Unidad</v>
      </c>
      <c r="D2015" s="39">
        <v>8</v>
      </c>
      <c r="E2015" s="42">
        <v>7500</v>
      </c>
      <c r="F2015" s="41">
        <f t="shared" ca="1" si="74"/>
        <v>60000</v>
      </c>
    </row>
    <row r="2016" spans="1:6" ht="14.25" customHeight="1" x14ac:dyDescent="0.35">
      <c r="A2016" s="39" t="s">
        <v>7976</v>
      </c>
      <c r="B2016" s="40" t="str">
        <f t="shared" ca="1" si="75"/>
        <v>Pinturas de aceite</v>
      </c>
      <c r="C2016" s="72" t="str">
        <f>IFERROR(VLOOKUP("UD",'Informacion '!P:Q,2,FALSE),"")</f>
        <v>Unidad</v>
      </c>
      <c r="D2016" s="39">
        <v>3</v>
      </c>
      <c r="E2016" s="42">
        <v>708</v>
      </c>
      <c r="F2016" s="41">
        <f t="shared" ca="1" si="74"/>
        <v>2124</v>
      </c>
    </row>
    <row r="2017" spans="1:6" ht="14.25" customHeight="1" x14ac:dyDescent="0.35">
      <c r="A2017" s="39" t="s">
        <v>7976</v>
      </c>
      <c r="B2017" s="40" t="str">
        <f t="shared" ca="1" si="75"/>
        <v>Pinturas de aceite</v>
      </c>
      <c r="C2017" s="72" t="str">
        <f>IFERROR(VLOOKUP("UD",'Informacion '!P:Q,2,FALSE),"")</f>
        <v>Unidad</v>
      </c>
      <c r="D2017" s="39">
        <v>3</v>
      </c>
      <c r="E2017" s="42">
        <v>708</v>
      </c>
      <c r="F2017" s="41">
        <f t="shared" ca="1" si="74"/>
        <v>2124</v>
      </c>
    </row>
    <row r="2018" spans="1:6" ht="14.25" customHeight="1" x14ac:dyDescent="0.35">
      <c r="A2018" s="39" t="s">
        <v>986</v>
      </c>
      <c r="B2018" s="40" t="str">
        <f ca="1">IFERROR(INDEX(UNSPSCDes,MATCH(INDIRECT(ADDRESS(ROW(),COLUMN()-1,4)),UNSPSCCode,0)),IF(INDIRECT(ADDRESS(ROW(),COLUMN()-1,4))="31211508","Pinturas acrílicas",""))</f>
        <v>Pinturas acrílicas</v>
      </c>
      <c r="C2018" s="72" t="str">
        <f>IFERROR(VLOOKUP("UD",'Informacion '!P:Q,2,FALSE),"")</f>
        <v>Unidad</v>
      </c>
      <c r="D2018" s="39">
        <v>8</v>
      </c>
      <c r="E2018" s="42">
        <v>3750</v>
      </c>
      <c r="F2018" s="41">
        <f t="shared" ca="1" si="74"/>
        <v>30000</v>
      </c>
    </row>
    <row r="2019" spans="1:6" ht="14.25" customHeight="1" x14ac:dyDescent="0.35">
      <c r="A2019" s="39" t="s">
        <v>986</v>
      </c>
      <c r="B2019" s="40" t="str">
        <f ca="1">IFERROR(INDEX(UNSPSCDes,MATCH(INDIRECT(ADDRESS(ROW(),COLUMN()-1,4)),UNSPSCCode,0)),IF(INDIRECT(ADDRESS(ROW(),COLUMN()-1,4))="31211508","Pinturas acrílicas",""))</f>
        <v>Pinturas acrílicas</v>
      </c>
      <c r="C2019" s="72" t="str">
        <f>IFERROR(VLOOKUP("UD",'Informacion '!P:Q,2,FALSE),"")</f>
        <v>Unidad</v>
      </c>
      <c r="D2019" s="39">
        <v>10</v>
      </c>
      <c r="E2019" s="42">
        <v>1249.75</v>
      </c>
      <c r="F2019" s="41">
        <f t="shared" ca="1" si="74"/>
        <v>12497.5</v>
      </c>
    </row>
    <row r="2020" spans="1:6" ht="14.25" customHeight="1" x14ac:dyDescent="0.35">
      <c r="A2020" s="39" t="s">
        <v>986</v>
      </c>
      <c r="B2020" s="40" t="str">
        <f ca="1">IFERROR(INDEX(UNSPSCDes,MATCH(INDIRECT(ADDRESS(ROW(),COLUMN()-1,4)),UNSPSCCode,0)),IF(INDIRECT(ADDRESS(ROW(),COLUMN()-1,4))="31211508","Pinturas acrílicas",""))</f>
        <v>Pinturas acrílicas</v>
      </c>
      <c r="C2020" s="72" t="str">
        <f>IFERROR(VLOOKUP("UD",'Informacion '!P:Q,2,FALSE),"")</f>
        <v>Unidad</v>
      </c>
      <c r="D2020" s="39">
        <v>10</v>
      </c>
      <c r="E2020" s="42">
        <v>1404.19</v>
      </c>
      <c r="F2020" s="41">
        <f t="shared" ca="1" si="74"/>
        <v>14041.900000000001</v>
      </c>
    </row>
    <row r="2021" spans="1:6" ht="14.25" customHeight="1" x14ac:dyDescent="0.35">
      <c r="A2021" s="39" t="s">
        <v>18157</v>
      </c>
      <c r="B2021" s="40" t="str">
        <f ca="1">IFERROR(INDEX(UNSPSCDes,MATCH(INDIRECT(ADDRESS(ROW(),COLUMN()-1,4)),UNSPSCCode,0)),IF(INDIRECT(ADDRESS(ROW(),COLUMN()-1,4))="31211801","Removedores de pintura o barniz",""))</f>
        <v>Removedores de pintura o barniz</v>
      </c>
      <c r="C2021" s="72" t="str">
        <f>IFERROR(VLOOKUP("GAL",'Informacion '!P:Q,2,FALSE),"")</f>
        <v>Galón</v>
      </c>
      <c r="D2021" s="39">
        <v>3</v>
      </c>
      <c r="E2021" s="42">
        <v>762</v>
      </c>
      <c r="F2021" s="41">
        <f t="shared" ca="1" si="74"/>
        <v>2286</v>
      </c>
    </row>
    <row r="2022" spans="1:6" ht="14.25" customHeight="1" x14ac:dyDescent="0.35">
      <c r="A2022" s="39" t="s">
        <v>18157</v>
      </c>
      <c r="B2022" s="40" t="str">
        <f ca="1">IFERROR(INDEX(UNSPSCDes,MATCH(INDIRECT(ADDRESS(ROW(),COLUMN()-1,4)),UNSPSCCode,0)),IF(INDIRECT(ADDRESS(ROW(),COLUMN()-1,4))="31211801","Removedores de pintura o barniz",""))</f>
        <v>Removedores de pintura o barniz</v>
      </c>
      <c r="C2022" s="72" t="str">
        <f>IFERROR(VLOOKUP("GAL",'Informacion '!P:Q,2,FALSE),"")</f>
        <v>Galón</v>
      </c>
      <c r="D2022" s="39">
        <v>3</v>
      </c>
      <c r="E2022" s="42">
        <v>1705</v>
      </c>
      <c r="F2022" s="41">
        <f t="shared" ca="1" si="74"/>
        <v>5115</v>
      </c>
    </row>
    <row r="2023" spans="1:6" ht="14.25" customHeight="1" x14ac:dyDescent="0.35">
      <c r="A2023" s="39" t="s">
        <v>19157</v>
      </c>
      <c r="B2023" s="40" t="str">
        <f ca="1">IFERROR(INDEX(UNSPSCDes,MATCH(INDIRECT(ADDRESS(ROW(),COLUMN()-1,4)),UNSPSCCode,0)),IF(INDIRECT(ADDRESS(ROW(),COLUMN()-1,4))="31211803","Diluyentes para pinturas y barnices",""))</f>
        <v>Diluyentes para pinturas y barnices</v>
      </c>
      <c r="C2023" s="72" t="str">
        <f>IFERROR(VLOOKUP("GAL",'Informacion '!P:Q,2,FALSE),"")</f>
        <v>Galón</v>
      </c>
      <c r="D2023" s="39">
        <v>16</v>
      </c>
      <c r="E2023" s="42">
        <v>531</v>
      </c>
      <c r="F2023" s="41">
        <f t="shared" ca="1" si="74"/>
        <v>8496</v>
      </c>
    </row>
    <row r="2024" spans="1:6" ht="14.25" customHeight="1" x14ac:dyDescent="0.35">
      <c r="A2024" s="39" t="s">
        <v>16865</v>
      </c>
      <c r="B2024" s="40" t="str">
        <f t="shared" ref="B2024:B2029" ca="1" si="76">IFERROR(INDEX(UNSPSCDes,MATCH(INDIRECT(ADDRESS(ROW(),COLUMN()-1,4)),UNSPSCCode,0)),IF(INDIRECT(ADDRESS(ROW(),COLUMN()-1,4))="31211904","Brochas",""))</f>
        <v>Brochas</v>
      </c>
      <c r="C2024" s="72" t="str">
        <f>IFERROR(VLOOKUP("UD",'Informacion '!P:Q,2,FALSE),"")</f>
        <v>Unidad</v>
      </c>
      <c r="D2024" s="39">
        <v>2</v>
      </c>
      <c r="E2024" s="42">
        <v>232</v>
      </c>
      <c r="F2024" s="41">
        <f t="shared" ca="1" si="74"/>
        <v>464</v>
      </c>
    </row>
    <row r="2025" spans="1:6" ht="14.25" customHeight="1" x14ac:dyDescent="0.35">
      <c r="A2025" s="39" t="s">
        <v>16865</v>
      </c>
      <c r="B2025" s="40" t="str">
        <f t="shared" ca="1" si="76"/>
        <v>Brochas</v>
      </c>
      <c r="C2025" s="72" t="str">
        <f>IFERROR(VLOOKUP("UD",'Informacion '!P:Q,2,FALSE),"")</f>
        <v>Unidad</v>
      </c>
      <c r="D2025" s="39">
        <v>1</v>
      </c>
      <c r="E2025" s="42">
        <v>392</v>
      </c>
      <c r="F2025" s="41">
        <f t="shared" ca="1" si="74"/>
        <v>392</v>
      </c>
    </row>
    <row r="2026" spans="1:6" ht="14.25" customHeight="1" x14ac:dyDescent="0.35">
      <c r="A2026" s="39" t="s">
        <v>16865</v>
      </c>
      <c r="B2026" s="40" t="str">
        <f t="shared" ca="1" si="76"/>
        <v>Brochas</v>
      </c>
      <c r="C2026" s="72" t="str">
        <f>IFERROR(VLOOKUP("UD",'Informacion '!P:Q,2,FALSE),"")</f>
        <v>Unidad</v>
      </c>
      <c r="D2026" s="39">
        <v>18</v>
      </c>
      <c r="E2026" s="42">
        <v>177</v>
      </c>
      <c r="F2026" s="41">
        <f t="shared" ca="1" si="74"/>
        <v>3186</v>
      </c>
    </row>
    <row r="2027" spans="1:6" ht="14.25" customHeight="1" x14ac:dyDescent="0.35">
      <c r="A2027" s="39" t="s">
        <v>16865</v>
      </c>
      <c r="B2027" s="40" t="str">
        <f t="shared" ca="1" si="76"/>
        <v>Brochas</v>
      </c>
      <c r="C2027" s="72" t="str">
        <f>IFERROR(VLOOKUP("UD",'Informacion '!P:Q,2,FALSE),"")</f>
        <v>Unidad</v>
      </c>
      <c r="D2027" s="39">
        <v>12</v>
      </c>
      <c r="E2027" s="42">
        <v>23.6</v>
      </c>
      <c r="F2027" s="41">
        <f t="shared" ca="1" si="74"/>
        <v>283.20000000000005</v>
      </c>
    </row>
    <row r="2028" spans="1:6" ht="14.25" customHeight="1" x14ac:dyDescent="0.35">
      <c r="A2028" s="39" t="s">
        <v>16865</v>
      </c>
      <c r="B2028" s="40" t="str">
        <f t="shared" ca="1" si="76"/>
        <v>Brochas</v>
      </c>
      <c r="C2028" s="72" t="str">
        <f>IFERROR(VLOOKUP("UD",'Informacion '!P:Q,2,FALSE),"")</f>
        <v>Unidad</v>
      </c>
      <c r="D2028" s="39">
        <v>2</v>
      </c>
      <c r="E2028" s="42">
        <v>110</v>
      </c>
      <c r="F2028" s="41">
        <f t="shared" ca="1" si="74"/>
        <v>220</v>
      </c>
    </row>
    <row r="2029" spans="1:6" ht="14.25" customHeight="1" x14ac:dyDescent="0.35">
      <c r="A2029" s="39" t="s">
        <v>16865</v>
      </c>
      <c r="B2029" s="40" t="str">
        <f t="shared" ca="1" si="76"/>
        <v>Brochas</v>
      </c>
      <c r="C2029" s="72" t="str">
        <f>IFERROR(VLOOKUP("UD",'Informacion '!P:Q,2,FALSE),"")</f>
        <v>Unidad</v>
      </c>
      <c r="D2029" s="39">
        <v>4</v>
      </c>
      <c r="E2029" s="42">
        <v>139.66999999999999</v>
      </c>
      <c r="F2029" s="41">
        <f t="shared" ca="1" si="74"/>
        <v>558.67999999999995</v>
      </c>
    </row>
    <row r="2030" spans="1:6" ht="14.25" customHeight="1" x14ac:dyDescent="0.35">
      <c r="A2030" s="39" t="s">
        <v>11091</v>
      </c>
      <c r="B2030" s="40" t="str">
        <f ca="1">IFERROR(INDEX(UNSPSCDes,MATCH(INDIRECT(ADDRESS(ROW(),COLUMN()-1,4)),UNSPSCCode,0)),IF(INDIRECT(ADDRESS(ROW(),COLUMN()-1,4))="31211906","Rodillos de pintar",""))</f>
        <v>Rodillos de pintar</v>
      </c>
      <c r="C2030" s="72" t="str">
        <f>IFERROR(VLOOKUP("UD",'Informacion '!P:Q,2,FALSE),"")</f>
        <v>Unidad</v>
      </c>
      <c r="D2030" s="39">
        <v>25</v>
      </c>
      <c r="E2030" s="42">
        <v>250.5</v>
      </c>
      <c r="F2030" s="41">
        <f t="shared" ca="1" si="74"/>
        <v>6262.5</v>
      </c>
    </row>
    <row r="2031" spans="1:6" ht="14.25" customHeight="1" x14ac:dyDescent="0.35">
      <c r="A2031" s="39" t="s">
        <v>11091</v>
      </c>
      <c r="B2031" s="40" t="str">
        <f ca="1">IFERROR(INDEX(UNSPSCDes,MATCH(INDIRECT(ADDRESS(ROW(),COLUMN()-1,4)),UNSPSCCode,0)),IF(INDIRECT(ADDRESS(ROW(),COLUMN()-1,4))="31211906","Rodillos de pintar",""))</f>
        <v>Rodillos de pintar</v>
      </c>
      <c r="C2031" s="72" t="str">
        <f>IFERROR(VLOOKUP("UD",'Informacion '!P:Q,2,FALSE),"")</f>
        <v>Unidad</v>
      </c>
      <c r="D2031" s="39">
        <v>6</v>
      </c>
      <c r="E2031" s="42">
        <v>112.5</v>
      </c>
      <c r="F2031" s="41">
        <f t="shared" ca="1" si="74"/>
        <v>675</v>
      </c>
    </row>
    <row r="2032" spans="1:6" ht="14.25" customHeight="1" x14ac:dyDescent="0.35">
      <c r="A2032" s="39" t="s">
        <v>11091</v>
      </c>
      <c r="B2032" s="40" t="str">
        <f ca="1">IFERROR(INDEX(UNSPSCDes,MATCH(INDIRECT(ADDRESS(ROW(),COLUMN()-1,4)),UNSPSCCode,0)),IF(INDIRECT(ADDRESS(ROW(),COLUMN()-1,4))="31211906","Rodillos de pintar",""))</f>
        <v>Rodillos de pintar</v>
      </c>
      <c r="C2032" s="72" t="str">
        <f>IFERROR(VLOOKUP("UD",'Informacion '!P:Q,2,FALSE),"")</f>
        <v>Unidad</v>
      </c>
      <c r="D2032" s="39">
        <v>12</v>
      </c>
      <c r="E2032" s="42">
        <v>160</v>
      </c>
      <c r="F2032" s="41">
        <f t="shared" ca="1" si="74"/>
        <v>1920</v>
      </c>
    </row>
    <row r="2033" spans="1:10" ht="14.25" customHeight="1" x14ac:dyDescent="0.35">
      <c r="A2033" s="39" t="s">
        <v>11091</v>
      </c>
      <c r="B2033" s="40" t="str">
        <f ca="1">IFERROR(INDEX(UNSPSCDes,MATCH(INDIRECT(ADDRESS(ROW(),COLUMN()-1,4)),UNSPSCCode,0)),IF(INDIRECT(ADDRESS(ROW(),COLUMN()-1,4))="31211906","Rodillos de pintar",""))</f>
        <v>Rodillos de pintar</v>
      </c>
      <c r="C2033" s="72" t="str">
        <f>IFERROR(VLOOKUP("UD",'Informacion '!P:Q,2,FALSE),"")</f>
        <v>Unidad</v>
      </c>
      <c r="D2033" s="39">
        <v>12</v>
      </c>
      <c r="E2033" s="42">
        <v>200</v>
      </c>
      <c r="F2033" s="41">
        <f t="shared" ca="1" si="74"/>
        <v>2400</v>
      </c>
    </row>
    <row r="2034" spans="1:10" ht="14.25" customHeight="1" x14ac:dyDescent="0.35">
      <c r="A2034" s="39" t="s">
        <v>6884</v>
      </c>
      <c r="B2034" s="40" t="str">
        <f ca="1">IFERROR(INDEX(UNSPSCDes,MATCH(INDIRECT(ADDRESS(ROW(),COLUMN()-1,4)),UNSPSCCode,0)),IF(INDIRECT(ADDRESS(ROW(),COLUMN()-1,4))="31211909","Bandejas de pintura",""))</f>
        <v>Bandejas de pintura</v>
      </c>
      <c r="C2034" s="72" t="str">
        <f>IFERROR(VLOOKUP("UD",'Informacion '!P:Q,2,FALSE),"")</f>
        <v>Unidad</v>
      </c>
      <c r="D2034" s="39">
        <v>2</v>
      </c>
      <c r="E2034" s="42">
        <v>554</v>
      </c>
      <c r="F2034" s="41">
        <f t="shared" ca="1" si="74"/>
        <v>1108</v>
      </c>
    </row>
    <row r="2035" spans="1:10" ht="14.25" customHeight="1" x14ac:dyDescent="0.35">
      <c r="A2035" s="39" t="s">
        <v>5418</v>
      </c>
      <c r="B2035" s="40" t="str">
        <f ca="1">IFERROR(INDEX(UNSPSCDes,MATCH(INDIRECT(ADDRESS(ROW(),COLUMN()-1,4)),UNSPSCCode,0)),IF(INDIRECT(ADDRESS(ROW(),COLUMN()-1,4))="31211917","Cubiertas para rodillos de pintura",""))</f>
        <v>Cubiertas para rodillos de pintura</v>
      </c>
      <c r="C2035" s="72" t="str">
        <f>IFERROR(VLOOKUP("UD",'Informacion '!P:Q,2,FALSE),"")</f>
        <v>Unidad</v>
      </c>
      <c r="D2035" s="39">
        <v>12</v>
      </c>
      <c r="E2035" s="42">
        <v>501.7</v>
      </c>
      <c r="F2035" s="41">
        <f t="shared" ca="1" si="74"/>
        <v>6020.4</v>
      </c>
    </row>
    <row r="2036" spans="1:10" ht="14.25" customHeight="1" x14ac:dyDescent="0.35">
      <c r="E2036" s="44" t="s">
        <v>13122</v>
      </c>
      <c r="F2036" s="45">
        <f ca="1">SUM(Table109[MONTO TOTAL ESTIMADO])</f>
        <v>278874.38</v>
      </c>
      <c r="H2036" s="24" t="str">
        <f>C2003</f>
        <v>Bienes</v>
      </c>
      <c r="I2036" s="24" t="str">
        <f>E2003</f>
        <v>Sí</v>
      </c>
      <c r="J2036" s="24" t="str">
        <f>D2003</f>
        <v>Compras Menores</v>
      </c>
    </row>
    <row r="2038" spans="1:10" ht="34" customHeight="1" x14ac:dyDescent="0.35">
      <c r="A2038" s="36" t="s">
        <v>17105</v>
      </c>
      <c r="B2038" s="36" t="s">
        <v>167</v>
      </c>
      <c r="C2038" s="36" t="s">
        <v>12252</v>
      </c>
      <c r="D2038" s="36" t="s">
        <v>15021</v>
      </c>
      <c r="E2038" s="36" t="s">
        <v>11455</v>
      </c>
      <c r="F2038" s="36" t="s">
        <v>11595</v>
      </c>
    </row>
    <row r="2039" spans="1:10" ht="14.25" customHeight="1" x14ac:dyDescent="0.35">
      <c r="A2039" s="37" t="s">
        <v>6101</v>
      </c>
      <c r="B2039" s="37" t="s">
        <v>6101</v>
      </c>
      <c r="C2039" s="37" t="s">
        <v>18585</v>
      </c>
      <c r="D2039" s="37" t="s">
        <v>10634</v>
      </c>
      <c r="E2039" s="37" t="s">
        <v>9261</v>
      </c>
      <c r="F2039" s="37" t="s">
        <v>7088</v>
      </c>
    </row>
    <row r="2040" spans="1:10" ht="14.25" customHeight="1" x14ac:dyDescent="0.35">
      <c r="A2040" s="75" t="s">
        <v>15490</v>
      </c>
      <c r="B2040" s="38" t="s">
        <v>8918</v>
      </c>
      <c r="C2040" s="68">
        <v>45334</v>
      </c>
      <c r="D2040" s="75" t="s">
        <v>9819</v>
      </c>
      <c r="E2040" s="70" t="s">
        <v>13683</v>
      </c>
      <c r="F2040" s="71" t="s">
        <v>3205</v>
      </c>
    </row>
    <row r="2041" spans="1:10" ht="14.25" customHeight="1" x14ac:dyDescent="0.35">
      <c r="A2041" s="76"/>
      <c r="B2041" s="38" t="s">
        <v>1858</v>
      </c>
      <c r="C2041" s="69">
        <f>IF(C2040="","",IF(AND(MONTH(C2040)&gt;=1,MONTH(C2040)&lt;=3),1,IF(AND(MONTH(C2040)&gt;=4,MONTH(C2040)&lt;=6),2,IF(AND(MONTH(C2040)&gt;=7,MONTH(C2040)&lt;=9),3,4))))</f>
        <v>1</v>
      </c>
      <c r="D2041" s="76"/>
      <c r="E2041" s="70" t="s">
        <v>2509</v>
      </c>
      <c r="F2041" s="71" t="s">
        <v>11612</v>
      </c>
    </row>
    <row r="2042" spans="1:10" ht="14.25" customHeight="1" x14ac:dyDescent="0.35">
      <c r="A2042" s="76"/>
      <c r="B2042" s="38" t="s">
        <v>13526</v>
      </c>
      <c r="C2042" s="68">
        <v>45378</v>
      </c>
      <c r="D2042" s="76"/>
      <c r="E2042" s="70" t="s">
        <v>3198</v>
      </c>
      <c r="F2042" s="71" t="s">
        <v>11612</v>
      </c>
    </row>
    <row r="2043" spans="1:10" ht="14.25" customHeight="1" x14ac:dyDescent="0.35">
      <c r="A2043" s="76"/>
      <c r="B2043" s="38" t="s">
        <v>1858</v>
      </c>
      <c r="C2043" s="69">
        <f>IF(C2042="","",IF(AND(MONTH(C2042)&gt;=1,MONTH(C2042)&lt;=3),1,IF(AND(MONTH(C2042)&gt;=4,MONTH(C2042)&lt;=6),2,IF(AND(MONTH(C2042)&gt;=7,MONTH(C2042)&lt;=9),3,4))))</f>
        <v>1</v>
      </c>
      <c r="D2043" s="76"/>
      <c r="E2043" s="70" t="s">
        <v>13785</v>
      </c>
      <c r="F2043" s="71"/>
    </row>
    <row r="2045" spans="1:10" ht="14.25" customHeight="1" x14ac:dyDescent="0.35">
      <c r="A2045" s="43" t="s">
        <v>16424</v>
      </c>
      <c r="B2045" s="43" t="s">
        <v>16856</v>
      </c>
      <c r="C2045" s="43" t="s">
        <v>16326</v>
      </c>
      <c r="D2045" s="43" t="s">
        <v>15925</v>
      </c>
      <c r="E2045" s="43" t="s">
        <v>7248</v>
      </c>
      <c r="F2045" s="43" t="s">
        <v>15955</v>
      </c>
    </row>
    <row r="2046" spans="1:10" ht="14.25" customHeight="1" x14ac:dyDescent="0.35">
      <c r="A2046" s="39" t="s">
        <v>18290</v>
      </c>
      <c r="B2046" s="40" t="str">
        <f ca="1">IFERROR(INDEX(UNSPSCDes,MATCH(INDIRECT(ADDRESS(ROW(),COLUMN()-1,4)),UNSPSCCode,0)),IF(INDIRECT(ADDRESS(ROW(),COLUMN()-1,4))="31231302","Tubería de cobre",""))</f>
        <v>Tubería de cobre</v>
      </c>
      <c r="C2046" s="72" t="str">
        <f>IFERROR(VLOOKUP("UD",'Informacion '!P:Q,2,FALSE),"")</f>
        <v>Unidad</v>
      </c>
      <c r="D2046" s="39">
        <v>10</v>
      </c>
      <c r="E2046" s="42">
        <v>1313.56</v>
      </c>
      <c r="F2046" s="41">
        <f t="shared" ref="F2046:F2051" ca="1" si="77">INDIRECT(ADDRESS(ROW(),COLUMN()-2,4))*INDIRECT(ADDRESS(ROW(),COLUMN()-1,4))</f>
        <v>13135.599999999999</v>
      </c>
    </row>
    <row r="2047" spans="1:10" ht="14.25" customHeight="1" x14ac:dyDescent="0.35">
      <c r="A2047" s="39" t="s">
        <v>18290</v>
      </c>
      <c r="B2047" s="40" t="str">
        <f ca="1">IFERROR(INDEX(UNSPSCDes,MATCH(INDIRECT(ADDRESS(ROW(),COLUMN()-1,4)),UNSPSCCode,0)),IF(INDIRECT(ADDRESS(ROW(),COLUMN()-1,4))="31231302","Tubería de cobre",""))</f>
        <v>Tubería de cobre</v>
      </c>
      <c r="C2047" s="72" t="str">
        <f>IFERROR(VLOOKUP("UD",'Informacion '!P:Q,2,FALSE),"")</f>
        <v>Unidad</v>
      </c>
      <c r="D2047" s="39">
        <v>10</v>
      </c>
      <c r="E2047" s="42">
        <v>6355.93</v>
      </c>
      <c r="F2047" s="41">
        <f t="shared" ca="1" si="77"/>
        <v>63559.3</v>
      </c>
    </row>
    <row r="2048" spans="1:10" ht="14.25" customHeight="1" x14ac:dyDescent="0.35">
      <c r="A2048" s="39" t="s">
        <v>18290</v>
      </c>
      <c r="B2048" s="40" t="str">
        <f ca="1">IFERROR(INDEX(UNSPSCDes,MATCH(INDIRECT(ADDRESS(ROW(),COLUMN()-1,4)),UNSPSCCode,0)),IF(INDIRECT(ADDRESS(ROW(),COLUMN()-1,4))="31231302","Tubería de cobre",""))</f>
        <v>Tubería de cobre</v>
      </c>
      <c r="C2048" s="72" t="str">
        <f>IFERROR(VLOOKUP("UD",'Informacion '!P:Q,2,FALSE),"")</f>
        <v>Unidad</v>
      </c>
      <c r="D2048" s="39">
        <v>10</v>
      </c>
      <c r="E2048" s="42">
        <v>1483.05</v>
      </c>
      <c r="F2048" s="41">
        <f t="shared" ca="1" si="77"/>
        <v>14830.5</v>
      </c>
    </row>
    <row r="2049" spans="1:10" ht="14.25" customHeight="1" x14ac:dyDescent="0.35">
      <c r="A2049" s="39" t="s">
        <v>146</v>
      </c>
      <c r="B2049" s="40" t="str">
        <f ca="1">IFERROR(INDEX(UNSPSCDes,MATCH(INDIRECT(ADDRESS(ROW(),COLUMN()-1,4)),UNSPSCCode,0)),IF(INDIRECT(ADDRESS(ROW(),COLUMN()-1,4))="31231311","Tubería de hierro",""))</f>
        <v>Tubería de hierro</v>
      </c>
      <c r="C2049" s="72" t="str">
        <f>IFERROR(VLOOKUP("UD",'Informacion '!P:Q,2,FALSE),"")</f>
        <v>Unidad</v>
      </c>
      <c r="D2049" s="39">
        <v>3</v>
      </c>
      <c r="E2049" s="42">
        <v>5598.57</v>
      </c>
      <c r="F2049" s="41">
        <f t="shared" ca="1" si="77"/>
        <v>16795.71</v>
      </c>
    </row>
    <row r="2050" spans="1:10" ht="14.25" customHeight="1" x14ac:dyDescent="0.35">
      <c r="A2050" s="39" t="s">
        <v>146</v>
      </c>
      <c r="B2050" s="40" t="str">
        <f ca="1">IFERROR(INDEX(UNSPSCDes,MATCH(INDIRECT(ADDRESS(ROW(),COLUMN()-1,4)),UNSPSCCode,0)),IF(INDIRECT(ADDRESS(ROW(),COLUMN()-1,4))="31231311","Tubería de hierro",""))</f>
        <v>Tubería de hierro</v>
      </c>
      <c r="C2050" s="72" t="str">
        <f>IFERROR(VLOOKUP("UD",'Informacion '!P:Q,2,FALSE),"")</f>
        <v>Unidad</v>
      </c>
      <c r="D2050" s="39">
        <v>50</v>
      </c>
      <c r="E2050" s="42">
        <v>40</v>
      </c>
      <c r="F2050" s="41">
        <f t="shared" ca="1" si="77"/>
        <v>2000</v>
      </c>
    </row>
    <row r="2051" spans="1:10" ht="14.25" customHeight="1" x14ac:dyDescent="0.35">
      <c r="A2051" s="39" t="s">
        <v>5356</v>
      </c>
      <c r="B2051" s="40" t="str">
        <f ca="1">IFERROR(INDEX(UNSPSCDes,MATCH(INDIRECT(ADDRESS(ROW(),COLUMN()-1,4)),UNSPSCCode,0)),IF(INDIRECT(ADDRESS(ROW(),COLUMN()-1,4))="31231313","Tubería de plástico",""))</f>
        <v>Tubería de plástico</v>
      </c>
      <c r="C2051" s="72" t="str">
        <f>IFERROR(VLOOKUP("UD",'Informacion '!P:Q,2,FALSE),"")</f>
        <v>Unidad</v>
      </c>
      <c r="D2051" s="39">
        <v>15</v>
      </c>
      <c r="E2051" s="42">
        <v>306.8</v>
      </c>
      <c r="F2051" s="41">
        <f t="shared" ca="1" si="77"/>
        <v>4602</v>
      </c>
    </row>
    <row r="2052" spans="1:10" ht="14.25" customHeight="1" x14ac:dyDescent="0.35">
      <c r="E2052" s="44" t="s">
        <v>13122</v>
      </c>
      <c r="F2052" s="45">
        <f ca="1">SUM(Table110[MONTO TOTAL ESTIMADO])</f>
        <v>114923.10999999999</v>
      </c>
      <c r="H2052" s="24" t="str">
        <f>C2039</f>
        <v>Bienes</v>
      </c>
      <c r="I2052" s="24" t="str">
        <f>E2039</f>
        <v>Sí</v>
      </c>
      <c r="J2052" s="24" t="str">
        <f>D2039</f>
        <v>Compras por debajo del Umbral</v>
      </c>
    </row>
    <row r="2054" spans="1:10" ht="34" customHeight="1" x14ac:dyDescent="0.35">
      <c r="A2054" s="36" t="s">
        <v>17105</v>
      </c>
      <c r="B2054" s="36" t="s">
        <v>167</v>
      </c>
      <c r="C2054" s="36" t="s">
        <v>12252</v>
      </c>
      <c r="D2054" s="36" t="s">
        <v>15021</v>
      </c>
      <c r="E2054" s="36" t="s">
        <v>11455</v>
      </c>
      <c r="F2054" s="36" t="s">
        <v>11595</v>
      </c>
    </row>
    <row r="2055" spans="1:10" ht="14.25" customHeight="1" x14ac:dyDescent="0.35">
      <c r="A2055" s="37" t="s">
        <v>6101</v>
      </c>
      <c r="B2055" s="37" t="s">
        <v>6101</v>
      </c>
      <c r="C2055" s="37" t="s">
        <v>18585</v>
      </c>
      <c r="D2055" s="37" t="s">
        <v>10634</v>
      </c>
      <c r="E2055" s="37" t="s">
        <v>9261</v>
      </c>
      <c r="F2055" s="37" t="s">
        <v>7088</v>
      </c>
    </row>
    <row r="2056" spans="1:10" ht="14.25" customHeight="1" x14ac:dyDescent="0.35">
      <c r="A2056" s="75" t="s">
        <v>15490</v>
      </c>
      <c r="B2056" s="38" t="s">
        <v>8918</v>
      </c>
      <c r="C2056" s="68">
        <v>45383</v>
      </c>
      <c r="D2056" s="75" t="s">
        <v>9819</v>
      </c>
      <c r="E2056" s="70" t="s">
        <v>13683</v>
      </c>
      <c r="F2056" s="71" t="s">
        <v>3205</v>
      </c>
    </row>
    <row r="2057" spans="1:10" ht="14.25" customHeight="1" x14ac:dyDescent="0.35">
      <c r="A2057" s="76"/>
      <c r="B2057" s="38" t="s">
        <v>1858</v>
      </c>
      <c r="C2057" s="69">
        <f>IF(C2056="","",IF(AND(MONTH(C2056)&gt;=1,MONTH(C2056)&lt;=3),1,IF(AND(MONTH(C2056)&gt;=4,MONTH(C2056)&lt;=6),2,IF(AND(MONTH(C2056)&gt;=7,MONTH(C2056)&lt;=9),3,4))))</f>
        <v>2</v>
      </c>
      <c r="D2057" s="76"/>
      <c r="E2057" s="70" t="s">
        <v>2509</v>
      </c>
      <c r="F2057" s="71" t="s">
        <v>11612</v>
      </c>
    </row>
    <row r="2058" spans="1:10" ht="14.25" customHeight="1" x14ac:dyDescent="0.35">
      <c r="A2058" s="76"/>
      <c r="B2058" s="38" t="s">
        <v>13526</v>
      </c>
      <c r="C2058" s="68">
        <v>45471</v>
      </c>
      <c r="D2058" s="76"/>
      <c r="E2058" s="70" t="s">
        <v>3198</v>
      </c>
      <c r="F2058" s="71" t="s">
        <v>11612</v>
      </c>
    </row>
    <row r="2059" spans="1:10" ht="14.25" customHeight="1" x14ac:dyDescent="0.35">
      <c r="A2059" s="76"/>
      <c r="B2059" s="38" t="s">
        <v>1858</v>
      </c>
      <c r="C2059" s="69">
        <f>IF(C2058="","",IF(AND(MONTH(C2058)&gt;=1,MONTH(C2058)&lt;=3),1,IF(AND(MONTH(C2058)&gt;=4,MONTH(C2058)&lt;=6),2,IF(AND(MONTH(C2058)&gt;=7,MONTH(C2058)&lt;=9),3,4))))</f>
        <v>2</v>
      </c>
      <c r="D2059" s="76"/>
      <c r="E2059" s="70" t="s">
        <v>13785</v>
      </c>
      <c r="F2059" s="71"/>
    </row>
    <row r="2061" spans="1:10" ht="14.25" customHeight="1" x14ac:dyDescent="0.35">
      <c r="A2061" s="43" t="s">
        <v>16424</v>
      </c>
      <c r="B2061" s="43" t="s">
        <v>16856</v>
      </c>
      <c r="C2061" s="43" t="s">
        <v>16326</v>
      </c>
      <c r="D2061" s="43" t="s">
        <v>15925</v>
      </c>
      <c r="E2061" s="43" t="s">
        <v>7248</v>
      </c>
      <c r="F2061" s="43" t="s">
        <v>15955</v>
      </c>
    </row>
    <row r="2062" spans="1:10" ht="14.25" customHeight="1" x14ac:dyDescent="0.35">
      <c r="A2062" s="39" t="s">
        <v>5356</v>
      </c>
      <c r="B2062" s="40" t="str">
        <f ca="1">IFERROR(INDEX(UNSPSCDes,MATCH(INDIRECT(ADDRESS(ROW(),COLUMN()-1,4)),UNSPSCCode,0)),IF(INDIRECT(ADDRESS(ROW(),COLUMN()-1,4))="31231313","Tubería de plástico",""))</f>
        <v>Tubería de plástico</v>
      </c>
      <c r="C2062" s="72" t="str">
        <f>IFERROR(VLOOKUP("UD",'Informacion '!P:Q,2,FALSE),"")</f>
        <v>Unidad</v>
      </c>
      <c r="D2062" s="39">
        <v>15</v>
      </c>
      <c r="E2062" s="42">
        <v>299.83</v>
      </c>
      <c r="F2062" s="41">
        <f ca="1">INDIRECT(ADDRESS(ROW(),COLUMN()-2,4))*INDIRECT(ADDRESS(ROW(),COLUMN()-1,4))</f>
        <v>4497.45</v>
      </c>
    </row>
    <row r="2063" spans="1:10" ht="14.25" customHeight="1" x14ac:dyDescent="0.35">
      <c r="A2063" s="39" t="s">
        <v>5356</v>
      </c>
      <c r="B2063" s="40" t="str">
        <f ca="1">IFERROR(INDEX(UNSPSCDes,MATCH(INDIRECT(ADDRESS(ROW(),COLUMN()-1,4)),UNSPSCCode,0)),IF(INDIRECT(ADDRESS(ROW(),COLUMN()-1,4))="31231313","Tubería de plástico",""))</f>
        <v>Tubería de plástico</v>
      </c>
      <c r="C2063" s="72" t="str">
        <f>IFERROR(VLOOKUP("UD",'Informacion '!P:Q,2,FALSE),"")</f>
        <v>Unidad</v>
      </c>
      <c r="D2063" s="39">
        <v>15</v>
      </c>
      <c r="E2063" s="42">
        <v>377.57</v>
      </c>
      <c r="F2063" s="41">
        <f ca="1">INDIRECT(ADDRESS(ROW(),COLUMN()-2,4))*INDIRECT(ADDRESS(ROW(),COLUMN()-1,4))</f>
        <v>5663.55</v>
      </c>
    </row>
    <row r="2064" spans="1:10" ht="14.25" customHeight="1" x14ac:dyDescent="0.35">
      <c r="E2064" s="44" t="s">
        <v>13122</v>
      </c>
      <c r="F2064" s="45">
        <f ca="1">SUM(Table111[MONTO TOTAL ESTIMADO])</f>
        <v>10161</v>
      </c>
      <c r="H2064" s="24" t="str">
        <f>C2055</f>
        <v>Bienes</v>
      </c>
      <c r="I2064" s="24" t="str">
        <f>E2055</f>
        <v>Sí</v>
      </c>
      <c r="J2064" s="24" t="str">
        <f>D2055</f>
        <v>Compras por debajo del Umbral</v>
      </c>
    </row>
    <row r="2066" spans="1:10" ht="34" customHeight="1" x14ac:dyDescent="0.35">
      <c r="A2066" s="36" t="s">
        <v>17105</v>
      </c>
      <c r="B2066" s="36" t="s">
        <v>167</v>
      </c>
      <c r="C2066" s="36" t="s">
        <v>12252</v>
      </c>
      <c r="D2066" s="36" t="s">
        <v>15021</v>
      </c>
      <c r="E2066" s="36" t="s">
        <v>11455</v>
      </c>
      <c r="F2066" s="36" t="s">
        <v>11595</v>
      </c>
    </row>
    <row r="2067" spans="1:10" ht="14.25" customHeight="1" x14ac:dyDescent="0.35">
      <c r="A2067" s="37" t="s">
        <v>18042</v>
      </c>
      <c r="B2067" s="37" t="s">
        <v>18042</v>
      </c>
      <c r="C2067" s="37" t="s">
        <v>18585</v>
      </c>
      <c r="D2067" s="37" t="s">
        <v>10634</v>
      </c>
      <c r="E2067" s="37" t="s">
        <v>9261</v>
      </c>
      <c r="F2067" s="37" t="s">
        <v>7088</v>
      </c>
    </row>
    <row r="2068" spans="1:10" ht="14.25" customHeight="1" x14ac:dyDescent="0.35">
      <c r="A2068" s="75" t="s">
        <v>15490</v>
      </c>
      <c r="B2068" s="38" t="s">
        <v>8918</v>
      </c>
      <c r="C2068" s="68">
        <v>45334</v>
      </c>
      <c r="D2068" s="75" t="s">
        <v>9819</v>
      </c>
      <c r="E2068" s="70" t="s">
        <v>13683</v>
      </c>
      <c r="F2068" s="71" t="s">
        <v>3205</v>
      </c>
    </row>
    <row r="2069" spans="1:10" ht="14.25" customHeight="1" x14ac:dyDescent="0.35">
      <c r="A2069" s="76"/>
      <c r="B2069" s="38" t="s">
        <v>1858</v>
      </c>
      <c r="C2069" s="69">
        <f>IF(C2068="","",IF(AND(MONTH(C2068)&gt;=1,MONTH(C2068)&lt;=3),1,IF(AND(MONTH(C2068)&gt;=4,MONTH(C2068)&lt;=6),2,IF(AND(MONTH(C2068)&gt;=7,MONTH(C2068)&lt;=9),3,4))))</f>
        <v>1</v>
      </c>
      <c r="D2069" s="76"/>
      <c r="E2069" s="70" t="s">
        <v>2509</v>
      </c>
      <c r="F2069" s="71" t="s">
        <v>11612</v>
      </c>
    </row>
    <row r="2070" spans="1:10" ht="14.25" customHeight="1" x14ac:dyDescent="0.35">
      <c r="A2070" s="76"/>
      <c r="B2070" s="38" t="s">
        <v>13526</v>
      </c>
      <c r="C2070" s="68">
        <v>45378</v>
      </c>
      <c r="D2070" s="76"/>
      <c r="E2070" s="70" t="s">
        <v>3198</v>
      </c>
      <c r="F2070" s="71" t="s">
        <v>11612</v>
      </c>
    </row>
    <row r="2071" spans="1:10" ht="14.25" customHeight="1" x14ac:dyDescent="0.35">
      <c r="A2071" s="76"/>
      <c r="B2071" s="38" t="s">
        <v>1858</v>
      </c>
      <c r="C2071" s="69">
        <f>IF(C2070="","",IF(AND(MONTH(C2070)&gt;=1,MONTH(C2070)&lt;=3),1,IF(AND(MONTH(C2070)&gt;=4,MONTH(C2070)&lt;=6),2,IF(AND(MONTH(C2070)&gt;=7,MONTH(C2070)&lt;=9),3,4))))</f>
        <v>1</v>
      </c>
      <c r="D2071" s="76"/>
      <c r="E2071" s="70" t="s">
        <v>13785</v>
      </c>
      <c r="F2071" s="71"/>
    </row>
    <row r="2073" spans="1:10" ht="14.25" customHeight="1" x14ac:dyDescent="0.35">
      <c r="A2073" s="43" t="s">
        <v>16424</v>
      </c>
      <c r="B2073" s="43" t="s">
        <v>16856</v>
      </c>
      <c r="C2073" s="43" t="s">
        <v>16326</v>
      </c>
      <c r="D2073" s="43" t="s">
        <v>15925</v>
      </c>
      <c r="E2073" s="43" t="s">
        <v>7248</v>
      </c>
      <c r="F2073" s="43" t="s">
        <v>15955</v>
      </c>
    </row>
    <row r="2074" spans="1:10" ht="14.25" customHeight="1" x14ac:dyDescent="0.35">
      <c r="A2074" s="39" t="s">
        <v>15582</v>
      </c>
      <c r="B2074" s="40" t="str">
        <f ca="1">IFERROR(INDEX(UNSPSCDes,MATCH(INDIRECT(ADDRESS(ROW(),COLUMN()-1,4)),UNSPSCCode,0)),IF(INDIRECT(ADDRESS(ROW(),COLUMN()-1,4))="31242204","Difusores ópticos",""))</f>
        <v>Difusores ópticos</v>
      </c>
      <c r="C2074" s="72" t="str">
        <f>IFERROR(VLOOKUP("UD",'Informacion '!P:Q,2,FALSE),"")</f>
        <v>Unidad</v>
      </c>
      <c r="D2074" s="39">
        <v>100</v>
      </c>
      <c r="E2074" s="42">
        <v>100.3</v>
      </c>
      <c r="F2074" s="41">
        <f ca="1">INDIRECT(ADDRESS(ROW(),COLUMN()-2,4))*INDIRECT(ADDRESS(ROW(),COLUMN()-1,4))</f>
        <v>10030</v>
      </c>
    </row>
    <row r="2075" spans="1:10" ht="14.25" customHeight="1" x14ac:dyDescent="0.35">
      <c r="A2075" s="39" t="s">
        <v>15582</v>
      </c>
      <c r="B2075" s="40" t="str">
        <f ca="1">IFERROR(INDEX(UNSPSCDes,MATCH(INDIRECT(ADDRESS(ROW(),COLUMN()-1,4)),UNSPSCCode,0)),IF(INDIRECT(ADDRESS(ROW(),COLUMN()-1,4))="31242204","Difusores ópticos",""))</f>
        <v>Difusores ópticos</v>
      </c>
      <c r="C2075" s="72" t="str">
        <f>IFERROR(VLOOKUP("UD",'Informacion '!P:Q,2,FALSE),"")</f>
        <v>Unidad</v>
      </c>
      <c r="D2075" s="39">
        <v>100</v>
      </c>
      <c r="E2075" s="42">
        <v>359.9</v>
      </c>
      <c r="F2075" s="41">
        <f ca="1">INDIRECT(ADDRESS(ROW(),COLUMN()-2,4))*INDIRECT(ADDRESS(ROW(),COLUMN()-1,4))</f>
        <v>35990</v>
      </c>
    </row>
    <row r="2076" spans="1:10" ht="14.25" customHeight="1" x14ac:dyDescent="0.35">
      <c r="A2076" s="39" t="s">
        <v>15582</v>
      </c>
      <c r="B2076" s="40" t="str">
        <f ca="1">IFERROR(INDEX(UNSPSCDes,MATCH(INDIRECT(ADDRESS(ROW(),COLUMN()-1,4)),UNSPSCCode,0)),IF(INDIRECT(ADDRESS(ROW(),COLUMN()-1,4))="31242204","Difusores ópticos",""))</f>
        <v>Difusores ópticos</v>
      </c>
      <c r="C2076" s="72" t="str">
        <f>IFERROR(VLOOKUP("UD",'Informacion '!P:Q,2,FALSE),"")</f>
        <v>Unidad</v>
      </c>
      <c r="D2076" s="39">
        <v>100</v>
      </c>
      <c r="E2076" s="42">
        <v>265.5</v>
      </c>
      <c r="F2076" s="41">
        <f ca="1">INDIRECT(ADDRESS(ROW(),COLUMN()-2,4))*INDIRECT(ADDRESS(ROW(),COLUMN()-1,4))</f>
        <v>26550</v>
      </c>
    </row>
    <row r="2077" spans="1:10" ht="14.25" customHeight="1" x14ac:dyDescent="0.35">
      <c r="A2077" s="39" t="s">
        <v>15582</v>
      </c>
      <c r="B2077" s="40" t="str">
        <f ca="1">IFERROR(INDEX(UNSPSCDes,MATCH(INDIRECT(ADDRESS(ROW(),COLUMN()-1,4)),UNSPSCCode,0)),IF(INDIRECT(ADDRESS(ROW(),COLUMN()-1,4))="31242204","Difusores ópticos",""))</f>
        <v>Difusores ópticos</v>
      </c>
      <c r="C2077" s="72" t="str">
        <f>IFERROR(VLOOKUP("UD",'Informacion '!P:Q,2,FALSE),"")</f>
        <v>Unidad</v>
      </c>
      <c r="D2077" s="39">
        <v>75</v>
      </c>
      <c r="E2077" s="42">
        <v>218.3</v>
      </c>
      <c r="F2077" s="41">
        <f ca="1">INDIRECT(ADDRESS(ROW(),COLUMN()-2,4))*INDIRECT(ADDRESS(ROW(),COLUMN()-1,4))</f>
        <v>16372.5</v>
      </c>
    </row>
    <row r="2078" spans="1:10" ht="14.25" customHeight="1" x14ac:dyDescent="0.35">
      <c r="E2078" s="44" t="s">
        <v>13122</v>
      </c>
      <c r="F2078" s="45">
        <f ca="1">SUM(Table112[MONTO TOTAL ESTIMADO])</f>
        <v>88942.5</v>
      </c>
      <c r="H2078" s="24" t="str">
        <f>C2067</f>
        <v>Bienes</v>
      </c>
      <c r="I2078" s="24" t="str">
        <f>E2067</f>
        <v>Sí</v>
      </c>
      <c r="J2078" s="24" t="str">
        <f>D2067</f>
        <v>Compras por debajo del Umbral</v>
      </c>
    </row>
    <row r="2080" spans="1:10" ht="34" customHeight="1" x14ac:dyDescent="0.35">
      <c r="A2080" s="36" t="s">
        <v>17105</v>
      </c>
      <c r="B2080" s="36" t="s">
        <v>167</v>
      </c>
      <c r="C2080" s="36" t="s">
        <v>12252</v>
      </c>
      <c r="D2080" s="36" t="s">
        <v>15021</v>
      </c>
      <c r="E2080" s="36" t="s">
        <v>11455</v>
      </c>
      <c r="F2080" s="36" t="s">
        <v>11595</v>
      </c>
    </row>
    <row r="2081" spans="1:10" ht="14.25" customHeight="1" x14ac:dyDescent="0.35">
      <c r="A2081" s="37" t="s">
        <v>18042</v>
      </c>
      <c r="B2081" s="37" t="s">
        <v>18042</v>
      </c>
      <c r="C2081" s="37" t="s">
        <v>18585</v>
      </c>
      <c r="D2081" s="37" t="s">
        <v>10634</v>
      </c>
      <c r="E2081" s="37" t="s">
        <v>9261</v>
      </c>
      <c r="F2081" s="37" t="s">
        <v>7088</v>
      </c>
    </row>
    <row r="2082" spans="1:10" ht="14.25" customHeight="1" x14ac:dyDescent="0.35">
      <c r="A2082" s="75" t="s">
        <v>15490</v>
      </c>
      <c r="B2082" s="38" t="s">
        <v>8918</v>
      </c>
      <c r="C2082" s="68">
        <v>45383</v>
      </c>
      <c r="D2082" s="75" t="s">
        <v>9819</v>
      </c>
      <c r="E2082" s="70" t="s">
        <v>13683</v>
      </c>
      <c r="F2082" s="71" t="s">
        <v>3205</v>
      </c>
    </row>
    <row r="2083" spans="1:10" ht="14.25" customHeight="1" x14ac:dyDescent="0.35">
      <c r="A2083" s="76"/>
      <c r="B2083" s="38" t="s">
        <v>1858</v>
      </c>
      <c r="C2083" s="69">
        <f>IF(C2082="","",IF(AND(MONTH(C2082)&gt;=1,MONTH(C2082)&lt;=3),1,IF(AND(MONTH(C2082)&gt;=4,MONTH(C2082)&lt;=6),2,IF(AND(MONTH(C2082)&gt;=7,MONTH(C2082)&lt;=9),3,4))))</f>
        <v>2</v>
      </c>
      <c r="D2083" s="76"/>
      <c r="E2083" s="70" t="s">
        <v>2509</v>
      </c>
      <c r="F2083" s="71" t="s">
        <v>11612</v>
      </c>
    </row>
    <row r="2084" spans="1:10" ht="14.25" customHeight="1" x14ac:dyDescent="0.35">
      <c r="A2084" s="76"/>
      <c r="B2084" s="38" t="s">
        <v>13526</v>
      </c>
      <c r="C2084" s="68">
        <v>45471</v>
      </c>
      <c r="D2084" s="76"/>
      <c r="E2084" s="70" t="s">
        <v>3198</v>
      </c>
      <c r="F2084" s="71" t="s">
        <v>11612</v>
      </c>
    </row>
    <row r="2085" spans="1:10" ht="14.25" customHeight="1" x14ac:dyDescent="0.35">
      <c r="A2085" s="76"/>
      <c r="B2085" s="38" t="s">
        <v>1858</v>
      </c>
      <c r="C2085" s="69">
        <f>IF(C2084="","",IF(AND(MONTH(C2084)&gt;=1,MONTH(C2084)&lt;=3),1,IF(AND(MONTH(C2084)&gt;=4,MONTH(C2084)&lt;=6),2,IF(AND(MONTH(C2084)&gt;=7,MONTH(C2084)&lt;=9),3,4))))</f>
        <v>2</v>
      </c>
      <c r="D2085" s="76"/>
      <c r="E2085" s="70" t="s">
        <v>13785</v>
      </c>
      <c r="F2085" s="71"/>
    </row>
    <row r="2087" spans="1:10" ht="14.25" customHeight="1" x14ac:dyDescent="0.35">
      <c r="A2087" s="43" t="s">
        <v>16424</v>
      </c>
      <c r="B2087" s="43" t="s">
        <v>16856</v>
      </c>
      <c r="C2087" s="43" t="s">
        <v>16326</v>
      </c>
      <c r="D2087" s="43" t="s">
        <v>15925</v>
      </c>
      <c r="E2087" s="43" t="s">
        <v>7248</v>
      </c>
      <c r="F2087" s="43" t="s">
        <v>15955</v>
      </c>
    </row>
    <row r="2088" spans="1:10" ht="14.25" customHeight="1" x14ac:dyDescent="0.35">
      <c r="A2088" s="39" t="s">
        <v>15491</v>
      </c>
      <c r="B2088" s="40" t="str">
        <f ca="1">IFERROR(INDEX(UNSPSCDes,MATCH(INDIRECT(ADDRESS(ROW(),COLUMN()-1,4)),UNSPSCCode,0)),IF(INDIRECT(ADDRESS(ROW(),COLUMN()-1,4))="31241702","Espejos metálicos",""))</f>
        <v>Espejos metálicos</v>
      </c>
      <c r="C2088" s="72" t="str">
        <f>IFERROR(VLOOKUP("UD",'Informacion '!P:Q,2,FALSE),"")</f>
        <v>Unidad</v>
      </c>
      <c r="D2088" s="39">
        <v>8</v>
      </c>
      <c r="E2088" s="42">
        <v>2500</v>
      </c>
      <c r="F2088" s="41">
        <f ca="1">INDIRECT(ADDRESS(ROW(),COLUMN()-2,4))*INDIRECT(ADDRESS(ROW(),COLUMN()-1,4))</f>
        <v>20000</v>
      </c>
    </row>
    <row r="2089" spans="1:10" ht="14.25" customHeight="1" x14ac:dyDescent="0.35">
      <c r="A2089" s="39" t="s">
        <v>15582</v>
      </c>
      <c r="B2089" s="40" t="str">
        <f ca="1">IFERROR(INDEX(UNSPSCDes,MATCH(INDIRECT(ADDRESS(ROW(),COLUMN()-1,4)),UNSPSCCode,0)),IF(INDIRECT(ADDRESS(ROW(),COLUMN()-1,4))="31242204","Difusores ópticos",""))</f>
        <v>Difusores ópticos</v>
      </c>
      <c r="C2089" s="72" t="str">
        <f>IFERROR(VLOOKUP("UD",'Informacion '!P:Q,2,FALSE),"")</f>
        <v>Unidad</v>
      </c>
      <c r="D2089" s="39">
        <v>100</v>
      </c>
      <c r="E2089" s="42">
        <v>100.3</v>
      </c>
      <c r="F2089" s="41">
        <f ca="1">INDIRECT(ADDRESS(ROW(),COLUMN()-2,4))*INDIRECT(ADDRESS(ROW(),COLUMN()-1,4))</f>
        <v>10030</v>
      </c>
    </row>
    <row r="2090" spans="1:10" ht="14.25" customHeight="1" x14ac:dyDescent="0.35">
      <c r="A2090" s="39" t="s">
        <v>15582</v>
      </c>
      <c r="B2090" s="40" t="str">
        <f ca="1">IFERROR(INDEX(UNSPSCDes,MATCH(INDIRECT(ADDRESS(ROW(),COLUMN()-1,4)),UNSPSCCode,0)),IF(INDIRECT(ADDRESS(ROW(),COLUMN()-1,4))="31242204","Difusores ópticos",""))</f>
        <v>Difusores ópticos</v>
      </c>
      <c r="C2090" s="72" t="str">
        <f>IFERROR(VLOOKUP("UD",'Informacion '!P:Q,2,FALSE),"")</f>
        <v>Unidad</v>
      </c>
      <c r="D2090" s="39">
        <v>100</v>
      </c>
      <c r="E2090" s="42">
        <v>359.9</v>
      </c>
      <c r="F2090" s="41">
        <f ca="1">INDIRECT(ADDRESS(ROW(),COLUMN()-2,4))*INDIRECT(ADDRESS(ROW(),COLUMN()-1,4))</f>
        <v>35990</v>
      </c>
    </row>
    <row r="2091" spans="1:10" ht="14.25" customHeight="1" x14ac:dyDescent="0.35">
      <c r="A2091" s="39" t="s">
        <v>15582</v>
      </c>
      <c r="B2091" s="40" t="str">
        <f ca="1">IFERROR(INDEX(UNSPSCDes,MATCH(INDIRECT(ADDRESS(ROW(),COLUMN()-1,4)),UNSPSCCode,0)),IF(INDIRECT(ADDRESS(ROW(),COLUMN()-1,4))="31242204","Difusores ópticos",""))</f>
        <v>Difusores ópticos</v>
      </c>
      <c r="C2091" s="72" t="str">
        <f>IFERROR(VLOOKUP("UD",'Informacion '!P:Q,2,FALSE),"")</f>
        <v>Unidad</v>
      </c>
      <c r="D2091" s="39">
        <v>100</v>
      </c>
      <c r="E2091" s="42">
        <v>265.5</v>
      </c>
      <c r="F2091" s="41">
        <f ca="1">INDIRECT(ADDRESS(ROW(),COLUMN()-2,4))*INDIRECT(ADDRESS(ROW(),COLUMN()-1,4))</f>
        <v>26550</v>
      </c>
    </row>
    <row r="2092" spans="1:10" ht="14.25" customHeight="1" x14ac:dyDescent="0.35">
      <c r="A2092" s="39" t="s">
        <v>15582</v>
      </c>
      <c r="B2092" s="40" t="str">
        <f ca="1">IFERROR(INDEX(UNSPSCDes,MATCH(INDIRECT(ADDRESS(ROW(),COLUMN()-1,4)),UNSPSCCode,0)),IF(INDIRECT(ADDRESS(ROW(),COLUMN()-1,4))="31242204","Difusores ópticos",""))</f>
        <v>Difusores ópticos</v>
      </c>
      <c r="C2092" s="72" t="str">
        <f>IFERROR(VLOOKUP("UD",'Informacion '!P:Q,2,FALSE),"")</f>
        <v>Unidad</v>
      </c>
      <c r="D2092" s="39">
        <v>75</v>
      </c>
      <c r="E2092" s="42">
        <v>218.3</v>
      </c>
      <c r="F2092" s="41">
        <f ca="1">INDIRECT(ADDRESS(ROW(),COLUMN()-2,4))*INDIRECT(ADDRESS(ROW(),COLUMN()-1,4))</f>
        <v>16372.5</v>
      </c>
    </row>
    <row r="2093" spans="1:10" ht="14.25" customHeight="1" x14ac:dyDescent="0.35">
      <c r="E2093" s="44" t="s">
        <v>13122</v>
      </c>
      <c r="F2093" s="45">
        <f ca="1">SUM(Table113[MONTO TOTAL ESTIMADO])</f>
        <v>108942.5</v>
      </c>
      <c r="H2093" s="24" t="str">
        <f>C2081</f>
        <v>Bienes</v>
      </c>
      <c r="I2093" s="24" t="str">
        <f>E2081</f>
        <v>Sí</v>
      </c>
      <c r="J2093" s="24" t="str">
        <f>D2081</f>
        <v>Compras por debajo del Umbral</v>
      </c>
    </row>
    <row r="2095" spans="1:10" ht="34" customHeight="1" x14ac:dyDescent="0.35">
      <c r="A2095" s="36" t="s">
        <v>17105</v>
      </c>
      <c r="B2095" s="36" t="s">
        <v>167</v>
      </c>
      <c r="C2095" s="36" t="s">
        <v>12252</v>
      </c>
      <c r="D2095" s="36" t="s">
        <v>15021</v>
      </c>
      <c r="E2095" s="36" t="s">
        <v>11455</v>
      </c>
      <c r="F2095" s="36" t="s">
        <v>11595</v>
      </c>
    </row>
    <row r="2096" spans="1:10" ht="14.25" customHeight="1" x14ac:dyDescent="0.35">
      <c r="A2096" s="37" t="s">
        <v>18042</v>
      </c>
      <c r="B2096" s="37" t="s">
        <v>18042</v>
      </c>
      <c r="C2096" s="37" t="s">
        <v>18585</v>
      </c>
      <c r="D2096" s="37" t="s">
        <v>10634</v>
      </c>
      <c r="E2096" s="37" t="s">
        <v>9261</v>
      </c>
      <c r="F2096" s="37" t="s">
        <v>7088</v>
      </c>
    </row>
    <row r="2097" spans="1:10" ht="14.25" customHeight="1" x14ac:dyDescent="0.35">
      <c r="A2097" s="75" t="s">
        <v>15490</v>
      </c>
      <c r="B2097" s="38" t="s">
        <v>8918</v>
      </c>
      <c r="C2097" s="68">
        <v>45474</v>
      </c>
      <c r="D2097" s="75" t="s">
        <v>9819</v>
      </c>
      <c r="E2097" s="70" t="s">
        <v>13683</v>
      </c>
      <c r="F2097" s="71" t="s">
        <v>3205</v>
      </c>
    </row>
    <row r="2098" spans="1:10" ht="14.25" customHeight="1" x14ac:dyDescent="0.35">
      <c r="A2098" s="76"/>
      <c r="B2098" s="38" t="s">
        <v>1858</v>
      </c>
      <c r="C2098" s="69">
        <f>IF(C2097="","",IF(AND(MONTH(C2097)&gt;=1,MONTH(C2097)&lt;=3),1,IF(AND(MONTH(C2097)&gt;=4,MONTH(C2097)&lt;=6),2,IF(AND(MONTH(C2097)&gt;=7,MONTH(C2097)&lt;=9),3,4))))</f>
        <v>3</v>
      </c>
      <c r="D2098" s="76"/>
      <c r="E2098" s="70" t="s">
        <v>2509</v>
      </c>
      <c r="F2098" s="71" t="s">
        <v>11612</v>
      </c>
    </row>
    <row r="2099" spans="1:10" ht="14.25" customHeight="1" x14ac:dyDescent="0.35">
      <c r="A2099" s="76"/>
      <c r="B2099" s="38" t="s">
        <v>13526</v>
      </c>
      <c r="C2099" s="68">
        <v>45565</v>
      </c>
      <c r="D2099" s="76"/>
      <c r="E2099" s="70" t="s">
        <v>3198</v>
      </c>
      <c r="F2099" s="71" t="s">
        <v>11612</v>
      </c>
    </row>
    <row r="2100" spans="1:10" ht="14.25" customHeight="1" x14ac:dyDescent="0.35">
      <c r="A2100" s="76"/>
      <c r="B2100" s="38" t="s">
        <v>1858</v>
      </c>
      <c r="C2100" s="69">
        <f>IF(C2099="","",IF(AND(MONTH(C2099)&gt;=1,MONTH(C2099)&lt;=3),1,IF(AND(MONTH(C2099)&gt;=4,MONTH(C2099)&lt;=6),2,IF(AND(MONTH(C2099)&gt;=7,MONTH(C2099)&lt;=9),3,4))))</f>
        <v>3</v>
      </c>
      <c r="D2100" s="76"/>
      <c r="E2100" s="70" t="s">
        <v>13785</v>
      </c>
      <c r="F2100" s="71"/>
    </row>
    <row r="2102" spans="1:10" ht="14.25" customHeight="1" x14ac:dyDescent="0.35">
      <c r="A2102" s="43" t="s">
        <v>16424</v>
      </c>
      <c r="B2102" s="43" t="s">
        <v>16856</v>
      </c>
      <c r="C2102" s="43" t="s">
        <v>16326</v>
      </c>
      <c r="D2102" s="43" t="s">
        <v>15925</v>
      </c>
      <c r="E2102" s="43" t="s">
        <v>7248</v>
      </c>
      <c r="F2102" s="43" t="s">
        <v>15955</v>
      </c>
    </row>
    <row r="2103" spans="1:10" ht="14.25" customHeight="1" x14ac:dyDescent="0.35">
      <c r="A2103" s="39" t="s">
        <v>15582</v>
      </c>
      <c r="B2103" s="40" t="str">
        <f ca="1">IFERROR(INDEX(UNSPSCDes,MATCH(INDIRECT(ADDRESS(ROW(),COLUMN()-1,4)),UNSPSCCode,0)),IF(INDIRECT(ADDRESS(ROW(),COLUMN()-1,4))="31242204","Difusores ópticos",""))</f>
        <v>Difusores ópticos</v>
      </c>
      <c r="C2103" s="72" t="str">
        <f>IFERROR(VLOOKUP("UD",'Informacion '!P:Q,2,FALSE),"")</f>
        <v>Unidad</v>
      </c>
      <c r="D2103" s="39">
        <v>100</v>
      </c>
      <c r="E2103" s="42">
        <v>100.3</v>
      </c>
      <c r="F2103" s="41">
        <f ca="1">INDIRECT(ADDRESS(ROW(),COLUMN()-2,4))*INDIRECT(ADDRESS(ROW(),COLUMN()-1,4))</f>
        <v>10030</v>
      </c>
    </row>
    <row r="2104" spans="1:10" ht="14.25" customHeight="1" x14ac:dyDescent="0.35">
      <c r="A2104" s="39" t="s">
        <v>15582</v>
      </c>
      <c r="B2104" s="40" t="str">
        <f ca="1">IFERROR(INDEX(UNSPSCDes,MATCH(INDIRECT(ADDRESS(ROW(),COLUMN()-1,4)),UNSPSCCode,0)),IF(INDIRECT(ADDRESS(ROW(),COLUMN()-1,4))="31242204","Difusores ópticos",""))</f>
        <v>Difusores ópticos</v>
      </c>
      <c r="C2104" s="72" t="str">
        <f>IFERROR(VLOOKUP("UD",'Informacion '!P:Q,2,FALSE),"")</f>
        <v>Unidad</v>
      </c>
      <c r="D2104" s="39">
        <v>100</v>
      </c>
      <c r="E2104" s="42">
        <v>359.9</v>
      </c>
      <c r="F2104" s="41">
        <f ca="1">INDIRECT(ADDRESS(ROW(),COLUMN()-2,4))*INDIRECT(ADDRESS(ROW(),COLUMN()-1,4))</f>
        <v>35990</v>
      </c>
    </row>
    <row r="2105" spans="1:10" ht="14.25" customHeight="1" x14ac:dyDescent="0.35">
      <c r="A2105" s="39" t="s">
        <v>15582</v>
      </c>
      <c r="B2105" s="40" t="str">
        <f ca="1">IFERROR(INDEX(UNSPSCDes,MATCH(INDIRECT(ADDRESS(ROW(),COLUMN()-1,4)),UNSPSCCode,0)),IF(INDIRECT(ADDRESS(ROW(),COLUMN()-1,4))="31242204","Difusores ópticos",""))</f>
        <v>Difusores ópticos</v>
      </c>
      <c r="C2105" s="72" t="str">
        <f>IFERROR(VLOOKUP("UD",'Informacion '!P:Q,2,FALSE),"")</f>
        <v>Unidad</v>
      </c>
      <c r="D2105" s="39">
        <v>100</v>
      </c>
      <c r="E2105" s="42">
        <v>265.5</v>
      </c>
      <c r="F2105" s="41">
        <f ca="1">INDIRECT(ADDRESS(ROW(),COLUMN()-2,4))*INDIRECT(ADDRESS(ROW(),COLUMN()-1,4))</f>
        <v>26550</v>
      </c>
    </row>
    <row r="2106" spans="1:10" ht="14.25" customHeight="1" x14ac:dyDescent="0.35">
      <c r="A2106" s="39" t="s">
        <v>15582</v>
      </c>
      <c r="B2106" s="40" t="str">
        <f ca="1">IFERROR(INDEX(UNSPSCDes,MATCH(INDIRECT(ADDRESS(ROW(),COLUMN()-1,4)),UNSPSCCode,0)),IF(INDIRECT(ADDRESS(ROW(),COLUMN()-1,4))="31242204","Difusores ópticos",""))</f>
        <v>Difusores ópticos</v>
      </c>
      <c r="C2106" s="72" t="str">
        <f>IFERROR(VLOOKUP("UD",'Informacion '!P:Q,2,FALSE),"")</f>
        <v>Unidad</v>
      </c>
      <c r="D2106" s="39">
        <v>75</v>
      </c>
      <c r="E2106" s="42">
        <v>218.3</v>
      </c>
      <c r="F2106" s="41">
        <f ca="1">INDIRECT(ADDRESS(ROW(),COLUMN()-2,4))*INDIRECT(ADDRESS(ROW(),COLUMN()-1,4))</f>
        <v>16372.5</v>
      </c>
    </row>
    <row r="2107" spans="1:10" ht="14.25" customHeight="1" x14ac:dyDescent="0.35">
      <c r="E2107" s="44" t="s">
        <v>13122</v>
      </c>
      <c r="F2107" s="45">
        <f ca="1">SUM(Table114[MONTO TOTAL ESTIMADO])</f>
        <v>88942.5</v>
      </c>
      <c r="H2107" s="24" t="str">
        <f>C2096</f>
        <v>Bienes</v>
      </c>
      <c r="I2107" s="24" t="str">
        <f>E2096</f>
        <v>Sí</v>
      </c>
      <c r="J2107" s="24" t="str">
        <f>D2096</f>
        <v>Compras por debajo del Umbral</v>
      </c>
    </row>
    <row r="2109" spans="1:10" ht="34" customHeight="1" x14ac:dyDescent="0.35">
      <c r="A2109" s="36" t="s">
        <v>17105</v>
      </c>
      <c r="B2109" s="36" t="s">
        <v>167</v>
      </c>
      <c r="C2109" s="36" t="s">
        <v>12252</v>
      </c>
      <c r="D2109" s="36" t="s">
        <v>15021</v>
      </c>
      <c r="E2109" s="36" t="s">
        <v>11455</v>
      </c>
      <c r="F2109" s="36" t="s">
        <v>11595</v>
      </c>
    </row>
    <row r="2110" spans="1:10" ht="14.25" customHeight="1" x14ac:dyDescent="0.35">
      <c r="A2110" s="37" t="s">
        <v>18042</v>
      </c>
      <c r="B2110" s="37" t="s">
        <v>18042</v>
      </c>
      <c r="C2110" s="37" t="s">
        <v>18585</v>
      </c>
      <c r="D2110" s="37" t="s">
        <v>10634</v>
      </c>
      <c r="E2110" s="37" t="s">
        <v>9261</v>
      </c>
      <c r="F2110" s="37" t="s">
        <v>7088</v>
      </c>
    </row>
    <row r="2111" spans="1:10" ht="14.25" customHeight="1" x14ac:dyDescent="0.35">
      <c r="A2111" s="75" t="s">
        <v>15490</v>
      </c>
      <c r="B2111" s="38" t="s">
        <v>8918</v>
      </c>
      <c r="C2111" s="68">
        <v>45566</v>
      </c>
      <c r="D2111" s="75" t="s">
        <v>9819</v>
      </c>
      <c r="E2111" s="70" t="s">
        <v>13683</v>
      </c>
      <c r="F2111" s="71" t="s">
        <v>3205</v>
      </c>
    </row>
    <row r="2112" spans="1:10" ht="14.25" customHeight="1" x14ac:dyDescent="0.35">
      <c r="A2112" s="76"/>
      <c r="B2112" s="38" t="s">
        <v>1858</v>
      </c>
      <c r="C2112" s="69">
        <f>IF(C2111="","",IF(AND(MONTH(C2111)&gt;=1,MONTH(C2111)&lt;=3),1,IF(AND(MONTH(C2111)&gt;=4,MONTH(C2111)&lt;=6),2,IF(AND(MONTH(C2111)&gt;=7,MONTH(C2111)&lt;=9),3,4))))</f>
        <v>4</v>
      </c>
      <c r="D2112" s="76"/>
      <c r="E2112" s="70" t="s">
        <v>2509</v>
      </c>
      <c r="F2112" s="71" t="s">
        <v>11612</v>
      </c>
    </row>
    <row r="2113" spans="1:10" ht="14.25" customHeight="1" x14ac:dyDescent="0.35">
      <c r="A2113" s="76"/>
      <c r="B2113" s="38" t="s">
        <v>13526</v>
      </c>
      <c r="C2113" s="68">
        <v>45657</v>
      </c>
      <c r="D2113" s="76"/>
      <c r="E2113" s="70" t="s">
        <v>3198</v>
      </c>
      <c r="F2113" s="71" t="s">
        <v>11612</v>
      </c>
    </row>
    <row r="2114" spans="1:10" ht="14.25" customHeight="1" x14ac:dyDescent="0.35">
      <c r="A2114" s="76"/>
      <c r="B2114" s="38" t="s">
        <v>1858</v>
      </c>
      <c r="C2114" s="69">
        <f>IF(C2113="","",IF(AND(MONTH(C2113)&gt;=1,MONTH(C2113)&lt;=3),1,IF(AND(MONTH(C2113)&gt;=4,MONTH(C2113)&lt;=6),2,IF(AND(MONTH(C2113)&gt;=7,MONTH(C2113)&lt;=9),3,4))))</f>
        <v>4</v>
      </c>
      <c r="D2114" s="76"/>
      <c r="E2114" s="70" t="s">
        <v>13785</v>
      </c>
      <c r="F2114" s="71"/>
    </row>
    <row r="2116" spans="1:10" ht="14.25" customHeight="1" x14ac:dyDescent="0.35">
      <c r="A2116" s="43" t="s">
        <v>16424</v>
      </c>
      <c r="B2116" s="43" t="s">
        <v>16856</v>
      </c>
      <c r="C2116" s="43" t="s">
        <v>16326</v>
      </c>
      <c r="D2116" s="43" t="s">
        <v>15925</v>
      </c>
      <c r="E2116" s="43" t="s">
        <v>7248</v>
      </c>
      <c r="F2116" s="43" t="s">
        <v>15955</v>
      </c>
    </row>
    <row r="2117" spans="1:10" ht="14.25" customHeight="1" x14ac:dyDescent="0.35">
      <c r="A2117" s="39" t="s">
        <v>15582</v>
      </c>
      <c r="B2117" s="40" t="str">
        <f ca="1">IFERROR(INDEX(UNSPSCDes,MATCH(INDIRECT(ADDRESS(ROW(),COLUMN()-1,4)),UNSPSCCode,0)),IF(INDIRECT(ADDRESS(ROW(),COLUMN()-1,4))="31242204","Difusores ópticos",""))</f>
        <v>Difusores ópticos</v>
      </c>
      <c r="C2117" s="72" t="str">
        <f>IFERROR(VLOOKUP("UD",'Informacion '!P:Q,2,FALSE),"")</f>
        <v>Unidad</v>
      </c>
      <c r="D2117" s="39">
        <v>100</v>
      </c>
      <c r="E2117" s="42">
        <v>100.3</v>
      </c>
      <c r="F2117" s="41">
        <f ca="1">INDIRECT(ADDRESS(ROW(),COLUMN()-2,4))*INDIRECT(ADDRESS(ROW(),COLUMN()-1,4))</f>
        <v>10030</v>
      </c>
    </row>
    <row r="2118" spans="1:10" ht="14.25" customHeight="1" x14ac:dyDescent="0.35">
      <c r="A2118" s="39" t="s">
        <v>15582</v>
      </c>
      <c r="B2118" s="40" t="str">
        <f ca="1">IFERROR(INDEX(UNSPSCDes,MATCH(INDIRECT(ADDRESS(ROW(),COLUMN()-1,4)),UNSPSCCode,0)),IF(INDIRECT(ADDRESS(ROW(),COLUMN()-1,4))="31242204","Difusores ópticos",""))</f>
        <v>Difusores ópticos</v>
      </c>
      <c r="C2118" s="72" t="str">
        <f>IFERROR(VLOOKUP("UD",'Informacion '!P:Q,2,FALSE),"")</f>
        <v>Unidad</v>
      </c>
      <c r="D2118" s="39">
        <v>100</v>
      </c>
      <c r="E2118" s="42">
        <v>359.9</v>
      </c>
      <c r="F2118" s="41">
        <f ca="1">INDIRECT(ADDRESS(ROW(),COLUMN()-2,4))*INDIRECT(ADDRESS(ROW(),COLUMN()-1,4))</f>
        <v>35990</v>
      </c>
    </row>
    <row r="2119" spans="1:10" ht="14.25" customHeight="1" x14ac:dyDescent="0.35">
      <c r="A2119" s="39" t="s">
        <v>15582</v>
      </c>
      <c r="B2119" s="40" t="str">
        <f ca="1">IFERROR(INDEX(UNSPSCDes,MATCH(INDIRECT(ADDRESS(ROW(),COLUMN()-1,4)),UNSPSCCode,0)),IF(INDIRECT(ADDRESS(ROW(),COLUMN()-1,4))="31242204","Difusores ópticos",""))</f>
        <v>Difusores ópticos</v>
      </c>
      <c r="C2119" s="72" t="str">
        <f>IFERROR(VLOOKUP("UD",'Informacion '!P:Q,2,FALSE),"")</f>
        <v>Unidad</v>
      </c>
      <c r="D2119" s="39">
        <v>100</v>
      </c>
      <c r="E2119" s="42">
        <v>265.5</v>
      </c>
      <c r="F2119" s="41">
        <f ca="1">INDIRECT(ADDRESS(ROW(),COLUMN()-2,4))*INDIRECT(ADDRESS(ROW(),COLUMN()-1,4))</f>
        <v>26550</v>
      </c>
    </row>
    <row r="2120" spans="1:10" ht="14.25" customHeight="1" x14ac:dyDescent="0.35">
      <c r="A2120" s="39" t="s">
        <v>15582</v>
      </c>
      <c r="B2120" s="40" t="str">
        <f ca="1">IFERROR(INDEX(UNSPSCDes,MATCH(INDIRECT(ADDRESS(ROW(),COLUMN()-1,4)),UNSPSCCode,0)),IF(INDIRECT(ADDRESS(ROW(),COLUMN()-1,4))="31242204","Difusores ópticos",""))</f>
        <v>Difusores ópticos</v>
      </c>
      <c r="C2120" s="72" t="str">
        <f>IFERROR(VLOOKUP("UD",'Informacion '!P:Q,2,FALSE),"")</f>
        <v>Unidad</v>
      </c>
      <c r="D2120" s="39">
        <v>75</v>
      </c>
      <c r="E2120" s="42">
        <v>265.5</v>
      </c>
      <c r="F2120" s="41">
        <f ca="1">INDIRECT(ADDRESS(ROW(),COLUMN()-2,4))*INDIRECT(ADDRESS(ROW(),COLUMN()-1,4))</f>
        <v>19912.5</v>
      </c>
    </row>
    <row r="2121" spans="1:10" ht="14.25" customHeight="1" x14ac:dyDescent="0.35">
      <c r="E2121" s="44" t="s">
        <v>13122</v>
      </c>
      <c r="F2121" s="45">
        <f ca="1">SUM(Table115[MONTO TOTAL ESTIMADO])</f>
        <v>92482.5</v>
      </c>
      <c r="H2121" s="24" t="str">
        <f>C2110</f>
        <v>Bienes</v>
      </c>
      <c r="I2121" s="24" t="str">
        <f>E2110</f>
        <v>Sí</v>
      </c>
      <c r="J2121" s="24" t="str">
        <f>D2110</f>
        <v>Compras por debajo del Umbral</v>
      </c>
    </row>
    <row r="2123" spans="1:10" ht="34" customHeight="1" x14ac:dyDescent="0.35">
      <c r="A2123" s="36" t="s">
        <v>17105</v>
      </c>
      <c r="B2123" s="36" t="s">
        <v>167</v>
      </c>
      <c r="C2123" s="36" t="s">
        <v>12252</v>
      </c>
      <c r="D2123" s="36" t="s">
        <v>15021</v>
      </c>
      <c r="E2123" s="36" t="s">
        <v>11455</v>
      </c>
      <c r="F2123" s="36" t="s">
        <v>11595</v>
      </c>
    </row>
    <row r="2124" spans="1:10" ht="14.25" customHeight="1" x14ac:dyDescent="0.35">
      <c r="A2124" s="37" t="s">
        <v>18556</v>
      </c>
      <c r="B2124" s="37" t="s">
        <v>18556</v>
      </c>
      <c r="C2124" s="37" t="s">
        <v>18585</v>
      </c>
      <c r="D2124" s="37" t="s">
        <v>10634</v>
      </c>
      <c r="E2124" s="37" t="s">
        <v>9261</v>
      </c>
      <c r="F2124" s="37" t="s">
        <v>7088</v>
      </c>
    </row>
    <row r="2125" spans="1:10" ht="14.25" customHeight="1" x14ac:dyDescent="0.35">
      <c r="A2125" s="75" t="s">
        <v>15490</v>
      </c>
      <c r="B2125" s="38" t="s">
        <v>8918</v>
      </c>
      <c r="C2125" s="68">
        <v>45334</v>
      </c>
      <c r="D2125" s="75" t="s">
        <v>9819</v>
      </c>
      <c r="E2125" s="70" t="s">
        <v>13683</v>
      </c>
      <c r="F2125" s="71" t="s">
        <v>3205</v>
      </c>
    </row>
    <row r="2126" spans="1:10" ht="14.25" customHeight="1" x14ac:dyDescent="0.35">
      <c r="A2126" s="76"/>
      <c r="B2126" s="38" t="s">
        <v>1858</v>
      </c>
      <c r="C2126" s="69">
        <f>IF(C2125="","",IF(AND(MONTH(C2125)&gt;=1,MONTH(C2125)&lt;=3),1,IF(AND(MONTH(C2125)&gt;=4,MONTH(C2125)&lt;=6),2,IF(AND(MONTH(C2125)&gt;=7,MONTH(C2125)&lt;=9),3,4))))</f>
        <v>1</v>
      </c>
      <c r="D2126" s="76"/>
      <c r="E2126" s="70" t="s">
        <v>2509</v>
      </c>
      <c r="F2126" s="71" t="s">
        <v>11612</v>
      </c>
    </row>
    <row r="2127" spans="1:10" ht="14.25" customHeight="1" x14ac:dyDescent="0.35">
      <c r="A2127" s="76"/>
      <c r="B2127" s="38" t="s">
        <v>13526</v>
      </c>
      <c r="C2127" s="68">
        <v>45378</v>
      </c>
      <c r="D2127" s="76"/>
      <c r="E2127" s="70" t="s">
        <v>3198</v>
      </c>
      <c r="F2127" s="71" t="s">
        <v>11612</v>
      </c>
    </row>
    <row r="2128" spans="1:10" ht="14.25" customHeight="1" x14ac:dyDescent="0.35">
      <c r="A2128" s="76"/>
      <c r="B2128" s="38" t="s">
        <v>1858</v>
      </c>
      <c r="C2128" s="69">
        <f>IF(C2127="","",IF(AND(MONTH(C2127)&gt;=1,MONTH(C2127)&lt;=3),1,IF(AND(MONTH(C2127)&gt;=4,MONTH(C2127)&lt;=6),2,IF(AND(MONTH(C2127)&gt;=7,MONTH(C2127)&lt;=9),3,4))))</f>
        <v>1</v>
      </c>
      <c r="D2128" s="76"/>
      <c r="E2128" s="70" t="s">
        <v>13785</v>
      </c>
      <c r="F2128" s="71"/>
    </row>
    <row r="2130" spans="1:10" ht="14.25" customHeight="1" x14ac:dyDescent="0.35">
      <c r="A2130" s="43" t="s">
        <v>16424</v>
      </c>
      <c r="B2130" s="43" t="s">
        <v>16856</v>
      </c>
      <c r="C2130" s="43" t="s">
        <v>16326</v>
      </c>
      <c r="D2130" s="43" t="s">
        <v>15925</v>
      </c>
      <c r="E2130" s="43" t="s">
        <v>7248</v>
      </c>
      <c r="F2130" s="43" t="s">
        <v>15955</v>
      </c>
    </row>
    <row r="2131" spans="1:10" ht="14.25" customHeight="1" x14ac:dyDescent="0.35">
      <c r="A2131" s="39" t="s">
        <v>9716</v>
      </c>
      <c r="B2131" s="40" t="str">
        <f t="shared" ref="B2131:B2140" ca="1" si="78">IFERROR(INDEX(UNSPSCDes,MATCH(INDIRECT(ADDRESS(ROW(),COLUMN()-1,4)),UNSPSCCode,0)),IF(INDIRECT(ADDRESS(ROW(),COLUMN()-1,4))="32101522","Aisladores",""))</f>
        <v>Aisladores</v>
      </c>
      <c r="C2131" s="72" t="str">
        <f>IFERROR(VLOOKUP("UD",'Informacion '!P:Q,2,FALSE),"")</f>
        <v>Unidad</v>
      </c>
      <c r="D2131" s="39">
        <v>4</v>
      </c>
      <c r="E2131" s="42">
        <v>46.65</v>
      </c>
      <c r="F2131" s="41">
        <f t="shared" ref="F2131:F2140" ca="1" si="79">INDIRECT(ADDRESS(ROW(),COLUMN()-2,4))*INDIRECT(ADDRESS(ROW(),COLUMN()-1,4))</f>
        <v>186.6</v>
      </c>
    </row>
    <row r="2132" spans="1:10" ht="14.25" customHeight="1" x14ac:dyDescent="0.35">
      <c r="A2132" s="39" t="s">
        <v>9716</v>
      </c>
      <c r="B2132" s="40" t="str">
        <f t="shared" ca="1" si="78"/>
        <v>Aisladores</v>
      </c>
      <c r="C2132" s="72" t="str">
        <f>IFERROR(VLOOKUP("UD",'Informacion '!P:Q,2,FALSE),"")</f>
        <v>Unidad</v>
      </c>
      <c r="D2132" s="39">
        <v>1</v>
      </c>
      <c r="E2132" s="42">
        <v>880</v>
      </c>
      <c r="F2132" s="41">
        <f t="shared" ca="1" si="79"/>
        <v>880</v>
      </c>
    </row>
    <row r="2133" spans="1:10" ht="14.25" customHeight="1" x14ac:dyDescent="0.35">
      <c r="A2133" s="39" t="s">
        <v>9716</v>
      </c>
      <c r="B2133" s="40" t="str">
        <f t="shared" ca="1" si="78"/>
        <v>Aisladores</v>
      </c>
      <c r="C2133" s="72" t="str">
        <f>IFERROR(VLOOKUP("UD",'Informacion '!P:Q,2,FALSE),"")</f>
        <v>Unidad</v>
      </c>
      <c r="D2133" s="39">
        <v>1</v>
      </c>
      <c r="E2133" s="42">
        <v>855</v>
      </c>
      <c r="F2133" s="41">
        <f t="shared" ca="1" si="79"/>
        <v>855</v>
      </c>
    </row>
    <row r="2134" spans="1:10" ht="14.25" customHeight="1" x14ac:dyDescent="0.35">
      <c r="A2134" s="39" t="s">
        <v>9716</v>
      </c>
      <c r="B2134" s="40" t="str">
        <f t="shared" ca="1" si="78"/>
        <v>Aisladores</v>
      </c>
      <c r="C2134" s="72" t="str">
        <f>IFERROR(VLOOKUP("UD",'Informacion '!P:Q,2,FALSE),"")</f>
        <v>Unidad</v>
      </c>
      <c r="D2134" s="39">
        <v>7</v>
      </c>
      <c r="E2134" s="42">
        <v>46.65</v>
      </c>
      <c r="F2134" s="41">
        <f t="shared" ca="1" si="79"/>
        <v>326.55</v>
      </c>
    </row>
    <row r="2135" spans="1:10" ht="14.25" customHeight="1" x14ac:dyDescent="0.35">
      <c r="A2135" s="39" t="s">
        <v>9716</v>
      </c>
      <c r="B2135" s="40" t="str">
        <f t="shared" ca="1" si="78"/>
        <v>Aisladores</v>
      </c>
      <c r="C2135" s="72" t="str">
        <f>IFERROR(VLOOKUP("UD",'Informacion '!P:Q,2,FALSE),"")</f>
        <v>Unidad</v>
      </c>
      <c r="D2135" s="39">
        <v>9</v>
      </c>
      <c r="E2135" s="42">
        <v>855</v>
      </c>
      <c r="F2135" s="41">
        <f t="shared" ca="1" si="79"/>
        <v>7695</v>
      </c>
    </row>
    <row r="2136" spans="1:10" ht="14.25" customHeight="1" x14ac:dyDescent="0.35">
      <c r="A2136" s="39" t="s">
        <v>9716</v>
      </c>
      <c r="B2136" s="40" t="str">
        <f t="shared" ca="1" si="78"/>
        <v>Aisladores</v>
      </c>
      <c r="C2136" s="72" t="str">
        <f>IFERROR(VLOOKUP("UD",'Informacion '!P:Q,2,FALSE),"")</f>
        <v>Unidad</v>
      </c>
      <c r="D2136" s="39">
        <v>4</v>
      </c>
      <c r="E2136" s="42">
        <v>880</v>
      </c>
      <c r="F2136" s="41">
        <f t="shared" ca="1" si="79"/>
        <v>3520</v>
      </c>
    </row>
    <row r="2137" spans="1:10" ht="14.25" customHeight="1" x14ac:dyDescent="0.35">
      <c r="A2137" s="39" t="s">
        <v>9716</v>
      </c>
      <c r="B2137" s="40" t="str">
        <f t="shared" ca="1" si="78"/>
        <v>Aisladores</v>
      </c>
      <c r="C2137" s="72" t="str">
        <f>IFERROR(VLOOKUP("UD",'Informacion '!P:Q,2,FALSE),"")</f>
        <v>Unidad</v>
      </c>
      <c r="D2137" s="39">
        <v>7</v>
      </c>
      <c r="E2137" s="42">
        <v>46.65</v>
      </c>
      <c r="F2137" s="41">
        <f t="shared" ca="1" si="79"/>
        <v>326.55</v>
      </c>
    </row>
    <row r="2138" spans="1:10" ht="14.25" customHeight="1" x14ac:dyDescent="0.35">
      <c r="A2138" s="39" t="s">
        <v>9716</v>
      </c>
      <c r="B2138" s="40" t="str">
        <f t="shared" ca="1" si="78"/>
        <v>Aisladores</v>
      </c>
      <c r="C2138" s="72" t="str">
        <f>IFERROR(VLOOKUP("UD",'Informacion '!P:Q,2,FALSE),"")</f>
        <v>Unidad</v>
      </c>
      <c r="D2138" s="39">
        <v>4</v>
      </c>
      <c r="E2138" s="42">
        <v>46.65</v>
      </c>
      <c r="F2138" s="41">
        <f t="shared" ca="1" si="79"/>
        <v>186.6</v>
      </c>
    </row>
    <row r="2139" spans="1:10" ht="14.25" customHeight="1" x14ac:dyDescent="0.35">
      <c r="A2139" s="39" t="s">
        <v>9716</v>
      </c>
      <c r="B2139" s="40" t="str">
        <f t="shared" ca="1" si="78"/>
        <v>Aisladores</v>
      </c>
      <c r="C2139" s="72" t="str">
        <f>IFERROR(VLOOKUP("UD",'Informacion '!P:Q,2,FALSE),"")</f>
        <v>Unidad</v>
      </c>
      <c r="D2139" s="39">
        <v>3</v>
      </c>
      <c r="E2139" s="42">
        <v>855</v>
      </c>
      <c r="F2139" s="41">
        <f t="shared" ca="1" si="79"/>
        <v>2565</v>
      </c>
    </row>
    <row r="2140" spans="1:10" ht="14.25" customHeight="1" x14ac:dyDescent="0.35">
      <c r="A2140" s="39" t="s">
        <v>9716</v>
      </c>
      <c r="B2140" s="40" t="str">
        <f t="shared" ca="1" si="78"/>
        <v>Aisladores</v>
      </c>
      <c r="C2140" s="72" t="str">
        <f>IFERROR(VLOOKUP("UD",'Informacion '!P:Q,2,FALSE),"")</f>
        <v>Unidad</v>
      </c>
      <c r="D2140" s="39">
        <v>4</v>
      </c>
      <c r="E2140" s="42">
        <v>880</v>
      </c>
      <c r="F2140" s="41">
        <f t="shared" ca="1" si="79"/>
        <v>3520</v>
      </c>
    </row>
    <row r="2141" spans="1:10" ht="14.25" customHeight="1" x14ac:dyDescent="0.35">
      <c r="E2141" s="44" t="s">
        <v>13122</v>
      </c>
      <c r="F2141" s="45">
        <f ca="1">SUM(Table116[MONTO TOTAL ESTIMADO])</f>
        <v>20061.3</v>
      </c>
      <c r="H2141" s="24" t="str">
        <f>C2124</f>
        <v>Bienes</v>
      </c>
      <c r="I2141" s="24" t="str">
        <f>E2124</f>
        <v>Sí</v>
      </c>
      <c r="J2141" s="24" t="str">
        <f>D2124</f>
        <v>Compras por debajo del Umbral</v>
      </c>
    </row>
    <row r="2143" spans="1:10" ht="34" customHeight="1" x14ac:dyDescent="0.35">
      <c r="A2143" s="36" t="s">
        <v>17105</v>
      </c>
      <c r="B2143" s="36" t="s">
        <v>167</v>
      </c>
      <c r="C2143" s="36" t="s">
        <v>12252</v>
      </c>
      <c r="D2143" s="36" t="s">
        <v>15021</v>
      </c>
      <c r="E2143" s="36" t="s">
        <v>11455</v>
      </c>
      <c r="F2143" s="36" t="s">
        <v>11595</v>
      </c>
    </row>
    <row r="2144" spans="1:10" ht="14.25" customHeight="1" x14ac:dyDescent="0.35">
      <c r="A2144" s="37" t="s">
        <v>18556</v>
      </c>
      <c r="B2144" s="37" t="s">
        <v>18556</v>
      </c>
      <c r="C2144" s="37" t="s">
        <v>18585</v>
      </c>
      <c r="D2144" s="37" t="s">
        <v>10634</v>
      </c>
      <c r="E2144" s="37" t="s">
        <v>9261</v>
      </c>
      <c r="F2144" s="37" t="s">
        <v>7088</v>
      </c>
    </row>
    <row r="2145" spans="1:10" ht="14.25" customHeight="1" x14ac:dyDescent="0.35">
      <c r="A2145" s="75" t="s">
        <v>15490</v>
      </c>
      <c r="B2145" s="38" t="s">
        <v>8918</v>
      </c>
      <c r="C2145" s="68">
        <v>45334</v>
      </c>
      <c r="D2145" s="75" t="s">
        <v>9819</v>
      </c>
      <c r="E2145" s="70" t="s">
        <v>13683</v>
      </c>
      <c r="F2145" s="71" t="s">
        <v>3205</v>
      </c>
    </row>
    <row r="2146" spans="1:10" ht="14.25" customHeight="1" x14ac:dyDescent="0.35">
      <c r="A2146" s="76"/>
      <c r="B2146" s="38" t="s">
        <v>1858</v>
      </c>
      <c r="C2146" s="69">
        <f>IF(C2145="","",IF(AND(MONTH(C2145)&gt;=1,MONTH(C2145)&lt;=3),1,IF(AND(MONTH(C2145)&gt;=4,MONTH(C2145)&lt;=6),2,IF(AND(MONTH(C2145)&gt;=7,MONTH(C2145)&lt;=9),3,4))))</f>
        <v>1</v>
      </c>
      <c r="D2146" s="76"/>
      <c r="E2146" s="70" t="s">
        <v>2509</v>
      </c>
      <c r="F2146" s="71" t="s">
        <v>11612</v>
      </c>
    </row>
    <row r="2147" spans="1:10" ht="14.25" customHeight="1" x14ac:dyDescent="0.35">
      <c r="A2147" s="76"/>
      <c r="B2147" s="38" t="s">
        <v>13526</v>
      </c>
      <c r="C2147" s="68">
        <v>45378</v>
      </c>
      <c r="D2147" s="76"/>
      <c r="E2147" s="70" t="s">
        <v>3198</v>
      </c>
      <c r="F2147" s="71" t="s">
        <v>11612</v>
      </c>
    </row>
    <row r="2148" spans="1:10" ht="14.25" customHeight="1" x14ac:dyDescent="0.35">
      <c r="A2148" s="76"/>
      <c r="B2148" s="38" t="s">
        <v>1858</v>
      </c>
      <c r="C2148" s="69">
        <f>IF(C2147="","",IF(AND(MONTH(C2147)&gt;=1,MONTH(C2147)&lt;=3),1,IF(AND(MONTH(C2147)&gt;=4,MONTH(C2147)&lt;=6),2,IF(AND(MONTH(C2147)&gt;=7,MONTH(C2147)&lt;=9),3,4))))</f>
        <v>1</v>
      </c>
      <c r="D2148" s="76"/>
      <c r="E2148" s="70" t="s">
        <v>13785</v>
      </c>
      <c r="F2148" s="71"/>
    </row>
    <row r="2150" spans="1:10" ht="14.25" customHeight="1" x14ac:dyDescent="0.35">
      <c r="A2150" s="43" t="s">
        <v>16424</v>
      </c>
      <c r="B2150" s="43" t="s">
        <v>16856</v>
      </c>
      <c r="C2150" s="43" t="s">
        <v>16326</v>
      </c>
      <c r="D2150" s="43" t="s">
        <v>15925</v>
      </c>
      <c r="E2150" s="43" t="s">
        <v>7248</v>
      </c>
      <c r="F2150" s="43" t="s">
        <v>15955</v>
      </c>
    </row>
    <row r="2151" spans="1:10" ht="14.25" customHeight="1" x14ac:dyDescent="0.35">
      <c r="A2151" s="39" t="s">
        <v>14677</v>
      </c>
      <c r="B2151" s="40" t="str">
        <f ca="1">IFERROR(INDEX(UNSPSCDes,MATCH(INDIRECT(ADDRESS(ROW(),COLUMN()-1,4)),UNSPSCCode,0)),IF(INDIRECT(ADDRESS(ROW(),COLUMN()-1,4))="32101622","Memoria flash",""))</f>
        <v>Memoria flash</v>
      </c>
      <c r="C2151" s="72" t="str">
        <f>IFERROR(VLOOKUP("UD",'Informacion '!P:Q,2,FALSE),"")</f>
        <v>Unidad</v>
      </c>
      <c r="D2151" s="39">
        <v>50</v>
      </c>
      <c r="E2151" s="42">
        <v>425</v>
      </c>
      <c r="F2151" s="41">
        <f ca="1">INDIRECT(ADDRESS(ROW(),COLUMN()-2,4))*INDIRECT(ADDRESS(ROW(),COLUMN()-1,4))</f>
        <v>21250</v>
      </c>
    </row>
    <row r="2152" spans="1:10" ht="14.25" customHeight="1" x14ac:dyDescent="0.35">
      <c r="A2152" s="39" t="s">
        <v>14677</v>
      </c>
      <c r="B2152" s="40" t="str">
        <f ca="1">IFERROR(INDEX(UNSPSCDes,MATCH(INDIRECT(ADDRESS(ROW(),COLUMN()-1,4)),UNSPSCCode,0)),IF(INDIRECT(ADDRESS(ROW(),COLUMN()-1,4))="32101622","Memoria flash",""))</f>
        <v>Memoria flash</v>
      </c>
      <c r="C2152" s="72" t="str">
        <f>IFERROR(VLOOKUP("UD",'Informacion '!P:Q,2,FALSE),"")</f>
        <v>Unidad</v>
      </c>
      <c r="D2152" s="39">
        <v>500</v>
      </c>
      <c r="E2152" s="42">
        <v>1332.67</v>
      </c>
      <c r="F2152" s="41">
        <f ca="1">INDIRECT(ADDRESS(ROW(),COLUMN()-2,4))*INDIRECT(ADDRESS(ROW(),COLUMN()-1,4))</f>
        <v>666335</v>
      </c>
    </row>
    <row r="2153" spans="1:10" ht="14.25" customHeight="1" x14ac:dyDescent="0.35">
      <c r="A2153" s="39" t="s">
        <v>14677</v>
      </c>
      <c r="B2153" s="40" t="str">
        <f ca="1">IFERROR(INDEX(UNSPSCDes,MATCH(INDIRECT(ADDRESS(ROW(),COLUMN()-1,4)),UNSPSCCode,0)),IF(INDIRECT(ADDRESS(ROW(),COLUMN()-1,4))="32101622","Memoria flash",""))</f>
        <v>Memoria flash</v>
      </c>
      <c r="C2153" s="72" t="str">
        <f>IFERROR(VLOOKUP("UD",'Informacion '!P:Q,2,FALSE),"")</f>
        <v>Unidad</v>
      </c>
      <c r="D2153" s="39">
        <v>100</v>
      </c>
      <c r="E2153" s="42">
        <v>1264.5</v>
      </c>
      <c r="F2153" s="41">
        <f ca="1">INDIRECT(ADDRESS(ROW(),COLUMN()-2,4))*INDIRECT(ADDRESS(ROW(),COLUMN()-1,4))</f>
        <v>126450</v>
      </c>
    </row>
    <row r="2154" spans="1:10" ht="14.25" customHeight="1" x14ac:dyDescent="0.35">
      <c r="E2154" s="44" t="s">
        <v>13122</v>
      </c>
      <c r="F2154" s="45">
        <f ca="1">SUM(Table117[MONTO TOTAL ESTIMADO])</f>
        <v>814035</v>
      </c>
      <c r="H2154" s="24" t="str">
        <f>C2144</f>
        <v>Bienes</v>
      </c>
      <c r="I2154" s="24" t="str">
        <f>E2144</f>
        <v>Sí</v>
      </c>
      <c r="J2154" s="24" t="str">
        <f>D2144</f>
        <v>Compras por debajo del Umbral</v>
      </c>
    </row>
    <row r="2156" spans="1:10" ht="34" customHeight="1" x14ac:dyDescent="0.35">
      <c r="A2156" s="36" t="s">
        <v>17105</v>
      </c>
      <c r="B2156" s="36" t="s">
        <v>167</v>
      </c>
      <c r="C2156" s="36" t="s">
        <v>12252</v>
      </c>
      <c r="D2156" s="36" t="s">
        <v>15021</v>
      </c>
      <c r="E2156" s="36" t="s">
        <v>11455</v>
      </c>
      <c r="F2156" s="36" t="s">
        <v>11595</v>
      </c>
    </row>
    <row r="2157" spans="1:10" ht="14.25" customHeight="1" x14ac:dyDescent="0.35">
      <c r="A2157" s="37" t="s">
        <v>18556</v>
      </c>
      <c r="B2157" s="37" t="s">
        <v>18556</v>
      </c>
      <c r="C2157" s="37" t="s">
        <v>18585</v>
      </c>
      <c r="D2157" s="37" t="s">
        <v>10634</v>
      </c>
      <c r="E2157" s="37" t="s">
        <v>9261</v>
      </c>
      <c r="F2157" s="37" t="s">
        <v>7088</v>
      </c>
    </row>
    <row r="2158" spans="1:10" ht="14.25" customHeight="1" x14ac:dyDescent="0.35">
      <c r="A2158" s="75" t="s">
        <v>15490</v>
      </c>
      <c r="B2158" s="38" t="s">
        <v>8918</v>
      </c>
      <c r="C2158" s="68">
        <v>45383</v>
      </c>
      <c r="D2158" s="75" t="s">
        <v>9819</v>
      </c>
      <c r="E2158" s="70" t="s">
        <v>13683</v>
      </c>
      <c r="F2158" s="71" t="s">
        <v>3205</v>
      </c>
    </row>
    <row r="2159" spans="1:10" ht="14.25" customHeight="1" x14ac:dyDescent="0.35">
      <c r="A2159" s="76"/>
      <c r="B2159" s="38" t="s">
        <v>1858</v>
      </c>
      <c r="C2159" s="69">
        <f>IF(C2158="","",IF(AND(MONTH(C2158)&gt;=1,MONTH(C2158)&lt;=3),1,IF(AND(MONTH(C2158)&gt;=4,MONTH(C2158)&lt;=6),2,IF(AND(MONTH(C2158)&gt;=7,MONTH(C2158)&lt;=9),3,4))))</f>
        <v>2</v>
      </c>
      <c r="D2159" s="76"/>
      <c r="E2159" s="70" t="s">
        <v>2509</v>
      </c>
      <c r="F2159" s="71" t="s">
        <v>11612</v>
      </c>
    </row>
    <row r="2160" spans="1:10" ht="14.25" customHeight="1" x14ac:dyDescent="0.35">
      <c r="A2160" s="76"/>
      <c r="B2160" s="38" t="s">
        <v>13526</v>
      </c>
      <c r="C2160" s="68">
        <v>45471</v>
      </c>
      <c r="D2160" s="76"/>
      <c r="E2160" s="70" t="s">
        <v>3198</v>
      </c>
      <c r="F2160" s="71" t="s">
        <v>11612</v>
      </c>
    </row>
    <row r="2161" spans="1:10" ht="14.25" customHeight="1" x14ac:dyDescent="0.35">
      <c r="A2161" s="76"/>
      <c r="B2161" s="38" t="s">
        <v>1858</v>
      </c>
      <c r="C2161" s="69">
        <f>IF(C2160="","",IF(AND(MONTH(C2160)&gt;=1,MONTH(C2160)&lt;=3),1,IF(AND(MONTH(C2160)&gt;=4,MONTH(C2160)&lt;=6),2,IF(AND(MONTH(C2160)&gt;=7,MONTH(C2160)&lt;=9),3,4))))</f>
        <v>2</v>
      </c>
      <c r="D2161" s="76"/>
      <c r="E2161" s="70" t="s">
        <v>13785</v>
      </c>
      <c r="F2161" s="71"/>
    </row>
    <row r="2163" spans="1:10" ht="14.25" customHeight="1" x14ac:dyDescent="0.35">
      <c r="A2163" s="43" t="s">
        <v>16424</v>
      </c>
      <c r="B2163" s="43" t="s">
        <v>16856</v>
      </c>
      <c r="C2163" s="43" t="s">
        <v>16326</v>
      </c>
      <c r="D2163" s="43" t="s">
        <v>15925</v>
      </c>
      <c r="E2163" s="43" t="s">
        <v>7248</v>
      </c>
      <c r="F2163" s="43" t="s">
        <v>15955</v>
      </c>
    </row>
    <row r="2164" spans="1:10" ht="14.25" customHeight="1" x14ac:dyDescent="0.35">
      <c r="A2164" s="39" t="s">
        <v>14677</v>
      </c>
      <c r="B2164" s="40" t="str">
        <f ca="1">IFERROR(INDEX(UNSPSCDes,MATCH(INDIRECT(ADDRESS(ROW(),COLUMN()-1,4)),UNSPSCCode,0)),IF(INDIRECT(ADDRESS(ROW(),COLUMN()-1,4))="32101622","Memoria flash",""))</f>
        <v>Memoria flash</v>
      </c>
      <c r="C2164" s="72" t="str">
        <f>IFERROR(VLOOKUP("UD",'Informacion '!P:Q,2,FALSE),"")</f>
        <v>Unidad</v>
      </c>
      <c r="D2164" s="39">
        <v>500</v>
      </c>
      <c r="E2164" s="42">
        <v>100</v>
      </c>
      <c r="F2164" s="41">
        <f ca="1">INDIRECT(ADDRESS(ROW(),COLUMN()-2,4))*INDIRECT(ADDRESS(ROW(),COLUMN()-1,4))</f>
        <v>50000</v>
      </c>
    </row>
    <row r="2165" spans="1:10" ht="14.25" customHeight="1" x14ac:dyDescent="0.35">
      <c r="E2165" s="44" t="s">
        <v>13122</v>
      </c>
      <c r="F2165" s="45">
        <f ca="1">SUM(Table118[MONTO TOTAL ESTIMADO])</f>
        <v>50000</v>
      </c>
      <c r="H2165" s="24" t="str">
        <f>C2157</f>
        <v>Bienes</v>
      </c>
      <c r="I2165" s="24" t="str">
        <f>E2157</f>
        <v>Sí</v>
      </c>
      <c r="J2165" s="24" t="str">
        <f>D2157</f>
        <v>Compras por debajo del Umbral</v>
      </c>
    </row>
    <row r="2167" spans="1:10" ht="34" customHeight="1" x14ac:dyDescent="0.35">
      <c r="A2167" s="36" t="s">
        <v>17105</v>
      </c>
      <c r="B2167" s="36" t="s">
        <v>167</v>
      </c>
      <c r="C2167" s="36" t="s">
        <v>12252</v>
      </c>
      <c r="D2167" s="36" t="s">
        <v>15021</v>
      </c>
      <c r="E2167" s="36" t="s">
        <v>11455</v>
      </c>
      <c r="F2167" s="36" t="s">
        <v>11595</v>
      </c>
    </row>
    <row r="2168" spans="1:10" ht="14.25" customHeight="1" x14ac:dyDescent="0.35">
      <c r="A2168" s="37" t="s">
        <v>18556</v>
      </c>
      <c r="B2168" s="37" t="s">
        <v>18556</v>
      </c>
      <c r="C2168" s="37" t="s">
        <v>18585</v>
      </c>
      <c r="D2168" s="37" t="s">
        <v>10634</v>
      </c>
      <c r="E2168" s="37" t="s">
        <v>9261</v>
      </c>
      <c r="F2168" s="37" t="s">
        <v>7088</v>
      </c>
    </row>
    <row r="2169" spans="1:10" ht="14.25" customHeight="1" x14ac:dyDescent="0.35">
      <c r="A2169" s="75" t="s">
        <v>15490</v>
      </c>
      <c r="B2169" s="38" t="s">
        <v>8918</v>
      </c>
      <c r="C2169" s="68">
        <v>45474</v>
      </c>
      <c r="D2169" s="75" t="s">
        <v>9819</v>
      </c>
      <c r="E2169" s="70" t="s">
        <v>13683</v>
      </c>
      <c r="F2169" s="71" t="s">
        <v>3205</v>
      </c>
    </row>
    <row r="2170" spans="1:10" ht="14.25" customHeight="1" x14ac:dyDescent="0.35">
      <c r="A2170" s="76"/>
      <c r="B2170" s="38" t="s">
        <v>1858</v>
      </c>
      <c r="C2170" s="69">
        <f>IF(C2169="","",IF(AND(MONTH(C2169)&gt;=1,MONTH(C2169)&lt;=3),1,IF(AND(MONTH(C2169)&gt;=4,MONTH(C2169)&lt;=6),2,IF(AND(MONTH(C2169)&gt;=7,MONTH(C2169)&lt;=9),3,4))))</f>
        <v>3</v>
      </c>
      <c r="D2170" s="76"/>
      <c r="E2170" s="70" t="s">
        <v>2509</v>
      </c>
      <c r="F2170" s="71" t="s">
        <v>11612</v>
      </c>
    </row>
    <row r="2171" spans="1:10" ht="14.25" customHeight="1" x14ac:dyDescent="0.35">
      <c r="A2171" s="76"/>
      <c r="B2171" s="38" t="s">
        <v>13526</v>
      </c>
      <c r="C2171" s="68">
        <v>45565</v>
      </c>
      <c r="D2171" s="76"/>
      <c r="E2171" s="70" t="s">
        <v>3198</v>
      </c>
      <c r="F2171" s="71" t="s">
        <v>11612</v>
      </c>
    </row>
    <row r="2172" spans="1:10" ht="14.25" customHeight="1" x14ac:dyDescent="0.35">
      <c r="A2172" s="76"/>
      <c r="B2172" s="38" t="s">
        <v>1858</v>
      </c>
      <c r="C2172" s="69">
        <f>IF(C2171="","",IF(AND(MONTH(C2171)&gt;=1,MONTH(C2171)&lt;=3),1,IF(AND(MONTH(C2171)&gt;=4,MONTH(C2171)&lt;=6),2,IF(AND(MONTH(C2171)&gt;=7,MONTH(C2171)&lt;=9),3,4))))</f>
        <v>3</v>
      </c>
      <c r="D2172" s="76"/>
      <c r="E2172" s="70" t="s">
        <v>13785</v>
      </c>
      <c r="F2172" s="71"/>
    </row>
    <row r="2174" spans="1:10" ht="14.25" customHeight="1" x14ac:dyDescent="0.35">
      <c r="A2174" s="43" t="s">
        <v>16424</v>
      </c>
      <c r="B2174" s="43" t="s">
        <v>16856</v>
      </c>
      <c r="C2174" s="43" t="s">
        <v>16326</v>
      </c>
      <c r="D2174" s="43" t="s">
        <v>15925</v>
      </c>
      <c r="E2174" s="43" t="s">
        <v>7248</v>
      </c>
      <c r="F2174" s="43" t="s">
        <v>15955</v>
      </c>
    </row>
    <row r="2175" spans="1:10" ht="14.25" customHeight="1" x14ac:dyDescent="0.35">
      <c r="A2175" s="39" t="s">
        <v>14677</v>
      </c>
      <c r="B2175" s="40" t="str">
        <f ca="1">IFERROR(INDEX(UNSPSCDes,MATCH(INDIRECT(ADDRESS(ROW(),COLUMN()-1,4)),UNSPSCCode,0)),IF(INDIRECT(ADDRESS(ROW(),COLUMN()-1,4))="32101622","Memoria flash",""))</f>
        <v>Memoria flash</v>
      </c>
      <c r="C2175" s="72" t="str">
        <f>IFERROR(VLOOKUP("UD",'Informacion '!P:Q,2,FALSE),"")</f>
        <v>Unidad</v>
      </c>
      <c r="D2175" s="39">
        <v>100</v>
      </c>
      <c r="E2175" s="42">
        <v>1332.67</v>
      </c>
      <c r="F2175" s="41">
        <f ca="1">INDIRECT(ADDRESS(ROW(),COLUMN()-2,4))*INDIRECT(ADDRESS(ROW(),COLUMN()-1,4))</f>
        <v>133267</v>
      </c>
    </row>
    <row r="2176" spans="1:10" ht="14.25" customHeight="1" x14ac:dyDescent="0.35">
      <c r="E2176" s="44" t="s">
        <v>13122</v>
      </c>
      <c r="F2176" s="45">
        <f ca="1">SUM(Table119[MONTO TOTAL ESTIMADO])</f>
        <v>133267</v>
      </c>
      <c r="H2176" s="24" t="str">
        <f>C2168</f>
        <v>Bienes</v>
      </c>
      <c r="I2176" s="24" t="str">
        <f>E2168</f>
        <v>Sí</v>
      </c>
      <c r="J2176" s="24" t="str">
        <f>D2168</f>
        <v>Compras por debajo del Umbral</v>
      </c>
    </row>
    <row r="2178" spans="1:10" ht="34" customHeight="1" x14ac:dyDescent="0.35">
      <c r="A2178" s="36" t="s">
        <v>17105</v>
      </c>
      <c r="B2178" s="36" t="s">
        <v>167</v>
      </c>
      <c r="C2178" s="36" t="s">
        <v>12252</v>
      </c>
      <c r="D2178" s="36" t="s">
        <v>15021</v>
      </c>
      <c r="E2178" s="36" t="s">
        <v>11455</v>
      </c>
      <c r="F2178" s="36" t="s">
        <v>11595</v>
      </c>
    </row>
    <row r="2179" spans="1:10" ht="14.25" customHeight="1" x14ac:dyDescent="0.35">
      <c r="A2179" s="37" t="s">
        <v>18556</v>
      </c>
      <c r="B2179" s="37" t="s">
        <v>18556</v>
      </c>
      <c r="C2179" s="37" t="s">
        <v>18585</v>
      </c>
      <c r="D2179" s="37" t="s">
        <v>10634</v>
      </c>
      <c r="E2179" s="37" t="s">
        <v>9261</v>
      </c>
      <c r="F2179" s="37" t="s">
        <v>7088</v>
      </c>
    </row>
    <row r="2180" spans="1:10" ht="14.25" customHeight="1" x14ac:dyDescent="0.35">
      <c r="A2180" s="75" t="s">
        <v>15490</v>
      </c>
      <c r="B2180" s="38" t="s">
        <v>8918</v>
      </c>
      <c r="C2180" s="68">
        <v>45566</v>
      </c>
      <c r="D2180" s="75" t="s">
        <v>9819</v>
      </c>
      <c r="E2180" s="70" t="s">
        <v>13683</v>
      </c>
      <c r="F2180" s="71" t="s">
        <v>3205</v>
      </c>
    </row>
    <row r="2181" spans="1:10" ht="14.25" customHeight="1" x14ac:dyDescent="0.35">
      <c r="A2181" s="76"/>
      <c r="B2181" s="38" t="s">
        <v>1858</v>
      </c>
      <c r="C2181" s="69">
        <f>IF(C2180="","",IF(AND(MONTH(C2180)&gt;=1,MONTH(C2180)&lt;=3),1,IF(AND(MONTH(C2180)&gt;=4,MONTH(C2180)&lt;=6),2,IF(AND(MONTH(C2180)&gt;=7,MONTH(C2180)&lt;=9),3,4))))</f>
        <v>4</v>
      </c>
      <c r="D2181" s="76"/>
      <c r="E2181" s="70" t="s">
        <v>2509</v>
      </c>
      <c r="F2181" s="71" t="s">
        <v>11612</v>
      </c>
    </row>
    <row r="2182" spans="1:10" ht="14.25" customHeight="1" x14ac:dyDescent="0.35">
      <c r="A2182" s="76"/>
      <c r="B2182" s="38" t="s">
        <v>13526</v>
      </c>
      <c r="C2182" s="68">
        <v>45657</v>
      </c>
      <c r="D2182" s="76"/>
      <c r="E2182" s="70" t="s">
        <v>3198</v>
      </c>
      <c r="F2182" s="71" t="s">
        <v>11612</v>
      </c>
    </row>
    <row r="2183" spans="1:10" ht="14.25" customHeight="1" x14ac:dyDescent="0.35">
      <c r="A2183" s="76"/>
      <c r="B2183" s="38" t="s">
        <v>1858</v>
      </c>
      <c r="C2183" s="69">
        <f>IF(C2182="","",IF(AND(MONTH(C2182)&gt;=1,MONTH(C2182)&lt;=3),1,IF(AND(MONTH(C2182)&gt;=4,MONTH(C2182)&lt;=6),2,IF(AND(MONTH(C2182)&gt;=7,MONTH(C2182)&lt;=9),3,4))))</f>
        <v>4</v>
      </c>
      <c r="D2183" s="76"/>
      <c r="E2183" s="70" t="s">
        <v>13785</v>
      </c>
      <c r="F2183" s="71"/>
    </row>
    <row r="2185" spans="1:10" ht="14.25" customHeight="1" x14ac:dyDescent="0.35">
      <c r="A2185" s="43" t="s">
        <v>16424</v>
      </c>
      <c r="B2185" s="43" t="s">
        <v>16856</v>
      </c>
      <c r="C2185" s="43" t="s">
        <v>16326</v>
      </c>
      <c r="D2185" s="43" t="s">
        <v>15925</v>
      </c>
      <c r="E2185" s="43" t="s">
        <v>7248</v>
      </c>
      <c r="F2185" s="43" t="s">
        <v>15955</v>
      </c>
    </row>
    <row r="2186" spans="1:10" ht="14.25" customHeight="1" x14ac:dyDescent="0.35">
      <c r="A2186" s="39" t="s">
        <v>14677</v>
      </c>
      <c r="B2186" s="40" t="str">
        <f ca="1">IFERROR(INDEX(UNSPSCDes,MATCH(INDIRECT(ADDRESS(ROW(),COLUMN()-1,4)),UNSPSCCode,0)),IF(INDIRECT(ADDRESS(ROW(),COLUMN()-1,4))="32101622","Memoria flash",""))</f>
        <v>Memoria flash</v>
      </c>
      <c r="C2186" s="72" t="str">
        <f>IFERROR(VLOOKUP("UD",'Informacion '!P:Q,2,FALSE),"")</f>
        <v>Unidad</v>
      </c>
      <c r="D2186" s="39">
        <v>50</v>
      </c>
      <c r="E2186" s="42">
        <v>425</v>
      </c>
      <c r="F2186" s="41">
        <f ca="1">INDIRECT(ADDRESS(ROW(),COLUMN()-2,4))*INDIRECT(ADDRESS(ROW(),COLUMN()-1,4))</f>
        <v>21250</v>
      </c>
    </row>
    <row r="2187" spans="1:10" ht="14.25" customHeight="1" x14ac:dyDescent="0.35">
      <c r="E2187" s="44" t="s">
        <v>13122</v>
      </c>
      <c r="F2187" s="45">
        <f ca="1">SUM(Table120[MONTO TOTAL ESTIMADO])</f>
        <v>21250</v>
      </c>
      <c r="H2187" s="24" t="str">
        <f>C2179</f>
        <v>Bienes</v>
      </c>
      <c r="I2187" s="24" t="str">
        <f>E2179</f>
        <v>Sí</v>
      </c>
      <c r="J2187" s="24" t="str">
        <f>D2179</f>
        <v>Compras por debajo del Umbral</v>
      </c>
    </row>
    <row r="2189" spans="1:10" ht="34" customHeight="1" x14ac:dyDescent="0.35">
      <c r="A2189" s="36" t="s">
        <v>17105</v>
      </c>
      <c r="B2189" s="36" t="s">
        <v>167</v>
      </c>
      <c r="C2189" s="36" t="s">
        <v>12252</v>
      </c>
      <c r="D2189" s="36" t="s">
        <v>15021</v>
      </c>
      <c r="E2189" s="36" t="s">
        <v>11455</v>
      </c>
      <c r="F2189" s="36" t="s">
        <v>11595</v>
      </c>
    </row>
    <row r="2190" spans="1:10" ht="14.25" customHeight="1" x14ac:dyDescent="0.35">
      <c r="A2190" s="37" t="s">
        <v>18155</v>
      </c>
      <c r="B2190" s="37" t="s">
        <v>18155</v>
      </c>
      <c r="C2190" s="37" t="s">
        <v>18585</v>
      </c>
      <c r="D2190" s="37" t="s">
        <v>10634</v>
      </c>
      <c r="E2190" s="37" t="s">
        <v>9261</v>
      </c>
      <c r="F2190" s="37" t="s">
        <v>7088</v>
      </c>
    </row>
    <row r="2191" spans="1:10" ht="14.25" customHeight="1" x14ac:dyDescent="0.35">
      <c r="A2191" s="75" t="s">
        <v>15490</v>
      </c>
      <c r="B2191" s="38" t="s">
        <v>8918</v>
      </c>
      <c r="C2191" s="68">
        <v>45334</v>
      </c>
      <c r="D2191" s="75" t="s">
        <v>9819</v>
      </c>
      <c r="E2191" s="70" t="s">
        <v>13683</v>
      </c>
      <c r="F2191" s="71" t="s">
        <v>3205</v>
      </c>
    </row>
    <row r="2192" spans="1:10" ht="14.25" customHeight="1" x14ac:dyDescent="0.35">
      <c r="A2192" s="76"/>
      <c r="B2192" s="38" t="s">
        <v>1858</v>
      </c>
      <c r="C2192" s="69">
        <f>IF(C2191="","",IF(AND(MONTH(C2191)&gt;=1,MONTH(C2191)&lt;=3),1,IF(AND(MONTH(C2191)&gt;=4,MONTH(C2191)&lt;=6),2,IF(AND(MONTH(C2191)&gt;=7,MONTH(C2191)&lt;=9),3,4))))</f>
        <v>1</v>
      </c>
      <c r="D2192" s="76"/>
      <c r="E2192" s="70" t="s">
        <v>2509</v>
      </c>
      <c r="F2192" s="71" t="s">
        <v>11612</v>
      </c>
    </row>
    <row r="2193" spans="1:10" ht="14.25" customHeight="1" x14ac:dyDescent="0.35">
      <c r="A2193" s="76"/>
      <c r="B2193" s="38" t="s">
        <v>13526</v>
      </c>
      <c r="C2193" s="68">
        <v>45378</v>
      </c>
      <c r="D2193" s="76"/>
      <c r="E2193" s="70" t="s">
        <v>3198</v>
      </c>
      <c r="F2193" s="71" t="s">
        <v>11612</v>
      </c>
    </row>
    <row r="2194" spans="1:10" ht="14.25" customHeight="1" x14ac:dyDescent="0.35">
      <c r="A2194" s="76"/>
      <c r="B2194" s="38" t="s">
        <v>1858</v>
      </c>
      <c r="C2194" s="69">
        <f>IF(C2193="","",IF(AND(MONTH(C2193)&gt;=1,MONTH(C2193)&lt;=3),1,IF(AND(MONTH(C2193)&gt;=4,MONTH(C2193)&lt;=6),2,IF(AND(MONTH(C2193)&gt;=7,MONTH(C2193)&lt;=9),3,4))))</f>
        <v>1</v>
      </c>
      <c r="D2194" s="76"/>
      <c r="E2194" s="70" t="s">
        <v>13785</v>
      </c>
      <c r="F2194" s="71"/>
    </row>
    <row r="2196" spans="1:10" ht="14.25" customHeight="1" x14ac:dyDescent="0.35">
      <c r="A2196" s="43" t="s">
        <v>16424</v>
      </c>
      <c r="B2196" s="43" t="s">
        <v>16856</v>
      </c>
      <c r="C2196" s="43" t="s">
        <v>16326</v>
      </c>
      <c r="D2196" s="43" t="s">
        <v>15925</v>
      </c>
      <c r="E2196" s="43" t="s">
        <v>7248</v>
      </c>
      <c r="F2196" s="43" t="s">
        <v>15955</v>
      </c>
    </row>
    <row r="2197" spans="1:10" ht="14.25" customHeight="1" x14ac:dyDescent="0.35">
      <c r="A2197" s="39" t="s">
        <v>9995</v>
      </c>
      <c r="B2197" s="40" t="str">
        <f t="shared" ref="B2197:B2206" ca="1" si="80">IFERROR(INDEX(UNSPSCDes,MATCH(INDIRECT(ADDRESS(ROW(),COLUMN()-1,4)),UNSPSCCode,0)),IF(INDIRECT(ADDRESS(ROW(),COLUMN()-1,4))="32121501","Capacitores fijos",""))</f>
        <v>Capacitores fijos</v>
      </c>
      <c r="C2197" s="72" t="str">
        <f>IFERROR(VLOOKUP("UD",'Informacion '!P:Q,2,FALSE),"")</f>
        <v>Unidad</v>
      </c>
      <c r="D2197" s="39">
        <v>50</v>
      </c>
      <c r="E2197" s="42">
        <v>185</v>
      </c>
      <c r="F2197" s="41">
        <f t="shared" ref="F2197:F2206" ca="1" si="81">INDIRECT(ADDRESS(ROW(),COLUMN()-2,4))*INDIRECT(ADDRESS(ROW(),COLUMN()-1,4))</f>
        <v>9250</v>
      </c>
    </row>
    <row r="2198" spans="1:10" ht="14.25" customHeight="1" x14ac:dyDescent="0.35">
      <c r="A2198" s="39" t="s">
        <v>9995</v>
      </c>
      <c r="B2198" s="40" t="str">
        <f t="shared" ca="1" si="80"/>
        <v>Capacitores fijos</v>
      </c>
      <c r="C2198" s="72" t="str">
        <f>IFERROR(VLOOKUP("UD",'Informacion '!P:Q,2,FALSE),"")</f>
        <v>Unidad</v>
      </c>
      <c r="D2198" s="39">
        <v>50</v>
      </c>
      <c r="E2198" s="42">
        <v>59.32</v>
      </c>
      <c r="F2198" s="41">
        <f t="shared" ca="1" si="81"/>
        <v>2966</v>
      </c>
    </row>
    <row r="2199" spans="1:10" ht="14.25" customHeight="1" x14ac:dyDescent="0.35">
      <c r="A2199" s="39" t="s">
        <v>9995</v>
      </c>
      <c r="B2199" s="40" t="str">
        <f t="shared" ca="1" si="80"/>
        <v>Capacitores fijos</v>
      </c>
      <c r="C2199" s="72" t="str">
        <f>IFERROR(VLOOKUP("UD",'Informacion '!P:Q,2,FALSE),"")</f>
        <v>Unidad</v>
      </c>
      <c r="D2199" s="39">
        <v>25</v>
      </c>
      <c r="E2199" s="42">
        <v>108.56</v>
      </c>
      <c r="F2199" s="41">
        <f t="shared" ca="1" si="81"/>
        <v>2714</v>
      </c>
    </row>
    <row r="2200" spans="1:10" ht="14.25" customHeight="1" x14ac:dyDescent="0.35">
      <c r="A2200" s="39" t="s">
        <v>9995</v>
      </c>
      <c r="B2200" s="40" t="str">
        <f t="shared" ca="1" si="80"/>
        <v>Capacitores fijos</v>
      </c>
      <c r="C2200" s="72" t="str">
        <f>IFERROR(VLOOKUP("UD",'Informacion '!P:Q,2,FALSE),"")</f>
        <v>Unidad</v>
      </c>
      <c r="D2200" s="39">
        <v>25</v>
      </c>
      <c r="E2200" s="42">
        <v>108.56</v>
      </c>
      <c r="F2200" s="41">
        <f t="shared" ca="1" si="81"/>
        <v>2714</v>
      </c>
    </row>
    <row r="2201" spans="1:10" ht="14.25" customHeight="1" x14ac:dyDescent="0.35">
      <c r="A2201" s="39" t="s">
        <v>9995</v>
      </c>
      <c r="B2201" s="40" t="str">
        <f t="shared" ca="1" si="80"/>
        <v>Capacitores fijos</v>
      </c>
      <c r="C2201" s="72" t="str">
        <f>IFERROR(VLOOKUP("UD",'Informacion '!P:Q,2,FALSE),"")</f>
        <v>Unidad</v>
      </c>
      <c r="D2201" s="39">
        <v>10</v>
      </c>
      <c r="E2201" s="42">
        <v>119.8</v>
      </c>
      <c r="F2201" s="41">
        <f t="shared" ca="1" si="81"/>
        <v>1198</v>
      </c>
    </row>
    <row r="2202" spans="1:10" ht="14.25" customHeight="1" x14ac:dyDescent="0.35">
      <c r="A2202" s="39" t="s">
        <v>9995</v>
      </c>
      <c r="B2202" s="40" t="str">
        <f t="shared" ca="1" si="80"/>
        <v>Capacitores fijos</v>
      </c>
      <c r="C2202" s="72" t="str">
        <f>IFERROR(VLOOKUP("UD",'Informacion '!P:Q,2,FALSE),"")</f>
        <v>Unidad</v>
      </c>
      <c r="D2202" s="39">
        <v>10</v>
      </c>
      <c r="E2202" s="42">
        <v>145</v>
      </c>
      <c r="F2202" s="41">
        <f t="shared" ca="1" si="81"/>
        <v>1450</v>
      </c>
    </row>
    <row r="2203" spans="1:10" ht="14.25" customHeight="1" x14ac:dyDescent="0.35">
      <c r="A2203" s="39" t="s">
        <v>9995</v>
      </c>
      <c r="B2203" s="40" t="str">
        <f t="shared" ca="1" si="80"/>
        <v>Capacitores fijos</v>
      </c>
      <c r="C2203" s="72" t="str">
        <f>IFERROR(VLOOKUP("UD",'Informacion '!P:Q,2,FALSE),"")</f>
        <v>Unidad</v>
      </c>
      <c r="D2203" s="39">
        <v>10</v>
      </c>
      <c r="E2203" s="42">
        <v>155</v>
      </c>
      <c r="F2203" s="41">
        <f t="shared" ca="1" si="81"/>
        <v>1550</v>
      </c>
    </row>
    <row r="2204" spans="1:10" ht="14.25" customHeight="1" x14ac:dyDescent="0.35">
      <c r="A2204" s="39" t="s">
        <v>9995</v>
      </c>
      <c r="B2204" s="40" t="str">
        <f t="shared" ca="1" si="80"/>
        <v>Capacitores fijos</v>
      </c>
      <c r="C2204" s="72" t="str">
        <f>IFERROR(VLOOKUP("UD",'Informacion '!P:Q,2,FALSE),"")</f>
        <v>Unidad</v>
      </c>
      <c r="D2204" s="39">
        <v>10</v>
      </c>
      <c r="E2204" s="42">
        <v>50.84</v>
      </c>
      <c r="F2204" s="41">
        <f t="shared" ca="1" si="81"/>
        <v>508.40000000000003</v>
      </c>
    </row>
    <row r="2205" spans="1:10" ht="14.25" customHeight="1" x14ac:dyDescent="0.35">
      <c r="A2205" s="39" t="s">
        <v>9995</v>
      </c>
      <c r="B2205" s="40" t="str">
        <f t="shared" ca="1" si="80"/>
        <v>Capacitores fijos</v>
      </c>
      <c r="C2205" s="72" t="str">
        <f>IFERROR(VLOOKUP("UD",'Informacion '!P:Q,2,FALSE),"")</f>
        <v>Unidad</v>
      </c>
      <c r="D2205" s="39">
        <v>10</v>
      </c>
      <c r="E2205" s="42">
        <v>195</v>
      </c>
      <c r="F2205" s="41">
        <f t="shared" ca="1" si="81"/>
        <v>1950</v>
      </c>
    </row>
    <row r="2206" spans="1:10" ht="14.25" customHeight="1" x14ac:dyDescent="0.35">
      <c r="A2206" s="39" t="s">
        <v>9995</v>
      </c>
      <c r="B2206" s="40" t="str">
        <f t="shared" ca="1" si="80"/>
        <v>Capacitores fijos</v>
      </c>
      <c r="C2206" s="72" t="str">
        <f>IFERROR(VLOOKUP("UD",'Informacion '!P:Q,2,FALSE),"")</f>
        <v>Unidad</v>
      </c>
      <c r="D2206" s="39">
        <v>20</v>
      </c>
      <c r="E2206" s="42">
        <v>170</v>
      </c>
      <c r="F2206" s="41">
        <f t="shared" ca="1" si="81"/>
        <v>3400</v>
      </c>
    </row>
    <row r="2207" spans="1:10" ht="14.25" customHeight="1" x14ac:dyDescent="0.35">
      <c r="E2207" s="44" t="s">
        <v>13122</v>
      </c>
      <c r="F2207" s="45">
        <f ca="1">SUM(Table121[MONTO TOTAL ESTIMADO])</f>
        <v>27700.400000000001</v>
      </c>
      <c r="H2207" s="24" t="str">
        <f>C2190</f>
        <v>Bienes</v>
      </c>
      <c r="I2207" s="24" t="str">
        <f>E2190</f>
        <v>Sí</v>
      </c>
      <c r="J2207" s="24" t="str">
        <f>D2190</f>
        <v>Compras por debajo del Umbral</v>
      </c>
    </row>
    <row r="2209" spans="1:10" ht="34" customHeight="1" x14ac:dyDescent="0.35">
      <c r="A2209" s="36" t="s">
        <v>17105</v>
      </c>
      <c r="B2209" s="36" t="s">
        <v>167</v>
      </c>
      <c r="C2209" s="36" t="s">
        <v>12252</v>
      </c>
      <c r="D2209" s="36" t="s">
        <v>15021</v>
      </c>
      <c r="E2209" s="36" t="s">
        <v>11455</v>
      </c>
      <c r="F2209" s="36" t="s">
        <v>11595</v>
      </c>
    </row>
    <row r="2210" spans="1:10" ht="14.25" customHeight="1" x14ac:dyDescent="0.35">
      <c r="A2210" s="37" t="s">
        <v>5986</v>
      </c>
      <c r="B2210" s="37" t="s">
        <v>5986</v>
      </c>
      <c r="C2210" s="37" t="s">
        <v>7109</v>
      </c>
      <c r="D2210" s="37" t="s">
        <v>10634</v>
      </c>
      <c r="E2210" s="37" t="s">
        <v>9261</v>
      </c>
      <c r="F2210" s="37" t="s">
        <v>7088</v>
      </c>
    </row>
    <row r="2211" spans="1:10" ht="14.25" customHeight="1" x14ac:dyDescent="0.35">
      <c r="A2211" s="75" t="s">
        <v>15490</v>
      </c>
      <c r="B2211" s="38" t="s">
        <v>8918</v>
      </c>
      <c r="C2211" s="68">
        <v>45383</v>
      </c>
      <c r="D2211" s="75" t="s">
        <v>9819</v>
      </c>
      <c r="E2211" s="70" t="s">
        <v>13683</v>
      </c>
      <c r="F2211" s="71" t="s">
        <v>3205</v>
      </c>
    </row>
    <row r="2212" spans="1:10" ht="14.25" customHeight="1" x14ac:dyDescent="0.35">
      <c r="A2212" s="76"/>
      <c r="B2212" s="38" t="s">
        <v>1858</v>
      </c>
      <c r="C2212" s="69">
        <f>IF(C2211="","",IF(AND(MONTH(C2211)&gt;=1,MONTH(C2211)&lt;=3),1,IF(AND(MONTH(C2211)&gt;=4,MONTH(C2211)&lt;=6),2,IF(AND(MONTH(C2211)&gt;=7,MONTH(C2211)&lt;=9),3,4))))</f>
        <v>2</v>
      </c>
      <c r="D2212" s="76"/>
      <c r="E2212" s="70" t="s">
        <v>2509</v>
      </c>
      <c r="F2212" s="71" t="s">
        <v>11612</v>
      </c>
    </row>
    <row r="2213" spans="1:10" ht="14.25" customHeight="1" x14ac:dyDescent="0.35">
      <c r="A2213" s="76"/>
      <c r="B2213" s="38" t="s">
        <v>13526</v>
      </c>
      <c r="C2213" s="68">
        <v>45471</v>
      </c>
      <c r="D2213" s="76"/>
      <c r="E2213" s="70" t="s">
        <v>3198</v>
      </c>
      <c r="F2213" s="71" t="s">
        <v>11612</v>
      </c>
    </row>
    <row r="2214" spans="1:10" ht="14.25" customHeight="1" x14ac:dyDescent="0.35">
      <c r="A2214" s="76"/>
      <c r="B2214" s="38" t="s">
        <v>1858</v>
      </c>
      <c r="C2214" s="69">
        <f>IF(C2213="","",IF(AND(MONTH(C2213)&gt;=1,MONTH(C2213)&lt;=3),1,IF(AND(MONTH(C2213)&gt;=4,MONTH(C2213)&lt;=6),2,IF(AND(MONTH(C2213)&gt;=7,MONTH(C2213)&lt;=9),3,4))))</f>
        <v>2</v>
      </c>
      <c r="D2214" s="76"/>
      <c r="E2214" s="70" t="s">
        <v>13785</v>
      </c>
      <c r="F2214" s="71"/>
    </row>
    <row r="2216" spans="1:10" ht="14.25" customHeight="1" x14ac:dyDescent="0.35">
      <c r="A2216" s="43" t="s">
        <v>16424</v>
      </c>
      <c r="B2216" s="43" t="s">
        <v>16856</v>
      </c>
      <c r="C2216" s="43" t="s">
        <v>16326</v>
      </c>
      <c r="D2216" s="43" t="s">
        <v>15925</v>
      </c>
      <c r="E2216" s="43" t="s">
        <v>7248</v>
      </c>
      <c r="F2216" s="43" t="s">
        <v>15955</v>
      </c>
    </row>
    <row r="2217" spans="1:10" ht="14.25" customHeight="1" x14ac:dyDescent="0.35">
      <c r="A2217" s="39" t="s">
        <v>18521</v>
      </c>
      <c r="B2217" s="40" t="str">
        <f ca="1">IFERROR(INDEX(UNSPSCDes,MATCH(INDIRECT(ADDRESS(ROW(),COLUMN()-1,4)),UNSPSCCode,0)),IF(INDIRECT(ADDRESS(ROW(),COLUMN()-1,4))="86111604","Educación para empleados",""))</f>
        <v>Educación para empleados</v>
      </c>
      <c r="C2217" s="72" t="str">
        <f>IFERROR(VLOOKUP("UD",'Informacion '!P:Q,2,FALSE),"")</f>
        <v>Unidad</v>
      </c>
      <c r="D2217" s="39">
        <v>5</v>
      </c>
      <c r="E2217" s="42">
        <v>150000</v>
      </c>
      <c r="F2217" s="41">
        <f ca="1">INDIRECT(ADDRESS(ROW(),COLUMN()-2,4))*INDIRECT(ADDRESS(ROW(),COLUMN()-1,4))</f>
        <v>750000</v>
      </c>
    </row>
    <row r="2218" spans="1:10" ht="14.25" customHeight="1" x14ac:dyDescent="0.35">
      <c r="A2218" s="39" t="s">
        <v>2798</v>
      </c>
      <c r="B2218" s="40" t="str">
        <f ca="1">IFERROR(INDEX(UNSPSCDes,MATCH(INDIRECT(ADDRESS(ROW(),COLUMN()-1,4)),UNSPSCCode,0)),IF(INDIRECT(ADDRESS(ROW(),COLUMN()-1,4))="86111701","Enseñanza de idiomas extranjeros basada en la conversación",""))</f>
        <v>Enseñanza de idiomas extranjeros basada en la conversación</v>
      </c>
      <c r="C2218" s="72" t="str">
        <f>IFERROR(VLOOKUP("UD",'Informacion '!P:Q,2,FALSE),"")</f>
        <v>Unidad</v>
      </c>
      <c r="D2218" s="39">
        <v>5</v>
      </c>
      <c r="E2218" s="42">
        <v>100000</v>
      </c>
      <c r="F2218" s="41">
        <f ca="1">INDIRECT(ADDRESS(ROW(),COLUMN()-2,4))*INDIRECT(ADDRESS(ROW(),COLUMN()-1,4))</f>
        <v>500000</v>
      </c>
    </row>
    <row r="2219" spans="1:10" ht="14.25" customHeight="1" x14ac:dyDescent="0.35">
      <c r="A2219" s="39" t="s">
        <v>5116</v>
      </c>
      <c r="B2219" s="40" t="str">
        <f ca="1">IFERROR(INDEX(UNSPSCDes,MATCH(INDIRECT(ADDRESS(ROW(),COLUMN()-1,4)),UNSPSCCode,0)),IF(INDIRECT(ADDRESS(ROW(),COLUMN()-1,4))="90101602","Servicios de carpas para fiestas",""))</f>
        <v>Servicios de carpas para fiestas</v>
      </c>
      <c r="C2219" s="72" t="str">
        <f>IFERROR(VLOOKUP("UD",'Informacion '!P:Q,2,FALSE),"")</f>
        <v>Unidad</v>
      </c>
      <c r="D2219" s="39">
        <v>2</v>
      </c>
      <c r="E2219" s="42">
        <v>9912</v>
      </c>
      <c r="F2219" s="41">
        <f ca="1">INDIRECT(ADDRESS(ROW(),COLUMN()-2,4))*INDIRECT(ADDRESS(ROW(),COLUMN()-1,4))</f>
        <v>19824</v>
      </c>
    </row>
    <row r="2220" spans="1:10" ht="14.25" customHeight="1" x14ac:dyDescent="0.35">
      <c r="E2220" s="44" t="s">
        <v>13122</v>
      </c>
      <c r="F2220" s="45">
        <f ca="1">SUM(Table122[MONTO TOTAL ESTIMADO])</f>
        <v>1269824</v>
      </c>
      <c r="H2220" s="24" t="str">
        <f>C2210</f>
        <v>Servicios</v>
      </c>
      <c r="I2220" s="24" t="str">
        <f>E2210</f>
        <v>Sí</v>
      </c>
      <c r="J2220" s="24" t="str">
        <f>D2210</f>
        <v>Compras por debajo del Umbral</v>
      </c>
    </row>
    <row r="2222" spans="1:10" ht="34" customHeight="1" x14ac:dyDescent="0.35">
      <c r="A2222" s="36" t="s">
        <v>17105</v>
      </c>
      <c r="B2222" s="36" t="s">
        <v>167</v>
      </c>
      <c r="C2222" s="36" t="s">
        <v>12252</v>
      </c>
      <c r="D2222" s="36" t="s">
        <v>15021</v>
      </c>
      <c r="E2222" s="36" t="s">
        <v>11455</v>
      </c>
      <c r="F2222" s="36" t="s">
        <v>11595</v>
      </c>
    </row>
    <row r="2223" spans="1:10" ht="14.25" customHeight="1" x14ac:dyDescent="0.35">
      <c r="A2223" s="37" t="s">
        <v>5986</v>
      </c>
      <c r="B2223" s="37" t="s">
        <v>5986</v>
      </c>
      <c r="C2223" s="37" t="s">
        <v>7109</v>
      </c>
      <c r="D2223" s="37" t="s">
        <v>10634</v>
      </c>
      <c r="E2223" s="37" t="s">
        <v>9261</v>
      </c>
      <c r="F2223" s="37" t="s">
        <v>7088</v>
      </c>
    </row>
    <row r="2224" spans="1:10" ht="14.25" customHeight="1" x14ac:dyDescent="0.35">
      <c r="A2224" s="75" t="s">
        <v>15490</v>
      </c>
      <c r="B2224" s="38" t="s">
        <v>8918</v>
      </c>
      <c r="C2224" s="68">
        <v>45474</v>
      </c>
      <c r="D2224" s="75" t="s">
        <v>9819</v>
      </c>
      <c r="E2224" s="70" t="s">
        <v>13683</v>
      </c>
      <c r="F2224" s="71" t="s">
        <v>3205</v>
      </c>
    </row>
    <row r="2225" spans="1:10" ht="14.25" customHeight="1" x14ac:dyDescent="0.35">
      <c r="A2225" s="76"/>
      <c r="B2225" s="38" t="s">
        <v>1858</v>
      </c>
      <c r="C2225" s="69">
        <f>IF(C2224="","",IF(AND(MONTH(C2224)&gt;=1,MONTH(C2224)&lt;=3),1,IF(AND(MONTH(C2224)&gt;=4,MONTH(C2224)&lt;=6),2,IF(AND(MONTH(C2224)&gt;=7,MONTH(C2224)&lt;=9),3,4))))</f>
        <v>3</v>
      </c>
      <c r="D2225" s="76"/>
      <c r="E2225" s="70" t="s">
        <v>2509</v>
      </c>
      <c r="F2225" s="71" t="s">
        <v>11612</v>
      </c>
    </row>
    <row r="2226" spans="1:10" ht="14.25" customHeight="1" x14ac:dyDescent="0.35">
      <c r="A2226" s="76"/>
      <c r="B2226" s="38" t="s">
        <v>13526</v>
      </c>
      <c r="C2226" s="68">
        <v>45565</v>
      </c>
      <c r="D2226" s="76"/>
      <c r="E2226" s="70" t="s">
        <v>3198</v>
      </c>
      <c r="F2226" s="71" t="s">
        <v>11612</v>
      </c>
    </row>
    <row r="2227" spans="1:10" ht="14.25" customHeight="1" x14ac:dyDescent="0.35">
      <c r="A2227" s="76"/>
      <c r="B2227" s="38" t="s">
        <v>1858</v>
      </c>
      <c r="C2227" s="69">
        <f>IF(C2226="","",IF(AND(MONTH(C2226)&gt;=1,MONTH(C2226)&lt;=3),1,IF(AND(MONTH(C2226)&gt;=4,MONTH(C2226)&lt;=6),2,IF(AND(MONTH(C2226)&gt;=7,MONTH(C2226)&lt;=9),3,4))))</f>
        <v>3</v>
      </c>
      <c r="D2227" s="76"/>
      <c r="E2227" s="70" t="s">
        <v>13785</v>
      </c>
      <c r="F2227" s="71"/>
    </row>
    <row r="2229" spans="1:10" ht="14.25" customHeight="1" x14ac:dyDescent="0.35">
      <c r="A2229" s="43" t="s">
        <v>16424</v>
      </c>
      <c r="B2229" s="43" t="s">
        <v>16856</v>
      </c>
      <c r="C2229" s="43" t="s">
        <v>16326</v>
      </c>
      <c r="D2229" s="43" t="s">
        <v>15925</v>
      </c>
      <c r="E2229" s="43" t="s">
        <v>7248</v>
      </c>
      <c r="F2229" s="43" t="s">
        <v>15955</v>
      </c>
    </row>
    <row r="2230" spans="1:10" ht="14.25" customHeight="1" x14ac:dyDescent="0.35">
      <c r="A2230" s="39" t="s">
        <v>18521</v>
      </c>
      <c r="B2230" s="40" t="str">
        <f ca="1">IFERROR(INDEX(UNSPSCDes,MATCH(INDIRECT(ADDRESS(ROW(),COLUMN()-1,4)),UNSPSCCode,0)),IF(INDIRECT(ADDRESS(ROW(),COLUMN()-1,4))="86111604","Educación para empleados",""))</f>
        <v>Educación para empleados</v>
      </c>
      <c r="C2230" s="72" t="str">
        <f>IFERROR(VLOOKUP("UD",'Informacion '!P:Q,2,FALSE),"")</f>
        <v>Unidad</v>
      </c>
      <c r="D2230" s="39">
        <v>5</v>
      </c>
      <c r="E2230" s="42">
        <v>150000</v>
      </c>
      <c r="F2230" s="41">
        <f ca="1">INDIRECT(ADDRESS(ROW(),COLUMN()-2,4))*INDIRECT(ADDRESS(ROW(),COLUMN()-1,4))</f>
        <v>750000</v>
      </c>
    </row>
    <row r="2231" spans="1:10" ht="14.25" customHeight="1" x14ac:dyDescent="0.35">
      <c r="A2231" s="39" t="s">
        <v>8429</v>
      </c>
      <c r="B2231" s="40" t="str">
        <f ca="1">IFERROR(INDEX(UNSPSCDes,MATCH(INDIRECT(ADDRESS(ROW(),COLUMN()-1,4)),UNSPSCCode,0)),IF(INDIRECT(ADDRESS(ROW(),COLUMN()-1,4))="90101601","Instalaciones para banquetes",""))</f>
        <v>Instalaciones para banquetes</v>
      </c>
      <c r="C2231" s="72" t="str">
        <f>IFERROR(VLOOKUP("UD",'Informacion '!P:Q,2,FALSE),"")</f>
        <v>Unidad</v>
      </c>
      <c r="D2231" s="39">
        <v>1</v>
      </c>
      <c r="E2231" s="42">
        <v>116442</v>
      </c>
      <c r="F2231" s="41">
        <f ca="1">INDIRECT(ADDRESS(ROW(),COLUMN()-2,4))*INDIRECT(ADDRESS(ROW(),COLUMN()-1,4))</f>
        <v>116442</v>
      </c>
    </row>
    <row r="2232" spans="1:10" ht="14.25" customHeight="1" x14ac:dyDescent="0.35">
      <c r="E2232" s="44" t="s">
        <v>13122</v>
      </c>
      <c r="F2232" s="45">
        <f ca="1">SUM(Table123[MONTO TOTAL ESTIMADO])</f>
        <v>866442</v>
      </c>
      <c r="H2232" s="24" t="str">
        <f>C2223</f>
        <v>Servicios</v>
      </c>
      <c r="I2232" s="24" t="str">
        <f>E2223</f>
        <v>Sí</v>
      </c>
      <c r="J2232" s="24" t="str">
        <f>D2223</f>
        <v>Compras por debajo del Umbral</v>
      </c>
    </row>
    <row r="2234" spans="1:10" ht="34" customHeight="1" x14ac:dyDescent="0.35">
      <c r="A2234" s="36" t="s">
        <v>17105</v>
      </c>
      <c r="B2234" s="36" t="s">
        <v>167</v>
      </c>
      <c r="C2234" s="36" t="s">
        <v>12252</v>
      </c>
      <c r="D2234" s="36" t="s">
        <v>15021</v>
      </c>
      <c r="E2234" s="36" t="s">
        <v>11455</v>
      </c>
      <c r="F2234" s="36" t="s">
        <v>11595</v>
      </c>
    </row>
    <row r="2235" spans="1:10" ht="14.25" customHeight="1" x14ac:dyDescent="0.35">
      <c r="A2235" s="37" t="s">
        <v>5986</v>
      </c>
      <c r="B2235" s="37" t="s">
        <v>5986</v>
      </c>
      <c r="C2235" s="37" t="s">
        <v>7109</v>
      </c>
      <c r="D2235" s="37" t="s">
        <v>10634</v>
      </c>
      <c r="E2235" s="37" t="s">
        <v>9261</v>
      </c>
      <c r="F2235" s="37" t="s">
        <v>7088</v>
      </c>
    </row>
    <row r="2236" spans="1:10" ht="14.25" customHeight="1" x14ac:dyDescent="0.35">
      <c r="A2236" s="75" t="s">
        <v>15490</v>
      </c>
      <c r="B2236" s="38" t="s">
        <v>8918</v>
      </c>
      <c r="C2236" s="68">
        <v>45334</v>
      </c>
      <c r="D2236" s="75" t="s">
        <v>9819</v>
      </c>
      <c r="E2236" s="70" t="s">
        <v>13683</v>
      </c>
      <c r="F2236" s="71" t="s">
        <v>3205</v>
      </c>
    </row>
    <row r="2237" spans="1:10" ht="14.25" customHeight="1" x14ac:dyDescent="0.35">
      <c r="A2237" s="76"/>
      <c r="B2237" s="38" t="s">
        <v>1858</v>
      </c>
      <c r="C2237" s="69">
        <f>IF(C2236="","",IF(AND(MONTH(C2236)&gt;=1,MONTH(C2236)&lt;=3),1,IF(AND(MONTH(C2236)&gt;=4,MONTH(C2236)&lt;=6),2,IF(AND(MONTH(C2236)&gt;=7,MONTH(C2236)&lt;=9),3,4))))</f>
        <v>1</v>
      </c>
      <c r="D2237" s="76"/>
      <c r="E2237" s="70" t="s">
        <v>2509</v>
      </c>
      <c r="F2237" s="71" t="s">
        <v>11612</v>
      </c>
    </row>
    <row r="2238" spans="1:10" ht="14.25" customHeight="1" x14ac:dyDescent="0.35">
      <c r="A2238" s="76"/>
      <c r="B2238" s="38" t="s">
        <v>13526</v>
      </c>
      <c r="C2238" s="68">
        <v>45378</v>
      </c>
      <c r="D2238" s="76"/>
      <c r="E2238" s="70" t="s">
        <v>3198</v>
      </c>
      <c r="F2238" s="71" t="s">
        <v>11612</v>
      </c>
    </row>
    <row r="2239" spans="1:10" ht="14.25" customHeight="1" x14ac:dyDescent="0.35">
      <c r="A2239" s="76"/>
      <c r="B2239" s="38" t="s">
        <v>1858</v>
      </c>
      <c r="C2239" s="69">
        <f>IF(C2238="","",IF(AND(MONTH(C2238)&gt;=1,MONTH(C2238)&lt;=3),1,IF(AND(MONTH(C2238)&gt;=4,MONTH(C2238)&lt;=6),2,IF(AND(MONTH(C2238)&gt;=7,MONTH(C2238)&lt;=9),3,4))))</f>
        <v>1</v>
      </c>
      <c r="D2239" s="76"/>
      <c r="E2239" s="70" t="s">
        <v>13785</v>
      </c>
      <c r="F2239" s="71"/>
    </row>
    <row r="2241" spans="1:10" ht="14.25" customHeight="1" x14ac:dyDescent="0.35">
      <c r="A2241" s="43" t="s">
        <v>16424</v>
      </c>
      <c r="B2241" s="43" t="s">
        <v>16856</v>
      </c>
      <c r="C2241" s="43" t="s">
        <v>16326</v>
      </c>
      <c r="D2241" s="43" t="s">
        <v>15925</v>
      </c>
      <c r="E2241" s="43" t="s">
        <v>7248</v>
      </c>
      <c r="F2241" s="43" t="s">
        <v>15955</v>
      </c>
    </row>
    <row r="2242" spans="1:10" ht="14.25" customHeight="1" x14ac:dyDescent="0.35">
      <c r="A2242" s="39" t="s">
        <v>18521</v>
      </c>
      <c r="B2242" s="40" t="str">
        <f ca="1">IFERROR(INDEX(UNSPSCDes,MATCH(INDIRECT(ADDRESS(ROW(),COLUMN()-1,4)),UNSPSCCode,0)),IF(INDIRECT(ADDRESS(ROW(),COLUMN()-1,4))="86111604","Educación para empleados",""))</f>
        <v>Educación para empleados</v>
      </c>
      <c r="C2242" s="72" t="str">
        <f>IFERROR(VLOOKUP("UD",'Informacion '!P:Q,2,FALSE),"")</f>
        <v>Unidad</v>
      </c>
      <c r="D2242" s="39">
        <v>5</v>
      </c>
      <c r="E2242" s="42">
        <v>150000</v>
      </c>
      <c r="F2242" s="41">
        <f ca="1">INDIRECT(ADDRESS(ROW(),COLUMN()-2,4))*INDIRECT(ADDRESS(ROW(),COLUMN()-1,4))</f>
        <v>750000</v>
      </c>
    </row>
    <row r="2243" spans="1:10" ht="14.25" customHeight="1" x14ac:dyDescent="0.35">
      <c r="E2243" s="44" t="s">
        <v>13122</v>
      </c>
      <c r="F2243" s="45">
        <f ca="1">SUM(Table124[MONTO TOTAL ESTIMADO])</f>
        <v>750000</v>
      </c>
      <c r="H2243" s="24" t="str">
        <f>C2235</f>
        <v>Servicios</v>
      </c>
      <c r="I2243" s="24" t="str">
        <f>E2235</f>
        <v>Sí</v>
      </c>
      <c r="J2243" s="24" t="str">
        <f>D2235</f>
        <v>Compras por debajo del Umbral</v>
      </c>
    </row>
    <row r="2245" spans="1:10" ht="34" customHeight="1" x14ac:dyDescent="0.35">
      <c r="A2245" s="36" t="s">
        <v>17105</v>
      </c>
      <c r="B2245" s="36" t="s">
        <v>167</v>
      </c>
      <c r="C2245" s="36" t="s">
        <v>12252</v>
      </c>
      <c r="D2245" s="36" t="s">
        <v>15021</v>
      </c>
      <c r="E2245" s="36" t="s">
        <v>11455</v>
      </c>
      <c r="F2245" s="36" t="s">
        <v>11595</v>
      </c>
    </row>
    <row r="2246" spans="1:10" ht="14.25" customHeight="1" x14ac:dyDescent="0.35">
      <c r="A2246" s="37" t="s">
        <v>5986</v>
      </c>
      <c r="B2246" s="37" t="s">
        <v>5986</v>
      </c>
      <c r="C2246" s="37" t="s">
        <v>7109</v>
      </c>
      <c r="D2246" s="37" t="s">
        <v>10634</v>
      </c>
      <c r="E2246" s="37" t="s">
        <v>9261</v>
      </c>
      <c r="F2246" s="37" t="s">
        <v>7088</v>
      </c>
    </row>
    <row r="2247" spans="1:10" ht="14.25" customHeight="1" x14ac:dyDescent="0.35">
      <c r="A2247" s="75" t="s">
        <v>15490</v>
      </c>
      <c r="B2247" s="38" t="s">
        <v>8918</v>
      </c>
      <c r="C2247" s="68">
        <v>45383</v>
      </c>
      <c r="D2247" s="75" t="s">
        <v>9819</v>
      </c>
      <c r="E2247" s="70" t="s">
        <v>13683</v>
      </c>
      <c r="F2247" s="71" t="s">
        <v>3205</v>
      </c>
    </row>
    <row r="2248" spans="1:10" ht="14.25" customHeight="1" x14ac:dyDescent="0.35">
      <c r="A2248" s="76"/>
      <c r="B2248" s="38" t="s">
        <v>1858</v>
      </c>
      <c r="C2248" s="69">
        <f>IF(C2247="","",IF(AND(MONTH(C2247)&gt;=1,MONTH(C2247)&lt;=3),1,IF(AND(MONTH(C2247)&gt;=4,MONTH(C2247)&lt;=6),2,IF(AND(MONTH(C2247)&gt;=7,MONTH(C2247)&lt;=9),3,4))))</f>
        <v>2</v>
      </c>
      <c r="D2248" s="76"/>
      <c r="E2248" s="70" t="s">
        <v>2509</v>
      </c>
      <c r="F2248" s="71" t="s">
        <v>11612</v>
      </c>
    </row>
    <row r="2249" spans="1:10" ht="14.25" customHeight="1" x14ac:dyDescent="0.35">
      <c r="A2249" s="76"/>
      <c r="B2249" s="38" t="s">
        <v>13526</v>
      </c>
      <c r="C2249" s="68">
        <v>45471</v>
      </c>
      <c r="D2249" s="76"/>
      <c r="E2249" s="70" t="s">
        <v>3198</v>
      </c>
      <c r="F2249" s="71" t="s">
        <v>11612</v>
      </c>
    </row>
    <row r="2250" spans="1:10" ht="14.25" customHeight="1" x14ac:dyDescent="0.35">
      <c r="A2250" s="76"/>
      <c r="B2250" s="38" t="s">
        <v>1858</v>
      </c>
      <c r="C2250" s="69">
        <f>IF(C2249="","",IF(AND(MONTH(C2249)&gt;=1,MONTH(C2249)&lt;=3),1,IF(AND(MONTH(C2249)&gt;=4,MONTH(C2249)&lt;=6),2,IF(AND(MONTH(C2249)&gt;=7,MONTH(C2249)&lt;=9),3,4))))</f>
        <v>2</v>
      </c>
      <c r="D2250" s="76"/>
      <c r="E2250" s="70" t="s">
        <v>13785</v>
      </c>
      <c r="F2250" s="71"/>
    </row>
    <row r="2252" spans="1:10" ht="14.25" customHeight="1" x14ac:dyDescent="0.35">
      <c r="A2252" s="43" t="s">
        <v>16424</v>
      </c>
      <c r="B2252" s="43" t="s">
        <v>16856</v>
      </c>
      <c r="C2252" s="43" t="s">
        <v>16326</v>
      </c>
      <c r="D2252" s="43" t="s">
        <v>15925</v>
      </c>
      <c r="E2252" s="43" t="s">
        <v>7248</v>
      </c>
      <c r="F2252" s="43" t="s">
        <v>15955</v>
      </c>
    </row>
    <row r="2253" spans="1:10" ht="14.25" customHeight="1" x14ac:dyDescent="0.35">
      <c r="A2253" s="39" t="s">
        <v>18521</v>
      </c>
      <c r="B2253" s="40" t="str">
        <f ca="1">IFERROR(INDEX(UNSPSCDes,MATCH(INDIRECT(ADDRESS(ROW(),COLUMN()-1,4)),UNSPSCCode,0)),IF(INDIRECT(ADDRESS(ROW(),COLUMN()-1,4))="86111604","Educación para empleados",""))</f>
        <v>Educación para empleados</v>
      </c>
      <c r="C2253" s="72" t="str">
        <f>IFERROR(VLOOKUP("UD",'Informacion '!P:Q,2,FALSE),"")</f>
        <v>Unidad</v>
      </c>
      <c r="D2253" s="39">
        <v>5</v>
      </c>
      <c r="E2253" s="42">
        <v>150000</v>
      </c>
      <c r="F2253" s="41">
        <f ca="1">INDIRECT(ADDRESS(ROW(),COLUMN()-2,4))*INDIRECT(ADDRESS(ROW(),COLUMN()-1,4))</f>
        <v>750000</v>
      </c>
    </row>
    <row r="2254" spans="1:10" ht="14.25" customHeight="1" x14ac:dyDescent="0.35">
      <c r="A2254" s="39" t="s">
        <v>2798</v>
      </c>
      <c r="B2254" s="40" t="str">
        <f ca="1">IFERROR(INDEX(UNSPSCDes,MATCH(INDIRECT(ADDRESS(ROW(),COLUMN()-1,4)),UNSPSCCode,0)),IF(INDIRECT(ADDRESS(ROW(),COLUMN()-1,4))="86111701","Enseñanza de idiomas extranjeros basada en la conversación",""))</f>
        <v>Enseñanza de idiomas extranjeros basada en la conversación</v>
      </c>
      <c r="C2254" s="72" t="str">
        <f>IFERROR(VLOOKUP("UD",'Informacion '!P:Q,2,FALSE),"")</f>
        <v>Unidad</v>
      </c>
      <c r="D2254" s="39">
        <v>5</v>
      </c>
      <c r="E2254" s="42">
        <v>100000</v>
      </c>
      <c r="F2254" s="41">
        <f ca="1">INDIRECT(ADDRESS(ROW(),COLUMN()-2,4))*INDIRECT(ADDRESS(ROW(),COLUMN()-1,4))</f>
        <v>500000</v>
      </c>
    </row>
    <row r="2255" spans="1:10" ht="14.25" customHeight="1" x14ac:dyDescent="0.35">
      <c r="E2255" s="44" t="s">
        <v>13122</v>
      </c>
      <c r="F2255" s="45">
        <f ca="1">SUM(Table125[MONTO TOTAL ESTIMADO])</f>
        <v>1250000</v>
      </c>
      <c r="H2255" s="24" t="str">
        <f>C2246</f>
        <v>Servicios</v>
      </c>
      <c r="I2255" s="24" t="str">
        <f>E2246</f>
        <v>Sí</v>
      </c>
      <c r="J2255" s="24" t="str">
        <f>D2246</f>
        <v>Compras por debajo del Umbral</v>
      </c>
    </row>
    <row r="2257" spans="1:10" ht="34" customHeight="1" x14ac:dyDescent="0.35">
      <c r="A2257" s="36" t="s">
        <v>17105</v>
      </c>
      <c r="B2257" s="36" t="s">
        <v>167</v>
      </c>
      <c r="C2257" s="36" t="s">
        <v>12252</v>
      </c>
      <c r="D2257" s="36" t="s">
        <v>15021</v>
      </c>
      <c r="E2257" s="36" t="s">
        <v>11455</v>
      </c>
      <c r="F2257" s="36" t="s">
        <v>11595</v>
      </c>
    </row>
    <row r="2258" spans="1:10" ht="14.25" customHeight="1" x14ac:dyDescent="0.35">
      <c r="A2258" s="37" t="s">
        <v>2319</v>
      </c>
      <c r="B2258" s="37" t="s">
        <v>2319</v>
      </c>
      <c r="C2258" s="37" t="s">
        <v>7109</v>
      </c>
      <c r="D2258" s="37" t="s">
        <v>10634</v>
      </c>
      <c r="E2258" s="37" t="s">
        <v>9261</v>
      </c>
      <c r="F2258" s="37" t="s">
        <v>7088</v>
      </c>
    </row>
    <row r="2259" spans="1:10" ht="14.25" customHeight="1" x14ac:dyDescent="0.35">
      <c r="A2259" s="75" t="s">
        <v>15490</v>
      </c>
      <c r="B2259" s="38" t="s">
        <v>8918</v>
      </c>
      <c r="C2259" s="68">
        <v>45334</v>
      </c>
      <c r="D2259" s="75" t="s">
        <v>9819</v>
      </c>
      <c r="E2259" s="70" t="s">
        <v>13683</v>
      </c>
      <c r="F2259" s="71" t="s">
        <v>3205</v>
      </c>
    </row>
    <row r="2260" spans="1:10" ht="14.25" customHeight="1" x14ac:dyDescent="0.35">
      <c r="A2260" s="76"/>
      <c r="B2260" s="38" t="s">
        <v>1858</v>
      </c>
      <c r="C2260" s="69">
        <f>IF(C2259="","",IF(AND(MONTH(C2259)&gt;=1,MONTH(C2259)&lt;=3),1,IF(AND(MONTH(C2259)&gt;=4,MONTH(C2259)&lt;=6),2,IF(AND(MONTH(C2259)&gt;=7,MONTH(C2259)&lt;=9),3,4))))</f>
        <v>1</v>
      </c>
      <c r="D2260" s="76"/>
      <c r="E2260" s="70" t="s">
        <v>2509</v>
      </c>
      <c r="F2260" s="71" t="s">
        <v>11612</v>
      </c>
    </row>
    <row r="2261" spans="1:10" ht="14.25" customHeight="1" x14ac:dyDescent="0.35">
      <c r="A2261" s="76"/>
      <c r="B2261" s="38" t="s">
        <v>13526</v>
      </c>
      <c r="C2261" s="68">
        <v>45378</v>
      </c>
      <c r="D2261" s="76"/>
      <c r="E2261" s="70" t="s">
        <v>3198</v>
      </c>
      <c r="F2261" s="71" t="s">
        <v>11612</v>
      </c>
    </row>
    <row r="2262" spans="1:10" ht="14.25" customHeight="1" x14ac:dyDescent="0.35">
      <c r="A2262" s="76"/>
      <c r="B2262" s="38" t="s">
        <v>1858</v>
      </c>
      <c r="C2262" s="69">
        <f>IF(C2261="","",IF(AND(MONTH(C2261)&gt;=1,MONTH(C2261)&lt;=3),1,IF(AND(MONTH(C2261)&gt;=4,MONTH(C2261)&lt;=6),2,IF(AND(MONTH(C2261)&gt;=7,MONTH(C2261)&lt;=9),3,4))))</f>
        <v>1</v>
      </c>
      <c r="D2262" s="76"/>
      <c r="E2262" s="70" t="s">
        <v>13785</v>
      </c>
      <c r="F2262" s="71"/>
    </row>
    <row r="2264" spans="1:10" ht="14.25" customHeight="1" x14ac:dyDescent="0.35">
      <c r="A2264" s="43" t="s">
        <v>16424</v>
      </c>
      <c r="B2264" s="43" t="s">
        <v>16856</v>
      </c>
      <c r="C2264" s="43" t="s">
        <v>16326</v>
      </c>
      <c r="D2264" s="43" t="s">
        <v>15925</v>
      </c>
      <c r="E2264" s="43" t="s">
        <v>7248</v>
      </c>
      <c r="F2264" s="43" t="s">
        <v>15955</v>
      </c>
    </row>
    <row r="2265" spans="1:10" ht="14.25" customHeight="1" x14ac:dyDescent="0.35">
      <c r="A2265" s="39" t="s">
        <v>1735</v>
      </c>
      <c r="B2265" s="40" t="str">
        <f ca="1">IFERROR(INDEX(UNSPSCDes,MATCH(INDIRECT(ADDRESS(ROW(),COLUMN()-1,4)),UNSPSCCode,0)),IF(INDIRECT(ADDRESS(ROW(),COLUMN()-1,4))="90101603","Servicios de cáterin",""))</f>
        <v>Servicios de cáterin</v>
      </c>
      <c r="C2265" s="72" t="str">
        <f>IFERROR(VLOOKUP("UD",'Informacion '!P:Q,2,FALSE),"")</f>
        <v>Unidad</v>
      </c>
      <c r="D2265" s="39">
        <v>1</v>
      </c>
      <c r="E2265" s="42">
        <v>118000</v>
      </c>
      <c r="F2265" s="41">
        <f ca="1">INDIRECT(ADDRESS(ROW(),COLUMN()-2,4))*INDIRECT(ADDRESS(ROW(),COLUMN()-1,4))</f>
        <v>118000</v>
      </c>
    </row>
    <row r="2266" spans="1:10" ht="14.25" customHeight="1" x14ac:dyDescent="0.35">
      <c r="A2266" s="39" t="s">
        <v>1735</v>
      </c>
      <c r="B2266" s="40" t="str">
        <f ca="1">IFERROR(INDEX(UNSPSCDes,MATCH(INDIRECT(ADDRESS(ROW(),COLUMN()-1,4)),UNSPSCCode,0)),IF(INDIRECT(ADDRESS(ROW(),COLUMN()-1,4))="90101603","Servicios de cáterin",""))</f>
        <v>Servicios de cáterin</v>
      </c>
      <c r="C2266" s="72" t="str">
        <f>IFERROR(VLOOKUP("UD",'Informacion '!P:Q,2,FALSE),"")</f>
        <v>Unidad</v>
      </c>
      <c r="D2266" s="39">
        <v>1</v>
      </c>
      <c r="E2266" s="42">
        <v>23600</v>
      </c>
      <c r="F2266" s="41">
        <f ca="1">INDIRECT(ADDRESS(ROW(),COLUMN()-2,4))*INDIRECT(ADDRESS(ROW(),COLUMN()-1,4))</f>
        <v>23600</v>
      </c>
    </row>
    <row r="2267" spans="1:10" ht="14.25" customHeight="1" x14ac:dyDescent="0.35">
      <c r="A2267" s="39" t="s">
        <v>1735</v>
      </c>
      <c r="B2267" s="40" t="str">
        <f ca="1">IFERROR(INDEX(UNSPSCDes,MATCH(INDIRECT(ADDRESS(ROW(),COLUMN()-1,4)),UNSPSCCode,0)),IF(INDIRECT(ADDRESS(ROW(),COLUMN()-1,4))="90101603","Servicios de cáterin",""))</f>
        <v>Servicios de cáterin</v>
      </c>
      <c r="C2267" s="72" t="str">
        <f>IFERROR(VLOOKUP("UD",'Informacion '!P:Q,2,FALSE),"")</f>
        <v>Unidad</v>
      </c>
      <c r="D2267" s="39">
        <v>1</v>
      </c>
      <c r="E2267" s="42">
        <v>2950</v>
      </c>
      <c r="F2267" s="41">
        <f ca="1">INDIRECT(ADDRESS(ROW(),COLUMN()-2,4))*INDIRECT(ADDRESS(ROW(),COLUMN()-1,4))</f>
        <v>2950</v>
      </c>
    </row>
    <row r="2268" spans="1:10" ht="14.25" customHeight="1" x14ac:dyDescent="0.35">
      <c r="A2268" s="39" t="s">
        <v>1735</v>
      </c>
      <c r="B2268" s="40" t="str">
        <f ca="1">IFERROR(INDEX(UNSPSCDes,MATCH(INDIRECT(ADDRESS(ROW(),COLUMN()-1,4)),UNSPSCCode,0)),IF(INDIRECT(ADDRESS(ROW(),COLUMN()-1,4))="90101603","Servicios de cáterin",""))</f>
        <v>Servicios de cáterin</v>
      </c>
      <c r="C2268" s="72" t="str">
        <f>IFERROR(VLOOKUP("UD",'Informacion '!P:Q,2,FALSE),"")</f>
        <v>Unidad</v>
      </c>
      <c r="D2268" s="39">
        <v>1</v>
      </c>
      <c r="E2268" s="42">
        <v>29500</v>
      </c>
      <c r="F2268" s="41">
        <f ca="1">INDIRECT(ADDRESS(ROW(),COLUMN()-2,4))*INDIRECT(ADDRESS(ROW(),COLUMN()-1,4))</f>
        <v>29500</v>
      </c>
    </row>
    <row r="2269" spans="1:10" ht="14.25" customHeight="1" x14ac:dyDescent="0.35">
      <c r="A2269" s="39" t="s">
        <v>1735</v>
      </c>
      <c r="B2269" s="40" t="str">
        <f ca="1">IFERROR(INDEX(UNSPSCDes,MATCH(INDIRECT(ADDRESS(ROW(),COLUMN()-1,4)),UNSPSCCode,0)),IF(INDIRECT(ADDRESS(ROW(),COLUMN()-1,4))="90101603","Servicios de cáterin",""))</f>
        <v>Servicios de cáterin</v>
      </c>
      <c r="C2269" s="72" t="str">
        <f>IFERROR(VLOOKUP("CAJ",'Informacion '!P:Q,2,FALSE),"")</f>
        <v>Caja</v>
      </c>
      <c r="D2269" s="39">
        <v>1</v>
      </c>
      <c r="E2269" s="42">
        <v>11800</v>
      </c>
      <c r="F2269" s="41">
        <f ca="1">INDIRECT(ADDRESS(ROW(),COLUMN()-2,4))*INDIRECT(ADDRESS(ROW(),COLUMN()-1,4))</f>
        <v>11800</v>
      </c>
    </row>
    <row r="2270" spans="1:10" ht="14.25" customHeight="1" x14ac:dyDescent="0.35">
      <c r="E2270" s="44" t="s">
        <v>13122</v>
      </c>
      <c r="F2270" s="45">
        <f ca="1">SUM(Table126[MONTO TOTAL ESTIMADO])</f>
        <v>185850</v>
      </c>
      <c r="H2270" s="24" t="str">
        <f>C2258</f>
        <v>Servicios</v>
      </c>
      <c r="I2270" s="24" t="str">
        <f>E2258</f>
        <v>Sí</v>
      </c>
      <c r="J2270" s="24" t="str">
        <f>D2258</f>
        <v>Compras por debajo del Umbral</v>
      </c>
    </row>
    <row r="2272" spans="1:10" ht="34" customHeight="1" x14ac:dyDescent="0.35">
      <c r="A2272" s="36" t="s">
        <v>17105</v>
      </c>
      <c r="B2272" s="36" t="s">
        <v>167</v>
      </c>
      <c r="C2272" s="36" t="s">
        <v>12252</v>
      </c>
      <c r="D2272" s="36" t="s">
        <v>15021</v>
      </c>
      <c r="E2272" s="36" t="s">
        <v>11455</v>
      </c>
      <c r="F2272" s="36" t="s">
        <v>11595</v>
      </c>
    </row>
    <row r="2273" spans="1:6" ht="14.25" customHeight="1" x14ac:dyDescent="0.35">
      <c r="A2273" s="37" t="s">
        <v>2319</v>
      </c>
      <c r="B2273" s="37" t="s">
        <v>2319</v>
      </c>
      <c r="C2273" s="37" t="s">
        <v>7109</v>
      </c>
      <c r="D2273" s="37" t="s">
        <v>10634</v>
      </c>
      <c r="E2273" s="37" t="s">
        <v>9261</v>
      </c>
      <c r="F2273" s="37" t="s">
        <v>7088</v>
      </c>
    </row>
    <row r="2274" spans="1:6" ht="14.25" customHeight="1" x14ac:dyDescent="0.35">
      <c r="A2274" s="75" t="s">
        <v>15490</v>
      </c>
      <c r="B2274" s="38" t="s">
        <v>8918</v>
      </c>
      <c r="C2274" s="68">
        <v>45383</v>
      </c>
      <c r="D2274" s="75" t="s">
        <v>9819</v>
      </c>
      <c r="E2274" s="70" t="s">
        <v>13683</v>
      </c>
      <c r="F2274" s="71" t="s">
        <v>3205</v>
      </c>
    </row>
    <row r="2275" spans="1:6" ht="14.25" customHeight="1" x14ac:dyDescent="0.35">
      <c r="A2275" s="76"/>
      <c r="B2275" s="38" t="s">
        <v>1858</v>
      </c>
      <c r="C2275" s="69">
        <f>IF(C2274="","",IF(AND(MONTH(C2274)&gt;=1,MONTH(C2274)&lt;=3),1,IF(AND(MONTH(C2274)&gt;=4,MONTH(C2274)&lt;=6),2,IF(AND(MONTH(C2274)&gt;=7,MONTH(C2274)&lt;=9),3,4))))</f>
        <v>2</v>
      </c>
      <c r="D2275" s="76"/>
      <c r="E2275" s="70" t="s">
        <v>2509</v>
      </c>
      <c r="F2275" s="71" t="s">
        <v>11612</v>
      </c>
    </row>
    <row r="2276" spans="1:6" ht="14.25" customHeight="1" x14ac:dyDescent="0.35">
      <c r="A2276" s="76"/>
      <c r="B2276" s="38" t="s">
        <v>13526</v>
      </c>
      <c r="C2276" s="68">
        <v>45471</v>
      </c>
      <c r="D2276" s="76"/>
      <c r="E2276" s="70" t="s">
        <v>3198</v>
      </c>
      <c r="F2276" s="71" t="s">
        <v>11612</v>
      </c>
    </row>
    <row r="2277" spans="1:6" ht="14.25" customHeight="1" x14ac:dyDescent="0.35">
      <c r="A2277" s="76"/>
      <c r="B2277" s="38" t="s">
        <v>1858</v>
      </c>
      <c r="C2277" s="69">
        <f>IF(C2276="","",IF(AND(MONTH(C2276)&gt;=1,MONTH(C2276)&lt;=3),1,IF(AND(MONTH(C2276)&gt;=4,MONTH(C2276)&lt;=6),2,IF(AND(MONTH(C2276)&gt;=7,MONTH(C2276)&lt;=9),3,4))))</f>
        <v>2</v>
      </c>
      <c r="D2277" s="76"/>
      <c r="E2277" s="70" t="s">
        <v>13785</v>
      </c>
      <c r="F2277" s="71"/>
    </row>
    <row r="2279" spans="1:6" ht="14.25" customHeight="1" x14ac:dyDescent="0.35">
      <c r="A2279" s="43" t="s">
        <v>16424</v>
      </c>
      <c r="B2279" s="43" t="s">
        <v>16856</v>
      </c>
      <c r="C2279" s="43" t="s">
        <v>16326</v>
      </c>
      <c r="D2279" s="43" t="s">
        <v>15925</v>
      </c>
      <c r="E2279" s="43" t="s">
        <v>7248</v>
      </c>
      <c r="F2279" s="43" t="s">
        <v>15955</v>
      </c>
    </row>
    <row r="2280" spans="1:6" ht="14.25" customHeight="1" x14ac:dyDescent="0.35">
      <c r="A2280" s="39" t="s">
        <v>1735</v>
      </c>
      <c r="B2280" s="40" t="str">
        <f ca="1">IFERROR(INDEX(UNSPSCDes,MATCH(INDIRECT(ADDRESS(ROW(),COLUMN()-1,4)),UNSPSCCode,0)),IF(INDIRECT(ADDRESS(ROW(),COLUMN()-1,4))="90101603","Servicios de cáterin",""))</f>
        <v>Servicios de cáterin</v>
      </c>
      <c r="C2280" s="72" t="str">
        <f>IFERROR(VLOOKUP("UD",'Informacion '!P:Q,2,FALSE),"")</f>
        <v>Unidad</v>
      </c>
      <c r="D2280" s="39">
        <v>1</v>
      </c>
      <c r="E2280" s="42">
        <v>116442</v>
      </c>
      <c r="F2280" s="41">
        <f t="shared" ref="F2280:F2296" ca="1" si="82">INDIRECT(ADDRESS(ROW(),COLUMN()-2,4))*INDIRECT(ADDRESS(ROW(),COLUMN()-1,4))</f>
        <v>116442</v>
      </c>
    </row>
    <row r="2281" spans="1:6" ht="14.25" customHeight="1" x14ac:dyDescent="0.35">
      <c r="A2281" s="39" t="s">
        <v>5116</v>
      </c>
      <c r="B2281" s="40" t="str">
        <f ca="1">IFERROR(INDEX(UNSPSCDes,MATCH(INDIRECT(ADDRESS(ROW(),COLUMN()-1,4)),UNSPSCCode,0)),IF(INDIRECT(ADDRESS(ROW(),COLUMN()-1,4))="90101602","Servicios de carpas para fiestas",""))</f>
        <v>Servicios de carpas para fiestas</v>
      </c>
      <c r="C2281" s="72" t="str">
        <f>IFERROR(VLOOKUP("UD",'Informacion '!P:Q,2,FALSE),"")</f>
        <v>Unidad</v>
      </c>
      <c r="D2281" s="39">
        <v>2</v>
      </c>
      <c r="E2281" s="42">
        <v>9912</v>
      </c>
      <c r="F2281" s="41">
        <f t="shared" ca="1" si="82"/>
        <v>19824</v>
      </c>
    </row>
    <row r="2282" spans="1:6" ht="14.25" customHeight="1" x14ac:dyDescent="0.35">
      <c r="A2282" s="39" t="s">
        <v>1735</v>
      </c>
      <c r="B2282" s="40" t="str">
        <f t="shared" ref="B2282:B2296" ca="1" si="83">IFERROR(INDEX(UNSPSCDes,MATCH(INDIRECT(ADDRESS(ROW(),COLUMN()-1,4)),UNSPSCCode,0)),IF(INDIRECT(ADDRESS(ROW(),COLUMN()-1,4))="90101603","Servicios de cáterin",""))</f>
        <v>Servicios de cáterin</v>
      </c>
      <c r="C2282" s="72" t="str">
        <f>IFERROR(VLOOKUP("UD",'Informacion '!P:Q,2,FALSE),"")</f>
        <v>Unidad</v>
      </c>
      <c r="D2282" s="39">
        <v>1</v>
      </c>
      <c r="E2282" s="42">
        <v>23600</v>
      </c>
      <c r="F2282" s="41">
        <f t="shared" ca="1" si="82"/>
        <v>23600</v>
      </c>
    </row>
    <row r="2283" spans="1:6" ht="14.25" customHeight="1" x14ac:dyDescent="0.35">
      <c r="A2283" s="39" t="s">
        <v>1735</v>
      </c>
      <c r="B2283" s="40" t="str">
        <f t="shared" ca="1" si="83"/>
        <v>Servicios de cáterin</v>
      </c>
      <c r="C2283" s="72" t="str">
        <f>IFERROR(VLOOKUP("UD",'Informacion '!P:Q,2,FALSE),"")</f>
        <v>Unidad</v>
      </c>
      <c r="D2283" s="39">
        <v>1</v>
      </c>
      <c r="E2283" s="42">
        <v>2360</v>
      </c>
      <c r="F2283" s="41">
        <f t="shared" ca="1" si="82"/>
        <v>2360</v>
      </c>
    </row>
    <row r="2284" spans="1:6" ht="14.25" customHeight="1" x14ac:dyDescent="0.35">
      <c r="A2284" s="39" t="s">
        <v>1735</v>
      </c>
      <c r="B2284" s="40" t="str">
        <f t="shared" ca="1" si="83"/>
        <v>Servicios de cáterin</v>
      </c>
      <c r="C2284" s="72" t="str">
        <f>IFERROR(VLOOKUP("UD",'Informacion '!P:Q,2,FALSE),"")</f>
        <v>Unidad</v>
      </c>
      <c r="D2284" s="39">
        <v>1</v>
      </c>
      <c r="E2284" s="42">
        <v>9440</v>
      </c>
      <c r="F2284" s="41">
        <f t="shared" ca="1" si="82"/>
        <v>9440</v>
      </c>
    </row>
    <row r="2285" spans="1:6" ht="14.25" customHeight="1" x14ac:dyDescent="0.35">
      <c r="A2285" s="39" t="s">
        <v>1735</v>
      </c>
      <c r="B2285" s="40" t="str">
        <f t="shared" ca="1" si="83"/>
        <v>Servicios de cáterin</v>
      </c>
      <c r="C2285" s="72" t="str">
        <f>IFERROR(VLOOKUP("UD",'Informacion '!P:Q,2,FALSE),"")</f>
        <v>Unidad</v>
      </c>
      <c r="D2285" s="39">
        <v>1</v>
      </c>
      <c r="E2285" s="42">
        <v>2360</v>
      </c>
      <c r="F2285" s="41">
        <f t="shared" ca="1" si="82"/>
        <v>2360</v>
      </c>
    </row>
    <row r="2286" spans="1:6" ht="14.25" customHeight="1" x14ac:dyDescent="0.35">
      <c r="A2286" s="39" t="s">
        <v>1735</v>
      </c>
      <c r="B2286" s="40" t="str">
        <f t="shared" ca="1" si="83"/>
        <v>Servicios de cáterin</v>
      </c>
      <c r="C2286" s="72" t="str">
        <f>IFERROR(VLOOKUP("UD",'Informacion '!P:Q,2,FALSE),"")</f>
        <v>Unidad</v>
      </c>
      <c r="D2286" s="39">
        <v>1</v>
      </c>
      <c r="E2286" s="42">
        <v>11800</v>
      </c>
      <c r="F2286" s="41">
        <f t="shared" ca="1" si="82"/>
        <v>11800</v>
      </c>
    </row>
    <row r="2287" spans="1:6" ht="14.25" customHeight="1" x14ac:dyDescent="0.35">
      <c r="A2287" s="39" t="s">
        <v>1735</v>
      </c>
      <c r="B2287" s="40" t="str">
        <f t="shared" ca="1" si="83"/>
        <v>Servicios de cáterin</v>
      </c>
      <c r="C2287" s="72" t="str">
        <f>IFERROR(VLOOKUP("UD",'Informacion '!P:Q,2,FALSE),"")</f>
        <v>Unidad</v>
      </c>
      <c r="D2287" s="39">
        <v>1</v>
      </c>
      <c r="E2287" s="42">
        <v>47200</v>
      </c>
      <c r="F2287" s="41">
        <f t="shared" ca="1" si="82"/>
        <v>47200</v>
      </c>
    </row>
    <row r="2288" spans="1:6" ht="14.25" customHeight="1" x14ac:dyDescent="0.35">
      <c r="A2288" s="39" t="s">
        <v>1735</v>
      </c>
      <c r="B2288" s="40" t="str">
        <f t="shared" ca="1" si="83"/>
        <v>Servicios de cáterin</v>
      </c>
      <c r="C2288" s="72" t="str">
        <f>IFERROR(VLOOKUP("UD",'Informacion '!P:Q,2,FALSE),"")</f>
        <v>Unidad</v>
      </c>
      <c r="D2288" s="39">
        <v>1</v>
      </c>
      <c r="E2288" s="42">
        <v>47200</v>
      </c>
      <c r="F2288" s="41">
        <f t="shared" ca="1" si="82"/>
        <v>47200</v>
      </c>
    </row>
    <row r="2289" spans="1:10" ht="14.25" customHeight="1" x14ac:dyDescent="0.35">
      <c r="A2289" s="39" t="s">
        <v>1735</v>
      </c>
      <c r="B2289" s="40" t="str">
        <f t="shared" ca="1" si="83"/>
        <v>Servicios de cáterin</v>
      </c>
      <c r="C2289" s="72" t="str">
        <f>IFERROR(VLOOKUP("UD",'Informacion '!P:Q,2,FALSE),"")</f>
        <v>Unidad</v>
      </c>
      <c r="D2289" s="39">
        <v>1</v>
      </c>
      <c r="E2289" s="42">
        <v>47200</v>
      </c>
      <c r="F2289" s="41">
        <f t="shared" ca="1" si="82"/>
        <v>47200</v>
      </c>
    </row>
    <row r="2290" spans="1:10" ht="14.25" customHeight="1" x14ac:dyDescent="0.35">
      <c r="A2290" s="39" t="s">
        <v>1735</v>
      </c>
      <c r="B2290" s="40" t="str">
        <f t="shared" ca="1" si="83"/>
        <v>Servicios de cáterin</v>
      </c>
      <c r="C2290" s="72" t="str">
        <f>IFERROR(VLOOKUP("UD",'Informacion '!P:Q,2,FALSE),"")</f>
        <v>Unidad</v>
      </c>
      <c r="D2290" s="39">
        <v>1</v>
      </c>
      <c r="E2290" s="42">
        <v>47200</v>
      </c>
      <c r="F2290" s="41">
        <f t="shared" ca="1" si="82"/>
        <v>47200</v>
      </c>
    </row>
    <row r="2291" spans="1:10" ht="14.25" customHeight="1" x14ac:dyDescent="0.35">
      <c r="A2291" s="39" t="s">
        <v>1735</v>
      </c>
      <c r="B2291" s="40" t="str">
        <f t="shared" ca="1" si="83"/>
        <v>Servicios de cáterin</v>
      </c>
      <c r="C2291" s="72" t="str">
        <f>IFERROR(VLOOKUP("UD",'Informacion '!P:Q,2,FALSE),"")</f>
        <v>Unidad</v>
      </c>
      <c r="D2291" s="39">
        <v>1</v>
      </c>
      <c r="E2291" s="42">
        <v>47200</v>
      </c>
      <c r="F2291" s="41">
        <f t="shared" ca="1" si="82"/>
        <v>47200</v>
      </c>
    </row>
    <row r="2292" spans="1:10" ht="14.25" customHeight="1" x14ac:dyDescent="0.35">
      <c r="A2292" s="39" t="s">
        <v>1735</v>
      </c>
      <c r="B2292" s="40" t="str">
        <f t="shared" ca="1" si="83"/>
        <v>Servicios de cáterin</v>
      </c>
      <c r="C2292" s="72" t="str">
        <f>IFERROR(VLOOKUP("UD",'Informacion '!P:Q,2,FALSE),"")</f>
        <v>Unidad</v>
      </c>
      <c r="D2292" s="39">
        <v>1</v>
      </c>
      <c r="E2292" s="42">
        <v>47200</v>
      </c>
      <c r="F2292" s="41">
        <f t="shared" ca="1" si="82"/>
        <v>47200</v>
      </c>
    </row>
    <row r="2293" spans="1:10" ht="14.25" customHeight="1" x14ac:dyDescent="0.35">
      <c r="A2293" s="39" t="s">
        <v>1735</v>
      </c>
      <c r="B2293" s="40" t="str">
        <f t="shared" ca="1" si="83"/>
        <v>Servicios de cáterin</v>
      </c>
      <c r="C2293" s="72" t="str">
        <f>IFERROR(VLOOKUP("UD",'Informacion '!P:Q,2,FALSE),"")</f>
        <v>Unidad</v>
      </c>
      <c r="D2293" s="39">
        <v>1</v>
      </c>
      <c r="E2293" s="42">
        <v>29500</v>
      </c>
      <c r="F2293" s="41">
        <f t="shared" ca="1" si="82"/>
        <v>29500</v>
      </c>
    </row>
    <row r="2294" spans="1:10" ht="14.25" customHeight="1" x14ac:dyDescent="0.35">
      <c r="A2294" s="39" t="s">
        <v>1735</v>
      </c>
      <c r="B2294" s="40" t="str">
        <f t="shared" ca="1" si="83"/>
        <v>Servicios de cáterin</v>
      </c>
      <c r="C2294" s="72" t="str">
        <f>IFERROR(VLOOKUP("UD",'Informacion '!P:Q,2,FALSE),"")</f>
        <v>Unidad</v>
      </c>
      <c r="D2294" s="39">
        <v>1</v>
      </c>
      <c r="E2294" s="42">
        <v>590</v>
      </c>
      <c r="F2294" s="41">
        <f t="shared" ca="1" si="82"/>
        <v>590</v>
      </c>
    </row>
    <row r="2295" spans="1:10" ht="14.25" customHeight="1" x14ac:dyDescent="0.35">
      <c r="A2295" s="39" t="s">
        <v>1735</v>
      </c>
      <c r="B2295" s="40" t="str">
        <f t="shared" ca="1" si="83"/>
        <v>Servicios de cáterin</v>
      </c>
      <c r="C2295" s="72" t="str">
        <f>IFERROR(VLOOKUP("UD",'Informacion '!P:Q,2,FALSE),"")</f>
        <v>Unidad</v>
      </c>
      <c r="D2295" s="39">
        <v>1</v>
      </c>
      <c r="E2295" s="42">
        <v>59000</v>
      </c>
      <c r="F2295" s="41">
        <f t="shared" ca="1" si="82"/>
        <v>59000</v>
      </c>
    </row>
    <row r="2296" spans="1:10" ht="14.25" customHeight="1" x14ac:dyDescent="0.35">
      <c r="A2296" s="39" t="s">
        <v>1735</v>
      </c>
      <c r="B2296" s="40" t="str">
        <f t="shared" ca="1" si="83"/>
        <v>Servicios de cáterin</v>
      </c>
      <c r="C2296" s="72" t="str">
        <f>IFERROR(VLOOKUP("UD",'Informacion '!P:Q,2,FALSE),"")</f>
        <v>Unidad</v>
      </c>
      <c r="D2296" s="39">
        <v>25</v>
      </c>
      <c r="E2296" s="42">
        <v>88.5</v>
      </c>
      <c r="F2296" s="41">
        <f t="shared" ca="1" si="82"/>
        <v>2212.5</v>
      </c>
    </row>
    <row r="2297" spans="1:10" ht="14.25" customHeight="1" x14ac:dyDescent="0.35">
      <c r="E2297" s="44" t="s">
        <v>13122</v>
      </c>
      <c r="F2297" s="45">
        <f ca="1">SUM(Table127[MONTO TOTAL ESTIMADO])</f>
        <v>560328.5</v>
      </c>
      <c r="H2297" s="24" t="str">
        <f>C2273</f>
        <v>Servicios</v>
      </c>
      <c r="I2297" s="24" t="str">
        <f>E2273</f>
        <v>Sí</v>
      </c>
      <c r="J2297" s="24" t="str">
        <f>D2273</f>
        <v>Compras por debajo del Umbral</v>
      </c>
    </row>
    <row r="2299" spans="1:10" ht="34" customHeight="1" x14ac:dyDescent="0.35">
      <c r="A2299" s="36" t="s">
        <v>17105</v>
      </c>
      <c r="B2299" s="36" t="s">
        <v>167</v>
      </c>
      <c r="C2299" s="36" t="s">
        <v>12252</v>
      </c>
      <c r="D2299" s="36" t="s">
        <v>15021</v>
      </c>
      <c r="E2299" s="36" t="s">
        <v>11455</v>
      </c>
      <c r="F2299" s="36" t="s">
        <v>11595</v>
      </c>
    </row>
    <row r="2300" spans="1:10" ht="14.25" customHeight="1" x14ac:dyDescent="0.35">
      <c r="A2300" s="37" t="s">
        <v>2319</v>
      </c>
      <c r="B2300" s="37" t="s">
        <v>2319</v>
      </c>
      <c r="C2300" s="37" t="s">
        <v>7109</v>
      </c>
      <c r="D2300" s="37" t="s">
        <v>10634</v>
      </c>
      <c r="E2300" s="37" t="s">
        <v>9261</v>
      </c>
      <c r="F2300" s="37" t="s">
        <v>7088</v>
      </c>
    </row>
    <row r="2301" spans="1:10" ht="14.25" customHeight="1" x14ac:dyDescent="0.35">
      <c r="A2301" s="75" t="s">
        <v>15490</v>
      </c>
      <c r="B2301" s="38" t="s">
        <v>8918</v>
      </c>
      <c r="C2301" s="68">
        <v>45474</v>
      </c>
      <c r="D2301" s="75" t="s">
        <v>9819</v>
      </c>
      <c r="E2301" s="70" t="s">
        <v>13683</v>
      </c>
      <c r="F2301" s="71" t="s">
        <v>3205</v>
      </c>
    </row>
    <row r="2302" spans="1:10" ht="14.25" customHeight="1" x14ac:dyDescent="0.35">
      <c r="A2302" s="76"/>
      <c r="B2302" s="38" t="s">
        <v>1858</v>
      </c>
      <c r="C2302" s="69">
        <f>IF(C2301="","",IF(AND(MONTH(C2301)&gt;=1,MONTH(C2301)&lt;=3),1,IF(AND(MONTH(C2301)&gt;=4,MONTH(C2301)&lt;=6),2,IF(AND(MONTH(C2301)&gt;=7,MONTH(C2301)&lt;=9),3,4))))</f>
        <v>3</v>
      </c>
      <c r="D2302" s="76"/>
      <c r="E2302" s="70" t="s">
        <v>2509</v>
      </c>
      <c r="F2302" s="71" t="s">
        <v>11612</v>
      </c>
    </row>
    <row r="2303" spans="1:10" ht="14.25" customHeight="1" x14ac:dyDescent="0.35">
      <c r="A2303" s="76"/>
      <c r="B2303" s="38" t="s">
        <v>13526</v>
      </c>
      <c r="C2303" s="68">
        <v>45565</v>
      </c>
      <c r="D2303" s="76"/>
      <c r="E2303" s="70" t="s">
        <v>3198</v>
      </c>
      <c r="F2303" s="71" t="s">
        <v>11612</v>
      </c>
    </row>
    <row r="2304" spans="1:10" ht="14.25" customHeight="1" x14ac:dyDescent="0.35">
      <c r="A2304" s="76"/>
      <c r="B2304" s="38" t="s">
        <v>1858</v>
      </c>
      <c r="C2304" s="69">
        <f>IF(C2303="","",IF(AND(MONTH(C2303)&gt;=1,MONTH(C2303)&lt;=3),1,IF(AND(MONTH(C2303)&gt;=4,MONTH(C2303)&lt;=6),2,IF(AND(MONTH(C2303)&gt;=7,MONTH(C2303)&lt;=9),3,4))))</f>
        <v>3</v>
      </c>
      <c r="D2304" s="76"/>
      <c r="E2304" s="70" t="s">
        <v>13785</v>
      </c>
      <c r="F2304" s="71"/>
    </row>
    <row r="2306" spans="1:10" ht="14.25" customHeight="1" x14ac:dyDescent="0.35">
      <c r="A2306" s="43" t="s">
        <v>16424</v>
      </c>
      <c r="B2306" s="43" t="s">
        <v>16856</v>
      </c>
      <c r="C2306" s="43" t="s">
        <v>16326</v>
      </c>
      <c r="D2306" s="43" t="s">
        <v>15925</v>
      </c>
      <c r="E2306" s="43" t="s">
        <v>7248</v>
      </c>
      <c r="F2306" s="43" t="s">
        <v>15955</v>
      </c>
    </row>
    <row r="2307" spans="1:10" ht="14.25" customHeight="1" x14ac:dyDescent="0.35">
      <c r="A2307" s="39" t="s">
        <v>1735</v>
      </c>
      <c r="B2307" s="40" t="str">
        <f ca="1">IFERROR(INDEX(UNSPSCDes,MATCH(INDIRECT(ADDRESS(ROW(),COLUMN()-1,4)),UNSPSCCode,0)),IF(INDIRECT(ADDRESS(ROW(),COLUMN()-1,4))="90101603","Servicios de cáterin",""))</f>
        <v>Servicios de cáterin</v>
      </c>
      <c r="C2307" s="72" t="str">
        <f>IFERROR(VLOOKUP("UD",'Informacion '!P:Q,2,FALSE),"")</f>
        <v>Unidad</v>
      </c>
      <c r="D2307" s="39">
        <v>1</v>
      </c>
      <c r="E2307" s="42">
        <v>116442</v>
      </c>
      <c r="F2307" s="41">
        <f ca="1">INDIRECT(ADDRESS(ROW(),COLUMN()-2,4))*INDIRECT(ADDRESS(ROW(),COLUMN()-1,4))</f>
        <v>116442</v>
      </c>
    </row>
    <row r="2308" spans="1:10" ht="14.25" customHeight="1" x14ac:dyDescent="0.35">
      <c r="A2308" s="39" t="s">
        <v>1735</v>
      </c>
      <c r="B2308" s="40" t="str">
        <f ca="1">IFERROR(INDEX(UNSPSCDes,MATCH(INDIRECT(ADDRESS(ROW(),COLUMN()-1,4)),UNSPSCCode,0)),IF(INDIRECT(ADDRESS(ROW(),COLUMN()-1,4))="90101603","Servicios de cáterin",""))</f>
        <v>Servicios de cáterin</v>
      </c>
      <c r="C2308" s="72" t="str">
        <f>IFERROR(VLOOKUP("UD",'Informacion '!P:Q,2,FALSE),"")</f>
        <v>Unidad</v>
      </c>
      <c r="D2308" s="39">
        <v>1</v>
      </c>
      <c r="E2308" s="42">
        <v>7080</v>
      </c>
      <c r="F2308" s="41">
        <f ca="1">INDIRECT(ADDRESS(ROW(),COLUMN()-2,4))*INDIRECT(ADDRESS(ROW(),COLUMN()-1,4))</f>
        <v>7080</v>
      </c>
    </row>
    <row r="2309" spans="1:10" ht="14.25" customHeight="1" x14ac:dyDescent="0.35">
      <c r="A2309" s="39" t="s">
        <v>1735</v>
      </c>
      <c r="B2309" s="40" t="str">
        <f ca="1">IFERROR(INDEX(UNSPSCDes,MATCH(INDIRECT(ADDRESS(ROW(),COLUMN()-1,4)),UNSPSCCode,0)),IF(INDIRECT(ADDRESS(ROW(),COLUMN()-1,4))="90101603","Servicios de cáterin",""))</f>
        <v>Servicios de cáterin</v>
      </c>
      <c r="C2309" s="72" t="str">
        <f>IFERROR(VLOOKUP("UD",'Informacion '!P:Q,2,FALSE),"")</f>
        <v>Unidad</v>
      </c>
      <c r="D2309" s="39">
        <v>1</v>
      </c>
      <c r="E2309" s="42">
        <v>74694</v>
      </c>
      <c r="F2309" s="41">
        <f ca="1">INDIRECT(ADDRESS(ROW(),COLUMN()-2,4))*INDIRECT(ADDRESS(ROW(),COLUMN()-1,4))</f>
        <v>74694</v>
      </c>
    </row>
    <row r="2310" spans="1:10" ht="14.25" customHeight="1" x14ac:dyDescent="0.35">
      <c r="A2310" s="39" t="s">
        <v>1735</v>
      </c>
      <c r="B2310" s="40" t="str">
        <f ca="1">IFERROR(INDEX(UNSPSCDes,MATCH(INDIRECT(ADDRESS(ROW(),COLUMN()-1,4)),UNSPSCCode,0)),IF(INDIRECT(ADDRESS(ROW(),COLUMN()-1,4))="90101603","Servicios de cáterin",""))</f>
        <v>Servicios de cáterin</v>
      </c>
      <c r="C2310" s="72" t="str">
        <f>IFERROR(VLOOKUP("UD",'Informacion '!P:Q,2,FALSE),"")</f>
        <v>Unidad</v>
      </c>
      <c r="D2310" s="39">
        <v>1</v>
      </c>
      <c r="E2310" s="42">
        <v>65844</v>
      </c>
      <c r="F2310" s="41">
        <f ca="1">INDIRECT(ADDRESS(ROW(),COLUMN()-2,4))*INDIRECT(ADDRESS(ROW(),COLUMN()-1,4))</f>
        <v>65844</v>
      </c>
    </row>
    <row r="2311" spans="1:10" ht="14.25" customHeight="1" x14ac:dyDescent="0.35">
      <c r="A2311" s="39" t="s">
        <v>1735</v>
      </c>
      <c r="B2311" s="40" t="str">
        <f ca="1">IFERROR(INDEX(UNSPSCDes,MATCH(INDIRECT(ADDRESS(ROW(),COLUMN()-1,4)),UNSPSCCode,0)),IF(INDIRECT(ADDRESS(ROW(),COLUMN()-1,4))="90101603","Servicios de cáterin",""))</f>
        <v>Servicios de cáterin</v>
      </c>
      <c r="C2311" s="72" t="str">
        <f>IFERROR(VLOOKUP("UD",'Informacion '!P:Q,2,FALSE),"")</f>
        <v>Unidad</v>
      </c>
      <c r="D2311" s="39">
        <v>25</v>
      </c>
      <c r="E2311" s="42">
        <v>88.5</v>
      </c>
      <c r="F2311" s="41">
        <f ca="1">INDIRECT(ADDRESS(ROW(),COLUMN()-2,4))*INDIRECT(ADDRESS(ROW(),COLUMN()-1,4))</f>
        <v>2212.5</v>
      </c>
    </row>
    <row r="2312" spans="1:10" ht="14.25" customHeight="1" x14ac:dyDescent="0.35">
      <c r="E2312" s="44" t="s">
        <v>13122</v>
      </c>
      <c r="F2312" s="45">
        <f ca="1">SUM(Table128[MONTO TOTAL ESTIMADO])</f>
        <v>266272.5</v>
      </c>
      <c r="H2312" s="24" t="str">
        <f>C2300</f>
        <v>Servicios</v>
      </c>
      <c r="I2312" s="24" t="str">
        <f>E2300</f>
        <v>Sí</v>
      </c>
      <c r="J2312" s="24" t="str">
        <f>D2300</f>
        <v>Compras por debajo del Umbral</v>
      </c>
    </row>
    <row r="2314" spans="1:10" ht="34" customHeight="1" x14ac:dyDescent="0.35">
      <c r="A2314" s="36" t="s">
        <v>17105</v>
      </c>
      <c r="B2314" s="36" t="s">
        <v>167</v>
      </c>
      <c r="C2314" s="36" t="s">
        <v>12252</v>
      </c>
      <c r="D2314" s="36" t="s">
        <v>15021</v>
      </c>
      <c r="E2314" s="36" t="s">
        <v>11455</v>
      </c>
      <c r="F2314" s="36" t="s">
        <v>11595</v>
      </c>
    </row>
    <row r="2315" spans="1:10" ht="14.25" customHeight="1" x14ac:dyDescent="0.35">
      <c r="A2315" s="37" t="s">
        <v>2319</v>
      </c>
      <c r="B2315" s="37" t="s">
        <v>2319</v>
      </c>
      <c r="C2315" s="37" t="s">
        <v>7109</v>
      </c>
      <c r="D2315" s="37" t="s">
        <v>10634</v>
      </c>
      <c r="E2315" s="37" t="s">
        <v>9261</v>
      </c>
      <c r="F2315" s="37" t="s">
        <v>7088</v>
      </c>
    </row>
    <row r="2316" spans="1:10" ht="14.25" customHeight="1" x14ac:dyDescent="0.35">
      <c r="A2316" s="75" t="s">
        <v>15490</v>
      </c>
      <c r="B2316" s="38" t="s">
        <v>8918</v>
      </c>
      <c r="C2316" s="68">
        <v>45566</v>
      </c>
      <c r="D2316" s="75" t="s">
        <v>9819</v>
      </c>
      <c r="E2316" s="70" t="s">
        <v>13683</v>
      </c>
      <c r="F2316" s="71" t="s">
        <v>3205</v>
      </c>
    </row>
    <row r="2317" spans="1:10" ht="14.25" customHeight="1" x14ac:dyDescent="0.35">
      <c r="A2317" s="76"/>
      <c r="B2317" s="38" t="s">
        <v>1858</v>
      </c>
      <c r="C2317" s="69">
        <f>IF(C2316="","",IF(AND(MONTH(C2316)&gt;=1,MONTH(C2316)&lt;=3),1,IF(AND(MONTH(C2316)&gt;=4,MONTH(C2316)&lt;=6),2,IF(AND(MONTH(C2316)&gt;=7,MONTH(C2316)&lt;=9),3,4))))</f>
        <v>4</v>
      </c>
      <c r="D2317" s="76"/>
      <c r="E2317" s="70" t="s">
        <v>2509</v>
      </c>
      <c r="F2317" s="71" t="s">
        <v>11612</v>
      </c>
    </row>
    <row r="2318" spans="1:10" ht="14.25" customHeight="1" x14ac:dyDescent="0.35">
      <c r="A2318" s="76"/>
      <c r="B2318" s="38" t="s">
        <v>13526</v>
      </c>
      <c r="C2318" s="68">
        <v>45657</v>
      </c>
      <c r="D2318" s="76"/>
      <c r="E2318" s="70" t="s">
        <v>3198</v>
      </c>
      <c r="F2318" s="71" t="s">
        <v>11612</v>
      </c>
    </row>
    <row r="2319" spans="1:10" ht="14.25" customHeight="1" x14ac:dyDescent="0.35">
      <c r="A2319" s="76"/>
      <c r="B2319" s="38" t="s">
        <v>1858</v>
      </c>
      <c r="C2319" s="69">
        <f>IF(C2318="","",IF(AND(MONTH(C2318)&gt;=1,MONTH(C2318)&lt;=3),1,IF(AND(MONTH(C2318)&gt;=4,MONTH(C2318)&lt;=6),2,IF(AND(MONTH(C2318)&gt;=7,MONTH(C2318)&lt;=9),3,4))))</f>
        <v>4</v>
      </c>
      <c r="D2319" s="76"/>
      <c r="E2319" s="70" t="s">
        <v>13785</v>
      </c>
      <c r="F2319" s="71"/>
    </row>
    <row r="2321" spans="1:10" ht="14.25" customHeight="1" x14ac:dyDescent="0.35">
      <c r="A2321" s="43" t="s">
        <v>16424</v>
      </c>
      <c r="B2321" s="43" t="s">
        <v>16856</v>
      </c>
      <c r="C2321" s="43" t="s">
        <v>16326</v>
      </c>
      <c r="D2321" s="43" t="s">
        <v>15925</v>
      </c>
      <c r="E2321" s="43" t="s">
        <v>7248</v>
      </c>
      <c r="F2321" s="43" t="s">
        <v>15955</v>
      </c>
    </row>
    <row r="2322" spans="1:10" ht="14.25" customHeight="1" x14ac:dyDescent="0.35">
      <c r="A2322" s="39" t="s">
        <v>1735</v>
      </c>
      <c r="B2322" s="40" t="str">
        <f t="shared" ref="B2322:B2328" ca="1" si="84">IFERROR(INDEX(UNSPSCDes,MATCH(INDIRECT(ADDRESS(ROW(),COLUMN()-1,4)),UNSPSCCode,0)),IF(INDIRECT(ADDRESS(ROW(),COLUMN()-1,4))="90101603","Servicios de cáterin",""))</f>
        <v>Servicios de cáterin</v>
      </c>
      <c r="C2322" s="72" t="str">
        <f>IFERROR(VLOOKUP("UD",'Informacion '!P:Q,2,FALSE),"")</f>
        <v>Unidad</v>
      </c>
      <c r="D2322" s="39">
        <v>1</v>
      </c>
      <c r="E2322" s="42">
        <v>2950</v>
      </c>
      <c r="F2322" s="41">
        <f t="shared" ref="F2322:F2328" ca="1" si="85">INDIRECT(ADDRESS(ROW(),COLUMN()-2,4))*INDIRECT(ADDRESS(ROW(),COLUMN()-1,4))</f>
        <v>2950</v>
      </c>
    </row>
    <row r="2323" spans="1:10" ht="14.25" customHeight="1" x14ac:dyDescent="0.35">
      <c r="A2323" s="39" t="s">
        <v>1735</v>
      </c>
      <c r="B2323" s="40" t="str">
        <f t="shared" ca="1" si="84"/>
        <v>Servicios de cáterin</v>
      </c>
      <c r="C2323" s="72" t="str">
        <f>IFERROR(VLOOKUP("UD",'Informacion '!P:Q,2,FALSE),"")</f>
        <v>Unidad</v>
      </c>
      <c r="D2323" s="39">
        <v>1</v>
      </c>
      <c r="E2323" s="42">
        <v>7670</v>
      </c>
      <c r="F2323" s="41">
        <f t="shared" ca="1" si="85"/>
        <v>7670</v>
      </c>
    </row>
    <row r="2324" spans="1:10" ht="14.25" customHeight="1" x14ac:dyDescent="0.35">
      <c r="A2324" s="39" t="s">
        <v>1735</v>
      </c>
      <c r="B2324" s="40" t="str">
        <f t="shared" ca="1" si="84"/>
        <v>Servicios de cáterin</v>
      </c>
      <c r="C2324" s="72" t="str">
        <f>IFERROR(VLOOKUP("UD",'Informacion '!P:Q,2,FALSE),"")</f>
        <v>Unidad</v>
      </c>
      <c r="D2324" s="39">
        <v>1</v>
      </c>
      <c r="E2324" s="42">
        <v>11800</v>
      </c>
      <c r="F2324" s="41">
        <f t="shared" ca="1" si="85"/>
        <v>11800</v>
      </c>
    </row>
    <row r="2325" spans="1:10" ht="14.25" customHeight="1" x14ac:dyDescent="0.35">
      <c r="A2325" s="39" t="s">
        <v>1735</v>
      </c>
      <c r="B2325" s="40" t="str">
        <f t="shared" ca="1" si="84"/>
        <v>Servicios de cáterin</v>
      </c>
      <c r="C2325" s="72" t="str">
        <f>IFERROR(VLOOKUP("UD",'Informacion '!P:Q,2,FALSE),"")</f>
        <v>Unidad</v>
      </c>
      <c r="D2325" s="39">
        <v>1</v>
      </c>
      <c r="E2325" s="42">
        <v>37347</v>
      </c>
      <c r="F2325" s="41">
        <f t="shared" ca="1" si="85"/>
        <v>37347</v>
      </c>
    </row>
    <row r="2326" spans="1:10" ht="14.25" customHeight="1" x14ac:dyDescent="0.35">
      <c r="A2326" s="39" t="s">
        <v>1735</v>
      </c>
      <c r="B2326" s="40" t="str">
        <f t="shared" ca="1" si="84"/>
        <v>Servicios de cáterin</v>
      </c>
      <c r="C2326" s="72" t="str">
        <f>IFERROR(VLOOKUP("UD",'Informacion '!P:Q,2,FALSE),"")</f>
        <v>Unidad</v>
      </c>
      <c r="D2326" s="39">
        <v>1</v>
      </c>
      <c r="E2326" s="42">
        <v>74694</v>
      </c>
      <c r="F2326" s="41">
        <f t="shared" ca="1" si="85"/>
        <v>74694</v>
      </c>
    </row>
    <row r="2327" spans="1:10" ht="14.25" customHeight="1" x14ac:dyDescent="0.35">
      <c r="A2327" s="39" t="s">
        <v>1735</v>
      </c>
      <c r="B2327" s="40" t="str">
        <f t="shared" ca="1" si="84"/>
        <v>Servicios de cáterin</v>
      </c>
      <c r="C2327" s="72" t="str">
        <f>IFERROR(VLOOKUP("UD",'Informacion '!P:Q,2,FALSE),"")</f>
        <v>Unidad</v>
      </c>
      <c r="D2327" s="39">
        <v>1</v>
      </c>
      <c r="E2327" s="42">
        <v>65844</v>
      </c>
      <c r="F2327" s="41">
        <f t="shared" ca="1" si="85"/>
        <v>65844</v>
      </c>
    </row>
    <row r="2328" spans="1:10" ht="14.25" customHeight="1" x14ac:dyDescent="0.35">
      <c r="A2328" s="39" t="s">
        <v>1735</v>
      </c>
      <c r="B2328" s="40" t="str">
        <f t="shared" ca="1" si="84"/>
        <v>Servicios de cáterin</v>
      </c>
      <c r="C2328" s="72" t="str">
        <f>IFERROR(VLOOKUP("UD",'Informacion '!P:Q,2,FALSE),"")</f>
        <v>Unidad</v>
      </c>
      <c r="D2328" s="39">
        <v>25</v>
      </c>
      <c r="E2328" s="42">
        <v>88.5</v>
      </c>
      <c r="F2328" s="41">
        <f t="shared" ca="1" si="85"/>
        <v>2212.5</v>
      </c>
    </row>
    <row r="2329" spans="1:10" ht="14.25" customHeight="1" x14ac:dyDescent="0.35">
      <c r="E2329" s="44" t="s">
        <v>13122</v>
      </c>
      <c r="F2329" s="45">
        <f ca="1">SUM(Table129[MONTO TOTAL ESTIMADO])</f>
        <v>202517.5</v>
      </c>
      <c r="H2329" s="24" t="str">
        <f>C2315</f>
        <v>Servicios</v>
      </c>
      <c r="I2329" s="24" t="str">
        <f>E2315</f>
        <v>Sí</v>
      </c>
      <c r="J2329" s="24" t="str">
        <f>D2315</f>
        <v>Compras por debajo del Umbral</v>
      </c>
    </row>
    <row r="2331" spans="1:10" ht="34" customHeight="1" x14ac:dyDescent="0.35">
      <c r="A2331" s="36" t="s">
        <v>17105</v>
      </c>
      <c r="B2331" s="36" t="s">
        <v>167</v>
      </c>
      <c r="C2331" s="36" t="s">
        <v>12252</v>
      </c>
      <c r="D2331" s="36" t="s">
        <v>15021</v>
      </c>
      <c r="E2331" s="36" t="s">
        <v>11455</v>
      </c>
      <c r="F2331" s="36" t="s">
        <v>11595</v>
      </c>
    </row>
    <row r="2332" spans="1:10" ht="14.25" customHeight="1" x14ac:dyDescent="0.35">
      <c r="A2332" s="37" t="s">
        <v>4688</v>
      </c>
      <c r="B2332" s="37" t="s">
        <v>4688</v>
      </c>
      <c r="C2332" s="37" t="s">
        <v>18585</v>
      </c>
      <c r="D2332" s="37" t="s">
        <v>2615</v>
      </c>
      <c r="E2332" s="37" t="s">
        <v>9261</v>
      </c>
      <c r="F2332" s="37"/>
    </row>
    <row r="2333" spans="1:10" ht="14.25" customHeight="1" x14ac:dyDescent="0.35">
      <c r="A2333" s="75" t="s">
        <v>15490</v>
      </c>
      <c r="B2333" s="38" t="s">
        <v>8918</v>
      </c>
      <c r="C2333" s="68">
        <v>45334</v>
      </c>
      <c r="D2333" s="75" t="s">
        <v>9819</v>
      </c>
      <c r="E2333" s="70" t="s">
        <v>13683</v>
      </c>
      <c r="F2333" s="71" t="s">
        <v>3205</v>
      </c>
    </row>
    <row r="2334" spans="1:10" ht="14.25" customHeight="1" x14ac:dyDescent="0.35">
      <c r="A2334" s="76"/>
      <c r="B2334" s="38" t="s">
        <v>1858</v>
      </c>
      <c r="C2334" s="69">
        <f>IF(C2333="","",IF(AND(MONTH(C2333)&gt;=1,MONTH(C2333)&lt;=3),1,IF(AND(MONTH(C2333)&gt;=4,MONTH(C2333)&lt;=6),2,IF(AND(MONTH(C2333)&gt;=7,MONTH(C2333)&lt;=9),3,4))))</f>
        <v>1</v>
      </c>
      <c r="D2334" s="76"/>
      <c r="E2334" s="70" t="s">
        <v>2509</v>
      </c>
      <c r="F2334" s="71" t="s">
        <v>11612</v>
      </c>
    </row>
    <row r="2335" spans="1:10" ht="14.25" customHeight="1" x14ac:dyDescent="0.35">
      <c r="A2335" s="76"/>
      <c r="B2335" s="38" t="s">
        <v>13526</v>
      </c>
      <c r="C2335" s="68">
        <v>45377</v>
      </c>
      <c r="D2335" s="76"/>
      <c r="E2335" s="70" t="s">
        <v>3198</v>
      </c>
      <c r="F2335" s="71" t="s">
        <v>11612</v>
      </c>
    </row>
    <row r="2336" spans="1:10" ht="14.25" customHeight="1" x14ac:dyDescent="0.35">
      <c r="A2336" s="76"/>
      <c r="B2336" s="38" t="s">
        <v>1858</v>
      </c>
      <c r="C2336" s="69">
        <f>IF(C2335="","",IF(AND(MONTH(C2335)&gt;=1,MONTH(C2335)&lt;=3),1,IF(AND(MONTH(C2335)&gt;=4,MONTH(C2335)&lt;=6),2,IF(AND(MONTH(C2335)&gt;=7,MONTH(C2335)&lt;=9),3,4))))</f>
        <v>1</v>
      </c>
      <c r="D2336" s="76"/>
      <c r="E2336" s="70" t="s">
        <v>13785</v>
      </c>
      <c r="F2336" s="71"/>
    </row>
    <row r="2338" spans="1:6" ht="14.25" customHeight="1" x14ac:dyDescent="0.35">
      <c r="A2338" s="43" t="s">
        <v>16424</v>
      </c>
      <c r="B2338" s="43" t="s">
        <v>16856</v>
      </c>
      <c r="C2338" s="43" t="s">
        <v>16326</v>
      </c>
      <c r="D2338" s="43" t="s">
        <v>15925</v>
      </c>
      <c r="E2338" s="43" t="s">
        <v>7248</v>
      </c>
      <c r="F2338" s="43" t="s">
        <v>15955</v>
      </c>
    </row>
    <row r="2339" spans="1:6" ht="14.25" customHeight="1" x14ac:dyDescent="0.35">
      <c r="A2339" s="39" t="s">
        <v>7252</v>
      </c>
      <c r="B2339" s="40" t="str">
        <f ca="1">IFERROR(INDEX(UNSPSCDes,MATCH(INDIRECT(ADDRESS(ROW(),COLUMN()-1,4)),UNSPSCCode,0)),IF(INDIRECT(ADDRESS(ROW(),COLUMN()-1,4))="39121001","Transformadores de distribución de potencia",""))</f>
        <v>Transformadores de distribución de potencia</v>
      </c>
      <c r="C2339" s="72" t="str">
        <f>IFERROR(VLOOKUP("UD",'Informacion '!P:Q,2,FALSE),"")</f>
        <v>Unidad</v>
      </c>
      <c r="D2339" s="39">
        <v>1</v>
      </c>
      <c r="E2339" s="42">
        <v>74475.649999999994</v>
      </c>
      <c r="F2339" s="41">
        <f t="shared" ref="F2339:F2402" ca="1" si="86">INDIRECT(ADDRESS(ROW(),COLUMN()-2,4))*INDIRECT(ADDRESS(ROW(),COLUMN()-1,4))</f>
        <v>74475.649999999994</v>
      </c>
    </row>
    <row r="2340" spans="1:6" ht="14.25" customHeight="1" x14ac:dyDescent="0.35">
      <c r="A2340" s="39" t="s">
        <v>7252</v>
      </c>
      <c r="B2340" s="40" t="str">
        <f ca="1">IFERROR(INDEX(UNSPSCDes,MATCH(INDIRECT(ADDRESS(ROW(),COLUMN()-1,4)),UNSPSCCode,0)),IF(INDIRECT(ADDRESS(ROW(),COLUMN()-1,4))="39121001","Transformadores de distribución de potencia",""))</f>
        <v>Transformadores de distribución de potencia</v>
      </c>
      <c r="C2340" s="72" t="str">
        <f>IFERROR(VLOOKUP("UD",'Informacion '!P:Q,2,FALSE),"")</f>
        <v>Unidad</v>
      </c>
      <c r="D2340" s="39">
        <v>3</v>
      </c>
      <c r="E2340" s="42">
        <v>101735</v>
      </c>
      <c r="F2340" s="41">
        <f t="shared" ca="1" si="86"/>
        <v>305205</v>
      </c>
    </row>
    <row r="2341" spans="1:6" ht="14.25" customHeight="1" x14ac:dyDescent="0.35">
      <c r="A2341" s="39" t="s">
        <v>7252</v>
      </c>
      <c r="B2341" s="40" t="str">
        <f ca="1">IFERROR(INDEX(UNSPSCDes,MATCH(INDIRECT(ADDRESS(ROW(),COLUMN()-1,4)),UNSPSCCode,0)),IF(INDIRECT(ADDRESS(ROW(),COLUMN()-1,4))="39121001","Transformadores de distribución de potencia",""))</f>
        <v>Transformadores de distribución de potencia</v>
      </c>
      <c r="C2341" s="72" t="str">
        <f>IFERROR(VLOOKUP("UD",'Informacion '!P:Q,2,FALSE),"")</f>
        <v>Unidad</v>
      </c>
      <c r="D2341" s="39">
        <v>1</v>
      </c>
      <c r="E2341" s="42">
        <v>36696.65</v>
      </c>
      <c r="F2341" s="41">
        <f t="shared" ca="1" si="86"/>
        <v>36696.65</v>
      </c>
    </row>
    <row r="2342" spans="1:6" ht="14.25" customHeight="1" x14ac:dyDescent="0.35">
      <c r="A2342" s="39" t="s">
        <v>7252</v>
      </c>
      <c r="B2342" s="40" t="str">
        <f ca="1">IFERROR(INDEX(UNSPSCDes,MATCH(INDIRECT(ADDRESS(ROW(),COLUMN()-1,4)),UNSPSCCode,0)),IF(INDIRECT(ADDRESS(ROW(),COLUMN()-1,4))="39121001","Transformadores de distribución de potencia",""))</f>
        <v>Transformadores de distribución de potencia</v>
      </c>
      <c r="C2342" s="72" t="str">
        <f>IFERROR(VLOOKUP("UD",'Informacion '!P:Q,2,FALSE),"")</f>
        <v>Unidad</v>
      </c>
      <c r="D2342" s="39">
        <v>1</v>
      </c>
      <c r="E2342" s="42">
        <v>25975</v>
      </c>
      <c r="F2342" s="41">
        <f t="shared" ca="1" si="86"/>
        <v>25975</v>
      </c>
    </row>
    <row r="2343" spans="1:6" ht="14.25" customHeight="1" x14ac:dyDescent="0.35">
      <c r="A2343" s="39" t="s">
        <v>7252</v>
      </c>
      <c r="B2343" s="40" t="str">
        <f ca="1">IFERROR(INDEX(UNSPSCDes,MATCH(INDIRECT(ADDRESS(ROW(),COLUMN()-1,4)),UNSPSCCode,0)),IF(INDIRECT(ADDRESS(ROW(),COLUMN()-1,4))="39121001","Transformadores de distribución de potencia",""))</f>
        <v>Transformadores de distribución de potencia</v>
      </c>
      <c r="C2343" s="72" t="str">
        <f>IFERROR(VLOOKUP("UD",'Informacion '!P:Q,2,FALSE),"")</f>
        <v>Unidad</v>
      </c>
      <c r="D2343" s="39">
        <v>1</v>
      </c>
      <c r="E2343" s="42">
        <v>63030.53</v>
      </c>
      <c r="F2343" s="41">
        <f t="shared" ca="1" si="86"/>
        <v>63030.53</v>
      </c>
    </row>
    <row r="2344" spans="1:6" ht="14.25" customHeight="1" x14ac:dyDescent="0.35">
      <c r="A2344" s="39" t="s">
        <v>475</v>
      </c>
      <c r="B2344" s="40" t="str">
        <f ca="1">IFERROR(INDEX(UNSPSCDes,MATCH(INDIRECT(ADDRESS(ROW(),COLUMN()-1,4)),UNSPSCCode,0)),IF(INDIRECT(ADDRESS(ROW(),COLUMN()-1,4))="39121007","Conversores de frecuencia",""))</f>
        <v>Conversores de frecuencia</v>
      </c>
      <c r="C2344" s="72" t="str">
        <f>IFERROR(VLOOKUP("UD",'Informacion '!P:Q,2,FALSE),"")</f>
        <v>Unidad</v>
      </c>
      <c r="D2344" s="39">
        <v>1</v>
      </c>
      <c r="E2344" s="42">
        <v>20000</v>
      </c>
      <c r="F2344" s="41">
        <f t="shared" ca="1" si="86"/>
        <v>20000</v>
      </c>
    </row>
    <row r="2345" spans="1:6" ht="14.25" customHeight="1" x14ac:dyDescent="0.35">
      <c r="A2345" s="39" t="s">
        <v>475</v>
      </c>
      <c r="B2345" s="40" t="str">
        <f ca="1">IFERROR(INDEX(UNSPSCDes,MATCH(INDIRECT(ADDRESS(ROW(),COLUMN()-1,4)),UNSPSCCode,0)),IF(INDIRECT(ADDRESS(ROW(),COLUMN()-1,4))="39121007","Conversores de frecuencia",""))</f>
        <v>Conversores de frecuencia</v>
      </c>
      <c r="C2345" s="72" t="str">
        <f>IFERROR(VLOOKUP("UD",'Informacion '!P:Q,2,FALSE),"")</f>
        <v>Unidad</v>
      </c>
      <c r="D2345" s="39">
        <v>1</v>
      </c>
      <c r="E2345" s="42">
        <v>20000</v>
      </c>
      <c r="F2345" s="41">
        <f t="shared" ca="1" si="86"/>
        <v>20000</v>
      </c>
    </row>
    <row r="2346" spans="1:6" ht="14.25" customHeight="1" x14ac:dyDescent="0.35">
      <c r="A2346" s="39" t="s">
        <v>475</v>
      </c>
      <c r="B2346" s="40" t="str">
        <f ca="1">IFERROR(INDEX(UNSPSCDes,MATCH(INDIRECT(ADDRESS(ROW(),COLUMN()-1,4)),UNSPSCCode,0)),IF(INDIRECT(ADDRESS(ROW(),COLUMN()-1,4))="39121007","Conversores de frecuencia",""))</f>
        <v>Conversores de frecuencia</v>
      </c>
      <c r="C2346" s="72" t="str">
        <f>IFERROR(VLOOKUP("UD",'Informacion '!P:Q,2,FALSE),"")</f>
        <v>Unidad</v>
      </c>
      <c r="D2346" s="39">
        <v>1</v>
      </c>
      <c r="E2346" s="42">
        <v>20000</v>
      </c>
      <c r="F2346" s="41">
        <f t="shared" ca="1" si="86"/>
        <v>20000</v>
      </c>
    </row>
    <row r="2347" spans="1:6" ht="14.25" customHeight="1" x14ac:dyDescent="0.35">
      <c r="A2347" s="39" t="s">
        <v>10155</v>
      </c>
      <c r="B2347" s="40" t="str">
        <f t="shared" ref="B2347:B2352" ca="1" si="87">IFERROR(INDEX(UNSPSCDes,MATCH(INDIRECT(ADDRESS(ROW(),COLUMN()-1,4)),UNSPSCCode,0)),IF(INDIRECT(ADDRESS(ROW(),COLUMN()-1,4))="39121009","Reguladores eléctricos o de potencia",""))</f>
        <v>Reguladores eléctricos o de potencia</v>
      </c>
      <c r="C2347" s="72" t="str">
        <f>IFERROR(VLOOKUP("UD",'Informacion '!P:Q,2,FALSE),"")</f>
        <v>Unidad</v>
      </c>
      <c r="D2347" s="39">
        <v>100</v>
      </c>
      <c r="E2347" s="42">
        <v>23600</v>
      </c>
      <c r="F2347" s="41">
        <f t="shared" ca="1" si="86"/>
        <v>2360000</v>
      </c>
    </row>
    <row r="2348" spans="1:6" ht="14.25" customHeight="1" x14ac:dyDescent="0.35">
      <c r="A2348" s="39" t="s">
        <v>10155</v>
      </c>
      <c r="B2348" s="40" t="str">
        <f t="shared" ca="1" si="87"/>
        <v>Reguladores eléctricos o de potencia</v>
      </c>
      <c r="C2348" s="72" t="str">
        <f>IFERROR(VLOOKUP("UD",'Informacion '!P:Q,2,FALSE),"")</f>
        <v>Unidad</v>
      </c>
      <c r="D2348" s="39">
        <v>100</v>
      </c>
      <c r="E2348" s="42">
        <v>23600</v>
      </c>
      <c r="F2348" s="41">
        <f t="shared" ca="1" si="86"/>
        <v>2360000</v>
      </c>
    </row>
    <row r="2349" spans="1:6" ht="14.25" customHeight="1" x14ac:dyDescent="0.35">
      <c r="A2349" s="39" t="s">
        <v>10155</v>
      </c>
      <c r="B2349" s="40" t="str">
        <f t="shared" ca="1" si="87"/>
        <v>Reguladores eléctricos o de potencia</v>
      </c>
      <c r="C2349" s="72" t="str">
        <f>IFERROR(VLOOKUP("UD",'Informacion '!P:Q,2,FALSE),"")</f>
        <v>Unidad</v>
      </c>
      <c r="D2349" s="39">
        <v>100</v>
      </c>
      <c r="E2349" s="42">
        <v>23600</v>
      </c>
      <c r="F2349" s="41">
        <f t="shared" ca="1" si="86"/>
        <v>2360000</v>
      </c>
    </row>
    <row r="2350" spans="1:6" ht="14.25" customHeight="1" x14ac:dyDescent="0.35">
      <c r="A2350" s="39" t="s">
        <v>10155</v>
      </c>
      <c r="B2350" s="40" t="str">
        <f t="shared" ca="1" si="87"/>
        <v>Reguladores eléctricos o de potencia</v>
      </c>
      <c r="C2350" s="72" t="str">
        <f>IFERROR(VLOOKUP("UD",'Informacion '!P:Q,2,FALSE),"")</f>
        <v>Unidad</v>
      </c>
      <c r="D2350" s="39">
        <v>145</v>
      </c>
      <c r="E2350" s="42">
        <v>23600</v>
      </c>
      <c r="F2350" s="41">
        <f t="shared" ca="1" si="86"/>
        <v>3422000</v>
      </c>
    </row>
    <row r="2351" spans="1:6" ht="14.25" customHeight="1" x14ac:dyDescent="0.35">
      <c r="A2351" s="39" t="s">
        <v>10155</v>
      </c>
      <c r="B2351" s="40" t="str">
        <f t="shared" ca="1" si="87"/>
        <v>Reguladores eléctricos o de potencia</v>
      </c>
      <c r="C2351" s="72" t="str">
        <f>IFERROR(VLOOKUP("UD",'Informacion '!P:Q,2,FALSE),"")</f>
        <v>Unidad</v>
      </c>
      <c r="D2351" s="39">
        <v>200</v>
      </c>
      <c r="E2351" s="42">
        <v>23600</v>
      </c>
      <c r="F2351" s="41">
        <f t="shared" ca="1" si="86"/>
        <v>4720000</v>
      </c>
    </row>
    <row r="2352" spans="1:6" ht="14.25" customHeight="1" x14ac:dyDescent="0.35">
      <c r="A2352" s="39" t="s">
        <v>10155</v>
      </c>
      <c r="B2352" s="40" t="str">
        <f t="shared" ca="1" si="87"/>
        <v>Reguladores eléctricos o de potencia</v>
      </c>
      <c r="C2352" s="72" t="str">
        <f>IFERROR(VLOOKUP("UD",'Informacion '!P:Q,2,FALSE),"")</f>
        <v>Unidad</v>
      </c>
      <c r="D2352" s="39">
        <v>2</v>
      </c>
      <c r="E2352" s="42">
        <v>1033068</v>
      </c>
      <c r="F2352" s="41">
        <f t="shared" ca="1" si="86"/>
        <v>2066136</v>
      </c>
    </row>
    <row r="2353" spans="1:6" ht="14.25" customHeight="1" x14ac:dyDescent="0.35">
      <c r="A2353" s="39" t="s">
        <v>16404</v>
      </c>
      <c r="B2353" s="40" t="str">
        <f ca="1">IFERROR(INDEX(UNSPSCDes,MATCH(INDIRECT(ADDRESS(ROW(),COLUMN()-1,4)),UNSPSCCode,0)),IF(INDIRECT(ADDRESS(ROW(),COLUMN()-1,4))="39121102","Tomas o centros de medidores",""))</f>
        <v>Tomas o centros de medidores</v>
      </c>
      <c r="C2353" s="72" t="str">
        <f>IFERROR(VLOOKUP("UD",'Informacion '!P:Q,2,FALSE),"")</f>
        <v>Unidad</v>
      </c>
      <c r="D2353" s="39">
        <v>2</v>
      </c>
      <c r="E2353" s="42">
        <v>43032</v>
      </c>
      <c r="F2353" s="41">
        <f t="shared" ca="1" si="86"/>
        <v>86064</v>
      </c>
    </row>
    <row r="2354" spans="1:6" ht="14.25" customHeight="1" x14ac:dyDescent="0.35">
      <c r="A2354" s="39" t="s">
        <v>14623</v>
      </c>
      <c r="B2354" s="40" t="str">
        <f t="shared" ref="B2354:B2361" ca="1" si="88">IFERROR(INDEX(UNSPSCDes,MATCH(INDIRECT(ADDRESS(ROW(),COLUMN()-1,4)),UNSPSCCode,0)),IF(INDIRECT(ADDRESS(ROW(),COLUMN()-1,4))="39121103","Paneles",""))</f>
        <v>Paneles</v>
      </c>
      <c r="C2354" s="72" t="str">
        <f>IFERROR(VLOOKUP("UD",'Informacion '!P:Q,2,FALSE),"")</f>
        <v>Unidad</v>
      </c>
      <c r="D2354" s="39">
        <v>8</v>
      </c>
      <c r="E2354" s="42">
        <v>11908.56</v>
      </c>
      <c r="F2354" s="41">
        <f t="shared" ca="1" si="86"/>
        <v>95268.479999999996</v>
      </c>
    </row>
    <row r="2355" spans="1:6" ht="14.25" customHeight="1" x14ac:dyDescent="0.35">
      <c r="A2355" s="39" t="s">
        <v>14623</v>
      </c>
      <c r="B2355" s="40" t="str">
        <f t="shared" ca="1" si="88"/>
        <v>Paneles</v>
      </c>
      <c r="C2355" s="72" t="str">
        <f>IFERROR(VLOOKUP("UD",'Informacion '!P:Q,2,FALSE),"")</f>
        <v>Unidad</v>
      </c>
      <c r="D2355" s="39">
        <v>10</v>
      </c>
      <c r="E2355" s="42">
        <v>11908.56</v>
      </c>
      <c r="F2355" s="41">
        <f t="shared" ca="1" si="86"/>
        <v>119085.59999999999</v>
      </c>
    </row>
    <row r="2356" spans="1:6" ht="14.25" customHeight="1" x14ac:dyDescent="0.35">
      <c r="A2356" s="39" t="s">
        <v>14623</v>
      </c>
      <c r="B2356" s="40" t="str">
        <f t="shared" ca="1" si="88"/>
        <v>Paneles</v>
      </c>
      <c r="C2356" s="72" t="str">
        <f>IFERROR(VLOOKUP("UD",'Informacion '!P:Q,2,FALSE),"")</f>
        <v>Unidad</v>
      </c>
      <c r="D2356" s="39">
        <v>10</v>
      </c>
      <c r="E2356" s="42">
        <v>11908.56</v>
      </c>
      <c r="F2356" s="41">
        <f t="shared" ca="1" si="86"/>
        <v>119085.59999999999</v>
      </c>
    </row>
    <row r="2357" spans="1:6" ht="14.25" customHeight="1" x14ac:dyDescent="0.35">
      <c r="A2357" s="39" t="s">
        <v>14623</v>
      </c>
      <c r="B2357" s="40" t="str">
        <f t="shared" ca="1" si="88"/>
        <v>Paneles</v>
      </c>
      <c r="C2357" s="72" t="str">
        <f>IFERROR(VLOOKUP("UD",'Informacion '!P:Q,2,FALSE),"")</f>
        <v>Unidad</v>
      </c>
      <c r="D2357" s="39">
        <v>100</v>
      </c>
      <c r="E2357" s="42">
        <v>11908.56</v>
      </c>
      <c r="F2357" s="41">
        <f t="shared" ca="1" si="86"/>
        <v>1190856</v>
      </c>
    </row>
    <row r="2358" spans="1:6" ht="14.25" customHeight="1" x14ac:dyDescent="0.35">
      <c r="A2358" s="39" t="s">
        <v>14623</v>
      </c>
      <c r="B2358" s="40" t="str">
        <f t="shared" ca="1" si="88"/>
        <v>Paneles</v>
      </c>
      <c r="C2358" s="72" t="str">
        <f>IFERROR(VLOOKUP("UD",'Informacion '!P:Q,2,FALSE),"")</f>
        <v>Unidad</v>
      </c>
      <c r="D2358" s="39">
        <v>100</v>
      </c>
      <c r="E2358" s="42">
        <v>11908.56</v>
      </c>
      <c r="F2358" s="41">
        <f t="shared" ca="1" si="86"/>
        <v>1190856</v>
      </c>
    </row>
    <row r="2359" spans="1:6" ht="14.25" customHeight="1" x14ac:dyDescent="0.35">
      <c r="A2359" s="39" t="s">
        <v>14623</v>
      </c>
      <c r="B2359" s="40" t="str">
        <f t="shared" ca="1" si="88"/>
        <v>Paneles</v>
      </c>
      <c r="C2359" s="72" t="str">
        <f>IFERROR(VLOOKUP("UD",'Informacion '!P:Q,2,FALSE),"")</f>
        <v>Unidad</v>
      </c>
      <c r="D2359" s="39">
        <v>100</v>
      </c>
      <c r="E2359" s="42">
        <v>11908.56</v>
      </c>
      <c r="F2359" s="41">
        <f t="shared" ca="1" si="86"/>
        <v>1190856</v>
      </c>
    </row>
    <row r="2360" spans="1:6" ht="14.25" customHeight="1" x14ac:dyDescent="0.35">
      <c r="A2360" s="39" t="s">
        <v>14623</v>
      </c>
      <c r="B2360" s="40" t="str">
        <f t="shared" ca="1" si="88"/>
        <v>Paneles</v>
      </c>
      <c r="C2360" s="72" t="str">
        <f>IFERROR(VLOOKUP("UD",'Informacion '!P:Q,2,FALSE),"")</f>
        <v>Unidad</v>
      </c>
      <c r="D2360" s="39">
        <v>145</v>
      </c>
      <c r="E2360" s="42">
        <v>11908.56</v>
      </c>
      <c r="F2360" s="41">
        <f t="shared" ca="1" si="86"/>
        <v>1726741.2</v>
      </c>
    </row>
    <row r="2361" spans="1:6" ht="14.25" customHeight="1" x14ac:dyDescent="0.35">
      <c r="A2361" s="39" t="s">
        <v>14623</v>
      </c>
      <c r="B2361" s="40" t="str">
        <f t="shared" ca="1" si="88"/>
        <v>Paneles</v>
      </c>
      <c r="C2361" s="72" t="str">
        <f>IFERROR(VLOOKUP("UD",'Informacion '!P:Q,2,FALSE),"")</f>
        <v>Unidad</v>
      </c>
      <c r="D2361" s="39">
        <v>200</v>
      </c>
      <c r="E2361" s="42">
        <v>11908.56</v>
      </c>
      <c r="F2361" s="41">
        <f t="shared" ca="1" si="86"/>
        <v>2381712</v>
      </c>
    </row>
    <row r="2362" spans="1:6" ht="14.25" customHeight="1" x14ac:dyDescent="0.35">
      <c r="A2362" s="39" t="s">
        <v>19120</v>
      </c>
      <c r="B2362" s="40" t="str">
        <f t="shared" ref="B2362:B2368" ca="1" si="89">IFERROR(INDEX(UNSPSCDes,MATCH(INDIRECT(ADDRESS(ROW(),COLUMN()-1,4)),UNSPSCCode,0)),IF(INDIRECT(ADDRESS(ROW(),COLUMN()-1,4))="39121108","Accesorios del panel de control o distribución",""))</f>
        <v>Accesorios del panel de control o distribución</v>
      </c>
      <c r="C2362" s="72" t="str">
        <f>IFERROR(VLOOKUP("UD",'Informacion '!P:Q,2,FALSE),"")</f>
        <v>Unidad</v>
      </c>
      <c r="D2362" s="39">
        <v>1</v>
      </c>
      <c r="E2362" s="42">
        <v>5450</v>
      </c>
      <c r="F2362" s="41">
        <f t="shared" ca="1" si="86"/>
        <v>5450</v>
      </c>
    </row>
    <row r="2363" spans="1:6" ht="14.25" customHeight="1" x14ac:dyDescent="0.35">
      <c r="A2363" s="39" t="s">
        <v>19120</v>
      </c>
      <c r="B2363" s="40" t="str">
        <f t="shared" ca="1" si="89"/>
        <v>Accesorios del panel de control o distribución</v>
      </c>
      <c r="C2363" s="72" t="str">
        <f>IFERROR(VLOOKUP("UD",'Informacion '!P:Q,2,FALSE),"")</f>
        <v>Unidad</v>
      </c>
      <c r="D2363" s="39">
        <v>3</v>
      </c>
      <c r="E2363" s="42">
        <v>5450</v>
      </c>
      <c r="F2363" s="41">
        <f t="shared" ca="1" si="86"/>
        <v>16350</v>
      </c>
    </row>
    <row r="2364" spans="1:6" ht="14.25" customHeight="1" x14ac:dyDescent="0.35">
      <c r="A2364" s="39" t="s">
        <v>19120</v>
      </c>
      <c r="B2364" s="40" t="str">
        <f t="shared" ca="1" si="89"/>
        <v>Accesorios del panel de control o distribución</v>
      </c>
      <c r="C2364" s="72" t="str">
        <f>IFERROR(VLOOKUP("UD",'Informacion '!P:Q,2,FALSE),"")</f>
        <v>Unidad</v>
      </c>
      <c r="D2364" s="39">
        <v>9</v>
      </c>
      <c r="E2364" s="42">
        <v>1800</v>
      </c>
      <c r="F2364" s="41">
        <f t="shared" ca="1" si="86"/>
        <v>16200</v>
      </c>
    </row>
    <row r="2365" spans="1:6" ht="14.25" customHeight="1" x14ac:dyDescent="0.35">
      <c r="A2365" s="39" t="s">
        <v>19120</v>
      </c>
      <c r="B2365" s="40" t="str">
        <f t="shared" ca="1" si="89"/>
        <v>Accesorios del panel de control o distribución</v>
      </c>
      <c r="C2365" s="72" t="str">
        <f>IFERROR(VLOOKUP("UD",'Informacion '!P:Q,2,FALSE),"")</f>
        <v>Unidad</v>
      </c>
      <c r="D2365" s="39">
        <v>2</v>
      </c>
      <c r="E2365" s="42">
        <v>5450</v>
      </c>
      <c r="F2365" s="41">
        <f t="shared" ca="1" si="86"/>
        <v>10900</v>
      </c>
    </row>
    <row r="2366" spans="1:6" ht="14.25" customHeight="1" x14ac:dyDescent="0.35">
      <c r="A2366" s="39" t="s">
        <v>19120</v>
      </c>
      <c r="B2366" s="40" t="str">
        <f t="shared" ca="1" si="89"/>
        <v>Accesorios del panel de control o distribución</v>
      </c>
      <c r="C2366" s="72" t="str">
        <f>IFERROR(VLOOKUP("UD",'Informacion '!P:Q,2,FALSE),"")</f>
        <v>Unidad</v>
      </c>
      <c r="D2366" s="39">
        <v>1</v>
      </c>
      <c r="E2366" s="42">
        <v>5450</v>
      </c>
      <c r="F2366" s="41">
        <f t="shared" ca="1" si="86"/>
        <v>5450</v>
      </c>
    </row>
    <row r="2367" spans="1:6" ht="14.25" customHeight="1" x14ac:dyDescent="0.35">
      <c r="A2367" s="39" t="s">
        <v>19120</v>
      </c>
      <c r="B2367" s="40" t="str">
        <f t="shared" ca="1" si="89"/>
        <v>Accesorios del panel de control o distribución</v>
      </c>
      <c r="C2367" s="72" t="str">
        <f>IFERROR(VLOOKUP("UD",'Informacion '!P:Q,2,FALSE),"")</f>
        <v>Unidad</v>
      </c>
      <c r="D2367" s="39">
        <v>2</v>
      </c>
      <c r="E2367" s="42">
        <v>1800</v>
      </c>
      <c r="F2367" s="41">
        <f t="shared" ca="1" si="86"/>
        <v>3600</v>
      </c>
    </row>
    <row r="2368" spans="1:6" ht="14.25" customHeight="1" x14ac:dyDescent="0.35">
      <c r="A2368" s="39" t="s">
        <v>19120</v>
      </c>
      <c r="B2368" s="40" t="str">
        <f t="shared" ca="1" si="89"/>
        <v>Accesorios del panel de control o distribución</v>
      </c>
      <c r="C2368" s="72" t="str">
        <f>IFERROR(VLOOKUP("UD",'Informacion '!P:Q,2,FALSE),"")</f>
        <v>Unidad</v>
      </c>
      <c r="D2368" s="39">
        <v>1</v>
      </c>
      <c r="E2368" s="42">
        <v>5450</v>
      </c>
      <c r="F2368" s="41">
        <f t="shared" ca="1" si="86"/>
        <v>5450</v>
      </c>
    </row>
    <row r="2369" spans="1:6" ht="14.25" customHeight="1" x14ac:dyDescent="0.35">
      <c r="A2369" s="39" t="s">
        <v>2661</v>
      </c>
      <c r="B2369" s="40" t="str">
        <f t="shared" ref="B2369:B2393" ca="1" si="90">IFERROR(INDEX(UNSPSCDes,MATCH(INDIRECT(ADDRESS(ROW(),COLUMN()-1,4)),UNSPSCCode,0)),IF(INDIRECT(ADDRESS(ROW(),COLUMN()-1,4))="39121303","Cajas eléctricas",""))</f>
        <v>Cajas eléctricas</v>
      </c>
      <c r="C2369" s="72" t="str">
        <f>IFERROR(VLOOKUP("UD",'Informacion '!P:Q,2,FALSE),"")</f>
        <v>Unidad</v>
      </c>
      <c r="D2369" s="39">
        <v>1</v>
      </c>
      <c r="E2369" s="42">
        <v>29308.25</v>
      </c>
      <c r="F2369" s="41">
        <f t="shared" ca="1" si="86"/>
        <v>29308.25</v>
      </c>
    </row>
    <row r="2370" spans="1:6" ht="14.25" customHeight="1" x14ac:dyDescent="0.35">
      <c r="A2370" s="39" t="s">
        <v>2661</v>
      </c>
      <c r="B2370" s="40" t="str">
        <f t="shared" ca="1" si="90"/>
        <v>Cajas eléctricas</v>
      </c>
      <c r="C2370" s="72" t="str">
        <f>IFERROR(VLOOKUP("UD",'Informacion '!P:Q,2,FALSE),"")</f>
        <v>Unidad</v>
      </c>
      <c r="D2370" s="39">
        <v>6</v>
      </c>
      <c r="E2370" s="42">
        <v>1316.5</v>
      </c>
      <c r="F2370" s="41">
        <f t="shared" ca="1" si="86"/>
        <v>7899</v>
      </c>
    </row>
    <row r="2371" spans="1:6" ht="14.25" customHeight="1" x14ac:dyDescent="0.35">
      <c r="A2371" s="39" t="s">
        <v>2661</v>
      </c>
      <c r="B2371" s="40" t="str">
        <f t="shared" ca="1" si="90"/>
        <v>Cajas eléctricas</v>
      </c>
      <c r="C2371" s="72" t="str">
        <f>IFERROR(VLOOKUP("UD",'Informacion '!P:Q,2,FALSE),"")</f>
        <v>Unidad</v>
      </c>
      <c r="D2371" s="39">
        <v>2</v>
      </c>
      <c r="E2371" s="42">
        <v>144.06</v>
      </c>
      <c r="F2371" s="41">
        <f t="shared" ca="1" si="86"/>
        <v>288.12</v>
      </c>
    </row>
    <row r="2372" spans="1:6" ht="14.25" customHeight="1" x14ac:dyDescent="0.35">
      <c r="A2372" s="39" t="s">
        <v>2661</v>
      </c>
      <c r="B2372" s="40" t="str">
        <f t="shared" ca="1" si="90"/>
        <v>Cajas eléctricas</v>
      </c>
      <c r="C2372" s="72" t="str">
        <f>IFERROR(VLOOKUP("UD",'Informacion '!P:Q,2,FALSE),"")</f>
        <v>Unidad</v>
      </c>
      <c r="D2372" s="39">
        <v>25</v>
      </c>
      <c r="E2372" s="42">
        <v>1316.5</v>
      </c>
      <c r="F2372" s="41">
        <f t="shared" ca="1" si="86"/>
        <v>32912.5</v>
      </c>
    </row>
    <row r="2373" spans="1:6" ht="14.25" customHeight="1" x14ac:dyDescent="0.35">
      <c r="A2373" s="39" t="s">
        <v>2661</v>
      </c>
      <c r="B2373" s="40" t="str">
        <f t="shared" ca="1" si="90"/>
        <v>Cajas eléctricas</v>
      </c>
      <c r="C2373" s="72" t="str">
        <f>IFERROR(VLOOKUP("UD",'Informacion '!P:Q,2,FALSE),"")</f>
        <v>Unidad</v>
      </c>
      <c r="D2373" s="39">
        <v>1</v>
      </c>
      <c r="E2373" s="42">
        <v>780</v>
      </c>
      <c r="F2373" s="41">
        <f t="shared" ca="1" si="86"/>
        <v>780</v>
      </c>
    </row>
    <row r="2374" spans="1:6" ht="14.25" customHeight="1" x14ac:dyDescent="0.35">
      <c r="A2374" s="39" t="s">
        <v>2661</v>
      </c>
      <c r="B2374" s="40" t="str">
        <f t="shared" ca="1" si="90"/>
        <v>Cajas eléctricas</v>
      </c>
      <c r="C2374" s="72" t="str">
        <f>IFERROR(VLOOKUP("UD",'Informacion '!P:Q,2,FALSE),"")</f>
        <v>Unidad</v>
      </c>
      <c r="D2374" s="39">
        <v>1</v>
      </c>
      <c r="E2374" s="42">
        <v>980</v>
      </c>
      <c r="F2374" s="41">
        <f t="shared" ca="1" si="86"/>
        <v>980</v>
      </c>
    </row>
    <row r="2375" spans="1:6" ht="14.25" customHeight="1" x14ac:dyDescent="0.35">
      <c r="A2375" s="39" t="s">
        <v>2661</v>
      </c>
      <c r="B2375" s="40" t="str">
        <f t="shared" ca="1" si="90"/>
        <v>Cajas eléctricas</v>
      </c>
      <c r="C2375" s="72" t="str">
        <f>IFERROR(VLOOKUP("UD",'Informacion '!P:Q,2,FALSE),"")</f>
        <v>Unidad</v>
      </c>
      <c r="D2375" s="39">
        <v>1</v>
      </c>
      <c r="E2375" s="42">
        <v>780</v>
      </c>
      <c r="F2375" s="41">
        <f t="shared" ca="1" si="86"/>
        <v>780</v>
      </c>
    </row>
    <row r="2376" spans="1:6" ht="14.25" customHeight="1" x14ac:dyDescent="0.35">
      <c r="A2376" s="39" t="s">
        <v>2661</v>
      </c>
      <c r="B2376" s="40" t="str">
        <f t="shared" ca="1" si="90"/>
        <v>Cajas eléctricas</v>
      </c>
      <c r="C2376" s="72" t="str">
        <f>IFERROR(VLOOKUP("UD",'Informacion '!P:Q,2,FALSE),"")</f>
        <v>Unidad</v>
      </c>
      <c r="D2376" s="39">
        <v>1</v>
      </c>
      <c r="E2376" s="42">
        <v>980</v>
      </c>
      <c r="F2376" s="41">
        <f t="shared" ca="1" si="86"/>
        <v>980</v>
      </c>
    </row>
    <row r="2377" spans="1:6" ht="14.25" customHeight="1" x14ac:dyDescent="0.35">
      <c r="A2377" s="39" t="s">
        <v>2661</v>
      </c>
      <c r="B2377" s="40" t="str">
        <f t="shared" ca="1" si="90"/>
        <v>Cajas eléctricas</v>
      </c>
      <c r="C2377" s="72" t="str">
        <f>IFERROR(VLOOKUP("UD",'Informacion '!P:Q,2,FALSE),"")</f>
        <v>Unidad</v>
      </c>
      <c r="D2377" s="39">
        <v>1</v>
      </c>
      <c r="E2377" s="42">
        <v>780</v>
      </c>
      <c r="F2377" s="41">
        <f t="shared" ca="1" si="86"/>
        <v>780</v>
      </c>
    </row>
    <row r="2378" spans="1:6" ht="14.25" customHeight="1" x14ac:dyDescent="0.35">
      <c r="A2378" s="39" t="s">
        <v>2661</v>
      </c>
      <c r="B2378" s="40" t="str">
        <f t="shared" ca="1" si="90"/>
        <v>Cajas eléctricas</v>
      </c>
      <c r="C2378" s="72" t="str">
        <f>IFERROR(VLOOKUP("UD",'Informacion '!P:Q,2,FALSE),"")</f>
        <v>Unidad</v>
      </c>
      <c r="D2378" s="39">
        <v>1</v>
      </c>
      <c r="E2378" s="42">
        <v>980</v>
      </c>
      <c r="F2378" s="41">
        <f t="shared" ca="1" si="86"/>
        <v>980</v>
      </c>
    </row>
    <row r="2379" spans="1:6" ht="14.25" customHeight="1" x14ac:dyDescent="0.35">
      <c r="A2379" s="39" t="s">
        <v>2661</v>
      </c>
      <c r="B2379" s="40" t="str">
        <f t="shared" ca="1" si="90"/>
        <v>Cajas eléctricas</v>
      </c>
      <c r="C2379" s="72" t="str">
        <f>IFERROR(VLOOKUP("UD",'Informacion '!P:Q,2,FALSE),"")</f>
        <v>Unidad</v>
      </c>
      <c r="D2379" s="39">
        <v>100</v>
      </c>
      <c r="E2379" s="42">
        <v>649</v>
      </c>
      <c r="F2379" s="41">
        <f t="shared" ca="1" si="86"/>
        <v>64900</v>
      </c>
    </row>
    <row r="2380" spans="1:6" ht="14.25" customHeight="1" x14ac:dyDescent="0.35">
      <c r="A2380" s="39" t="s">
        <v>2661</v>
      </c>
      <c r="B2380" s="40" t="str">
        <f t="shared" ca="1" si="90"/>
        <v>Cajas eléctricas</v>
      </c>
      <c r="C2380" s="72" t="str">
        <f>IFERROR(VLOOKUP("UD",'Informacion '!P:Q,2,FALSE),"")</f>
        <v>Unidad</v>
      </c>
      <c r="D2380" s="39">
        <v>100</v>
      </c>
      <c r="E2380" s="42">
        <v>649</v>
      </c>
      <c r="F2380" s="41">
        <f t="shared" ca="1" si="86"/>
        <v>64900</v>
      </c>
    </row>
    <row r="2381" spans="1:6" ht="14.25" customHeight="1" x14ac:dyDescent="0.35">
      <c r="A2381" s="39" t="s">
        <v>2661</v>
      </c>
      <c r="B2381" s="40" t="str">
        <f t="shared" ca="1" si="90"/>
        <v>Cajas eléctricas</v>
      </c>
      <c r="C2381" s="72" t="str">
        <f>IFERROR(VLOOKUP("UD",'Informacion '!P:Q,2,FALSE),"")</f>
        <v>Unidad</v>
      </c>
      <c r="D2381" s="39">
        <v>100</v>
      </c>
      <c r="E2381" s="42">
        <v>649</v>
      </c>
      <c r="F2381" s="41">
        <f t="shared" ca="1" si="86"/>
        <v>64900</v>
      </c>
    </row>
    <row r="2382" spans="1:6" ht="14.25" customHeight="1" x14ac:dyDescent="0.35">
      <c r="A2382" s="39" t="s">
        <v>2661</v>
      </c>
      <c r="B2382" s="40" t="str">
        <f t="shared" ca="1" si="90"/>
        <v>Cajas eléctricas</v>
      </c>
      <c r="C2382" s="72" t="str">
        <f>IFERROR(VLOOKUP("UD",'Informacion '!P:Q,2,FALSE),"")</f>
        <v>Unidad</v>
      </c>
      <c r="D2382" s="39">
        <v>100</v>
      </c>
      <c r="E2382" s="42">
        <v>649</v>
      </c>
      <c r="F2382" s="41">
        <f t="shared" ca="1" si="86"/>
        <v>64900</v>
      </c>
    </row>
    <row r="2383" spans="1:6" ht="14.25" customHeight="1" x14ac:dyDescent="0.35">
      <c r="A2383" s="39" t="s">
        <v>2661</v>
      </c>
      <c r="B2383" s="40" t="str">
        <f t="shared" ca="1" si="90"/>
        <v>Cajas eléctricas</v>
      </c>
      <c r="C2383" s="72" t="str">
        <f>IFERROR(VLOOKUP("UD",'Informacion '!P:Q,2,FALSE),"")</f>
        <v>Unidad</v>
      </c>
      <c r="D2383" s="39">
        <v>100</v>
      </c>
      <c r="E2383" s="42">
        <v>649</v>
      </c>
      <c r="F2383" s="41">
        <f t="shared" ca="1" si="86"/>
        <v>64900</v>
      </c>
    </row>
    <row r="2384" spans="1:6" ht="14.25" customHeight="1" x14ac:dyDescent="0.35">
      <c r="A2384" s="39" t="s">
        <v>2661</v>
      </c>
      <c r="B2384" s="40" t="str">
        <f t="shared" ca="1" si="90"/>
        <v>Cajas eléctricas</v>
      </c>
      <c r="C2384" s="72" t="str">
        <f>IFERROR(VLOOKUP("UD",'Informacion '!P:Q,2,FALSE),"")</f>
        <v>Unidad</v>
      </c>
      <c r="D2384" s="39">
        <v>100</v>
      </c>
      <c r="E2384" s="42">
        <v>649</v>
      </c>
      <c r="F2384" s="41">
        <f t="shared" ca="1" si="86"/>
        <v>64900</v>
      </c>
    </row>
    <row r="2385" spans="1:6" ht="14.25" customHeight="1" x14ac:dyDescent="0.35">
      <c r="A2385" s="39" t="s">
        <v>2661</v>
      </c>
      <c r="B2385" s="40" t="str">
        <f t="shared" ca="1" si="90"/>
        <v>Cajas eléctricas</v>
      </c>
      <c r="C2385" s="72" t="str">
        <f>IFERROR(VLOOKUP("UD",'Informacion '!P:Q,2,FALSE),"")</f>
        <v>Unidad</v>
      </c>
      <c r="D2385" s="39">
        <v>145</v>
      </c>
      <c r="E2385" s="42">
        <v>649</v>
      </c>
      <c r="F2385" s="41">
        <f t="shared" ca="1" si="86"/>
        <v>94105</v>
      </c>
    </row>
    <row r="2386" spans="1:6" ht="14.25" customHeight="1" x14ac:dyDescent="0.35">
      <c r="A2386" s="39" t="s">
        <v>2661</v>
      </c>
      <c r="B2386" s="40" t="str">
        <f t="shared" ca="1" si="90"/>
        <v>Cajas eléctricas</v>
      </c>
      <c r="C2386" s="72" t="str">
        <f>IFERROR(VLOOKUP("UD",'Informacion '!P:Q,2,FALSE),"")</f>
        <v>Unidad</v>
      </c>
      <c r="D2386" s="39">
        <v>145</v>
      </c>
      <c r="E2386" s="42">
        <v>649</v>
      </c>
      <c r="F2386" s="41">
        <f t="shared" ca="1" si="86"/>
        <v>94105</v>
      </c>
    </row>
    <row r="2387" spans="1:6" ht="14.25" customHeight="1" x14ac:dyDescent="0.35">
      <c r="A2387" s="39" t="s">
        <v>2661</v>
      </c>
      <c r="B2387" s="40" t="str">
        <f t="shared" ca="1" si="90"/>
        <v>Cajas eléctricas</v>
      </c>
      <c r="C2387" s="72" t="str">
        <f>IFERROR(VLOOKUP("UD",'Informacion '!P:Q,2,FALSE),"")</f>
        <v>Unidad</v>
      </c>
      <c r="D2387" s="39">
        <v>200</v>
      </c>
      <c r="E2387" s="42">
        <v>649</v>
      </c>
      <c r="F2387" s="41">
        <f t="shared" ca="1" si="86"/>
        <v>129800</v>
      </c>
    </row>
    <row r="2388" spans="1:6" ht="14.25" customHeight="1" x14ac:dyDescent="0.35">
      <c r="A2388" s="39" t="s">
        <v>2661</v>
      </c>
      <c r="B2388" s="40" t="str">
        <f t="shared" ca="1" si="90"/>
        <v>Cajas eléctricas</v>
      </c>
      <c r="C2388" s="72" t="str">
        <f>IFERROR(VLOOKUP("UD",'Informacion '!P:Q,2,FALSE),"")</f>
        <v>Unidad</v>
      </c>
      <c r="D2388" s="39">
        <v>200</v>
      </c>
      <c r="E2388" s="42">
        <v>649</v>
      </c>
      <c r="F2388" s="41">
        <f t="shared" ca="1" si="86"/>
        <v>129800</v>
      </c>
    </row>
    <row r="2389" spans="1:6" ht="14.25" customHeight="1" x14ac:dyDescent="0.35">
      <c r="A2389" s="39" t="s">
        <v>2661</v>
      </c>
      <c r="B2389" s="40" t="str">
        <f t="shared" ca="1" si="90"/>
        <v>Cajas eléctricas</v>
      </c>
      <c r="C2389" s="72" t="str">
        <f>IFERROR(VLOOKUP("UD",'Informacion '!P:Q,2,FALSE),"")</f>
        <v>Unidad</v>
      </c>
      <c r="D2389" s="39">
        <v>50</v>
      </c>
      <c r="E2389" s="42">
        <v>56.45</v>
      </c>
      <c r="F2389" s="41">
        <f t="shared" ca="1" si="86"/>
        <v>2822.5</v>
      </c>
    </row>
    <row r="2390" spans="1:6" ht="14.25" customHeight="1" x14ac:dyDescent="0.35">
      <c r="A2390" s="39" t="s">
        <v>2661</v>
      </c>
      <c r="B2390" s="40" t="str">
        <f t="shared" ca="1" si="90"/>
        <v>Cajas eléctricas</v>
      </c>
      <c r="C2390" s="72" t="str">
        <f>IFERROR(VLOOKUP("UD",'Informacion '!P:Q,2,FALSE),"")</f>
        <v>Unidad</v>
      </c>
      <c r="D2390" s="39">
        <v>50</v>
      </c>
      <c r="E2390" s="42">
        <v>25.42</v>
      </c>
      <c r="F2390" s="41">
        <f t="shared" ca="1" si="86"/>
        <v>1271</v>
      </c>
    </row>
    <row r="2391" spans="1:6" ht="14.25" customHeight="1" x14ac:dyDescent="0.35">
      <c r="A2391" s="39" t="s">
        <v>2661</v>
      </c>
      <c r="B2391" s="40" t="str">
        <f t="shared" ca="1" si="90"/>
        <v>Cajas eléctricas</v>
      </c>
      <c r="C2391" s="72" t="str">
        <f>IFERROR(VLOOKUP("UD",'Informacion '!P:Q,2,FALSE),"")</f>
        <v>Unidad</v>
      </c>
      <c r="D2391" s="39">
        <v>26</v>
      </c>
      <c r="E2391" s="42">
        <v>25</v>
      </c>
      <c r="F2391" s="41">
        <f t="shared" ca="1" si="86"/>
        <v>650</v>
      </c>
    </row>
    <row r="2392" spans="1:6" ht="14.25" customHeight="1" x14ac:dyDescent="0.35">
      <c r="A2392" s="39" t="s">
        <v>2661</v>
      </c>
      <c r="B2392" s="40" t="str">
        <f t="shared" ca="1" si="90"/>
        <v>Cajas eléctricas</v>
      </c>
      <c r="C2392" s="72" t="str">
        <f>IFERROR(VLOOKUP("UD",'Informacion '!P:Q,2,FALSE),"")</f>
        <v>Unidad</v>
      </c>
      <c r="D2392" s="39">
        <v>20</v>
      </c>
      <c r="E2392" s="42">
        <v>825</v>
      </c>
      <c r="F2392" s="41">
        <f t="shared" ca="1" si="86"/>
        <v>16500</v>
      </c>
    </row>
    <row r="2393" spans="1:6" ht="14.25" customHeight="1" x14ac:dyDescent="0.35">
      <c r="A2393" s="39" t="s">
        <v>2661</v>
      </c>
      <c r="B2393" s="40" t="str">
        <f t="shared" ca="1" si="90"/>
        <v>Cajas eléctricas</v>
      </c>
      <c r="C2393" s="72" t="str">
        <f>IFERROR(VLOOKUP("UD",'Informacion '!P:Q,2,FALSE),"")</f>
        <v>Unidad</v>
      </c>
      <c r="D2393" s="39">
        <v>25</v>
      </c>
      <c r="E2393" s="42">
        <v>146</v>
      </c>
      <c r="F2393" s="41">
        <f t="shared" ca="1" si="86"/>
        <v>3650</v>
      </c>
    </row>
    <row r="2394" spans="1:6" ht="14.25" customHeight="1" x14ac:dyDescent="0.35">
      <c r="A2394" s="39" t="s">
        <v>12068</v>
      </c>
      <c r="B2394" s="40" t="str">
        <f ca="1">IFERROR(INDEX(UNSPSCDes,MATCH(INDIRECT(ADDRESS(ROW(),COLUMN()-1,4)),UNSPSCCode,0)),IF(INDIRECT(ADDRESS(ROW(),COLUMN()-1,4))="39121305","Cajas a prueba de intemperie",""))</f>
        <v>Cajas a prueba de intemperie</v>
      </c>
      <c r="C2394" s="72" t="str">
        <f>IFERROR(VLOOKUP("UD",'Informacion '!P:Q,2,FALSE),"")</f>
        <v>Unidad</v>
      </c>
      <c r="D2394" s="39">
        <v>1</v>
      </c>
      <c r="E2394" s="42">
        <v>2715</v>
      </c>
      <c r="F2394" s="41">
        <f t="shared" ca="1" si="86"/>
        <v>2715</v>
      </c>
    </row>
    <row r="2395" spans="1:6" ht="14.25" customHeight="1" x14ac:dyDescent="0.35">
      <c r="A2395" s="39" t="s">
        <v>12068</v>
      </c>
      <c r="B2395" s="40" t="str">
        <f ca="1">IFERROR(INDEX(UNSPSCDes,MATCH(INDIRECT(ADDRESS(ROW(),COLUMN()-1,4)),UNSPSCCode,0)),IF(INDIRECT(ADDRESS(ROW(),COLUMN()-1,4))="39121305","Cajas a prueba de intemperie",""))</f>
        <v>Cajas a prueba de intemperie</v>
      </c>
      <c r="C2395" s="72" t="str">
        <f>IFERROR(VLOOKUP("UD",'Informacion '!P:Q,2,FALSE),"")</f>
        <v>Unidad</v>
      </c>
      <c r="D2395" s="39">
        <v>1</v>
      </c>
      <c r="E2395" s="42">
        <v>2715</v>
      </c>
      <c r="F2395" s="41">
        <f t="shared" ca="1" si="86"/>
        <v>2715</v>
      </c>
    </row>
    <row r="2396" spans="1:6" ht="14.25" customHeight="1" x14ac:dyDescent="0.35">
      <c r="A2396" s="39" t="s">
        <v>12068</v>
      </c>
      <c r="B2396" s="40" t="str">
        <f ca="1">IFERROR(INDEX(UNSPSCDes,MATCH(INDIRECT(ADDRESS(ROW(),COLUMN()-1,4)),UNSPSCCode,0)),IF(INDIRECT(ADDRESS(ROW(),COLUMN()-1,4))="39121305","Cajas a prueba de intemperie",""))</f>
        <v>Cajas a prueba de intemperie</v>
      </c>
      <c r="C2396" s="72" t="str">
        <f>IFERROR(VLOOKUP("UD",'Informacion '!P:Q,2,FALSE),"")</f>
        <v>Unidad</v>
      </c>
      <c r="D2396" s="39">
        <v>1</v>
      </c>
      <c r="E2396" s="42">
        <v>2715</v>
      </c>
      <c r="F2396" s="41">
        <f t="shared" ca="1" si="86"/>
        <v>2715</v>
      </c>
    </row>
    <row r="2397" spans="1:6" ht="14.25" customHeight="1" x14ac:dyDescent="0.35">
      <c r="A2397" s="39" t="s">
        <v>7550</v>
      </c>
      <c r="B2397" s="40" t="str">
        <f t="shared" ref="B2397:B2413" ca="1" si="91">IFERROR(INDEX(UNSPSCDes,MATCH(INDIRECT(ADDRESS(ROW(),COLUMN()-1,4)),UNSPSCCode,0)),IF(INDIRECT(ADDRESS(ROW(),COLUMN()-1,4))="39121310","Cajas de uso general",""))</f>
        <v>Cajas de uso general</v>
      </c>
      <c r="C2397" s="72" t="str">
        <f>IFERROR(VLOOKUP("UD",'Informacion '!P:Q,2,FALSE),"")</f>
        <v>Unidad</v>
      </c>
      <c r="D2397" s="39">
        <v>2</v>
      </c>
      <c r="E2397" s="42">
        <v>144.06</v>
      </c>
      <c r="F2397" s="41">
        <f t="shared" ca="1" si="86"/>
        <v>288.12</v>
      </c>
    </row>
    <row r="2398" spans="1:6" ht="14.25" customHeight="1" x14ac:dyDescent="0.35">
      <c r="A2398" s="39" t="s">
        <v>7550</v>
      </c>
      <c r="B2398" s="40" t="str">
        <f t="shared" ca="1" si="91"/>
        <v>Cajas de uso general</v>
      </c>
      <c r="C2398" s="72" t="str">
        <f>IFERROR(VLOOKUP("UD",'Informacion '!P:Q,2,FALSE),"")</f>
        <v>Unidad</v>
      </c>
      <c r="D2398" s="39">
        <v>36</v>
      </c>
      <c r="E2398" s="42">
        <v>25</v>
      </c>
      <c r="F2398" s="41">
        <f t="shared" ca="1" si="86"/>
        <v>900</v>
      </c>
    </row>
    <row r="2399" spans="1:6" ht="14.25" customHeight="1" x14ac:dyDescent="0.35">
      <c r="A2399" s="39" t="s">
        <v>7550</v>
      </c>
      <c r="B2399" s="40" t="str">
        <f t="shared" ca="1" si="91"/>
        <v>Cajas de uso general</v>
      </c>
      <c r="C2399" s="72" t="str">
        <f>IFERROR(VLOOKUP("UD",'Informacion '!P:Q,2,FALSE),"")</f>
        <v>Unidad</v>
      </c>
      <c r="D2399" s="39">
        <v>66</v>
      </c>
      <c r="E2399" s="42">
        <v>23.8</v>
      </c>
      <c r="F2399" s="41">
        <f t="shared" ca="1" si="86"/>
        <v>1570.8</v>
      </c>
    </row>
    <row r="2400" spans="1:6" ht="14.25" customHeight="1" x14ac:dyDescent="0.35">
      <c r="A2400" s="39" t="s">
        <v>7550</v>
      </c>
      <c r="B2400" s="40" t="str">
        <f t="shared" ca="1" si="91"/>
        <v>Cajas de uso general</v>
      </c>
      <c r="C2400" s="72" t="str">
        <f>IFERROR(VLOOKUP("UD",'Informacion '!P:Q,2,FALSE),"")</f>
        <v>Unidad</v>
      </c>
      <c r="D2400" s="39">
        <v>2</v>
      </c>
      <c r="E2400" s="42">
        <v>144.06</v>
      </c>
      <c r="F2400" s="41">
        <f t="shared" ca="1" si="86"/>
        <v>288.12</v>
      </c>
    </row>
    <row r="2401" spans="1:6" ht="14.25" customHeight="1" x14ac:dyDescent="0.35">
      <c r="A2401" s="39" t="s">
        <v>7550</v>
      </c>
      <c r="B2401" s="40" t="str">
        <f t="shared" ca="1" si="91"/>
        <v>Cajas de uso general</v>
      </c>
      <c r="C2401" s="72" t="str">
        <f>IFERROR(VLOOKUP("UD",'Informacion '!P:Q,2,FALSE),"")</f>
        <v>Unidad</v>
      </c>
      <c r="D2401" s="39">
        <v>150</v>
      </c>
      <c r="E2401" s="42">
        <v>25</v>
      </c>
      <c r="F2401" s="41">
        <f t="shared" ca="1" si="86"/>
        <v>3750</v>
      </c>
    </row>
    <row r="2402" spans="1:6" ht="14.25" customHeight="1" x14ac:dyDescent="0.35">
      <c r="A2402" s="39" t="s">
        <v>7550</v>
      </c>
      <c r="B2402" s="40" t="str">
        <f t="shared" ca="1" si="91"/>
        <v>Cajas de uso general</v>
      </c>
      <c r="C2402" s="72" t="str">
        <f>IFERROR(VLOOKUP("UD",'Informacion '!P:Q,2,FALSE),"")</f>
        <v>Unidad</v>
      </c>
      <c r="D2402" s="39">
        <v>275</v>
      </c>
      <c r="E2402" s="42">
        <v>23.8</v>
      </c>
      <c r="F2402" s="41">
        <f t="shared" ca="1" si="86"/>
        <v>6545</v>
      </c>
    </row>
    <row r="2403" spans="1:6" ht="14.25" customHeight="1" x14ac:dyDescent="0.35">
      <c r="A2403" s="39" t="s">
        <v>7550</v>
      </c>
      <c r="B2403" s="40" t="str">
        <f t="shared" ca="1" si="91"/>
        <v>Cajas de uso general</v>
      </c>
      <c r="C2403" s="72" t="str">
        <f>IFERROR(VLOOKUP("UD",'Informacion '!P:Q,2,FALSE),"")</f>
        <v>Unidad</v>
      </c>
      <c r="D2403" s="39">
        <v>2</v>
      </c>
      <c r="E2403" s="42">
        <v>144.06</v>
      </c>
      <c r="F2403" s="41">
        <f t="shared" ref="F2403:F2466" ca="1" si="92">INDIRECT(ADDRESS(ROW(),COLUMN()-2,4))*INDIRECT(ADDRESS(ROW(),COLUMN()-1,4))</f>
        <v>288.12</v>
      </c>
    </row>
    <row r="2404" spans="1:6" ht="14.25" customHeight="1" x14ac:dyDescent="0.35">
      <c r="A2404" s="39" t="s">
        <v>7550</v>
      </c>
      <c r="B2404" s="40" t="str">
        <f t="shared" ca="1" si="91"/>
        <v>Cajas de uso general</v>
      </c>
      <c r="C2404" s="72" t="str">
        <f>IFERROR(VLOOKUP("UD",'Informacion '!P:Q,2,FALSE),"")</f>
        <v>Unidad</v>
      </c>
      <c r="D2404" s="39">
        <v>1000</v>
      </c>
      <c r="E2404" s="42">
        <v>46.79</v>
      </c>
      <c r="F2404" s="41">
        <f t="shared" ca="1" si="92"/>
        <v>46790</v>
      </c>
    </row>
    <row r="2405" spans="1:6" ht="14.25" customHeight="1" x14ac:dyDescent="0.35">
      <c r="A2405" s="39" t="s">
        <v>7550</v>
      </c>
      <c r="B2405" s="40" t="str">
        <f t="shared" ca="1" si="91"/>
        <v>Cajas de uso general</v>
      </c>
      <c r="C2405" s="72" t="str">
        <f>IFERROR(VLOOKUP("UD",'Informacion '!P:Q,2,FALSE),"")</f>
        <v>Unidad</v>
      </c>
      <c r="D2405" s="39">
        <v>500</v>
      </c>
      <c r="E2405" s="42">
        <v>58.48</v>
      </c>
      <c r="F2405" s="41">
        <f t="shared" ca="1" si="92"/>
        <v>29240</v>
      </c>
    </row>
    <row r="2406" spans="1:6" ht="14.25" customHeight="1" x14ac:dyDescent="0.35">
      <c r="A2406" s="39" t="s">
        <v>7550</v>
      </c>
      <c r="B2406" s="40" t="str">
        <f t="shared" ca="1" si="91"/>
        <v>Cajas de uso general</v>
      </c>
      <c r="C2406" s="72" t="str">
        <f>IFERROR(VLOOKUP("UD",'Informacion '!P:Q,2,FALSE),"")</f>
        <v>Unidad</v>
      </c>
      <c r="D2406" s="39">
        <v>1000</v>
      </c>
      <c r="E2406" s="42">
        <v>46.79</v>
      </c>
      <c r="F2406" s="41">
        <f t="shared" ca="1" si="92"/>
        <v>46790</v>
      </c>
    </row>
    <row r="2407" spans="1:6" ht="14.25" customHeight="1" x14ac:dyDescent="0.35">
      <c r="A2407" s="39" t="s">
        <v>7550</v>
      </c>
      <c r="B2407" s="40" t="str">
        <f t="shared" ca="1" si="91"/>
        <v>Cajas de uso general</v>
      </c>
      <c r="C2407" s="72" t="str">
        <f>IFERROR(VLOOKUP("UD",'Informacion '!P:Q,2,FALSE),"")</f>
        <v>Unidad</v>
      </c>
      <c r="D2407" s="39">
        <v>500</v>
      </c>
      <c r="E2407" s="42">
        <v>58.48</v>
      </c>
      <c r="F2407" s="41">
        <f t="shared" ca="1" si="92"/>
        <v>29240</v>
      </c>
    </row>
    <row r="2408" spans="1:6" ht="14.25" customHeight="1" x14ac:dyDescent="0.35">
      <c r="A2408" s="39" t="s">
        <v>7550</v>
      </c>
      <c r="B2408" s="40" t="str">
        <f t="shared" ca="1" si="91"/>
        <v>Cajas de uso general</v>
      </c>
      <c r="C2408" s="72" t="str">
        <f>IFERROR(VLOOKUP("UD",'Informacion '!P:Q,2,FALSE),"")</f>
        <v>Unidad</v>
      </c>
      <c r="D2408" s="39">
        <v>1000</v>
      </c>
      <c r="E2408" s="42">
        <v>46.79</v>
      </c>
      <c r="F2408" s="41">
        <f t="shared" ca="1" si="92"/>
        <v>46790</v>
      </c>
    </row>
    <row r="2409" spans="1:6" ht="14.25" customHeight="1" x14ac:dyDescent="0.35">
      <c r="A2409" s="39" t="s">
        <v>7550</v>
      </c>
      <c r="B2409" s="40" t="str">
        <f t="shared" ca="1" si="91"/>
        <v>Cajas de uso general</v>
      </c>
      <c r="C2409" s="72" t="str">
        <f>IFERROR(VLOOKUP("UD",'Informacion '!P:Q,2,FALSE),"")</f>
        <v>Unidad</v>
      </c>
      <c r="D2409" s="39">
        <v>500</v>
      </c>
      <c r="E2409" s="42">
        <v>58.48</v>
      </c>
      <c r="F2409" s="41">
        <f t="shared" ca="1" si="92"/>
        <v>29240</v>
      </c>
    </row>
    <row r="2410" spans="1:6" ht="14.25" customHeight="1" x14ac:dyDescent="0.35">
      <c r="A2410" s="39" t="s">
        <v>7550</v>
      </c>
      <c r="B2410" s="40" t="str">
        <f t="shared" ca="1" si="91"/>
        <v>Cajas de uso general</v>
      </c>
      <c r="C2410" s="72" t="str">
        <f>IFERROR(VLOOKUP("UD",'Informacion '!P:Q,2,FALSE),"")</f>
        <v>Unidad</v>
      </c>
      <c r="D2410" s="39">
        <v>1450</v>
      </c>
      <c r="E2410" s="42">
        <v>46.79</v>
      </c>
      <c r="F2410" s="41">
        <f t="shared" ca="1" si="92"/>
        <v>67845.5</v>
      </c>
    </row>
    <row r="2411" spans="1:6" ht="14.25" customHeight="1" x14ac:dyDescent="0.35">
      <c r="A2411" s="39" t="s">
        <v>7550</v>
      </c>
      <c r="B2411" s="40" t="str">
        <f t="shared" ca="1" si="91"/>
        <v>Cajas de uso general</v>
      </c>
      <c r="C2411" s="72" t="str">
        <f>IFERROR(VLOOKUP("UD",'Informacion '!P:Q,2,FALSE),"")</f>
        <v>Unidad</v>
      </c>
      <c r="D2411" s="39">
        <v>725</v>
      </c>
      <c r="E2411" s="42">
        <v>58.48</v>
      </c>
      <c r="F2411" s="41">
        <f t="shared" ca="1" si="92"/>
        <v>42398</v>
      </c>
    </row>
    <row r="2412" spans="1:6" ht="14.25" customHeight="1" x14ac:dyDescent="0.35">
      <c r="A2412" s="39" t="s">
        <v>7550</v>
      </c>
      <c r="B2412" s="40" t="str">
        <f t="shared" ca="1" si="91"/>
        <v>Cajas de uso general</v>
      </c>
      <c r="C2412" s="72" t="str">
        <f>IFERROR(VLOOKUP("UD",'Informacion '!P:Q,2,FALSE),"")</f>
        <v>Unidad</v>
      </c>
      <c r="D2412" s="39">
        <v>2000</v>
      </c>
      <c r="E2412" s="42">
        <v>46.79</v>
      </c>
      <c r="F2412" s="41">
        <f t="shared" ca="1" si="92"/>
        <v>93580</v>
      </c>
    </row>
    <row r="2413" spans="1:6" ht="14.25" customHeight="1" x14ac:dyDescent="0.35">
      <c r="A2413" s="39" t="s">
        <v>7550</v>
      </c>
      <c r="B2413" s="40" t="str">
        <f t="shared" ca="1" si="91"/>
        <v>Cajas de uso general</v>
      </c>
      <c r="C2413" s="72" t="str">
        <f>IFERROR(VLOOKUP("UD",'Informacion '!P:Q,2,FALSE),"")</f>
        <v>Unidad</v>
      </c>
      <c r="D2413" s="39">
        <v>1000</v>
      </c>
      <c r="E2413" s="42">
        <v>58.48</v>
      </c>
      <c r="F2413" s="41">
        <f t="shared" ca="1" si="92"/>
        <v>58480</v>
      </c>
    </row>
    <row r="2414" spans="1:6" ht="14.25" customHeight="1" x14ac:dyDescent="0.35">
      <c r="A2414" s="39" t="s">
        <v>4240</v>
      </c>
      <c r="B2414" s="40" t="str">
        <f ca="1">IFERROR(INDEX(UNSPSCDes,MATCH(INDIRECT(ADDRESS(ROW(),COLUMN()-1,4)),UNSPSCCode,0)),IF(INDIRECT(ADDRESS(ROW(),COLUMN()-1,4))="39121311","Accesorios eléctricos",""))</f>
        <v>Accesorios eléctricos</v>
      </c>
      <c r="C2414" s="72" t="str">
        <f>IFERROR(VLOOKUP("UD",'Informacion '!P:Q,2,FALSE),"")</f>
        <v>Unidad</v>
      </c>
      <c r="D2414" s="39">
        <v>10</v>
      </c>
      <c r="E2414" s="42">
        <v>106</v>
      </c>
      <c r="F2414" s="41">
        <f t="shared" ca="1" si="92"/>
        <v>1060</v>
      </c>
    </row>
    <row r="2415" spans="1:6" ht="14.25" customHeight="1" x14ac:dyDescent="0.35">
      <c r="A2415" s="39" t="s">
        <v>4240</v>
      </c>
      <c r="B2415" s="40" t="str">
        <f ca="1">IFERROR(INDEX(UNSPSCDes,MATCH(INDIRECT(ADDRESS(ROW(),COLUMN()-1,4)),UNSPSCCode,0)),IF(INDIRECT(ADDRESS(ROW(),COLUMN()-1,4))="39121311","Accesorios eléctricos",""))</f>
        <v>Accesorios eléctricos</v>
      </c>
      <c r="C2415" s="72" t="str">
        <f>IFERROR(VLOOKUP("UD",'Informacion '!P:Q,2,FALSE),"")</f>
        <v>Unidad</v>
      </c>
      <c r="D2415" s="39">
        <v>10</v>
      </c>
      <c r="E2415" s="42">
        <v>200</v>
      </c>
      <c r="F2415" s="41">
        <f t="shared" ca="1" si="92"/>
        <v>2000</v>
      </c>
    </row>
    <row r="2416" spans="1:6" ht="14.25" customHeight="1" x14ac:dyDescent="0.35">
      <c r="A2416" s="39" t="s">
        <v>4240</v>
      </c>
      <c r="B2416" s="40" t="str">
        <f ca="1">IFERROR(INDEX(UNSPSCDes,MATCH(INDIRECT(ADDRESS(ROW(),COLUMN()-1,4)),UNSPSCCode,0)),IF(INDIRECT(ADDRESS(ROW(),COLUMN()-1,4))="39121311","Accesorios eléctricos",""))</f>
        <v>Accesorios eléctricos</v>
      </c>
      <c r="C2416" s="72" t="str">
        <f>IFERROR(VLOOKUP("UD",'Informacion '!P:Q,2,FALSE),"")</f>
        <v>Unidad</v>
      </c>
      <c r="D2416" s="39">
        <v>20</v>
      </c>
      <c r="E2416" s="42">
        <v>75.69</v>
      </c>
      <c r="F2416" s="41">
        <f t="shared" ca="1" si="92"/>
        <v>1513.8</v>
      </c>
    </row>
    <row r="2417" spans="1:6" ht="14.25" customHeight="1" x14ac:dyDescent="0.35">
      <c r="A2417" s="39" t="s">
        <v>6716</v>
      </c>
      <c r="B2417" s="40" t="str">
        <f t="shared" ref="B2417:B2423" ca="1" si="93">IFERROR(INDEX(UNSPSCDes,MATCH(INDIRECT(ADDRESS(ROW(),COLUMN()-1,4)),UNSPSCCode,0)),IF(INDIRECT(ADDRESS(ROW(),COLUMN()-1,4))="39121405","Terminales de cable o alambre",""))</f>
        <v>Terminales de cable o alambre</v>
      </c>
      <c r="C2417" s="72" t="str">
        <f>IFERROR(VLOOKUP("UD",'Informacion '!P:Q,2,FALSE),"")</f>
        <v>Unidad</v>
      </c>
      <c r="D2417" s="39">
        <v>4</v>
      </c>
      <c r="E2417" s="42">
        <v>447.5</v>
      </c>
      <c r="F2417" s="41">
        <f t="shared" ca="1" si="92"/>
        <v>1790</v>
      </c>
    </row>
    <row r="2418" spans="1:6" ht="14.25" customHeight="1" x14ac:dyDescent="0.35">
      <c r="A2418" s="39" t="s">
        <v>6716</v>
      </c>
      <c r="B2418" s="40" t="str">
        <f t="shared" ca="1" si="93"/>
        <v>Terminales de cable o alambre</v>
      </c>
      <c r="C2418" s="72" t="str">
        <f>IFERROR(VLOOKUP("UD",'Informacion '!P:Q,2,FALSE),"")</f>
        <v>Unidad</v>
      </c>
      <c r="D2418" s="39">
        <v>3</v>
      </c>
      <c r="E2418" s="42">
        <v>495</v>
      </c>
      <c r="F2418" s="41">
        <f t="shared" ca="1" si="92"/>
        <v>1485</v>
      </c>
    </row>
    <row r="2419" spans="1:6" ht="14.25" customHeight="1" x14ac:dyDescent="0.35">
      <c r="A2419" s="39" t="s">
        <v>6716</v>
      </c>
      <c r="B2419" s="40" t="str">
        <f t="shared" ca="1" si="93"/>
        <v>Terminales de cable o alambre</v>
      </c>
      <c r="C2419" s="72" t="str">
        <f>IFERROR(VLOOKUP("UD",'Informacion '!P:Q,2,FALSE),"")</f>
        <v>Unidad</v>
      </c>
      <c r="D2419" s="39">
        <v>24</v>
      </c>
      <c r="E2419" s="42">
        <v>447.5</v>
      </c>
      <c r="F2419" s="41">
        <f t="shared" ca="1" si="92"/>
        <v>10740</v>
      </c>
    </row>
    <row r="2420" spans="1:6" ht="14.25" customHeight="1" x14ac:dyDescent="0.35">
      <c r="A2420" s="39" t="s">
        <v>6716</v>
      </c>
      <c r="B2420" s="40" t="str">
        <f t="shared" ca="1" si="93"/>
        <v>Terminales de cable o alambre</v>
      </c>
      <c r="C2420" s="72" t="str">
        <f>IFERROR(VLOOKUP("UD",'Informacion '!P:Q,2,FALSE),"")</f>
        <v>Unidad</v>
      </c>
      <c r="D2420" s="39">
        <v>3</v>
      </c>
      <c r="E2420" s="42">
        <v>489.12</v>
      </c>
      <c r="F2420" s="41">
        <f t="shared" ca="1" si="92"/>
        <v>1467.3600000000001</v>
      </c>
    </row>
    <row r="2421" spans="1:6" ht="14.25" customHeight="1" x14ac:dyDescent="0.35">
      <c r="A2421" s="39" t="s">
        <v>6716</v>
      </c>
      <c r="B2421" s="40" t="str">
        <f t="shared" ca="1" si="93"/>
        <v>Terminales de cable o alambre</v>
      </c>
      <c r="C2421" s="72" t="str">
        <f>IFERROR(VLOOKUP("UD",'Informacion '!P:Q,2,FALSE),"")</f>
        <v>Unidad</v>
      </c>
      <c r="D2421" s="39">
        <v>3</v>
      </c>
      <c r="E2421" s="42">
        <v>489.12</v>
      </c>
      <c r="F2421" s="41">
        <f t="shared" ca="1" si="92"/>
        <v>1467.3600000000001</v>
      </c>
    </row>
    <row r="2422" spans="1:6" ht="14.25" customHeight="1" x14ac:dyDescent="0.35">
      <c r="A2422" s="39" t="s">
        <v>6716</v>
      </c>
      <c r="B2422" s="40" t="str">
        <f t="shared" ca="1" si="93"/>
        <v>Terminales de cable o alambre</v>
      </c>
      <c r="C2422" s="72" t="str">
        <f>IFERROR(VLOOKUP("UD",'Informacion '!P:Q,2,FALSE),"")</f>
        <v>Unidad</v>
      </c>
      <c r="D2422" s="39">
        <v>20</v>
      </c>
      <c r="E2422" s="42">
        <v>447.5</v>
      </c>
      <c r="F2422" s="41">
        <f t="shared" ca="1" si="92"/>
        <v>8950</v>
      </c>
    </row>
    <row r="2423" spans="1:6" ht="14.25" customHeight="1" x14ac:dyDescent="0.35">
      <c r="A2423" s="39" t="s">
        <v>6716</v>
      </c>
      <c r="B2423" s="40" t="str">
        <f t="shared" ca="1" si="93"/>
        <v>Terminales de cable o alambre</v>
      </c>
      <c r="C2423" s="72" t="str">
        <f>IFERROR(VLOOKUP("UD",'Informacion '!P:Q,2,FALSE),"")</f>
        <v>Unidad</v>
      </c>
      <c r="D2423" s="39">
        <v>3</v>
      </c>
      <c r="E2423" s="42">
        <v>489.12</v>
      </c>
      <c r="F2423" s="41">
        <f t="shared" ca="1" si="92"/>
        <v>1467.3600000000001</v>
      </c>
    </row>
    <row r="2424" spans="1:6" ht="14.25" customHeight="1" x14ac:dyDescent="0.35">
      <c r="A2424" s="39" t="s">
        <v>9574</v>
      </c>
      <c r="B2424" s="40" t="str">
        <f t="shared" ref="B2424:B2433" ca="1" si="94">IFERROR(INDEX(UNSPSCDes,MATCH(INDIRECT(ADDRESS(ROW(),COLUMN()-1,4)),UNSPSCCode,0)),IF(INDIRECT(ADDRESS(ROW(),COLUMN()-1,4))="39121406","Receptáculos eléctricos",""))</f>
        <v>Receptáculos eléctricos</v>
      </c>
      <c r="C2424" s="72" t="str">
        <f>IFERROR(VLOOKUP("UD",'Informacion '!P:Q,2,FALSE),"")</f>
        <v>Unidad</v>
      </c>
      <c r="D2424" s="39">
        <v>4</v>
      </c>
      <c r="E2424" s="42">
        <v>110.17</v>
      </c>
      <c r="F2424" s="41">
        <f t="shared" ca="1" si="92"/>
        <v>440.68</v>
      </c>
    </row>
    <row r="2425" spans="1:6" ht="14.25" customHeight="1" x14ac:dyDescent="0.35">
      <c r="A2425" s="39" t="s">
        <v>9574</v>
      </c>
      <c r="B2425" s="40" t="str">
        <f t="shared" ca="1" si="94"/>
        <v>Receptáculos eléctricos</v>
      </c>
      <c r="C2425" s="72" t="str">
        <f>IFERROR(VLOOKUP("UD",'Informacion '!P:Q,2,FALSE),"")</f>
        <v>Unidad</v>
      </c>
      <c r="D2425" s="39">
        <v>24</v>
      </c>
      <c r="E2425" s="42">
        <v>110.17</v>
      </c>
      <c r="F2425" s="41">
        <f t="shared" ca="1" si="92"/>
        <v>2644.08</v>
      </c>
    </row>
    <row r="2426" spans="1:6" ht="14.25" customHeight="1" x14ac:dyDescent="0.35">
      <c r="A2426" s="39" t="s">
        <v>9574</v>
      </c>
      <c r="B2426" s="40" t="str">
        <f t="shared" ca="1" si="94"/>
        <v>Receptáculos eléctricos</v>
      </c>
      <c r="C2426" s="72" t="str">
        <f>IFERROR(VLOOKUP("UD",'Informacion '!P:Q,2,FALSE),"")</f>
        <v>Unidad</v>
      </c>
      <c r="D2426" s="39">
        <v>100</v>
      </c>
      <c r="E2426" s="42">
        <v>110.17</v>
      </c>
      <c r="F2426" s="41">
        <f t="shared" ca="1" si="92"/>
        <v>11017</v>
      </c>
    </row>
    <row r="2427" spans="1:6" ht="14.25" customHeight="1" x14ac:dyDescent="0.35">
      <c r="A2427" s="39" t="s">
        <v>9574</v>
      </c>
      <c r="B2427" s="40" t="str">
        <f t="shared" ca="1" si="94"/>
        <v>Receptáculos eléctricos</v>
      </c>
      <c r="C2427" s="72" t="str">
        <f>IFERROR(VLOOKUP("UD",'Informacion '!P:Q,2,FALSE),"")</f>
        <v>Unidad</v>
      </c>
      <c r="D2427" s="39">
        <v>300</v>
      </c>
      <c r="E2427" s="42">
        <v>192.99</v>
      </c>
      <c r="F2427" s="41">
        <f t="shared" ca="1" si="92"/>
        <v>57897</v>
      </c>
    </row>
    <row r="2428" spans="1:6" ht="14.25" customHeight="1" x14ac:dyDescent="0.35">
      <c r="A2428" s="39" t="s">
        <v>9574</v>
      </c>
      <c r="B2428" s="40" t="str">
        <f t="shared" ca="1" si="94"/>
        <v>Receptáculos eléctricos</v>
      </c>
      <c r="C2428" s="72" t="str">
        <f>IFERROR(VLOOKUP("UD",'Informacion '!P:Q,2,FALSE),"")</f>
        <v>Unidad</v>
      </c>
      <c r="D2428" s="39">
        <v>300</v>
      </c>
      <c r="E2428" s="42">
        <v>192.99</v>
      </c>
      <c r="F2428" s="41">
        <f t="shared" ca="1" si="92"/>
        <v>57897</v>
      </c>
    </row>
    <row r="2429" spans="1:6" ht="14.25" customHeight="1" x14ac:dyDescent="0.35">
      <c r="A2429" s="39" t="s">
        <v>9574</v>
      </c>
      <c r="B2429" s="40" t="str">
        <f t="shared" ca="1" si="94"/>
        <v>Receptáculos eléctricos</v>
      </c>
      <c r="C2429" s="72" t="str">
        <f>IFERROR(VLOOKUP("UD",'Informacion '!P:Q,2,FALSE),"")</f>
        <v>Unidad</v>
      </c>
      <c r="D2429" s="39">
        <v>300</v>
      </c>
      <c r="E2429" s="42">
        <v>192.99</v>
      </c>
      <c r="F2429" s="41">
        <f t="shared" ca="1" si="92"/>
        <v>57897</v>
      </c>
    </row>
    <row r="2430" spans="1:6" ht="14.25" customHeight="1" x14ac:dyDescent="0.35">
      <c r="A2430" s="39" t="s">
        <v>9574</v>
      </c>
      <c r="B2430" s="40" t="str">
        <f t="shared" ca="1" si="94"/>
        <v>Receptáculos eléctricos</v>
      </c>
      <c r="C2430" s="72" t="str">
        <f>IFERROR(VLOOKUP("UD",'Informacion '!P:Q,2,FALSE),"")</f>
        <v>Unidad</v>
      </c>
      <c r="D2430" s="39">
        <v>435</v>
      </c>
      <c r="E2430" s="42">
        <v>192.99</v>
      </c>
      <c r="F2430" s="41">
        <f t="shared" ca="1" si="92"/>
        <v>83950.650000000009</v>
      </c>
    </row>
    <row r="2431" spans="1:6" ht="14.25" customHeight="1" x14ac:dyDescent="0.35">
      <c r="A2431" s="39" t="s">
        <v>9574</v>
      </c>
      <c r="B2431" s="40" t="str">
        <f t="shared" ca="1" si="94"/>
        <v>Receptáculos eléctricos</v>
      </c>
      <c r="C2431" s="72" t="str">
        <f>IFERROR(VLOOKUP("UD",'Informacion '!P:Q,2,FALSE),"")</f>
        <v>Unidad</v>
      </c>
      <c r="D2431" s="39">
        <v>600</v>
      </c>
      <c r="E2431" s="42">
        <v>192.99</v>
      </c>
      <c r="F2431" s="41">
        <f t="shared" ca="1" si="92"/>
        <v>115794</v>
      </c>
    </row>
    <row r="2432" spans="1:6" ht="14.25" customHeight="1" x14ac:dyDescent="0.35">
      <c r="A2432" s="39" t="s">
        <v>9574</v>
      </c>
      <c r="B2432" s="40" t="str">
        <f t="shared" ca="1" si="94"/>
        <v>Receptáculos eléctricos</v>
      </c>
      <c r="C2432" s="72" t="str">
        <f>IFERROR(VLOOKUP("UD",'Informacion '!P:Q,2,FALSE),"")</f>
        <v>Unidad</v>
      </c>
      <c r="D2432" s="39">
        <v>50</v>
      </c>
      <c r="E2432" s="42">
        <v>185.95</v>
      </c>
      <c r="F2432" s="41">
        <f t="shared" ca="1" si="92"/>
        <v>9297.5</v>
      </c>
    </row>
    <row r="2433" spans="1:6" ht="14.25" customHeight="1" x14ac:dyDescent="0.35">
      <c r="A2433" s="39" t="s">
        <v>9574</v>
      </c>
      <c r="B2433" s="40" t="str">
        <f t="shared" ca="1" si="94"/>
        <v>Receptáculos eléctricos</v>
      </c>
      <c r="C2433" s="72" t="str">
        <f>IFERROR(VLOOKUP("UD",'Informacion '!P:Q,2,FALSE),"")</f>
        <v>Unidad</v>
      </c>
      <c r="D2433" s="39">
        <v>26</v>
      </c>
      <c r="E2433" s="42">
        <v>126.25</v>
      </c>
      <c r="F2433" s="41">
        <f t="shared" ca="1" si="92"/>
        <v>3282.5</v>
      </c>
    </row>
    <row r="2434" spans="1:6" ht="14.25" customHeight="1" x14ac:dyDescent="0.35">
      <c r="A2434" s="39" t="s">
        <v>11403</v>
      </c>
      <c r="B2434" s="40" t="str">
        <f ca="1">IFERROR(INDEX(UNSPSCDes,MATCH(INDIRECT(ADDRESS(ROW(),COLUMN()-1,4)),UNSPSCCode,0)),IF(INDIRECT(ADDRESS(ROW(),COLUMN()-1,4))="39121407","Strips de conexiones",""))</f>
        <v>Strips de conexiones</v>
      </c>
      <c r="C2434" s="72" t="str">
        <f>IFERROR(VLOOKUP("UD",'Informacion '!P:Q,2,FALSE),"")</f>
        <v>Unidad</v>
      </c>
      <c r="D2434" s="39">
        <v>20</v>
      </c>
      <c r="E2434" s="42">
        <v>680</v>
      </c>
      <c r="F2434" s="41">
        <f t="shared" ca="1" si="92"/>
        <v>13600</v>
      </c>
    </row>
    <row r="2435" spans="1:6" ht="14.25" customHeight="1" x14ac:dyDescent="0.35">
      <c r="A2435" s="39" t="s">
        <v>11403</v>
      </c>
      <c r="B2435" s="40" t="str">
        <f ca="1">IFERROR(INDEX(UNSPSCDes,MATCH(INDIRECT(ADDRESS(ROW(),COLUMN()-1,4)),UNSPSCCode,0)),IF(INDIRECT(ADDRESS(ROW(),COLUMN()-1,4))="39121407","Strips de conexiones",""))</f>
        <v>Strips de conexiones</v>
      </c>
      <c r="C2435" s="72" t="str">
        <f>IFERROR(VLOOKUP("UD",'Informacion '!P:Q,2,FALSE),"")</f>
        <v>Unidad</v>
      </c>
      <c r="D2435" s="39">
        <v>25</v>
      </c>
      <c r="E2435" s="42">
        <v>700</v>
      </c>
      <c r="F2435" s="41">
        <f t="shared" ca="1" si="92"/>
        <v>17500</v>
      </c>
    </row>
    <row r="2436" spans="1:6" ht="14.25" customHeight="1" x14ac:dyDescent="0.35">
      <c r="A2436" s="39" t="s">
        <v>2312</v>
      </c>
      <c r="B2436" s="40" t="str">
        <f t="shared" ref="B2436:B2467" ca="1" si="95">IFERROR(INDEX(UNSPSCDes,MATCH(INDIRECT(ADDRESS(ROW(),COLUMN()-1,4)),UNSPSCCode,0)),IF(INDIRECT(ADDRESS(ROW(),COLUMN()-1,4))="39121409","Conectores de cables eléctricos",""))</f>
        <v>Conectores de cables eléctricos</v>
      </c>
      <c r="C2436" s="72" t="str">
        <f>IFERROR(VLOOKUP("FT",'Informacion '!P:Q,2,FALSE),"")</f>
        <v>Pie</v>
      </c>
      <c r="D2436" s="39">
        <v>26000</v>
      </c>
      <c r="E2436" s="42">
        <v>30</v>
      </c>
      <c r="F2436" s="41">
        <f t="shared" ca="1" si="92"/>
        <v>780000</v>
      </c>
    </row>
    <row r="2437" spans="1:6" ht="14.25" customHeight="1" x14ac:dyDescent="0.35">
      <c r="A2437" s="39" t="s">
        <v>2312</v>
      </c>
      <c r="B2437" s="40" t="str">
        <f t="shared" ca="1" si="95"/>
        <v>Conectores de cables eléctricos</v>
      </c>
      <c r="C2437" s="72" t="str">
        <f>IFERROR(VLOOKUP("FT",'Informacion '!P:Q,2,FALSE),"")</f>
        <v>Pie</v>
      </c>
      <c r="D2437" s="39">
        <v>1068</v>
      </c>
      <c r="E2437" s="42">
        <v>107.25</v>
      </c>
      <c r="F2437" s="41">
        <f t="shared" ca="1" si="92"/>
        <v>114543</v>
      </c>
    </row>
    <row r="2438" spans="1:6" ht="14.25" customHeight="1" x14ac:dyDescent="0.35">
      <c r="A2438" s="39" t="s">
        <v>2312</v>
      </c>
      <c r="B2438" s="40" t="str">
        <f t="shared" ca="1" si="95"/>
        <v>Conectores de cables eléctricos</v>
      </c>
      <c r="C2438" s="72" t="str">
        <f>IFERROR(VLOOKUP("FT",'Informacion '!P:Q,2,FALSE),"")</f>
        <v>Pie</v>
      </c>
      <c r="D2438" s="39">
        <v>14</v>
      </c>
      <c r="E2438" s="42">
        <v>195</v>
      </c>
      <c r="F2438" s="41">
        <f t="shared" ca="1" si="92"/>
        <v>2730</v>
      </c>
    </row>
    <row r="2439" spans="1:6" ht="14.25" customHeight="1" x14ac:dyDescent="0.35">
      <c r="A2439" s="39" t="s">
        <v>2312</v>
      </c>
      <c r="B2439" s="40" t="str">
        <f t="shared" ca="1" si="95"/>
        <v>Conectores de cables eléctricos</v>
      </c>
      <c r="C2439" s="72" t="str">
        <f>IFERROR(VLOOKUP("UD",'Informacion '!P:Q,2,FALSE),"")</f>
        <v>Unidad</v>
      </c>
      <c r="D2439" s="39">
        <v>80</v>
      </c>
      <c r="E2439" s="42">
        <v>119.94</v>
      </c>
      <c r="F2439" s="41">
        <f t="shared" ca="1" si="92"/>
        <v>9595.2000000000007</v>
      </c>
    </row>
    <row r="2440" spans="1:6" ht="14.25" customHeight="1" x14ac:dyDescent="0.35">
      <c r="A2440" s="39" t="s">
        <v>2312</v>
      </c>
      <c r="B2440" s="40" t="str">
        <f t="shared" ca="1" si="95"/>
        <v>Conectores de cables eléctricos</v>
      </c>
      <c r="C2440" s="72" t="str">
        <f>IFERROR(VLOOKUP("UD",'Informacion '!P:Q,2,FALSE),"")</f>
        <v>Unidad</v>
      </c>
      <c r="D2440" s="39">
        <v>12</v>
      </c>
      <c r="E2440" s="42">
        <v>146.85</v>
      </c>
      <c r="F2440" s="41">
        <f t="shared" ca="1" si="92"/>
        <v>1762.1999999999998</v>
      </c>
    </row>
    <row r="2441" spans="1:6" ht="14.25" customHeight="1" x14ac:dyDescent="0.35">
      <c r="A2441" s="39" t="s">
        <v>2312</v>
      </c>
      <c r="B2441" s="40" t="str">
        <f t="shared" ca="1" si="95"/>
        <v>Conectores de cables eléctricos</v>
      </c>
      <c r="C2441" s="72" t="str">
        <f>IFERROR(VLOOKUP("UD",'Informacion '!P:Q,2,FALSE),"")</f>
        <v>Unidad</v>
      </c>
      <c r="D2441" s="39">
        <v>7</v>
      </c>
      <c r="E2441" s="42">
        <v>225</v>
      </c>
      <c r="F2441" s="41">
        <f t="shared" ca="1" si="92"/>
        <v>1575</v>
      </c>
    </row>
    <row r="2442" spans="1:6" ht="14.25" customHeight="1" x14ac:dyDescent="0.35">
      <c r="A2442" s="39" t="s">
        <v>2312</v>
      </c>
      <c r="B2442" s="40" t="str">
        <f t="shared" ca="1" si="95"/>
        <v>Conectores de cables eléctricos</v>
      </c>
      <c r="C2442" s="72" t="str">
        <f>IFERROR(VLOOKUP("UD",'Informacion '!P:Q,2,FALSE),"")</f>
        <v>Unidad</v>
      </c>
      <c r="D2442" s="39">
        <v>3</v>
      </c>
      <c r="E2442" s="42">
        <v>193.46</v>
      </c>
      <c r="F2442" s="41">
        <f t="shared" ca="1" si="92"/>
        <v>580.38</v>
      </c>
    </row>
    <row r="2443" spans="1:6" ht="14.25" customHeight="1" x14ac:dyDescent="0.35">
      <c r="A2443" s="39" t="s">
        <v>2312</v>
      </c>
      <c r="B2443" s="40" t="str">
        <f t="shared" ca="1" si="95"/>
        <v>Conectores de cables eléctricos</v>
      </c>
      <c r="C2443" s="72" t="str">
        <f>IFERROR(VLOOKUP("UD",'Informacion '!P:Q,2,FALSE),"")</f>
        <v>Unidad</v>
      </c>
      <c r="D2443" s="39">
        <v>3</v>
      </c>
      <c r="E2443" s="42">
        <v>105.55</v>
      </c>
      <c r="F2443" s="41">
        <f t="shared" ca="1" si="92"/>
        <v>316.64999999999998</v>
      </c>
    </row>
    <row r="2444" spans="1:6" ht="14.25" customHeight="1" x14ac:dyDescent="0.35">
      <c r="A2444" s="39" t="s">
        <v>2312</v>
      </c>
      <c r="B2444" s="40" t="str">
        <f t="shared" ca="1" si="95"/>
        <v>Conectores de cables eléctricos</v>
      </c>
      <c r="C2444" s="72" t="str">
        <f>IFERROR(VLOOKUP("UD",'Informacion '!P:Q,2,FALSE),"")</f>
        <v>Unidad</v>
      </c>
      <c r="D2444" s="39">
        <v>1</v>
      </c>
      <c r="E2444" s="42">
        <v>595</v>
      </c>
      <c r="F2444" s="41">
        <f t="shared" ca="1" si="92"/>
        <v>595</v>
      </c>
    </row>
    <row r="2445" spans="1:6" ht="14.25" customHeight="1" x14ac:dyDescent="0.35">
      <c r="A2445" s="39" t="s">
        <v>2312</v>
      </c>
      <c r="B2445" s="40" t="str">
        <f t="shared" ca="1" si="95"/>
        <v>Conectores de cables eléctricos</v>
      </c>
      <c r="C2445" s="72" t="str">
        <f>IFERROR(VLOOKUP("UD",'Informacion '!P:Q,2,FALSE),"")</f>
        <v>Unidad</v>
      </c>
      <c r="D2445" s="39">
        <v>3</v>
      </c>
      <c r="E2445" s="42">
        <v>86.37</v>
      </c>
      <c r="F2445" s="41">
        <f t="shared" ca="1" si="92"/>
        <v>259.11</v>
      </c>
    </row>
    <row r="2446" spans="1:6" ht="14.25" customHeight="1" x14ac:dyDescent="0.35">
      <c r="A2446" s="39" t="s">
        <v>2312</v>
      </c>
      <c r="B2446" s="40" t="str">
        <f t="shared" ca="1" si="95"/>
        <v>Conectores de cables eléctricos</v>
      </c>
      <c r="C2446" s="72" t="str">
        <f>IFERROR(VLOOKUP("UD",'Informacion '!P:Q,2,FALSE),"")</f>
        <v>Unidad</v>
      </c>
      <c r="D2446" s="39">
        <v>1</v>
      </c>
      <c r="E2446" s="42">
        <v>770.89</v>
      </c>
      <c r="F2446" s="41">
        <f t="shared" ca="1" si="92"/>
        <v>770.89</v>
      </c>
    </row>
    <row r="2447" spans="1:6" ht="14.25" customHeight="1" x14ac:dyDescent="0.35">
      <c r="A2447" s="39" t="s">
        <v>2312</v>
      </c>
      <c r="B2447" s="40" t="str">
        <f t="shared" ca="1" si="95"/>
        <v>Conectores de cables eléctricos</v>
      </c>
      <c r="C2447" s="72" t="str">
        <f>IFERROR(VLOOKUP("UD",'Informacion '!P:Q,2,FALSE),"")</f>
        <v>Unidad</v>
      </c>
      <c r="D2447" s="39">
        <v>8</v>
      </c>
      <c r="E2447" s="42">
        <v>225</v>
      </c>
      <c r="F2447" s="41">
        <f t="shared" ca="1" si="92"/>
        <v>1800</v>
      </c>
    </row>
    <row r="2448" spans="1:6" ht="14.25" customHeight="1" x14ac:dyDescent="0.35">
      <c r="A2448" s="39" t="s">
        <v>2312</v>
      </c>
      <c r="B2448" s="40" t="str">
        <f t="shared" ca="1" si="95"/>
        <v>Conectores de cables eléctricos</v>
      </c>
      <c r="C2448" s="72" t="str">
        <f>IFERROR(VLOOKUP("UD",'Informacion '!P:Q,2,FALSE),"")</f>
        <v>Unidad</v>
      </c>
      <c r="D2448" s="39">
        <v>2</v>
      </c>
      <c r="E2448" s="42">
        <v>561.04999999999995</v>
      </c>
      <c r="F2448" s="41">
        <f t="shared" ca="1" si="92"/>
        <v>1122.0999999999999</v>
      </c>
    </row>
    <row r="2449" spans="1:6" ht="14.25" customHeight="1" x14ac:dyDescent="0.35">
      <c r="A2449" s="39" t="s">
        <v>2312</v>
      </c>
      <c r="B2449" s="40" t="str">
        <f t="shared" ca="1" si="95"/>
        <v>Conectores de cables eléctricos</v>
      </c>
      <c r="C2449" s="72" t="str">
        <f>IFERROR(VLOOKUP("UD",'Informacion '!P:Q,2,FALSE),"")</f>
        <v>Unidad</v>
      </c>
      <c r="D2449" s="39">
        <v>2</v>
      </c>
      <c r="E2449" s="42">
        <v>1486.37</v>
      </c>
      <c r="F2449" s="41">
        <f t="shared" ca="1" si="92"/>
        <v>2972.74</v>
      </c>
    </row>
    <row r="2450" spans="1:6" ht="14.25" customHeight="1" x14ac:dyDescent="0.35">
      <c r="A2450" s="39" t="s">
        <v>2312</v>
      </c>
      <c r="B2450" s="40" t="str">
        <f t="shared" ca="1" si="95"/>
        <v>Conectores de cables eléctricos</v>
      </c>
      <c r="C2450" s="72" t="str">
        <f>IFERROR(VLOOKUP("UD",'Informacion '!P:Q,2,FALSE),"")</f>
        <v>Unidad</v>
      </c>
      <c r="D2450" s="39">
        <v>106</v>
      </c>
      <c r="E2450" s="42">
        <v>146.85</v>
      </c>
      <c r="F2450" s="41">
        <f t="shared" ca="1" si="92"/>
        <v>15566.099999999999</v>
      </c>
    </row>
    <row r="2451" spans="1:6" ht="14.25" customHeight="1" x14ac:dyDescent="0.35">
      <c r="A2451" s="39" t="s">
        <v>2312</v>
      </c>
      <c r="B2451" s="40" t="str">
        <f t="shared" ca="1" si="95"/>
        <v>Conectores de cables eléctricos</v>
      </c>
      <c r="C2451" s="72" t="str">
        <f>IFERROR(VLOOKUP("UD",'Informacion '!P:Q,2,FALSE),"")</f>
        <v>Unidad</v>
      </c>
      <c r="D2451" s="39">
        <v>12</v>
      </c>
      <c r="E2451" s="42">
        <v>119.94</v>
      </c>
      <c r="F2451" s="41">
        <f t="shared" ca="1" si="92"/>
        <v>1439.28</v>
      </c>
    </row>
    <row r="2452" spans="1:6" ht="14.25" customHeight="1" x14ac:dyDescent="0.35">
      <c r="A2452" s="39" t="s">
        <v>2312</v>
      </c>
      <c r="B2452" s="40" t="str">
        <f t="shared" ca="1" si="95"/>
        <v>Conectores de cables eléctricos</v>
      </c>
      <c r="C2452" s="72" t="str">
        <f>IFERROR(VLOOKUP("UD",'Informacion '!P:Q,2,FALSE),"")</f>
        <v>Unidad</v>
      </c>
      <c r="D2452" s="39">
        <v>10</v>
      </c>
      <c r="E2452" s="42">
        <v>146.85</v>
      </c>
      <c r="F2452" s="41">
        <f t="shared" ca="1" si="92"/>
        <v>1468.5</v>
      </c>
    </row>
    <row r="2453" spans="1:6" ht="14.25" customHeight="1" x14ac:dyDescent="0.35">
      <c r="A2453" s="39" t="s">
        <v>2312</v>
      </c>
      <c r="B2453" s="40" t="str">
        <f t="shared" ca="1" si="95"/>
        <v>Conectores de cables eléctricos</v>
      </c>
      <c r="C2453" s="72" t="str">
        <f>IFERROR(VLOOKUP("UD",'Informacion '!P:Q,2,FALSE),"")</f>
        <v>Unidad</v>
      </c>
      <c r="D2453" s="39">
        <v>12</v>
      </c>
      <c r="E2453" s="42">
        <v>225</v>
      </c>
      <c r="F2453" s="41">
        <f t="shared" ca="1" si="92"/>
        <v>2700</v>
      </c>
    </row>
    <row r="2454" spans="1:6" ht="14.25" customHeight="1" x14ac:dyDescent="0.35">
      <c r="A2454" s="39" t="s">
        <v>2312</v>
      </c>
      <c r="B2454" s="40" t="str">
        <f t="shared" ca="1" si="95"/>
        <v>Conectores de cables eléctricos</v>
      </c>
      <c r="C2454" s="72" t="str">
        <f>IFERROR(VLOOKUP("UD",'Informacion '!P:Q,2,FALSE),"")</f>
        <v>Unidad</v>
      </c>
      <c r="D2454" s="39">
        <v>9</v>
      </c>
      <c r="E2454" s="42">
        <v>105.55</v>
      </c>
      <c r="F2454" s="41">
        <f t="shared" ca="1" si="92"/>
        <v>949.94999999999993</v>
      </c>
    </row>
    <row r="2455" spans="1:6" ht="14.25" customHeight="1" x14ac:dyDescent="0.35">
      <c r="A2455" s="39" t="s">
        <v>2312</v>
      </c>
      <c r="B2455" s="40" t="str">
        <f t="shared" ca="1" si="95"/>
        <v>Conectores de cables eléctricos</v>
      </c>
      <c r="C2455" s="72" t="str">
        <f>IFERROR(VLOOKUP("UD",'Informacion '!P:Q,2,FALSE),"")</f>
        <v>Unidad</v>
      </c>
      <c r="D2455" s="39">
        <v>3</v>
      </c>
      <c r="E2455" s="42">
        <v>193.46</v>
      </c>
      <c r="F2455" s="41">
        <f t="shared" ca="1" si="92"/>
        <v>580.38</v>
      </c>
    </row>
    <row r="2456" spans="1:6" ht="14.25" customHeight="1" x14ac:dyDescent="0.35">
      <c r="A2456" s="39" t="s">
        <v>2312</v>
      </c>
      <c r="B2456" s="40" t="str">
        <f t="shared" ca="1" si="95"/>
        <v>Conectores de cables eléctricos</v>
      </c>
      <c r="C2456" s="72" t="str">
        <f>IFERROR(VLOOKUP("UD",'Informacion '!P:Q,2,FALSE),"")</f>
        <v>Unidad</v>
      </c>
      <c r="D2456" s="39">
        <v>1</v>
      </c>
      <c r="E2456" s="42">
        <v>595</v>
      </c>
      <c r="F2456" s="41">
        <f t="shared" ca="1" si="92"/>
        <v>595</v>
      </c>
    </row>
    <row r="2457" spans="1:6" ht="14.25" customHeight="1" x14ac:dyDescent="0.35">
      <c r="A2457" s="39" t="s">
        <v>2312</v>
      </c>
      <c r="B2457" s="40" t="str">
        <f t="shared" ca="1" si="95"/>
        <v>Conectores de cables eléctricos</v>
      </c>
      <c r="C2457" s="72" t="str">
        <f>IFERROR(VLOOKUP("UD",'Informacion '!P:Q,2,FALSE),"")</f>
        <v>Unidad</v>
      </c>
      <c r="D2457" s="39">
        <v>4</v>
      </c>
      <c r="E2457" s="42">
        <v>86.37</v>
      </c>
      <c r="F2457" s="41">
        <f t="shared" ca="1" si="92"/>
        <v>345.48</v>
      </c>
    </row>
    <row r="2458" spans="1:6" ht="14.25" customHeight="1" x14ac:dyDescent="0.35">
      <c r="A2458" s="39" t="s">
        <v>2312</v>
      </c>
      <c r="B2458" s="40" t="str">
        <f t="shared" ca="1" si="95"/>
        <v>Conectores de cables eléctricos</v>
      </c>
      <c r="C2458" s="72" t="str">
        <f>IFERROR(VLOOKUP("UD",'Informacion '!P:Q,2,FALSE),"")</f>
        <v>Unidad</v>
      </c>
      <c r="D2458" s="39">
        <v>26</v>
      </c>
      <c r="E2458" s="42">
        <v>146.85</v>
      </c>
      <c r="F2458" s="41">
        <f t="shared" ca="1" si="92"/>
        <v>3818.1</v>
      </c>
    </row>
    <row r="2459" spans="1:6" ht="14.25" customHeight="1" x14ac:dyDescent="0.35">
      <c r="A2459" s="39" t="s">
        <v>2312</v>
      </c>
      <c r="B2459" s="40" t="str">
        <f t="shared" ca="1" si="95"/>
        <v>Conectores de cables eléctricos</v>
      </c>
      <c r="C2459" s="72" t="str">
        <f>IFERROR(VLOOKUP("UD",'Informacion '!P:Q,2,FALSE),"")</f>
        <v>Unidad</v>
      </c>
      <c r="D2459" s="39">
        <v>5</v>
      </c>
      <c r="E2459" s="42">
        <v>225</v>
      </c>
      <c r="F2459" s="41">
        <f t="shared" ca="1" si="92"/>
        <v>1125</v>
      </c>
    </row>
    <row r="2460" spans="1:6" ht="14.25" customHeight="1" x14ac:dyDescent="0.35">
      <c r="A2460" s="39" t="s">
        <v>2312</v>
      </c>
      <c r="B2460" s="40" t="str">
        <f t="shared" ca="1" si="95"/>
        <v>Conectores de cables eléctricos</v>
      </c>
      <c r="C2460" s="72" t="str">
        <f>IFERROR(VLOOKUP("UD",'Informacion '!P:Q,2,FALSE),"")</f>
        <v>Unidad</v>
      </c>
      <c r="D2460" s="39">
        <v>8</v>
      </c>
      <c r="E2460" s="42">
        <v>105.55</v>
      </c>
      <c r="F2460" s="41">
        <f t="shared" ca="1" si="92"/>
        <v>844.4</v>
      </c>
    </row>
    <row r="2461" spans="1:6" ht="14.25" customHeight="1" x14ac:dyDescent="0.35">
      <c r="A2461" s="39" t="s">
        <v>2312</v>
      </c>
      <c r="B2461" s="40" t="str">
        <f t="shared" ca="1" si="95"/>
        <v>Conectores de cables eléctricos</v>
      </c>
      <c r="C2461" s="72" t="str">
        <f>IFERROR(VLOOKUP("UD",'Informacion '!P:Q,2,FALSE),"")</f>
        <v>Unidad</v>
      </c>
      <c r="D2461" s="39">
        <v>1</v>
      </c>
      <c r="E2461" s="42">
        <v>595</v>
      </c>
      <c r="F2461" s="41">
        <f t="shared" ca="1" si="92"/>
        <v>595</v>
      </c>
    </row>
    <row r="2462" spans="1:6" ht="14.25" customHeight="1" x14ac:dyDescent="0.35">
      <c r="A2462" s="39" t="s">
        <v>2312</v>
      </c>
      <c r="B2462" s="40" t="str">
        <f t="shared" ca="1" si="95"/>
        <v>Conectores de cables eléctricos</v>
      </c>
      <c r="C2462" s="72" t="str">
        <f>IFERROR(VLOOKUP("UD",'Informacion '!P:Q,2,FALSE),"")</f>
        <v>Unidad</v>
      </c>
      <c r="D2462" s="39">
        <v>3</v>
      </c>
      <c r="E2462" s="42">
        <v>86.37</v>
      </c>
      <c r="F2462" s="41">
        <f t="shared" ca="1" si="92"/>
        <v>259.11</v>
      </c>
    </row>
    <row r="2463" spans="1:6" ht="14.25" customHeight="1" x14ac:dyDescent="0.35">
      <c r="A2463" s="39" t="s">
        <v>2312</v>
      </c>
      <c r="B2463" s="40" t="str">
        <f t="shared" ca="1" si="95"/>
        <v>Conectores de cables eléctricos</v>
      </c>
      <c r="C2463" s="72" t="str">
        <f>IFERROR(VLOOKUP("UD",'Informacion '!P:Q,2,FALSE),"")</f>
        <v>Unidad</v>
      </c>
      <c r="D2463" s="39">
        <v>60</v>
      </c>
      <c r="E2463" s="42">
        <v>119.94</v>
      </c>
      <c r="F2463" s="41">
        <f t="shared" ca="1" si="92"/>
        <v>7196.4</v>
      </c>
    </row>
    <row r="2464" spans="1:6" ht="14.25" customHeight="1" x14ac:dyDescent="0.35">
      <c r="A2464" s="39" t="s">
        <v>2312</v>
      </c>
      <c r="B2464" s="40" t="str">
        <f t="shared" ca="1" si="95"/>
        <v>Conectores de cables eléctricos</v>
      </c>
      <c r="C2464" s="72" t="str">
        <f>IFERROR(VLOOKUP("UD",'Informacion '!P:Q,2,FALSE),"")</f>
        <v>Unidad</v>
      </c>
      <c r="D2464" s="39">
        <v>16</v>
      </c>
      <c r="E2464" s="42">
        <v>146.85</v>
      </c>
      <c r="F2464" s="41">
        <f t="shared" ca="1" si="92"/>
        <v>2349.6</v>
      </c>
    </row>
    <row r="2465" spans="1:6" ht="14.25" customHeight="1" x14ac:dyDescent="0.35">
      <c r="A2465" s="39" t="s">
        <v>2312</v>
      </c>
      <c r="B2465" s="40" t="str">
        <f t="shared" ca="1" si="95"/>
        <v>Conectores de cables eléctricos</v>
      </c>
      <c r="C2465" s="72" t="str">
        <f>IFERROR(VLOOKUP("UD",'Informacion '!P:Q,2,FALSE),"")</f>
        <v>Unidad</v>
      </c>
      <c r="D2465" s="39">
        <v>15</v>
      </c>
      <c r="E2465" s="42">
        <v>225</v>
      </c>
      <c r="F2465" s="41">
        <f t="shared" ca="1" si="92"/>
        <v>3375</v>
      </c>
    </row>
    <row r="2466" spans="1:6" ht="14.25" customHeight="1" x14ac:dyDescent="0.35">
      <c r="A2466" s="39" t="s">
        <v>2312</v>
      </c>
      <c r="B2466" s="40" t="str">
        <f t="shared" ca="1" si="95"/>
        <v>Conectores de cables eléctricos</v>
      </c>
      <c r="C2466" s="72" t="str">
        <f>IFERROR(VLOOKUP("UD",'Informacion '!P:Q,2,FALSE),"")</f>
        <v>Unidad</v>
      </c>
      <c r="D2466" s="39">
        <v>9</v>
      </c>
      <c r="E2466" s="42">
        <v>105.55</v>
      </c>
      <c r="F2466" s="41">
        <f t="shared" ca="1" si="92"/>
        <v>949.94999999999993</v>
      </c>
    </row>
    <row r="2467" spans="1:6" ht="14.25" customHeight="1" x14ac:dyDescent="0.35">
      <c r="A2467" s="39" t="s">
        <v>2312</v>
      </c>
      <c r="B2467" s="40" t="str">
        <f t="shared" ca="1" si="95"/>
        <v>Conectores de cables eléctricos</v>
      </c>
      <c r="C2467" s="72" t="str">
        <f>IFERROR(VLOOKUP("UD",'Informacion '!P:Q,2,FALSE),"")</f>
        <v>Unidad</v>
      </c>
      <c r="D2467" s="39">
        <v>4</v>
      </c>
      <c r="E2467" s="42">
        <v>193.46</v>
      </c>
      <c r="F2467" s="41">
        <f t="shared" ref="F2467:F2530" ca="1" si="96">INDIRECT(ADDRESS(ROW(),COLUMN()-2,4))*INDIRECT(ADDRESS(ROW(),COLUMN()-1,4))</f>
        <v>773.84</v>
      </c>
    </row>
    <row r="2468" spans="1:6" ht="14.25" customHeight="1" x14ac:dyDescent="0.35">
      <c r="A2468" s="39" t="s">
        <v>2312</v>
      </c>
      <c r="B2468" s="40" t="str">
        <f t="shared" ref="B2468:B2491" ca="1" si="97">IFERROR(INDEX(UNSPSCDes,MATCH(INDIRECT(ADDRESS(ROW(),COLUMN()-1,4)),UNSPSCCode,0)),IF(INDIRECT(ADDRESS(ROW(),COLUMN()-1,4))="39121409","Conectores de cables eléctricos",""))</f>
        <v>Conectores de cables eléctricos</v>
      </c>
      <c r="C2468" s="72" t="str">
        <f>IFERROR(VLOOKUP("UD",'Informacion '!P:Q,2,FALSE),"")</f>
        <v>Unidad</v>
      </c>
      <c r="D2468" s="39">
        <v>1</v>
      </c>
      <c r="E2468" s="42">
        <v>595</v>
      </c>
      <c r="F2468" s="41">
        <f t="shared" ca="1" si="96"/>
        <v>595</v>
      </c>
    </row>
    <row r="2469" spans="1:6" ht="14.25" customHeight="1" x14ac:dyDescent="0.35">
      <c r="A2469" s="39" t="s">
        <v>2312</v>
      </c>
      <c r="B2469" s="40" t="str">
        <f t="shared" ca="1" si="97"/>
        <v>Conectores de cables eléctricos</v>
      </c>
      <c r="C2469" s="72" t="str">
        <f>IFERROR(VLOOKUP("UD",'Informacion '!P:Q,2,FALSE),"")</f>
        <v>Unidad</v>
      </c>
      <c r="D2469" s="39">
        <v>6</v>
      </c>
      <c r="E2469" s="42">
        <v>86.37</v>
      </c>
      <c r="F2469" s="41">
        <f t="shared" ca="1" si="96"/>
        <v>518.22</v>
      </c>
    </row>
    <row r="2470" spans="1:6" ht="14.25" customHeight="1" x14ac:dyDescent="0.35">
      <c r="A2470" s="39" t="s">
        <v>2312</v>
      </c>
      <c r="B2470" s="40" t="str">
        <f t="shared" ca="1" si="97"/>
        <v>Conectores de cables eléctricos</v>
      </c>
      <c r="C2470" s="72" t="str">
        <f>IFERROR(VLOOKUP("UD",'Informacion '!P:Q,2,FALSE),"")</f>
        <v>Unidad</v>
      </c>
      <c r="D2470" s="39">
        <v>10</v>
      </c>
      <c r="E2470" s="42">
        <v>146.82</v>
      </c>
      <c r="F2470" s="41">
        <f t="shared" ca="1" si="96"/>
        <v>1468.1999999999998</v>
      </c>
    </row>
    <row r="2471" spans="1:6" ht="14.25" customHeight="1" x14ac:dyDescent="0.35">
      <c r="A2471" s="39" t="s">
        <v>2312</v>
      </c>
      <c r="B2471" s="40" t="str">
        <f t="shared" ca="1" si="97"/>
        <v>Conectores de cables eléctricos</v>
      </c>
      <c r="C2471" s="72" t="str">
        <f>IFERROR(VLOOKUP("UD",'Informacion '!P:Q,2,FALSE),"")</f>
        <v>Unidad</v>
      </c>
      <c r="D2471" s="39">
        <v>16</v>
      </c>
      <c r="E2471" s="42">
        <v>290</v>
      </c>
      <c r="F2471" s="41">
        <f t="shared" ca="1" si="96"/>
        <v>4640</v>
      </c>
    </row>
    <row r="2472" spans="1:6" ht="14.25" customHeight="1" x14ac:dyDescent="0.35">
      <c r="A2472" s="39" t="s">
        <v>2312</v>
      </c>
      <c r="B2472" s="40" t="str">
        <f t="shared" ca="1" si="97"/>
        <v>Conectores de cables eléctricos</v>
      </c>
      <c r="C2472" s="72" t="str">
        <f>IFERROR(VLOOKUP("UD",'Informacion '!P:Q,2,FALSE),"")</f>
        <v>Unidad</v>
      </c>
      <c r="D2472" s="39">
        <v>2</v>
      </c>
      <c r="E2472" s="42">
        <v>106.2</v>
      </c>
      <c r="F2472" s="41">
        <f t="shared" ca="1" si="96"/>
        <v>212.4</v>
      </c>
    </row>
    <row r="2473" spans="1:6" ht="14.25" customHeight="1" x14ac:dyDescent="0.35">
      <c r="A2473" s="39" t="s">
        <v>2312</v>
      </c>
      <c r="B2473" s="40" t="str">
        <f t="shared" ca="1" si="97"/>
        <v>Conectores de cables eléctricos</v>
      </c>
      <c r="C2473" s="72" t="str">
        <f>IFERROR(VLOOKUP("UD",'Informacion '!P:Q,2,FALSE),"")</f>
        <v>Unidad</v>
      </c>
      <c r="D2473" s="39">
        <v>20</v>
      </c>
      <c r="E2473" s="42">
        <v>290</v>
      </c>
      <c r="F2473" s="41">
        <f t="shared" ca="1" si="96"/>
        <v>5800</v>
      </c>
    </row>
    <row r="2474" spans="1:6" ht="14.25" customHeight="1" x14ac:dyDescent="0.35">
      <c r="A2474" s="39" t="s">
        <v>2312</v>
      </c>
      <c r="B2474" s="40" t="str">
        <f t="shared" ca="1" si="97"/>
        <v>Conectores de cables eléctricos</v>
      </c>
      <c r="C2474" s="72" t="str">
        <f>IFERROR(VLOOKUP("UD",'Informacion '!P:Q,2,FALSE),"")</f>
        <v>Unidad</v>
      </c>
      <c r="D2474" s="39">
        <v>2</v>
      </c>
      <c r="E2474" s="42">
        <v>106.2</v>
      </c>
      <c r="F2474" s="41">
        <f t="shared" ca="1" si="96"/>
        <v>212.4</v>
      </c>
    </row>
    <row r="2475" spans="1:6" ht="14.25" customHeight="1" x14ac:dyDescent="0.35">
      <c r="A2475" s="39" t="s">
        <v>2312</v>
      </c>
      <c r="B2475" s="40" t="str">
        <f t="shared" ca="1" si="97"/>
        <v>Conectores de cables eléctricos</v>
      </c>
      <c r="C2475" s="72" t="str">
        <f>IFERROR(VLOOKUP("UD",'Informacion '!P:Q,2,FALSE),"")</f>
        <v>Unidad</v>
      </c>
      <c r="D2475" s="39">
        <v>20</v>
      </c>
      <c r="E2475" s="42">
        <v>290</v>
      </c>
      <c r="F2475" s="41">
        <f t="shared" ca="1" si="96"/>
        <v>5800</v>
      </c>
    </row>
    <row r="2476" spans="1:6" ht="14.25" customHeight="1" x14ac:dyDescent="0.35">
      <c r="A2476" s="39" t="s">
        <v>2312</v>
      </c>
      <c r="B2476" s="40" t="str">
        <f t="shared" ca="1" si="97"/>
        <v>Conectores de cables eléctricos</v>
      </c>
      <c r="C2476" s="72" t="str">
        <f>IFERROR(VLOOKUP("UD",'Informacion '!P:Q,2,FALSE),"")</f>
        <v>Unidad</v>
      </c>
      <c r="D2476" s="39">
        <v>2</v>
      </c>
      <c r="E2476" s="42">
        <v>106.2</v>
      </c>
      <c r="F2476" s="41">
        <f t="shared" ca="1" si="96"/>
        <v>212.4</v>
      </c>
    </row>
    <row r="2477" spans="1:6" ht="14.25" customHeight="1" x14ac:dyDescent="0.35">
      <c r="A2477" s="39" t="s">
        <v>2312</v>
      </c>
      <c r="B2477" s="40" t="str">
        <f t="shared" ca="1" si="97"/>
        <v>Conectores de cables eléctricos</v>
      </c>
      <c r="C2477" s="72" t="str">
        <f>IFERROR(VLOOKUP("UD",'Informacion '!P:Q,2,FALSE),"")</f>
        <v>Unidad</v>
      </c>
      <c r="D2477" s="39">
        <v>600</v>
      </c>
      <c r="E2477" s="42">
        <v>16.96</v>
      </c>
      <c r="F2477" s="41">
        <f t="shared" ca="1" si="96"/>
        <v>10176</v>
      </c>
    </row>
    <row r="2478" spans="1:6" ht="14.25" customHeight="1" x14ac:dyDescent="0.35">
      <c r="A2478" s="39" t="s">
        <v>2312</v>
      </c>
      <c r="B2478" s="40" t="str">
        <f t="shared" ca="1" si="97"/>
        <v>Conectores de cables eléctricos</v>
      </c>
      <c r="C2478" s="72" t="str">
        <f>IFERROR(VLOOKUP("UD",'Informacion '!P:Q,2,FALSE),"")</f>
        <v>Unidad</v>
      </c>
      <c r="D2478" s="39">
        <v>100</v>
      </c>
      <c r="E2478" s="42">
        <v>59</v>
      </c>
      <c r="F2478" s="41">
        <f t="shared" ca="1" si="96"/>
        <v>5900</v>
      </c>
    </row>
    <row r="2479" spans="1:6" ht="14.25" customHeight="1" x14ac:dyDescent="0.35">
      <c r="A2479" s="39" t="s">
        <v>2312</v>
      </c>
      <c r="B2479" s="40" t="str">
        <f t="shared" ca="1" si="97"/>
        <v>Conectores de cables eléctricos</v>
      </c>
      <c r="C2479" s="72" t="str">
        <f>IFERROR(VLOOKUP("UD",'Informacion '!P:Q,2,FALSE),"")</f>
        <v>Unidad</v>
      </c>
      <c r="D2479" s="39">
        <v>200</v>
      </c>
      <c r="E2479" s="42">
        <v>224.2</v>
      </c>
      <c r="F2479" s="41">
        <f t="shared" ca="1" si="96"/>
        <v>44840</v>
      </c>
    </row>
    <row r="2480" spans="1:6" ht="14.25" customHeight="1" x14ac:dyDescent="0.35">
      <c r="A2480" s="39" t="s">
        <v>2312</v>
      </c>
      <c r="B2480" s="40" t="str">
        <f t="shared" ca="1" si="97"/>
        <v>Conectores de cables eléctricos</v>
      </c>
      <c r="C2480" s="72" t="str">
        <f>IFERROR(VLOOKUP("UD",'Informacion '!P:Q,2,FALSE),"")</f>
        <v>Unidad</v>
      </c>
      <c r="D2480" s="39">
        <v>600</v>
      </c>
      <c r="E2480" s="42">
        <v>16.96</v>
      </c>
      <c r="F2480" s="41">
        <f t="shared" ca="1" si="96"/>
        <v>10176</v>
      </c>
    </row>
    <row r="2481" spans="1:6" ht="14.25" customHeight="1" x14ac:dyDescent="0.35">
      <c r="A2481" s="39" t="s">
        <v>2312</v>
      </c>
      <c r="B2481" s="40" t="str">
        <f t="shared" ca="1" si="97"/>
        <v>Conectores de cables eléctricos</v>
      </c>
      <c r="C2481" s="72" t="str">
        <f>IFERROR(VLOOKUP("UD",'Informacion '!P:Q,2,FALSE),"")</f>
        <v>Unidad</v>
      </c>
      <c r="D2481" s="39">
        <v>100</v>
      </c>
      <c r="E2481" s="42">
        <v>59</v>
      </c>
      <c r="F2481" s="41">
        <f t="shared" ca="1" si="96"/>
        <v>5900</v>
      </c>
    </row>
    <row r="2482" spans="1:6" ht="14.25" customHeight="1" x14ac:dyDescent="0.35">
      <c r="A2482" s="39" t="s">
        <v>2312</v>
      </c>
      <c r="B2482" s="40" t="str">
        <f t="shared" ca="1" si="97"/>
        <v>Conectores de cables eléctricos</v>
      </c>
      <c r="C2482" s="72" t="str">
        <f>IFERROR(VLOOKUP("UD",'Informacion '!P:Q,2,FALSE),"")</f>
        <v>Unidad</v>
      </c>
      <c r="D2482" s="39">
        <v>200</v>
      </c>
      <c r="E2482" s="42">
        <v>224.2</v>
      </c>
      <c r="F2482" s="41">
        <f t="shared" ca="1" si="96"/>
        <v>44840</v>
      </c>
    </row>
    <row r="2483" spans="1:6" ht="14.25" customHeight="1" x14ac:dyDescent="0.35">
      <c r="A2483" s="39" t="s">
        <v>2312</v>
      </c>
      <c r="B2483" s="40" t="str">
        <f t="shared" ca="1" si="97"/>
        <v>Conectores de cables eléctricos</v>
      </c>
      <c r="C2483" s="72" t="str">
        <f>IFERROR(VLOOKUP("UD",'Informacion '!P:Q,2,FALSE),"")</f>
        <v>Unidad</v>
      </c>
      <c r="D2483" s="39">
        <v>600</v>
      </c>
      <c r="E2483" s="42">
        <v>16.96</v>
      </c>
      <c r="F2483" s="41">
        <f t="shared" ca="1" si="96"/>
        <v>10176</v>
      </c>
    </row>
    <row r="2484" spans="1:6" ht="14.25" customHeight="1" x14ac:dyDescent="0.35">
      <c r="A2484" s="39" t="s">
        <v>2312</v>
      </c>
      <c r="B2484" s="40" t="str">
        <f t="shared" ca="1" si="97"/>
        <v>Conectores de cables eléctricos</v>
      </c>
      <c r="C2484" s="72" t="str">
        <f>IFERROR(VLOOKUP("UD",'Informacion '!P:Q,2,FALSE),"")</f>
        <v>Unidad</v>
      </c>
      <c r="D2484" s="39">
        <v>100</v>
      </c>
      <c r="E2484" s="42">
        <v>59</v>
      </c>
      <c r="F2484" s="41">
        <f t="shared" ca="1" si="96"/>
        <v>5900</v>
      </c>
    </row>
    <row r="2485" spans="1:6" ht="14.25" customHeight="1" x14ac:dyDescent="0.35">
      <c r="A2485" s="39" t="s">
        <v>2312</v>
      </c>
      <c r="B2485" s="40" t="str">
        <f t="shared" ca="1" si="97"/>
        <v>Conectores de cables eléctricos</v>
      </c>
      <c r="C2485" s="72" t="str">
        <f>IFERROR(VLOOKUP("UD",'Informacion '!P:Q,2,FALSE),"")</f>
        <v>Unidad</v>
      </c>
      <c r="D2485" s="39">
        <v>200</v>
      </c>
      <c r="E2485" s="42">
        <v>224.2</v>
      </c>
      <c r="F2485" s="41">
        <f t="shared" ca="1" si="96"/>
        <v>44840</v>
      </c>
    </row>
    <row r="2486" spans="1:6" ht="14.25" customHeight="1" x14ac:dyDescent="0.35">
      <c r="A2486" s="39" t="s">
        <v>2312</v>
      </c>
      <c r="B2486" s="40" t="str">
        <f t="shared" ca="1" si="97"/>
        <v>Conectores de cables eléctricos</v>
      </c>
      <c r="C2486" s="72" t="str">
        <f>IFERROR(VLOOKUP("UD",'Informacion '!P:Q,2,FALSE),"")</f>
        <v>Unidad</v>
      </c>
      <c r="D2486" s="39">
        <v>870</v>
      </c>
      <c r="E2486" s="42">
        <v>16.96</v>
      </c>
      <c r="F2486" s="41">
        <f t="shared" ca="1" si="96"/>
        <v>14755.2</v>
      </c>
    </row>
    <row r="2487" spans="1:6" ht="14.25" customHeight="1" x14ac:dyDescent="0.35">
      <c r="A2487" s="39" t="s">
        <v>2312</v>
      </c>
      <c r="B2487" s="40" t="str">
        <f t="shared" ca="1" si="97"/>
        <v>Conectores de cables eléctricos</v>
      </c>
      <c r="C2487" s="72" t="str">
        <f>IFERROR(VLOOKUP("UD",'Informacion '!P:Q,2,FALSE),"")</f>
        <v>Unidad</v>
      </c>
      <c r="D2487" s="39">
        <v>145</v>
      </c>
      <c r="E2487" s="42">
        <v>59</v>
      </c>
      <c r="F2487" s="41">
        <f t="shared" ca="1" si="96"/>
        <v>8555</v>
      </c>
    </row>
    <row r="2488" spans="1:6" ht="14.25" customHeight="1" x14ac:dyDescent="0.35">
      <c r="A2488" s="39" t="s">
        <v>2312</v>
      </c>
      <c r="B2488" s="40" t="str">
        <f t="shared" ca="1" si="97"/>
        <v>Conectores de cables eléctricos</v>
      </c>
      <c r="C2488" s="72" t="str">
        <f>IFERROR(VLOOKUP("UD",'Informacion '!P:Q,2,FALSE),"")</f>
        <v>Unidad</v>
      </c>
      <c r="D2488" s="39">
        <v>290</v>
      </c>
      <c r="E2488" s="42">
        <v>224.2</v>
      </c>
      <c r="F2488" s="41">
        <f t="shared" ca="1" si="96"/>
        <v>65018</v>
      </c>
    </row>
    <row r="2489" spans="1:6" ht="14.25" customHeight="1" x14ac:dyDescent="0.35">
      <c r="A2489" s="39" t="s">
        <v>2312</v>
      </c>
      <c r="B2489" s="40" t="str">
        <f t="shared" ca="1" si="97"/>
        <v>Conectores de cables eléctricos</v>
      </c>
      <c r="C2489" s="72" t="str">
        <f>IFERROR(VLOOKUP("UD",'Informacion '!P:Q,2,FALSE),"")</f>
        <v>Unidad</v>
      </c>
      <c r="D2489" s="39">
        <v>1200</v>
      </c>
      <c r="E2489" s="42">
        <v>16.96</v>
      </c>
      <c r="F2489" s="41">
        <f t="shared" ca="1" si="96"/>
        <v>20352</v>
      </c>
    </row>
    <row r="2490" spans="1:6" ht="14.25" customHeight="1" x14ac:dyDescent="0.35">
      <c r="A2490" s="39" t="s">
        <v>2312</v>
      </c>
      <c r="B2490" s="40" t="str">
        <f t="shared" ca="1" si="97"/>
        <v>Conectores de cables eléctricos</v>
      </c>
      <c r="C2490" s="72" t="str">
        <f>IFERROR(VLOOKUP("UD",'Informacion '!P:Q,2,FALSE),"")</f>
        <v>Unidad</v>
      </c>
      <c r="D2490" s="39">
        <v>200</v>
      </c>
      <c r="E2490" s="42">
        <v>59</v>
      </c>
      <c r="F2490" s="41">
        <f t="shared" ca="1" si="96"/>
        <v>11800</v>
      </c>
    </row>
    <row r="2491" spans="1:6" ht="14.25" customHeight="1" x14ac:dyDescent="0.35">
      <c r="A2491" s="39" t="s">
        <v>2312</v>
      </c>
      <c r="B2491" s="40" t="str">
        <f t="shared" ca="1" si="97"/>
        <v>Conectores de cables eléctricos</v>
      </c>
      <c r="C2491" s="72" t="str">
        <f>IFERROR(VLOOKUP("UD",'Informacion '!P:Q,2,FALSE),"")</f>
        <v>Unidad</v>
      </c>
      <c r="D2491" s="39">
        <v>400</v>
      </c>
      <c r="E2491" s="42">
        <v>224.2</v>
      </c>
      <c r="F2491" s="41">
        <f t="shared" ca="1" si="96"/>
        <v>89680</v>
      </c>
    </row>
    <row r="2492" spans="1:6" ht="14.25" customHeight="1" x14ac:dyDescent="0.35">
      <c r="A2492" s="39" t="s">
        <v>18047</v>
      </c>
      <c r="B2492" s="40" t="str">
        <f ca="1">IFERROR(INDEX(UNSPSCDes,MATCH(INDIRECT(ADDRESS(ROW(),COLUMN()-1,4)),UNSPSCCode,0)),IF(INDIRECT(ADDRESS(ROW(),COLUMN()-1,4))="39121435","Hilos o cables de conexión",""))</f>
        <v>Hilos o cables de conexión</v>
      </c>
      <c r="C2492" s="72" t="str">
        <f>IFERROR(VLOOKUP("UD",'Informacion '!P:Q,2,FALSE),"")</f>
        <v>Unidad</v>
      </c>
      <c r="D2492" s="39">
        <v>10</v>
      </c>
      <c r="E2492" s="42">
        <v>2612</v>
      </c>
      <c r="F2492" s="41">
        <f t="shared" ca="1" si="96"/>
        <v>26120</v>
      </c>
    </row>
    <row r="2493" spans="1:6" ht="14.25" customHeight="1" x14ac:dyDescent="0.35">
      <c r="A2493" s="39" t="s">
        <v>13431</v>
      </c>
      <c r="B2493" s="40" t="str">
        <f ca="1">IFERROR(INDEX(UNSPSCDes,MATCH(INDIRECT(ADDRESS(ROW(),COLUMN()-1,4)),UNSPSCCode,0)),IF(INDIRECT(ADDRESS(ROW(),COLUMN()-1,4))="39121507","Interruptores de volquete",""))</f>
        <v>Interruptores de volquete</v>
      </c>
      <c r="C2493" s="72" t="str">
        <f>IFERROR(VLOOKUP("UD",'Informacion '!P:Q,2,FALSE),"")</f>
        <v>Unidad</v>
      </c>
      <c r="D2493" s="39">
        <v>100</v>
      </c>
      <c r="E2493" s="42">
        <v>165.06</v>
      </c>
      <c r="F2493" s="41">
        <f t="shared" ca="1" si="96"/>
        <v>16506</v>
      </c>
    </row>
    <row r="2494" spans="1:6" ht="14.25" customHeight="1" x14ac:dyDescent="0.35">
      <c r="A2494" s="39" t="s">
        <v>13431</v>
      </c>
      <c r="B2494" s="40" t="str">
        <f ca="1">IFERROR(INDEX(UNSPSCDes,MATCH(INDIRECT(ADDRESS(ROW(),COLUMN()-1,4)),UNSPSCCode,0)),IF(INDIRECT(ADDRESS(ROW(),COLUMN()-1,4))="39121507","Interruptores de volquete",""))</f>
        <v>Interruptores de volquete</v>
      </c>
      <c r="C2494" s="72" t="str">
        <f>IFERROR(VLOOKUP("UD",'Informacion '!P:Q,2,FALSE),"")</f>
        <v>Unidad</v>
      </c>
      <c r="D2494" s="39">
        <v>50</v>
      </c>
      <c r="E2494" s="42">
        <v>80.28</v>
      </c>
      <c r="F2494" s="41">
        <f t="shared" ca="1" si="96"/>
        <v>4014</v>
      </c>
    </row>
    <row r="2495" spans="1:6" ht="14.25" customHeight="1" x14ac:dyDescent="0.35">
      <c r="A2495" s="39" t="s">
        <v>2258</v>
      </c>
      <c r="B2495" s="40" t="str">
        <f ca="1">IFERROR(INDEX(UNSPSCDes,MATCH(INDIRECT(ADDRESS(ROW(),COLUMN()-1,4)),UNSPSCCode,0)),IF(INDIRECT(ADDRESS(ROW(),COLUMN()-1,4))="39121514","Relés de potencia",""))</f>
        <v>Relés de potencia</v>
      </c>
      <c r="C2495" s="72" t="str">
        <f>IFERROR(VLOOKUP("UD",'Informacion '!P:Q,2,FALSE),"")</f>
        <v>Unidad</v>
      </c>
      <c r="D2495" s="39">
        <v>20</v>
      </c>
      <c r="E2495" s="42">
        <v>637</v>
      </c>
      <c r="F2495" s="41">
        <f t="shared" ca="1" si="96"/>
        <v>12740</v>
      </c>
    </row>
    <row r="2496" spans="1:6" ht="14.25" customHeight="1" x14ac:dyDescent="0.35">
      <c r="A2496" s="39" t="s">
        <v>8310</v>
      </c>
      <c r="B2496" s="40" t="str">
        <f t="shared" ref="B2496:B2511" ca="1" si="98">IFERROR(INDEX(UNSPSCDes,MATCH(INDIRECT(ADDRESS(ROW(),COLUMN()-1,4)),UNSPSCCode,0)),IF(INDIRECT(ADDRESS(ROW(),COLUMN()-1,4))="39121522","Contactos eléctricos",""))</f>
        <v>Contactos eléctricos</v>
      </c>
      <c r="C2496" s="72" t="str">
        <f>IFERROR(VLOOKUP("UD",'Informacion '!P:Q,2,FALSE),"")</f>
        <v>Unidad</v>
      </c>
      <c r="D2496" s="39">
        <v>2</v>
      </c>
      <c r="E2496" s="42">
        <v>193.14</v>
      </c>
      <c r="F2496" s="41">
        <f t="shared" ca="1" si="96"/>
        <v>386.28</v>
      </c>
    </row>
    <row r="2497" spans="1:6" ht="14.25" customHeight="1" x14ac:dyDescent="0.35">
      <c r="A2497" s="39" t="s">
        <v>8310</v>
      </c>
      <c r="B2497" s="40" t="str">
        <f t="shared" ca="1" si="98"/>
        <v>Contactos eléctricos</v>
      </c>
      <c r="C2497" s="72" t="str">
        <f>IFERROR(VLOOKUP("UD",'Informacion '!P:Q,2,FALSE),"")</f>
        <v>Unidad</v>
      </c>
      <c r="D2497" s="39">
        <v>2</v>
      </c>
      <c r="E2497" s="42">
        <v>88.09</v>
      </c>
      <c r="F2497" s="41">
        <f t="shared" ca="1" si="96"/>
        <v>176.18</v>
      </c>
    </row>
    <row r="2498" spans="1:6" ht="14.25" customHeight="1" x14ac:dyDescent="0.35">
      <c r="A2498" s="39" t="s">
        <v>8310</v>
      </c>
      <c r="B2498" s="40" t="str">
        <f t="shared" ca="1" si="98"/>
        <v>Contactos eléctricos</v>
      </c>
      <c r="C2498" s="72" t="str">
        <f>IFERROR(VLOOKUP("UD",'Informacion '!P:Q,2,FALSE),"")</f>
        <v>Unidad</v>
      </c>
      <c r="D2498" s="39">
        <v>18</v>
      </c>
      <c r="E2498" s="42">
        <v>193.14</v>
      </c>
      <c r="F2498" s="41">
        <f t="shared" ca="1" si="96"/>
        <v>3476.5199999999995</v>
      </c>
    </row>
    <row r="2499" spans="1:6" ht="14.25" customHeight="1" x14ac:dyDescent="0.35">
      <c r="A2499" s="39" t="s">
        <v>8310</v>
      </c>
      <c r="B2499" s="40" t="str">
        <f t="shared" ca="1" si="98"/>
        <v>Contactos eléctricos</v>
      </c>
      <c r="C2499" s="72" t="str">
        <f>IFERROR(VLOOKUP("UD",'Informacion '!P:Q,2,FALSE),"")</f>
        <v>Unidad</v>
      </c>
      <c r="D2499" s="39">
        <v>12</v>
      </c>
      <c r="E2499" s="42">
        <v>88.09</v>
      </c>
      <c r="F2499" s="41">
        <f t="shared" ca="1" si="96"/>
        <v>1057.08</v>
      </c>
    </row>
    <row r="2500" spans="1:6" ht="14.25" customHeight="1" x14ac:dyDescent="0.35">
      <c r="A2500" s="39" t="s">
        <v>8310</v>
      </c>
      <c r="B2500" s="40" t="str">
        <f t="shared" ca="1" si="98"/>
        <v>Contactos eléctricos</v>
      </c>
      <c r="C2500" s="72" t="str">
        <f>IFERROR(VLOOKUP("UD",'Informacion '!P:Q,2,FALSE),"")</f>
        <v>Unidad</v>
      </c>
      <c r="D2500" s="39">
        <v>75</v>
      </c>
      <c r="E2500" s="42">
        <v>193.14</v>
      </c>
      <c r="F2500" s="41">
        <f t="shared" ca="1" si="96"/>
        <v>14485.499999999998</v>
      </c>
    </row>
    <row r="2501" spans="1:6" ht="14.25" customHeight="1" x14ac:dyDescent="0.35">
      <c r="A2501" s="39" t="s">
        <v>8310</v>
      </c>
      <c r="B2501" s="40" t="str">
        <f t="shared" ca="1" si="98"/>
        <v>Contactos eléctricos</v>
      </c>
      <c r="C2501" s="72" t="str">
        <f>IFERROR(VLOOKUP("UD",'Informacion '!P:Q,2,FALSE),"")</f>
        <v>Unidad</v>
      </c>
      <c r="D2501" s="39">
        <v>50</v>
      </c>
      <c r="E2501" s="42">
        <v>88.09</v>
      </c>
      <c r="F2501" s="41">
        <f t="shared" ca="1" si="96"/>
        <v>4404.5</v>
      </c>
    </row>
    <row r="2502" spans="1:6" ht="14.25" customHeight="1" x14ac:dyDescent="0.35">
      <c r="A2502" s="39" t="s">
        <v>8310</v>
      </c>
      <c r="B2502" s="40" t="str">
        <f t="shared" ca="1" si="98"/>
        <v>Contactos eléctricos</v>
      </c>
      <c r="C2502" s="72" t="str">
        <f>IFERROR(VLOOKUP("UD",'Informacion '!P:Q,2,FALSE),"")</f>
        <v>Unidad</v>
      </c>
      <c r="D2502" s="39">
        <v>300</v>
      </c>
      <c r="E2502" s="42">
        <v>116.96</v>
      </c>
      <c r="F2502" s="41">
        <f t="shared" ca="1" si="96"/>
        <v>35088</v>
      </c>
    </row>
    <row r="2503" spans="1:6" ht="14.25" customHeight="1" x14ac:dyDescent="0.35">
      <c r="A2503" s="39" t="s">
        <v>8310</v>
      </c>
      <c r="B2503" s="40" t="str">
        <f t="shared" ca="1" si="98"/>
        <v>Contactos eléctricos</v>
      </c>
      <c r="C2503" s="72" t="str">
        <f>IFERROR(VLOOKUP("UD",'Informacion '!P:Q,2,FALSE),"")</f>
        <v>Unidad</v>
      </c>
      <c r="D2503" s="39">
        <v>100</v>
      </c>
      <c r="E2503" s="42">
        <v>216.38</v>
      </c>
      <c r="F2503" s="41">
        <f t="shared" ca="1" si="96"/>
        <v>21638</v>
      </c>
    </row>
    <row r="2504" spans="1:6" ht="14.25" customHeight="1" x14ac:dyDescent="0.35">
      <c r="A2504" s="39" t="s">
        <v>8310</v>
      </c>
      <c r="B2504" s="40" t="str">
        <f t="shared" ca="1" si="98"/>
        <v>Contactos eléctricos</v>
      </c>
      <c r="C2504" s="72" t="str">
        <f>IFERROR(VLOOKUP("UD",'Informacion '!P:Q,2,FALSE),"")</f>
        <v>Unidad</v>
      </c>
      <c r="D2504" s="39">
        <v>300</v>
      </c>
      <c r="E2504" s="42">
        <v>116.96</v>
      </c>
      <c r="F2504" s="41">
        <f t="shared" ca="1" si="96"/>
        <v>35088</v>
      </c>
    </row>
    <row r="2505" spans="1:6" ht="14.25" customHeight="1" x14ac:dyDescent="0.35">
      <c r="A2505" s="39" t="s">
        <v>8310</v>
      </c>
      <c r="B2505" s="40" t="str">
        <f t="shared" ca="1" si="98"/>
        <v>Contactos eléctricos</v>
      </c>
      <c r="C2505" s="72" t="str">
        <f>IFERROR(VLOOKUP("UD",'Informacion '!P:Q,2,FALSE),"")</f>
        <v>Unidad</v>
      </c>
      <c r="D2505" s="39">
        <v>100</v>
      </c>
      <c r="E2505" s="42">
        <v>216.38</v>
      </c>
      <c r="F2505" s="41">
        <f t="shared" ca="1" si="96"/>
        <v>21638</v>
      </c>
    </row>
    <row r="2506" spans="1:6" ht="14.25" customHeight="1" x14ac:dyDescent="0.35">
      <c r="A2506" s="39" t="s">
        <v>8310</v>
      </c>
      <c r="B2506" s="40" t="str">
        <f t="shared" ca="1" si="98"/>
        <v>Contactos eléctricos</v>
      </c>
      <c r="C2506" s="72" t="str">
        <f>IFERROR(VLOOKUP("UD",'Informacion '!P:Q,2,FALSE),"")</f>
        <v>Unidad</v>
      </c>
      <c r="D2506" s="39">
        <v>300</v>
      </c>
      <c r="E2506" s="42">
        <v>116.96</v>
      </c>
      <c r="F2506" s="41">
        <f t="shared" ca="1" si="96"/>
        <v>35088</v>
      </c>
    </row>
    <row r="2507" spans="1:6" ht="14.25" customHeight="1" x14ac:dyDescent="0.35">
      <c r="A2507" s="39" t="s">
        <v>8310</v>
      </c>
      <c r="B2507" s="40" t="str">
        <f t="shared" ca="1" si="98"/>
        <v>Contactos eléctricos</v>
      </c>
      <c r="C2507" s="72" t="str">
        <f>IFERROR(VLOOKUP("UD",'Informacion '!P:Q,2,FALSE),"")</f>
        <v>Unidad</v>
      </c>
      <c r="D2507" s="39">
        <v>100</v>
      </c>
      <c r="E2507" s="42">
        <v>216.38</v>
      </c>
      <c r="F2507" s="41">
        <f t="shared" ca="1" si="96"/>
        <v>21638</v>
      </c>
    </row>
    <row r="2508" spans="1:6" ht="14.25" customHeight="1" x14ac:dyDescent="0.35">
      <c r="A2508" s="39" t="s">
        <v>8310</v>
      </c>
      <c r="B2508" s="40" t="str">
        <f t="shared" ca="1" si="98"/>
        <v>Contactos eléctricos</v>
      </c>
      <c r="C2508" s="72" t="str">
        <f>IFERROR(VLOOKUP("UD",'Informacion '!P:Q,2,FALSE),"")</f>
        <v>Unidad</v>
      </c>
      <c r="D2508" s="39">
        <v>435</v>
      </c>
      <c r="E2508" s="42">
        <v>116.96</v>
      </c>
      <c r="F2508" s="41">
        <f t="shared" ca="1" si="96"/>
        <v>50877.599999999999</v>
      </c>
    </row>
    <row r="2509" spans="1:6" ht="14.25" customHeight="1" x14ac:dyDescent="0.35">
      <c r="A2509" s="39" t="s">
        <v>8310</v>
      </c>
      <c r="B2509" s="40" t="str">
        <f t="shared" ca="1" si="98"/>
        <v>Contactos eléctricos</v>
      </c>
      <c r="C2509" s="72" t="str">
        <f>IFERROR(VLOOKUP("UD",'Informacion '!P:Q,2,FALSE),"")</f>
        <v>Unidad</v>
      </c>
      <c r="D2509" s="39">
        <v>145</v>
      </c>
      <c r="E2509" s="42">
        <v>216.38</v>
      </c>
      <c r="F2509" s="41">
        <f t="shared" ca="1" si="96"/>
        <v>31375.1</v>
      </c>
    </row>
    <row r="2510" spans="1:6" ht="14.25" customHeight="1" x14ac:dyDescent="0.35">
      <c r="A2510" s="39" t="s">
        <v>8310</v>
      </c>
      <c r="B2510" s="40" t="str">
        <f t="shared" ca="1" si="98"/>
        <v>Contactos eléctricos</v>
      </c>
      <c r="C2510" s="72" t="str">
        <f>IFERROR(VLOOKUP("UD",'Informacion '!P:Q,2,FALSE),"")</f>
        <v>Unidad</v>
      </c>
      <c r="D2510" s="39">
        <v>600</v>
      </c>
      <c r="E2510" s="42">
        <v>116.96</v>
      </c>
      <c r="F2510" s="41">
        <f t="shared" ca="1" si="96"/>
        <v>70176</v>
      </c>
    </row>
    <row r="2511" spans="1:6" ht="14.25" customHeight="1" x14ac:dyDescent="0.35">
      <c r="A2511" s="39" t="s">
        <v>8310</v>
      </c>
      <c r="B2511" s="40" t="str">
        <f t="shared" ca="1" si="98"/>
        <v>Contactos eléctricos</v>
      </c>
      <c r="C2511" s="72" t="str">
        <f>IFERROR(VLOOKUP("UD",'Informacion '!P:Q,2,FALSE),"")</f>
        <v>Unidad</v>
      </c>
      <c r="D2511" s="39">
        <v>200</v>
      </c>
      <c r="E2511" s="42">
        <v>216.38</v>
      </c>
      <c r="F2511" s="41">
        <f t="shared" ca="1" si="96"/>
        <v>43276</v>
      </c>
    </row>
    <row r="2512" spans="1:6" ht="14.25" customHeight="1" x14ac:dyDescent="0.35">
      <c r="A2512" s="39" t="s">
        <v>1617</v>
      </c>
      <c r="B2512" s="40" t="str">
        <f ca="1">IFERROR(INDEX(UNSPSCDes,MATCH(INDIRECT(ADDRESS(ROW(),COLUMN()-1,4)),UNSPSCCode,0)),IF(INDIRECT(ADDRESS(ROW(),COLUMN()-1,4))="39121523","Temporizadores",""))</f>
        <v>Temporizadores</v>
      </c>
      <c r="C2512" s="72" t="str">
        <f>IFERROR(VLOOKUP("UD",'Informacion '!P:Q,2,FALSE),"")</f>
        <v>Unidad</v>
      </c>
      <c r="D2512" s="39">
        <v>20</v>
      </c>
      <c r="E2512" s="42">
        <v>159</v>
      </c>
      <c r="F2512" s="41">
        <f t="shared" ca="1" si="96"/>
        <v>3180</v>
      </c>
    </row>
    <row r="2513" spans="1:6" ht="14.25" customHeight="1" x14ac:dyDescent="0.35">
      <c r="A2513" s="39" t="s">
        <v>11353</v>
      </c>
      <c r="B2513" s="40" t="str">
        <f ca="1">IFERROR(INDEX(UNSPSCDes,MATCH(INDIRECT(ADDRESS(ROW(),COLUMN()-1,4)),UNSPSCCode,0)),IF(INDIRECT(ADDRESS(ROW(),COLUMN()-1,4))="39121525","Interruptores infusibles",""))</f>
        <v>Interruptores infusibles</v>
      </c>
      <c r="C2513" s="72" t="str">
        <f>IFERROR(VLOOKUP("UD",'Informacion '!P:Q,2,FALSE),"")</f>
        <v>Unidad</v>
      </c>
      <c r="D2513" s="39">
        <v>1</v>
      </c>
      <c r="E2513" s="42">
        <v>245</v>
      </c>
      <c r="F2513" s="41">
        <f t="shared" ca="1" si="96"/>
        <v>245</v>
      </c>
    </row>
    <row r="2514" spans="1:6" ht="14.25" customHeight="1" x14ac:dyDescent="0.35">
      <c r="A2514" s="39" t="s">
        <v>11353</v>
      </c>
      <c r="B2514" s="40" t="str">
        <f ca="1">IFERROR(INDEX(UNSPSCDes,MATCH(INDIRECT(ADDRESS(ROW(),COLUMN()-1,4)),UNSPSCCode,0)),IF(INDIRECT(ADDRESS(ROW(),COLUMN()-1,4))="39121525","Interruptores infusibles",""))</f>
        <v>Interruptores infusibles</v>
      </c>
      <c r="C2514" s="72" t="str">
        <f>IFERROR(VLOOKUP("UD",'Informacion '!P:Q,2,FALSE),"")</f>
        <v>Unidad</v>
      </c>
      <c r="D2514" s="39">
        <v>1</v>
      </c>
      <c r="E2514" s="42">
        <v>165</v>
      </c>
      <c r="F2514" s="41">
        <f t="shared" ca="1" si="96"/>
        <v>165</v>
      </c>
    </row>
    <row r="2515" spans="1:6" ht="14.25" customHeight="1" x14ac:dyDescent="0.35">
      <c r="A2515" s="39" t="s">
        <v>11353</v>
      </c>
      <c r="B2515" s="40" t="str">
        <f ca="1">IFERROR(INDEX(UNSPSCDes,MATCH(INDIRECT(ADDRESS(ROW(),COLUMN()-1,4)),UNSPSCCode,0)),IF(INDIRECT(ADDRESS(ROW(),COLUMN()-1,4))="39121525","Interruptores infusibles",""))</f>
        <v>Interruptores infusibles</v>
      </c>
      <c r="C2515" s="72" t="str">
        <f>IFERROR(VLOOKUP("UD",'Informacion '!P:Q,2,FALSE),"")</f>
        <v>Unidad</v>
      </c>
      <c r="D2515" s="39">
        <v>1</v>
      </c>
      <c r="E2515" s="42">
        <v>165</v>
      </c>
      <c r="F2515" s="41">
        <f t="shared" ca="1" si="96"/>
        <v>165</v>
      </c>
    </row>
    <row r="2516" spans="1:6" ht="14.25" customHeight="1" x14ac:dyDescent="0.35">
      <c r="A2516" s="39" t="s">
        <v>11353</v>
      </c>
      <c r="B2516" s="40" t="str">
        <f ca="1">IFERROR(INDEX(UNSPSCDes,MATCH(INDIRECT(ADDRESS(ROW(),COLUMN()-1,4)),UNSPSCCode,0)),IF(INDIRECT(ADDRESS(ROW(),COLUMN()-1,4))="39121525","Interruptores infusibles",""))</f>
        <v>Interruptores infusibles</v>
      </c>
      <c r="C2516" s="72" t="str">
        <f>IFERROR(VLOOKUP("UD",'Informacion '!P:Q,2,FALSE),"")</f>
        <v>Unidad</v>
      </c>
      <c r="D2516" s="39">
        <v>1</v>
      </c>
      <c r="E2516" s="42">
        <v>225</v>
      </c>
      <c r="F2516" s="41">
        <f t="shared" ca="1" si="96"/>
        <v>225</v>
      </c>
    </row>
    <row r="2517" spans="1:6" ht="14.25" customHeight="1" x14ac:dyDescent="0.35">
      <c r="A2517" s="39" t="s">
        <v>2756</v>
      </c>
      <c r="B2517" s="40" t="str">
        <f ca="1">IFERROR(INDEX(UNSPSCDes,MATCH(INDIRECT(ADDRESS(ROW(),COLUMN()-1,4)),UNSPSCCode,0)),IF(INDIRECT(ADDRESS(ROW(),COLUMN()-1,4))="39121529","Contactores",""))</f>
        <v>Contactores</v>
      </c>
      <c r="C2517" s="72" t="str">
        <f>IFERROR(VLOOKUP("UD",'Informacion '!P:Q,2,FALSE),"")</f>
        <v>Unidad</v>
      </c>
      <c r="D2517" s="39">
        <v>15</v>
      </c>
      <c r="E2517" s="42">
        <v>2711</v>
      </c>
      <c r="F2517" s="41">
        <f t="shared" ca="1" si="96"/>
        <v>40665</v>
      </c>
    </row>
    <row r="2518" spans="1:6" ht="14.25" customHeight="1" x14ac:dyDescent="0.35">
      <c r="A2518" s="39" t="s">
        <v>2756</v>
      </c>
      <c r="B2518" s="40" t="str">
        <f ca="1">IFERROR(INDEX(UNSPSCDes,MATCH(INDIRECT(ADDRESS(ROW(),COLUMN()-1,4)),UNSPSCCode,0)),IF(INDIRECT(ADDRESS(ROW(),COLUMN()-1,4))="39121529","Contactores",""))</f>
        <v>Contactores</v>
      </c>
      <c r="C2518" s="72" t="str">
        <f>IFERROR(VLOOKUP("UD",'Informacion '!P:Q,2,FALSE),"")</f>
        <v>Unidad</v>
      </c>
      <c r="D2518" s="39">
        <v>12</v>
      </c>
      <c r="E2518" s="42">
        <v>1817</v>
      </c>
      <c r="F2518" s="41">
        <f t="shared" ca="1" si="96"/>
        <v>21804</v>
      </c>
    </row>
    <row r="2519" spans="1:6" ht="14.25" customHeight="1" x14ac:dyDescent="0.35">
      <c r="A2519" s="39" t="s">
        <v>2756</v>
      </c>
      <c r="B2519" s="40" t="str">
        <f ca="1">IFERROR(INDEX(UNSPSCDes,MATCH(INDIRECT(ADDRESS(ROW(),COLUMN()-1,4)),UNSPSCCode,0)),IF(INDIRECT(ADDRESS(ROW(),COLUMN()-1,4))="39121529","Contactores",""))</f>
        <v>Contactores</v>
      </c>
      <c r="C2519" s="72" t="str">
        <f>IFERROR(VLOOKUP("UD",'Informacion '!P:Q,2,FALSE),"")</f>
        <v>Unidad</v>
      </c>
      <c r="D2519" s="39">
        <v>6</v>
      </c>
      <c r="E2519" s="42">
        <v>2006</v>
      </c>
      <c r="F2519" s="41">
        <f t="shared" ca="1" si="96"/>
        <v>12036</v>
      </c>
    </row>
    <row r="2520" spans="1:6" ht="14.25" customHeight="1" x14ac:dyDescent="0.35">
      <c r="A2520" s="39" t="s">
        <v>10376</v>
      </c>
      <c r="B2520" s="40" t="str">
        <f t="shared" ref="B2520:B2543" ca="1" si="99">IFERROR(INDEX(UNSPSCDes,MATCH(INDIRECT(ADDRESS(ROW(),COLUMN()-1,4)),UNSPSCCode,0)),IF(INDIRECT(ADDRESS(ROW(),COLUMN()-1,4))="39121601","Breakers de circuito",""))</f>
        <v>Breakers de circuito</v>
      </c>
      <c r="C2520" s="72" t="str">
        <f>IFERROR(VLOOKUP("UD",'Informacion '!P:Q,2,FALSE),"")</f>
        <v>Unidad</v>
      </c>
      <c r="D2520" s="39">
        <v>3</v>
      </c>
      <c r="E2520" s="42">
        <v>5400</v>
      </c>
      <c r="F2520" s="41">
        <f t="shared" ca="1" si="96"/>
        <v>16200</v>
      </c>
    </row>
    <row r="2521" spans="1:6" ht="14.25" customHeight="1" x14ac:dyDescent="0.35">
      <c r="A2521" s="39" t="s">
        <v>10376</v>
      </c>
      <c r="B2521" s="40" t="str">
        <f t="shared" ca="1" si="99"/>
        <v>Breakers de circuito</v>
      </c>
      <c r="C2521" s="72" t="str">
        <f>IFERROR(VLOOKUP("UD",'Informacion '!P:Q,2,FALSE),"")</f>
        <v>Unidad</v>
      </c>
      <c r="D2521" s="39">
        <v>5</v>
      </c>
      <c r="E2521" s="42">
        <v>2245</v>
      </c>
      <c r="F2521" s="41">
        <f t="shared" ca="1" si="96"/>
        <v>11225</v>
      </c>
    </row>
    <row r="2522" spans="1:6" ht="14.25" customHeight="1" x14ac:dyDescent="0.35">
      <c r="A2522" s="39" t="s">
        <v>10376</v>
      </c>
      <c r="B2522" s="40" t="str">
        <f t="shared" ca="1" si="99"/>
        <v>Breakers de circuito</v>
      </c>
      <c r="C2522" s="72" t="str">
        <f>IFERROR(VLOOKUP("UD",'Informacion '!P:Q,2,FALSE),"")</f>
        <v>Unidad</v>
      </c>
      <c r="D2522" s="39">
        <v>5</v>
      </c>
      <c r="E2522" s="42">
        <v>2278.23</v>
      </c>
      <c r="F2522" s="41">
        <f t="shared" ca="1" si="96"/>
        <v>11391.15</v>
      </c>
    </row>
    <row r="2523" spans="1:6" ht="14.25" customHeight="1" x14ac:dyDescent="0.35">
      <c r="A2523" s="39" t="s">
        <v>10376</v>
      </c>
      <c r="B2523" s="40" t="str">
        <f t="shared" ca="1" si="99"/>
        <v>Breakers de circuito</v>
      </c>
      <c r="C2523" s="72" t="str">
        <f>IFERROR(VLOOKUP("UD",'Informacion '!P:Q,2,FALSE),"")</f>
        <v>Unidad</v>
      </c>
      <c r="D2523" s="39">
        <v>5</v>
      </c>
      <c r="E2523" s="42">
        <v>1419.98</v>
      </c>
      <c r="F2523" s="41">
        <f t="shared" ca="1" si="96"/>
        <v>7099.9</v>
      </c>
    </row>
    <row r="2524" spans="1:6" ht="14.25" customHeight="1" x14ac:dyDescent="0.35">
      <c r="A2524" s="39" t="s">
        <v>10376</v>
      </c>
      <c r="B2524" s="40" t="str">
        <f t="shared" ca="1" si="99"/>
        <v>Breakers de circuito</v>
      </c>
      <c r="C2524" s="72" t="str">
        <f>IFERROR(VLOOKUP("UD",'Informacion '!P:Q,2,FALSE),"")</f>
        <v>Unidad</v>
      </c>
      <c r="D2524" s="39">
        <v>5</v>
      </c>
      <c r="E2524" s="42">
        <v>1890</v>
      </c>
      <c r="F2524" s="41">
        <f t="shared" ca="1" si="96"/>
        <v>9450</v>
      </c>
    </row>
    <row r="2525" spans="1:6" ht="14.25" customHeight="1" x14ac:dyDescent="0.35">
      <c r="A2525" s="39" t="s">
        <v>10376</v>
      </c>
      <c r="B2525" s="40" t="str">
        <f t="shared" ca="1" si="99"/>
        <v>Breakers de circuito</v>
      </c>
      <c r="C2525" s="72" t="str">
        <f>IFERROR(VLOOKUP("UD",'Informacion '!P:Q,2,FALSE),"")</f>
        <v>Unidad</v>
      </c>
      <c r="D2525" s="39">
        <v>20</v>
      </c>
      <c r="E2525" s="42">
        <v>296.47000000000003</v>
      </c>
      <c r="F2525" s="41">
        <f t="shared" ca="1" si="96"/>
        <v>5929.4000000000005</v>
      </c>
    </row>
    <row r="2526" spans="1:6" ht="14.25" customHeight="1" x14ac:dyDescent="0.35">
      <c r="A2526" s="39" t="s">
        <v>10376</v>
      </c>
      <c r="B2526" s="40" t="str">
        <f t="shared" ca="1" si="99"/>
        <v>Breakers de circuito</v>
      </c>
      <c r="C2526" s="72" t="str">
        <f>IFERROR(VLOOKUP("UD",'Informacion '!P:Q,2,FALSE),"")</f>
        <v>Unidad</v>
      </c>
      <c r="D2526" s="39">
        <v>20</v>
      </c>
      <c r="E2526" s="42">
        <v>1156.76</v>
      </c>
      <c r="F2526" s="41">
        <f t="shared" ca="1" si="96"/>
        <v>23135.200000000001</v>
      </c>
    </row>
    <row r="2527" spans="1:6" ht="14.25" customHeight="1" x14ac:dyDescent="0.35">
      <c r="A2527" s="39" t="s">
        <v>10376</v>
      </c>
      <c r="B2527" s="40" t="str">
        <f t="shared" ca="1" si="99"/>
        <v>Breakers de circuito</v>
      </c>
      <c r="C2527" s="72" t="str">
        <f>IFERROR(VLOOKUP("UD",'Informacion '!P:Q,2,FALSE),"")</f>
        <v>Unidad</v>
      </c>
      <c r="D2527" s="39">
        <v>20</v>
      </c>
      <c r="E2527" s="42">
        <v>296.47000000000003</v>
      </c>
      <c r="F2527" s="41">
        <f t="shared" ca="1" si="96"/>
        <v>5929.4000000000005</v>
      </c>
    </row>
    <row r="2528" spans="1:6" ht="14.25" customHeight="1" x14ac:dyDescent="0.35">
      <c r="A2528" s="39" t="s">
        <v>10376</v>
      </c>
      <c r="B2528" s="40" t="str">
        <f t="shared" ca="1" si="99"/>
        <v>Breakers de circuito</v>
      </c>
      <c r="C2528" s="72" t="str">
        <f>IFERROR(VLOOKUP("UD",'Informacion '!P:Q,2,FALSE),"")</f>
        <v>Unidad</v>
      </c>
      <c r="D2528" s="39">
        <v>20</v>
      </c>
      <c r="E2528" s="42">
        <v>509.92</v>
      </c>
      <c r="F2528" s="41">
        <f t="shared" ca="1" si="96"/>
        <v>10198.4</v>
      </c>
    </row>
    <row r="2529" spans="1:6" ht="14.25" customHeight="1" x14ac:dyDescent="0.35">
      <c r="A2529" s="39" t="s">
        <v>10376</v>
      </c>
      <c r="B2529" s="40" t="str">
        <f t="shared" ca="1" si="99"/>
        <v>Breakers de circuito</v>
      </c>
      <c r="C2529" s="72" t="str">
        <f>IFERROR(VLOOKUP("UD",'Informacion '!P:Q,2,FALSE),"")</f>
        <v>Unidad</v>
      </c>
      <c r="D2529" s="39">
        <v>25</v>
      </c>
      <c r="E2529" s="42">
        <v>296.47000000000003</v>
      </c>
      <c r="F2529" s="41">
        <f t="shared" ca="1" si="96"/>
        <v>7411.7500000000009</v>
      </c>
    </row>
    <row r="2530" spans="1:6" ht="14.25" customHeight="1" x14ac:dyDescent="0.35">
      <c r="A2530" s="39" t="s">
        <v>10376</v>
      </c>
      <c r="B2530" s="40" t="str">
        <f t="shared" ca="1" si="99"/>
        <v>Breakers de circuito</v>
      </c>
      <c r="C2530" s="72" t="str">
        <f>IFERROR(VLOOKUP("UD",'Informacion '!P:Q,2,FALSE),"")</f>
        <v>Unidad</v>
      </c>
      <c r="D2530" s="39">
        <v>5</v>
      </c>
      <c r="E2530" s="42">
        <v>299.27</v>
      </c>
      <c r="F2530" s="41">
        <f t="shared" ca="1" si="96"/>
        <v>1496.35</v>
      </c>
    </row>
    <row r="2531" spans="1:6" ht="14.25" customHeight="1" x14ac:dyDescent="0.35">
      <c r="A2531" s="39" t="s">
        <v>10376</v>
      </c>
      <c r="B2531" s="40" t="str">
        <f t="shared" ca="1" si="99"/>
        <v>Breakers de circuito</v>
      </c>
      <c r="C2531" s="72" t="str">
        <f>IFERROR(VLOOKUP("UD",'Informacion '!P:Q,2,FALSE),"")</f>
        <v>Unidad</v>
      </c>
      <c r="D2531" s="39">
        <v>20</v>
      </c>
      <c r="E2531" s="42">
        <v>314.39999999999998</v>
      </c>
      <c r="F2531" s="41">
        <f t="shared" ref="F2531:F2594" ca="1" si="100">INDIRECT(ADDRESS(ROW(),COLUMN()-2,4))*INDIRECT(ADDRESS(ROW(),COLUMN()-1,4))</f>
        <v>6288</v>
      </c>
    </row>
    <row r="2532" spans="1:6" ht="14.25" customHeight="1" x14ac:dyDescent="0.35">
      <c r="A2532" s="39" t="s">
        <v>10376</v>
      </c>
      <c r="B2532" s="40" t="str">
        <f t="shared" ca="1" si="99"/>
        <v>Breakers de circuito</v>
      </c>
      <c r="C2532" s="72" t="str">
        <f>IFERROR(VLOOKUP("UD",'Informacion '!P:Q,2,FALSE),"")</f>
        <v>Unidad</v>
      </c>
      <c r="D2532" s="39">
        <v>10</v>
      </c>
      <c r="E2532" s="42">
        <v>982</v>
      </c>
      <c r="F2532" s="41">
        <f t="shared" ca="1" si="100"/>
        <v>9820</v>
      </c>
    </row>
    <row r="2533" spans="1:6" ht="14.25" customHeight="1" x14ac:dyDescent="0.35">
      <c r="A2533" s="39" t="s">
        <v>10376</v>
      </c>
      <c r="B2533" s="40" t="str">
        <f t="shared" ca="1" si="99"/>
        <v>Breakers de circuito</v>
      </c>
      <c r="C2533" s="72" t="str">
        <f>IFERROR(VLOOKUP("UD",'Informacion '!P:Q,2,FALSE),"")</f>
        <v>Unidad</v>
      </c>
      <c r="D2533" s="39">
        <v>12</v>
      </c>
      <c r="E2533" s="42">
        <v>314.39999999999998</v>
      </c>
      <c r="F2533" s="41">
        <f t="shared" ca="1" si="100"/>
        <v>3772.7999999999997</v>
      </c>
    </row>
    <row r="2534" spans="1:6" ht="14.25" customHeight="1" x14ac:dyDescent="0.35">
      <c r="A2534" s="39" t="s">
        <v>10376</v>
      </c>
      <c r="B2534" s="40" t="str">
        <f t="shared" ca="1" si="99"/>
        <v>Breakers de circuito</v>
      </c>
      <c r="C2534" s="72" t="str">
        <f>IFERROR(VLOOKUP("UD",'Informacion '!P:Q,2,FALSE),"")</f>
        <v>Unidad</v>
      </c>
      <c r="D2534" s="39">
        <v>25</v>
      </c>
      <c r="E2534" s="42">
        <v>182.99</v>
      </c>
      <c r="F2534" s="41">
        <f t="shared" ca="1" si="100"/>
        <v>4574.75</v>
      </c>
    </row>
    <row r="2535" spans="1:6" ht="14.25" customHeight="1" x14ac:dyDescent="0.35">
      <c r="A2535" s="39" t="s">
        <v>10376</v>
      </c>
      <c r="B2535" s="40" t="str">
        <f t="shared" ca="1" si="99"/>
        <v>Breakers de circuito</v>
      </c>
      <c r="C2535" s="72" t="str">
        <f>IFERROR(VLOOKUP("UD",'Informacion '!P:Q,2,FALSE),"")</f>
        <v>Unidad</v>
      </c>
      <c r="D2535" s="39">
        <v>45</v>
      </c>
      <c r="E2535" s="42">
        <v>532</v>
      </c>
      <c r="F2535" s="41">
        <f t="shared" ca="1" si="100"/>
        <v>23940</v>
      </c>
    </row>
    <row r="2536" spans="1:6" ht="14.25" customHeight="1" x14ac:dyDescent="0.35">
      <c r="A2536" s="39" t="s">
        <v>10376</v>
      </c>
      <c r="B2536" s="40" t="str">
        <f t="shared" ca="1" si="99"/>
        <v>Breakers de circuito</v>
      </c>
      <c r="C2536" s="72" t="str">
        <f>IFERROR(VLOOKUP("UD",'Informacion '!P:Q,2,FALSE),"")</f>
        <v>Unidad</v>
      </c>
      <c r="D2536" s="39">
        <v>44</v>
      </c>
      <c r="E2536" s="42">
        <v>467.04</v>
      </c>
      <c r="F2536" s="41">
        <f t="shared" ca="1" si="100"/>
        <v>20549.760000000002</v>
      </c>
    </row>
    <row r="2537" spans="1:6" ht="14.25" customHeight="1" x14ac:dyDescent="0.35">
      <c r="A2537" s="39" t="s">
        <v>10376</v>
      </c>
      <c r="B2537" s="40" t="str">
        <f t="shared" ca="1" si="99"/>
        <v>Breakers de circuito</v>
      </c>
      <c r="C2537" s="72" t="str">
        <f>IFERROR(VLOOKUP("UD",'Informacion '!P:Q,2,FALSE),"")</f>
        <v>Unidad</v>
      </c>
      <c r="D2537" s="39">
        <v>4</v>
      </c>
      <c r="E2537" s="42">
        <v>466.83</v>
      </c>
      <c r="F2537" s="41">
        <f t="shared" ca="1" si="100"/>
        <v>1867.32</v>
      </c>
    </row>
    <row r="2538" spans="1:6" ht="14.25" customHeight="1" x14ac:dyDescent="0.35">
      <c r="A2538" s="39" t="s">
        <v>10376</v>
      </c>
      <c r="B2538" s="40" t="str">
        <f t="shared" ca="1" si="99"/>
        <v>Breakers de circuito</v>
      </c>
      <c r="C2538" s="72" t="str">
        <f>IFERROR(VLOOKUP("UD",'Informacion '!P:Q,2,FALSE),"")</f>
        <v>Unidad</v>
      </c>
      <c r="D2538" s="39">
        <v>50</v>
      </c>
      <c r="E2538" s="42">
        <v>85</v>
      </c>
      <c r="F2538" s="41">
        <f t="shared" ca="1" si="100"/>
        <v>4250</v>
      </c>
    </row>
    <row r="2539" spans="1:6" ht="14.25" customHeight="1" x14ac:dyDescent="0.35">
      <c r="A2539" s="39" t="s">
        <v>10376</v>
      </c>
      <c r="B2539" s="40" t="str">
        <f t="shared" ca="1" si="99"/>
        <v>Breakers de circuito</v>
      </c>
      <c r="C2539" s="72" t="str">
        <f>IFERROR(VLOOKUP("UD",'Informacion '!P:Q,2,FALSE),"")</f>
        <v>Unidad</v>
      </c>
      <c r="D2539" s="39">
        <v>26</v>
      </c>
      <c r="E2539" s="42">
        <v>85</v>
      </c>
      <c r="F2539" s="41">
        <f t="shared" ca="1" si="100"/>
        <v>2210</v>
      </c>
    </row>
    <row r="2540" spans="1:6" ht="14.25" customHeight="1" x14ac:dyDescent="0.35">
      <c r="A2540" s="39" t="s">
        <v>10376</v>
      </c>
      <c r="B2540" s="40" t="str">
        <f t="shared" ca="1" si="99"/>
        <v>Breakers de circuito</v>
      </c>
      <c r="C2540" s="72" t="str">
        <f>IFERROR(VLOOKUP("UD",'Informacion '!P:Q,2,FALSE),"")</f>
        <v>Unidad</v>
      </c>
      <c r="D2540" s="39">
        <v>26</v>
      </c>
      <c r="E2540" s="42">
        <v>166.8</v>
      </c>
      <c r="F2540" s="41">
        <f t="shared" ca="1" si="100"/>
        <v>4336.8</v>
      </c>
    </row>
    <row r="2541" spans="1:6" ht="14.25" customHeight="1" x14ac:dyDescent="0.35">
      <c r="A2541" s="39" t="s">
        <v>10376</v>
      </c>
      <c r="B2541" s="40" t="str">
        <f t="shared" ca="1" si="99"/>
        <v>Breakers de circuito</v>
      </c>
      <c r="C2541" s="72" t="str">
        <f>IFERROR(VLOOKUP("UD",'Informacion '!P:Q,2,FALSE),"")</f>
        <v>Unidad</v>
      </c>
      <c r="D2541" s="39">
        <v>50</v>
      </c>
      <c r="E2541" s="42">
        <v>128.33000000000001</v>
      </c>
      <c r="F2541" s="41">
        <f t="shared" ca="1" si="100"/>
        <v>6416.5000000000009</v>
      </c>
    </row>
    <row r="2542" spans="1:6" ht="14.25" customHeight="1" x14ac:dyDescent="0.35">
      <c r="A2542" s="39" t="s">
        <v>10376</v>
      </c>
      <c r="B2542" s="40" t="str">
        <f t="shared" ca="1" si="99"/>
        <v>Breakers de circuito</v>
      </c>
      <c r="C2542" s="72" t="str">
        <f>IFERROR(VLOOKUP("UD",'Informacion '!P:Q,2,FALSE),"")</f>
        <v>Unidad</v>
      </c>
      <c r="D2542" s="39">
        <v>26</v>
      </c>
      <c r="E2542" s="42">
        <v>1343.52</v>
      </c>
      <c r="F2542" s="41">
        <f t="shared" ca="1" si="100"/>
        <v>34931.519999999997</v>
      </c>
    </row>
    <row r="2543" spans="1:6" ht="14.25" customHeight="1" x14ac:dyDescent="0.35">
      <c r="A2543" s="39" t="s">
        <v>10376</v>
      </c>
      <c r="B2543" s="40" t="str">
        <f t="shared" ca="1" si="99"/>
        <v>Breakers de circuito</v>
      </c>
      <c r="C2543" s="72" t="str">
        <f>IFERROR(VLOOKUP("UD",'Informacion '!P:Q,2,FALSE),"")</f>
        <v>Unidad</v>
      </c>
      <c r="D2543" s="39">
        <v>26</v>
      </c>
      <c r="E2543" s="42">
        <v>137.66</v>
      </c>
      <c r="F2543" s="41">
        <f t="shared" ca="1" si="100"/>
        <v>3579.16</v>
      </c>
    </row>
    <row r="2544" spans="1:6" ht="14.25" customHeight="1" x14ac:dyDescent="0.35">
      <c r="A2544" s="39" t="s">
        <v>4756</v>
      </c>
      <c r="B2544" s="40" t="str">
        <f t="shared" ref="B2544:B2562" ca="1" si="101">IFERROR(INDEX(UNSPSCDes,MATCH(INDIRECT(ADDRESS(ROW(),COLUMN()-1,4)),UNSPSCCode,0)),IF(INDIRECT(ADDRESS(ROW(),COLUMN()-1,4))="39121602","Breakers de circuito magnético",""))</f>
        <v>Breakers de circuito magnético</v>
      </c>
      <c r="C2544" s="72" t="str">
        <f>IFERROR(VLOOKUP("UD",'Informacion '!P:Q,2,FALSE),"")</f>
        <v>Unidad</v>
      </c>
      <c r="D2544" s="39">
        <v>2</v>
      </c>
      <c r="E2544" s="42">
        <v>2206</v>
      </c>
      <c r="F2544" s="41">
        <f t="shared" ca="1" si="100"/>
        <v>4412</v>
      </c>
    </row>
    <row r="2545" spans="1:6" ht="14.25" customHeight="1" x14ac:dyDescent="0.35">
      <c r="A2545" s="39" t="s">
        <v>4756</v>
      </c>
      <c r="B2545" s="40" t="str">
        <f t="shared" ca="1" si="101"/>
        <v>Breakers de circuito magnético</v>
      </c>
      <c r="C2545" s="72" t="str">
        <f>IFERROR(VLOOKUP("UD",'Informacion '!P:Q,2,FALSE),"")</f>
        <v>Unidad</v>
      </c>
      <c r="D2545" s="39">
        <v>12</v>
      </c>
      <c r="E2545" s="42">
        <v>495</v>
      </c>
      <c r="F2545" s="41">
        <f t="shared" ca="1" si="100"/>
        <v>5940</v>
      </c>
    </row>
    <row r="2546" spans="1:6" ht="14.25" customHeight="1" x14ac:dyDescent="0.35">
      <c r="A2546" s="39" t="s">
        <v>4756</v>
      </c>
      <c r="B2546" s="40" t="str">
        <f t="shared" ca="1" si="101"/>
        <v>Breakers de circuito magnético</v>
      </c>
      <c r="C2546" s="72" t="str">
        <f>IFERROR(VLOOKUP("UD",'Informacion '!P:Q,2,FALSE),"")</f>
        <v>Unidad</v>
      </c>
      <c r="D2546" s="39">
        <v>50</v>
      </c>
      <c r="E2546" s="42">
        <v>495</v>
      </c>
      <c r="F2546" s="41">
        <f t="shared" ca="1" si="100"/>
        <v>24750</v>
      </c>
    </row>
    <row r="2547" spans="1:6" ht="14.25" customHeight="1" x14ac:dyDescent="0.35">
      <c r="A2547" s="39" t="s">
        <v>4756</v>
      </c>
      <c r="B2547" s="40" t="str">
        <f t="shared" ca="1" si="101"/>
        <v>Breakers de circuito magnético</v>
      </c>
      <c r="C2547" s="72" t="str">
        <f>IFERROR(VLOOKUP("UD",'Informacion '!P:Q,2,FALSE),"")</f>
        <v>Unidad</v>
      </c>
      <c r="D2547" s="39">
        <v>1</v>
      </c>
      <c r="E2547" s="42">
        <v>1100</v>
      </c>
      <c r="F2547" s="41">
        <f t="shared" ca="1" si="100"/>
        <v>1100</v>
      </c>
    </row>
    <row r="2548" spans="1:6" ht="14.25" customHeight="1" x14ac:dyDescent="0.35">
      <c r="A2548" s="39" t="s">
        <v>4756</v>
      </c>
      <c r="B2548" s="40" t="str">
        <f t="shared" ca="1" si="101"/>
        <v>Breakers de circuito magnético</v>
      </c>
      <c r="C2548" s="72" t="str">
        <f>IFERROR(VLOOKUP("UD",'Informacion '!P:Q,2,FALSE),"")</f>
        <v>Unidad</v>
      </c>
      <c r="D2548" s="39">
        <v>2</v>
      </c>
      <c r="E2548" s="42">
        <v>540</v>
      </c>
      <c r="F2548" s="41">
        <f t="shared" ca="1" si="100"/>
        <v>1080</v>
      </c>
    </row>
    <row r="2549" spans="1:6" ht="14.25" customHeight="1" x14ac:dyDescent="0.35">
      <c r="A2549" s="39" t="s">
        <v>4756</v>
      </c>
      <c r="B2549" s="40" t="str">
        <f t="shared" ca="1" si="101"/>
        <v>Breakers de circuito magnético</v>
      </c>
      <c r="C2549" s="72" t="str">
        <f>IFERROR(VLOOKUP("UD",'Informacion '!P:Q,2,FALSE),"")</f>
        <v>Unidad</v>
      </c>
      <c r="D2549" s="39">
        <v>1</v>
      </c>
      <c r="E2549" s="42">
        <v>1100</v>
      </c>
      <c r="F2549" s="41">
        <f t="shared" ca="1" si="100"/>
        <v>1100</v>
      </c>
    </row>
    <row r="2550" spans="1:6" ht="14.25" customHeight="1" x14ac:dyDescent="0.35">
      <c r="A2550" s="39" t="s">
        <v>4756</v>
      </c>
      <c r="B2550" s="40" t="str">
        <f t="shared" ca="1" si="101"/>
        <v>Breakers de circuito magnético</v>
      </c>
      <c r="C2550" s="72" t="str">
        <f>IFERROR(VLOOKUP("UD",'Informacion '!P:Q,2,FALSE),"")</f>
        <v>Unidad</v>
      </c>
      <c r="D2550" s="39">
        <v>2</v>
      </c>
      <c r="E2550" s="42">
        <v>540</v>
      </c>
      <c r="F2550" s="41">
        <f t="shared" ca="1" si="100"/>
        <v>1080</v>
      </c>
    </row>
    <row r="2551" spans="1:6" ht="14.25" customHeight="1" x14ac:dyDescent="0.35">
      <c r="A2551" s="39" t="s">
        <v>4756</v>
      </c>
      <c r="B2551" s="40" t="str">
        <f t="shared" ca="1" si="101"/>
        <v>Breakers de circuito magnético</v>
      </c>
      <c r="C2551" s="72" t="str">
        <f>IFERROR(VLOOKUP("UD",'Informacion '!P:Q,2,FALSE),"")</f>
        <v>Unidad</v>
      </c>
      <c r="D2551" s="39">
        <v>1</v>
      </c>
      <c r="E2551" s="42">
        <v>1100</v>
      </c>
      <c r="F2551" s="41">
        <f t="shared" ca="1" si="100"/>
        <v>1100</v>
      </c>
    </row>
    <row r="2552" spans="1:6" ht="14.25" customHeight="1" x14ac:dyDescent="0.35">
      <c r="A2552" s="39" t="s">
        <v>4756</v>
      </c>
      <c r="B2552" s="40" t="str">
        <f t="shared" ca="1" si="101"/>
        <v>Breakers de circuito magnético</v>
      </c>
      <c r="C2552" s="72" t="str">
        <f>IFERROR(VLOOKUP("UD",'Informacion '!P:Q,2,FALSE),"")</f>
        <v>Unidad</v>
      </c>
      <c r="D2552" s="39">
        <v>2</v>
      </c>
      <c r="E2552" s="42">
        <v>540</v>
      </c>
      <c r="F2552" s="41">
        <f t="shared" ca="1" si="100"/>
        <v>1080</v>
      </c>
    </row>
    <row r="2553" spans="1:6" ht="14.25" customHeight="1" x14ac:dyDescent="0.35">
      <c r="A2553" s="39" t="s">
        <v>4756</v>
      </c>
      <c r="B2553" s="40" t="str">
        <f t="shared" ca="1" si="101"/>
        <v>Breakers de circuito magnético</v>
      </c>
      <c r="C2553" s="72" t="str">
        <f>IFERROR(VLOOKUP("UD",'Informacion '!P:Q,2,FALSE),"")</f>
        <v>Unidad</v>
      </c>
      <c r="D2553" s="39">
        <v>200</v>
      </c>
      <c r="E2553" s="42">
        <v>448</v>
      </c>
      <c r="F2553" s="41">
        <f t="shared" ca="1" si="100"/>
        <v>89600</v>
      </c>
    </row>
    <row r="2554" spans="1:6" ht="14.25" customHeight="1" x14ac:dyDescent="0.35">
      <c r="A2554" s="39" t="s">
        <v>4756</v>
      </c>
      <c r="B2554" s="40" t="str">
        <f t="shared" ca="1" si="101"/>
        <v>Breakers de circuito magnético</v>
      </c>
      <c r="C2554" s="72" t="str">
        <f>IFERROR(VLOOKUP("UD",'Informacion '!P:Q,2,FALSE),"")</f>
        <v>Unidad</v>
      </c>
      <c r="D2554" s="39">
        <v>100</v>
      </c>
      <c r="E2554" s="42">
        <v>575</v>
      </c>
      <c r="F2554" s="41">
        <f t="shared" ca="1" si="100"/>
        <v>57500</v>
      </c>
    </row>
    <row r="2555" spans="1:6" ht="14.25" customHeight="1" x14ac:dyDescent="0.35">
      <c r="A2555" s="39" t="s">
        <v>4756</v>
      </c>
      <c r="B2555" s="40" t="str">
        <f t="shared" ca="1" si="101"/>
        <v>Breakers de circuito magnético</v>
      </c>
      <c r="C2555" s="72" t="str">
        <f>IFERROR(VLOOKUP("UD",'Informacion '!P:Q,2,FALSE),"")</f>
        <v>Unidad</v>
      </c>
      <c r="D2555" s="39">
        <v>200</v>
      </c>
      <c r="E2555" s="42">
        <v>448.4</v>
      </c>
      <c r="F2555" s="41">
        <f t="shared" ca="1" si="100"/>
        <v>89680</v>
      </c>
    </row>
    <row r="2556" spans="1:6" ht="14.25" customHeight="1" x14ac:dyDescent="0.35">
      <c r="A2556" s="39" t="s">
        <v>4756</v>
      </c>
      <c r="B2556" s="40" t="str">
        <f t="shared" ca="1" si="101"/>
        <v>Breakers de circuito magnético</v>
      </c>
      <c r="C2556" s="72" t="str">
        <f>IFERROR(VLOOKUP("UD",'Informacion '!P:Q,2,FALSE),"")</f>
        <v>Unidad</v>
      </c>
      <c r="D2556" s="39">
        <v>100</v>
      </c>
      <c r="E2556" s="42">
        <v>575</v>
      </c>
      <c r="F2556" s="41">
        <f t="shared" ca="1" si="100"/>
        <v>57500</v>
      </c>
    </row>
    <row r="2557" spans="1:6" ht="14.25" customHeight="1" x14ac:dyDescent="0.35">
      <c r="A2557" s="39" t="s">
        <v>4756</v>
      </c>
      <c r="B2557" s="40" t="str">
        <f t="shared" ca="1" si="101"/>
        <v>Breakers de circuito magnético</v>
      </c>
      <c r="C2557" s="72" t="str">
        <f>IFERROR(VLOOKUP("UD",'Informacion '!P:Q,2,FALSE),"")</f>
        <v>Unidad</v>
      </c>
      <c r="D2557" s="39">
        <v>200</v>
      </c>
      <c r="E2557" s="42">
        <v>448.4</v>
      </c>
      <c r="F2557" s="41">
        <f t="shared" ca="1" si="100"/>
        <v>89680</v>
      </c>
    </row>
    <row r="2558" spans="1:6" ht="14.25" customHeight="1" x14ac:dyDescent="0.35">
      <c r="A2558" s="39" t="s">
        <v>4756</v>
      </c>
      <c r="B2558" s="40" t="str">
        <f t="shared" ca="1" si="101"/>
        <v>Breakers de circuito magnético</v>
      </c>
      <c r="C2558" s="72" t="str">
        <f>IFERROR(VLOOKUP("UD",'Informacion '!P:Q,2,FALSE),"")</f>
        <v>Unidad</v>
      </c>
      <c r="D2558" s="39">
        <v>100</v>
      </c>
      <c r="E2558" s="42">
        <v>575</v>
      </c>
      <c r="F2558" s="41">
        <f t="shared" ca="1" si="100"/>
        <v>57500</v>
      </c>
    </row>
    <row r="2559" spans="1:6" ht="14.25" customHeight="1" x14ac:dyDescent="0.35">
      <c r="A2559" s="39" t="s">
        <v>4756</v>
      </c>
      <c r="B2559" s="40" t="str">
        <f t="shared" ca="1" si="101"/>
        <v>Breakers de circuito magnético</v>
      </c>
      <c r="C2559" s="72" t="str">
        <f>IFERROR(VLOOKUP("UD",'Informacion '!P:Q,2,FALSE),"")</f>
        <v>Unidad</v>
      </c>
      <c r="D2559" s="39">
        <v>290</v>
      </c>
      <c r="E2559" s="42">
        <v>448</v>
      </c>
      <c r="F2559" s="41">
        <f t="shared" ca="1" si="100"/>
        <v>129920</v>
      </c>
    </row>
    <row r="2560" spans="1:6" ht="14.25" customHeight="1" x14ac:dyDescent="0.35">
      <c r="A2560" s="39" t="s">
        <v>4756</v>
      </c>
      <c r="B2560" s="40" t="str">
        <f t="shared" ca="1" si="101"/>
        <v>Breakers de circuito magnético</v>
      </c>
      <c r="C2560" s="72" t="str">
        <f>IFERROR(VLOOKUP("UD",'Informacion '!P:Q,2,FALSE),"")</f>
        <v>Unidad</v>
      </c>
      <c r="D2560" s="39">
        <v>145</v>
      </c>
      <c r="E2560" s="42">
        <v>575</v>
      </c>
      <c r="F2560" s="41">
        <f t="shared" ca="1" si="100"/>
        <v>83375</v>
      </c>
    </row>
    <row r="2561" spans="1:6" ht="14.25" customHeight="1" x14ac:dyDescent="0.35">
      <c r="A2561" s="39" t="s">
        <v>4756</v>
      </c>
      <c r="B2561" s="40" t="str">
        <f t="shared" ca="1" si="101"/>
        <v>Breakers de circuito magnético</v>
      </c>
      <c r="C2561" s="72" t="str">
        <f>IFERROR(VLOOKUP("UD",'Informacion '!P:Q,2,FALSE),"")</f>
        <v>Unidad</v>
      </c>
      <c r="D2561" s="39">
        <v>400</v>
      </c>
      <c r="E2561" s="42">
        <v>448.4</v>
      </c>
      <c r="F2561" s="41">
        <f t="shared" ca="1" si="100"/>
        <v>179360</v>
      </c>
    </row>
    <row r="2562" spans="1:6" ht="14.25" customHeight="1" x14ac:dyDescent="0.35">
      <c r="A2562" s="39" t="s">
        <v>4756</v>
      </c>
      <c r="B2562" s="40" t="str">
        <f t="shared" ca="1" si="101"/>
        <v>Breakers de circuito magnético</v>
      </c>
      <c r="C2562" s="72" t="str">
        <f>IFERROR(VLOOKUP("UD",'Informacion '!P:Q,2,FALSE),"")</f>
        <v>Unidad</v>
      </c>
      <c r="D2562" s="39">
        <v>200</v>
      </c>
      <c r="E2562" s="42">
        <v>575</v>
      </c>
      <c r="F2562" s="41">
        <f t="shared" ca="1" si="100"/>
        <v>115000</v>
      </c>
    </row>
    <row r="2563" spans="1:6" ht="14.25" customHeight="1" x14ac:dyDescent="0.35">
      <c r="A2563" s="39" t="s">
        <v>5707</v>
      </c>
      <c r="B2563" s="40" t="str">
        <f ca="1">IFERROR(INDEX(UNSPSCDes,MATCH(INDIRECT(ADDRESS(ROW(),COLUMN()-1,4)),UNSPSCCode,0)),IF(INDIRECT(ADDRESS(ROW(),COLUMN()-1,4))="39121613","Conjuntos o dispositivos de polo a tierra",""))</f>
        <v>Conjuntos o dispositivos de polo a tierra</v>
      </c>
      <c r="C2563" s="72" t="str">
        <f>IFERROR(VLOOKUP("UD",'Informacion '!P:Q,2,FALSE),"")</f>
        <v>Unidad</v>
      </c>
      <c r="D2563" s="39">
        <v>1</v>
      </c>
      <c r="E2563" s="42">
        <v>3703.9</v>
      </c>
      <c r="F2563" s="41">
        <f t="shared" ca="1" si="100"/>
        <v>3703.9</v>
      </c>
    </row>
    <row r="2564" spans="1:6" ht="14.25" customHeight="1" x14ac:dyDescent="0.35">
      <c r="A2564" s="39" t="s">
        <v>5707</v>
      </c>
      <c r="B2564" s="40" t="str">
        <f ca="1">IFERROR(INDEX(UNSPSCDes,MATCH(INDIRECT(ADDRESS(ROW(),COLUMN()-1,4)),UNSPSCCode,0)),IF(INDIRECT(ADDRESS(ROW(),COLUMN()-1,4))="39121613","Conjuntos o dispositivos de polo a tierra",""))</f>
        <v>Conjuntos o dispositivos de polo a tierra</v>
      </c>
      <c r="C2564" s="72" t="str">
        <f>IFERROR(VLOOKUP("UD",'Informacion '!P:Q,2,FALSE),"")</f>
        <v>Unidad</v>
      </c>
      <c r="D2564" s="39">
        <v>3</v>
      </c>
      <c r="E2564" s="42">
        <v>3703.9</v>
      </c>
      <c r="F2564" s="41">
        <f t="shared" ca="1" si="100"/>
        <v>11111.7</v>
      </c>
    </row>
    <row r="2565" spans="1:6" ht="14.25" customHeight="1" x14ac:dyDescent="0.35">
      <c r="A2565" s="39" t="s">
        <v>5707</v>
      </c>
      <c r="B2565" s="40" t="str">
        <f ca="1">IFERROR(INDEX(UNSPSCDes,MATCH(INDIRECT(ADDRESS(ROW(),COLUMN()-1,4)),UNSPSCCode,0)),IF(INDIRECT(ADDRESS(ROW(),COLUMN()-1,4))="39121613","Conjuntos o dispositivos de polo a tierra",""))</f>
        <v>Conjuntos o dispositivos de polo a tierra</v>
      </c>
      <c r="C2565" s="72" t="str">
        <f>IFERROR(VLOOKUP("UD",'Informacion '!P:Q,2,FALSE),"")</f>
        <v>Unidad</v>
      </c>
      <c r="D2565" s="39">
        <v>2</v>
      </c>
      <c r="E2565" s="42">
        <v>3703.9</v>
      </c>
      <c r="F2565" s="41">
        <f t="shared" ca="1" si="100"/>
        <v>7407.8</v>
      </c>
    </row>
    <row r="2566" spans="1:6" ht="14.25" customHeight="1" x14ac:dyDescent="0.35">
      <c r="A2566" s="39" t="s">
        <v>5707</v>
      </c>
      <c r="B2566" s="40" t="str">
        <f ca="1">IFERROR(INDEX(UNSPSCDes,MATCH(INDIRECT(ADDRESS(ROW(),COLUMN()-1,4)),UNSPSCCode,0)),IF(INDIRECT(ADDRESS(ROW(),COLUMN()-1,4))="39121613","Conjuntos o dispositivos de polo a tierra",""))</f>
        <v>Conjuntos o dispositivos de polo a tierra</v>
      </c>
      <c r="C2566" s="72" t="str">
        <f>IFERROR(VLOOKUP("UD",'Informacion '!P:Q,2,FALSE),"")</f>
        <v>Unidad</v>
      </c>
      <c r="D2566" s="39">
        <v>1</v>
      </c>
      <c r="E2566" s="42">
        <v>3703.9</v>
      </c>
      <c r="F2566" s="41">
        <f t="shared" ca="1" si="100"/>
        <v>3703.9</v>
      </c>
    </row>
    <row r="2567" spans="1:6" ht="14.25" customHeight="1" x14ac:dyDescent="0.35">
      <c r="A2567" s="39" t="s">
        <v>5707</v>
      </c>
      <c r="B2567" s="40" t="str">
        <f ca="1">IFERROR(INDEX(UNSPSCDes,MATCH(INDIRECT(ADDRESS(ROW(),COLUMN()-1,4)),UNSPSCCode,0)),IF(INDIRECT(ADDRESS(ROW(),COLUMN()-1,4))="39121613","Conjuntos o dispositivos de polo a tierra",""))</f>
        <v>Conjuntos o dispositivos de polo a tierra</v>
      </c>
      <c r="C2567" s="72" t="str">
        <f>IFERROR(VLOOKUP("UD",'Informacion '!P:Q,2,FALSE),"")</f>
        <v>Unidad</v>
      </c>
      <c r="D2567" s="39">
        <v>1</v>
      </c>
      <c r="E2567" s="42">
        <v>3703.9</v>
      </c>
      <c r="F2567" s="41">
        <f t="shared" ca="1" si="100"/>
        <v>3703.9</v>
      </c>
    </row>
    <row r="2568" spans="1:6" ht="14.25" customHeight="1" x14ac:dyDescent="0.35">
      <c r="A2568" s="39" t="s">
        <v>12422</v>
      </c>
      <c r="B2568" s="40" t="str">
        <f t="shared" ref="B2568:B2592" ca="1" si="102">IFERROR(INDEX(UNSPSCDes,MATCH(INDIRECT(ADDRESS(ROW(),COLUMN()-1,4)),UNSPSCCode,0)),IF(INDIRECT(ADDRESS(ROW(),COLUMN()-1,4))="39121701","Soportes eléctricos",""))</f>
        <v>Soportes eléctricos</v>
      </c>
      <c r="C2568" s="72" t="str">
        <f>IFERROR(VLOOKUP("UD",'Informacion '!P:Q,2,FALSE),"")</f>
        <v>Unidad</v>
      </c>
      <c r="D2568" s="39">
        <v>1</v>
      </c>
      <c r="E2568" s="42">
        <v>320.06</v>
      </c>
      <c r="F2568" s="41">
        <f t="shared" ca="1" si="100"/>
        <v>320.06</v>
      </c>
    </row>
    <row r="2569" spans="1:6" ht="14.25" customHeight="1" x14ac:dyDescent="0.35">
      <c r="A2569" s="39" t="s">
        <v>12422</v>
      </c>
      <c r="B2569" s="40" t="str">
        <f t="shared" ca="1" si="102"/>
        <v>Soportes eléctricos</v>
      </c>
      <c r="C2569" s="72" t="str">
        <f>IFERROR(VLOOKUP("UD",'Informacion '!P:Q,2,FALSE),"")</f>
        <v>Unidad</v>
      </c>
      <c r="D2569" s="39">
        <v>1</v>
      </c>
      <c r="E2569" s="42">
        <v>647.78</v>
      </c>
      <c r="F2569" s="41">
        <f t="shared" ca="1" si="100"/>
        <v>647.78</v>
      </c>
    </row>
    <row r="2570" spans="1:6" ht="14.25" customHeight="1" x14ac:dyDescent="0.35">
      <c r="A2570" s="39" t="s">
        <v>12422</v>
      </c>
      <c r="B2570" s="40" t="str">
        <f t="shared" ca="1" si="102"/>
        <v>Soportes eléctricos</v>
      </c>
      <c r="C2570" s="72" t="str">
        <f>IFERROR(VLOOKUP("UD",'Informacion '!P:Q,2,FALSE),"")</f>
        <v>Unidad</v>
      </c>
      <c r="D2570" s="39">
        <v>1</v>
      </c>
      <c r="E2570" s="42">
        <v>320.06</v>
      </c>
      <c r="F2570" s="41">
        <f t="shared" ca="1" si="100"/>
        <v>320.06</v>
      </c>
    </row>
    <row r="2571" spans="1:6" ht="14.25" customHeight="1" x14ac:dyDescent="0.35">
      <c r="A2571" s="39" t="s">
        <v>12422</v>
      </c>
      <c r="B2571" s="40" t="str">
        <f t="shared" ca="1" si="102"/>
        <v>Soportes eléctricos</v>
      </c>
      <c r="C2571" s="72" t="str">
        <f>IFERROR(VLOOKUP("UD",'Informacion '!P:Q,2,FALSE),"")</f>
        <v>Unidad</v>
      </c>
      <c r="D2571" s="39">
        <v>3</v>
      </c>
      <c r="E2571" s="42">
        <v>960.13</v>
      </c>
      <c r="F2571" s="41">
        <f t="shared" ca="1" si="100"/>
        <v>2880.39</v>
      </c>
    </row>
    <row r="2572" spans="1:6" ht="14.25" customHeight="1" x14ac:dyDescent="0.35">
      <c r="A2572" s="39" t="s">
        <v>12422</v>
      </c>
      <c r="B2572" s="40" t="str">
        <f t="shared" ca="1" si="102"/>
        <v>Soportes eléctricos</v>
      </c>
      <c r="C2572" s="72" t="str">
        <f>IFERROR(VLOOKUP("UD",'Informacion '!P:Q,2,FALSE),"")</f>
        <v>Unidad</v>
      </c>
      <c r="D2572" s="39">
        <v>7</v>
      </c>
      <c r="E2572" s="42">
        <v>293.76</v>
      </c>
      <c r="F2572" s="41">
        <f t="shared" ca="1" si="100"/>
        <v>2056.3199999999997</v>
      </c>
    </row>
    <row r="2573" spans="1:6" ht="14.25" customHeight="1" x14ac:dyDescent="0.35">
      <c r="A2573" s="39" t="s">
        <v>12422</v>
      </c>
      <c r="B2573" s="40" t="str">
        <f t="shared" ca="1" si="102"/>
        <v>Soportes eléctricos</v>
      </c>
      <c r="C2573" s="72" t="str">
        <f>IFERROR(VLOOKUP("UD",'Informacion '!P:Q,2,FALSE),"")</f>
        <v>Unidad</v>
      </c>
      <c r="D2573" s="39">
        <v>2</v>
      </c>
      <c r="E2573" s="42">
        <v>320.06</v>
      </c>
      <c r="F2573" s="41">
        <f t="shared" ca="1" si="100"/>
        <v>640.12</v>
      </c>
    </row>
    <row r="2574" spans="1:6" ht="14.25" customHeight="1" x14ac:dyDescent="0.35">
      <c r="A2574" s="39" t="s">
        <v>12422</v>
      </c>
      <c r="B2574" s="40" t="str">
        <f t="shared" ca="1" si="102"/>
        <v>Soportes eléctricos</v>
      </c>
      <c r="C2574" s="72" t="str">
        <f>IFERROR(VLOOKUP("UD",'Informacion '!P:Q,2,FALSE),"")</f>
        <v>Unidad</v>
      </c>
      <c r="D2574" s="39">
        <v>2</v>
      </c>
      <c r="E2574" s="42">
        <v>647.78</v>
      </c>
      <c r="F2574" s="41">
        <f t="shared" ca="1" si="100"/>
        <v>1295.56</v>
      </c>
    </row>
    <row r="2575" spans="1:6" ht="14.25" customHeight="1" x14ac:dyDescent="0.35">
      <c r="A2575" s="39" t="s">
        <v>12422</v>
      </c>
      <c r="B2575" s="40" t="str">
        <f t="shared" ca="1" si="102"/>
        <v>Soportes eléctricos</v>
      </c>
      <c r="C2575" s="72" t="str">
        <f>IFERROR(VLOOKUP("UD",'Informacion '!P:Q,2,FALSE),"")</f>
        <v>Unidad</v>
      </c>
      <c r="D2575" s="39">
        <v>12</v>
      </c>
      <c r="E2575" s="42">
        <v>23.15</v>
      </c>
      <c r="F2575" s="41">
        <f t="shared" ca="1" si="100"/>
        <v>277.79999999999995</v>
      </c>
    </row>
    <row r="2576" spans="1:6" ht="14.25" customHeight="1" x14ac:dyDescent="0.35">
      <c r="A2576" s="39" t="s">
        <v>12422</v>
      </c>
      <c r="B2576" s="40" t="str">
        <f t="shared" ca="1" si="102"/>
        <v>Soportes eléctricos</v>
      </c>
      <c r="C2576" s="72" t="str">
        <f>IFERROR(VLOOKUP("UD",'Informacion '!P:Q,2,FALSE),"")</f>
        <v>Unidad</v>
      </c>
      <c r="D2576" s="39">
        <v>12</v>
      </c>
      <c r="E2576" s="42">
        <v>11.9</v>
      </c>
      <c r="F2576" s="41">
        <f t="shared" ca="1" si="100"/>
        <v>142.80000000000001</v>
      </c>
    </row>
    <row r="2577" spans="1:6" ht="14.25" customHeight="1" x14ac:dyDescent="0.35">
      <c r="A2577" s="39" t="s">
        <v>12422</v>
      </c>
      <c r="B2577" s="40" t="str">
        <f t="shared" ca="1" si="102"/>
        <v>Soportes eléctricos</v>
      </c>
      <c r="C2577" s="72" t="str">
        <f>IFERROR(VLOOKUP("UD",'Informacion '!P:Q,2,FALSE),"")</f>
        <v>Unidad</v>
      </c>
      <c r="D2577" s="39">
        <v>18</v>
      </c>
      <c r="E2577" s="42">
        <v>11.9</v>
      </c>
      <c r="F2577" s="41">
        <f t="shared" ca="1" si="100"/>
        <v>214.20000000000002</v>
      </c>
    </row>
    <row r="2578" spans="1:6" ht="14.25" customHeight="1" x14ac:dyDescent="0.35">
      <c r="A2578" s="39" t="s">
        <v>12422</v>
      </c>
      <c r="B2578" s="40" t="str">
        <f t="shared" ca="1" si="102"/>
        <v>Soportes eléctricos</v>
      </c>
      <c r="C2578" s="72" t="str">
        <f>IFERROR(VLOOKUP("UD",'Informacion '!P:Q,2,FALSE),"")</f>
        <v>Unidad</v>
      </c>
      <c r="D2578" s="39">
        <v>24</v>
      </c>
      <c r="E2578" s="42">
        <v>11.9</v>
      </c>
      <c r="F2578" s="41">
        <f t="shared" ca="1" si="100"/>
        <v>285.60000000000002</v>
      </c>
    </row>
    <row r="2579" spans="1:6" ht="14.25" customHeight="1" x14ac:dyDescent="0.35">
      <c r="A2579" s="39" t="s">
        <v>12422</v>
      </c>
      <c r="B2579" s="40" t="str">
        <f t="shared" ca="1" si="102"/>
        <v>Soportes eléctricos</v>
      </c>
      <c r="C2579" s="72" t="str">
        <f>IFERROR(VLOOKUP("UD",'Informacion '!P:Q,2,FALSE),"")</f>
        <v>Unidad</v>
      </c>
      <c r="D2579" s="39">
        <v>5</v>
      </c>
      <c r="E2579" s="42">
        <v>293.76</v>
      </c>
      <c r="F2579" s="41">
        <f t="shared" ca="1" si="100"/>
        <v>1468.8</v>
      </c>
    </row>
    <row r="2580" spans="1:6" ht="14.25" customHeight="1" x14ac:dyDescent="0.35">
      <c r="A2580" s="39" t="s">
        <v>12422</v>
      </c>
      <c r="B2580" s="40" t="str">
        <f t="shared" ca="1" si="102"/>
        <v>Soportes eléctricos</v>
      </c>
      <c r="C2580" s="72" t="str">
        <f>IFERROR(VLOOKUP("UD",'Informacion '!P:Q,2,FALSE),"")</f>
        <v>Unidad</v>
      </c>
      <c r="D2580" s="39">
        <v>1</v>
      </c>
      <c r="E2580" s="42">
        <v>320.06</v>
      </c>
      <c r="F2580" s="41">
        <f t="shared" ca="1" si="100"/>
        <v>320.06</v>
      </c>
    </row>
    <row r="2581" spans="1:6" ht="14.25" customHeight="1" x14ac:dyDescent="0.35">
      <c r="A2581" s="39" t="s">
        <v>12422</v>
      </c>
      <c r="B2581" s="40" t="str">
        <f t="shared" ca="1" si="102"/>
        <v>Soportes eléctricos</v>
      </c>
      <c r="C2581" s="72" t="str">
        <f>IFERROR(VLOOKUP("UD",'Informacion '!P:Q,2,FALSE),"")</f>
        <v>Unidad</v>
      </c>
      <c r="D2581" s="39">
        <v>1</v>
      </c>
      <c r="E2581" s="42">
        <v>647.78</v>
      </c>
      <c r="F2581" s="41">
        <f t="shared" ca="1" si="100"/>
        <v>647.78</v>
      </c>
    </row>
    <row r="2582" spans="1:6" ht="14.25" customHeight="1" x14ac:dyDescent="0.35">
      <c r="A2582" s="39" t="s">
        <v>12422</v>
      </c>
      <c r="B2582" s="40" t="str">
        <f t="shared" ca="1" si="102"/>
        <v>Soportes eléctricos</v>
      </c>
      <c r="C2582" s="72" t="str">
        <f>IFERROR(VLOOKUP("UD",'Informacion '!P:Q,2,FALSE),"")</f>
        <v>Unidad</v>
      </c>
      <c r="D2582" s="39">
        <v>4</v>
      </c>
      <c r="E2582" s="42">
        <v>293.76</v>
      </c>
      <c r="F2582" s="41">
        <f t="shared" ca="1" si="100"/>
        <v>1175.04</v>
      </c>
    </row>
    <row r="2583" spans="1:6" ht="14.25" customHeight="1" x14ac:dyDescent="0.35">
      <c r="A2583" s="39" t="s">
        <v>12422</v>
      </c>
      <c r="B2583" s="40" t="str">
        <f t="shared" ca="1" si="102"/>
        <v>Soportes eléctricos</v>
      </c>
      <c r="C2583" s="72" t="str">
        <f>IFERROR(VLOOKUP("UD",'Informacion '!P:Q,2,FALSE),"")</f>
        <v>Unidad</v>
      </c>
      <c r="D2583" s="39">
        <v>1</v>
      </c>
      <c r="E2583" s="42">
        <v>320.06</v>
      </c>
      <c r="F2583" s="41">
        <f t="shared" ca="1" si="100"/>
        <v>320.06</v>
      </c>
    </row>
    <row r="2584" spans="1:6" ht="14.25" customHeight="1" x14ac:dyDescent="0.35">
      <c r="A2584" s="39" t="s">
        <v>12422</v>
      </c>
      <c r="B2584" s="40" t="str">
        <f t="shared" ca="1" si="102"/>
        <v>Soportes eléctricos</v>
      </c>
      <c r="C2584" s="72" t="str">
        <f>IFERROR(VLOOKUP("UD",'Informacion '!P:Q,2,FALSE),"")</f>
        <v>Unidad</v>
      </c>
      <c r="D2584" s="39">
        <v>1</v>
      </c>
      <c r="E2584" s="42">
        <v>647.78</v>
      </c>
      <c r="F2584" s="41">
        <f t="shared" ca="1" si="100"/>
        <v>647.78</v>
      </c>
    </row>
    <row r="2585" spans="1:6" ht="14.25" customHeight="1" x14ac:dyDescent="0.35">
      <c r="A2585" s="39" t="s">
        <v>12422</v>
      </c>
      <c r="B2585" s="40" t="str">
        <f t="shared" ca="1" si="102"/>
        <v>Soportes eléctricos</v>
      </c>
      <c r="C2585" s="72" t="str">
        <f>IFERROR(VLOOKUP("UD",'Informacion '!P:Q,2,FALSE),"")</f>
        <v>Unidad</v>
      </c>
      <c r="D2585" s="39">
        <v>50</v>
      </c>
      <c r="E2585" s="42">
        <v>23.15</v>
      </c>
      <c r="F2585" s="41">
        <f t="shared" ca="1" si="100"/>
        <v>1157.5</v>
      </c>
    </row>
    <row r="2586" spans="1:6" ht="14.25" customHeight="1" x14ac:dyDescent="0.35">
      <c r="A2586" s="39" t="s">
        <v>12422</v>
      </c>
      <c r="B2586" s="40" t="str">
        <f t="shared" ca="1" si="102"/>
        <v>Soportes eléctricos</v>
      </c>
      <c r="C2586" s="72" t="str">
        <f>IFERROR(VLOOKUP("UD",'Informacion '!P:Q,2,FALSE),"")</f>
        <v>Unidad</v>
      </c>
      <c r="D2586" s="39">
        <v>50</v>
      </c>
      <c r="E2586" s="42">
        <v>11.9</v>
      </c>
      <c r="F2586" s="41">
        <f t="shared" ca="1" si="100"/>
        <v>595</v>
      </c>
    </row>
    <row r="2587" spans="1:6" ht="14.25" customHeight="1" x14ac:dyDescent="0.35">
      <c r="A2587" s="39" t="s">
        <v>12422</v>
      </c>
      <c r="B2587" s="40" t="str">
        <f t="shared" ca="1" si="102"/>
        <v>Soportes eléctricos</v>
      </c>
      <c r="C2587" s="72" t="str">
        <f>IFERROR(VLOOKUP("UD",'Informacion '!P:Q,2,FALSE),"")</f>
        <v>Unidad</v>
      </c>
      <c r="D2587" s="39">
        <v>100</v>
      </c>
      <c r="E2587" s="42">
        <v>11.9</v>
      </c>
      <c r="F2587" s="41">
        <f t="shared" ca="1" si="100"/>
        <v>1190</v>
      </c>
    </row>
    <row r="2588" spans="1:6" ht="14.25" customHeight="1" x14ac:dyDescent="0.35">
      <c r="A2588" s="39" t="s">
        <v>12422</v>
      </c>
      <c r="B2588" s="40" t="str">
        <f t="shared" ca="1" si="102"/>
        <v>Soportes eléctricos</v>
      </c>
      <c r="C2588" s="72" t="str">
        <f>IFERROR(VLOOKUP("UD",'Informacion '!P:Q,2,FALSE),"")</f>
        <v>Unidad</v>
      </c>
      <c r="D2588" s="39">
        <v>300</v>
      </c>
      <c r="E2588" s="42">
        <v>29.5</v>
      </c>
      <c r="F2588" s="41">
        <f t="shared" ca="1" si="100"/>
        <v>8850</v>
      </c>
    </row>
    <row r="2589" spans="1:6" ht="14.25" customHeight="1" x14ac:dyDescent="0.35">
      <c r="A2589" s="39" t="s">
        <v>12422</v>
      </c>
      <c r="B2589" s="40" t="str">
        <f t="shared" ca="1" si="102"/>
        <v>Soportes eléctricos</v>
      </c>
      <c r="C2589" s="72" t="str">
        <f>IFERROR(VLOOKUP("UD",'Informacion '!P:Q,2,FALSE),"")</f>
        <v>Unidad</v>
      </c>
      <c r="D2589" s="39">
        <v>300</v>
      </c>
      <c r="E2589" s="42">
        <v>29.5</v>
      </c>
      <c r="F2589" s="41">
        <f t="shared" ca="1" si="100"/>
        <v>8850</v>
      </c>
    </row>
    <row r="2590" spans="1:6" ht="14.25" customHeight="1" x14ac:dyDescent="0.35">
      <c r="A2590" s="39" t="s">
        <v>12422</v>
      </c>
      <c r="B2590" s="40" t="str">
        <f t="shared" ca="1" si="102"/>
        <v>Soportes eléctricos</v>
      </c>
      <c r="C2590" s="72" t="str">
        <f>IFERROR(VLOOKUP("UD",'Informacion '!P:Q,2,FALSE),"")</f>
        <v>Unidad</v>
      </c>
      <c r="D2590" s="39">
        <v>300</v>
      </c>
      <c r="E2590" s="42">
        <v>29.5</v>
      </c>
      <c r="F2590" s="41">
        <f t="shared" ca="1" si="100"/>
        <v>8850</v>
      </c>
    </row>
    <row r="2591" spans="1:6" ht="14.25" customHeight="1" x14ac:dyDescent="0.35">
      <c r="A2591" s="39" t="s">
        <v>12422</v>
      </c>
      <c r="B2591" s="40" t="str">
        <f t="shared" ca="1" si="102"/>
        <v>Soportes eléctricos</v>
      </c>
      <c r="C2591" s="72" t="str">
        <f>IFERROR(VLOOKUP("UD",'Informacion '!P:Q,2,FALSE),"")</f>
        <v>Unidad</v>
      </c>
      <c r="D2591" s="39">
        <v>435</v>
      </c>
      <c r="E2591" s="42">
        <v>29.5</v>
      </c>
      <c r="F2591" s="41">
        <f t="shared" ca="1" si="100"/>
        <v>12832.5</v>
      </c>
    </row>
    <row r="2592" spans="1:6" ht="14.25" customHeight="1" x14ac:dyDescent="0.35">
      <c r="A2592" s="39" t="s">
        <v>12422</v>
      </c>
      <c r="B2592" s="40" t="str">
        <f t="shared" ca="1" si="102"/>
        <v>Soportes eléctricos</v>
      </c>
      <c r="C2592" s="72" t="str">
        <f>IFERROR(VLOOKUP("UD",'Informacion '!P:Q,2,FALSE),"")</f>
        <v>Unidad</v>
      </c>
      <c r="D2592" s="39">
        <v>600</v>
      </c>
      <c r="E2592" s="42">
        <v>29.5</v>
      </c>
      <c r="F2592" s="41">
        <f t="shared" ca="1" si="100"/>
        <v>17700</v>
      </c>
    </row>
    <row r="2593" spans="1:6" ht="14.25" customHeight="1" x14ac:dyDescent="0.35">
      <c r="A2593" s="39" t="s">
        <v>3029</v>
      </c>
      <c r="B2593" s="40" t="str">
        <f t="shared" ref="B2593:B2605" ca="1" si="103">IFERROR(INDEX(UNSPSCDes,MATCH(INDIRECT(ADDRESS(ROW(),COLUMN()-1,4)),UNSPSCCode,0)),IF(INDIRECT(ADDRESS(ROW(),COLUMN()-1,4))="39121703","Enlaces de cables",""))</f>
        <v>Enlaces de cables</v>
      </c>
      <c r="C2593" s="72" t="str">
        <f>IFERROR(VLOOKUP("UD",'Informacion '!P:Q,2,FALSE),"")</f>
        <v>Unidad</v>
      </c>
      <c r="D2593" s="39">
        <v>2</v>
      </c>
      <c r="E2593" s="42">
        <v>3.88</v>
      </c>
      <c r="F2593" s="41">
        <f t="shared" ca="1" si="100"/>
        <v>7.76</v>
      </c>
    </row>
    <row r="2594" spans="1:6" ht="14.25" customHeight="1" x14ac:dyDescent="0.35">
      <c r="A2594" s="39" t="s">
        <v>3029</v>
      </c>
      <c r="B2594" s="40" t="str">
        <f t="shared" ca="1" si="103"/>
        <v>Enlaces de cables</v>
      </c>
      <c r="C2594" s="72" t="str">
        <f>IFERROR(VLOOKUP("UD",'Informacion '!P:Q,2,FALSE),"")</f>
        <v>Unidad</v>
      </c>
      <c r="D2594" s="39">
        <v>7</v>
      </c>
      <c r="E2594" s="42">
        <v>3.88</v>
      </c>
      <c r="F2594" s="41">
        <f t="shared" ca="1" si="100"/>
        <v>27.16</v>
      </c>
    </row>
    <row r="2595" spans="1:6" ht="14.25" customHeight="1" x14ac:dyDescent="0.35">
      <c r="A2595" s="39" t="s">
        <v>3029</v>
      </c>
      <c r="B2595" s="40" t="str">
        <f t="shared" ca="1" si="103"/>
        <v>Enlaces de cables</v>
      </c>
      <c r="C2595" s="72" t="str">
        <f>IFERROR(VLOOKUP("UD",'Informacion '!P:Q,2,FALSE),"")</f>
        <v>Unidad</v>
      </c>
      <c r="D2595" s="39">
        <v>2</v>
      </c>
      <c r="E2595" s="42">
        <v>3.88</v>
      </c>
      <c r="F2595" s="41">
        <f t="shared" ref="F2595:F2631" ca="1" si="104">INDIRECT(ADDRESS(ROW(),COLUMN()-2,4))*INDIRECT(ADDRESS(ROW(),COLUMN()-1,4))</f>
        <v>7.76</v>
      </c>
    </row>
    <row r="2596" spans="1:6" ht="14.25" customHeight="1" x14ac:dyDescent="0.35">
      <c r="A2596" s="39" t="s">
        <v>3029</v>
      </c>
      <c r="B2596" s="40" t="str">
        <f t="shared" ca="1" si="103"/>
        <v>Enlaces de cables</v>
      </c>
      <c r="C2596" s="72" t="str">
        <f>IFERROR(VLOOKUP("UD",'Informacion '!P:Q,2,FALSE),"")</f>
        <v>Unidad</v>
      </c>
      <c r="D2596" s="39">
        <v>8</v>
      </c>
      <c r="E2596" s="42">
        <v>3.88</v>
      </c>
      <c r="F2596" s="41">
        <f t="shared" ca="1" si="104"/>
        <v>31.04</v>
      </c>
    </row>
    <row r="2597" spans="1:6" ht="14.25" customHeight="1" x14ac:dyDescent="0.35">
      <c r="A2597" s="39" t="s">
        <v>3029</v>
      </c>
      <c r="B2597" s="40" t="str">
        <f t="shared" ca="1" si="103"/>
        <v>Enlaces de cables</v>
      </c>
      <c r="C2597" s="72" t="str">
        <f>IFERROR(VLOOKUP("UD",'Informacion '!P:Q,2,FALSE),"")</f>
        <v>Unidad</v>
      </c>
      <c r="D2597" s="39">
        <v>100</v>
      </c>
      <c r="E2597" s="42">
        <v>9.75</v>
      </c>
      <c r="F2597" s="41">
        <f t="shared" ca="1" si="104"/>
        <v>975</v>
      </c>
    </row>
    <row r="2598" spans="1:6" ht="14.25" customHeight="1" x14ac:dyDescent="0.35">
      <c r="A2598" s="39" t="s">
        <v>3029</v>
      </c>
      <c r="B2598" s="40" t="str">
        <f t="shared" ca="1" si="103"/>
        <v>Enlaces de cables</v>
      </c>
      <c r="C2598" s="72" t="str">
        <f>IFERROR(VLOOKUP("UD",'Informacion '!P:Q,2,FALSE),"")</f>
        <v>Unidad</v>
      </c>
      <c r="D2598" s="39">
        <v>100</v>
      </c>
      <c r="E2598" s="42">
        <v>9.75</v>
      </c>
      <c r="F2598" s="41">
        <f t="shared" ca="1" si="104"/>
        <v>975</v>
      </c>
    </row>
    <row r="2599" spans="1:6" ht="14.25" customHeight="1" x14ac:dyDescent="0.35">
      <c r="A2599" s="39" t="s">
        <v>3029</v>
      </c>
      <c r="B2599" s="40" t="str">
        <f t="shared" ca="1" si="103"/>
        <v>Enlaces de cables</v>
      </c>
      <c r="C2599" s="72" t="str">
        <f>IFERROR(VLOOKUP("UD",'Informacion '!P:Q,2,FALSE),"")</f>
        <v>Unidad</v>
      </c>
      <c r="D2599" s="39">
        <v>100</v>
      </c>
      <c r="E2599" s="42">
        <v>9.75</v>
      </c>
      <c r="F2599" s="41">
        <f t="shared" ca="1" si="104"/>
        <v>975</v>
      </c>
    </row>
    <row r="2600" spans="1:6" ht="14.25" customHeight="1" x14ac:dyDescent="0.35">
      <c r="A2600" s="39" t="s">
        <v>3029</v>
      </c>
      <c r="B2600" s="40" t="str">
        <f t="shared" ca="1" si="103"/>
        <v>Enlaces de cables</v>
      </c>
      <c r="C2600" s="72" t="str">
        <f>IFERROR(VLOOKUP("UD",'Informacion '!P:Q,2,FALSE),"")</f>
        <v>Unidad</v>
      </c>
      <c r="D2600" s="39">
        <v>2000</v>
      </c>
      <c r="E2600" s="42">
        <v>8.26</v>
      </c>
      <c r="F2600" s="41">
        <f t="shared" ca="1" si="104"/>
        <v>16520</v>
      </c>
    </row>
    <row r="2601" spans="1:6" ht="14.25" customHeight="1" x14ac:dyDescent="0.35">
      <c r="A2601" s="39" t="s">
        <v>3029</v>
      </c>
      <c r="B2601" s="40" t="str">
        <f t="shared" ca="1" si="103"/>
        <v>Enlaces de cables</v>
      </c>
      <c r="C2601" s="72" t="str">
        <f>IFERROR(VLOOKUP("UD",'Informacion '!P:Q,2,FALSE),"")</f>
        <v>Unidad</v>
      </c>
      <c r="D2601" s="39">
        <v>2000</v>
      </c>
      <c r="E2601" s="42">
        <v>8.26</v>
      </c>
      <c r="F2601" s="41">
        <f t="shared" ca="1" si="104"/>
        <v>16520</v>
      </c>
    </row>
    <row r="2602" spans="1:6" ht="14.25" customHeight="1" x14ac:dyDescent="0.35">
      <c r="A2602" s="39" t="s">
        <v>3029</v>
      </c>
      <c r="B2602" s="40" t="str">
        <f t="shared" ca="1" si="103"/>
        <v>Enlaces de cables</v>
      </c>
      <c r="C2602" s="72" t="str">
        <f>IFERROR(VLOOKUP("UD",'Informacion '!P:Q,2,FALSE),"")</f>
        <v>Unidad</v>
      </c>
      <c r="D2602" s="39">
        <v>2000</v>
      </c>
      <c r="E2602" s="42">
        <v>8.26</v>
      </c>
      <c r="F2602" s="41">
        <f t="shared" ca="1" si="104"/>
        <v>16520</v>
      </c>
    </row>
    <row r="2603" spans="1:6" ht="14.25" customHeight="1" x14ac:dyDescent="0.35">
      <c r="A2603" s="39" t="s">
        <v>3029</v>
      </c>
      <c r="B2603" s="40" t="str">
        <f t="shared" ca="1" si="103"/>
        <v>Enlaces de cables</v>
      </c>
      <c r="C2603" s="72" t="str">
        <f>IFERROR(VLOOKUP("UD",'Informacion '!P:Q,2,FALSE),"")</f>
        <v>Unidad</v>
      </c>
      <c r="D2603" s="39">
        <v>2900</v>
      </c>
      <c r="E2603" s="42">
        <v>8.26</v>
      </c>
      <c r="F2603" s="41">
        <f t="shared" ca="1" si="104"/>
        <v>23954</v>
      </c>
    </row>
    <row r="2604" spans="1:6" ht="14.25" customHeight="1" x14ac:dyDescent="0.35">
      <c r="A2604" s="39" t="s">
        <v>3029</v>
      </c>
      <c r="B2604" s="40" t="str">
        <f t="shared" ca="1" si="103"/>
        <v>Enlaces de cables</v>
      </c>
      <c r="C2604" s="72" t="str">
        <f>IFERROR(VLOOKUP("UD",'Informacion '!P:Q,2,FALSE),"")</f>
        <v>Unidad</v>
      </c>
      <c r="D2604" s="39">
        <v>4000</v>
      </c>
      <c r="E2604" s="42">
        <v>8.26</v>
      </c>
      <c r="F2604" s="41">
        <f t="shared" ca="1" si="104"/>
        <v>33040</v>
      </c>
    </row>
    <row r="2605" spans="1:6" ht="14.25" customHeight="1" x14ac:dyDescent="0.35">
      <c r="A2605" s="39" t="s">
        <v>3029</v>
      </c>
      <c r="B2605" s="40" t="str">
        <f t="shared" ca="1" si="103"/>
        <v>Enlaces de cables</v>
      </c>
      <c r="C2605" s="72" t="str">
        <f>IFERROR(VLOOKUP("UD",'Informacion '!P:Q,2,FALSE),"")</f>
        <v>Unidad</v>
      </c>
      <c r="D2605" s="39">
        <v>100</v>
      </c>
      <c r="E2605" s="42">
        <v>2</v>
      </c>
      <c r="F2605" s="41">
        <f t="shared" ca="1" si="104"/>
        <v>200</v>
      </c>
    </row>
    <row r="2606" spans="1:6" ht="14.25" customHeight="1" x14ac:dyDescent="0.35">
      <c r="A2606" s="39" t="s">
        <v>286</v>
      </c>
      <c r="B2606" s="40" t="str">
        <f t="shared" ref="B2606:B2616" ca="1" si="105">IFERROR(INDEX(UNSPSCDes,MATCH(INDIRECT(ADDRESS(ROW(),COLUMN()-1,4)),UNSPSCCode,0)),IF(INDIRECT(ADDRESS(ROW(),COLUMN()-1,4))="39121705","Grapas para cables",""))</f>
        <v>Grapas para cables</v>
      </c>
      <c r="C2606" s="72" t="str">
        <f>IFERROR(VLOOKUP("UD",'Informacion '!P:Q,2,FALSE),"")</f>
        <v>Unidad</v>
      </c>
      <c r="D2606" s="39">
        <v>5</v>
      </c>
      <c r="E2606" s="42">
        <v>154.26</v>
      </c>
      <c r="F2606" s="41">
        <f t="shared" ca="1" si="104"/>
        <v>771.3</v>
      </c>
    </row>
    <row r="2607" spans="1:6" ht="14.25" customHeight="1" x14ac:dyDescent="0.35">
      <c r="A2607" s="39" t="s">
        <v>286</v>
      </c>
      <c r="B2607" s="40" t="str">
        <f t="shared" ca="1" si="105"/>
        <v>Grapas para cables</v>
      </c>
      <c r="C2607" s="72" t="str">
        <f>IFERROR(VLOOKUP("UD",'Informacion '!P:Q,2,FALSE),"")</f>
        <v>Unidad</v>
      </c>
      <c r="D2607" s="39">
        <v>1</v>
      </c>
      <c r="E2607" s="42">
        <v>818</v>
      </c>
      <c r="F2607" s="41">
        <f t="shared" ca="1" si="104"/>
        <v>818</v>
      </c>
    </row>
    <row r="2608" spans="1:6" ht="14.25" customHeight="1" x14ac:dyDescent="0.35">
      <c r="A2608" s="39" t="s">
        <v>286</v>
      </c>
      <c r="B2608" s="40" t="str">
        <f t="shared" ca="1" si="105"/>
        <v>Grapas para cables</v>
      </c>
      <c r="C2608" s="72" t="str">
        <f>IFERROR(VLOOKUP("UD",'Informacion '!P:Q,2,FALSE),"")</f>
        <v>Unidad</v>
      </c>
      <c r="D2608" s="39">
        <v>5</v>
      </c>
      <c r="E2608" s="42">
        <v>575.15</v>
      </c>
      <c r="F2608" s="41">
        <f t="shared" ca="1" si="104"/>
        <v>2875.75</v>
      </c>
    </row>
    <row r="2609" spans="1:6" ht="14.25" customHeight="1" x14ac:dyDescent="0.35">
      <c r="A2609" s="39" t="s">
        <v>286</v>
      </c>
      <c r="B2609" s="40" t="str">
        <f t="shared" ca="1" si="105"/>
        <v>Grapas para cables</v>
      </c>
      <c r="C2609" s="72" t="str">
        <f>IFERROR(VLOOKUP("UD",'Informacion '!P:Q,2,FALSE),"")</f>
        <v>Unidad</v>
      </c>
      <c r="D2609" s="39">
        <v>1</v>
      </c>
      <c r="E2609" s="42">
        <v>154.26</v>
      </c>
      <c r="F2609" s="41">
        <f t="shared" ca="1" si="104"/>
        <v>154.26</v>
      </c>
    </row>
    <row r="2610" spans="1:6" ht="14.25" customHeight="1" x14ac:dyDescent="0.35">
      <c r="A2610" s="39" t="s">
        <v>286</v>
      </c>
      <c r="B2610" s="40" t="str">
        <f t="shared" ca="1" si="105"/>
        <v>Grapas para cables</v>
      </c>
      <c r="C2610" s="72" t="str">
        <f>IFERROR(VLOOKUP("UD",'Informacion '!P:Q,2,FALSE),"")</f>
        <v>Unidad</v>
      </c>
      <c r="D2610" s="39">
        <v>3</v>
      </c>
      <c r="E2610" s="42">
        <v>818</v>
      </c>
      <c r="F2610" s="41">
        <f t="shared" ca="1" si="104"/>
        <v>2454</v>
      </c>
    </row>
    <row r="2611" spans="1:6" ht="14.25" customHeight="1" x14ac:dyDescent="0.35">
      <c r="A2611" s="39" t="s">
        <v>286</v>
      </c>
      <c r="B2611" s="40" t="str">
        <f t="shared" ca="1" si="105"/>
        <v>Grapas para cables</v>
      </c>
      <c r="C2611" s="72" t="str">
        <f>IFERROR(VLOOKUP("UD",'Informacion '!P:Q,2,FALSE),"")</f>
        <v>Unidad</v>
      </c>
      <c r="D2611" s="39">
        <v>22</v>
      </c>
      <c r="E2611" s="42">
        <v>154.26</v>
      </c>
      <c r="F2611" s="41">
        <f t="shared" ca="1" si="104"/>
        <v>3393.72</v>
      </c>
    </row>
    <row r="2612" spans="1:6" ht="14.25" customHeight="1" x14ac:dyDescent="0.35">
      <c r="A2612" s="39" t="s">
        <v>286</v>
      </c>
      <c r="B2612" s="40" t="str">
        <f t="shared" ca="1" si="105"/>
        <v>Grapas para cables</v>
      </c>
      <c r="C2612" s="72" t="str">
        <f>IFERROR(VLOOKUP("UD",'Informacion '!P:Q,2,FALSE),"")</f>
        <v>Unidad</v>
      </c>
      <c r="D2612" s="39">
        <v>2</v>
      </c>
      <c r="E2612" s="42">
        <v>818</v>
      </c>
      <c r="F2612" s="41">
        <f t="shared" ca="1" si="104"/>
        <v>1636</v>
      </c>
    </row>
    <row r="2613" spans="1:6" ht="14.25" customHeight="1" x14ac:dyDescent="0.35">
      <c r="A2613" s="39" t="s">
        <v>286</v>
      </c>
      <c r="B2613" s="40" t="str">
        <f t="shared" ca="1" si="105"/>
        <v>Grapas para cables</v>
      </c>
      <c r="C2613" s="72" t="str">
        <f>IFERROR(VLOOKUP("UD",'Informacion '!P:Q,2,FALSE),"")</f>
        <v>Unidad</v>
      </c>
      <c r="D2613" s="39">
        <v>2</v>
      </c>
      <c r="E2613" s="42">
        <v>154.26</v>
      </c>
      <c r="F2613" s="41">
        <f t="shared" ca="1" si="104"/>
        <v>308.52</v>
      </c>
    </row>
    <row r="2614" spans="1:6" ht="14.25" customHeight="1" x14ac:dyDescent="0.35">
      <c r="A2614" s="39" t="s">
        <v>286</v>
      </c>
      <c r="B2614" s="40" t="str">
        <f t="shared" ca="1" si="105"/>
        <v>Grapas para cables</v>
      </c>
      <c r="C2614" s="72" t="str">
        <f>IFERROR(VLOOKUP("UD",'Informacion '!P:Q,2,FALSE),"")</f>
        <v>Unidad</v>
      </c>
      <c r="D2614" s="39">
        <v>1</v>
      </c>
      <c r="E2614" s="42">
        <v>818</v>
      </c>
      <c r="F2614" s="41">
        <f t="shared" ca="1" si="104"/>
        <v>818</v>
      </c>
    </row>
    <row r="2615" spans="1:6" ht="14.25" customHeight="1" x14ac:dyDescent="0.35">
      <c r="A2615" s="39" t="s">
        <v>286</v>
      </c>
      <c r="B2615" s="40" t="str">
        <f t="shared" ca="1" si="105"/>
        <v>Grapas para cables</v>
      </c>
      <c r="C2615" s="72" t="str">
        <f>IFERROR(VLOOKUP("UD",'Informacion '!P:Q,2,FALSE),"")</f>
        <v>Unidad</v>
      </c>
      <c r="D2615" s="39">
        <v>17</v>
      </c>
      <c r="E2615" s="42">
        <v>154.26</v>
      </c>
      <c r="F2615" s="41">
        <f t="shared" ca="1" si="104"/>
        <v>2622.42</v>
      </c>
    </row>
    <row r="2616" spans="1:6" ht="14.25" customHeight="1" x14ac:dyDescent="0.35">
      <c r="A2616" s="39" t="s">
        <v>286</v>
      </c>
      <c r="B2616" s="40" t="str">
        <f t="shared" ca="1" si="105"/>
        <v>Grapas para cables</v>
      </c>
      <c r="C2616" s="72" t="str">
        <f>IFERROR(VLOOKUP("UD",'Informacion '!P:Q,2,FALSE),"")</f>
        <v>Unidad</v>
      </c>
      <c r="D2616" s="39">
        <v>1</v>
      </c>
      <c r="E2616" s="42">
        <v>818</v>
      </c>
      <c r="F2616" s="41">
        <f t="shared" ca="1" si="104"/>
        <v>818</v>
      </c>
    </row>
    <row r="2617" spans="1:6" ht="14.25" customHeight="1" x14ac:dyDescent="0.35">
      <c r="A2617" s="39" t="s">
        <v>12424</v>
      </c>
      <c r="B2617" s="40" t="str">
        <f t="shared" ref="B2617:B2631" ca="1" si="106">IFERROR(INDEX(UNSPSCDes,MATCH(INDIRECT(ADDRESS(ROW(),COLUMN()-1,4)),UNSPSCCode,0)),IF(INDIRECT(ADDRESS(ROW(),COLUMN()-1,4))="39121721","Aislantes eléctricos",""))</f>
        <v>Aislantes eléctricos</v>
      </c>
      <c r="C2617" s="72" t="str">
        <f>IFERROR(VLOOKUP("UD",'Informacion '!P:Q,2,FALSE),"")</f>
        <v>Unidad</v>
      </c>
      <c r="D2617" s="39">
        <v>2</v>
      </c>
      <c r="E2617" s="42">
        <v>553.86</v>
      </c>
      <c r="F2617" s="41">
        <f t="shared" ca="1" si="104"/>
        <v>1107.72</v>
      </c>
    </row>
    <row r="2618" spans="1:6" ht="14.25" customHeight="1" x14ac:dyDescent="0.35">
      <c r="A2618" s="39" t="s">
        <v>12424</v>
      </c>
      <c r="B2618" s="40" t="str">
        <f t="shared" ca="1" si="106"/>
        <v>Aislantes eléctricos</v>
      </c>
      <c r="C2618" s="72" t="str">
        <f>IFERROR(VLOOKUP("UD",'Informacion '!P:Q,2,FALSE),"")</f>
        <v>Unidad</v>
      </c>
      <c r="D2618" s="39">
        <v>6</v>
      </c>
      <c r="E2618" s="42">
        <v>553.89</v>
      </c>
      <c r="F2618" s="41">
        <f t="shared" ca="1" si="104"/>
        <v>3323.34</v>
      </c>
    </row>
    <row r="2619" spans="1:6" ht="14.25" customHeight="1" x14ac:dyDescent="0.35">
      <c r="A2619" s="39" t="s">
        <v>12424</v>
      </c>
      <c r="B2619" s="40" t="str">
        <f t="shared" ca="1" si="106"/>
        <v>Aislantes eléctricos</v>
      </c>
      <c r="C2619" s="72" t="str">
        <f>IFERROR(VLOOKUP("UD",'Informacion '!P:Q,2,FALSE),"")</f>
        <v>Unidad</v>
      </c>
      <c r="D2619" s="39">
        <v>25</v>
      </c>
      <c r="E2619" s="42">
        <v>553.89</v>
      </c>
      <c r="F2619" s="41">
        <f t="shared" ca="1" si="104"/>
        <v>13847.25</v>
      </c>
    </row>
    <row r="2620" spans="1:6" ht="14.25" customHeight="1" x14ac:dyDescent="0.35">
      <c r="A2620" s="39" t="s">
        <v>12424</v>
      </c>
      <c r="B2620" s="40" t="str">
        <f t="shared" ca="1" si="106"/>
        <v>Aislantes eléctricos</v>
      </c>
      <c r="C2620" s="72" t="str">
        <f>IFERROR(VLOOKUP("UD",'Informacion '!P:Q,2,FALSE),"")</f>
        <v>Unidad</v>
      </c>
      <c r="D2620" s="39">
        <v>1</v>
      </c>
      <c r="E2620" s="42">
        <v>592.61</v>
      </c>
      <c r="F2620" s="41">
        <f t="shared" ca="1" si="104"/>
        <v>592.61</v>
      </c>
    </row>
    <row r="2621" spans="1:6" ht="14.25" customHeight="1" x14ac:dyDescent="0.35">
      <c r="A2621" s="39" t="s">
        <v>12424</v>
      </c>
      <c r="B2621" s="40" t="str">
        <f t="shared" ca="1" si="106"/>
        <v>Aislantes eléctricos</v>
      </c>
      <c r="C2621" s="72" t="str">
        <f>IFERROR(VLOOKUP("UD",'Informacion '!P:Q,2,FALSE),"")</f>
        <v>Unidad</v>
      </c>
      <c r="D2621" s="39">
        <v>1</v>
      </c>
      <c r="E2621" s="42">
        <v>592.61</v>
      </c>
      <c r="F2621" s="41">
        <f t="shared" ca="1" si="104"/>
        <v>592.61</v>
      </c>
    </row>
    <row r="2622" spans="1:6" ht="14.25" customHeight="1" x14ac:dyDescent="0.35">
      <c r="A2622" s="39" t="s">
        <v>12424</v>
      </c>
      <c r="B2622" s="40" t="str">
        <f t="shared" ca="1" si="106"/>
        <v>Aislantes eléctricos</v>
      </c>
      <c r="C2622" s="72" t="str">
        <f>IFERROR(VLOOKUP("UD",'Informacion '!P:Q,2,FALSE),"")</f>
        <v>Unidad</v>
      </c>
      <c r="D2622" s="39">
        <v>1</v>
      </c>
      <c r="E2622" s="42">
        <v>592.61</v>
      </c>
      <c r="F2622" s="41">
        <f t="shared" ca="1" si="104"/>
        <v>592.61</v>
      </c>
    </row>
    <row r="2623" spans="1:6" ht="14.25" customHeight="1" x14ac:dyDescent="0.35">
      <c r="A2623" s="39" t="s">
        <v>12424</v>
      </c>
      <c r="B2623" s="40" t="str">
        <f t="shared" ca="1" si="106"/>
        <v>Aislantes eléctricos</v>
      </c>
      <c r="C2623" s="72" t="str">
        <f>IFERROR(VLOOKUP("UD",'Informacion '!P:Q,2,FALSE),"")</f>
        <v>Unidad</v>
      </c>
      <c r="D2623" s="39">
        <v>25</v>
      </c>
      <c r="E2623" s="42">
        <v>592.61</v>
      </c>
      <c r="F2623" s="41">
        <f t="shared" ca="1" si="104"/>
        <v>14815.25</v>
      </c>
    </row>
    <row r="2624" spans="1:6" ht="14.25" customHeight="1" x14ac:dyDescent="0.35">
      <c r="A2624" s="39" t="s">
        <v>12424</v>
      </c>
      <c r="B2624" s="40" t="str">
        <f t="shared" ca="1" si="106"/>
        <v>Aislantes eléctricos</v>
      </c>
      <c r="C2624" s="72" t="str">
        <f>IFERROR(VLOOKUP("UD",'Informacion '!P:Q,2,FALSE),"")</f>
        <v>Unidad</v>
      </c>
      <c r="D2624" s="39">
        <v>25</v>
      </c>
      <c r="E2624" s="42">
        <v>592.61</v>
      </c>
      <c r="F2624" s="41">
        <f t="shared" ca="1" si="104"/>
        <v>14815.25</v>
      </c>
    </row>
    <row r="2625" spans="1:10" ht="14.25" customHeight="1" x14ac:dyDescent="0.35">
      <c r="A2625" s="39" t="s">
        <v>12424</v>
      </c>
      <c r="B2625" s="40" t="str">
        <f t="shared" ca="1" si="106"/>
        <v>Aislantes eléctricos</v>
      </c>
      <c r="C2625" s="72" t="str">
        <f>IFERROR(VLOOKUP("UD",'Informacion '!P:Q,2,FALSE),"")</f>
        <v>Unidad</v>
      </c>
      <c r="D2625" s="39">
        <v>25</v>
      </c>
      <c r="E2625" s="42">
        <v>592.61</v>
      </c>
      <c r="F2625" s="41">
        <f t="shared" ca="1" si="104"/>
        <v>14815.25</v>
      </c>
    </row>
    <row r="2626" spans="1:10" ht="14.25" customHeight="1" x14ac:dyDescent="0.35">
      <c r="A2626" s="39" t="s">
        <v>12424</v>
      </c>
      <c r="B2626" s="40" t="str">
        <f t="shared" ca="1" si="106"/>
        <v>Aislantes eléctricos</v>
      </c>
      <c r="C2626" s="72" t="str">
        <f>IFERROR(VLOOKUP("UD",'Informacion '!P:Q,2,FALSE),"")</f>
        <v>Unidad</v>
      </c>
      <c r="D2626" s="39">
        <v>37</v>
      </c>
      <c r="E2626" s="42">
        <v>592.61</v>
      </c>
      <c r="F2626" s="41">
        <f t="shared" ca="1" si="104"/>
        <v>21926.57</v>
      </c>
    </row>
    <row r="2627" spans="1:10" ht="14.25" customHeight="1" x14ac:dyDescent="0.35">
      <c r="A2627" s="39" t="s">
        <v>12424</v>
      </c>
      <c r="B2627" s="40" t="str">
        <f t="shared" ca="1" si="106"/>
        <v>Aislantes eléctricos</v>
      </c>
      <c r="C2627" s="72" t="str">
        <f>IFERROR(VLOOKUP("UD",'Informacion '!P:Q,2,FALSE),"")</f>
        <v>Unidad</v>
      </c>
      <c r="D2627" s="39">
        <v>50</v>
      </c>
      <c r="E2627" s="42">
        <v>592.61</v>
      </c>
      <c r="F2627" s="41">
        <f t="shared" ca="1" si="104"/>
        <v>29630.5</v>
      </c>
    </row>
    <row r="2628" spans="1:10" ht="14.25" customHeight="1" x14ac:dyDescent="0.35">
      <c r="A2628" s="39" t="s">
        <v>12424</v>
      </c>
      <c r="B2628" s="40" t="str">
        <f t="shared" ca="1" si="106"/>
        <v>Aislantes eléctricos</v>
      </c>
      <c r="C2628" s="72" t="str">
        <f>IFERROR(VLOOKUP("UD",'Informacion '!P:Q,2,FALSE),"")</f>
        <v>Unidad</v>
      </c>
      <c r="D2628" s="39">
        <v>20</v>
      </c>
      <c r="E2628" s="42">
        <v>200</v>
      </c>
      <c r="F2628" s="41">
        <f t="shared" ca="1" si="104"/>
        <v>4000</v>
      </c>
    </row>
    <row r="2629" spans="1:10" ht="14.25" customHeight="1" x14ac:dyDescent="0.35">
      <c r="A2629" s="39" t="s">
        <v>12424</v>
      </c>
      <c r="B2629" s="40" t="str">
        <f t="shared" ca="1" si="106"/>
        <v>Aislantes eléctricos</v>
      </c>
      <c r="C2629" s="72" t="str">
        <f>IFERROR(VLOOKUP("UD",'Informacion '!P:Q,2,FALSE),"")</f>
        <v>Unidad</v>
      </c>
      <c r="D2629" s="39">
        <v>14</v>
      </c>
      <c r="E2629" s="42">
        <v>1019.25</v>
      </c>
      <c r="F2629" s="41">
        <f t="shared" ca="1" si="104"/>
        <v>14269.5</v>
      </c>
    </row>
    <row r="2630" spans="1:10" ht="14.25" customHeight="1" x14ac:dyDescent="0.35">
      <c r="A2630" s="39" t="s">
        <v>12424</v>
      </c>
      <c r="B2630" s="40" t="str">
        <f t="shared" ca="1" si="106"/>
        <v>Aislantes eléctricos</v>
      </c>
      <c r="C2630" s="72" t="str">
        <f>IFERROR(VLOOKUP("UD",'Informacion '!P:Q,2,FALSE),"")</f>
        <v>Unidad</v>
      </c>
      <c r="D2630" s="39">
        <v>50</v>
      </c>
      <c r="E2630" s="42">
        <v>120</v>
      </c>
      <c r="F2630" s="41">
        <f t="shared" ca="1" si="104"/>
        <v>6000</v>
      </c>
    </row>
    <row r="2631" spans="1:10" ht="14.25" customHeight="1" x14ac:dyDescent="0.35">
      <c r="A2631" s="39" t="s">
        <v>12424</v>
      </c>
      <c r="B2631" s="40" t="str">
        <f t="shared" ca="1" si="106"/>
        <v>Aislantes eléctricos</v>
      </c>
      <c r="C2631" s="72" t="str">
        <f>IFERROR(VLOOKUP("UD",'Informacion '!P:Q,2,FALSE),"")</f>
        <v>Unidad</v>
      </c>
      <c r="D2631" s="39">
        <v>200</v>
      </c>
      <c r="E2631" s="42">
        <v>112</v>
      </c>
      <c r="F2631" s="41">
        <f t="shared" ca="1" si="104"/>
        <v>22400</v>
      </c>
    </row>
    <row r="2632" spans="1:10" ht="14.25" customHeight="1" x14ac:dyDescent="0.35">
      <c r="E2632" s="44" t="s">
        <v>13122</v>
      </c>
      <c r="F2632" s="45">
        <f ca="1">SUM(Table130[MONTO TOTAL ESTIMADO])</f>
        <v>31453443.689999986</v>
      </c>
      <c r="H2632" s="24" t="str">
        <f>C2332</f>
        <v>Bienes</v>
      </c>
      <c r="I2632" s="24" t="str">
        <f>E2332</f>
        <v>Sí</v>
      </c>
      <c r="J2632" s="24" t="str">
        <f>D2332</f>
        <v>Licitacion Publica</v>
      </c>
    </row>
    <row r="2634" spans="1:10" ht="34" customHeight="1" x14ac:dyDescent="0.35">
      <c r="A2634" s="36" t="s">
        <v>17105</v>
      </c>
      <c r="B2634" s="36" t="s">
        <v>167</v>
      </c>
      <c r="C2634" s="36" t="s">
        <v>12252</v>
      </c>
      <c r="D2634" s="36" t="s">
        <v>15021</v>
      </c>
      <c r="E2634" s="36" t="s">
        <v>11455</v>
      </c>
      <c r="F2634" s="36" t="s">
        <v>11595</v>
      </c>
    </row>
    <row r="2635" spans="1:10" ht="14.25" customHeight="1" x14ac:dyDescent="0.35">
      <c r="A2635" s="37" t="s">
        <v>4688</v>
      </c>
      <c r="B2635" s="37" t="s">
        <v>4688</v>
      </c>
      <c r="C2635" s="37" t="s">
        <v>18585</v>
      </c>
      <c r="D2635" s="37" t="s">
        <v>18695</v>
      </c>
      <c r="E2635" s="37" t="s">
        <v>9261</v>
      </c>
      <c r="F2635" s="37" t="s">
        <v>7088</v>
      </c>
    </row>
    <row r="2636" spans="1:10" ht="14.25" customHeight="1" x14ac:dyDescent="0.35">
      <c r="A2636" s="75" t="s">
        <v>15490</v>
      </c>
      <c r="B2636" s="38" t="s">
        <v>8918</v>
      </c>
      <c r="C2636" s="68">
        <v>45383</v>
      </c>
      <c r="D2636" s="75" t="s">
        <v>9819</v>
      </c>
      <c r="E2636" s="70" t="s">
        <v>13683</v>
      </c>
      <c r="F2636" s="71" t="s">
        <v>3205</v>
      </c>
    </row>
    <row r="2637" spans="1:10" ht="14.25" customHeight="1" x14ac:dyDescent="0.35">
      <c r="A2637" s="76"/>
      <c r="B2637" s="38" t="s">
        <v>1858</v>
      </c>
      <c r="C2637" s="69">
        <f>IF(C2636="","",IF(AND(MONTH(C2636)&gt;=1,MONTH(C2636)&lt;=3),1,IF(AND(MONTH(C2636)&gt;=4,MONTH(C2636)&lt;=6),2,IF(AND(MONTH(C2636)&gt;=7,MONTH(C2636)&lt;=9),3,4))))</f>
        <v>2</v>
      </c>
      <c r="D2637" s="76"/>
      <c r="E2637" s="70" t="s">
        <v>2509</v>
      </c>
      <c r="F2637" s="71" t="s">
        <v>11612</v>
      </c>
    </row>
    <row r="2638" spans="1:10" ht="14.25" customHeight="1" x14ac:dyDescent="0.35">
      <c r="A2638" s="76"/>
      <c r="B2638" s="38" t="s">
        <v>13526</v>
      </c>
      <c r="C2638" s="68">
        <v>45471</v>
      </c>
      <c r="D2638" s="76"/>
      <c r="E2638" s="70" t="s">
        <v>3198</v>
      </c>
      <c r="F2638" s="71" t="s">
        <v>11612</v>
      </c>
    </row>
    <row r="2639" spans="1:10" ht="14.25" customHeight="1" x14ac:dyDescent="0.35">
      <c r="A2639" s="76"/>
      <c r="B2639" s="38" t="s">
        <v>1858</v>
      </c>
      <c r="C2639" s="69">
        <f>IF(C2638="","",IF(AND(MONTH(C2638)&gt;=1,MONTH(C2638)&lt;=3),1,IF(AND(MONTH(C2638)&gt;=4,MONTH(C2638)&lt;=6),2,IF(AND(MONTH(C2638)&gt;=7,MONTH(C2638)&lt;=9),3,4))))</f>
        <v>2</v>
      </c>
      <c r="D2639" s="76"/>
      <c r="E2639" s="70" t="s">
        <v>13785</v>
      </c>
      <c r="F2639" s="71"/>
    </row>
    <row r="2641" spans="1:10" ht="14.25" customHeight="1" x14ac:dyDescent="0.35">
      <c r="A2641" s="43" t="s">
        <v>16424</v>
      </c>
      <c r="B2641" s="43" t="s">
        <v>16856</v>
      </c>
      <c r="C2641" s="43" t="s">
        <v>16326</v>
      </c>
      <c r="D2641" s="43" t="s">
        <v>15925</v>
      </c>
      <c r="E2641" s="43" t="s">
        <v>7248</v>
      </c>
      <c r="F2641" s="43" t="s">
        <v>15955</v>
      </c>
    </row>
    <row r="2642" spans="1:10" ht="14.25" customHeight="1" x14ac:dyDescent="0.35">
      <c r="A2642" s="39" t="s">
        <v>5729</v>
      </c>
      <c r="B2642" s="40" t="str">
        <f ca="1">IFERROR(INDEX(UNSPSCDes,MATCH(INDIRECT(ADDRESS(ROW(),COLUMN()-1,4)),UNSPSCCode,0)),IF(INDIRECT(ADDRESS(ROW(),COLUMN()-1,4))="39121004","Unidades de suministro de energía",""))</f>
        <v>Unidades de suministro de energía</v>
      </c>
      <c r="C2642" s="72" t="str">
        <f>IFERROR(VLOOKUP("PAQ",'Informacion '!P:Q,2,FALSE),"")</f>
        <v>Paquete</v>
      </c>
      <c r="D2642" s="39">
        <v>1</v>
      </c>
      <c r="E2642" s="42">
        <v>7000000</v>
      </c>
      <c r="F2642" s="41">
        <f ca="1">INDIRECT(ADDRESS(ROW(),COLUMN()-2,4))*INDIRECT(ADDRESS(ROW(),COLUMN()-1,4))</f>
        <v>7000000</v>
      </c>
    </row>
    <row r="2643" spans="1:10" ht="14.25" customHeight="1" x14ac:dyDescent="0.35">
      <c r="A2643" s="39" t="s">
        <v>10376</v>
      </c>
      <c r="B2643" s="40" t="str">
        <f ca="1">IFERROR(INDEX(UNSPSCDes,MATCH(INDIRECT(ADDRESS(ROW(),COLUMN()-1,4)),UNSPSCCode,0)),IF(INDIRECT(ADDRESS(ROW(),COLUMN()-1,4))="39121601","Breakers de circuito",""))</f>
        <v>Breakers de circuito</v>
      </c>
      <c r="C2643" s="72" t="str">
        <f>IFERROR(VLOOKUP("UD",'Informacion '!P:Q,2,FALSE),"")</f>
        <v>Unidad</v>
      </c>
      <c r="D2643" s="39">
        <v>25</v>
      </c>
      <c r="E2643" s="42">
        <v>182.99</v>
      </c>
      <c r="F2643" s="41">
        <f ca="1">INDIRECT(ADDRESS(ROW(),COLUMN()-2,4))*INDIRECT(ADDRESS(ROW(),COLUMN()-1,4))</f>
        <v>4574.75</v>
      </c>
    </row>
    <row r="2644" spans="1:10" ht="14.25" customHeight="1" x14ac:dyDescent="0.35">
      <c r="E2644" s="44" t="s">
        <v>13122</v>
      </c>
      <c r="F2644" s="45">
        <f ca="1">SUM(Table131[MONTO TOTAL ESTIMADO])</f>
        <v>7004574.75</v>
      </c>
      <c r="H2644" s="24" t="str">
        <f>C2635</f>
        <v>Bienes</v>
      </c>
      <c r="I2644" s="24" t="str">
        <f>E2635</f>
        <v>Sí</v>
      </c>
      <c r="J2644" s="24" t="str">
        <f>D2635</f>
        <v>Licitacion Publica Internacional</v>
      </c>
    </row>
    <row r="2646" spans="1:10" ht="34" customHeight="1" x14ac:dyDescent="0.35">
      <c r="A2646" s="36" t="s">
        <v>17105</v>
      </c>
      <c r="B2646" s="36" t="s">
        <v>167</v>
      </c>
      <c r="C2646" s="36" t="s">
        <v>12252</v>
      </c>
      <c r="D2646" s="36" t="s">
        <v>15021</v>
      </c>
      <c r="E2646" s="36" t="s">
        <v>11455</v>
      </c>
      <c r="F2646" s="36" t="s">
        <v>11595</v>
      </c>
    </row>
    <row r="2647" spans="1:10" ht="14.25" customHeight="1" x14ac:dyDescent="0.35">
      <c r="A2647" s="37" t="s">
        <v>4688</v>
      </c>
      <c r="B2647" s="37" t="s">
        <v>4688</v>
      </c>
      <c r="C2647" s="37" t="s">
        <v>18585</v>
      </c>
      <c r="D2647" s="37" t="s">
        <v>10634</v>
      </c>
      <c r="E2647" s="37" t="s">
        <v>9261</v>
      </c>
      <c r="F2647" s="37" t="s">
        <v>7088</v>
      </c>
    </row>
    <row r="2648" spans="1:10" ht="14.25" customHeight="1" x14ac:dyDescent="0.35">
      <c r="A2648" s="75" t="s">
        <v>15490</v>
      </c>
      <c r="B2648" s="38" t="s">
        <v>8918</v>
      </c>
      <c r="C2648" s="68">
        <v>45474</v>
      </c>
      <c r="D2648" s="75" t="s">
        <v>9819</v>
      </c>
      <c r="E2648" s="70" t="s">
        <v>13683</v>
      </c>
      <c r="F2648" s="71" t="s">
        <v>3205</v>
      </c>
    </row>
    <row r="2649" spans="1:10" ht="14.25" customHeight="1" x14ac:dyDescent="0.35">
      <c r="A2649" s="76"/>
      <c r="B2649" s="38" t="s">
        <v>1858</v>
      </c>
      <c r="C2649" s="69">
        <f>IF(C2648="","",IF(AND(MONTH(C2648)&gt;=1,MONTH(C2648)&lt;=3),1,IF(AND(MONTH(C2648)&gt;=4,MONTH(C2648)&lt;=6),2,IF(AND(MONTH(C2648)&gt;=7,MONTH(C2648)&lt;=9),3,4))))</f>
        <v>3</v>
      </c>
      <c r="D2649" s="76"/>
      <c r="E2649" s="70" t="s">
        <v>2509</v>
      </c>
      <c r="F2649" s="71" t="s">
        <v>11612</v>
      </c>
    </row>
    <row r="2650" spans="1:10" ht="14.25" customHeight="1" x14ac:dyDescent="0.35">
      <c r="A2650" s="76"/>
      <c r="B2650" s="38" t="s">
        <v>13526</v>
      </c>
      <c r="C2650" s="68">
        <v>45565</v>
      </c>
      <c r="D2650" s="76"/>
      <c r="E2650" s="70" t="s">
        <v>3198</v>
      </c>
      <c r="F2650" s="71" t="s">
        <v>11612</v>
      </c>
    </row>
    <row r="2651" spans="1:10" ht="14.25" customHeight="1" x14ac:dyDescent="0.35">
      <c r="A2651" s="76"/>
      <c r="B2651" s="38" t="s">
        <v>1858</v>
      </c>
      <c r="C2651" s="69">
        <f>IF(C2650="","",IF(AND(MONTH(C2650)&gt;=1,MONTH(C2650)&lt;=3),1,IF(AND(MONTH(C2650)&gt;=4,MONTH(C2650)&lt;=6),2,IF(AND(MONTH(C2650)&gt;=7,MONTH(C2650)&lt;=9),3,4))))</f>
        <v>3</v>
      </c>
      <c r="D2651" s="76"/>
      <c r="E2651" s="70" t="s">
        <v>13785</v>
      </c>
      <c r="F2651" s="71"/>
    </row>
    <row r="2653" spans="1:10" ht="14.25" customHeight="1" x14ac:dyDescent="0.35">
      <c r="A2653" s="43" t="s">
        <v>16424</v>
      </c>
      <c r="B2653" s="43" t="s">
        <v>16856</v>
      </c>
      <c r="C2653" s="43" t="s">
        <v>16326</v>
      </c>
      <c r="D2653" s="43" t="s">
        <v>15925</v>
      </c>
      <c r="E2653" s="43" t="s">
        <v>7248</v>
      </c>
      <c r="F2653" s="43" t="s">
        <v>15955</v>
      </c>
    </row>
    <row r="2654" spans="1:10" ht="14.25" customHeight="1" x14ac:dyDescent="0.35">
      <c r="A2654" s="39" t="s">
        <v>10376</v>
      </c>
      <c r="B2654" s="40" t="str">
        <f t="shared" ref="B2654:B2665" ca="1" si="107">IFERROR(INDEX(UNSPSCDes,MATCH(INDIRECT(ADDRESS(ROW(),COLUMN()-1,4)),UNSPSCCode,0)),IF(INDIRECT(ADDRESS(ROW(),COLUMN()-1,4))="39121601","Breakers de circuito",""))</f>
        <v>Breakers de circuito</v>
      </c>
      <c r="C2654" s="72" t="str">
        <f>IFERROR(VLOOKUP("UD",'Informacion '!P:Q,2,FALSE),"")</f>
        <v>Unidad</v>
      </c>
      <c r="D2654" s="39">
        <v>3</v>
      </c>
      <c r="E2654" s="42">
        <v>5400</v>
      </c>
      <c r="F2654" s="41">
        <f t="shared" ref="F2654:F2665" ca="1" si="108">INDIRECT(ADDRESS(ROW(),COLUMN()-2,4))*INDIRECT(ADDRESS(ROW(),COLUMN()-1,4))</f>
        <v>16200</v>
      </c>
    </row>
    <row r="2655" spans="1:10" ht="14.25" customHeight="1" x14ac:dyDescent="0.35">
      <c r="A2655" s="39" t="s">
        <v>10376</v>
      </c>
      <c r="B2655" s="40" t="str">
        <f t="shared" ca="1" si="107"/>
        <v>Breakers de circuito</v>
      </c>
      <c r="C2655" s="72" t="str">
        <f>IFERROR(VLOOKUP("UD",'Informacion '!P:Q,2,FALSE),"")</f>
        <v>Unidad</v>
      </c>
      <c r="D2655" s="39">
        <v>5</v>
      </c>
      <c r="E2655" s="42">
        <v>2245.1999999999998</v>
      </c>
      <c r="F2655" s="41">
        <f t="shared" ca="1" si="108"/>
        <v>11226</v>
      </c>
    </row>
    <row r="2656" spans="1:10" ht="14.25" customHeight="1" x14ac:dyDescent="0.35">
      <c r="A2656" s="39" t="s">
        <v>10376</v>
      </c>
      <c r="B2656" s="40" t="str">
        <f t="shared" ca="1" si="107"/>
        <v>Breakers de circuito</v>
      </c>
      <c r="C2656" s="72" t="str">
        <f>IFERROR(VLOOKUP("UD",'Informacion '!P:Q,2,FALSE),"")</f>
        <v>Unidad</v>
      </c>
      <c r="D2656" s="39">
        <v>5</v>
      </c>
      <c r="E2656" s="42">
        <v>2278.23</v>
      </c>
      <c r="F2656" s="41">
        <f t="shared" ca="1" si="108"/>
        <v>11391.15</v>
      </c>
    </row>
    <row r="2657" spans="1:10" ht="14.25" customHeight="1" x14ac:dyDescent="0.35">
      <c r="A2657" s="39" t="s">
        <v>10376</v>
      </c>
      <c r="B2657" s="40" t="str">
        <f t="shared" ca="1" si="107"/>
        <v>Breakers de circuito</v>
      </c>
      <c r="C2657" s="72" t="str">
        <f>IFERROR(VLOOKUP("UD",'Informacion '!P:Q,2,FALSE),"")</f>
        <v>Unidad</v>
      </c>
      <c r="D2657" s="39">
        <v>5</v>
      </c>
      <c r="E2657" s="42">
        <v>1419.98</v>
      </c>
      <c r="F2657" s="41">
        <f t="shared" ca="1" si="108"/>
        <v>7099.9</v>
      </c>
    </row>
    <row r="2658" spans="1:10" ht="14.25" customHeight="1" x14ac:dyDescent="0.35">
      <c r="A2658" s="39" t="s">
        <v>10376</v>
      </c>
      <c r="B2658" s="40" t="str">
        <f t="shared" ca="1" si="107"/>
        <v>Breakers de circuito</v>
      </c>
      <c r="C2658" s="72" t="str">
        <f>IFERROR(VLOOKUP("UD",'Informacion '!P:Q,2,FALSE),"")</f>
        <v>Unidad</v>
      </c>
      <c r="D2658" s="39">
        <v>5</v>
      </c>
      <c r="E2658" s="42">
        <v>1890</v>
      </c>
      <c r="F2658" s="41">
        <f t="shared" ca="1" si="108"/>
        <v>9450</v>
      </c>
    </row>
    <row r="2659" spans="1:10" ht="14.25" customHeight="1" x14ac:dyDescent="0.35">
      <c r="A2659" s="39" t="s">
        <v>10376</v>
      </c>
      <c r="B2659" s="40" t="str">
        <f t="shared" ca="1" si="107"/>
        <v>Breakers de circuito</v>
      </c>
      <c r="C2659" s="72" t="str">
        <f>IFERROR(VLOOKUP("UD",'Informacion '!P:Q,2,FALSE),"")</f>
        <v>Unidad</v>
      </c>
      <c r="D2659" s="39">
        <v>20</v>
      </c>
      <c r="E2659" s="42">
        <v>296.47000000000003</v>
      </c>
      <c r="F2659" s="41">
        <f t="shared" ca="1" si="108"/>
        <v>5929.4000000000005</v>
      </c>
    </row>
    <row r="2660" spans="1:10" ht="14.25" customHeight="1" x14ac:dyDescent="0.35">
      <c r="A2660" s="39" t="s">
        <v>10376</v>
      </c>
      <c r="B2660" s="40" t="str">
        <f t="shared" ca="1" si="107"/>
        <v>Breakers de circuito</v>
      </c>
      <c r="C2660" s="72" t="str">
        <f>IFERROR(VLOOKUP("UD",'Informacion '!P:Q,2,FALSE),"")</f>
        <v>Unidad</v>
      </c>
      <c r="D2660" s="39">
        <v>20</v>
      </c>
      <c r="E2660" s="42">
        <v>509.92</v>
      </c>
      <c r="F2660" s="41">
        <f t="shared" ca="1" si="108"/>
        <v>10198.4</v>
      </c>
    </row>
    <row r="2661" spans="1:10" ht="14.25" customHeight="1" x14ac:dyDescent="0.35">
      <c r="A2661" s="39" t="s">
        <v>10376</v>
      </c>
      <c r="B2661" s="40" t="str">
        <f t="shared" ca="1" si="107"/>
        <v>Breakers de circuito</v>
      </c>
      <c r="C2661" s="72" t="str">
        <f>IFERROR(VLOOKUP("UD",'Informacion '!P:Q,2,FALSE),"")</f>
        <v>Unidad</v>
      </c>
      <c r="D2661" s="39">
        <v>25</v>
      </c>
      <c r="E2661" s="42">
        <v>296.47000000000003</v>
      </c>
      <c r="F2661" s="41">
        <f t="shared" ca="1" si="108"/>
        <v>7411.7500000000009</v>
      </c>
    </row>
    <row r="2662" spans="1:10" ht="14.25" customHeight="1" x14ac:dyDescent="0.35">
      <c r="A2662" s="39" t="s">
        <v>10376</v>
      </c>
      <c r="B2662" s="40" t="str">
        <f t="shared" ca="1" si="107"/>
        <v>Breakers de circuito</v>
      </c>
      <c r="C2662" s="72" t="str">
        <f>IFERROR(VLOOKUP("UD",'Informacion '!P:Q,2,FALSE),"")</f>
        <v>Unidad</v>
      </c>
      <c r="D2662" s="39">
        <v>5</v>
      </c>
      <c r="E2662" s="42">
        <v>299.27</v>
      </c>
      <c r="F2662" s="41">
        <f t="shared" ca="1" si="108"/>
        <v>1496.35</v>
      </c>
    </row>
    <row r="2663" spans="1:10" ht="14.25" customHeight="1" x14ac:dyDescent="0.35">
      <c r="A2663" s="39" t="s">
        <v>10376</v>
      </c>
      <c r="B2663" s="40" t="str">
        <f t="shared" ca="1" si="107"/>
        <v>Breakers de circuito</v>
      </c>
      <c r="C2663" s="72" t="str">
        <f>IFERROR(VLOOKUP("UD",'Informacion '!P:Q,2,FALSE),"")</f>
        <v>Unidad</v>
      </c>
      <c r="D2663" s="39">
        <v>20</v>
      </c>
      <c r="E2663" s="42">
        <v>314.39999999999998</v>
      </c>
      <c r="F2663" s="41">
        <f t="shared" ca="1" si="108"/>
        <v>6288</v>
      </c>
    </row>
    <row r="2664" spans="1:10" ht="14.25" customHeight="1" x14ac:dyDescent="0.35">
      <c r="A2664" s="39" t="s">
        <v>10376</v>
      </c>
      <c r="B2664" s="40" t="str">
        <f t="shared" ca="1" si="107"/>
        <v>Breakers de circuito</v>
      </c>
      <c r="C2664" s="72" t="str">
        <f>IFERROR(VLOOKUP("UD",'Informacion '!P:Q,2,FALSE),"")</f>
        <v>Unidad</v>
      </c>
      <c r="D2664" s="39">
        <v>10</v>
      </c>
      <c r="E2664" s="42">
        <v>982</v>
      </c>
      <c r="F2664" s="41">
        <f t="shared" ca="1" si="108"/>
        <v>9820</v>
      </c>
    </row>
    <row r="2665" spans="1:10" ht="14.25" customHeight="1" x14ac:dyDescent="0.35">
      <c r="A2665" s="39" t="s">
        <v>10376</v>
      </c>
      <c r="B2665" s="40" t="str">
        <f t="shared" ca="1" si="107"/>
        <v>Breakers de circuito</v>
      </c>
      <c r="C2665" s="72" t="str">
        <f>IFERROR(VLOOKUP("UD",'Informacion '!P:Q,2,FALSE),"")</f>
        <v>Unidad</v>
      </c>
      <c r="D2665" s="39">
        <v>13</v>
      </c>
      <c r="E2665" s="42">
        <v>314</v>
      </c>
      <c r="F2665" s="41">
        <f t="shared" ca="1" si="108"/>
        <v>4082</v>
      </c>
    </row>
    <row r="2666" spans="1:10" ht="14.25" customHeight="1" x14ac:dyDescent="0.35">
      <c r="E2666" s="44" t="s">
        <v>13122</v>
      </c>
      <c r="F2666" s="45">
        <f ca="1">SUM(Table132[MONTO TOTAL ESTIMADO])</f>
        <v>100592.95000000001</v>
      </c>
      <c r="H2666" s="24" t="str">
        <f>C2647</f>
        <v>Bienes</v>
      </c>
      <c r="I2666" s="24" t="str">
        <f>E2647</f>
        <v>Sí</v>
      </c>
      <c r="J2666" s="24" t="str">
        <f>D2647</f>
        <v>Compras por debajo del Umbral</v>
      </c>
    </row>
    <row r="2668" spans="1:10" ht="34" customHeight="1" x14ac:dyDescent="0.35">
      <c r="A2668" s="36" t="s">
        <v>17105</v>
      </c>
      <c r="B2668" s="36" t="s">
        <v>167</v>
      </c>
      <c r="C2668" s="36" t="s">
        <v>12252</v>
      </c>
      <c r="D2668" s="36" t="s">
        <v>15021</v>
      </c>
      <c r="E2668" s="36" t="s">
        <v>11455</v>
      </c>
      <c r="F2668" s="36" t="s">
        <v>11595</v>
      </c>
    </row>
    <row r="2669" spans="1:10" ht="14.25" customHeight="1" x14ac:dyDescent="0.35">
      <c r="A2669" s="37" t="s">
        <v>2319</v>
      </c>
      <c r="B2669" s="37" t="s">
        <v>2319</v>
      </c>
      <c r="C2669" s="37" t="s">
        <v>7109</v>
      </c>
      <c r="D2669" s="37" t="s">
        <v>2615</v>
      </c>
      <c r="E2669" s="37" t="s">
        <v>9261</v>
      </c>
      <c r="F2669" s="37" t="s">
        <v>7088</v>
      </c>
    </row>
    <row r="2670" spans="1:10" ht="14.25" customHeight="1" x14ac:dyDescent="0.35">
      <c r="A2670" s="75" t="s">
        <v>15490</v>
      </c>
      <c r="B2670" s="38" t="s">
        <v>8918</v>
      </c>
      <c r="C2670" s="68">
        <v>45334</v>
      </c>
      <c r="D2670" s="75" t="s">
        <v>9819</v>
      </c>
      <c r="E2670" s="70" t="s">
        <v>13683</v>
      </c>
      <c r="F2670" s="71" t="s">
        <v>3205</v>
      </c>
    </row>
    <row r="2671" spans="1:10" ht="14.25" customHeight="1" x14ac:dyDescent="0.35">
      <c r="A2671" s="76"/>
      <c r="B2671" s="38" t="s">
        <v>1858</v>
      </c>
      <c r="C2671" s="69">
        <f>IF(C2670="","",IF(AND(MONTH(C2670)&gt;=1,MONTH(C2670)&lt;=3),1,IF(AND(MONTH(C2670)&gt;=4,MONTH(C2670)&lt;=6),2,IF(AND(MONTH(C2670)&gt;=7,MONTH(C2670)&lt;=9),3,4))))</f>
        <v>1</v>
      </c>
      <c r="D2671" s="76"/>
      <c r="E2671" s="70" t="s">
        <v>2509</v>
      </c>
      <c r="F2671" s="71" t="s">
        <v>11612</v>
      </c>
    </row>
    <row r="2672" spans="1:10" ht="14.25" customHeight="1" x14ac:dyDescent="0.35">
      <c r="A2672" s="76"/>
      <c r="B2672" s="38" t="s">
        <v>13526</v>
      </c>
      <c r="C2672" s="68">
        <v>45378</v>
      </c>
      <c r="D2672" s="76"/>
      <c r="E2672" s="70" t="s">
        <v>3198</v>
      </c>
      <c r="F2672" s="71" t="s">
        <v>11612</v>
      </c>
    </row>
    <row r="2673" spans="1:6" ht="14.25" customHeight="1" x14ac:dyDescent="0.35">
      <c r="A2673" s="76"/>
      <c r="B2673" s="38" t="s">
        <v>1858</v>
      </c>
      <c r="C2673" s="69">
        <f>IF(C2672="","",IF(AND(MONTH(C2672)&gt;=1,MONTH(C2672)&lt;=3),1,IF(AND(MONTH(C2672)&gt;=4,MONTH(C2672)&lt;=6),2,IF(AND(MONTH(C2672)&gt;=7,MONTH(C2672)&lt;=9),3,4))))</f>
        <v>1</v>
      </c>
      <c r="D2673" s="76"/>
      <c r="E2673" s="70" t="s">
        <v>13785</v>
      </c>
      <c r="F2673" s="71"/>
    </row>
    <row r="2675" spans="1:6" ht="14.25" customHeight="1" x14ac:dyDescent="0.35">
      <c r="A2675" s="43" t="s">
        <v>16424</v>
      </c>
      <c r="B2675" s="43" t="s">
        <v>16856</v>
      </c>
      <c r="C2675" s="43" t="s">
        <v>16326</v>
      </c>
      <c r="D2675" s="43" t="s">
        <v>15925</v>
      </c>
      <c r="E2675" s="43" t="s">
        <v>7248</v>
      </c>
      <c r="F2675" s="43" t="s">
        <v>15955</v>
      </c>
    </row>
    <row r="2676" spans="1:6" ht="14.25" customHeight="1" x14ac:dyDescent="0.35">
      <c r="A2676" s="39" t="s">
        <v>1735</v>
      </c>
      <c r="B2676" s="40" t="str">
        <f t="shared" ref="B2676:B2702" ca="1" si="109">IFERROR(INDEX(UNSPSCDes,MATCH(INDIRECT(ADDRESS(ROW(),COLUMN()-1,4)),UNSPSCCode,0)),IF(INDIRECT(ADDRESS(ROW(),COLUMN()-1,4))="90101603","Servicios de cáterin",""))</f>
        <v>Servicios de cáterin</v>
      </c>
      <c r="C2676" s="72" t="str">
        <f>IFERROR(VLOOKUP("UD",'Informacion '!P:Q,2,FALSE),"")</f>
        <v>Unidad</v>
      </c>
      <c r="D2676" s="39">
        <v>200</v>
      </c>
      <c r="E2676" s="42">
        <v>590</v>
      </c>
      <c r="F2676" s="41">
        <f t="shared" ref="F2676:F2719" ca="1" si="110">INDIRECT(ADDRESS(ROW(),COLUMN()-2,4))*INDIRECT(ADDRESS(ROW(),COLUMN()-1,4))</f>
        <v>118000</v>
      </c>
    </row>
    <row r="2677" spans="1:6" ht="14.25" customHeight="1" x14ac:dyDescent="0.35">
      <c r="A2677" s="39" t="s">
        <v>1735</v>
      </c>
      <c r="B2677" s="40" t="str">
        <f t="shared" ca="1" si="109"/>
        <v>Servicios de cáterin</v>
      </c>
      <c r="C2677" s="72" t="str">
        <f>IFERROR(VLOOKUP("UD",'Informacion '!P:Q,2,FALSE),"")</f>
        <v>Unidad</v>
      </c>
      <c r="D2677" s="39">
        <v>40</v>
      </c>
      <c r="E2677" s="42">
        <v>590</v>
      </c>
      <c r="F2677" s="41">
        <f t="shared" ca="1" si="110"/>
        <v>23600</v>
      </c>
    </row>
    <row r="2678" spans="1:6" ht="14.25" customHeight="1" x14ac:dyDescent="0.35">
      <c r="A2678" s="39" t="s">
        <v>1735</v>
      </c>
      <c r="B2678" s="40" t="str">
        <f t="shared" ca="1" si="109"/>
        <v>Servicios de cáterin</v>
      </c>
      <c r="C2678" s="72" t="str">
        <f>IFERROR(VLOOKUP("UD",'Informacion '!P:Q,2,FALSE),"")</f>
        <v>Unidad</v>
      </c>
      <c r="D2678" s="39">
        <v>15</v>
      </c>
      <c r="E2678" s="42">
        <v>590</v>
      </c>
      <c r="F2678" s="41">
        <f t="shared" ca="1" si="110"/>
        <v>8850</v>
      </c>
    </row>
    <row r="2679" spans="1:6" ht="14.25" customHeight="1" x14ac:dyDescent="0.35">
      <c r="A2679" s="39" t="s">
        <v>1735</v>
      </c>
      <c r="B2679" s="40" t="str">
        <f t="shared" ca="1" si="109"/>
        <v>Servicios de cáterin</v>
      </c>
      <c r="C2679" s="72" t="str">
        <f>IFERROR(VLOOKUP("UD",'Informacion '!P:Q,2,FALSE),"")</f>
        <v>Unidad</v>
      </c>
      <c r="D2679" s="39">
        <v>5</v>
      </c>
      <c r="E2679" s="42">
        <v>590</v>
      </c>
      <c r="F2679" s="41">
        <f t="shared" ca="1" si="110"/>
        <v>2950</v>
      </c>
    </row>
    <row r="2680" spans="1:6" ht="14.25" customHeight="1" x14ac:dyDescent="0.35">
      <c r="A2680" s="39" t="s">
        <v>1735</v>
      </c>
      <c r="B2680" s="40" t="str">
        <f t="shared" ca="1" si="109"/>
        <v>Servicios de cáterin</v>
      </c>
      <c r="C2680" s="72" t="str">
        <f>IFERROR(VLOOKUP("UD",'Informacion '!P:Q,2,FALSE),"")</f>
        <v>Unidad</v>
      </c>
      <c r="D2680" s="39">
        <v>50</v>
      </c>
      <c r="E2680" s="42">
        <v>590</v>
      </c>
      <c r="F2680" s="41">
        <f t="shared" ca="1" si="110"/>
        <v>29500</v>
      </c>
    </row>
    <row r="2681" spans="1:6" ht="14.25" customHeight="1" x14ac:dyDescent="0.35">
      <c r="A2681" s="39" t="s">
        <v>1735</v>
      </c>
      <c r="B2681" s="40" t="str">
        <f t="shared" ca="1" si="109"/>
        <v>Servicios de cáterin</v>
      </c>
      <c r="C2681" s="72" t="str">
        <f>IFERROR(VLOOKUP("UD",'Informacion '!P:Q,2,FALSE),"")</f>
        <v>Unidad</v>
      </c>
      <c r="D2681" s="39">
        <v>20</v>
      </c>
      <c r="E2681" s="42">
        <v>590</v>
      </c>
      <c r="F2681" s="41">
        <f t="shared" ca="1" si="110"/>
        <v>11800</v>
      </c>
    </row>
    <row r="2682" spans="1:6" ht="14.25" customHeight="1" x14ac:dyDescent="0.35">
      <c r="A2682" s="39" t="s">
        <v>1735</v>
      </c>
      <c r="B2682" s="40" t="str">
        <f t="shared" ca="1" si="109"/>
        <v>Servicios de cáterin</v>
      </c>
      <c r="C2682" s="72" t="str">
        <f>IFERROR(VLOOKUP("UD",'Informacion '!P:Q,2,FALSE),"")</f>
        <v>Unidad</v>
      </c>
      <c r="D2682" s="39">
        <v>44</v>
      </c>
      <c r="E2682" s="42">
        <v>590</v>
      </c>
      <c r="F2682" s="41">
        <f t="shared" ca="1" si="110"/>
        <v>25960</v>
      </c>
    </row>
    <row r="2683" spans="1:6" ht="14.25" customHeight="1" x14ac:dyDescent="0.35">
      <c r="A2683" s="39" t="s">
        <v>1735</v>
      </c>
      <c r="B2683" s="40" t="str">
        <f t="shared" ca="1" si="109"/>
        <v>Servicios de cáterin</v>
      </c>
      <c r="C2683" s="72" t="str">
        <f>IFERROR(VLOOKUP("UD",'Informacion '!P:Q,2,FALSE),"")</f>
        <v>Unidad</v>
      </c>
      <c r="D2683" s="39">
        <v>44</v>
      </c>
      <c r="E2683" s="42">
        <v>590</v>
      </c>
      <c r="F2683" s="41">
        <f t="shared" ca="1" si="110"/>
        <v>25960</v>
      </c>
    </row>
    <row r="2684" spans="1:6" ht="14.25" customHeight="1" x14ac:dyDescent="0.35">
      <c r="A2684" s="39" t="s">
        <v>1735</v>
      </c>
      <c r="B2684" s="40" t="str">
        <f t="shared" ca="1" si="109"/>
        <v>Servicios de cáterin</v>
      </c>
      <c r="C2684" s="72" t="str">
        <f>IFERROR(VLOOKUP("UD",'Informacion '!P:Q,2,FALSE),"")</f>
        <v>Unidad</v>
      </c>
      <c r="D2684" s="39">
        <v>10200</v>
      </c>
      <c r="E2684" s="42">
        <v>250</v>
      </c>
      <c r="F2684" s="41">
        <f t="shared" ca="1" si="110"/>
        <v>2550000</v>
      </c>
    </row>
    <row r="2685" spans="1:6" ht="14.25" customHeight="1" x14ac:dyDescent="0.35">
      <c r="A2685" s="39" t="s">
        <v>1735</v>
      </c>
      <c r="B2685" s="40" t="str">
        <f t="shared" ca="1" si="109"/>
        <v>Servicios de cáterin</v>
      </c>
      <c r="C2685" s="72" t="str">
        <f>IFERROR(VLOOKUP("UD",'Informacion '!P:Q,2,FALSE),"")</f>
        <v>Unidad</v>
      </c>
      <c r="D2685" s="39">
        <v>1</v>
      </c>
      <c r="E2685" s="42">
        <v>200000</v>
      </c>
      <c r="F2685" s="41">
        <f t="shared" ca="1" si="110"/>
        <v>200000</v>
      </c>
    </row>
    <row r="2686" spans="1:6" ht="14.25" customHeight="1" x14ac:dyDescent="0.35">
      <c r="A2686" s="39" t="s">
        <v>1735</v>
      </c>
      <c r="B2686" s="40" t="str">
        <f t="shared" ca="1" si="109"/>
        <v>Servicios de cáterin</v>
      </c>
      <c r="C2686" s="72" t="str">
        <f>IFERROR(VLOOKUP("UD",'Informacion '!P:Q,2,FALSE),"")</f>
        <v>Unidad</v>
      </c>
      <c r="D2686" s="39">
        <v>100</v>
      </c>
      <c r="E2686" s="42">
        <v>600</v>
      </c>
      <c r="F2686" s="41">
        <f t="shared" ca="1" si="110"/>
        <v>60000</v>
      </c>
    </row>
    <row r="2687" spans="1:6" ht="14.25" customHeight="1" x14ac:dyDescent="0.35">
      <c r="A2687" s="39" t="s">
        <v>1735</v>
      </c>
      <c r="B2687" s="40" t="str">
        <f t="shared" ca="1" si="109"/>
        <v>Servicios de cáterin</v>
      </c>
      <c r="C2687" s="72" t="str">
        <f>IFERROR(VLOOKUP("UD",'Informacion '!P:Q,2,FALSE),"")</f>
        <v>Unidad</v>
      </c>
      <c r="D2687" s="39">
        <v>1</v>
      </c>
      <c r="E2687" s="42">
        <v>79566</v>
      </c>
      <c r="F2687" s="41">
        <f t="shared" ca="1" si="110"/>
        <v>79566</v>
      </c>
    </row>
    <row r="2688" spans="1:6" ht="14.25" customHeight="1" x14ac:dyDescent="0.35">
      <c r="A2688" s="39" t="s">
        <v>1735</v>
      </c>
      <c r="B2688" s="40" t="str">
        <f t="shared" ca="1" si="109"/>
        <v>Servicios de cáterin</v>
      </c>
      <c r="C2688" s="72" t="str">
        <f>IFERROR(VLOOKUP("UD",'Informacion '!P:Q,2,FALSE),"")</f>
        <v>Unidad</v>
      </c>
      <c r="D2688" s="39">
        <v>1</v>
      </c>
      <c r="E2688" s="42">
        <v>79566</v>
      </c>
      <c r="F2688" s="41">
        <f t="shared" ca="1" si="110"/>
        <v>79566</v>
      </c>
    </row>
    <row r="2689" spans="1:6" ht="14.25" customHeight="1" x14ac:dyDescent="0.35">
      <c r="A2689" s="39" t="s">
        <v>1735</v>
      </c>
      <c r="B2689" s="40" t="str">
        <f t="shared" ca="1" si="109"/>
        <v>Servicios de cáterin</v>
      </c>
      <c r="C2689" s="72" t="str">
        <f>IFERROR(VLOOKUP("UD",'Informacion '!P:Q,2,FALSE),"")</f>
        <v>Unidad</v>
      </c>
      <c r="D2689" s="39">
        <v>1</v>
      </c>
      <c r="E2689" s="42">
        <v>79566</v>
      </c>
      <c r="F2689" s="41">
        <f t="shared" ca="1" si="110"/>
        <v>79566</v>
      </c>
    </row>
    <row r="2690" spans="1:6" ht="14.25" customHeight="1" x14ac:dyDescent="0.35">
      <c r="A2690" s="39" t="s">
        <v>1735</v>
      </c>
      <c r="B2690" s="40" t="str">
        <f t="shared" ca="1" si="109"/>
        <v>Servicios de cáterin</v>
      </c>
      <c r="C2690" s="72" t="str">
        <f>IFERROR(VLOOKUP("UD",'Informacion '!P:Q,2,FALSE),"")</f>
        <v>Unidad</v>
      </c>
      <c r="D2690" s="39">
        <v>1</v>
      </c>
      <c r="E2690" s="42">
        <v>79566</v>
      </c>
      <c r="F2690" s="41">
        <f t="shared" ca="1" si="110"/>
        <v>79566</v>
      </c>
    </row>
    <row r="2691" spans="1:6" ht="14.25" customHeight="1" x14ac:dyDescent="0.35">
      <c r="A2691" s="39" t="s">
        <v>1735</v>
      </c>
      <c r="B2691" s="40" t="str">
        <f t="shared" ca="1" si="109"/>
        <v>Servicios de cáterin</v>
      </c>
      <c r="C2691" s="72" t="str">
        <f>IFERROR(VLOOKUP("UD",'Informacion '!P:Q,2,FALSE),"")</f>
        <v>Unidad</v>
      </c>
      <c r="D2691" s="39">
        <v>1</v>
      </c>
      <c r="E2691" s="42">
        <v>79566</v>
      </c>
      <c r="F2691" s="41">
        <f t="shared" ca="1" si="110"/>
        <v>79566</v>
      </c>
    </row>
    <row r="2692" spans="1:6" ht="14.25" customHeight="1" x14ac:dyDescent="0.35">
      <c r="A2692" s="39" t="s">
        <v>1735</v>
      </c>
      <c r="B2692" s="40" t="str">
        <f t="shared" ca="1" si="109"/>
        <v>Servicios de cáterin</v>
      </c>
      <c r="C2692" s="72" t="str">
        <f>IFERROR(VLOOKUP("UD",'Informacion '!P:Q,2,FALSE),"")</f>
        <v>Unidad</v>
      </c>
      <c r="D2692" s="39">
        <v>3</v>
      </c>
      <c r="E2692" s="42">
        <v>11977</v>
      </c>
      <c r="F2692" s="41">
        <f t="shared" ca="1" si="110"/>
        <v>35931</v>
      </c>
    </row>
    <row r="2693" spans="1:6" ht="14.25" customHeight="1" x14ac:dyDescent="0.35">
      <c r="A2693" s="39" t="s">
        <v>1735</v>
      </c>
      <c r="B2693" s="40" t="str">
        <f t="shared" ca="1" si="109"/>
        <v>Servicios de cáterin</v>
      </c>
      <c r="C2693" s="72" t="str">
        <f>IFERROR(VLOOKUP("UD",'Informacion '!P:Q,2,FALSE),"")</f>
        <v>Unidad</v>
      </c>
      <c r="D2693" s="39">
        <v>1</v>
      </c>
      <c r="E2693" s="42">
        <v>4000000</v>
      </c>
      <c r="F2693" s="41">
        <f t="shared" ca="1" si="110"/>
        <v>4000000</v>
      </c>
    </row>
    <row r="2694" spans="1:6" ht="14.25" customHeight="1" x14ac:dyDescent="0.35">
      <c r="A2694" s="39" t="s">
        <v>1735</v>
      </c>
      <c r="B2694" s="40" t="str">
        <f t="shared" ca="1" si="109"/>
        <v>Servicios de cáterin</v>
      </c>
      <c r="C2694" s="72" t="str">
        <f>IFERROR(VLOOKUP("UD",'Informacion '!P:Q,2,FALSE),"")</f>
        <v>Unidad</v>
      </c>
      <c r="D2694" s="39">
        <v>1</v>
      </c>
      <c r="E2694" s="42">
        <v>120000</v>
      </c>
      <c r="F2694" s="41">
        <f t="shared" ca="1" si="110"/>
        <v>120000</v>
      </c>
    </row>
    <row r="2695" spans="1:6" ht="14.25" customHeight="1" x14ac:dyDescent="0.35">
      <c r="A2695" s="39" t="s">
        <v>1735</v>
      </c>
      <c r="B2695" s="40" t="str">
        <f t="shared" ca="1" si="109"/>
        <v>Servicios de cáterin</v>
      </c>
      <c r="C2695" s="72" t="str">
        <f>IFERROR(VLOOKUP("UD",'Informacion '!P:Q,2,FALSE),"")</f>
        <v>Unidad</v>
      </c>
      <c r="D2695" s="39">
        <v>150</v>
      </c>
      <c r="E2695" s="42">
        <v>824.82</v>
      </c>
      <c r="F2695" s="41">
        <f t="shared" ca="1" si="110"/>
        <v>123723.00000000001</v>
      </c>
    </row>
    <row r="2696" spans="1:6" ht="14.25" customHeight="1" x14ac:dyDescent="0.35">
      <c r="A2696" s="39" t="s">
        <v>1735</v>
      </c>
      <c r="B2696" s="40" t="str">
        <f t="shared" ca="1" si="109"/>
        <v>Servicios de cáterin</v>
      </c>
      <c r="C2696" s="72" t="str">
        <f>IFERROR(VLOOKUP("UD",'Informacion '!P:Q,2,FALSE),"")</f>
        <v>Unidad</v>
      </c>
      <c r="D2696" s="39">
        <v>75</v>
      </c>
      <c r="E2696" s="42">
        <v>590</v>
      </c>
      <c r="F2696" s="41">
        <f t="shared" ca="1" si="110"/>
        <v>44250</v>
      </c>
    </row>
    <row r="2697" spans="1:6" ht="14.25" customHeight="1" x14ac:dyDescent="0.35">
      <c r="A2697" s="39" t="s">
        <v>1735</v>
      </c>
      <c r="B2697" s="40" t="str">
        <f t="shared" ca="1" si="109"/>
        <v>Servicios de cáterin</v>
      </c>
      <c r="C2697" s="72" t="str">
        <f>IFERROR(VLOOKUP("UD",'Informacion '!P:Q,2,FALSE),"")</f>
        <v>Unidad</v>
      </c>
      <c r="D2697" s="39">
        <v>10</v>
      </c>
      <c r="E2697" s="42">
        <v>590</v>
      </c>
      <c r="F2697" s="41">
        <f t="shared" ca="1" si="110"/>
        <v>5900</v>
      </c>
    </row>
    <row r="2698" spans="1:6" ht="14.25" customHeight="1" x14ac:dyDescent="0.35">
      <c r="A2698" s="39" t="s">
        <v>1735</v>
      </c>
      <c r="B2698" s="40" t="str">
        <f t="shared" ca="1" si="109"/>
        <v>Servicios de cáterin</v>
      </c>
      <c r="C2698" s="72" t="str">
        <f>IFERROR(VLOOKUP("UD",'Informacion '!P:Q,2,FALSE),"")</f>
        <v>Unidad</v>
      </c>
      <c r="D2698" s="39">
        <v>5</v>
      </c>
      <c r="E2698" s="42">
        <v>10000</v>
      </c>
      <c r="F2698" s="41">
        <f t="shared" ca="1" si="110"/>
        <v>50000</v>
      </c>
    </row>
    <row r="2699" spans="1:6" ht="14.25" customHeight="1" x14ac:dyDescent="0.35">
      <c r="A2699" s="39" t="s">
        <v>1735</v>
      </c>
      <c r="B2699" s="40" t="str">
        <f t="shared" ca="1" si="109"/>
        <v>Servicios de cáterin</v>
      </c>
      <c r="C2699" s="72" t="str">
        <f>IFERROR(VLOOKUP("UD",'Informacion '!P:Q,2,FALSE),"")</f>
        <v>Unidad</v>
      </c>
      <c r="D2699" s="39">
        <v>4</v>
      </c>
      <c r="E2699" s="42">
        <v>5000</v>
      </c>
      <c r="F2699" s="41">
        <f t="shared" ca="1" si="110"/>
        <v>20000</v>
      </c>
    </row>
    <row r="2700" spans="1:6" ht="14.25" customHeight="1" x14ac:dyDescent="0.35">
      <c r="A2700" s="39" t="s">
        <v>1735</v>
      </c>
      <c r="B2700" s="40" t="str">
        <f t="shared" ca="1" si="109"/>
        <v>Servicios de cáterin</v>
      </c>
      <c r="C2700" s="72" t="str">
        <f>IFERROR(VLOOKUP("UD",'Informacion '!P:Q,2,FALSE),"")</f>
        <v>Unidad</v>
      </c>
      <c r="D2700" s="39">
        <v>1</v>
      </c>
      <c r="E2700" s="42">
        <v>717696</v>
      </c>
      <c r="F2700" s="41">
        <f t="shared" ca="1" si="110"/>
        <v>717696</v>
      </c>
    </row>
    <row r="2701" spans="1:6" ht="14.25" customHeight="1" x14ac:dyDescent="0.35">
      <c r="A2701" s="39" t="s">
        <v>1735</v>
      </c>
      <c r="B2701" s="40" t="str">
        <f t="shared" ca="1" si="109"/>
        <v>Servicios de cáterin</v>
      </c>
      <c r="C2701" s="72" t="str">
        <f>IFERROR(VLOOKUP("UD",'Informacion '!P:Q,2,FALSE),"")</f>
        <v>Unidad</v>
      </c>
      <c r="D2701" s="39">
        <v>1</v>
      </c>
      <c r="E2701" s="42">
        <v>550000</v>
      </c>
      <c r="F2701" s="41">
        <f t="shared" ca="1" si="110"/>
        <v>550000</v>
      </c>
    </row>
    <row r="2702" spans="1:6" ht="14.25" customHeight="1" x14ac:dyDescent="0.35">
      <c r="A2702" s="39" t="s">
        <v>1735</v>
      </c>
      <c r="B2702" s="40" t="str">
        <f t="shared" ca="1" si="109"/>
        <v>Servicios de cáterin</v>
      </c>
      <c r="C2702" s="72" t="str">
        <f>IFERROR(VLOOKUP("UD",'Informacion '!P:Q,2,FALSE),"")</f>
        <v>Unidad</v>
      </c>
      <c r="D2702" s="39">
        <v>1</v>
      </c>
      <c r="E2702" s="42">
        <v>119180</v>
      </c>
      <c r="F2702" s="41">
        <f t="shared" ca="1" si="110"/>
        <v>119180</v>
      </c>
    </row>
    <row r="2703" spans="1:6" ht="14.25" customHeight="1" x14ac:dyDescent="0.35">
      <c r="A2703" s="39" t="s">
        <v>5338</v>
      </c>
      <c r="B2703" s="40" t="str">
        <f t="shared" ref="B2703:B2710" ca="1" si="111">IFERROR(INDEX(UNSPSCDes,MATCH(INDIRECT(ADDRESS(ROW(),COLUMN()-1,4)),UNSPSCCode,0)),IF(INDIRECT(ADDRESS(ROW(),COLUMN()-1,4))="90101604","Servicios de cáterin en la obra o lugar de trabajo",""))</f>
        <v>Servicios de cáterin en la obra o lugar de trabajo</v>
      </c>
      <c r="C2703" s="72" t="str">
        <f>IFERROR(VLOOKUP("UD",'Informacion '!P:Q,2,FALSE),"")</f>
        <v>Unidad</v>
      </c>
      <c r="D2703" s="39">
        <v>1</v>
      </c>
      <c r="E2703" s="42">
        <v>100000</v>
      </c>
      <c r="F2703" s="41">
        <f t="shared" ca="1" si="110"/>
        <v>100000</v>
      </c>
    </row>
    <row r="2704" spans="1:6" ht="14.25" customHeight="1" x14ac:dyDescent="0.35">
      <c r="A2704" s="39" t="s">
        <v>5338</v>
      </c>
      <c r="B2704" s="40" t="str">
        <f t="shared" ca="1" si="111"/>
        <v>Servicios de cáterin en la obra o lugar de trabajo</v>
      </c>
      <c r="C2704" s="72" t="str">
        <f>IFERROR(VLOOKUP("UD",'Informacion '!P:Q,2,FALSE),"")</f>
        <v>Unidad</v>
      </c>
      <c r="D2704" s="39">
        <v>1</v>
      </c>
      <c r="E2704" s="42">
        <v>252979</v>
      </c>
      <c r="F2704" s="41">
        <f t="shared" ca="1" si="110"/>
        <v>252979</v>
      </c>
    </row>
    <row r="2705" spans="1:10" ht="14.25" customHeight="1" x14ac:dyDescent="0.35">
      <c r="A2705" s="39" t="s">
        <v>5338</v>
      </c>
      <c r="B2705" s="40" t="str">
        <f t="shared" ca="1" si="111"/>
        <v>Servicios de cáterin en la obra o lugar de trabajo</v>
      </c>
      <c r="C2705" s="72" t="str">
        <f>IFERROR(VLOOKUP("UD",'Informacion '!P:Q,2,FALSE),"")</f>
        <v>Unidad</v>
      </c>
      <c r="D2705" s="39">
        <v>3</v>
      </c>
      <c r="E2705" s="42">
        <v>20001</v>
      </c>
      <c r="F2705" s="41">
        <f t="shared" ca="1" si="110"/>
        <v>60003</v>
      </c>
    </row>
    <row r="2706" spans="1:10" ht="14.25" customHeight="1" x14ac:dyDescent="0.35">
      <c r="A2706" s="39" t="s">
        <v>5338</v>
      </c>
      <c r="B2706" s="40" t="str">
        <f t="shared" ca="1" si="111"/>
        <v>Servicios de cáterin en la obra o lugar de trabajo</v>
      </c>
      <c r="C2706" s="72" t="str">
        <f>IFERROR(VLOOKUP("UD",'Informacion '!P:Q,2,FALSE),"")</f>
        <v>Unidad</v>
      </c>
      <c r="D2706" s="39">
        <v>100</v>
      </c>
      <c r="E2706" s="42">
        <v>796.5</v>
      </c>
      <c r="F2706" s="41">
        <f t="shared" ca="1" si="110"/>
        <v>79650</v>
      </c>
    </row>
    <row r="2707" spans="1:10" ht="14.25" customHeight="1" x14ac:dyDescent="0.35">
      <c r="A2707" s="39" t="s">
        <v>5338</v>
      </c>
      <c r="B2707" s="40" t="str">
        <f t="shared" ca="1" si="111"/>
        <v>Servicios de cáterin en la obra o lugar de trabajo</v>
      </c>
      <c r="C2707" s="72" t="str">
        <f>IFERROR(VLOOKUP("UD",'Informacion '!P:Q,2,FALSE),"")</f>
        <v>Unidad</v>
      </c>
      <c r="D2707" s="39">
        <v>14</v>
      </c>
      <c r="E2707" s="42">
        <v>796.5</v>
      </c>
      <c r="F2707" s="41">
        <f t="shared" ca="1" si="110"/>
        <v>11151</v>
      </c>
    </row>
    <row r="2708" spans="1:10" ht="14.25" customHeight="1" x14ac:dyDescent="0.35">
      <c r="A2708" s="39" t="s">
        <v>5338</v>
      </c>
      <c r="B2708" s="40" t="str">
        <f t="shared" ca="1" si="111"/>
        <v>Servicios de cáterin en la obra o lugar de trabajo</v>
      </c>
      <c r="C2708" s="72" t="str">
        <f>IFERROR(VLOOKUP("UD",'Informacion '!P:Q,2,FALSE),"")</f>
        <v>Unidad</v>
      </c>
      <c r="D2708" s="39">
        <v>100</v>
      </c>
      <c r="E2708" s="42">
        <v>590</v>
      </c>
      <c r="F2708" s="41">
        <f t="shared" ca="1" si="110"/>
        <v>59000</v>
      </c>
    </row>
    <row r="2709" spans="1:10" ht="14.25" customHeight="1" x14ac:dyDescent="0.35">
      <c r="A2709" s="39" t="s">
        <v>5338</v>
      </c>
      <c r="B2709" s="40" t="str">
        <f t="shared" ca="1" si="111"/>
        <v>Servicios de cáterin en la obra o lugar de trabajo</v>
      </c>
      <c r="C2709" s="72" t="str">
        <f>IFERROR(VLOOKUP("UD",'Informacion '!P:Q,2,FALSE),"")</f>
        <v>Unidad</v>
      </c>
      <c r="D2709" s="39">
        <v>50</v>
      </c>
      <c r="E2709" s="42">
        <v>590</v>
      </c>
      <c r="F2709" s="41">
        <f t="shared" ca="1" si="110"/>
        <v>29500</v>
      </c>
    </row>
    <row r="2710" spans="1:10" ht="14.25" customHeight="1" x14ac:dyDescent="0.35">
      <c r="A2710" s="39" t="s">
        <v>5338</v>
      </c>
      <c r="B2710" s="40" t="str">
        <f t="shared" ca="1" si="111"/>
        <v>Servicios de cáterin en la obra o lugar de trabajo</v>
      </c>
      <c r="C2710" s="72" t="str">
        <f>IFERROR(VLOOKUP("UD",'Informacion '!P:Q,2,FALSE),"")</f>
        <v>Unidad</v>
      </c>
      <c r="D2710" s="39">
        <v>50</v>
      </c>
      <c r="E2710" s="42">
        <v>590</v>
      </c>
      <c r="F2710" s="41">
        <f t="shared" ca="1" si="110"/>
        <v>29500</v>
      </c>
    </row>
    <row r="2711" spans="1:10" ht="14.25" customHeight="1" x14ac:dyDescent="0.35">
      <c r="A2711" s="39" t="s">
        <v>1946</v>
      </c>
      <c r="B2711" s="40" t="str">
        <f t="shared" ref="B2711:B2718" ca="1" si="112">IFERROR(INDEX(UNSPSCDes,MATCH(INDIRECT(ADDRESS(ROW(),COLUMN()-1,4)),UNSPSCCode,0)),IF(INDIRECT(ADDRESS(ROW(),COLUMN()-1,4))="90101802","Servicios de comidas a domicilio",""))</f>
        <v>Servicios de comidas a domicilio</v>
      </c>
      <c r="C2711" s="72" t="str">
        <f>IFERROR(VLOOKUP("UD",'Informacion '!P:Q,2,FALSE),"")</f>
        <v>Unidad</v>
      </c>
      <c r="D2711" s="39">
        <v>2</v>
      </c>
      <c r="E2711" s="42">
        <v>34102</v>
      </c>
      <c r="F2711" s="41">
        <f t="shared" ca="1" si="110"/>
        <v>68204</v>
      </c>
    </row>
    <row r="2712" spans="1:10" ht="14.25" customHeight="1" x14ac:dyDescent="0.35">
      <c r="A2712" s="39" t="s">
        <v>1946</v>
      </c>
      <c r="B2712" s="40" t="str">
        <f t="shared" ca="1" si="112"/>
        <v>Servicios de comidas a domicilio</v>
      </c>
      <c r="C2712" s="72" t="str">
        <f>IFERROR(VLOOKUP("UD",'Informacion '!P:Q,2,FALSE),"")</f>
        <v>Unidad</v>
      </c>
      <c r="D2712" s="39">
        <v>25</v>
      </c>
      <c r="E2712" s="42">
        <v>590</v>
      </c>
      <c r="F2712" s="41">
        <f t="shared" ca="1" si="110"/>
        <v>14750</v>
      </c>
    </row>
    <row r="2713" spans="1:10" ht="14.25" customHeight="1" x14ac:dyDescent="0.35">
      <c r="A2713" s="39" t="s">
        <v>1946</v>
      </c>
      <c r="B2713" s="40" t="str">
        <f t="shared" ca="1" si="112"/>
        <v>Servicios de comidas a domicilio</v>
      </c>
      <c r="C2713" s="72" t="str">
        <f>IFERROR(VLOOKUP("UD",'Informacion '!P:Q,2,FALSE),"")</f>
        <v>Unidad</v>
      </c>
      <c r="D2713" s="39">
        <v>1</v>
      </c>
      <c r="E2713" s="42">
        <v>40592</v>
      </c>
      <c r="F2713" s="41">
        <f t="shared" ca="1" si="110"/>
        <v>40592</v>
      </c>
    </row>
    <row r="2714" spans="1:10" ht="14.25" customHeight="1" x14ac:dyDescent="0.35">
      <c r="A2714" s="39" t="s">
        <v>1946</v>
      </c>
      <c r="B2714" s="40" t="str">
        <f t="shared" ca="1" si="112"/>
        <v>Servicios de comidas a domicilio</v>
      </c>
      <c r="C2714" s="72" t="str">
        <f>IFERROR(VLOOKUP("UD",'Informacion '!P:Q,2,FALSE),"")</f>
        <v>Unidad</v>
      </c>
      <c r="D2714" s="39">
        <v>3</v>
      </c>
      <c r="E2714" s="42">
        <v>40592</v>
      </c>
      <c r="F2714" s="41">
        <f t="shared" ca="1" si="110"/>
        <v>121776</v>
      </c>
    </row>
    <row r="2715" spans="1:10" ht="14.25" customHeight="1" x14ac:dyDescent="0.35">
      <c r="A2715" s="39" t="s">
        <v>1946</v>
      </c>
      <c r="B2715" s="40" t="str">
        <f t="shared" ca="1" si="112"/>
        <v>Servicios de comidas a domicilio</v>
      </c>
      <c r="C2715" s="72" t="str">
        <f>IFERROR(VLOOKUP("UD",'Informacion '!P:Q,2,FALSE),"")</f>
        <v>Unidad</v>
      </c>
      <c r="D2715" s="39">
        <v>1</v>
      </c>
      <c r="E2715" s="42">
        <v>40592</v>
      </c>
      <c r="F2715" s="41">
        <f t="shared" ca="1" si="110"/>
        <v>40592</v>
      </c>
    </row>
    <row r="2716" spans="1:10" ht="14.25" customHeight="1" x14ac:dyDescent="0.35">
      <c r="A2716" s="39" t="s">
        <v>1946</v>
      </c>
      <c r="B2716" s="40" t="str">
        <f t="shared" ca="1" si="112"/>
        <v>Servicios de comidas a domicilio</v>
      </c>
      <c r="C2716" s="72" t="str">
        <f>IFERROR(VLOOKUP("UD",'Informacion '!P:Q,2,FALSE),"")</f>
        <v>Unidad</v>
      </c>
      <c r="D2716" s="39">
        <v>1</v>
      </c>
      <c r="E2716" s="42">
        <v>40592</v>
      </c>
      <c r="F2716" s="41">
        <f t="shared" ca="1" si="110"/>
        <v>40592</v>
      </c>
    </row>
    <row r="2717" spans="1:10" ht="14.25" customHeight="1" x14ac:dyDescent="0.35">
      <c r="A2717" s="39" t="s">
        <v>1946</v>
      </c>
      <c r="B2717" s="40" t="str">
        <f t="shared" ca="1" si="112"/>
        <v>Servicios de comidas a domicilio</v>
      </c>
      <c r="C2717" s="72" t="str">
        <f>IFERROR(VLOOKUP("UD",'Informacion '!P:Q,2,FALSE),"")</f>
        <v>Unidad</v>
      </c>
      <c r="D2717" s="39">
        <v>1</v>
      </c>
      <c r="E2717" s="42">
        <v>2560</v>
      </c>
      <c r="F2717" s="41">
        <f t="shared" ca="1" si="110"/>
        <v>2560</v>
      </c>
    </row>
    <row r="2718" spans="1:10" ht="14.25" customHeight="1" x14ac:dyDescent="0.35">
      <c r="A2718" s="39" t="s">
        <v>1946</v>
      </c>
      <c r="B2718" s="40" t="str">
        <f t="shared" ca="1" si="112"/>
        <v>Servicios de comidas a domicilio</v>
      </c>
      <c r="C2718" s="72" t="str">
        <f>IFERROR(VLOOKUP("UD",'Informacion '!P:Q,2,FALSE),"")</f>
        <v>Unidad</v>
      </c>
      <c r="D2718" s="39">
        <v>5</v>
      </c>
      <c r="E2718" s="42">
        <v>16402</v>
      </c>
      <c r="F2718" s="41">
        <f t="shared" ca="1" si="110"/>
        <v>82010</v>
      </c>
    </row>
    <row r="2719" spans="1:10" ht="14.25" customHeight="1" x14ac:dyDescent="0.35">
      <c r="A2719" s="39" t="s">
        <v>1735</v>
      </c>
      <c r="B2719" s="40" t="str">
        <f ca="1">IFERROR(INDEX(UNSPSCDes,MATCH(INDIRECT(ADDRESS(ROW(),COLUMN()-1,4)),UNSPSCCode,0)),IF(INDIRECT(ADDRESS(ROW(),COLUMN()-1,4))="90101603","Servicios de cáterin",""))</f>
        <v>Servicios de cáterin</v>
      </c>
      <c r="C2719" s="72" t="str">
        <f>IFERROR(VLOOKUP("UD",'Informacion '!P:Q,2,FALSE),"")</f>
        <v>Unidad</v>
      </c>
      <c r="D2719" s="39">
        <v>1</v>
      </c>
      <c r="E2719" s="42">
        <v>300000</v>
      </c>
      <c r="F2719" s="41">
        <f t="shared" ca="1" si="110"/>
        <v>300000</v>
      </c>
    </row>
    <row r="2720" spans="1:10" ht="14.25" customHeight="1" x14ac:dyDescent="0.35">
      <c r="E2720" s="44" t="s">
        <v>13122</v>
      </c>
      <c r="F2720" s="45">
        <f ca="1">SUM(Table133[MONTO TOTAL ESTIMADO])</f>
        <v>10573989</v>
      </c>
      <c r="H2720" s="24" t="str">
        <f>C2669</f>
        <v>Servicios</v>
      </c>
      <c r="I2720" s="24" t="str">
        <f>E2669</f>
        <v>Sí</v>
      </c>
      <c r="J2720" s="24" t="str">
        <f>D2669</f>
        <v>Licitacion Publica</v>
      </c>
    </row>
    <row r="2722" spans="1:6" ht="34" customHeight="1" x14ac:dyDescent="0.35">
      <c r="A2722" s="36" t="s">
        <v>17105</v>
      </c>
      <c r="B2722" s="36" t="s">
        <v>167</v>
      </c>
      <c r="C2722" s="36" t="s">
        <v>12252</v>
      </c>
      <c r="D2722" s="36" t="s">
        <v>15021</v>
      </c>
      <c r="E2722" s="36" t="s">
        <v>11455</v>
      </c>
      <c r="F2722" s="36" t="s">
        <v>11595</v>
      </c>
    </row>
    <row r="2723" spans="1:6" ht="14.25" customHeight="1" x14ac:dyDescent="0.35">
      <c r="A2723" s="37" t="s">
        <v>2319</v>
      </c>
      <c r="B2723" s="37" t="s">
        <v>2319</v>
      </c>
      <c r="C2723" s="37" t="s">
        <v>7109</v>
      </c>
      <c r="D2723" s="37" t="s">
        <v>2615</v>
      </c>
      <c r="E2723" s="37" t="s">
        <v>9261</v>
      </c>
      <c r="F2723" s="37" t="s">
        <v>7088</v>
      </c>
    </row>
    <row r="2724" spans="1:6" ht="14.25" customHeight="1" x14ac:dyDescent="0.35">
      <c r="A2724" s="75" t="s">
        <v>15490</v>
      </c>
      <c r="B2724" s="38" t="s">
        <v>8918</v>
      </c>
      <c r="C2724" s="68">
        <v>45383</v>
      </c>
      <c r="D2724" s="75" t="s">
        <v>9819</v>
      </c>
      <c r="E2724" s="70" t="s">
        <v>13683</v>
      </c>
      <c r="F2724" s="71" t="s">
        <v>3205</v>
      </c>
    </row>
    <row r="2725" spans="1:6" ht="14.25" customHeight="1" x14ac:dyDescent="0.35">
      <c r="A2725" s="76"/>
      <c r="B2725" s="38" t="s">
        <v>1858</v>
      </c>
      <c r="C2725" s="69">
        <f>IF(C2724="","",IF(AND(MONTH(C2724)&gt;=1,MONTH(C2724)&lt;=3),1,IF(AND(MONTH(C2724)&gt;=4,MONTH(C2724)&lt;=6),2,IF(AND(MONTH(C2724)&gt;=7,MONTH(C2724)&lt;=9),3,4))))</f>
        <v>2</v>
      </c>
      <c r="D2725" s="76"/>
      <c r="E2725" s="70" t="s">
        <v>2509</v>
      </c>
      <c r="F2725" s="71" t="s">
        <v>11612</v>
      </c>
    </row>
    <row r="2726" spans="1:6" ht="14.25" customHeight="1" x14ac:dyDescent="0.35">
      <c r="A2726" s="76"/>
      <c r="B2726" s="38" t="s">
        <v>13526</v>
      </c>
      <c r="C2726" s="68">
        <v>45471</v>
      </c>
      <c r="D2726" s="76"/>
      <c r="E2726" s="70" t="s">
        <v>3198</v>
      </c>
      <c r="F2726" s="71" t="s">
        <v>11612</v>
      </c>
    </row>
    <row r="2727" spans="1:6" ht="14.25" customHeight="1" x14ac:dyDescent="0.35">
      <c r="A2727" s="76"/>
      <c r="B2727" s="38" t="s">
        <v>1858</v>
      </c>
      <c r="C2727" s="69">
        <f>IF(C2726="","",IF(AND(MONTH(C2726)&gt;=1,MONTH(C2726)&lt;=3),1,IF(AND(MONTH(C2726)&gt;=4,MONTH(C2726)&lt;=6),2,IF(AND(MONTH(C2726)&gt;=7,MONTH(C2726)&lt;=9),3,4))))</f>
        <v>2</v>
      </c>
      <c r="D2727" s="76"/>
      <c r="E2727" s="70" t="s">
        <v>13785</v>
      </c>
      <c r="F2727" s="71"/>
    </row>
    <row r="2729" spans="1:6" ht="14.25" customHeight="1" x14ac:dyDescent="0.35">
      <c r="A2729" s="43" t="s">
        <v>16424</v>
      </c>
      <c r="B2729" s="43" t="s">
        <v>16856</v>
      </c>
      <c r="C2729" s="43" t="s">
        <v>16326</v>
      </c>
      <c r="D2729" s="43" t="s">
        <v>15925</v>
      </c>
      <c r="E2729" s="43" t="s">
        <v>7248</v>
      </c>
      <c r="F2729" s="43" t="s">
        <v>15955</v>
      </c>
    </row>
    <row r="2730" spans="1:6" ht="14.25" customHeight="1" x14ac:dyDescent="0.35">
      <c r="A2730" s="39" t="s">
        <v>5116</v>
      </c>
      <c r="B2730" s="40" t="str">
        <f ca="1">IFERROR(INDEX(UNSPSCDes,MATCH(INDIRECT(ADDRESS(ROW(),COLUMN()-1,4)),UNSPSCCode,0)),IF(INDIRECT(ADDRESS(ROW(),COLUMN()-1,4))="90101602","Servicios de carpas para fiestas",""))</f>
        <v>Servicios de carpas para fiestas</v>
      </c>
      <c r="C2730" s="72" t="str">
        <f>IFERROR(VLOOKUP("UD",'Informacion '!P:Q,2,FALSE),"")</f>
        <v>Unidad</v>
      </c>
      <c r="D2730" s="39">
        <v>2</v>
      </c>
      <c r="E2730" s="42">
        <v>9912</v>
      </c>
      <c r="F2730" s="41">
        <f t="shared" ref="F2730:F2761" ca="1" si="113">INDIRECT(ADDRESS(ROW(),COLUMN()-2,4))*INDIRECT(ADDRESS(ROW(),COLUMN()-1,4))</f>
        <v>19824</v>
      </c>
    </row>
    <row r="2731" spans="1:6" ht="14.25" customHeight="1" x14ac:dyDescent="0.35">
      <c r="A2731" s="39" t="s">
        <v>1735</v>
      </c>
      <c r="B2731" s="40" t="str">
        <f t="shared" ref="B2731:B2769" ca="1" si="114">IFERROR(INDEX(UNSPSCDes,MATCH(INDIRECT(ADDRESS(ROW(),COLUMN()-1,4)),UNSPSCCode,0)),IF(INDIRECT(ADDRESS(ROW(),COLUMN()-1,4))="90101603","Servicios de cáterin",""))</f>
        <v>Servicios de cáterin</v>
      </c>
      <c r="C2731" s="72" t="str">
        <f>IFERROR(VLOOKUP("UD",'Informacion '!P:Q,2,FALSE),"")</f>
        <v>Unidad</v>
      </c>
      <c r="D2731" s="39">
        <v>40</v>
      </c>
      <c r="E2731" s="42">
        <v>590</v>
      </c>
      <c r="F2731" s="41">
        <f t="shared" ca="1" si="113"/>
        <v>23600</v>
      </c>
    </row>
    <row r="2732" spans="1:6" ht="14.25" customHeight="1" x14ac:dyDescent="0.35">
      <c r="A2732" s="39" t="s">
        <v>1735</v>
      </c>
      <c r="B2732" s="40" t="str">
        <f t="shared" ca="1" si="114"/>
        <v>Servicios de cáterin</v>
      </c>
      <c r="C2732" s="72" t="str">
        <f>IFERROR(VLOOKUP("UD",'Informacion '!P:Q,2,FALSE),"")</f>
        <v>Unidad</v>
      </c>
      <c r="D2732" s="39">
        <v>4</v>
      </c>
      <c r="E2732" s="42">
        <v>590</v>
      </c>
      <c r="F2732" s="41">
        <f t="shared" ca="1" si="113"/>
        <v>2360</v>
      </c>
    </row>
    <row r="2733" spans="1:6" ht="14.25" customHeight="1" x14ac:dyDescent="0.35">
      <c r="A2733" s="39" t="s">
        <v>1735</v>
      </c>
      <c r="B2733" s="40" t="str">
        <f t="shared" ca="1" si="114"/>
        <v>Servicios de cáterin</v>
      </c>
      <c r="C2733" s="72" t="str">
        <f>IFERROR(VLOOKUP("UD",'Informacion '!P:Q,2,FALSE),"")</f>
        <v>Unidad</v>
      </c>
      <c r="D2733" s="39">
        <v>16</v>
      </c>
      <c r="E2733" s="42">
        <v>590</v>
      </c>
      <c r="F2733" s="41">
        <f t="shared" ca="1" si="113"/>
        <v>9440</v>
      </c>
    </row>
    <row r="2734" spans="1:6" ht="14.25" customHeight="1" x14ac:dyDescent="0.35">
      <c r="A2734" s="39" t="s">
        <v>1735</v>
      </c>
      <c r="B2734" s="40" t="str">
        <f t="shared" ca="1" si="114"/>
        <v>Servicios de cáterin</v>
      </c>
      <c r="C2734" s="72" t="str">
        <f>IFERROR(VLOOKUP("UD",'Informacion '!P:Q,2,FALSE),"")</f>
        <v>Unidad</v>
      </c>
      <c r="D2734" s="39">
        <v>20</v>
      </c>
      <c r="E2734" s="42">
        <v>590</v>
      </c>
      <c r="F2734" s="41">
        <f t="shared" ca="1" si="113"/>
        <v>11800</v>
      </c>
    </row>
    <row r="2735" spans="1:6" ht="14.25" customHeight="1" x14ac:dyDescent="0.35">
      <c r="A2735" s="39" t="s">
        <v>1735</v>
      </c>
      <c r="B2735" s="40" t="str">
        <f t="shared" ca="1" si="114"/>
        <v>Servicios de cáterin</v>
      </c>
      <c r="C2735" s="72" t="str">
        <f>IFERROR(VLOOKUP("UD",'Informacion '!P:Q,2,FALSE),"")</f>
        <v>Unidad</v>
      </c>
      <c r="D2735" s="39">
        <v>80</v>
      </c>
      <c r="E2735" s="42">
        <v>590</v>
      </c>
      <c r="F2735" s="41">
        <f t="shared" ca="1" si="113"/>
        <v>47200</v>
      </c>
    </row>
    <row r="2736" spans="1:6" ht="14.25" customHeight="1" x14ac:dyDescent="0.35">
      <c r="A2736" s="39" t="s">
        <v>1735</v>
      </c>
      <c r="B2736" s="40" t="str">
        <f t="shared" ca="1" si="114"/>
        <v>Servicios de cáterin</v>
      </c>
      <c r="C2736" s="72" t="str">
        <f>IFERROR(VLOOKUP("UD",'Informacion '!P:Q,2,FALSE),"")</f>
        <v>Unidad</v>
      </c>
      <c r="D2736" s="39">
        <v>80</v>
      </c>
      <c r="E2736" s="42">
        <v>590</v>
      </c>
      <c r="F2736" s="41">
        <f t="shared" ca="1" si="113"/>
        <v>47200</v>
      </c>
    </row>
    <row r="2737" spans="1:6" ht="14.25" customHeight="1" x14ac:dyDescent="0.35">
      <c r="A2737" s="39" t="s">
        <v>1735</v>
      </c>
      <c r="B2737" s="40" t="str">
        <f t="shared" ca="1" si="114"/>
        <v>Servicios de cáterin</v>
      </c>
      <c r="C2737" s="72" t="str">
        <f>IFERROR(VLOOKUP("UD",'Informacion '!P:Q,2,FALSE),"")</f>
        <v>Unidad</v>
      </c>
      <c r="D2737" s="39">
        <v>80</v>
      </c>
      <c r="E2737" s="42">
        <v>590</v>
      </c>
      <c r="F2737" s="41">
        <f t="shared" ca="1" si="113"/>
        <v>47200</v>
      </c>
    </row>
    <row r="2738" spans="1:6" ht="14.25" customHeight="1" x14ac:dyDescent="0.35">
      <c r="A2738" s="39" t="s">
        <v>1735</v>
      </c>
      <c r="B2738" s="40" t="str">
        <f t="shared" ca="1" si="114"/>
        <v>Servicios de cáterin</v>
      </c>
      <c r="C2738" s="72" t="str">
        <f>IFERROR(VLOOKUP("UD",'Informacion '!P:Q,2,FALSE),"")</f>
        <v>Unidad</v>
      </c>
      <c r="D2738" s="39">
        <v>80</v>
      </c>
      <c r="E2738" s="42">
        <v>590</v>
      </c>
      <c r="F2738" s="41">
        <f t="shared" ca="1" si="113"/>
        <v>47200</v>
      </c>
    </row>
    <row r="2739" spans="1:6" ht="14.25" customHeight="1" x14ac:dyDescent="0.35">
      <c r="A2739" s="39" t="s">
        <v>1735</v>
      </c>
      <c r="B2739" s="40" t="str">
        <f t="shared" ca="1" si="114"/>
        <v>Servicios de cáterin</v>
      </c>
      <c r="C2739" s="72" t="str">
        <f>IFERROR(VLOOKUP("UD",'Informacion '!P:Q,2,FALSE),"")</f>
        <v>Unidad</v>
      </c>
      <c r="D2739" s="39">
        <v>80</v>
      </c>
      <c r="E2739" s="42">
        <v>590</v>
      </c>
      <c r="F2739" s="41">
        <f t="shared" ca="1" si="113"/>
        <v>47200</v>
      </c>
    </row>
    <row r="2740" spans="1:6" ht="14.25" customHeight="1" x14ac:dyDescent="0.35">
      <c r="A2740" s="39" t="s">
        <v>1735</v>
      </c>
      <c r="B2740" s="40" t="str">
        <f t="shared" ca="1" si="114"/>
        <v>Servicios de cáterin</v>
      </c>
      <c r="C2740" s="72" t="str">
        <f>IFERROR(VLOOKUP("UD",'Informacion '!P:Q,2,FALSE),"")</f>
        <v>Unidad</v>
      </c>
      <c r="D2740" s="39">
        <v>80</v>
      </c>
      <c r="E2740" s="42">
        <v>590</v>
      </c>
      <c r="F2740" s="41">
        <f t="shared" ca="1" si="113"/>
        <v>47200</v>
      </c>
    </row>
    <row r="2741" spans="1:6" ht="14.25" customHeight="1" x14ac:dyDescent="0.35">
      <c r="A2741" s="39" t="s">
        <v>1735</v>
      </c>
      <c r="B2741" s="40" t="str">
        <f t="shared" ca="1" si="114"/>
        <v>Servicios de cáterin</v>
      </c>
      <c r="C2741" s="72" t="str">
        <f>IFERROR(VLOOKUP("UD",'Informacion '!P:Q,2,FALSE),"")</f>
        <v>Unidad</v>
      </c>
      <c r="D2741" s="39">
        <v>15</v>
      </c>
      <c r="E2741" s="42">
        <v>590</v>
      </c>
      <c r="F2741" s="41">
        <f t="shared" ca="1" si="113"/>
        <v>8850</v>
      </c>
    </row>
    <row r="2742" spans="1:6" ht="14.25" customHeight="1" x14ac:dyDescent="0.35">
      <c r="A2742" s="39" t="s">
        <v>1735</v>
      </c>
      <c r="B2742" s="40" t="str">
        <f t="shared" ca="1" si="114"/>
        <v>Servicios de cáterin</v>
      </c>
      <c r="C2742" s="72" t="str">
        <f>IFERROR(VLOOKUP("UD",'Informacion '!P:Q,2,FALSE),"")</f>
        <v>Unidad</v>
      </c>
      <c r="D2742" s="39">
        <v>1</v>
      </c>
      <c r="E2742" s="42">
        <v>590</v>
      </c>
      <c r="F2742" s="41">
        <f t="shared" ca="1" si="113"/>
        <v>590</v>
      </c>
    </row>
    <row r="2743" spans="1:6" ht="14.25" customHeight="1" x14ac:dyDescent="0.35">
      <c r="A2743" s="39" t="s">
        <v>1735</v>
      </c>
      <c r="B2743" s="40" t="str">
        <f t="shared" ca="1" si="114"/>
        <v>Servicios de cáterin</v>
      </c>
      <c r="C2743" s="72" t="str">
        <f>IFERROR(VLOOKUP("UD",'Informacion '!P:Q,2,FALSE),"")</f>
        <v>Unidad</v>
      </c>
      <c r="D2743" s="39">
        <v>25</v>
      </c>
      <c r="E2743" s="42">
        <v>88.5</v>
      </c>
      <c r="F2743" s="41">
        <f t="shared" ca="1" si="113"/>
        <v>2212.5</v>
      </c>
    </row>
    <row r="2744" spans="1:6" ht="14.25" customHeight="1" x14ac:dyDescent="0.35">
      <c r="A2744" s="39" t="s">
        <v>1735</v>
      </c>
      <c r="B2744" s="40" t="str">
        <f t="shared" ca="1" si="114"/>
        <v>Servicios de cáterin</v>
      </c>
      <c r="C2744" s="72" t="str">
        <f>IFERROR(VLOOKUP("UD",'Informacion '!P:Q,2,FALSE),"")</f>
        <v>Unidad</v>
      </c>
      <c r="D2744" s="39">
        <v>10</v>
      </c>
      <c r="E2744" s="42">
        <v>88.5</v>
      </c>
      <c r="F2744" s="41">
        <f t="shared" ca="1" si="113"/>
        <v>885</v>
      </c>
    </row>
    <row r="2745" spans="1:6" ht="14.25" customHeight="1" x14ac:dyDescent="0.35">
      <c r="A2745" s="39" t="s">
        <v>1735</v>
      </c>
      <c r="B2745" s="40" t="str">
        <f t="shared" ca="1" si="114"/>
        <v>Servicios de cáterin</v>
      </c>
      <c r="C2745" s="72" t="str">
        <f>IFERROR(VLOOKUP("UD",'Informacion '!P:Q,2,FALSE),"")</f>
        <v>Unidad</v>
      </c>
      <c r="D2745" s="39">
        <v>66</v>
      </c>
      <c r="E2745" s="42">
        <v>590</v>
      </c>
      <c r="F2745" s="41">
        <f t="shared" ca="1" si="113"/>
        <v>38940</v>
      </c>
    </row>
    <row r="2746" spans="1:6" ht="14.25" customHeight="1" x14ac:dyDescent="0.35">
      <c r="A2746" s="39" t="s">
        <v>1735</v>
      </c>
      <c r="B2746" s="40" t="str">
        <f t="shared" ca="1" si="114"/>
        <v>Servicios de cáterin</v>
      </c>
      <c r="C2746" s="72" t="str">
        <f>IFERROR(VLOOKUP("UD",'Informacion '!P:Q,2,FALSE),"")</f>
        <v>Unidad</v>
      </c>
      <c r="D2746" s="39">
        <v>66</v>
      </c>
      <c r="E2746" s="42">
        <v>590</v>
      </c>
      <c r="F2746" s="41">
        <f t="shared" ca="1" si="113"/>
        <v>38940</v>
      </c>
    </row>
    <row r="2747" spans="1:6" ht="14.25" customHeight="1" x14ac:dyDescent="0.35">
      <c r="A2747" s="39" t="s">
        <v>1735</v>
      </c>
      <c r="B2747" s="40" t="str">
        <f t="shared" ca="1" si="114"/>
        <v>Servicios de cáterin</v>
      </c>
      <c r="C2747" s="72" t="str">
        <f>IFERROR(VLOOKUP("UD",'Informacion '!P:Q,2,FALSE),"")</f>
        <v>Unidad</v>
      </c>
      <c r="D2747" s="39">
        <v>10200</v>
      </c>
      <c r="E2747" s="42">
        <v>250</v>
      </c>
      <c r="F2747" s="41">
        <f t="shared" ca="1" si="113"/>
        <v>2550000</v>
      </c>
    </row>
    <row r="2748" spans="1:6" ht="14.25" customHeight="1" x14ac:dyDescent="0.35">
      <c r="A2748" s="39" t="s">
        <v>1735</v>
      </c>
      <c r="B2748" s="40" t="str">
        <f t="shared" ca="1" si="114"/>
        <v>Servicios de cáterin</v>
      </c>
      <c r="C2748" s="72" t="str">
        <f>IFERROR(VLOOKUP("UD",'Informacion '!P:Q,2,FALSE),"")</f>
        <v>Unidad</v>
      </c>
      <c r="D2748" s="39">
        <v>100</v>
      </c>
      <c r="E2748" s="42">
        <v>600</v>
      </c>
      <c r="F2748" s="41">
        <f t="shared" ca="1" si="113"/>
        <v>60000</v>
      </c>
    </row>
    <row r="2749" spans="1:6" ht="14.25" customHeight="1" x14ac:dyDescent="0.35">
      <c r="A2749" s="39" t="s">
        <v>1735</v>
      </c>
      <c r="B2749" s="40" t="str">
        <f t="shared" ca="1" si="114"/>
        <v>Servicios de cáterin</v>
      </c>
      <c r="C2749" s="72" t="str">
        <f>IFERROR(VLOOKUP("UD",'Informacion '!P:Q,2,FALSE),"")</f>
        <v>Unidad</v>
      </c>
      <c r="D2749" s="39">
        <v>1</v>
      </c>
      <c r="E2749" s="42">
        <v>79566</v>
      </c>
      <c r="F2749" s="41">
        <f t="shared" ca="1" si="113"/>
        <v>79566</v>
      </c>
    </row>
    <row r="2750" spans="1:6" ht="14.25" customHeight="1" x14ac:dyDescent="0.35">
      <c r="A2750" s="39" t="s">
        <v>1735</v>
      </c>
      <c r="B2750" s="40" t="str">
        <f t="shared" ca="1" si="114"/>
        <v>Servicios de cáterin</v>
      </c>
      <c r="C2750" s="72" t="str">
        <f>IFERROR(VLOOKUP("UD",'Informacion '!P:Q,2,FALSE),"")</f>
        <v>Unidad</v>
      </c>
      <c r="D2750" s="39">
        <v>1</v>
      </c>
      <c r="E2750" s="42">
        <v>79566</v>
      </c>
      <c r="F2750" s="41">
        <f t="shared" ca="1" si="113"/>
        <v>79566</v>
      </c>
    </row>
    <row r="2751" spans="1:6" ht="14.25" customHeight="1" x14ac:dyDescent="0.35">
      <c r="A2751" s="39" t="s">
        <v>1735</v>
      </c>
      <c r="B2751" s="40" t="str">
        <f t="shared" ca="1" si="114"/>
        <v>Servicios de cáterin</v>
      </c>
      <c r="C2751" s="72" t="str">
        <f>IFERROR(VLOOKUP("UD",'Informacion '!P:Q,2,FALSE),"")</f>
        <v>Unidad</v>
      </c>
      <c r="D2751" s="39">
        <v>1</v>
      </c>
      <c r="E2751" s="42">
        <v>79566</v>
      </c>
      <c r="F2751" s="41">
        <f t="shared" ca="1" si="113"/>
        <v>79566</v>
      </c>
    </row>
    <row r="2752" spans="1:6" ht="14.25" customHeight="1" x14ac:dyDescent="0.35">
      <c r="A2752" s="39" t="s">
        <v>1735</v>
      </c>
      <c r="B2752" s="40" t="str">
        <f t="shared" ca="1" si="114"/>
        <v>Servicios de cáterin</v>
      </c>
      <c r="C2752" s="72" t="str">
        <f>IFERROR(VLOOKUP("UD",'Informacion '!P:Q,2,FALSE),"")</f>
        <v>Unidad</v>
      </c>
      <c r="D2752" s="39">
        <v>1</v>
      </c>
      <c r="E2752" s="42">
        <v>79566</v>
      </c>
      <c r="F2752" s="41">
        <f t="shared" ca="1" si="113"/>
        <v>79566</v>
      </c>
    </row>
    <row r="2753" spans="1:6" ht="14.25" customHeight="1" x14ac:dyDescent="0.35">
      <c r="A2753" s="39" t="s">
        <v>1735</v>
      </c>
      <c r="B2753" s="40" t="str">
        <f t="shared" ca="1" si="114"/>
        <v>Servicios de cáterin</v>
      </c>
      <c r="C2753" s="72" t="str">
        <f>IFERROR(VLOOKUP("UD",'Informacion '!P:Q,2,FALSE),"")</f>
        <v>Unidad</v>
      </c>
      <c r="D2753" s="39">
        <v>1</v>
      </c>
      <c r="E2753" s="42">
        <v>79566</v>
      </c>
      <c r="F2753" s="41">
        <f t="shared" ca="1" si="113"/>
        <v>79566</v>
      </c>
    </row>
    <row r="2754" spans="1:6" ht="14.25" customHeight="1" x14ac:dyDescent="0.35">
      <c r="A2754" s="39" t="s">
        <v>1735</v>
      </c>
      <c r="B2754" s="40" t="str">
        <f t="shared" ca="1" si="114"/>
        <v>Servicios de cáterin</v>
      </c>
      <c r="C2754" s="72" t="str">
        <f>IFERROR(VLOOKUP("UD",'Informacion '!P:Q,2,FALSE),"")</f>
        <v>Unidad</v>
      </c>
      <c r="D2754" s="39">
        <v>1</v>
      </c>
      <c r="E2754" s="42">
        <v>31860</v>
      </c>
      <c r="F2754" s="41">
        <f t="shared" ca="1" si="113"/>
        <v>31860</v>
      </c>
    </row>
    <row r="2755" spans="1:6" ht="14.25" customHeight="1" x14ac:dyDescent="0.35">
      <c r="A2755" s="39" t="s">
        <v>1735</v>
      </c>
      <c r="B2755" s="40" t="str">
        <f t="shared" ca="1" si="114"/>
        <v>Servicios de cáterin</v>
      </c>
      <c r="C2755" s="72" t="str">
        <f>IFERROR(VLOOKUP("UD",'Informacion '!P:Q,2,FALSE),"")</f>
        <v>Unidad</v>
      </c>
      <c r="D2755" s="39">
        <v>20</v>
      </c>
      <c r="E2755" s="42">
        <v>850</v>
      </c>
      <c r="F2755" s="41">
        <f t="shared" ca="1" si="113"/>
        <v>17000</v>
      </c>
    </row>
    <row r="2756" spans="1:6" ht="14.25" customHeight="1" x14ac:dyDescent="0.35">
      <c r="A2756" s="39" t="s">
        <v>1735</v>
      </c>
      <c r="B2756" s="40" t="str">
        <f t="shared" ca="1" si="114"/>
        <v>Servicios de cáterin</v>
      </c>
      <c r="C2756" s="72" t="str">
        <f>IFERROR(VLOOKUP("UD",'Informacion '!P:Q,2,FALSE),"")</f>
        <v>Unidad</v>
      </c>
      <c r="D2756" s="39">
        <v>10</v>
      </c>
      <c r="E2756" s="42">
        <v>590</v>
      </c>
      <c r="F2756" s="41">
        <f t="shared" ca="1" si="113"/>
        <v>5900</v>
      </c>
    </row>
    <row r="2757" spans="1:6" ht="14.25" customHeight="1" x14ac:dyDescent="0.35">
      <c r="A2757" s="39" t="s">
        <v>1735</v>
      </c>
      <c r="B2757" s="40" t="str">
        <f t="shared" ca="1" si="114"/>
        <v>Servicios de cáterin</v>
      </c>
      <c r="C2757" s="72" t="str">
        <f>IFERROR(VLOOKUP("UD",'Informacion '!P:Q,2,FALSE),"")</f>
        <v>Unidad</v>
      </c>
      <c r="D2757" s="39">
        <v>30</v>
      </c>
      <c r="E2757" s="42">
        <v>590</v>
      </c>
      <c r="F2757" s="41">
        <f t="shared" ca="1" si="113"/>
        <v>17700</v>
      </c>
    </row>
    <row r="2758" spans="1:6" ht="14.25" customHeight="1" x14ac:dyDescent="0.35">
      <c r="A2758" s="39" t="s">
        <v>1735</v>
      </c>
      <c r="B2758" s="40" t="str">
        <f t="shared" ca="1" si="114"/>
        <v>Servicios de cáterin</v>
      </c>
      <c r="C2758" s="72" t="str">
        <f>IFERROR(VLOOKUP("UD",'Informacion '!P:Q,2,FALSE),"")</f>
        <v>Unidad</v>
      </c>
      <c r="D2758" s="39">
        <v>30</v>
      </c>
      <c r="E2758" s="42">
        <v>590</v>
      </c>
      <c r="F2758" s="41">
        <f t="shared" ca="1" si="113"/>
        <v>17700</v>
      </c>
    </row>
    <row r="2759" spans="1:6" ht="14.25" customHeight="1" x14ac:dyDescent="0.35">
      <c r="A2759" s="39" t="s">
        <v>1735</v>
      </c>
      <c r="B2759" s="40" t="str">
        <f t="shared" ca="1" si="114"/>
        <v>Servicios de cáterin</v>
      </c>
      <c r="C2759" s="72" t="str">
        <f>IFERROR(VLOOKUP("UD",'Informacion '!P:Q,2,FALSE),"")</f>
        <v>Unidad</v>
      </c>
      <c r="D2759" s="39">
        <v>4</v>
      </c>
      <c r="E2759" s="42">
        <v>10000</v>
      </c>
      <c r="F2759" s="41">
        <f t="shared" ca="1" si="113"/>
        <v>40000</v>
      </c>
    </row>
    <row r="2760" spans="1:6" ht="14.25" customHeight="1" x14ac:dyDescent="0.35">
      <c r="A2760" s="39" t="s">
        <v>1735</v>
      </c>
      <c r="B2760" s="40" t="str">
        <f t="shared" ca="1" si="114"/>
        <v>Servicios de cáterin</v>
      </c>
      <c r="C2760" s="72" t="str">
        <f>IFERROR(VLOOKUP("UD",'Informacion '!P:Q,2,FALSE),"")</f>
        <v>Unidad</v>
      </c>
      <c r="D2760" s="39">
        <v>8</v>
      </c>
      <c r="E2760" s="42">
        <v>50000</v>
      </c>
      <c r="F2760" s="41">
        <f t="shared" ca="1" si="113"/>
        <v>400000</v>
      </c>
    </row>
    <row r="2761" spans="1:6" ht="14.25" customHeight="1" x14ac:dyDescent="0.35">
      <c r="A2761" s="39" t="s">
        <v>1735</v>
      </c>
      <c r="B2761" s="40" t="str">
        <f t="shared" ca="1" si="114"/>
        <v>Servicios de cáterin</v>
      </c>
      <c r="C2761" s="72" t="str">
        <f>IFERROR(VLOOKUP("UD",'Informacion '!P:Q,2,FALSE),"")</f>
        <v>Unidad</v>
      </c>
      <c r="D2761" s="39">
        <v>1</v>
      </c>
      <c r="E2761" s="42">
        <v>93456</v>
      </c>
      <c r="F2761" s="41">
        <f t="shared" ca="1" si="113"/>
        <v>93456</v>
      </c>
    </row>
    <row r="2762" spans="1:6" ht="14.25" customHeight="1" x14ac:dyDescent="0.35">
      <c r="A2762" s="39" t="s">
        <v>1735</v>
      </c>
      <c r="B2762" s="40" t="str">
        <f t="shared" ca="1" si="114"/>
        <v>Servicios de cáterin</v>
      </c>
      <c r="C2762" s="72" t="str">
        <f>IFERROR(VLOOKUP("UD",'Informacion '!P:Q,2,FALSE),"")</f>
        <v>Unidad</v>
      </c>
      <c r="D2762" s="39">
        <v>60</v>
      </c>
      <c r="E2762" s="42">
        <v>4500</v>
      </c>
      <c r="F2762" s="41">
        <f t="shared" ref="F2762:F2797" ca="1" si="115">INDIRECT(ADDRESS(ROW(),COLUMN()-2,4))*INDIRECT(ADDRESS(ROW(),COLUMN()-1,4))</f>
        <v>270000</v>
      </c>
    </row>
    <row r="2763" spans="1:6" ht="14.25" customHeight="1" x14ac:dyDescent="0.35">
      <c r="A2763" s="39" t="s">
        <v>1735</v>
      </c>
      <c r="B2763" s="40" t="str">
        <f t="shared" ca="1" si="114"/>
        <v>Servicios de cáterin</v>
      </c>
      <c r="C2763" s="72" t="str">
        <f>IFERROR(VLOOKUP("UD",'Informacion '!P:Q,2,FALSE),"")</f>
        <v>Unidad</v>
      </c>
      <c r="D2763" s="39">
        <v>600</v>
      </c>
      <c r="E2763" s="42">
        <v>1500</v>
      </c>
      <c r="F2763" s="41">
        <f t="shared" ca="1" si="115"/>
        <v>900000</v>
      </c>
    </row>
    <row r="2764" spans="1:6" ht="14.25" customHeight="1" x14ac:dyDescent="0.35">
      <c r="A2764" s="39" t="s">
        <v>1735</v>
      </c>
      <c r="B2764" s="40" t="str">
        <f t="shared" ca="1" si="114"/>
        <v>Servicios de cáterin</v>
      </c>
      <c r="C2764" s="72" t="str">
        <f>IFERROR(VLOOKUP("UD",'Informacion '!P:Q,2,FALSE),"")</f>
        <v>Unidad</v>
      </c>
      <c r="D2764" s="39">
        <v>1</v>
      </c>
      <c r="E2764" s="42">
        <v>168192</v>
      </c>
      <c r="F2764" s="41">
        <f t="shared" ca="1" si="115"/>
        <v>168192</v>
      </c>
    </row>
    <row r="2765" spans="1:6" ht="14.25" customHeight="1" x14ac:dyDescent="0.35">
      <c r="A2765" s="39" t="s">
        <v>1735</v>
      </c>
      <c r="B2765" s="40" t="str">
        <f t="shared" ca="1" si="114"/>
        <v>Servicios de cáterin</v>
      </c>
      <c r="C2765" s="72" t="str">
        <f>IFERROR(VLOOKUP("UD",'Informacion '!P:Q,2,FALSE),"")</f>
        <v>Unidad</v>
      </c>
      <c r="D2765" s="39">
        <v>1</v>
      </c>
      <c r="E2765" s="42">
        <v>717696</v>
      </c>
      <c r="F2765" s="41">
        <f t="shared" ca="1" si="115"/>
        <v>717696</v>
      </c>
    </row>
    <row r="2766" spans="1:6" ht="14.25" customHeight="1" x14ac:dyDescent="0.35">
      <c r="A2766" s="39" t="s">
        <v>1735</v>
      </c>
      <c r="B2766" s="40" t="str">
        <f t="shared" ca="1" si="114"/>
        <v>Servicios de cáterin</v>
      </c>
      <c r="C2766" s="72" t="str">
        <f>IFERROR(VLOOKUP("UD",'Informacion '!P:Q,2,FALSE),"")</f>
        <v>Unidad</v>
      </c>
      <c r="D2766" s="39">
        <v>2</v>
      </c>
      <c r="E2766" s="42">
        <v>717696</v>
      </c>
      <c r="F2766" s="41">
        <f t="shared" ca="1" si="115"/>
        <v>1435392</v>
      </c>
    </row>
    <row r="2767" spans="1:6" ht="14.25" customHeight="1" x14ac:dyDescent="0.35">
      <c r="A2767" s="39" t="s">
        <v>1735</v>
      </c>
      <c r="B2767" s="40" t="str">
        <f t="shared" ca="1" si="114"/>
        <v>Servicios de cáterin</v>
      </c>
      <c r="C2767" s="72" t="str">
        <f>IFERROR(VLOOKUP("UD",'Informacion '!P:Q,2,FALSE),"")</f>
        <v>Unidad</v>
      </c>
      <c r="D2767" s="39">
        <v>1</v>
      </c>
      <c r="E2767" s="42">
        <v>550000</v>
      </c>
      <c r="F2767" s="41">
        <f t="shared" ca="1" si="115"/>
        <v>550000</v>
      </c>
    </row>
    <row r="2768" spans="1:6" ht="14.25" customHeight="1" x14ac:dyDescent="0.35">
      <c r="A2768" s="39" t="s">
        <v>1735</v>
      </c>
      <c r="B2768" s="40" t="str">
        <f t="shared" ca="1" si="114"/>
        <v>Servicios de cáterin</v>
      </c>
      <c r="C2768" s="72" t="str">
        <f>IFERROR(VLOOKUP("UD",'Informacion '!P:Q,2,FALSE),"")</f>
        <v>Unidad</v>
      </c>
      <c r="D2768" s="39">
        <v>2</v>
      </c>
      <c r="E2768" s="42">
        <v>119180</v>
      </c>
      <c r="F2768" s="41">
        <f t="shared" ca="1" si="115"/>
        <v>238360</v>
      </c>
    </row>
    <row r="2769" spans="1:6" ht="14.25" customHeight="1" x14ac:dyDescent="0.35">
      <c r="A2769" s="39" t="s">
        <v>1735</v>
      </c>
      <c r="B2769" s="40" t="str">
        <f t="shared" ca="1" si="114"/>
        <v>Servicios de cáterin</v>
      </c>
      <c r="C2769" s="72" t="str">
        <f>IFERROR(VLOOKUP("UD",'Informacion '!P:Q,2,FALSE),"")</f>
        <v>Unidad</v>
      </c>
      <c r="D2769" s="39">
        <v>1</v>
      </c>
      <c r="E2769" s="42">
        <v>65280</v>
      </c>
      <c r="F2769" s="41">
        <f t="shared" ca="1" si="115"/>
        <v>65280</v>
      </c>
    </row>
    <row r="2770" spans="1:6" ht="14.25" customHeight="1" x14ac:dyDescent="0.35">
      <c r="A2770" s="39" t="s">
        <v>5338</v>
      </c>
      <c r="B2770" s="40" t="str">
        <f t="shared" ref="B2770:B2783" ca="1" si="116">IFERROR(INDEX(UNSPSCDes,MATCH(INDIRECT(ADDRESS(ROW(),COLUMN()-1,4)),UNSPSCCode,0)),IF(INDIRECT(ADDRESS(ROW(),COLUMN()-1,4))="90101604","Servicios de cáterin en la obra o lugar de trabajo",""))</f>
        <v>Servicios de cáterin en la obra o lugar de trabajo</v>
      </c>
      <c r="C2770" s="72" t="str">
        <f>IFERROR(VLOOKUP("UD",'Informacion '!P:Q,2,FALSE),"")</f>
        <v>Unidad</v>
      </c>
      <c r="D2770" s="39">
        <v>60</v>
      </c>
      <c r="E2770" s="42">
        <v>590</v>
      </c>
      <c r="F2770" s="41">
        <f t="shared" ca="1" si="115"/>
        <v>35400</v>
      </c>
    </row>
    <row r="2771" spans="1:6" ht="14.25" customHeight="1" x14ac:dyDescent="0.35">
      <c r="A2771" s="39" t="s">
        <v>5338</v>
      </c>
      <c r="B2771" s="40" t="str">
        <f t="shared" ca="1" si="116"/>
        <v>Servicios de cáterin en la obra o lugar de trabajo</v>
      </c>
      <c r="C2771" s="72" t="str">
        <f>IFERROR(VLOOKUP("UD",'Informacion '!P:Q,2,FALSE),"")</f>
        <v>Unidad</v>
      </c>
      <c r="D2771" s="39">
        <v>30</v>
      </c>
      <c r="E2771" s="42">
        <v>590</v>
      </c>
      <c r="F2771" s="41">
        <f t="shared" ca="1" si="115"/>
        <v>17700</v>
      </c>
    </row>
    <row r="2772" spans="1:6" ht="14.25" customHeight="1" x14ac:dyDescent="0.35">
      <c r="A2772" s="39" t="s">
        <v>5338</v>
      </c>
      <c r="B2772" s="40" t="str">
        <f t="shared" ca="1" si="116"/>
        <v>Servicios de cáterin en la obra o lugar de trabajo</v>
      </c>
      <c r="C2772" s="72" t="str">
        <f>IFERROR(VLOOKUP("UD",'Informacion '!P:Q,2,FALSE),"")</f>
        <v>Unidad</v>
      </c>
      <c r="D2772" s="39">
        <v>7</v>
      </c>
      <c r="E2772" s="42">
        <v>20001</v>
      </c>
      <c r="F2772" s="41">
        <f t="shared" ca="1" si="115"/>
        <v>140007</v>
      </c>
    </row>
    <row r="2773" spans="1:6" ht="14.25" customHeight="1" x14ac:dyDescent="0.35">
      <c r="A2773" s="39" t="s">
        <v>5338</v>
      </c>
      <c r="B2773" s="40" t="str">
        <f t="shared" ca="1" si="116"/>
        <v>Servicios de cáterin en la obra o lugar de trabajo</v>
      </c>
      <c r="C2773" s="72" t="str">
        <f>IFERROR(VLOOKUP("UD",'Informacion '!P:Q,2,FALSE),"")</f>
        <v>Unidad</v>
      </c>
      <c r="D2773" s="39">
        <v>1</v>
      </c>
      <c r="E2773" s="42">
        <v>24013</v>
      </c>
      <c r="F2773" s="41">
        <f t="shared" ca="1" si="115"/>
        <v>24013</v>
      </c>
    </row>
    <row r="2774" spans="1:6" ht="14.25" customHeight="1" x14ac:dyDescent="0.35">
      <c r="A2774" s="39" t="s">
        <v>5338</v>
      </c>
      <c r="B2774" s="40" t="str">
        <f t="shared" ca="1" si="116"/>
        <v>Servicios de cáterin en la obra o lugar de trabajo</v>
      </c>
      <c r="C2774" s="72" t="str">
        <f>IFERROR(VLOOKUP("UD",'Informacion '!P:Q,2,FALSE),"")</f>
        <v>Unidad</v>
      </c>
      <c r="D2774" s="39">
        <v>1</v>
      </c>
      <c r="E2774" s="42">
        <v>81600</v>
      </c>
      <c r="F2774" s="41">
        <f t="shared" ca="1" si="115"/>
        <v>81600</v>
      </c>
    </row>
    <row r="2775" spans="1:6" ht="14.25" customHeight="1" x14ac:dyDescent="0.35">
      <c r="A2775" s="39" t="s">
        <v>5338</v>
      </c>
      <c r="B2775" s="40" t="str">
        <f t="shared" ca="1" si="116"/>
        <v>Servicios de cáterin en la obra o lugar de trabajo</v>
      </c>
      <c r="C2775" s="72" t="str">
        <f>IFERROR(VLOOKUP("UD",'Informacion '!P:Q,2,FALSE),"")</f>
        <v>Unidad</v>
      </c>
      <c r="D2775" s="39">
        <v>300</v>
      </c>
      <c r="E2775" s="42">
        <v>796.5</v>
      </c>
      <c r="F2775" s="41">
        <f t="shared" ca="1" si="115"/>
        <v>238950</v>
      </c>
    </row>
    <row r="2776" spans="1:6" ht="14.25" customHeight="1" x14ac:dyDescent="0.35">
      <c r="A2776" s="39" t="s">
        <v>5338</v>
      </c>
      <c r="B2776" s="40" t="str">
        <f t="shared" ca="1" si="116"/>
        <v>Servicios de cáterin en la obra o lugar de trabajo</v>
      </c>
      <c r="C2776" s="72" t="str">
        <f>IFERROR(VLOOKUP("UD",'Informacion '!P:Q,2,FALSE),"")</f>
        <v>Unidad</v>
      </c>
      <c r="D2776" s="39">
        <v>22</v>
      </c>
      <c r="E2776" s="42">
        <v>796.5</v>
      </c>
      <c r="F2776" s="41">
        <f t="shared" ca="1" si="115"/>
        <v>17523</v>
      </c>
    </row>
    <row r="2777" spans="1:6" ht="14.25" customHeight="1" x14ac:dyDescent="0.35">
      <c r="A2777" s="39" t="s">
        <v>5338</v>
      </c>
      <c r="B2777" s="40" t="str">
        <f t="shared" ca="1" si="116"/>
        <v>Servicios de cáterin en la obra o lugar de trabajo</v>
      </c>
      <c r="C2777" s="72" t="str">
        <f>IFERROR(VLOOKUP("UD",'Informacion '!P:Q,2,FALSE),"")</f>
        <v>Unidad</v>
      </c>
      <c r="D2777" s="39">
        <v>2</v>
      </c>
      <c r="E2777" s="42">
        <v>400000</v>
      </c>
      <c r="F2777" s="41">
        <f t="shared" ca="1" si="115"/>
        <v>800000</v>
      </c>
    </row>
    <row r="2778" spans="1:6" ht="14.25" customHeight="1" x14ac:dyDescent="0.35">
      <c r="A2778" s="39" t="s">
        <v>5338</v>
      </c>
      <c r="B2778" s="40" t="str">
        <f t="shared" ca="1" si="116"/>
        <v>Servicios de cáterin en la obra o lugar de trabajo</v>
      </c>
      <c r="C2778" s="72" t="str">
        <f>IFERROR(VLOOKUP("UD",'Informacion '!P:Q,2,FALSE),"")</f>
        <v>Unidad</v>
      </c>
      <c r="D2778" s="39">
        <v>50</v>
      </c>
      <c r="E2778" s="42">
        <v>590</v>
      </c>
      <c r="F2778" s="41">
        <f t="shared" ca="1" si="115"/>
        <v>29500</v>
      </c>
    </row>
    <row r="2779" spans="1:6" ht="14.25" customHeight="1" x14ac:dyDescent="0.35">
      <c r="A2779" s="39" t="s">
        <v>5338</v>
      </c>
      <c r="B2779" s="40" t="str">
        <f t="shared" ca="1" si="116"/>
        <v>Servicios de cáterin en la obra o lugar de trabajo</v>
      </c>
      <c r="C2779" s="72" t="str">
        <f>IFERROR(VLOOKUP("UD",'Informacion '!P:Q,2,FALSE),"")</f>
        <v>Unidad</v>
      </c>
      <c r="D2779" s="39">
        <v>50</v>
      </c>
      <c r="E2779" s="42">
        <v>590</v>
      </c>
      <c r="F2779" s="41">
        <f t="shared" ca="1" si="115"/>
        <v>29500</v>
      </c>
    </row>
    <row r="2780" spans="1:6" ht="14.25" customHeight="1" x14ac:dyDescent="0.35">
      <c r="A2780" s="39" t="s">
        <v>5338</v>
      </c>
      <c r="B2780" s="40" t="str">
        <f t="shared" ca="1" si="116"/>
        <v>Servicios de cáterin en la obra o lugar de trabajo</v>
      </c>
      <c r="C2780" s="72" t="str">
        <f>IFERROR(VLOOKUP("UD",'Informacion '!P:Q,2,FALSE),"")</f>
        <v>Unidad</v>
      </c>
      <c r="D2780" s="39">
        <v>50</v>
      </c>
      <c r="E2780" s="42">
        <v>590</v>
      </c>
      <c r="F2780" s="41">
        <f t="shared" ca="1" si="115"/>
        <v>29500</v>
      </c>
    </row>
    <row r="2781" spans="1:6" ht="14.25" customHeight="1" x14ac:dyDescent="0.35">
      <c r="A2781" s="39" t="s">
        <v>5338</v>
      </c>
      <c r="B2781" s="40" t="str">
        <f t="shared" ca="1" si="116"/>
        <v>Servicios de cáterin en la obra o lugar de trabajo</v>
      </c>
      <c r="C2781" s="72" t="str">
        <f>IFERROR(VLOOKUP("UD",'Informacion '!P:Q,2,FALSE),"")</f>
        <v>Unidad</v>
      </c>
      <c r="D2781" s="39">
        <v>50</v>
      </c>
      <c r="E2781" s="42">
        <v>590</v>
      </c>
      <c r="F2781" s="41">
        <f t="shared" ca="1" si="115"/>
        <v>29500</v>
      </c>
    </row>
    <row r="2782" spans="1:6" ht="14.25" customHeight="1" x14ac:dyDescent="0.35">
      <c r="A2782" s="39" t="s">
        <v>5338</v>
      </c>
      <c r="B2782" s="40" t="str">
        <f t="shared" ca="1" si="116"/>
        <v>Servicios de cáterin en la obra o lugar de trabajo</v>
      </c>
      <c r="C2782" s="72" t="str">
        <f>IFERROR(VLOOKUP("UD",'Informacion '!P:Q,2,FALSE),"")</f>
        <v>Unidad</v>
      </c>
      <c r="D2782" s="39">
        <v>50</v>
      </c>
      <c r="E2782" s="42">
        <v>590</v>
      </c>
      <c r="F2782" s="41">
        <f t="shared" ca="1" si="115"/>
        <v>29500</v>
      </c>
    </row>
    <row r="2783" spans="1:6" ht="14.25" customHeight="1" x14ac:dyDescent="0.35">
      <c r="A2783" s="39" t="s">
        <v>5338</v>
      </c>
      <c r="B2783" s="40" t="str">
        <f t="shared" ca="1" si="116"/>
        <v>Servicios de cáterin en la obra o lugar de trabajo</v>
      </c>
      <c r="C2783" s="72" t="str">
        <f>IFERROR(VLOOKUP("UD",'Informacion '!P:Q,2,FALSE),"")</f>
        <v>Unidad</v>
      </c>
      <c r="D2783" s="39">
        <v>50</v>
      </c>
      <c r="E2783" s="42">
        <v>590</v>
      </c>
      <c r="F2783" s="41">
        <f t="shared" ca="1" si="115"/>
        <v>29500</v>
      </c>
    </row>
    <row r="2784" spans="1:6" ht="14.25" customHeight="1" x14ac:dyDescent="0.35">
      <c r="A2784" s="39" t="s">
        <v>1946</v>
      </c>
      <c r="B2784" s="40" t="str">
        <f t="shared" ref="B2784:B2796" ca="1" si="117">IFERROR(INDEX(UNSPSCDes,MATCH(INDIRECT(ADDRESS(ROW(),COLUMN()-1,4)),UNSPSCCode,0)),IF(INDIRECT(ADDRESS(ROW(),COLUMN()-1,4))="90101802","Servicios de comidas a domicilio",""))</f>
        <v>Servicios de comidas a domicilio</v>
      </c>
      <c r="C2784" s="72" t="str">
        <f>IFERROR(VLOOKUP("UD",'Informacion '!P:Q,2,FALSE),"")</f>
        <v>Unidad</v>
      </c>
      <c r="D2784" s="39">
        <v>2</v>
      </c>
      <c r="E2784" s="42">
        <v>34102</v>
      </c>
      <c r="F2784" s="41">
        <f t="shared" ca="1" si="115"/>
        <v>68204</v>
      </c>
    </row>
    <row r="2785" spans="1:10" ht="14.25" customHeight="1" x14ac:dyDescent="0.35">
      <c r="A2785" s="39" t="s">
        <v>1946</v>
      </c>
      <c r="B2785" s="40" t="str">
        <f t="shared" ca="1" si="117"/>
        <v>Servicios de comidas a domicilio</v>
      </c>
      <c r="C2785" s="72" t="str">
        <f>IFERROR(VLOOKUP("UD",'Informacion '!P:Q,2,FALSE),"")</f>
        <v>Unidad</v>
      </c>
      <c r="D2785" s="39">
        <v>25</v>
      </c>
      <c r="E2785" s="42">
        <v>590</v>
      </c>
      <c r="F2785" s="41">
        <f t="shared" ca="1" si="115"/>
        <v>14750</v>
      </c>
    </row>
    <row r="2786" spans="1:10" ht="14.25" customHeight="1" x14ac:dyDescent="0.35">
      <c r="A2786" s="39" t="s">
        <v>1946</v>
      </c>
      <c r="B2786" s="40" t="str">
        <f t="shared" ca="1" si="117"/>
        <v>Servicios de comidas a domicilio</v>
      </c>
      <c r="C2786" s="72" t="str">
        <f>IFERROR(VLOOKUP("UD",'Informacion '!P:Q,2,FALSE),"")</f>
        <v>Unidad</v>
      </c>
      <c r="D2786" s="39">
        <v>50</v>
      </c>
      <c r="E2786" s="42">
        <v>590</v>
      </c>
      <c r="F2786" s="41">
        <f t="shared" ca="1" si="115"/>
        <v>29500</v>
      </c>
    </row>
    <row r="2787" spans="1:10" ht="14.25" customHeight="1" x14ac:dyDescent="0.35">
      <c r="A2787" s="39" t="s">
        <v>1946</v>
      </c>
      <c r="B2787" s="40" t="str">
        <f t="shared" ca="1" si="117"/>
        <v>Servicios de comidas a domicilio</v>
      </c>
      <c r="C2787" s="72" t="str">
        <f>IFERROR(VLOOKUP("UD",'Informacion '!P:Q,2,FALSE),"")</f>
        <v>Unidad</v>
      </c>
      <c r="D2787" s="39">
        <v>20</v>
      </c>
      <c r="E2787" s="42">
        <v>200</v>
      </c>
      <c r="F2787" s="41">
        <f t="shared" ca="1" si="115"/>
        <v>4000</v>
      </c>
    </row>
    <row r="2788" spans="1:10" ht="14.25" customHeight="1" x14ac:dyDescent="0.35">
      <c r="A2788" s="39" t="s">
        <v>1946</v>
      </c>
      <c r="B2788" s="40" t="str">
        <f t="shared" ca="1" si="117"/>
        <v>Servicios de comidas a domicilio</v>
      </c>
      <c r="C2788" s="72" t="str">
        <f>IFERROR(VLOOKUP("UD",'Informacion '!P:Q,2,FALSE),"")</f>
        <v>Unidad</v>
      </c>
      <c r="D2788" s="39">
        <v>20</v>
      </c>
      <c r="E2788" s="42">
        <v>2112</v>
      </c>
      <c r="F2788" s="41">
        <f t="shared" ca="1" si="115"/>
        <v>42240</v>
      </c>
    </row>
    <row r="2789" spans="1:10" ht="14.25" customHeight="1" x14ac:dyDescent="0.35">
      <c r="A2789" s="39" t="s">
        <v>1946</v>
      </c>
      <c r="B2789" s="40" t="str">
        <f t="shared" ca="1" si="117"/>
        <v>Servicios de comidas a domicilio</v>
      </c>
      <c r="C2789" s="72" t="str">
        <f>IFERROR(VLOOKUP("UD",'Informacion '!P:Q,2,FALSE),"")</f>
        <v>Unidad</v>
      </c>
      <c r="D2789" s="39">
        <v>1</v>
      </c>
      <c r="E2789" s="42">
        <v>40592</v>
      </c>
      <c r="F2789" s="41">
        <f t="shared" ca="1" si="115"/>
        <v>40592</v>
      </c>
    </row>
    <row r="2790" spans="1:10" ht="14.25" customHeight="1" x14ac:dyDescent="0.35">
      <c r="A2790" s="39" t="s">
        <v>1946</v>
      </c>
      <c r="B2790" s="40" t="str">
        <f t="shared" ca="1" si="117"/>
        <v>Servicios de comidas a domicilio</v>
      </c>
      <c r="C2790" s="72" t="str">
        <f>IFERROR(VLOOKUP("UD",'Informacion '!P:Q,2,FALSE),"")</f>
        <v>Unidad</v>
      </c>
      <c r="D2790" s="39">
        <v>3</v>
      </c>
      <c r="E2790" s="42">
        <v>40592</v>
      </c>
      <c r="F2790" s="41">
        <f t="shared" ca="1" si="115"/>
        <v>121776</v>
      </c>
    </row>
    <row r="2791" spans="1:10" ht="14.25" customHeight="1" x14ac:dyDescent="0.35">
      <c r="A2791" s="39" t="s">
        <v>1946</v>
      </c>
      <c r="B2791" s="40" t="str">
        <f t="shared" ca="1" si="117"/>
        <v>Servicios de comidas a domicilio</v>
      </c>
      <c r="C2791" s="72" t="str">
        <f>IFERROR(VLOOKUP("UD",'Informacion '!P:Q,2,FALSE),"")</f>
        <v>Unidad</v>
      </c>
      <c r="D2791" s="39">
        <v>2</v>
      </c>
      <c r="E2791" s="42">
        <v>40592</v>
      </c>
      <c r="F2791" s="41">
        <f t="shared" ca="1" si="115"/>
        <v>81184</v>
      </c>
    </row>
    <row r="2792" spans="1:10" ht="14.25" customHeight="1" x14ac:dyDescent="0.35">
      <c r="A2792" s="39" t="s">
        <v>1946</v>
      </c>
      <c r="B2792" s="40" t="str">
        <f t="shared" ca="1" si="117"/>
        <v>Servicios de comidas a domicilio</v>
      </c>
      <c r="C2792" s="72" t="str">
        <f>IFERROR(VLOOKUP("UD",'Informacion '!P:Q,2,FALSE),"")</f>
        <v>Unidad</v>
      </c>
      <c r="D2792" s="39">
        <v>2</v>
      </c>
      <c r="E2792" s="42">
        <v>40592</v>
      </c>
      <c r="F2792" s="41">
        <f t="shared" ca="1" si="115"/>
        <v>81184</v>
      </c>
    </row>
    <row r="2793" spans="1:10" ht="14.25" customHeight="1" x14ac:dyDescent="0.35">
      <c r="A2793" s="39" t="s">
        <v>1946</v>
      </c>
      <c r="B2793" s="40" t="str">
        <f t="shared" ca="1" si="117"/>
        <v>Servicios de comidas a domicilio</v>
      </c>
      <c r="C2793" s="72" t="str">
        <f>IFERROR(VLOOKUP("UD",'Informacion '!P:Q,2,FALSE),"")</f>
        <v>Unidad</v>
      </c>
      <c r="D2793" s="39">
        <v>2</v>
      </c>
      <c r="E2793" s="42">
        <v>40592</v>
      </c>
      <c r="F2793" s="41">
        <f t="shared" ca="1" si="115"/>
        <v>81184</v>
      </c>
    </row>
    <row r="2794" spans="1:10" ht="14.25" customHeight="1" x14ac:dyDescent="0.35">
      <c r="A2794" s="39" t="s">
        <v>1946</v>
      </c>
      <c r="B2794" s="40" t="str">
        <f t="shared" ca="1" si="117"/>
        <v>Servicios de comidas a domicilio</v>
      </c>
      <c r="C2794" s="72" t="str">
        <f>IFERROR(VLOOKUP("UD",'Informacion '!P:Q,2,FALSE),"")</f>
        <v>Unidad</v>
      </c>
      <c r="D2794" s="39">
        <v>1</v>
      </c>
      <c r="E2794" s="42">
        <v>40592</v>
      </c>
      <c r="F2794" s="41">
        <f t="shared" ca="1" si="115"/>
        <v>40592</v>
      </c>
    </row>
    <row r="2795" spans="1:10" ht="14.25" customHeight="1" x14ac:dyDescent="0.35">
      <c r="A2795" s="39" t="s">
        <v>1946</v>
      </c>
      <c r="B2795" s="40" t="str">
        <f t="shared" ca="1" si="117"/>
        <v>Servicios de comidas a domicilio</v>
      </c>
      <c r="C2795" s="72" t="str">
        <f>IFERROR(VLOOKUP("UD",'Informacion '!P:Q,2,FALSE),"")</f>
        <v>Unidad</v>
      </c>
      <c r="D2795" s="39">
        <v>3</v>
      </c>
      <c r="E2795" s="42">
        <v>2560</v>
      </c>
      <c r="F2795" s="41">
        <f t="shared" ca="1" si="115"/>
        <v>7680</v>
      </c>
    </row>
    <row r="2796" spans="1:10" ht="14.25" customHeight="1" x14ac:dyDescent="0.35">
      <c r="A2796" s="39" t="s">
        <v>1946</v>
      </c>
      <c r="B2796" s="40" t="str">
        <f t="shared" ca="1" si="117"/>
        <v>Servicios de comidas a domicilio</v>
      </c>
      <c r="C2796" s="72" t="str">
        <f>IFERROR(VLOOKUP("UD",'Informacion '!P:Q,2,FALSE),"")</f>
        <v>Unidad</v>
      </c>
      <c r="D2796" s="39">
        <v>1</v>
      </c>
      <c r="E2796" s="42">
        <v>88875</v>
      </c>
      <c r="F2796" s="41">
        <f t="shared" ca="1" si="115"/>
        <v>88875</v>
      </c>
    </row>
    <row r="2797" spans="1:10" ht="14.25" customHeight="1" x14ac:dyDescent="0.35">
      <c r="A2797" s="39" t="s">
        <v>324</v>
      </c>
      <c r="B2797" s="40" t="str">
        <f ca="1">IFERROR(INDEX(UNSPSCDes,MATCH(INDIRECT(ADDRESS(ROW(),COLUMN()-1,4)),UNSPSCCode,0)),IF(INDIRECT(ADDRESS(ROW(),COLUMN()-1,4))="93131608","Servicios de suministro de alimentos",""))</f>
        <v>Servicios de suministro de alimentos</v>
      </c>
      <c r="C2797" s="72" t="str">
        <f>IFERROR(VLOOKUP("UD",'Informacion '!P:Q,2,FALSE),"")</f>
        <v>Unidad</v>
      </c>
      <c r="D2797" s="39">
        <v>150</v>
      </c>
      <c r="E2797" s="42">
        <v>188.8</v>
      </c>
      <c r="F2797" s="41">
        <f t="shared" ca="1" si="115"/>
        <v>28320</v>
      </c>
    </row>
    <row r="2798" spans="1:10" ht="14.25" customHeight="1" x14ac:dyDescent="0.35">
      <c r="E2798" s="44" t="s">
        <v>13122</v>
      </c>
      <c r="F2798" s="45">
        <f ca="1">SUM(Table134[MONTO TOTAL ESTIMADO])</f>
        <v>10679281.5</v>
      </c>
      <c r="H2798" s="24" t="str">
        <f>C2723</f>
        <v>Servicios</v>
      </c>
      <c r="I2798" s="24" t="str">
        <f>E2723</f>
        <v>Sí</v>
      </c>
      <c r="J2798" s="24" t="str">
        <f>D2723</f>
        <v>Licitacion Publica</v>
      </c>
    </row>
    <row r="2800" spans="1:10" ht="34" customHeight="1" x14ac:dyDescent="0.35">
      <c r="A2800" s="36" t="s">
        <v>17105</v>
      </c>
      <c r="B2800" s="36" t="s">
        <v>167</v>
      </c>
      <c r="C2800" s="36" t="s">
        <v>12252</v>
      </c>
      <c r="D2800" s="36" t="s">
        <v>15021</v>
      </c>
      <c r="E2800" s="36" t="s">
        <v>11455</v>
      </c>
      <c r="F2800" s="36" t="s">
        <v>11595</v>
      </c>
    </row>
    <row r="2801" spans="1:6" ht="14.25" customHeight="1" x14ac:dyDescent="0.35">
      <c r="A2801" s="37" t="s">
        <v>2319</v>
      </c>
      <c r="B2801" s="37" t="s">
        <v>2319</v>
      </c>
      <c r="C2801" s="37" t="s">
        <v>7109</v>
      </c>
      <c r="D2801" s="37" t="s">
        <v>2615</v>
      </c>
      <c r="E2801" s="37" t="s">
        <v>9261</v>
      </c>
      <c r="F2801" s="37" t="s">
        <v>7088</v>
      </c>
    </row>
    <row r="2802" spans="1:6" ht="14.25" customHeight="1" x14ac:dyDescent="0.35">
      <c r="A2802" s="75" t="s">
        <v>15490</v>
      </c>
      <c r="B2802" s="38" t="s">
        <v>8918</v>
      </c>
      <c r="C2802" s="68">
        <v>45474</v>
      </c>
      <c r="D2802" s="75" t="s">
        <v>9819</v>
      </c>
      <c r="E2802" s="70" t="s">
        <v>13683</v>
      </c>
      <c r="F2802" s="71" t="s">
        <v>3205</v>
      </c>
    </row>
    <row r="2803" spans="1:6" ht="14.25" customHeight="1" x14ac:dyDescent="0.35">
      <c r="A2803" s="76"/>
      <c r="B2803" s="38" t="s">
        <v>1858</v>
      </c>
      <c r="C2803" s="69">
        <f>IF(C2802="","",IF(AND(MONTH(C2802)&gt;=1,MONTH(C2802)&lt;=3),1,IF(AND(MONTH(C2802)&gt;=4,MONTH(C2802)&lt;=6),2,IF(AND(MONTH(C2802)&gt;=7,MONTH(C2802)&lt;=9),3,4))))</f>
        <v>3</v>
      </c>
      <c r="D2803" s="76"/>
      <c r="E2803" s="70" t="s">
        <v>2509</v>
      </c>
      <c r="F2803" s="71" t="s">
        <v>11612</v>
      </c>
    </row>
    <row r="2804" spans="1:6" ht="14.25" customHeight="1" x14ac:dyDescent="0.35">
      <c r="A2804" s="76"/>
      <c r="B2804" s="38" t="s">
        <v>13526</v>
      </c>
      <c r="C2804" s="68">
        <v>45565</v>
      </c>
      <c r="D2804" s="76"/>
      <c r="E2804" s="70" t="s">
        <v>3198</v>
      </c>
      <c r="F2804" s="71" t="s">
        <v>11612</v>
      </c>
    </row>
    <row r="2805" spans="1:6" ht="14.25" customHeight="1" x14ac:dyDescent="0.35">
      <c r="A2805" s="76"/>
      <c r="B2805" s="38" t="s">
        <v>1858</v>
      </c>
      <c r="C2805" s="69">
        <f>IF(C2804="","",IF(AND(MONTH(C2804)&gt;=1,MONTH(C2804)&lt;=3),1,IF(AND(MONTH(C2804)&gt;=4,MONTH(C2804)&lt;=6),2,IF(AND(MONTH(C2804)&gt;=7,MONTH(C2804)&lt;=9),3,4))))</f>
        <v>3</v>
      </c>
      <c r="D2805" s="76"/>
      <c r="E2805" s="70" t="s">
        <v>13785</v>
      </c>
      <c r="F2805" s="71"/>
    </row>
    <row r="2807" spans="1:6" ht="14.25" customHeight="1" x14ac:dyDescent="0.35">
      <c r="A2807" s="43" t="s">
        <v>16424</v>
      </c>
      <c r="B2807" s="43" t="s">
        <v>16856</v>
      </c>
      <c r="C2807" s="43" t="s">
        <v>16326</v>
      </c>
      <c r="D2807" s="43" t="s">
        <v>15925</v>
      </c>
      <c r="E2807" s="43" t="s">
        <v>7248</v>
      </c>
      <c r="F2807" s="43" t="s">
        <v>15955</v>
      </c>
    </row>
    <row r="2808" spans="1:6" ht="14.25" customHeight="1" x14ac:dyDescent="0.35">
      <c r="A2808" s="39" t="s">
        <v>8429</v>
      </c>
      <c r="B2808" s="40" t="str">
        <f ca="1">IFERROR(INDEX(UNSPSCDes,MATCH(INDIRECT(ADDRESS(ROW(),COLUMN()-1,4)),UNSPSCCode,0)),IF(INDIRECT(ADDRESS(ROW(),COLUMN()-1,4))="90101601","Instalaciones para banquetes",""))</f>
        <v>Instalaciones para banquetes</v>
      </c>
      <c r="C2808" s="72" t="str">
        <f>IFERROR(VLOOKUP("UD",'Informacion '!P:Q,2,FALSE),"")</f>
        <v>Unidad</v>
      </c>
      <c r="D2808" s="39">
        <v>1</v>
      </c>
      <c r="E2808" s="42">
        <v>116442</v>
      </c>
      <c r="F2808" s="41">
        <f t="shared" ref="F2808:F2839" ca="1" si="118">INDIRECT(ADDRESS(ROW(),COLUMN()-2,4))*INDIRECT(ADDRESS(ROW(),COLUMN()-1,4))</f>
        <v>116442</v>
      </c>
    </row>
    <row r="2809" spans="1:6" ht="14.25" customHeight="1" x14ac:dyDescent="0.35">
      <c r="A2809" s="39" t="s">
        <v>1735</v>
      </c>
      <c r="B2809" s="40" t="str">
        <f t="shared" ref="B2809:B2834" ca="1" si="119">IFERROR(INDEX(UNSPSCDes,MATCH(INDIRECT(ADDRESS(ROW(),COLUMN()-1,4)),UNSPSCCode,0)),IF(INDIRECT(ADDRESS(ROW(),COLUMN()-1,4))="90101603","Servicios de cáterin",""))</f>
        <v>Servicios de cáterin</v>
      </c>
      <c r="C2809" s="72" t="str">
        <f>IFERROR(VLOOKUP("UD",'Informacion '!P:Q,2,FALSE),"")</f>
        <v>Unidad</v>
      </c>
      <c r="D2809" s="39">
        <v>10</v>
      </c>
      <c r="E2809" s="42">
        <v>590</v>
      </c>
      <c r="F2809" s="41">
        <f t="shared" ca="1" si="118"/>
        <v>5900</v>
      </c>
    </row>
    <row r="2810" spans="1:6" ht="14.25" customHeight="1" x14ac:dyDescent="0.35">
      <c r="A2810" s="39" t="s">
        <v>1735</v>
      </c>
      <c r="B2810" s="40" t="str">
        <f t="shared" ca="1" si="119"/>
        <v>Servicios de cáterin</v>
      </c>
      <c r="C2810" s="72" t="str">
        <f>IFERROR(VLOOKUP("UD",'Informacion '!P:Q,2,FALSE),"")</f>
        <v>Unidad</v>
      </c>
      <c r="D2810" s="39">
        <v>12</v>
      </c>
      <c r="E2810" s="42">
        <v>590</v>
      </c>
      <c r="F2810" s="41">
        <f t="shared" ca="1" si="118"/>
        <v>7080</v>
      </c>
    </row>
    <row r="2811" spans="1:6" ht="14.25" customHeight="1" x14ac:dyDescent="0.35">
      <c r="A2811" s="39" t="s">
        <v>1735</v>
      </c>
      <c r="B2811" s="40" t="str">
        <f t="shared" ca="1" si="119"/>
        <v>Servicios de cáterin</v>
      </c>
      <c r="C2811" s="72" t="str">
        <f>IFERROR(VLOOKUP("UD",'Informacion '!P:Q,2,FALSE),"")</f>
        <v>Unidad</v>
      </c>
      <c r="D2811" s="39">
        <v>2</v>
      </c>
      <c r="E2811" s="42">
        <v>37347</v>
      </c>
      <c r="F2811" s="41">
        <f t="shared" ca="1" si="118"/>
        <v>74694</v>
      </c>
    </row>
    <row r="2812" spans="1:6" ht="14.25" customHeight="1" x14ac:dyDescent="0.35">
      <c r="A2812" s="39" t="s">
        <v>1735</v>
      </c>
      <c r="B2812" s="40" t="str">
        <f t="shared" ca="1" si="119"/>
        <v>Servicios de cáterin</v>
      </c>
      <c r="C2812" s="72" t="str">
        <f>IFERROR(VLOOKUP("UD",'Informacion '!P:Q,2,FALSE),"")</f>
        <v>Unidad</v>
      </c>
      <c r="D2812" s="39">
        <v>3</v>
      </c>
      <c r="E2812" s="42">
        <v>21948</v>
      </c>
      <c r="F2812" s="41">
        <f t="shared" ca="1" si="118"/>
        <v>65844</v>
      </c>
    </row>
    <row r="2813" spans="1:6" ht="14.25" customHeight="1" x14ac:dyDescent="0.35">
      <c r="A2813" s="39" t="s">
        <v>1735</v>
      </c>
      <c r="B2813" s="40" t="str">
        <f t="shared" ca="1" si="119"/>
        <v>Servicios de cáterin</v>
      </c>
      <c r="C2813" s="72" t="str">
        <f>IFERROR(VLOOKUP("UD",'Informacion '!P:Q,2,FALSE),"")</f>
        <v>Unidad</v>
      </c>
      <c r="D2813" s="39">
        <v>25</v>
      </c>
      <c r="E2813" s="42">
        <v>88.5</v>
      </c>
      <c r="F2813" s="41">
        <f t="shared" ca="1" si="118"/>
        <v>2212.5</v>
      </c>
    </row>
    <row r="2814" spans="1:6" ht="14.25" customHeight="1" x14ac:dyDescent="0.35">
      <c r="A2814" s="39" t="s">
        <v>1735</v>
      </c>
      <c r="B2814" s="40" t="str">
        <f t="shared" ca="1" si="119"/>
        <v>Servicios de cáterin</v>
      </c>
      <c r="C2814" s="72" t="str">
        <f>IFERROR(VLOOKUP("UD",'Informacion '!P:Q,2,FALSE),"")</f>
        <v>Unidad</v>
      </c>
      <c r="D2814" s="39">
        <v>75</v>
      </c>
      <c r="E2814" s="42">
        <v>88.5</v>
      </c>
      <c r="F2814" s="41">
        <f t="shared" ca="1" si="118"/>
        <v>6637.5</v>
      </c>
    </row>
    <row r="2815" spans="1:6" ht="14.25" customHeight="1" x14ac:dyDescent="0.35">
      <c r="A2815" s="39" t="s">
        <v>1735</v>
      </c>
      <c r="B2815" s="40" t="str">
        <f t="shared" ca="1" si="119"/>
        <v>Servicios de cáterin</v>
      </c>
      <c r="C2815" s="72" t="str">
        <f>IFERROR(VLOOKUP("UD",'Informacion '!P:Q,2,FALSE),"")</f>
        <v>Unidad</v>
      </c>
      <c r="D2815" s="39">
        <v>10</v>
      </c>
      <c r="E2815" s="42">
        <v>88.5</v>
      </c>
      <c r="F2815" s="41">
        <f t="shared" ca="1" si="118"/>
        <v>885</v>
      </c>
    </row>
    <row r="2816" spans="1:6" ht="14.25" customHeight="1" x14ac:dyDescent="0.35">
      <c r="A2816" s="39" t="s">
        <v>1735</v>
      </c>
      <c r="B2816" s="40" t="str">
        <f t="shared" ca="1" si="119"/>
        <v>Servicios de cáterin</v>
      </c>
      <c r="C2816" s="72" t="str">
        <f>IFERROR(VLOOKUP("UD",'Informacion '!P:Q,2,FALSE),"")</f>
        <v>Unidad</v>
      </c>
      <c r="D2816" s="39">
        <v>65</v>
      </c>
      <c r="E2816" s="42">
        <v>590</v>
      </c>
      <c r="F2816" s="41">
        <f t="shared" ca="1" si="118"/>
        <v>38350</v>
      </c>
    </row>
    <row r="2817" spans="1:6" ht="14.25" customHeight="1" x14ac:dyDescent="0.35">
      <c r="A2817" s="39" t="s">
        <v>1735</v>
      </c>
      <c r="B2817" s="40" t="str">
        <f t="shared" ca="1" si="119"/>
        <v>Servicios de cáterin</v>
      </c>
      <c r="C2817" s="72" t="str">
        <f>IFERROR(VLOOKUP("UD",'Informacion '!P:Q,2,FALSE),"")</f>
        <v>Unidad</v>
      </c>
      <c r="D2817" s="39">
        <v>65</v>
      </c>
      <c r="E2817" s="42">
        <v>590</v>
      </c>
      <c r="F2817" s="41">
        <f t="shared" ca="1" si="118"/>
        <v>38350</v>
      </c>
    </row>
    <row r="2818" spans="1:6" ht="14.25" customHeight="1" x14ac:dyDescent="0.35">
      <c r="A2818" s="39" t="s">
        <v>1735</v>
      </c>
      <c r="B2818" s="40" t="str">
        <f t="shared" ca="1" si="119"/>
        <v>Servicios de cáterin</v>
      </c>
      <c r="C2818" s="72" t="str">
        <f>IFERROR(VLOOKUP("UD",'Informacion '!P:Q,2,FALSE),"")</f>
        <v>Unidad</v>
      </c>
      <c r="D2818" s="39">
        <v>1</v>
      </c>
      <c r="E2818" s="42">
        <v>200000</v>
      </c>
      <c r="F2818" s="41">
        <f t="shared" ca="1" si="118"/>
        <v>200000</v>
      </c>
    </row>
    <row r="2819" spans="1:6" ht="14.25" customHeight="1" x14ac:dyDescent="0.35">
      <c r="A2819" s="39" t="s">
        <v>1735</v>
      </c>
      <c r="B2819" s="40" t="str">
        <f t="shared" ca="1" si="119"/>
        <v>Servicios de cáterin</v>
      </c>
      <c r="C2819" s="72" t="str">
        <f>IFERROR(VLOOKUP("UD",'Informacion '!P:Q,2,FALSE),"")</f>
        <v>Unidad</v>
      </c>
      <c r="D2819" s="39">
        <v>100</v>
      </c>
      <c r="E2819" s="42">
        <v>600</v>
      </c>
      <c r="F2819" s="41">
        <f t="shared" ca="1" si="118"/>
        <v>60000</v>
      </c>
    </row>
    <row r="2820" spans="1:6" ht="14.25" customHeight="1" x14ac:dyDescent="0.35">
      <c r="A2820" s="39" t="s">
        <v>1735</v>
      </c>
      <c r="B2820" s="40" t="str">
        <f t="shared" ca="1" si="119"/>
        <v>Servicios de cáterin</v>
      </c>
      <c r="C2820" s="72" t="str">
        <f>IFERROR(VLOOKUP("UD",'Informacion '!P:Q,2,FALSE),"")</f>
        <v>Unidad</v>
      </c>
      <c r="D2820" s="39">
        <v>1</v>
      </c>
      <c r="E2820" s="42">
        <v>79566</v>
      </c>
      <c r="F2820" s="41">
        <f t="shared" ca="1" si="118"/>
        <v>79566</v>
      </c>
    </row>
    <row r="2821" spans="1:6" ht="14.25" customHeight="1" x14ac:dyDescent="0.35">
      <c r="A2821" s="39" t="s">
        <v>1735</v>
      </c>
      <c r="B2821" s="40" t="str">
        <f t="shared" ca="1" si="119"/>
        <v>Servicios de cáterin</v>
      </c>
      <c r="C2821" s="72" t="str">
        <f>IFERROR(VLOOKUP("UD",'Informacion '!P:Q,2,FALSE),"")</f>
        <v>Unidad</v>
      </c>
      <c r="D2821" s="39">
        <v>1</v>
      </c>
      <c r="E2821" s="42">
        <v>79566</v>
      </c>
      <c r="F2821" s="41">
        <f t="shared" ca="1" si="118"/>
        <v>79566</v>
      </c>
    </row>
    <row r="2822" spans="1:6" ht="14.25" customHeight="1" x14ac:dyDescent="0.35">
      <c r="A2822" s="39" t="s">
        <v>1735</v>
      </c>
      <c r="B2822" s="40" t="str">
        <f t="shared" ca="1" si="119"/>
        <v>Servicios de cáterin</v>
      </c>
      <c r="C2822" s="72" t="str">
        <f>IFERROR(VLOOKUP("UD",'Informacion '!P:Q,2,FALSE),"")</f>
        <v>Unidad</v>
      </c>
      <c r="D2822" s="39">
        <v>1</v>
      </c>
      <c r="E2822" s="42">
        <v>79566</v>
      </c>
      <c r="F2822" s="41">
        <f t="shared" ca="1" si="118"/>
        <v>79566</v>
      </c>
    </row>
    <row r="2823" spans="1:6" ht="14.25" customHeight="1" x14ac:dyDescent="0.35">
      <c r="A2823" s="39" t="s">
        <v>1735</v>
      </c>
      <c r="B2823" s="40" t="str">
        <f t="shared" ca="1" si="119"/>
        <v>Servicios de cáterin</v>
      </c>
      <c r="C2823" s="72" t="str">
        <f>IFERROR(VLOOKUP("UD",'Informacion '!P:Q,2,FALSE),"")</f>
        <v>Unidad</v>
      </c>
      <c r="D2823" s="39">
        <v>1</v>
      </c>
      <c r="E2823" s="42">
        <v>79566</v>
      </c>
      <c r="F2823" s="41">
        <f t="shared" ca="1" si="118"/>
        <v>79566</v>
      </c>
    </row>
    <row r="2824" spans="1:6" ht="14.25" customHeight="1" x14ac:dyDescent="0.35">
      <c r="A2824" s="39" t="s">
        <v>1735</v>
      </c>
      <c r="B2824" s="40" t="str">
        <f t="shared" ca="1" si="119"/>
        <v>Servicios de cáterin</v>
      </c>
      <c r="C2824" s="72" t="str">
        <f>IFERROR(VLOOKUP("UD",'Informacion '!P:Q,2,FALSE),"")</f>
        <v>Unidad</v>
      </c>
      <c r="D2824" s="39">
        <v>1</v>
      </c>
      <c r="E2824" s="42">
        <v>79566</v>
      </c>
      <c r="F2824" s="41">
        <f t="shared" ca="1" si="118"/>
        <v>79566</v>
      </c>
    </row>
    <row r="2825" spans="1:6" ht="14.25" customHeight="1" x14ac:dyDescent="0.35">
      <c r="A2825" s="39" t="s">
        <v>1735</v>
      </c>
      <c r="B2825" s="40" t="str">
        <f t="shared" ca="1" si="119"/>
        <v>Servicios de cáterin</v>
      </c>
      <c r="C2825" s="72" t="str">
        <f>IFERROR(VLOOKUP("UD",'Informacion '!P:Q,2,FALSE),"")</f>
        <v>Unidad</v>
      </c>
      <c r="D2825" s="39">
        <v>1</v>
      </c>
      <c r="E2825" s="42">
        <v>31860</v>
      </c>
      <c r="F2825" s="41">
        <f t="shared" ca="1" si="118"/>
        <v>31860</v>
      </c>
    </row>
    <row r="2826" spans="1:6" ht="14.25" customHeight="1" x14ac:dyDescent="0.35">
      <c r="A2826" s="39" t="s">
        <v>1735</v>
      </c>
      <c r="B2826" s="40" t="str">
        <f t="shared" ca="1" si="119"/>
        <v>Servicios de cáterin</v>
      </c>
      <c r="C2826" s="72" t="str">
        <f>IFERROR(VLOOKUP("UD",'Informacion '!P:Q,2,FALSE),"")</f>
        <v>Unidad</v>
      </c>
      <c r="D2826" s="39">
        <v>1</v>
      </c>
      <c r="E2826" s="42">
        <v>11977</v>
      </c>
      <c r="F2826" s="41">
        <f t="shared" ca="1" si="118"/>
        <v>11977</v>
      </c>
    </row>
    <row r="2827" spans="1:6" ht="14.25" customHeight="1" x14ac:dyDescent="0.35">
      <c r="A2827" s="39" t="s">
        <v>1735</v>
      </c>
      <c r="B2827" s="40" t="str">
        <f t="shared" ca="1" si="119"/>
        <v>Servicios de cáterin</v>
      </c>
      <c r="C2827" s="72" t="str">
        <f>IFERROR(VLOOKUP("UD",'Informacion '!P:Q,2,FALSE),"")</f>
        <v>Unidad</v>
      </c>
      <c r="D2827" s="39">
        <v>20</v>
      </c>
      <c r="E2827" s="42">
        <v>850</v>
      </c>
      <c r="F2827" s="41">
        <f t="shared" ca="1" si="118"/>
        <v>17000</v>
      </c>
    </row>
    <row r="2828" spans="1:6" ht="14.25" customHeight="1" x14ac:dyDescent="0.35">
      <c r="A2828" s="39" t="s">
        <v>1735</v>
      </c>
      <c r="B2828" s="40" t="str">
        <f t="shared" ca="1" si="119"/>
        <v>Servicios de cáterin</v>
      </c>
      <c r="C2828" s="72" t="str">
        <f>IFERROR(VLOOKUP("UD",'Informacion '!P:Q,2,FALSE),"")</f>
        <v>Unidad</v>
      </c>
      <c r="D2828" s="39">
        <v>10</v>
      </c>
      <c r="E2828" s="42">
        <v>590</v>
      </c>
      <c r="F2828" s="41">
        <f t="shared" ca="1" si="118"/>
        <v>5900</v>
      </c>
    </row>
    <row r="2829" spans="1:6" ht="14.25" customHeight="1" x14ac:dyDescent="0.35">
      <c r="A2829" s="39" t="s">
        <v>1735</v>
      </c>
      <c r="B2829" s="40" t="str">
        <f t="shared" ca="1" si="119"/>
        <v>Servicios de cáterin</v>
      </c>
      <c r="C2829" s="72" t="str">
        <f>IFERROR(VLOOKUP("UD",'Informacion '!P:Q,2,FALSE),"")</f>
        <v>Unidad</v>
      </c>
      <c r="D2829" s="39">
        <v>4</v>
      </c>
      <c r="E2829" s="42">
        <v>5000</v>
      </c>
      <c r="F2829" s="41">
        <f t="shared" ca="1" si="118"/>
        <v>20000</v>
      </c>
    </row>
    <row r="2830" spans="1:6" ht="14.25" customHeight="1" x14ac:dyDescent="0.35">
      <c r="A2830" s="39" t="s">
        <v>1735</v>
      </c>
      <c r="B2830" s="40" t="str">
        <f t="shared" ca="1" si="119"/>
        <v>Servicios de cáterin</v>
      </c>
      <c r="C2830" s="72" t="str">
        <f>IFERROR(VLOOKUP("UD",'Informacion '!P:Q,2,FALSE),"")</f>
        <v>Unidad</v>
      </c>
      <c r="D2830" s="39">
        <v>1</v>
      </c>
      <c r="E2830" s="42">
        <v>93456</v>
      </c>
      <c r="F2830" s="41">
        <f t="shared" ca="1" si="118"/>
        <v>93456</v>
      </c>
    </row>
    <row r="2831" spans="1:6" ht="14.25" customHeight="1" x14ac:dyDescent="0.35">
      <c r="A2831" s="39" t="s">
        <v>1735</v>
      </c>
      <c r="B2831" s="40" t="str">
        <f t="shared" ca="1" si="119"/>
        <v>Servicios de cáterin</v>
      </c>
      <c r="C2831" s="72" t="str">
        <f>IFERROR(VLOOKUP("UD",'Informacion '!P:Q,2,FALSE),"")</f>
        <v>Unidad</v>
      </c>
      <c r="D2831" s="39">
        <v>750</v>
      </c>
      <c r="E2831" s="42">
        <v>1500</v>
      </c>
      <c r="F2831" s="41">
        <f t="shared" ca="1" si="118"/>
        <v>1125000</v>
      </c>
    </row>
    <row r="2832" spans="1:6" ht="14.25" customHeight="1" x14ac:dyDescent="0.35">
      <c r="A2832" s="39" t="s">
        <v>1735</v>
      </c>
      <c r="B2832" s="40" t="str">
        <f t="shared" ca="1" si="119"/>
        <v>Servicios de cáterin</v>
      </c>
      <c r="C2832" s="72" t="str">
        <f>IFERROR(VLOOKUP("UD",'Informacion '!P:Q,2,FALSE),"")</f>
        <v>Unidad</v>
      </c>
      <c r="D2832" s="39">
        <v>600</v>
      </c>
      <c r="E2832" s="42">
        <v>1500</v>
      </c>
      <c r="F2832" s="41">
        <f t="shared" ca="1" si="118"/>
        <v>900000</v>
      </c>
    </row>
    <row r="2833" spans="1:6" ht="14.25" customHeight="1" x14ac:dyDescent="0.35">
      <c r="A2833" s="39" t="s">
        <v>1735</v>
      </c>
      <c r="B2833" s="40" t="str">
        <f t="shared" ca="1" si="119"/>
        <v>Servicios de cáterin</v>
      </c>
      <c r="C2833" s="72" t="str">
        <f>IFERROR(VLOOKUP("UD",'Informacion '!P:Q,2,FALSE),"")</f>
        <v>Unidad</v>
      </c>
      <c r="D2833" s="39">
        <v>1</v>
      </c>
      <c r="E2833" s="42">
        <v>717696</v>
      </c>
      <c r="F2833" s="41">
        <f t="shared" ca="1" si="118"/>
        <v>717696</v>
      </c>
    </row>
    <row r="2834" spans="1:6" ht="14.25" customHeight="1" x14ac:dyDescent="0.35">
      <c r="A2834" s="39" t="s">
        <v>1735</v>
      </c>
      <c r="B2834" s="40" t="str">
        <f t="shared" ca="1" si="119"/>
        <v>Servicios de cáterin</v>
      </c>
      <c r="C2834" s="72" t="str">
        <f>IFERROR(VLOOKUP("UD",'Informacion '!P:Q,2,FALSE),"")</f>
        <v>Unidad</v>
      </c>
      <c r="D2834" s="39">
        <v>1</v>
      </c>
      <c r="E2834" s="42">
        <v>550000</v>
      </c>
      <c r="F2834" s="41">
        <f t="shared" ca="1" si="118"/>
        <v>550000</v>
      </c>
    </row>
    <row r="2835" spans="1:6" ht="14.25" customHeight="1" x14ac:dyDescent="0.35">
      <c r="A2835" s="39" t="s">
        <v>5338</v>
      </c>
      <c r="B2835" s="40" t="str">
        <f t="shared" ref="B2835:B2847" ca="1" si="120">IFERROR(INDEX(UNSPSCDes,MATCH(INDIRECT(ADDRESS(ROW(),COLUMN()-1,4)),UNSPSCCode,0)),IF(INDIRECT(ADDRESS(ROW(),COLUMN()-1,4))="90101604","Servicios de cáterin en la obra o lugar de trabajo",""))</f>
        <v>Servicios de cáterin en la obra o lugar de trabajo</v>
      </c>
      <c r="C2835" s="72" t="str">
        <f>IFERROR(VLOOKUP("UD",'Informacion '!P:Q,2,FALSE),"")</f>
        <v>Unidad</v>
      </c>
      <c r="D2835" s="39">
        <v>7</v>
      </c>
      <c r="E2835" s="42">
        <v>20001</v>
      </c>
      <c r="F2835" s="41">
        <f t="shared" ca="1" si="118"/>
        <v>140007</v>
      </c>
    </row>
    <row r="2836" spans="1:6" ht="14.25" customHeight="1" x14ac:dyDescent="0.35">
      <c r="A2836" s="39" t="s">
        <v>5338</v>
      </c>
      <c r="B2836" s="40" t="str">
        <f t="shared" ca="1" si="120"/>
        <v>Servicios de cáterin en la obra o lugar de trabajo</v>
      </c>
      <c r="C2836" s="72" t="str">
        <f>IFERROR(VLOOKUP("UD",'Informacion '!P:Q,2,FALSE),"")</f>
        <v>Unidad</v>
      </c>
      <c r="D2836" s="39">
        <v>1</v>
      </c>
      <c r="E2836" s="42">
        <v>24013</v>
      </c>
      <c r="F2836" s="41">
        <f t="shared" ca="1" si="118"/>
        <v>24013</v>
      </c>
    </row>
    <row r="2837" spans="1:6" ht="14.25" customHeight="1" x14ac:dyDescent="0.35">
      <c r="A2837" s="39" t="s">
        <v>5338</v>
      </c>
      <c r="B2837" s="40" t="str">
        <f t="shared" ca="1" si="120"/>
        <v>Servicios de cáterin en la obra o lugar de trabajo</v>
      </c>
      <c r="C2837" s="72" t="str">
        <f>IFERROR(VLOOKUP("UD",'Informacion '!P:Q,2,FALSE),"")</f>
        <v>Unidad</v>
      </c>
      <c r="D2837" s="39">
        <v>1</v>
      </c>
      <c r="E2837" s="42">
        <v>81600</v>
      </c>
      <c r="F2837" s="41">
        <f t="shared" ca="1" si="118"/>
        <v>81600</v>
      </c>
    </row>
    <row r="2838" spans="1:6" ht="14.25" customHeight="1" x14ac:dyDescent="0.35">
      <c r="A2838" s="39" t="s">
        <v>5338</v>
      </c>
      <c r="B2838" s="40" t="str">
        <f t="shared" ca="1" si="120"/>
        <v>Servicios de cáterin en la obra o lugar de trabajo</v>
      </c>
      <c r="C2838" s="72" t="str">
        <f>IFERROR(VLOOKUP("UD",'Informacion '!P:Q,2,FALSE),"")</f>
        <v>Unidad</v>
      </c>
      <c r="D2838" s="39">
        <v>300</v>
      </c>
      <c r="E2838" s="42">
        <v>796.5</v>
      </c>
      <c r="F2838" s="41">
        <f t="shared" ca="1" si="118"/>
        <v>238950</v>
      </c>
    </row>
    <row r="2839" spans="1:6" ht="14.25" customHeight="1" x14ac:dyDescent="0.35">
      <c r="A2839" s="39" t="s">
        <v>5338</v>
      </c>
      <c r="B2839" s="40" t="str">
        <f t="shared" ca="1" si="120"/>
        <v>Servicios de cáterin en la obra o lugar de trabajo</v>
      </c>
      <c r="C2839" s="72" t="str">
        <f>IFERROR(VLOOKUP("UD",'Informacion '!P:Q,2,FALSE),"")</f>
        <v>Unidad</v>
      </c>
      <c r="D2839" s="39">
        <v>22</v>
      </c>
      <c r="E2839" s="42">
        <v>796.5</v>
      </c>
      <c r="F2839" s="41">
        <f t="shared" ca="1" si="118"/>
        <v>17523</v>
      </c>
    </row>
    <row r="2840" spans="1:6" ht="14.25" customHeight="1" x14ac:dyDescent="0.35">
      <c r="A2840" s="39" t="s">
        <v>5338</v>
      </c>
      <c r="B2840" s="40" t="str">
        <f t="shared" ca="1" si="120"/>
        <v>Servicios de cáterin en la obra o lugar de trabajo</v>
      </c>
      <c r="C2840" s="72" t="str">
        <f>IFERROR(VLOOKUP("UD",'Informacion '!P:Q,2,FALSE),"")</f>
        <v>Unidad</v>
      </c>
      <c r="D2840" s="39">
        <v>1</v>
      </c>
      <c r="E2840" s="42">
        <v>208588.6</v>
      </c>
      <c r="F2840" s="41">
        <f t="shared" ref="F2840:F2863" ca="1" si="121">INDIRECT(ADDRESS(ROW(),COLUMN()-2,4))*INDIRECT(ADDRESS(ROW(),COLUMN()-1,4))</f>
        <v>208588.6</v>
      </c>
    </row>
    <row r="2841" spans="1:6" ht="14.25" customHeight="1" x14ac:dyDescent="0.35">
      <c r="A2841" s="39" t="s">
        <v>5338</v>
      </c>
      <c r="B2841" s="40" t="str">
        <f t="shared" ca="1" si="120"/>
        <v>Servicios de cáterin en la obra o lugar de trabajo</v>
      </c>
      <c r="C2841" s="72" t="str">
        <f>IFERROR(VLOOKUP("UD",'Informacion '!P:Q,2,FALSE),"")</f>
        <v>Unidad</v>
      </c>
      <c r="D2841" s="39">
        <v>2</v>
      </c>
      <c r="E2841" s="42">
        <v>400000</v>
      </c>
      <c r="F2841" s="41">
        <f t="shared" ca="1" si="121"/>
        <v>800000</v>
      </c>
    </row>
    <row r="2842" spans="1:6" ht="14.25" customHeight="1" x14ac:dyDescent="0.35">
      <c r="A2842" s="39" t="s">
        <v>5338</v>
      </c>
      <c r="B2842" s="40" t="str">
        <f t="shared" ca="1" si="120"/>
        <v>Servicios de cáterin en la obra o lugar de trabajo</v>
      </c>
      <c r="C2842" s="72" t="str">
        <f>IFERROR(VLOOKUP("UD",'Informacion '!P:Q,2,FALSE),"")</f>
        <v>Unidad</v>
      </c>
      <c r="D2842" s="39">
        <v>50</v>
      </c>
      <c r="E2842" s="42">
        <v>590</v>
      </c>
      <c r="F2842" s="41">
        <f t="shared" ca="1" si="121"/>
        <v>29500</v>
      </c>
    </row>
    <row r="2843" spans="1:6" ht="14.25" customHeight="1" x14ac:dyDescent="0.35">
      <c r="A2843" s="39" t="s">
        <v>5338</v>
      </c>
      <c r="B2843" s="40" t="str">
        <f t="shared" ca="1" si="120"/>
        <v>Servicios de cáterin en la obra o lugar de trabajo</v>
      </c>
      <c r="C2843" s="72" t="str">
        <f>IFERROR(VLOOKUP("UD",'Informacion '!P:Q,2,FALSE),"")</f>
        <v>Unidad</v>
      </c>
      <c r="D2843" s="39">
        <v>50</v>
      </c>
      <c r="E2843" s="42">
        <v>590</v>
      </c>
      <c r="F2843" s="41">
        <f t="shared" ca="1" si="121"/>
        <v>29500</v>
      </c>
    </row>
    <row r="2844" spans="1:6" ht="14.25" customHeight="1" x14ac:dyDescent="0.35">
      <c r="A2844" s="39" t="s">
        <v>5338</v>
      </c>
      <c r="B2844" s="40" t="str">
        <f t="shared" ca="1" si="120"/>
        <v>Servicios de cáterin en la obra o lugar de trabajo</v>
      </c>
      <c r="C2844" s="72" t="str">
        <f>IFERROR(VLOOKUP("UD",'Informacion '!P:Q,2,FALSE),"")</f>
        <v>Unidad</v>
      </c>
      <c r="D2844" s="39">
        <v>50</v>
      </c>
      <c r="E2844" s="42">
        <v>590</v>
      </c>
      <c r="F2844" s="41">
        <f t="shared" ca="1" si="121"/>
        <v>29500</v>
      </c>
    </row>
    <row r="2845" spans="1:6" ht="14.25" customHeight="1" x14ac:dyDescent="0.35">
      <c r="A2845" s="39" t="s">
        <v>5338</v>
      </c>
      <c r="B2845" s="40" t="str">
        <f t="shared" ca="1" si="120"/>
        <v>Servicios de cáterin en la obra o lugar de trabajo</v>
      </c>
      <c r="C2845" s="72" t="str">
        <f>IFERROR(VLOOKUP("UD",'Informacion '!P:Q,2,FALSE),"")</f>
        <v>Unidad</v>
      </c>
      <c r="D2845" s="39">
        <v>50</v>
      </c>
      <c r="E2845" s="42">
        <v>590</v>
      </c>
      <c r="F2845" s="41">
        <f t="shared" ca="1" si="121"/>
        <v>29500</v>
      </c>
    </row>
    <row r="2846" spans="1:6" ht="14.25" customHeight="1" x14ac:dyDescent="0.35">
      <c r="A2846" s="39" t="s">
        <v>5338</v>
      </c>
      <c r="B2846" s="40" t="str">
        <f t="shared" ca="1" si="120"/>
        <v>Servicios de cáterin en la obra o lugar de trabajo</v>
      </c>
      <c r="C2846" s="72" t="str">
        <f>IFERROR(VLOOKUP("UD",'Informacion '!P:Q,2,FALSE),"")</f>
        <v>Unidad</v>
      </c>
      <c r="D2846" s="39">
        <v>50</v>
      </c>
      <c r="E2846" s="42">
        <v>590</v>
      </c>
      <c r="F2846" s="41">
        <f t="shared" ca="1" si="121"/>
        <v>29500</v>
      </c>
    </row>
    <row r="2847" spans="1:6" ht="14.25" customHeight="1" x14ac:dyDescent="0.35">
      <c r="A2847" s="39" t="s">
        <v>5338</v>
      </c>
      <c r="B2847" s="40" t="str">
        <f t="shared" ca="1" si="120"/>
        <v>Servicios de cáterin en la obra o lugar de trabajo</v>
      </c>
      <c r="C2847" s="72" t="str">
        <f>IFERROR(VLOOKUP("UD",'Informacion '!P:Q,2,FALSE),"")</f>
        <v>Unidad</v>
      </c>
      <c r="D2847" s="39">
        <v>50</v>
      </c>
      <c r="E2847" s="42">
        <v>590</v>
      </c>
      <c r="F2847" s="41">
        <f t="shared" ca="1" si="121"/>
        <v>29500</v>
      </c>
    </row>
    <row r="2848" spans="1:6" ht="14.25" customHeight="1" x14ac:dyDescent="0.35">
      <c r="A2848" s="39" t="s">
        <v>1946</v>
      </c>
      <c r="B2848" s="40" t="str">
        <f t="shared" ref="B2848:B2861" ca="1" si="122">IFERROR(INDEX(UNSPSCDes,MATCH(INDIRECT(ADDRESS(ROW(),COLUMN()-1,4)),UNSPSCCode,0)),IF(INDIRECT(ADDRESS(ROW(),COLUMN()-1,4))="90101802","Servicios de comidas a domicilio",""))</f>
        <v>Servicios de comidas a domicilio</v>
      </c>
      <c r="C2848" s="72" t="str">
        <f>IFERROR(VLOOKUP("UD",'Informacion '!P:Q,2,FALSE),"")</f>
        <v>Unidad</v>
      </c>
      <c r="D2848" s="39">
        <v>2</v>
      </c>
      <c r="E2848" s="42">
        <v>20886</v>
      </c>
      <c r="F2848" s="41">
        <f t="shared" ca="1" si="121"/>
        <v>41772</v>
      </c>
    </row>
    <row r="2849" spans="1:10" ht="14.25" customHeight="1" x14ac:dyDescent="0.35">
      <c r="A2849" s="39" t="s">
        <v>1946</v>
      </c>
      <c r="B2849" s="40" t="str">
        <f t="shared" ca="1" si="122"/>
        <v>Servicios de comidas a domicilio</v>
      </c>
      <c r="C2849" s="72" t="str">
        <f>IFERROR(VLOOKUP("UD",'Informacion '!P:Q,2,FALSE),"")</f>
        <v>Unidad</v>
      </c>
      <c r="D2849" s="39">
        <v>3</v>
      </c>
      <c r="E2849" s="42">
        <v>20886</v>
      </c>
      <c r="F2849" s="41">
        <f t="shared" ca="1" si="121"/>
        <v>62658</v>
      </c>
    </row>
    <row r="2850" spans="1:10" ht="14.25" customHeight="1" x14ac:dyDescent="0.35">
      <c r="A2850" s="39" t="s">
        <v>1946</v>
      </c>
      <c r="B2850" s="40" t="str">
        <f t="shared" ca="1" si="122"/>
        <v>Servicios de comidas a domicilio</v>
      </c>
      <c r="C2850" s="72" t="str">
        <f>IFERROR(VLOOKUP("UD",'Informacion '!P:Q,2,FALSE),"")</f>
        <v>Unidad</v>
      </c>
      <c r="D2850" s="39">
        <v>2</v>
      </c>
      <c r="E2850" s="42">
        <v>34102</v>
      </c>
      <c r="F2850" s="41">
        <f t="shared" ca="1" si="121"/>
        <v>68204</v>
      </c>
    </row>
    <row r="2851" spans="1:10" ht="14.25" customHeight="1" x14ac:dyDescent="0.35">
      <c r="A2851" s="39" t="s">
        <v>1946</v>
      </c>
      <c r="B2851" s="40" t="str">
        <f t="shared" ca="1" si="122"/>
        <v>Servicios de comidas a domicilio</v>
      </c>
      <c r="C2851" s="72" t="str">
        <f>IFERROR(VLOOKUP("UD",'Informacion '!P:Q,2,FALSE),"")</f>
        <v>Unidad</v>
      </c>
      <c r="D2851" s="39">
        <v>25</v>
      </c>
      <c r="E2851" s="42">
        <v>590</v>
      </c>
      <c r="F2851" s="41">
        <f t="shared" ca="1" si="121"/>
        <v>14750</v>
      </c>
    </row>
    <row r="2852" spans="1:10" ht="14.25" customHeight="1" x14ac:dyDescent="0.35">
      <c r="A2852" s="39" t="s">
        <v>1946</v>
      </c>
      <c r="B2852" s="40" t="str">
        <f t="shared" ca="1" si="122"/>
        <v>Servicios de comidas a domicilio</v>
      </c>
      <c r="C2852" s="72" t="str">
        <f>IFERROR(VLOOKUP("UD",'Informacion '!P:Q,2,FALSE),"")</f>
        <v>Unidad</v>
      </c>
      <c r="D2852" s="39">
        <v>25</v>
      </c>
      <c r="E2852" s="42">
        <v>590</v>
      </c>
      <c r="F2852" s="41">
        <f t="shared" ca="1" si="121"/>
        <v>14750</v>
      </c>
    </row>
    <row r="2853" spans="1:10" ht="14.25" customHeight="1" x14ac:dyDescent="0.35">
      <c r="A2853" s="39" t="s">
        <v>1946</v>
      </c>
      <c r="B2853" s="40" t="str">
        <f t="shared" ca="1" si="122"/>
        <v>Servicios de comidas a domicilio</v>
      </c>
      <c r="C2853" s="72" t="str">
        <f>IFERROR(VLOOKUP("UD",'Informacion '!P:Q,2,FALSE),"")</f>
        <v>Unidad</v>
      </c>
      <c r="D2853" s="39">
        <v>1</v>
      </c>
      <c r="E2853" s="42">
        <v>40592</v>
      </c>
      <c r="F2853" s="41">
        <f t="shared" ca="1" si="121"/>
        <v>40592</v>
      </c>
    </row>
    <row r="2854" spans="1:10" ht="14.25" customHeight="1" x14ac:dyDescent="0.35">
      <c r="A2854" s="39" t="s">
        <v>1946</v>
      </c>
      <c r="B2854" s="40" t="str">
        <f t="shared" ca="1" si="122"/>
        <v>Servicios de comidas a domicilio</v>
      </c>
      <c r="C2854" s="72" t="str">
        <f>IFERROR(VLOOKUP("UD",'Informacion '!P:Q,2,FALSE),"")</f>
        <v>Unidad</v>
      </c>
      <c r="D2854" s="39">
        <v>3</v>
      </c>
      <c r="E2854" s="42">
        <v>40592</v>
      </c>
      <c r="F2854" s="41">
        <f t="shared" ca="1" si="121"/>
        <v>121776</v>
      </c>
    </row>
    <row r="2855" spans="1:10" ht="14.25" customHeight="1" x14ac:dyDescent="0.35">
      <c r="A2855" s="39" t="s">
        <v>1946</v>
      </c>
      <c r="B2855" s="40" t="str">
        <f t="shared" ca="1" si="122"/>
        <v>Servicios de comidas a domicilio</v>
      </c>
      <c r="C2855" s="72" t="str">
        <f>IFERROR(VLOOKUP("UD",'Informacion '!P:Q,2,FALSE),"")</f>
        <v>Unidad</v>
      </c>
      <c r="D2855" s="39">
        <v>2</v>
      </c>
      <c r="E2855" s="42">
        <v>40592</v>
      </c>
      <c r="F2855" s="41">
        <f t="shared" ca="1" si="121"/>
        <v>81184</v>
      </c>
    </row>
    <row r="2856" spans="1:10" ht="14.25" customHeight="1" x14ac:dyDescent="0.35">
      <c r="A2856" s="39" t="s">
        <v>1946</v>
      </c>
      <c r="B2856" s="40" t="str">
        <f t="shared" ca="1" si="122"/>
        <v>Servicios de comidas a domicilio</v>
      </c>
      <c r="C2856" s="72" t="str">
        <f>IFERROR(VLOOKUP("UD",'Informacion '!P:Q,2,FALSE),"")</f>
        <v>Unidad</v>
      </c>
      <c r="D2856" s="39">
        <v>1</v>
      </c>
      <c r="E2856" s="42">
        <v>40592</v>
      </c>
      <c r="F2856" s="41">
        <f t="shared" ca="1" si="121"/>
        <v>40592</v>
      </c>
    </row>
    <row r="2857" spans="1:10" ht="14.25" customHeight="1" x14ac:dyDescent="0.35">
      <c r="A2857" s="39" t="s">
        <v>1946</v>
      </c>
      <c r="B2857" s="40" t="str">
        <f t="shared" ca="1" si="122"/>
        <v>Servicios de comidas a domicilio</v>
      </c>
      <c r="C2857" s="72" t="str">
        <f>IFERROR(VLOOKUP("UD",'Informacion '!P:Q,2,FALSE),"")</f>
        <v>Unidad</v>
      </c>
      <c r="D2857" s="39">
        <v>1</v>
      </c>
      <c r="E2857" s="42">
        <v>40592</v>
      </c>
      <c r="F2857" s="41">
        <f t="shared" ca="1" si="121"/>
        <v>40592</v>
      </c>
    </row>
    <row r="2858" spans="1:10" ht="14.25" customHeight="1" x14ac:dyDescent="0.35">
      <c r="A2858" s="39" t="s">
        <v>1946</v>
      </c>
      <c r="B2858" s="40" t="str">
        <f t="shared" ca="1" si="122"/>
        <v>Servicios de comidas a domicilio</v>
      </c>
      <c r="C2858" s="72" t="str">
        <f>IFERROR(VLOOKUP("UD",'Informacion '!P:Q,2,FALSE),"")</f>
        <v>Unidad</v>
      </c>
      <c r="D2858" s="39">
        <v>1</v>
      </c>
      <c r="E2858" s="42">
        <v>40592</v>
      </c>
      <c r="F2858" s="41">
        <f t="shared" ca="1" si="121"/>
        <v>40592</v>
      </c>
    </row>
    <row r="2859" spans="1:10" ht="14.25" customHeight="1" x14ac:dyDescent="0.35">
      <c r="A2859" s="39" t="s">
        <v>1946</v>
      </c>
      <c r="B2859" s="40" t="str">
        <f t="shared" ca="1" si="122"/>
        <v>Servicios de comidas a domicilio</v>
      </c>
      <c r="C2859" s="72" t="str">
        <f>IFERROR(VLOOKUP("UD",'Informacion '!P:Q,2,FALSE),"")</f>
        <v>Unidad</v>
      </c>
      <c r="D2859" s="39">
        <v>3</v>
      </c>
      <c r="E2859" s="42">
        <v>2560</v>
      </c>
      <c r="F2859" s="41">
        <f t="shared" ca="1" si="121"/>
        <v>7680</v>
      </c>
    </row>
    <row r="2860" spans="1:10" ht="14.25" customHeight="1" x14ac:dyDescent="0.35">
      <c r="A2860" s="39" t="s">
        <v>1946</v>
      </c>
      <c r="B2860" s="40" t="str">
        <f t="shared" ca="1" si="122"/>
        <v>Servicios de comidas a domicilio</v>
      </c>
      <c r="C2860" s="72" t="str">
        <f>IFERROR(VLOOKUP("UD",'Informacion '!P:Q,2,FALSE),"")</f>
        <v>Unidad</v>
      </c>
      <c r="D2860" s="39">
        <v>3</v>
      </c>
      <c r="E2860" s="42">
        <v>16402</v>
      </c>
      <c r="F2860" s="41">
        <f t="shared" ca="1" si="121"/>
        <v>49206</v>
      </c>
    </row>
    <row r="2861" spans="1:10" ht="14.25" customHeight="1" x14ac:dyDescent="0.35">
      <c r="A2861" s="39" t="s">
        <v>1946</v>
      </c>
      <c r="B2861" s="40" t="str">
        <f t="shared" ca="1" si="122"/>
        <v>Servicios de comidas a domicilio</v>
      </c>
      <c r="C2861" s="72" t="str">
        <f>IFERROR(VLOOKUP("UD",'Informacion '!P:Q,2,FALSE),"")</f>
        <v>Unidad</v>
      </c>
      <c r="D2861" s="39">
        <v>1</v>
      </c>
      <c r="E2861" s="42">
        <v>88875</v>
      </c>
      <c r="F2861" s="41">
        <f t="shared" ca="1" si="121"/>
        <v>88875</v>
      </c>
    </row>
    <row r="2862" spans="1:10" ht="14.25" customHeight="1" x14ac:dyDescent="0.35">
      <c r="A2862" s="39" t="s">
        <v>1735</v>
      </c>
      <c r="B2862" s="40" t="str">
        <f ca="1">IFERROR(INDEX(UNSPSCDes,MATCH(INDIRECT(ADDRESS(ROW(),COLUMN()-1,4)),UNSPSCCode,0)),IF(INDIRECT(ADDRESS(ROW(),COLUMN()-1,4))="90101603","Servicios de cáterin",""))</f>
        <v>Servicios de cáterin</v>
      </c>
      <c r="C2862" s="72" t="str">
        <f>IFERROR(VLOOKUP("UD",'Informacion '!P:Q,2,FALSE),"")</f>
        <v>Unidad</v>
      </c>
      <c r="D2862" s="39">
        <v>1</v>
      </c>
      <c r="E2862" s="42">
        <v>300000</v>
      </c>
      <c r="F2862" s="41">
        <f t="shared" ca="1" si="121"/>
        <v>300000</v>
      </c>
    </row>
    <row r="2863" spans="1:10" ht="14.25" customHeight="1" x14ac:dyDescent="0.35">
      <c r="A2863" s="39" t="s">
        <v>324</v>
      </c>
      <c r="B2863" s="40" t="str">
        <f ca="1">IFERROR(INDEX(UNSPSCDes,MATCH(INDIRECT(ADDRESS(ROW(),COLUMN()-1,4)),UNSPSCCode,0)),IF(INDIRECT(ADDRESS(ROW(),COLUMN()-1,4))="93131608","Servicios de suministro de alimentos",""))</f>
        <v>Servicios de suministro de alimentos</v>
      </c>
      <c r="C2863" s="72" t="str">
        <f>IFERROR(VLOOKUP("UD",'Informacion '!P:Q,2,FALSE),"")</f>
        <v>Unidad</v>
      </c>
      <c r="D2863" s="39">
        <v>150</v>
      </c>
      <c r="E2863" s="42">
        <v>188.8</v>
      </c>
      <c r="F2863" s="41">
        <f t="shared" ca="1" si="121"/>
        <v>28320</v>
      </c>
    </row>
    <row r="2864" spans="1:10" ht="14.25" customHeight="1" x14ac:dyDescent="0.35">
      <c r="E2864" s="44" t="s">
        <v>13122</v>
      </c>
      <c r="F2864" s="45">
        <f ca="1">SUM(Table135[MONTO TOTAL ESTIMADO])</f>
        <v>7216338.5999999996</v>
      </c>
      <c r="H2864" s="24" t="str">
        <f>C2801</f>
        <v>Servicios</v>
      </c>
      <c r="I2864" s="24" t="str">
        <f>E2801</f>
        <v>Sí</v>
      </c>
      <c r="J2864" s="24" t="str">
        <f>D2801</f>
        <v>Licitacion Publica</v>
      </c>
    </row>
    <row r="2866" spans="1:6" ht="34" customHeight="1" x14ac:dyDescent="0.35">
      <c r="A2866" s="36" t="s">
        <v>17105</v>
      </c>
      <c r="B2866" s="36" t="s">
        <v>167</v>
      </c>
      <c r="C2866" s="36" t="s">
        <v>12252</v>
      </c>
      <c r="D2866" s="36" t="s">
        <v>15021</v>
      </c>
      <c r="E2866" s="36" t="s">
        <v>11455</v>
      </c>
      <c r="F2866" s="36" t="s">
        <v>11595</v>
      </c>
    </row>
    <row r="2867" spans="1:6" ht="14.25" customHeight="1" x14ac:dyDescent="0.35">
      <c r="A2867" s="37" t="s">
        <v>2319</v>
      </c>
      <c r="B2867" s="37" t="s">
        <v>2319</v>
      </c>
      <c r="C2867" s="37" t="s">
        <v>7109</v>
      </c>
      <c r="D2867" s="37" t="s">
        <v>10634</v>
      </c>
      <c r="E2867" s="37" t="s">
        <v>9261</v>
      </c>
      <c r="F2867" s="37" t="s">
        <v>7088</v>
      </c>
    </row>
    <row r="2868" spans="1:6" ht="14.25" customHeight="1" x14ac:dyDescent="0.35">
      <c r="A2868" s="75" t="s">
        <v>15490</v>
      </c>
      <c r="B2868" s="38" t="s">
        <v>8918</v>
      </c>
      <c r="C2868" s="68">
        <v>45566</v>
      </c>
      <c r="D2868" s="75" t="s">
        <v>9819</v>
      </c>
      <c r="E2868" s="70" t="s">
        <v>13683</v>
      </c>
      <c r="F2868" s="71" t="s">
        <v>3205</v>
      </c>
    </row>
    <row r="2869" spans="1:6" ht="14.25" customHeight="1" x14ac:dyDescent="0.35">
      <c r="A2869" s="76"/>
      <c r="B2869" s="38" t="s">
        <v>1858</v>
      </c>
      <c r="C2869" s="69">
        <f>IF(C2868="","",IF(AND(MONTH(C2868)&gt;=1,MONTH(C2868)&lt;=3),1,IF(AND(MONTH(C2868)&gt;=4,MONTH(C2868)&lt;=6),2,IF(AND(MONTH(C2868)&gt;=7,MONTH(C2868)&lt;=9),3,4))))</f>
        <v>4</v>
      </c>
      <c r="D2869" s="76"/>
      <c r="E2869" s="70" t="s">
        <v>2509</v>
      </c>
      <c r="F2869" s="71" t="s">
        <v>11612</v>
      </c>
    </row>
    <row r="2870" spans="1:6" ht="14.25" customHeight="1" x14ac:dyDescent="0.35">
      <c r="A2870" s="76"/>
      <c r="B2870" s="38" t="s">
        <v>13526</v>
      </c>
      <c r="C2870" s="68">
        <v>45657</v>
      </c>
      <c r="D2870" s="76"/>
      <c r="E2870" s="70" t="s">
        <v>3198</v>
      </c>
      <c r="F2870" s="71" t="s">
        <v>11612</v>
      </c>
    </row>
    <row r="2871" spans="1:6" ht="14.25" customHeight="1" x14ac:dyDescent="0.35">
      <c r="A2871" s="76"/>
      <c r="B2871" s="38" t="s">
        <v>1858</v>
      </c>
      <c r="C2871" s="69">
        <f>IF(C2870="","",IF(AND(MONTH(C2870)&gt;=1,MONTH(C2870)&lt;=3),1,IF(AND(MONTH(C2870)&gt;=4,MONTH(C2870)&lt;=6),2,IF(AND(MONTH(C2870)&gt;=7,MONTH(C2870)&lt;=9),3,4))))</f>
        <v>4</v>
      </c>
      <c r="D2871" s="76"/>
      <c r="E2871" s="70" t="s">
        <v>13785</v>
      </c>
      <c r="F2871" s="71"/>
    </row>
    <row r="2873" spans="1:6" ht="14.25" customHeight="1" x14ac:dyDescent="0.35">
      <c r="A2873" s="43" t="s">
        <v>16424</v>
      </c>
      <c r="B2873" s="43" t="s">
        <v>16856</v>
      </c>
      <c r="C2873" s="43" t="s">
        <v>16326</v>
      </c>
      <c r="D2873" s="43" t="s">
        <v>15925</v>
      </c>
      <c r="E2873" s="43" t="s">
        <v>7248</v>
      </c>
      <c r="F2873" s="43" t="s">
        <v>15955</v>
      </c>
    </row>
    <row r="2874" spans="1:6" ht="14.25" customHeight="1" x14ac:dyDescent="0.35">
      <c r="A2874" s="39" t="s">
        <v>1735</v>
      </c>
      <c r="B2874" s="40" t="str">
        <f t="shared" ref="B2874:B2897" ca="1" si="123">IFERROR(INDEX(UNSPSCDes,MATCH(INDIRECT(ADDRESS(ROW(),COLUMN()-1,4)),UNSPSCCode,0)),IF(INDIRECT(ADDRESS(ROW(),COLUMN()-1,4))="90101603","Servicios de cáterin",""))</f>
        <v>Servicios de cáterin</v>
      </c>
      <c r="C2874" s="72" t="str">
        <f>IFERROR(VLOOKUP("UD",'Informacion '!P:Q,2,FALSE),"")</f>
        <v>Unidad</v>
      </c>
      <c r="D2874" s="39">
        <v>10</v>
      </c>
      <c r="E2874" s="42">
        <v>590</v>
      </c>
      <c r="F2874" s="41">
        <f t="shared" ref="F2874:F2919" ca="1" si="124">INDIRECT(ADDRESS(ROW(),COLUMN()-2,4))*INDIRECT(ADDRESS(ROW(),COLUMN()-1,4))</f>
        <v>5900</v>
      </c>
    </row>
    <row r="2875" spans="1:6" ht="14.25" customHeight="1" x14ac:dyDescent="0.35">
      <c r="A2875" s="39" t="s">
        <v>1735</v>
      </c>
      <c r="B2875" s="40" t="str">
        <f t="shared" ca="1" si="123"/>
        <v>Servicios de cáterin</v>
      </c>
      <c r="C2875" s="72" t="str">
        <f>IFERROR(VLOOKUP("UD",'Informacion '!P:Q,2,FALSE),"")</f>
        <v>Unidad</v>
      </c>
      <c r="D2875" s="39">
        <v>5</v>
      </c>
      <c r="E2875" s="42">
        <v>590</v>
      </c>
      <c r="F2875" s="41">
        <f t="shared" ca="1" si="124"/>
        <v>2950</v>
      </c>
    </row>
    <row r="2876" spans="1:6" ht="14.25" customHeight="1" x14ac:dyDescent="0.35">
      <c r="A2876" s="39" t="s">
        <v>1735</v>
      </c>
      <c r="B2876" s="40" t="str">
        <f t="shared" ca="1" si="123"/>
        <v>Servicios de cáterin</v>
      </c>
      <c r="C2876" s="72" t="str">
        <f>IFERROR(VLOOKUP("UD",'Informacion '!P:Q,2,FALSE),"")</f>
        <v>Unidad</v>
      </c>
      <c r="D2876" s="39">
        <v>13</v>
      </c>
      <c r="E2876" s="42">
        <v>590</v>
      </c>
      <c r="F2876" s="41">
        <f t="shared" ca="1" si="124"/>
        <v>7670</v>
      </c>
    </row>
    <row r="2877" spans="1:6" ht="14.25" customHeight="1" x14ac:dyDescent="0.35">
      <c r="A2877" s="39" t="s">
        <v>1735</v>
      </c>
      <c r="B2877" s="40" t="str">
        <f t="shared" ca="1" si="123"/>
        <v>Servicios de cáterin</v>
      </c>
      <c r="C2877" s="72" t="str">
        <f>IFERROR(VLOOKUP("UD",'Informacion '!P:Q,2,FALSE),"")</f>
        <v>Unidad</v>
      </c>
      <c r="D2877" s="39">
        <v>20</v>
      </c>
      <c r="E2877" s="42">
        <v>590</v>
      </c>
      <c r="F2877" s="41">
        <f t="shared" ca="1" si="124"/>
        <v>11800</v>
      </c>
    </row>
    <row r="2878" spans="1:6" ht="14.25" customHeight="1" x14ac:dyDescent="0.35">
      <c r="A2878" s="39" t="s">
        <v>1735</v>
      </c>
      <c r="B2878" s="40" t="str">
        <f t="shared" ca="1" si="123"/>
        <v>Servicios de cáterin</v>
      </c>
      <c r="C2878" s="72" t="str">
        <f>IFERROR(VLOOKUP("UD",'Informacion '!P:Q,2,FALSE),"")</f>
        <v>Unidad</v>
      </c>
      <c r="D2878" s="39">
        <v>1</v>
      </c>
      <c r="E2878" s="42">
        <v>37347</v>
      </c>
      <c r="F2878" s="41">
        <f t="shared" ca="1" si="124"/>
        <v>37347</v>
      </c>
    </row>
    <row r="2879" spans="1:6" ht="14.25" customHeight="1" x14ac:dyDescent="0.35">
      <c r="A2879" s="39" t="s">
        <v>1735</v>
      </c>
      <c r="B2879" s="40" t="str">
        <f t="shared" ca="1" si="123"/>
        <v>Servicios de cáterin</v>
      </c>
      <c r="C2879" s="72" t="str">
        <f>IFERROR(VLOOKUP("UD",'Informacion '!P:Q,2,FALSE),"")</f>
        <v>Unidad</v>
      </c>
      <c r="D2879" s="39">
        <v>2</v>
      </c>
      <c r="E2879" s="42">
        <v>37347</v>
      </c>
      <c r="F2879" s="41">
        <f t="shared" ca="1" si="124"/>
        <v>74694</v>
      </c>
    </row>
    <row r="2880" spans="1:6" ht="14.25" customHeight="1" x14ac:dyDescent="0.35">
      <c r="A2880" s="39" t="s">
        <v>1735</v>
      </c>
      <c r="B2880" s="40" t="str">
        <f t="shared" ca="1" si="123"/>
        <v>Servicios de cáterin</v>
      </c>
      <c r="C2880" s="72" t="str">
        <f>IFERROR(VLOOKUP("UD",'Informacion '!P:Q,2,FALSE),"")</f>
        <v>Unidad</v>
      </c>
      <c r="D2880" s="39">
        <v>3</v>
      </c>
      <c r="E2880" s="42">
        <v>21948</v>
      </c>
      <c r="F2880" s="41">
        <f t="shared" ca="1" si="124"/>
        <v>65844</v>
      </c>
    </row>
    <row r="2881" spans="1:6" ht="14.25" customHeight="1" x14ac:dyDescent="0.35">
      <c r="A2881" s="39" t="s">
        <v>1735</v>
      </c>
      <c r="B2881" s="40" t="str">
        <f t="shared" ca="1" si="123"/>
        <v>Servicios de cáterin</v>
      </c>
      <c r="C2881" s="72" t="str">
        <f>IFERROR(VLOOKUP("UD",'Informacion '!P:Q,2,FALSE),"")</f>
        <v>Unidad</v>
      </c>
      <c r="D2881" s="39">
        <v>25</v>
      </c>
      <c r="E2881" s="42">
        <v>88.5</v>
      </c>
      <c r="F2881" s="41">
        <f t="shared" ca="1" si="124"/>
        <v>2212.5</v>
      </c>
    </row>
    <row r="2882" spans="1:6" ht="14.25" customHeight="1" x14ac:dyDescent="0.35">
      <c r="A2882" s="39" t="s">
        <v>1735</v>
      </c>
      <c r="B2882" s="40" t="str">
        <f t="shared" ca="1" si="123"/>
        <v>Servicios de cáterin</v>
      </c>
      <c r="C2882" s="72" t="str">
        <f>IFERROR(VLOOKUP("UD",'Informacion '!P:Q,2,FALSE),"")</f>
        <v>Unidad</v>
      </c>
      <c r="D2882" s="39">
        <v>75</v>
      </c>
      <c r="E2882" s="42">
        <v>88.5</v>
      </c>
      <c r="F2882" s="41">
        <f t="shared" ca="1" si="124"/>
        <v>6637.5</v>
      </c>
    </row>
    <row r="2883" spans="1:6" ht="14.25" customHeight="1" x14ac:dyDescent="0.35">
      <c r="A2883" s="39" t="s">
        <v>1735</v>
      </c>
      <c r="B2883" s="40" t="str">
        <f t="shared" ca="1" si="123"/>
        <v>Servicios de cáterin</v>
      </c>
      <c r="C2883" s="72" t="str">
        <f>IFERROR(VLOOKUP("UD",'Informacion '!P:Q,2,FALSE),"")</f>
        <v>Unidad</v>
      </c>
      <c r="D2883" s="39">
        <v>10</v>
      </c>
      <c r="E2883" s="42">
        <v>88.5</v>
      </c>
      <c r="F2883" s="41">
        <f t="shared" ca="1" si="124"/>
        <v>885</v>
      </c>
    </row>
    <row r="2884" spans="1:6" ht="14.25" customHeight="1" x14ac:dyDescent="0.35">
      <c r="A2884" s="39" t="s">
        <v>1735</v>
      </c>
      <c r="B2884" s="40" t="str">
        <f t="shared" ca="1" si="123"/>
        <v>Servicios de cáterin</v>
      </c>
      <c r="C2884" s="72" t="str">
        <f>IFERROR(VLOOKUP("UD",'Informacion '!P:Q,2,FALSE),"")</f>
        <v>Unidad</v>
      </c>
      <c r="D2884" s="39">
        <v>65</v>
      </c>
      <c r="E2884" s="42">
        <v>590</v>
      </c>
      <c r="F2884" s="41">
        <f t="shared" ca="1" si="124"/>
        <v>38350</v>
      </c>
    </row>
    <row r="2885" spans="1:6" ht="14.25" customHeight="1" x14ac:dyDescent="0.35">
      <c r="A2885" s="39" t="s">
        <v>1735</v>
      </c>
      <c r="B2885" s="40" t="str">
        <f t="shared" ca="1" si="123"/>
        <v>Servicios de cáterin</v>
      </c>
      <c r="C2885" s="72" t="str">
        <f>IFERROR(VLOOKUP("UD",'Informacion '!P:Q,2,FALSE),"")</f>
        <v>Unidad</v>
      </c>
      <c r="D2885" s="39">
        <v>65</v>
      </c>
      <c r="E2885" s="42">
        <v>590</v>
      </c>
      <c r="F2885" s="41">
        <f t="shared" ca="1" si="124"/>
        <v>38350</v>
      </c>
    </row>
    <row r="2886" spans="1:6" ht="14.25" customHeight="1" x14ac:dyDescent="0.35">
      <c r="A2886" s="39" t="s">
        <v>1735</v>
      </c>
      <c r="B2886" s="40" t="str">
        <f t="shared" ca="1" si="123"/>
        <v>Servicios de cáterin</v>
      </c>
      <c r="C2886" s="72" t="str">
        <f>IFERROR(VLOOKUP("UD",'Informacion '!P:Q,2,FALSE),"")</f>
        <v>Unidad</v>
      </c>
      <c r="D2886" s="39">
        <v>100</v>
      </c>
      <c r="E2886" s="42">
        <v>600</v>
      </c>
      <c r="F2886" s="41">
        <f t="shared" ca="1" si="124"/>
        <v>60000</v>
      </c>
    </row>
    <row r="2887" spans="1:6" ht="14.25" customHeight="1" x14ac:dyDescent="0.35">
      <c r="A2887" s="39" t="s">
        <v>1735</v>
      </c>
      <c r="B2887" s="40" t="str">
        <f t="shared" ca="1" si="123"/>
        <v>Servicios de cáterin</v>
      </c>
      <c r="C2887" s="72" t="str">
        <f>IFERROR(VLOOKUP("UD",'Informacion '!P:Q,2,FALSE),"")</f>
        <v>Unidad</v>
      </c>
      <c r="D2887" s="39">
        <v>1</v>
      </c>
      <c r="E2887" s="42">
        <v>79566</v>
      </c>
      <c r="F2887" s="41">
        <f t="shared" ca="1" si="124"/>
        <v>79566</v>
      </c>
    </row>
    <row r="2888" spans="1:6" ht="14.25" customHeight="1" x14ac:dyDescent="0.35">
      <c r="A2888" s="39" t="s">
        <v>1735</v>
      </c>
      <c r="B2888" s="40" t="str">
        <f t="shared" ca="1" si="123"/>
        <v>Servicios de cáterin</v>
      </c>
      <c r="C2888" s="72" t="str">
        <f>IFERROR(VLOOKUP("UD",'Informacion '!P:Q,2,FALSE),"")</f>
        <v>Unidad</v>
      </c>
      <c r="D2888" s="39">
        <v>1</v>
      </c>
      <c r="E2888" s="42">
        <v>79566</v>
      </c>
      <c r="F2888" s="41">
        <f t="shared" ca="1" si="124"/>
        <v>79566</v>
      </c>
    </row>
    <row r="2889" spans="1:6" ht="14.25" customHeight="1" x14ac:dyDescent="0.35">
      <c r="A2889" s="39" t="s">
        <v>1735</v>
      </c>
      <c r="B2889" s="40" t="str">
        <f t="shared" ca="1" si="123"/>
        <v>Servicios de cáterin</v>
      </c>
      <c r="C2889" s="72" t="str">
        <f>IFERROR(VLOOKUP("UD",'Informacion '!P:Q,2,FALSE),"")</f>
        <v>Unidad</v>
      </c>
      <c r="D2889" s="39">
        <v>1</v>
      </c>
      <c r="E2889" s="42">
        <v>79566</v>
      </c>
      <c r="F2889" s="41">
        <f t="shared" ca="1" si="124"/>
        <v>79566</v>
      </c>
    </row>
    <row r="2890" spans="1:6" ht="14.25" customHeight="1" x14ac:dyDescent="0.35">
      <c r="A2890" s="39" t="s">
        <v>1735</v>
      </c>
      <c r="B2890" s="40" t="str">
        <f t="shared" ca="1" si="123"/>
        <v>Servicios de cáterin</v>
      </c>
      <c r="C2890" s="72" t="str">
        <f>IFERROR(VLOOKUP("UD",'Informacion '!P:Q,2,FALSE),"")</f>
        <v>Unidad</v>
      </c>
      <c r="D2890" s="39">
        <v>1</v>
      </c>
      <c r="E2890" s="42">
        <v>79566</v>
      </c>
      <c r="F2890" s="41">
        <f t="shared" ca="1" si="124"/>
        <v>79566</v>
      </c>
    </row>
    <row r="2891" spans="1:6" ht="14.25" customHeight="1" x14ac:dyDescent="0.35">
      <c r="A2891" s="39" t="s">
        <v>1735</v>
      </c>
      <c r="B2891" s="40" t="str">
        <f t="shared" ca="1" si="123"/>
        <v>Servicios de cáterin</v>
      </c>
      <c r="C2891" s="72" t="str">
        <f>IFERROR(VLOOKUP("UD",'Informacion '!P:Q,2,FALSE),"")</f>
        <v>Unidad</v>
      </c>
      <c r="D2891" s="39">
        <v>1</v>
      </c>
      <c r="E2891" s="42">
        <v>79566</v>
      </c>
      <c r="F2891" s="41">
        <f t="shared" ca="1" si="124"/>
        <v>79566</v>
      </c>
    </row>
    <row r="2892" spans="1:6" ht="14.25" customHeight="1" x14ac:dyDescent="0.35">
      <c r="A2892" s="39" t="s">
        <v>1735</v>
      </c>
      <c r="B2892" s="40" t="str">
        <f t="shared" ca="1" si="123"/>
        <v>Servicios de cáterin</v>
      </c>
      <c r="C2892" s="72" t="str">
        <f>IFERROR(VLOOKUP("UD",'Informacion '!P:Q,2,FALSE),"")</f>
        <v>Unidad</v>
      </c>
      <c r="D2892" s="39">
        <v>150</v>
      </c>
      <c r="E2892" s="42">
        <v>824.82</v>
      </c>
      <c r="F2892" s="41">
        <f t="shared" ca="1" si="124"/>
        <v>123723.00000000001</v>
      </c>
    </row>
    <row r="2893" spans="1:6" ht="14.25" customHeight="1" x14ac:dyDescent="0.35">
      <c r="A2893" s="39" t="s">
        <v>1735</v>
      </c>
      <c r="B2893" s="40" t="str">
        <f t="shared" ca="1" si="123"/>
        <v>Servicios de cáterin</v>
      </c>
      <c r="C2893" s="72" t="str">
        <f>IFERROR(VLOOKUP("UD",'Informacion '!P:Q,2,FALSE),"")</f>
        <v>Unidad</v>
      </c>
      <c r="D2893" s="39">
        <v>150</v>
      </c>
      <c r="E2893" s="42">
        <v>590</v>
      </c>
      <c r="F2893" s="41">
        <f t="shared" ca="1" si="124"/>
        <v>88500</v>
      </c>
    </row>
    <row r="2894" spans="1:6" ht="14.25" customHeight="1" x14ac:dyDescent="0.35">
      <c r="A2894" s="39" t="s">
        <v>1735</v>
      </c>
      <c r="B2894" s="40" t="str">
        <f t="shared" ca="1" si="123"/>
        <v>Servicios de cáterin</v>
      </c>
      <c r="C2894" s="72" t="str">
        <f>IFERROR(VLOOKUP("UD",'Informacion '!P:Q,2,FALSE),"")</f>
        <v>Unidad</v>
      </c>
      <c r="D2894" s="39">
        <v>10</v>
      </c>
      <c r="E2894" s="42">
        <v>590</v>
      </c>
      <c r="F2894" s="41">
        <f t="shared" ca="1" si="124"/>
        <v>5900</v>
      </c>
    </row>
    <row r="2895" spans="1:6" ht="14.25" customHeight="1" x14ac:dyDescent="0.35">
      <c r="A2895" s="39" t="s">
        <v>1735</v>
      </c>
      <c r="B2895" s="40" t="str">
        <f t="shared" ca="1" si="123"/>
        <v>Servicios de cáterin</v>
      </c>
      <c r="C2895" s="72" t="str">
        <f>IFERROR(VLOOKUP("UD",'Informacion '!P:Q,2,FALSE),"")</f>
        <v>Unidad</v>
      </c>
      <c r="D2895" s="39">
        <v>1</v>
      </c>
      <c r="E2895" s="42">
        <v>93456</v>
      </c>
      <c r="F2895" s="41">
        <f t="shared" ca="1" si="124"/>
        <v>93456</v>
      </c>
    </row>
    <row r="2896" spans="1:6" ht="14.25" customHeight="1" x14ac:dyDescent="0.35">
      <c r="A2896" s="39" t="s">
        <v>1735</v>
      </c>
      <c r="B2896" s="40" t="str">
        <f t="shared" ca="1" si="123"/>
        <v>Servicios de cáterin</v>
      </c>
      <c r="C2896" s="72" t="str">
        <f>IFERROR(VLOOKUP("UD",'Informacion '!P:Q,2,FALSE),"")</f>
        <v>Unidad</v>
      </c>
      <c r="D2896" s="39">
        <v>1</v>
      </c>
      <c r="E2896" s="42">
        <v>717696</v>
      </c>
      <c r="F2896" s="41">
        <f t="shared" ca="1" si="124"/>
        <v>717696</v>
      </c>
    </row>
    <row r="2897" spans="1:6" ht="14.25" customHeight="1" x14ac:dyDescent="0.35">
      <c r="A2897" s="39" t="s">
        <v>1735</v>
      </c>
      <c r="B2897" s="40" t="str">
        <f t="shared" ca="1" si="123"/>
        <v>Servicios de cáterin</v>
      </c>
      <c r="C2897" s="72" t="str">
        <f>IFERROR(VLOOKUP("UD",'Informacion '!P:Q,2,FALSE),"")</f>
        <v>Unidad</v>
      </c>
      <c r="D2897" s="39">
        <v>1</v>
      </c>
      <c r="E2897" s="42">
        <v>65280</v>
      </c>
      <c r="F2897" s="41">
        <f t="shared" ca="1" si="124"/>
        <v>65280</v>
      </c>
    </row>
    <row r="2898" spans="1:6" ht="14.25" customHeight="1" x14ac:dyDescent="0.35">
      <c r="A2898" s="39" t="s">
        <v>5338</v>
      </c>
      <c r="B2898" s="40" t="str">
        <f t="shared" ref="B2898:B2905" ca="1" si="125">IFERROR(INDEX(UNSPSCDes,MATCH(INDIRECT(ADDRESS(ROW(),COLUMN()-1,4)),UNSPSCCode,0)),IF(INDIRECT(ADDRESS(ROW(),COLUMN()-1,4))="90101604","Servicios de cáterin en la obra o lugar de trabajo",""))</f>
        <v>Servicios de cáterin en la obra o lugar de trabajo</v>
      </c>
      <c r="C2898" s="72" t="str">
        <f>IFERROR(VLOOKUP("UD",'Informacion '!P:Q,2,FALSE),"")</f>
        <v>Unidad</v>
      </c>
      <c r="D2898" s="39">
        <v>30</v>
      </c>
      <c r="E2898" s="42">
        <v>590</v>
      </c>
      <c r="F2898" s="41">
        <f t="shared" ca="1" si="124"/>
        <v>17700</v>
      </c>
    </row>
    <row r="2899" spans="1:6" ht="14.25" customHeight="1" x14ac:dyDescent="0.35">
      <c r="A2899" s="39" t="s">
        <v>5338</v>
      </c>
      <c r="B2899" s="40" t="str">
        <f t="shared" ca="1" si="125"/>
        <v>Servicios de cáterin en la obra o lugar de trabajo</v>
      </c>
      <c r="C2899" s="72" t="str">
        <f>IFERROR(VLOOKUP("UD",'Informacion '!P:Q,2,FALSE),"")</f>
        <v>Unidad</v>
      </c>
      <c r="D2899" s="39">
        <v>3</v>
      </c>
      <c r="E2899" s="42">
        <v>20001</v>
      </c>
      <c r="F2899" s="41">
        <f t="shared" ca="1" si="124"/>
        <v>60003</v>
      </c>
    </row>
    <row r="2900" spans="1:6" ht="14.25" customHeight="1" x14ac:dyDescent="0.35">
      <c r="A2900" s="39" t="s">
        <v>5338</v>
      </c>
      <c r="B2900" s="40" t="str">
        <f t="shared" ca="1" si="125"/>
        <v>Servicios de cáterin en la obra o lugar de trabajo</v>
      </c>
      <c r="C2900" s="72" t="str">
        <f>IFERROR(VLOOKUP("UD",'Informacion '!P:Q,2,FALSE),"")</f>
        <v>Unidad</v>
      </c>
      <c r="D2900" s="39">
        <v>500</v>
      </c>
      <c r="E2900" s="42">
        <v>283.2</v>
      </c>
      <c r="F2900" s="41">
        <f t="shared" ca="1" si="124"/>
        <v>141600</v>
      </c>
    </row>
    <row r="2901" spans="1:6" ht="14.25" customHeight="1" x14ac:dyDescent="0.35">
      <c r="A2901" s="39" t="s">
        <v>5338</v>
      </c>
      <c r="B2901" s="40" t="str">
        <f t="shared" ca="1" si="125"/>
        <v>Servicios de cáterin en la obra o lugar de trabajo</v>
      </c>
      <c r="C2901" s="72" t="str">
        <f>IFERROR(VLOOKUP("UD",'Informacion '!P:Q,2,FALSE),"")</f>
        <v>Unidad</v>
      </c>
      <c r="D2901" s="39">
        <v>300</v>
      </c>
      <c r="E2901" s="42">
        <v>796.5</v>
      </c>
      <c r="F2901" s="41">
        <f t="shared" ca="1" si="124"/>
        <v>238950</v>
      </c>
    </row>
    <row r="2902" spans="1:6" ht="14.25" customHeight="1" x14ac:dyDescent="0.35">
      <c r="A2902" s="39" t="s">
        <v>5338</v>
      </c>
      <c r="B2902" s="40" t="str">
        <f t="shared" ca="1" si="125"/>
        <v>Servicios de cáterin en la obra o lugar de trabajo</v>
      </c>
      <c r="C2902" s="72" t="str">
        <f>IFERROR(VLOOKUP("UD",'Informacion '!P:Q,2,FALSE),"")</f>
        <v>Unidad</v>
      </c>
      <c r="D2902" s="39">
        <v>22</v>
      </c>
      <c r="E2902" s="42">
        <v>796.5</v>
      </c>
      <c r="F2902" s="41">
        <f t="shared" ca="1" si="124"/>
        <v>17523</v>
      </c>
    </row>
    <row r="2903" spans="1:6" ht="14.25" customHeight="1" x14ac:dyDescent="0.35">
      <c r="A2903" s="39" t="s">
        <v>5338</v>
      </c>
      <c r="B2903" s="40" t="str">
        <f t="shared" ca="1" si="125"/>
        <v>Servicios de cáterin en la obra o lugar de trabajo</v>
      </c>
      <c r="C2903" s="72" t="str">
        <f>IFERROR(VLOOKUP("UD",'Informacion '!P:Q,2,FALSE),"")</f>
        <v>Unidad</v>
      </c>
      <c r="D2903" s="39">
        <v>50</v>
      </c>
      <c r="E2903" s="42">
        <v>590</v>
      </c>
      <c r="F2903" s="41">
        <f t="shared" ca="1" si="124"/>
        <v>29500</v>
      </c>
    </row>
    <row r="2904" spans="1:6" ht="14.25" customHeight="1" x14ac:dyDescent="0.35">
      <c r="A2904" s="39" t="s">
        <v>5338</v>
      </c>
      <c r="B2904" s="40" t="str">
        <f t="shared" ca="1" si="125"/>
        <v>Servicios de cáterin en la obra o lugar de trabajo</v>
      </c>
      <c r="C2904" s="72" t="str">
        <f>IFERROR(VLOOKUP("UD",'Informacion '!P:Q,2,FALSE),"")</f>
        <v>Unidad</v>
      </c>
      <c r="D2904" s="39">
        <v>50</v>
      </c>
      <c r="E2904" s="42">
        <v>590</v>
      </c>
      <c r="F2904" s="41">
        <f t="shared" ca="1" si="124"/>
        <v>29500</v>
      </c>
    </row>
    <row r="2905" spans="1:6" ht="14.25" customHeight="1" x14ac:dyDescent="0.35">
      <c r="A2905" s="39" t="s">
        <v>5338</v>
      </c>
      <c r="B2905" s="40" t="str">
        <f t="shared" ca="1" si="125"/>
        <v>Servicios de cáterin en la obra o lugar de trabajo</v>
      </c>
      <c r="C2905" s="72" t="str">
        <f>IFERROR(VLOOKUP("UD",'Informacion '!P:Q,2,FALSE),"")</f>
        <v>Unidad</v>
      </c>
      <c r="D2905" s="39">
        <v>50</v>
      </c>
      <c r="E2905" s="42">
        <v>590</v>
      </c>
      <c r="F2905" s="41">
        <f t="shared" ca="1" si="124"/>
        <v>29500</v>
      </c>
    </row>
    <row r="2906" spans="1:6" ht="14.25" customHeight="1" x14ac:dyDescent="0.35">
      <c r="A2906" s="39" t="s">
        <v>1946</v>
      </c>
      <c r="B2906" s="40" t="str">
        <f t="shared" ref="B2906:B2919" ca="1" si="126">IFERROR(INDEX(UNSPSCDes,MATCH(INDIRECT(ADDRESS(ROW(),COLUMN()-1,4)),UNSPSCCode,0)),IF(INDIRECT(ADDRESS(ROW(),COLUMN()-1,4))="90101802","Servicios de comidas a domicilio",""))</f>
        <v>Servicios de comidas a domicilio</v>
      </c>
      <c r="C2906" s="72" t="str">
        <f>IFERROR(VLOOKUP("UD",'Informacion '!P:Q,2,FALSE),"")</f>
        <v>Unidad</v>
      </c>
      <c r="D2906" s="39">
        <v>1</v>
      </c>
      <c r="E2906" s="42">
        <v>20886</v>
      </c>
      <c r="F2906" s="41">
        <f t="shared" ca="1" si="124"/>
        <v>20886</v>
      </c>
    </row>
    <row r="2907" spans="1:6" ht="14.25" customHeight="1" x14ac:dyDescent="0.35">
      <c r="A2907" s="39" t="s">
        <v>1946</v>
      </c>
      <c r="B2907" s="40" t="str">
        <f t="shared" ca="1" si="126"/>
        <v>Servicios de comidas a domicilio</v>
      </c>
      <c r="C2907" s="72" t="str">
        <f>IFERROR(VLOOKUP("UD",'Informacion '!P:Q,2,FALSE),"")</f>
        <v>Unidad</v>
      </c>
      <c r="D2907" s="39">
        <v>2</v>
      </c>
      <c r="E2907" s="42">
        <v>20886</v>
      </c>
      <c r="F2907" s="41">
        <f t="shared" ca="1" si="124"/>
        <v>41772</v>
      </c>
    </row>
    <row r="2908" spans="1:6" ht="14.25" customHeight="1" x14ac:dyDescent="0.35">
      <c r="A2908" s="39" t="s">
        <v>1946</v>
      </c>
      <c r="B2908" s="40" t="str">
        <f t="shared" ca="1" si="126"/>
        <v>Servicios de comidas a domicilio</v>
      </c>
      <c r="C2908" s="72" t="str">
        <f>IFERROR(VLOOKUP("UD",'Informacion '!P:Q,2,FALSE),"")</f>
        <v>Unidad</v>
      </c>
      <c r="D2908" s="39">
        <v>3</v>
      </c>
      <c r="E2908" s="42">
        <v>20886</v>
      </c>
      <c r="F2908" s="41">
        <f t="shared" ca="1" si="124"/>
        <v>62658</v>
      </c>
    </row>
    <row r="2909" spans="1:6" ht="14.25" customHeight="1" x14ac:dyDescent="0.35">
      <c r="A2909" s="39" t="s">
        <v>1946</v>
      </c>
      <c r="B2909" s="40" t="str">
        <f t="shared" ca="1" si="126"/>
        <v>Servicios de comidas a domicilio</v>
      </c>
      <c r="C2909" s="72" t="str">
        <f>IFERROR(VLOOKUP("UD",'Informacion '!P:Q,2,FALSE),"")</f>
        <v>Unidad</v>
      </c>
      <c r="D2909" s="39">
        <v>2</v>
      </c>
      <c r="E2909" s="42">
        <v>34102</v>
      </c>
      <c r="F2909" s="41">
        <f t="shared" ca="1" si="124"/>
        <v>68204</v>
      </c>
    </row>
    <row r="2910" spans="1:6" ht="14.25" customHeight="1" x14ac:dyDescent="0.35">
      <c r="A2910" s="39" t="s">
        <v>1946</v>
      </c>
      <c r="B2910" s="40" t="str">
        <f t="shared" ca="1" si="126"/>
        <v>Servicios de comidas a domicilio</v>
      </c>
      <c r="C2910" s="72" t="str">
        <f>IFERROR(VLOOKUP("UD",'Informacion '!P:Q,2,FALSE),"")</f>
        <v>Unidad</v>
      </c>
      <c r="D2910" s="39">
        <v>20</v>
      </c>
      <c r="E2910" s="42">
        <v>200</v>
      </c>
      <c r="F2910" s="41">
        <f t="shared" ca="1" si="124"/>
        <v>4000</v>
      </c>
    </row>
    <row r="2911" spans="1:6" ht="14.25" customHeight="1" x14ac:dyDescent="0.35">
      <c r="A2911" s="39" t="s">
        <v>1946</v>
      </c>
      <c r="B2911" s="40" t="str">
        <f t="shared" ca="1" si="126"/>
        <v>Servicios de comidas a domicilio</v>
      </c>
      <c r="C2911" s="72" t="str">
        <f>IFERROR(VLOOKUP("UD",'Informacion '!P:Q,2,FALSE),"")</f>
        <v>Unidad</v>
      </c>
      <c r="D2911" s="39">
        <v>20</v>
      </c>
      <c r="E2911" s="42">
        <v>2112</v>
      </c>
      <c r="F2911" s="41">
        <f t="shared" ca="1" si="124"/>
        <v>42240</v>
      </c>
    </row>
    <row r="2912" spans="1:6" ht="14.25" customHeight="1" x14ac:dyDescent="0.35">
      <c r="A2912" s="39" t="s">
        <v>1946</v>
      </c>
      <c r="B2912" s="40" t="str">
        <f t="shared" ca="1" si="126"/>
        <v>Servicios de comidas a domicilio</v>
      </c>
      <c r="C2912" s="72" t="str">
        <f>IFERROR(VLOOKUP("UD",'Informacion '!P:Q,2,FALSE),"")</f>
        <v>Unidad</v>
      </c>
      <c r="D2912" s="39">
        <v>1</v>
      </c>
      <c r="E2912" s="42">
        <v>40592</v>
      </c>
      <c r="F2912" s="41">
        <f t="shared" ca="1" si="124"/>
        <v>40592</v>
      </c>
    </row>
    <row r="2913" spans="1:10" ht="14.25" customHeight="1" x14ac:dyDescent="0.35">
      <c r="A2913" s="39" t="s">
        <v>1946</v>
      </c>
      <c r="B2913" s="40" t="str">
        <f t="shared" ca="1" si="126"/>
        <v>Servicios de comidas a domicilio</v>
      </c>
      <c r="C2913" s="72" t="str">
        <f>IFERROR(VLOOKUP("UD",'Informacion '!P:Q,2,FALSE),"")</f>
        <v>Unidad</v>
      </c>
      <c r="D2913" s="39">
        <v>3</v>
      </c>
      <c r="E2913" s="42">
        <v>40592</v>
      </c>
      <c r="F2913" s="41">
        <f t="shared" ca="1" si="124"/>
        <v>121776</v>
      </c>
    </row>
    <row r="2914" spans="1:10" ht="14.25" customHeight="1" x14ac:dyDescent="0.35">
      <c r="A2914" s="39" t="s">
        <v>1946</v>
      </c>
      <c r="B2914" s="40" t="str">
        <f t="shared" ca="1" si="126"/>
        <v>Servicios de comidas a domicilio</v>
      </c>
      <c r="C2914" s="72" t="str">
        <f>IFERROR(VLOOKUP("UD",'Informacion '!P:Q,2,FALSE),"")</f>
        <v>Unidad</v>
      </c>
      <c r="D2914" s="39">
        <v>1</v>
      </c>
      <c r="E2914" s="42">
        <v>40592</v>
      </c>
      <c r="F2914" s="41">
        <f t="shared" ca="1" si="124"/>
        <v>40592</v>
      </c>
    </row>
    <row r="2915" spans="1:10" ht="14.25" customHeight="1" x14ac:dyDescent="0.35">
      <c r="A2915" s="39" t="s">
        <v>1946</v>
      </c>
      <c r="B2915" s="40" t="str">
        <f t="shared" ca="1" si="126"/>
        <v>Servicios de comidas a domicilio</v>
      </c>
      <c r="C2915" s="72" t="str">
        <f>IFERROR(VLOOKUP("UD",'Informacion '!P:Q,2,FALSE),"")</f>
        <v>Unidad</v>
      </c>
      <c r="D2915" s="39">
        <v>1</v>
      </c>
      <c r="E2915" s="42">
        <v>40592</v>
      </c>
      <c r="F2915" s="41">
        <f t="shared" ca="1" si="124"/>
        <v>40592</v>
      </c>
    </row>
    <row r="2916" spans="1:10" ht="14.25" customHeight="1" x14ac:dyDescent="0.35">
      <c r="A2916" s="39" t="s">
        <v>1946</v>
      </c>
      <c r="B2916" s="40" t="str">
        <f t="shared" ca="1" si="126"/>
        <v>Servicios de comidas a domicilio</v>
      </c>
      <c r="C2916" s="72" t="str">
        <f>IFERROR(VLOOKUP("UD",'Informacion '!P:Q,2,FALSE),"")</f>
        <v>Unidad</v>
      </c>
      <c r="D2916" s="39">
        <v>1</v>
      </c>
      <c r="E2916" s="42">
        <v>40592</v>
      </c>
      <c r="F2916" s="41">
        <f t="shared" ca="1" si="124"/>
        <v>40592</v>
      </c>
    </row>
    <row r="2917" spans="1:10" ht="14.25" customHeight="1" x14ac:dyDescent="0.35">
      <c r="A2917" s="39" t="s">
        <v>1946</v>
      </c>
      <c r="B2917" s="40" t="str">
        <f t="shared" ca="1" si="126"/>
        <v>Servicios de comidas a domicilio</v>
      </c>
      <c r="C2917" s="72" t="str">
        <f>IFERROR(VLOOKUP("UD",'Informacion '!P:Q,2,FALSE),"")</f>
        <v>Unidad</v>
      </c>
      <c r="D2917" s="39">
        <v>2</v>
      </c>
      <c r="E2917" s="42">
        <v>2560</v>
      </c>
      <c r="F2917" s="41">
        <f t="shared" ca="1" si="124"/>
        <v>5120</v>
      </c>
    </row>
    <row r="2918" spans="1:10" ht="14.25" customHeight="1" x14ac:dyDescent="0.35">
      <c r="A2918" s="39" t="s">
        <v>1946</v>
      </c>
      <c r="B2918" s="40" t="str">
        <f t="shared" ca="1" si="126"/>
        <v>Servicios de comidas a domicilio</v>
      </c>
      <c r="C2918" s="72" t="str">
        <f>IFERROR(VLOOKUP("UD",'Informacion '!P:Q,2,FALSE),"")</f>
        <v>Unidad</v>
      </c>
      <c r="D2918" s="39">
        <v>7</v>
      </c>
      <c r="E2918" s="42">
        <v>16402</v>
      </c>
      <c r="F2918" s="41">
        <f t="shared" ca="1" si="124"/>
        <v>114814</v>
      </c>
    </row>
    <row r="2919" spans="1:10" ht="14.25" customHeight="1" x14ac:dyDescent="0.35">
      <c r="A2919" s="39" t="s">
        <v>1946</v>
      </c>
      <c r="B2919" s="40" t="str">
        <f t="shared" ca="1" si="126"/>
        <v>Servicios de comidas a domicilio</v>
      </c>
      <c r="C2919" s="72" t="str">
        <f>IFERROR(VLOOKUP("UD",'Informacion '!P:Q,2,FALSE),"")</f>
        <v>Unidad</v>
      </c>
      <c r="D2919" s="39">
        <v>1</v>
      </c>
      <c r="E2919" s="42">
        <v>88875</v>
      </c>
      <c r="F2919" s="41">
        <f t="shared" ca="1" si="124"/>
        <v>88875</v>
      </c>
    </row>
    <row r="2920" spans="1:10" ht="14.25" customHeight="1" x14ac:dyDescent="0.35">
      <c r="E2920" s="44" t="s">
        <v>13122</v>
      </c>
      <c r="F2920" s="45">
        <f ca="1">SUM(Table136[MONTO TOTAL ESTIMADO])</f>
        <v>3142014</v>
      </c>
      <c r="H2920" s="24" t="str">
        <f>C2867</f>
        <v>Servicios</v>
      </c>
      <c r="I2920" s="24" t="str">
        <f>E2867</f>
        <v>Sí</v>
      </c>
      <c r="J2920" s="24" t="str">
        <f>D2867</f>
        <v>Compras por debajo del Umbral</v>
      </c>
    </row>
    <row r="2922" spans="1:10" ht="34" customHeight="1" x14ac:dyDescent="0.35">
      <c r="A2922" s="36" t="s">
        <v>17105</v>
      </c>
      <c r="B2922" s="36" t="s">
        <v>167</v>
      </c>
      <c r="C2922" s="36" t="s">
        <v>12252</v>
      </c>
      <c r="D2922" s="36" t="s">
        <v>15021</v>
      </c>
      <c r="E2922" s="36" t="s">
        <v>11455</v>
      </c>
      <c r="F2922" s="36" t="s">
        <v>11595</v>
      </c>
    </row>
    <row r="2923" spans="1:10" ht="14.25" customHeight="1" x14ac:dyDescent="0.35">
      <c r="A2923" s="37" t="s">
        <v>8852</v>
      </c>
      <c r="B2923" s="37" t="s">
        <v>8852</v>
      </c>
      <c r="C2923" s="37" t="s">
        <v>7109</v>
      </c>
      <c r="D2923" s="37" t="s">
        <v>18256</v>
      </c>
      <c r="E2923" s="37" t="s">
        <v>9261</v>
      </c>
      <c r="F2923" s="37"/>
    </row>
    <row r="2924" spans="1:10" ht="14.25" customHeight="1" x14ac:dyDescent="0.35">
      <c r="A2924" s="75" t="s">
        <v>15490</v>
      </c>
      <c r="B2924" s="38" t="s">
        <v>8918</v>
      </c>
      <c r="C2924" s="68">
        <v>45334</v>
      </c>
      <c r="D2924" s="75" t="s">
        <v>9819</v>
      </c>
      <c r="E2924" s="70" t="s">
        <v>13683</v>
      </c>
      <c r="F2924" s="71" t="s">
        <v>3205</v>
      </c>
    </row>
    <row r="2925" spans="1:10" ht="14.25" customHeight="1" x14ac:dyDescent="0.35">
      <c r="A2925" s="76"/>
      <c r="B2925" s="38" t="s">
        <v>1858</v>
      </c>
      <c r="C2925" s="69">
        <f>IF(C2924="","",IF(AND(MONTH(C2924)&gt;=1,MONTH(C2924)&lt;=3),1,IF(AND(MONTH(C2924)&gt;=4,MONTH(C2924)&lt;=6),2,IF(AND(MONTH(C2924)&gt;=7,MONTH(C2924)&lt;=9),3,4))))</f>
        <v>1</v>
      </c>
      <c r="D2925" s="76"/>
      <c r="E2925" s="70" t="s">
        <v>2509</v>
      </c>
      <c r="F2925" s="71" t="s">
        <v>11612</v>
      </c>
    </row>
    <row r="2926" spans="1:10" ht="14.25" customHeight="1" x14ac:dyDescent="0.35">
      <c r="A2926" s="76"/>
      <c r="B2926" s="38" t="s">
        <v>13526</v>
      </c>
      <c r="C2926" s="68">
        <v>45377</v>
      </c>
      <c r="D2926" s="76"/>
      <c r="E2926" s="70" t="s">
        <v>3198</v>
      </c>
      <c r="F2926" s="71" t="s">
        <v>11612</v>
      </c>
    </row>
    <row r="2927" spans="1:10" ht="14.25" customHeight="1" x14ac:dyDescent="0.35">
      <c r="A2927" s="76"/>
      <c r="B2927" s="38" t="s">
        <v>1858</v>
      </c>
      <c r="C2927" s="69">
        <f>IF(C2926="","",IF(AND(MONTH(C2926)&gt;=1,MONTH(C2926)&lt;=3),1,IF(AND(MONTH(C2926)&gt;=4,MONTH(C2926)&lt;=6),2,IF(AND(MONTH(C2926)&gt;=7,MONTH(C2926)&lt;=9),3,4))))</f>
        <v>1</v>
      </c>
      <c r="D2927" s="76"/>
      <c r="E2927" s="70" t="s">
        <v>13785</v>
      </c>
      <c r="F2927" s="71"/>
    </row>
    <row r="2929" spans="1:10" ht="14.25" customHeight="1" x14ac:dyDescent="0.35">
      <c r="A2929" s="43" t="s">
        <v>16424</v>
      </c>
      <c r="B2929" s="43" t="s">
        <v>16856</v>
      </c>
      <c r="C2929" s="43" t="s">
        <v>16326</v>
      </c>
      <c r="D2929" s="43" t="s">
        <v>15925</v>
      </c>
      <c r="E2929" s="43" t="s">
        <v>7248</v>
      </c>
      <c r="F2929" s="43" t="s">
        <v>15955</v>
      </c>
    </row>
    <row r="2930" spans="1:10" ht="14.25" customHeight="1" x14ac:dyDescent="0.35">
      <c r="A2930" s="39" t="s">
        <v>17683</v>
      </c>
      <c r="B2930" s="40" t="str">
        <f ca="1">IFERROR(INDEX(UNSPSCDes,MATCH(INDIRECT(ADDRESS(ROW(),COLUMN()-1,4)),UNSPSCCode,0)),IF(INDIRECT(ADDRESS(ROW(),COLUMN()-1,4))="90111501","Hoteles",""))</f>
        <v>Hoteles</v>
      </c>
      <c r="C2930" s="72" t="str">
        <f>IFERROR(VLOOKUP("UD",'Informacion '!P:Q,2,FALSE),"")</f>
        <v>Unidad</v>
      </c>
      <c r="D2930" s="39">
        <v>1</v>
      </c>
      <c r="E2930" s="42">
        <v>354000</v>
      </c>
      <c r="F2930" s="41">
        <f ca="1">INDIRECT(ADDRESS(ROW(),COLUMN()-2,4))*INDIRECT(ADDRESS(ROW(),COLUMN()-1,4))</f>
        <v>354000</v>
      </c>
    </row>
    <row r="2931" spans="1:10" ht="14.25" customHeight="1" x14ac:dyDescent="0.35">
      <c r="A2931" s="39" t="s">
        <v>17683</v>
      </c>
      <c r="B2931" s="40" t="str">
        <f ca="1">IFERROR(INDEX(UNSPSCDes,MATCH(INDIRECT(ADDRESS(ROW(),COLUMN()-1,4)),UNSPSCCode,0)),IF(INDIRECT(ADDRESS(ROW(),COLUMN()-1,4))="90111501","Hoteles",""))</f>
        <v>Hoteles</v>
      </c>
      <c r="C2931" s="72" t="str">
        <f>IFERROR(VLOOKUP("UD",'Informacion '!P:Q,2,FALSE),"")</f>
        <v>Unidad</v>
      </c>
      <c r="D2931" s="39">
        <v>1</v>
      </c>
      <c r="E2931" s="42">
        <v>354000</v>
      </c>
      <c r="F2931" s="41">
        <f ca="1">INDIRECT(ADDRESS(ROW(),COLUMN()-2,4))*INDIRECT(ADDRESS(ROW(),COLUMN()-1,4))</f>
        <v>354000</v>
      </c>
    </row>
    <row r="2932" spans="1:10" ht="14.25" customHeight="1" x14ac:dyDescent="0.35">
      <c r="A2932" s="39" t="s">
        <v>17683</v>
      </c>
      <c r="B2932" s="40" t="str">
        <f ca="1">IFERROR(INDEX(UNSPSCDes,MATCH(INDIRECT(ADDRESS(ROW(),COLUMN()-1,4)),UNSPSCCode,0)),IF(INDIRECT(ADDRESS(ROW(),COLUMN()-1,4))="90111501","Hoteles",""))</f>
        <v>Hoteles</v>
      </c>
      <c r="C2932" s="72" t="str">
        <f>IFERROR(VLOOKUP("UD",'Informacion '!P:Q,2,FALSE),"")</f>
        <v>Unidad</v>
      </c>
      <c r="D2932" s="39">
        <v>5</v>
      </c>
      <c r="E2932" s="42">
        <v>354000</v>
      </c>
      <c r="F2932" s="41">
        <f ca="1">INDIRECT(ADDRESS(ROW(),COLUMN()-2,4))*INDIRECT(ADDRESS(ROW(),COLUMN()-1,4))</f>
        <v>1770000</v>
      </c>
    </row>
    <row r="2933" spans="1:10" ht="14.25" customHeight="1" x14ac:dyDescent="0.35">
      <c r="A2933" s="39" t="s">
        <v>4758</v>
      </c>
      <c r="B2933" s="40" t="str">
        <f ca="1">IFERROR(INDEX(UNSPSCDes,MATCH(INDIRECT(ADDRESS(ROW(),COLUMN()-1,4)),UNSPSCCode,0)),IF(INDIRECT(ADDRESS(ROW(),COLUMN()-1,4))="90111503","Hospedajes de cama y desayuno",""))</f>
        <v>Hospedajes de cama y desayuno</v>
      </c>
      <c r="C2933" s="72" t="str">
        <f>IFERROR(VLOOKUP("UD",'Informacion '!P:Q,2,FALSE),"")</f>
        <v>Unidad</v>
      </c>
      <c r="D2933" s="39">
        <v>3</v>
      </c>
      <c r="E2933" s="42">
        <v>48951</v>
      </c>
      <c r="F2933" s="41">
        <f ca="1">INDIRECT(ADDRESS(ROW(),COLUMN()-2,4))*INDIRECT(ADDRESS(ROW(),COLUMN()-1,4))</f>
        <v>146853</v>
      </c>
    </row>
    <row r="2934" spans="1:10" ht="14.25" customHeight="1" x14ac:dyDescent="0.35">
      <c r="E2934" s="44" t="s">
        <v>13122</v>
      </c>
      <c r="F2934" s="45">
        <f ca="1">SUM(Table137[MONTO TOTAL ESTIMADO])</f>
        <v>2624853</v>
      </c>
      <c r="H2934" s="24" t="str">
        <f>C2923</f>
        <v>Servicios</v>
      </c>
      <c r="I2934" s="24" t="str">
        <f>E2923</f>
        <v>Sí</v>
      </c>
      <c r="J2934" s="24" t="str">
        <f>D2923</f>
        <v>Compras Menores</v>
      </c>
    </row>
    <row r="2936" spans="1:10" ht="34" customHeight="1" x14ac:dyDescent="0.35">
      <c r="A2936" s="36" t="s">
        <v>17105</v>
      </c>
      <c r="B2936" s="36" t="s">
        <v>167</v>
      </c>
      <c r="C2936" s="36" t="s">
        <v>12252</v>
      </c>
      <c r="D2936" s="36" t="s">
        <v>15021</v>
      </c>
      <c r="E2936" s="36" t="s">
        <v>11455</v>
      </c>
      <c r="F2936" s="36" t="s">
        <v>11595</v>
      </c>
    </row>
    <row r="2937" spans="1:10" ht="14.25" customHeight="1" x14ac:dyDescent="0.35">
      <c r="A2937" s="37" t="s">
        <v>8852</v>
      </c>
      <c r="B2937" s="37" t="s">
        <v>8852</v>
      </c>
      <c r="C2937" s="37" t="s">
        <v>7109</v>
      </c>
      <c r="D2937" s="37" t="s">
        <v>18256</v>
      </c>
      <c r="E2937" s="37" t="s">
        <v>9261</v>
      </c>
      <c r="F2937" s="37" t="s">
        <v>7088</v>
      </c>
    </row>
    <row r="2938" spans="1:10" ht="14.25" customHeight="1" x14ac:dyDescent="0.35">
      <c r="A2938" s="75" t="s">
        <v>15490</v>
      </c>
      <c r="B2938" s="38" t="s">
        <v>8918</v>
      </c>
      <c r="C2938" s="68">
        <v>45383</v>
      </c>
      <c r="D2938" s="75" t="s">
        <v>9819</v>
      </c>
      <c r="E2938" s="70" t="s">
        <v>13683</v>
      </c>
      <c r="F2938" s="71" t="s">
        <v>3205</v>
      </c>
    </row>
    <row r="2939" spans="1:10" ht="14.25" customHeight="1" x14ac:dyDescent="0.35">
      <c r="A2939" s="76"/>
      <c r="B2939" s="38" t="s">
        <v>1858</v>
      </c>
      <c r="C2939" s="69">
        <f>IF(C2938="","",IF(AND(MONTH(C2938)&gt;=1,MONTH(C2938)&lt;=3),1,IF(AND(MONTH(C2938)&gt;=4,MONTH(C2938)&lt;=6),2,IF(AND(MONTH(C2938)&gt;=7,MONTH(C2938)&lt;=9),3,4))))</f>
        <v>2</v>
      </c>
      <c r="D2939" s="76"/>
      <c r="E2939" s="70" t="s">
        <v>2509</v>
      </c>
      <c r="F2939" s="71" t="s">
        <v>11612</v>
      </c>
    </row>
    <row r="2940" spans="1:10" ht="14.25" customHeight="1" x14ac:dyDescent="0.35">
      <c r="A2940" s="76"/>
      <c r="B2940" s="38" t="s">
        <v>13526</v>
      </c>
      <c r="C2940" s="68">
        <v>45471</v>
      </c>
      <c r="D2940" s="76"/>
      <c r="E2940" s="70" t="s">
        <v>3198</v>
      </c>
      <c r="F2940" s="71" t="s">
        <v>11612</v>
      </c>
    </row>
    <row r="2941" spans="1:10" ht="14.25" customHeight="1" x14ac:dyDescent="0.35">
      <c r="A2941" s="76"/>
      <c r="B2941" s="38" t="s">
        <v>1858</v>
      </c>
      <c r="C2941" s="69">
        <f>IF(C2940="","",IF(AND(MONTH(C2940)&gt;=1,MONTH(C2940)&lt;=3),1,IF(AND(MONTH(C2940)&gt;=4,MONTH(C2940)&lt;=6),2,IF(AND(MONTH(C2940)&gt;=7,MONTH(C2940)&lt;=9),3,4))))</f>
        <v>2</v>
      </c>
      <c r="D2941" s="76"/>
      <c r="E2941" s="70" t="s">
        <v>13785</v>
      </c>
      <c r="F2941" s="71"/>
    </row>
    <row r="2943" spans="1:10" ht="14.25" customHeight="1" x14ac:dyDescent="0.35">
      <c r="A2943" s="43" t="s">
        <v>16424</v>
      </c>
      <c r="B2943" s="43" t="s">
        <v>16856</v>
      </c>
      <c r="C2943" s="43" t="s">
        <v>16326</v>
      </c>
      <c r="D2943" s="43" t="s">
        <v>15925</v>
      </c>
      <c r="E2943" s="43" t="s">
        <v>7248</v>
      </c>
      <c r="F2943" s="43" t="s">
        <v>15955</v>
      </c>
    </row>
    <row r="2944" spans="1:10" ht="14.25" customHeight="1" x14ac:dyDescent="0.35">
      <c r="A2944" s="39" t="s">
        <v>17683</v>
      </c>
      <c r="B2944" s="40" t="str">
        <f ca="1">IFERROR(INDEX(UNSPSCDes,MATCH(INDIRECT(ADDRESS(ROW(),COLUMN()-1,4)),UNSPSCCode,0)),IF(INDIRECT(ADDRESS(ROW(),COLUMN()-1,4))="90111501","Hoteles",""))</f>
        <v>Hoteles</v>
      </c>
      <c r="C2944" s="72" t="str">
        <f>IFERROR(VLOOKUP("UD",'Informacion '!P:Q,2,FALSE),"")</f>
        <v>Unidad</v>
      </c>
      <c r="D2944" s="39">
        <v>1</v>
      </c>
      <c r="E2944" s="42">
        <v>354000</v>
      </c>
      <c r="F2944" s="41">
        <f ca="1">INDIRECT(ADDRESS(ROW(),COLUMN()-2,4))*INDIRECT(ADDRESS(ROW(),COLUMN()-1,4))</f>
        <v>354000</v>
      </c>
    </row>
    <row r="2945" spans="1:10" ht="14.25" customHeight="1" x14ac:dyDescent="0.35">
      <c r="A2945" s="39" t="s">
        <v>17683</v>
      </c>
      <c r="B2945" s="40" t="str">
        <f ca="1">IFERROR(INDEX(UNSPSCDes,MATCH(INDIRECT(ADDRESS(ROW(),COLUMN()-1,4)),UNSPSCCode,0)),IF(INDIRECT(ADDRESS(ROW(),COLUMN()-1,4))="90111501","Hoteles",""))</f>
        <v>Hoteles</v>
      </c>
      <c r="C2945" s="72" t="str">
        <f>IFERROR(VLOOKUP("UD",'Informacion '!P:Q,2,FALSE),"")</f>
        <v>Unidad</v>
      </c>
      <c r="D2945" s="39">
        <v>5</v>
      </c>
      <c r="E2945" s="42">
        <v>354000</v>
      </c>
      <c r="F2945" s="41">
        <f ca="1">INDIRECT(ADDRESS(ROW(),COLUMN()-2,4))*INDIRECT(ADDRESS(ROW(),COLUMN()-1,4))</f>
        <v>1770000</v>
      </c>
    </row>
    <row r="2946" spans="1:10" ht="14.25" customHeight="1" x14ac:dyDescent="0.35">
      <c r="A2946" s="39" t="s">
        <v>4758</v>
      </c>
      <c r="B2946" s="40" t="str">
        <f ca="1">IFERROR(INDEX(UNSPSCDes,MATCH(INDIRECT(ADDRESS(ROW(),COLUMN()-1,4)),UNSPSCCode,0)),IF(INDIRECT(ADDRESS(ROW(),COLUMN()-1,4))="90111503","Hospedajes de cama y desayuno",""))</f>
        <v>Hospedajes de cama y desayuno</v>
      </c>
      <c r="C2946" s="72" t="str">
        <f>IFERROR(VLOOKUP("UD",'Informacion '!P:Q,2,FALSE),"")</f>
        <v>Unidad</v>
      </c>
      <c r="D2946" s="39">
        <v>6</v>
      </c>
      <c r="E2946" s="42">
        <v>48951</v>
      </c>
      <c r="F2946" s="41">
        <f ca="1">INDIRECT(ADDRESS(ROW(),COLUMN()-2,4))*INDIRECT(ADDRESS(ROW(),COLUMN()-1,4))</f>
        <v>293706</v>
      </c>
    </row>
    <row r="2947" spans="1:10" ht="14.25" customHeight="1" x14ac:dyDescent="0.35">
      <c r="E2947" s="44" t="s">
        <v>13122</v>
      </c>
      <c r="F2947" s="45">
        <f ca="1">SUM(Table138[MONTO TOTAL ESTIMADO])</f>
        <v>2417706</v>
      </c>
      <c r="H2947" s="24" t="str">
        <f>C2937</f>
        <v>Servicios</v>
      </c>
      <c r="I2947" s="24" t="str">
        <f>E2937</f>
        <v>Sí</v>
      </c>
      <c r="J2947" s="24" t="str">
        <f>D2937</f>
        <v>Compras Menores</v>
      </c>
    </row>
    <row r="2949" spans="1:10" ht="34" customHeight="1" x14ac:dyDescent="0.35">
      <c r="A2949" s="36" t="s">
        <v>17105</v>
      </c>
      <c r="B2949" s="36" t="s">
        <v>167</v>
      </c>
      <c r="C2949" s="36" t="s">
        <v>12252</v>
      </c>
      <c r="D2949" s="36" t="s">
        <v>15021</v>
      </c>
      <c r="E2949" s="36" t="s">
        <v>11455</v>
      </c>
      <c r="F2949" s="36" t="s">
        <v>11595</v>
      </c>
    </row>
    <row r="2950" spans="1:10" ht="14.25" customHeight="1" x14ac:dyDescent="0.35">
      <c r="A2950" s="37" t="s">
        <v>8852</v>
      </c>
      <c r="B2950" s="37" t="s">
        <v>8852</v>
      </c>
      <c r="C2950" s="37" t="s">
        <v>7109</v>
      </c>
      <c r="D2950" s="37" t="s">
        <v>18256</v>
      </c>
      <c r="E2950" s="37" t="s">
        <v>9261</v>
      </c>
      <c r="F2950" s="37" t="s">
        <v>7088</v>
      </c>
    </row>
    <row r="2951" spans="1:10" ht="14.25" customHeight="1" x14ac:dyDescent="0.35">
      <c r="A2951" s="75" t="s">
        <v>15490</v>
      </c>
      <c r="B2951" s="38" t="s">
        <v>8918</v>
      </c>
      <c r="C2951" s="68">
        <v>45474</v>
      </c>
      <c r="D2951" s="75" t="s">
        <v>9819</v>
      </c>
      <c r="E2951" s="70" t="s">
        <v>13683</v>
      </c>
      <c r="F2951" s="71" t="s">
        <v>3205</v>
      </c>
    </row>
    <row r="2952" spans="1:10" ht="14.25" customHeight="1" x14ac:dyDescent="0.35">
      <c r="A2952" s="76"/>
      <c r="B2952" s="38" t="s">
        <v>1858</v>
      </c>
      <c r="C2952" s="69">
        <f>IF(C2951="","",IF(AND(MONTH(C2951)&gt;=1,MONTH(C2951)&lt;=3),1,IF(AND(MONTH(C2951)&gt;=4,MONTH(C2951)&lt;=6),2,IF(AND(MONTH(C2951)&gt;=7,MONTH(C2951)&lt;=9),3,4))))</f>
        <v>3</v>
      </c>
      <c r="D2952" s="76"/>
      <c r="E2952" s="70" t="s">
        <v>2509</v>
      </c>
      <c r="F2952" s="71" t="s">
        <v>11612</v>
      </c>
    </row>
    <row r="2953" spans="1:10" ht="14.25" customHeight="1" x14ac:dyDescent="0.35">
      <c r="A2953" s="76"/>
      <c r="B2953" s="38" t="s">
        <v>13526</v>
      </c>
      <c r="C2953" s="68">
        <v>45565</v>
      </c>
      <c r="D2953" s="76"/>
      <c r="E2953" s="70" t="s">
        <v>3198</v>
      </c>
      <c r="F2953" s="71" t="s">
        <v>11612</v>
      </c>
    </row>
    <row r="2954" spans="1:10" ht="14.25" customHeight="1" x14ac:dyDescent="0.35">
      <c r="A2954" s="76"/>
      <c r="B2954" s="38" t="s">
        <v>1858</v>
      </c>
      <c r="C2954" s="69">
        <f>IF(C2953="","",IF(AND(MONTH(C2953)&gt;=1,MONTH(C2953)&lt;=3),1,IF(AND(MONTH(C2953)&gt;=4,MONTH(C2953)&lt;=6),2,IF(AND(MONTH(C2953)&gt;=7,MONTH(C2953)&lt;=9),3,4))))</f>
        <v>3</v>
      </c>
      <c r="D2954" s="76"/>
      <c r="E2954" s="70" t="s">
        <v>13785</v>
      </c>
      <c r="F2954" s="71"/>
    </row>
    <row r="2956" spans="1:10" ht="14.25" customHeight="1" x14ac:dyDescent="0.35">
      <c r="A2956" s="43" t="s">
        <v>16424</v>
      </c>
      <c r="B2956" s="43" t="s">
        <v>16856</v>
      </c>
      <c r="C2956" s="43" t="s">
        <v>16326</v>
      </c>
      <c r="D2956" s="43" t="s">
        <v>15925</v>
      </c>
      <c r="E2956" s="43" t="s">
        <v>7248</v>
      </c>
      <c r="F2956" s="43" t="s">
        <v>15955</v>
      </c>
    </row>
    <row r="2957" spans="1:10" ht="14.25" customHeight="1" x14ac:dyDescent="0.35">
      <c r="A2957" s="39" t="s">
        <v>17683</v>
      </c>
      <c r="B2957" s="40" t="str">
        <f ca="1">IFERROR(INDEX(UNSPSCDes,MATCH(INDIRECT(ADDRESS(ROW(),COLUMN()-1,4)),UNSPSCCode,0)),IF(INDIRECT(ADDRESS(ROW(),COLUMN()-1,4))="90111501","Hoteles",""))</f>
        <v>Hoteles</v>
      </c>
      <c r="C2957" s="72" t="str">
        <f>IFERROR(VLOOKUP("UD",'Informacion '!P:Q,2,FALSE),"")</f>
        <v>Unidad</v>
      </c>
      <c r="D2957" s="39">
        <v>1</v>
      </c>
      <c r="E2957" s="42">
        <v>354000</v>
      </c>
      <c r="F2957" s="41">
        <f ca="1">INDIRECT(ADDRESS(ROW(),COLUMN()-2,4))*INDIRECT(ADDRESS(ROW(),COLUMN()-1,4))</f>
        <v>354000</v>
      </c>
    </row>
    <row r="2958" spans="1:10" ht="14.25" customHeight="1" x14ac:dyDescent="0.35">
      <c r="A2958" s="39" t="s">
        <v>17683</v>
      </c>
      <c r="B2958" s="40" t="str">
        <f ca="1">IFERROR(INDEX(UNSPSCDes,MATCH(INDIRECT(ADDRESS(ROW(),COLUMN()-1,4)),UNSPSCCode,0)),IF(INDIRECT(ADDRESS(ROW(),COLUMN()-1,4))="90111501","Hoteles",""))</f>
        <v>Hoteles</v>
      </c>
      <c r="C2958" s="72" t="str">
        <f>IFERROR(VLOOKUP("UD",'Informacion '!P:Q,2,FALSE),"")</f>
        <v>Unidad</v>
      </c>
      <c r="D2958" s="39">
        <v>1</v>
      </c>
      <c r="E2958" s="42">
        <v>354000</v>
      </c>
      <c r="F2958" s="41">
        <f ca="1">INDIRECT(ADDRESS(ROW(),COLUMN()-2,4))*INDIRECT(ADDRESS(ROW(),COLUMN()-1,4))</f>
        <v>354000</v>
      </c>
    </row>
    <row r="2959" spans="1:10" ht="14.25" customHeight="1" x14ac:dyDescent="0.35">
      <c r="A2959" s="39" t="s">
        <v>4758</v>
      </c>
      <c r="B2959" s="40" t="str">
        <f ca="1">IFERROR(INDEX(UNSPSCDes,MATCH(INDIRECT(ADDRESS(ROW(),COLUMN()-1,4)),UNSPSCCode,0)),IF(INDIRECT(ADDRESS(ROW(),COLUMN()-1,4))="90111503","Hospedajes de cama y desayuno",""))</f>
        <v>Hospedajes de cama y desayuno</v>
      </c>
      <c r="C2959" s="72" t="str">
        <f>IFERROR(VLOOKUP("UD",'Informacion '!P:Q,2,FALSE),"")</f>
        <v>Unidad</v>
      </c>
      <c r="D2959" s="39">
        <v>3</v>
      </c>
      <c r="E2959" s="42">
        <v>48951</v>
      </c>
      <c r="F2959" s="41">
        <f ca="1">INDIRECT(ADDRESS(ROW(),COLUMN()-2,4))*INDIRECT(ADDRESS(ROW(),COLUMN()-1,4))</f>
        <v>146853</v>
      </c>
    </row>
    <row r="2960" spans="1:10" ht="14.25" customHeight="1" x14ac:dyDescent="0.35">
      <c r="E2960" s="44" t="s">
        <v>13122</v>
      </c>
      <c r="F2960" s="45">
        <f ca="1">SUM(Table139[MONTO TOTAL ESTIMADO])</f>
        <v>854853</v>
      </c>
      <c r="H2960" s="24" t="str">
        <f>C2950</f>
        <v>Servicios</v>
      </c>
      <c r="I2960" s="24" t="str">
        <f>E2950</f>
        <v>Sí</v>
      </c>
      <c r="J2960" s="24" t="str">
        <f>D2950</f>
        <v>Compras Menores</v>
      </c>
    </row>
    <row r="2962" spans="1:10" ht="34" customHeight="1" x14ac:dyDescent="0.35">
      <c r="A2962" s="36" t="s">
        <v>17105</v>
      </c>
      <c r="B2962" s="36" t="s">
        <v>167</v>
      </c>
      <c r="C2962" s="36" t="s">
        <v>12252</v>
      </c>
      <c r="D2962" s="36" t="s">
        <v>15021</v>
      </c>
      <c r="E2962" s="36" t="s">
        <v>11455</v>
      </c>
      <c r="F2962" s="36" t="s">
        <v>11595</v>
      </c>
    </row>
    <row r="2963" spans="1:10" ht="14.25" customHeight="1" x14ac:dyDescent="0.35">
      <c r="A2963" s="37" t="s">
        <v>8852</v>
      </c>
      <c r="B2963" s="37" t="s">
        <v>8852</v>
      </c>
      <c r="C2963" s="37" t="s">
        <v>7109</v>
      </c>
      <c r="D2963" s="37" t="s">
        <v>18256</v>
      </c>
      <c r="E2963" s="37" t="s">
        <v>9261</v>
      </c>
      <c r="F2963" s="37" t="s">
        <v>7088</v>
      </c>
    </row>
    <row r="2964" spans="1:10" ht="14.25" customHeight="1" x14ac:dyDescent="0.35">
      <c r="A2964" s="75" t="s">
        <v>15490</v>
      </c>
      <c r="B2964" s="38" t="s">
        <v>8918</v>
      </c>
      <c r="C2964" s="68">
        <v>45566</v>
      </c>
      <c r="D2964" s="75" t="s">
        <v>9819</v>
      </c>
      <c r="E2964" s="70" t="s">
        <v>13683</v>
      </c>
      <c r="F2964" s="71" t="s">
        <v>3205</v>
      </c>
    </row>
    <row r="2965" spans="1:10" ht="14.25" customHeight="1" x14ac:dyDescent="0.35">
      <c r="A2965" s="76"/>
      <c r="B2965" s="38" t="s">
        <v>1858</v>
      </c>
      <c r="C2965" s="69">
        <f>IF(C2964="","",IF(AND(MONTH(C2964)&gt;=1,MONTH(C2964)&lt;=3),1,IF(AND(MONTH(C2964)&gt;=4,MONTH(C2964)&lt;=6),2,IF(AND(MONTH(C2964)&gt;=7,MONTH(C2964)&lt;=9),3,4))))</f>
        <v>4</v>
      </c>
      <c r="D2965" s="76"/>
      <c r="E2965" s="70" t="s">
        <v>2509</v>
      </c>
      <c r="F2965" s="71" t="s">
        <v>11612</v>
      </c>
    </row>
    <row r="2966" spans="1:10" ht="14.25" customHeight="1" x14ac:dyDescent="0.35">
      <c r="A2966" s="76"/>
      <c r="B2966" s="38" t="s">
        <v>13526</v>
      </c>
      <c r="C2966" s="68">
        <v>45657</v>
      </c>
      <c r="D2966" s="76"/>
      <c r="E2966" s="70" t="s">
        <v>3198</v>
      </c>
      <c r="F2966" s="71" t="s">
        <v>11612</v>
      </c>
    </row>
    <row r="2967" spans="1:10" ht="14.25" customHeight="1" x14ac:dyDescent="0.35">
      <c r="A2967" s="76"/>
      <c r="B2967" s="38" t="s">
        <v>1858</v>
      </c>
      <c r="C2967" s="69">
        <f>IF(C2966="","",IF(AND(MONTH(C2966)&gt;=1,MONTH(C2966)&lt;=3),1,IF(AND(MONTH(C2966)&gt;=4,MONTH(C2966)&lt;=6),2,IF(AND(MONTH(C2966)&gt;=7,MONTH(C2966)&lt;=9),3,4))))</f>
        <v>4</v>
      </c>
      <c r="D2967" s="76"/>
      <c r="E2967" s="70" t="s">
        <v>13785</v>
      </c>
      <c r="F2967" s="71"/>
    </row>
    <row r="2969" spans="1:10" ht="14.25" customHeight="1" x14ac:dyDescent="0.35">
      <c r="A2969" s="43" t="s">
        <v>16424</v>
      </c>
      <c r="B2969" s="43" t="s">
        <v>16856</v>
      </c>
      <c r="C2969" s="43" t="s">
        <v>16326</v>
      </c>
      <c r="D2969" s="43" t="s">
        <v>15925</v>
      </c>
      <c r="E2969" s="43" t="s">
        <v>7248</v>
      </c>
      <c r="F2969" s="43" t="s">
        <v>15955</v>
      </c>
    </row>
    <row r="2970" spans="1:10" ht="14.25" customHeight="1" x14ac:dyDescent="0.35">
      <c r="A2970" s="39" t="s">
        <v>17683</v>
      </c>
      <c r="B2970" s="40" t="str">
        <f ca="1">IFERROR(INDEX(UNSPSCDes,MATCH(INDIRECT(ADDRESS(ROW(),COLUMN()-1,4)),UNSPSCCode,0)),IF(INDIRECT(ADDRESS(ROW(),COLUMN()-1,4))="90111501","Hoteles",""))</f>
        <v>Hoteles</v>
      </c>
      <c r="C2970" s="72" t="str">
        <f>IFERROR(VLOOKUP("UD",'Informacion '!P:Q,2,FALSE),"")</f>
        <v>Unidad</v>
      </c>
      <c r="D2970" s="39">
        <v>1</v>
      </c>
      <c r="E2970" s="42">
        <v>354000</v>
      </c>
      <c r="F2970" s="41">
        <f ca="1">INDIRECT(ADDRESS(ROW(),COLUMN()-2,4))*INDIRECT(ADDRESS(ROW(),COLUMN()-1,4))</f>
        <v>354000</v>
      </c>
    </row>
    <row r="2971" spans="1:10" ht="14.25" customHeight="1" x14ac:dyDescent="0.35">
      <c r="A2971" s="39" t="s">
        <v>4758</v>
      </c>
      <c r="B2971" s="40" t="str">
        <f ca="1">IFERROR(INDEX(UNSPSCDes,MATCH(INDIRECT(ADDRESS(ROW(),COLUMN()-1,4)),UNSPSCCode,0)),IF(INDIRECT(ADDRESS(ROW(),COLUMN()-1,4))="90111503","Hospedajes de cama y desayuno",""))</f>
        <v>Hospedajes de cama y desayuno</v>
      </c>
      <c r="C2971" s="72" t="str">
        <f>IFERROR(VLOOKUP("UD",'Informacion '!P:Q,2,FALSE),"")</f>
        <v>Unidad</v>
      </c>
      <c r="D2971" s="39">
        <v>6</v>
      </c>
      <c r="E2971" s="42">
        <v>48951</v>
      </c>
      <c r="F2971" s="41">
        <f ca="1">INDIRECT(ADDRESS(ROW(),COLUMN()-2,4))*INDIRECT(ADDRESS(ROW(),COLUMN()-1,4))</f>
        <v>293706</v>
      </c>
    </row>
    <row r="2972" spans="1:10" ht="14.25" customHeight="1" x14ac:dyDescent="0.35">
      <c r="E2972" s="44" t="s">
        <v>13122</v>
      </c>
      <c r="F2972" s="45">
        <f ca="1">SUM(Table140[MONTO TOTAL ESTIMADO])</f>
        <v>647706</v>
      </c>
      <c r="H2972" s="24" t="str">
        <f>C2963</f>
        <v>Servicios</v>
      </c>
      <c r="I2972" s="24" t="str">
        <f>E2963</f>
        <v>Sí</v>
      </c>
      <c r="J2972" s="24" t="str">
        <f>D2963</f>
        <v>Compras Menores</v>
      </c>
    </row>
    <row r="2974" spans="1:10" ht="34" customHeight="1" x14ac:dyDescent="0.35">
      <c r="A2974" s="36" t="s">
        <v>17105</v>
      </c>
      <c r="B2974" s="36" t="s">
        <v>167</v>
      </c>
      <c r="C2974" s="36" t="s">
        <v>12252</v>
      </c>
      <c r="D2974" s="36" t="s">
        <v>15021</v>
      </c>
      <c r="E2974" s="36" t="s">
        <v>11455</v>
      </c>
      <c r="F2974" s="36" t="s">
        <v>11595</v>
      </c>
    </row>
    <row r="2975" spans="1:10" ht="14.25" customHeight="1" x14ac:dyDescent="0.35">
      <c r="A2975" s="37" t="s">
        <v>16578</v>
      </c>
      <c r="B2975" s="37" t="s">
        <v>16578</v>
      </c>
      <c r="C2975" s="37" t="s">
        <v>7109</v>
      </c>
      <c r="D2975" s="37" t="s">
        <v>10634</v>
      </c>
      <c r="E2975" s="37" t="s">
        <v>9261</v>
      </c>
      <c r="F2975" s="37" t="s">
        <v>7088</v>
      </c>
    </row>
    <row r="2976" spans="1:10" ht="14.25" customHeight="1" x14ac:dyDescent="0.35">
      <c r="A2976" s="75" t="s">
        <v>15490</v>
      </c>
      <c r="B2976" s="38" t="s">
        <v>8918</v>
      </c>
      <c r="C2976" s="68">
        <v>45334</v>
      </c>
      <c r="D2976" s="75" t="s">
        <v>9819</v>
      </c>
      <c r="E2976" s="70" t="s">
        <v>13683</v>
      </c>
      <c r="F2976" s="71" t="s">
        <v>3205</v>
      </c>
    </row>
    <row r="2977" spans="1:10" ht="14.25" customHeight="1" x14ac:dyDescent="0.35">
      <c r="A2977" s="76"/>
      <c r="B2977" s="38" t="s">
        <v>1858</v>
      </c>
      <c r="C2977" s="69">
        <f>IF(C2976="","",IF(AND(MONTH(C2976)&gt;=1,MONTH(C2976)&lt;=3),1,IF(AND(MONTH(C2976)&gt;=4,MONTH(C2976)&lt;=6),2,IF(AND(MONTH(C2976)&gt;=7,MONTH(C2976)&lt;=9),3,4))))</f>
        <v>1</v>
      </c>
      <c r="D2977" s="76"/>
      <c r="E2977" s="70" t="s">
        <v>2509</v>
      </c>
      <c r="F2977" s="71" t="s">
        <v>11612</v>
      </c>
    </row>
    <row r="2978" spans="1:10" ht="14.25" customHeight="1" x14ac:dyDescent="0.35">
      <c r="A2978" s="76"/>
      <c r="B2978" s="38" t="s">
        <v>13526</v>
      </c>
      <c r="C2978" s="68">
        <v>45378</v>
      </c>
      <c r="D2978" s="76"/>
      <c r="E2978" s="70" t="s">
        <v>3198</v>
      </c>
      <c r="F2978" s="71" t="s">
        <v>11612</v>
      </c>
    </row>
    <row r="2979" spans="1:10" ht="14.25" customHeight="1" x14ac:dyDescent="0.35">
      <c r="A2979" s="76"/>
      <c r="B2979" s="38" t="s">
        <v>1858</v>
      </c>
      <c r="C2979" s="69">
        <f>IF(C2978="","",IF(AND(MONTH(C2978)&gt;=1,MONTH(C2978)&lt;=3),1,IF(AND(MONTH(C2978)&gt;=4,MONTH(C2978)&lt;=6),2,IF(AND(MONTH(C2978)&gt;=7,MONTH(C2978)&lt;=9),3,4))))</f>
        <v>1</v>
      </c>
      <c r="D2979" s="76"/>
      <c r="E2979" s="70" t="s">
        <v>13785</v>
      </c>
      <c r="F2979" s="71"/>
    </row>
    <row r="2981" spans="1:10" ht="14.25" customHeight="1" x14ac:dyDescent="0.35">
      <c r="A2981" s="43" t="s">
        <v>16424</v>
      </c>
      <c r="B2981" s="43" t="s">
        <v>16856</v>
      </c>
      <c r="C2981" s="43" t="s">
        <v>16326</v>
      </c>
      <c r="D2981" s="43" t="s">
        <v>15925</v>
      </c>
      <c r="E2981" s="43" t="s">
        <v>7248</v>
      </c>
      <c r="F2981" s="43" t="s">
        <v>15955</v>
      </c>
    </row>
    <row r="2982" spans="1:10" ht="14.25" customHeight="1" x14ac:dyDescent="0.35">
      <c r="A2982" s="39" t="s">
        <v>9125</v>
      </c>
      <c r="B2982" s="40" t="str">
        <f ca="1">IFERROR(INDEX(UNSPSCDes,MATCH(INDIRECT(ADDRESS(ROW(),COLUMN()-1,4)),UNSPSCCode,0)),IF(INDIRECT(ADDRESS(ROW(),COLUMN()-1,4))="90141603","Servicios de promoción de eventos deportivos",""))</f>
        <v>Servicios de promoción de eventos deportivos</v>
      </c>
      <c r="C2982" s="72" t="str">
        <f>IFERROR(VLOOKUP("UD",'Informacion '!P:Q,2,FALSE),"")</f>
        <v>Unidad</v>
      </c>
      <c r="D2982" s="39">
        <v>4</v>
      </c>
      <c r="E2982" s="42">
        <v>75000</v>
      </c>
      <c r="F2982" s="41">
        <f ca="1">INDIRECT(ADDRESS(ROW(),COLUMN()-2,4))*INDIRECT(ADDRESS(ROW(),COLUMN()-1,4))</f>
        <v>300000</v>
      </c>
    </row>
    <row r="2983" spans="1:10" ht="14.25" customHeight="1" x14ac:dyDescent="0.35">
      <c r="E2983" s="44" t="s">
        <v>13122</v>
      </c>
      <c r="F2983" s="45">
        <f ca="1">SUM(Table141[MONTO TOTAL ESTIMADO])</f>
        <v>300000</v>
      </c>
      <c r="H2983" s="24" t="str">
        <f>C2975</f>
        <v>Servicios</v>
      </c>
      <c r="I2983" s="24" t="str">
        <f>E2975</f>
        <v>Sí</v>
      </c>
      <c r="J2983" s="24" t="str">
        <f>D2975</f>
        <v>Compras por debajo del Umbral</v>
      </c>
    </row>
    <row r="2985" spans="1:10" ht="34" customHeight="1" x14ac:dyDescent="0.35">
      <c r="A2985" s="36" t="s">
        <v>17105</v>
      </c>
      <c r="B2985" s="36" t="s">
        <v>167</v>
      </c>
      <c r="C2985" s="36" t="s">
        <v>12252</v>
      </c>
      <c r="D2985" s="36" t="s">
        <v>15021</v>
      </c>
      <c r="E2985" s="36" t="s">
        <v>11455</v>
      </c>
      <c r="F2985" s="36" t="s">
        <v>11595</v>
      </c>
    </row>
    <row r="2986" spans="1:10" ht="14.25" customHeight="1" x14ac:dyDescent="0.35">
      <c r="A2986" s="37" t="s">
        <v>3774</v>
      </c>
      <c r="B2986" s="37" t="s">
        <v>3774</v>
      </c>
      <c r="C2986" s="37" t="s">
        <v>7109</v>
      </c>
      <c r="D2986" s="37" t="s">
        <v>18256</v>
      </c>
      <c r="E2986" s="37" t="s">
        <v>9261</v>
      </c>
      <c r="F2986" s="37" t="s">
        <v>7088</v>
      </c>
    </row>
    <row r="2987" spans="1:10" ht="14.25" customHeight="1" x14ac:dyDescent="0.35">
      <c r="A2987" s="75" t="s">
        <v>15490</v>
      </c>
      <c r="B2987" s="38" t="s">
        <v>8918</v>
      </c>
      <c r="C2987" s="68">
        <v>45383</v>
      </c>
      <c r="D2987" s="75" t="s">
        <v>9819</v>
      </c>
      <c r="E2987" s="70" t="s">
        <v>13683</v>
      </c>
      <c r="F2987" s="71" t="s">
        <v>3205</v>
      </c>
    </row>
    <row r="2988" spans="1:10" ht="14.25" customHeight="1" x14ac:dyDescent="0.35">
      <c r="A2988" s="76"/>
      <c r="B2988" s="38" t="s">
        <v>1858</v>
      </c>
      <c r="C2988" s="69">
        <f>IF(C2987="","",IF(AND(MONTH(C2987)&gt;=1,MONTH(C2987)&lt;=3),1,IF(AND(MONTH(C2987)&gt;=4,MONTH(C2987)&lt;=6),2,IF(AND(MONTH(C2987)&gt;=7,MONTH(C2987)&lt;=9),3,4))))</f>
        <v>2</v>
      </c>
      <c r="D2988" s="76"/>
      <c r="E2988" s="70" t="s">
        <v>2509</v>
      </c>
      <c r="F2988" s="71" t="s">
        <v>11612</v>
      </c>
    </row>
    <row r="2989" spans="1:10" ht="14.25" customHeight="1" x14ac:dyDescent="0.35">
      <c r="A2989" s="76"/>
      <c r="B2989" s="38" t="s">
        <v>13526</v>
      </c>
      <c r="C2989" s="68">
        <v>45471</v>
      </c>
      <c r="D2989" s="76"/>
      <c r="E2989" s="70" t="s">
        <v>3198</v>
      </c>
      <c r="F2989" s="71" t="s">
        <v>11612</v>
      </c>
    </row>
    <row r="2990" spans="1:10" ht="14.25" customHeight="1" x14ac:dyDescent="0.35">
      <c r="A2990" s="76"/>
      <c r="B2990" s="38" t="s">
        <v>1858</v>
      </c>
      <c r="C2990" s="69">
        <f>IF(C2989="","",IF(AND(MONTH(C2989)&gt;=1,MONTH(C2989)&lt;=3),1,IF(AND(MONTH(C2989)&gt;=4,MONTH(C2989)&lt;=6),2,IF(AND(MONTH(C2989)&gt;=7,MONTH(C2989)&lt;=9),3,4))))</f>
        <v>2</v>
      </c>
      <c r="D2990" s="76"/>
      <c r="E2990" s="70" t="s">
        <v>13785</v>
      </c>
      <c r="F2990" s="71"/>
    </row>
    <row r="2992" spans="1:10" ht="14.25" customHeight="1" x14ac:dyDescent="0.35">
      <c r="A2992" s="43" t="s">
        <v>16424</v>
      </c>
      <c r="B2992" s="43" t="s">
        <v>16856</v>
      </c>
      <c r="C2992" s="43" t="s">
        <v>16326</v>
      </c>
      <c r="D2992" s="43" t="s">
        <v>15925</v>
      </c>
      <c r="E2992" s="43" t="s">
        <v>7248</v>
      </c>
      <c r="F2992" s="43" t="s">
        <v>15955</v>
      </c>
    </row>
    <row r="2993" spans="1:10" ht="14.25" customHeight="1" x14ac:dyDescent="0.35">
      <c r="A2993" s="39" t="s">
        <v>7303</v>
      </c>
      <c r="B2993" s="40" t="str">
        <f ca="1">IFERROR(INDEX(UNSPSCDes,MATCH(INDIRECT(ADDRESS(ROW(),COLUMN()-1,4)),UNSPSCCode,0)),IF(INDIRECT(ADDRESS(ROW(),COLUMN()-1,4))="92101702","Servicios de campamentos o instalaciones para jóvenes",""))</f>
        <v>Servicios de campamentos o instalaciones para jóvenes</v>
      </c>
      <c r="C2993" s="72" t="str">
        <f>IFERROR(VLOOKUP("UD",'Informacion '!P:Q,2,FALSE),"")</f>
        <v>Unidad</v>
      </c>
      <c r="D2993" s="39">
        <v>1</v>
      </c>
      <c r="E2993" s="42">
        <v>2511099</v>
      </c>
      <c r="F2993" s="41">
        <f ca="1">INDIRECT(ADDRESS(ROW(),COLUMN()-2,4))*INDIRECT(ADDRESS(ROW(),COLUMN()-1,4))</f>
        <v>2511099</v>
      </c>
    </row>
    <row r="2994" spans="1:10" ht="14.25" customHeight="1" x14ac:dyDescent="0.35">
      <c r="E2994" s="44" t="s">
        <v>13122</v>
      </c>
      <c r="F2994" s="45">
        <f ca="1">SUM(Table142[MONTO TOTAL ESTIMADO])</f>
        <v>2511099</v>
      </c>
      <c r="H2994" s="24" t="str">
        <f>C2986</f>
        <v>Servicios</v>
      </c>
      <c r="I2994" s="24" t="str">
        <f>E2986</f>
        <v>Sí</v>
      </c>
      <c r="J2994" s="24" t="str">
        <f>D2986</f>
        <v>Compras Menores</v>
      </c>
    </row>
    <row r="2996" spans="1:10" ht="34" customHeight="1" x14ac:dyDescent="0.35">
      <c r="A2996" s="36" t="s">
        <v>17105</v>
      </c>
      <c r="B2996" s="36" t="s">
        <v>167</v>
      </c>
      <c r="C2996" s="36" t="s">
        <v>12252</v>
      </c>
      <c r="D2996" s="36" t="s">
        <v>15021</v>
      </c>
      <c r="E2996" s="36" t="s">
        <v>11455</v>
      </c>
      <c r="F2996" s="36" t="s">
        <v>11595</v>
      </c>
    </row>
    <row r="2997" spans="1:10" ht="14.25" customHeight="1" x14ac:dyDescent="0.35">
      <c r="A2997" s="37" t="s">
        <v>9678</v>
      </c>
      <c r="B2997" s="37" t="s">
        <v>9678</v>
      </c>
      <c r="C2997" s="37" t="s">
        <v>7109</v>
      </c>
      <c r="D2997" s="37" t="s">
        <v>10634</v>
      </c>
      <c r="E2997" s="37" t="s">
        <v>9261</v>
      </c>
      <c r="F2997" s="37" t="s">
        <v>7088</v>
      </c>
    </row>
    <row r="2998" spans="1:10" ht="14.25" customHeight="1" x14ac:dyDescent="0.35">
      <c r="A2998" s="75" t="s">
        <v>15490</v>
      </c>
      <c r="B2998" s="38" t="s">
        <v>8918</v>
      </c>
      <c r="C2998" s="68">
        <v>45383</v>
      </c>
      <c r="D2998" s="75" t="s">
        <v>9819</v>
      </c>
      <c r="E2998" s="70" t="s">
        <v>13683</v>
      </c>
      <c r="F2998" s="71" t="s">
        <v>3205</v>
      </c>
    </row>
    <row r="2999" spans="1:10" ht="14.25" customHeight="1" x14ac:dyDescent="0.35">
      <c r="A2999" s="76"/>
      <c r="B2999" s="38" t="s">
        <v>1858</v>
      </c>
      <c r="C2999" s="69">
        <f>IF(C2998="","",IF(AND(MONTH(C2998)&gt;=1,MONTH(C2998)&lt;=3),1,IF(AND(MONTH(C2998)&gt;=4,MONTH(C2998)&lt;=6),2,IF(AND(MONTH(C2998)&gt;=7,MONTH(C2998)&lt;=9),3,4))))</f>
        <v>2</v>
      </c>
      <c r="D2999" s="76"/>
      <c r="E2999" s="70" t="s">
        <v>2509</v>
      </c>
      <c r="F2999" s="71" t="s">
        <v>11612</v>
      </c>
    </row>
    <row r="3000" spans="1:10" ht="14.25" customHeight="1" x14ac:dyDescent="0.35">
      <c r="A3000" s="76"/>
      <c r="B3000" s="38" t="s">
        <v>13526</v>
      </c>
      <c r="C3000" s="68">
        <v>45471</v>
      </c>
      <c r="D3000" s="76"/>
      <c r="E3000" s="70" t="s">
        <v>3198</v>
      </c>
      <c r="F3000" s="71" t="s">
        <v>11612</v>
      </c>
    </row>
    <row r="3001" spans="1:10" ht="14.25" customHeight="1" x14ac:dyDescent="0.35">
      <c r="A3001" s="76"/>
      <c r="B3001" s="38" t="s">
        <v>1858</v>
      </c>
      <c r="C3001" s="69">
        <f>IF(C3000="","",IF(AND(MONTH(C3000)&gt;=1,MONTH(C3000)&lt;=3),1,IF(AND(MONTH(C3000)&gt;=4,MONTH(C3000)&lt;=6),2,IF(AND(MONTH(C3000)&gt;=7,MONTH(C3000)&lt;=9),3,4))))</f>
        <v>2</v>
      </c>
      <c r="D3001" s="76"/>
      <c r="E3001" s="70" t="s">
        <v>13785</v>
      </c>
      <c r="F3001" s="71"/>
    </row>
    <row r="3003" spans="1:10" ht="14.25" customHeight="1" x14ac:dyDescent="0.35">
      <c r="A3003" s="43" t="s">
        <v>16424</v>
      </c>
      <c r="B3003" s="43" t="s">
        <v>16856</v>
      </c>
      <c r="C3003" s="43" t="s">
        <v>16326</v>
      </c>
      <c r="D3003" s="43" t="s">
        <v>15925</v>
      </c>
      <c r="E3003" s="43" t="s">
        <v>7248</v>
      </c>
      <c r="F3003" s="43" t="s">
        <v>15955</v>
      </c>
    </row>
    <row r="3004" spans="1:10" ht="14.25" customHeight="1" x14ac:dyDescent="0.35">
      <c r="A3004" s="39" t="s">
        <v>18400</v>
      </c>
      <c r="B3004" s="40" t="str">
        <f ca="1">IFERROR(INDEX(UNSPSCDes,MATCH(INDIRECT(ADDRESS(ROW(),COLUMN()-1,4)),UNSPSCCode,0)),IF(INDIRECT(ADDRESS(ROW(),COLUMN()-1,4))="92121702","Mantenimiento o monitoreo de alarmas contra incendios",""))</f>
        <v>Mantenimiento o monitoreo de alarmas contra incendios</v>
      </c>
      <c r="C3004" s="72" t="str">
        <f>IFERROR(VLOOKUP("UD",'Informacion '!P:Q,2,FALSE),"")</f>
        <v>Unidad</v>
      </c>
      <c r="D3004" s="39">
        <v>1</v>
      </c>
      <c r="E3004" s="42">
        <v>200000</v>
      </c>
      <c r="F3004" s="41">
        <f ca="1">INDIRECT(ADDRESS(ROW(),COLUMN()-2,4))*INDIRECT(ADDRESS(ROW(),COLUMN()-1,4))</f>
        <v>200000</v>
      </c>
    </row>
    <row r="3005" spans="1:10" ht="14.25" customHeight="1" x14ac:dyDescent="0.35">
      <c r="E3005" s="44" t="s">
        <v>13122</v>
      </c>
      <c r="F3005" s="45">
        <f ca="1">SUM(Table143[MONTO TOTAL ESTIMADO])</f>
        <v>200000</v>
      </c>
      <c r="H3005" s="24" t="str">
        <f>C2997</f>
        <v>Servicios</v>
      </c>
      <c r="I3005" s="24" t="str">
        <f>E2997</f>
        <v>Sí</v>
      </c>
      <c r="J3005" s="24" t="str">
        <f>D2997</f>
        <v>Compras por debajo del Umbral</v>
      </c>
    </row>
    <row r="3007" spans="1:10" ht="34" customHeight="1" x14ac:dyDescent="0.35">
      <c r="A3007" s="36" t="s">
        <v>17105</v>
      </c>
      <c r="B3007" s="36" t="s">
        <v>167</v>
      </c>
      <c r="C3007" s="36" t="s">
        <v>12252</v>
      </c>
      <c r="D3007" s="36" t="s">
        <v>15021</v>
      </c>
      <c r="E3007" s="36" t="s">
        <v>11455</v>
      </c>
      <c r="F3007" s="36" t="s">
        <v>11595</v>
      </c>
    </row>
    <row r="3008" spans="1:10" ht="14.25" customHeight="1" x14ac:dyDescent="0.35">
      <c r="A3008" s="37" t="s">
        <v>2108</v>
      </c>
      <c r="B3008" s="37" t="s">
        <v>2108</v>
      </c>
      <c r="C3008" s="37" t="s">
        <v>7109</v>
      </c>
      <c r="D3008" s="37" t="s">
        <v>10634</v>
      </c>
      <c r="E3008" s="37" t="s">
        <v>9261</v>
      </c>
      <c r="F3008" s="37" t="s">
        <v>7088</v>
      </c>
    </row>
    <row r="3009" spans="1:10" ht="14.25" customHeight="1" x14ac:dyDescent="0.35">
      <c r="A3009" s="75" t="s">
        <v>15490</v>
      </c>
      <c r="B3009" s="38" t="s">
        <v>8918</v>
      </c>
      <c r="C3009" s="68">
        <v>45474</v>
      </c>
      <c r="D3009" s="75" t="s">
        <v>9819</v>
      </c>
      <c r="E3009" s="70" t="s">
        <v>13683</v>
      </c>
      <c r="F3009" s="71" t="s">
        <v>3205</v>
      </c>
    </row>
    <row r="3010" spans="1:10" ht="14.25" customHeight="1" x14ac:dyDescent="0.35">
      <c r="A3010" s="76"/>
      <c r="B3010" s="38" t="s">
        <v>1858</v>
      </c>
      <c r="C3010" s="69">
        <f>IF(C3009="","",IF(AND(MONTH(C3009)&gt;=1,MONTH(C3009)&lt;=3),1,IF(AND(MONTH(C3009)&gt;=4,MONTH(C3009)&lt;=6),2,IF(AND(MONTH(C3009)&gt;=7,MONTH(C3009)&lt;=9),3,4))))</f>
        <v>3</v>
      </c>
      <c r="D3010" s="76"/>
      <c r="E3010" s="70" t="s">
        <v>2509</v>
      </c>
      <c r="F3010" s="71" t="s">
        <v>11612</v>
      </c>
    </row>
    <row r="3011" spans="1:10" ht="14.25" customHeight="1" x14ac:dyDescent="0.35">
      <c r="A3011" s="76"/>
      <c r="B3011" s="38" t="s">
        <v>13526</v>
      </c>
      <c r="C3011" s="68">
        <v>45565</v>
      </c>
      <c r="D3011" s="76"/>
      <c r="E3011" s="70" t="s">
        <v>3198</v>
      </c>
      <c r="F3011" s="71" t="s">
        <v>11612</v>
      </c>
    </row>
    <row r="3012" spans="1:10" ht="14.25" customHeight="1" x14ac:dyDescent="0.35">
      <c r="A3012" s="76"/>
      <c r="B3012" s="38" t="s">
        <v>1858</v>
      </c>
      <c r="C3012" s="69">
        <f>IF(C3011="","",IF(AND(MONTH(C3011)&gt;=1,MONTH(C3011)&lt;=3),1,IF(AND(MONTH(C3011)&gt;=4,MONTH(C3011)&lt;=6),2,IF(AND(MONTH(C3011)&gt;=7,MONTH(C3011)&lt;=9),3,4))))</f>
        <v>3</v>
      </c>
      <c r="D3012" s="76"/>
      <c r="E3012" s="70" t="s">
        <v>13785</v>
      </c>
      <c r="F3012" s="71"/>
    </row>
    <row r="3014" spans="1:10" ht="14.25" customHeight="1" x14ac:dyDescent="0.35">
      <c r="A3014" s="43" t="s">
        <v>16424</v>
      </c>
      <c r="B3014" s="43" t="s">
        <v>16856</v>
      </c>
      <c r="C3014" s="43" t="s">
        <v>16326</v>
      </c>
      <c r="D3014" s="43" t="s">
        <v>15925</v>
      </c>
      <c r="E3014" s="43" t="s">
        <v>7248</v>
      </c>
      <c r="F3014" s="43" t="s">
        <v>15955</v>
      </c>
    </row>
    <row r="3015" spans="1:10" ht="14.25" customHeight="1" x14ac:dyDescent="0.35">
      <c r="A3015" s="39" t="s">
        <v>18106</v>
      </c>
      <c r="B3015" s="40" t="str">
        <f ca="1">IFERROR(INDEX(UNSPSCDes,MATCH(INDIRECT(ADDRESS(ROW(),COLUMN()-1,4)),UNSPSCCode,0)),IF(INDIRECT(ADDRESS(ROW(),COLUMN()-1,4))="82121702","Servicios de copias a color o de cotejo",""))</f>
        <v>Servicios de copias a color o de cotejo</v>
      </c>
      <c r="C3015" s="72" t="str">
        <f>IFERROR(VLOOKUP("UD",'Informacion '!P:Q,2,FALSE),"")</f>
        <v>Unidad</v>
      </c>
      <c r="D3015" s="39">
        <v>600</v>
      </c>
      <c r="E3015" s="42">
        <v>11.75</v>
      </c>
      <c r="F3015" s="41">
        <f ca="1">INDIRECT(ADDRESS(ROW(),COLUMN()-2,4))*INDIRECT(ADDRESS(ROW(),COLUMN()-1,4))</f>
        <v>7050</v>
      </c>
    </row>
    <row r="3016" spans="1:10" ht="14.25" customHeight="1" x14ac:dyDescent="0.35">
      <c r="E3016" s="44" t="s">
        <v>13122</v>
      </c>
      <c r="F3016" s="45">
        <f ca="1">SUM(Table144[MONTO TOTAL ESTIMADO])</f>
        <v>7050</v>
      </c>
      <c r="H3016" s="24" t="str">
        <f>C3008</f>
        <v>Servicios</v>
      </c>
      <c r="I3016" s="24" t="str">
        <f>E3008</f>
        <v>Sí</v>
      </c>
      <c r="J3016" s="24" t="str">
        <f>D3008</f>
        <v>Compras por debajo del Umbral</v>
      </c>
    </row>
    <row r="3018" spans="1:10" ht="34" customHeight="1" x14ac:dyDescent="0.35">
      <c r="A3018" s="36" t="s">
        <v>17105</v>
      </c>
      <c r="B3018" s="36" t="s">
        <v>167</v>
      </c>
      <c r="C3018" s="36" t="s">
        <v>12252</v>
      </c>
      <c r="D3018" s="36" t="s">
        <v>15021</v>
      </c>
      <c r="E3018" s="36" t="s">
        <v>11455</v>
      </c>
      <c r="F3018" s="36" t="s">
        <v>11595</v>
      </c>
    </row>
    <row r="3019" spans="1:10" ht="14.25" customHeight="1" x14ac:dyDescent="0.35">
      <c r="A3019" s="37" t="s">
        <v>2108</v>
      </c>
      <c r="B3019" s="37" t="s">
        <v>2108</v>
      </c>
      <c r="C3019" s="37" t="s">
        <v>7109</v>
      </c>
      <c r="D3019" s="37" t="s">
        <v>10634</v>
      </c>
      <c r="E3019" s="37" t="s">
        <v>9261</v>
      </c>
      <c r="F3019" s="37" t="s">
        <v>7088</v>
      </c>
    </row>
    <row r="3020" spans="1:10" ht="14.25" customHeight="1" x14ac:dyDescent="0.35">
      <c r="A3020" s="75" t="s">
        <v>15490</v>
      </c>
      <c r="B3020" s="38" t="s">
        <v>8918</v>
      </c>
      <c r="C3020" s="68">
        <v>45566</v>
      </c>
      <c r="D3020" s="75" t="s">
        <v>9819</v>
      </c>
      <c r="E3020" s="70" t="s">
        <v>13683</v>
      </c>
      <c r="F3020" s="71" t="s">
        <v>3205</v>
      </c>
    </row>
    <row r="3021" spans="1:10" ht="14.25" customHeight="1" x14ac:dyDescent="0.35">
      <c r="A3021" s="76"/>
      <c r="B3021" s="38" t="s">
        <v>1858</v>
      </c>
      <c r="C3021" s="69">
        <f>IF(C3020="","",IF(AND(MONTH(C3020)&gt;=1,MONTH(C3020)&lt;=3),1,IF(AND(MONTH(C3020)&gt;=4,MONTH(C3020)&lt;=6),2,IF(AND(MONTH(C3020)&gt;=7,MONTH(C3020)&lt;=9),3,4))))</f>
        <v>4</v>
      </c>
      <c r="D3021" s="76"/>
      <c r="E3021" s="70" t="s">
        <v>2509</v>
      </c>
      <c r="F3021" s="71" t="s">
        <v>11612</v>
      </c>
    </row>
    <row r="3022" spans="1:10" ht="14.25" customHeight="1" x14ac:dyDescent="0.35">
      <c r="A3022" s="76"/>
      <c r="B3022" s="38" t="s">
        <v>13526</v>
      </c>
      <c r="C3022" s="68">
        <v>45657</v>
      </c>
      <c r="D3022" s="76"/>
      <c r="E3022" s="70" t="s">
        <v>3198</v>
      </c>
      <c r="F3022" s="71" t="s">
        <v>11612</v>
      </c>
    </row>
    <row r="3023" spans="1:10" ht="14.25" customHeight="1" x14ac:dyDescent="0.35">
      <c r="A3023" s="76"/>
      <c r="B3023" s="38" t="s">
        <v>1858</v>
      </c>
      <c r="C3023" s="69">
        <f>IF(C3022="","",IF(AND(MONTH(C3022)&gt;=1,MONTH(C3022)&lt;=3),1,IF(AND(MONTH(C3022)&gt;=4,MONTH(C3022)&lt;=6),2,IF(AND(MONTH(C3022)&gt;=7,MONTH(C3022)&lt;=9),3,4))))</f>
        <v>4</v>
      </c>
      <c r="D3023" s="76"/>
      <c r="E3023" s="70" t="s">
        <v>13785</v>
      </c>
      <c r="F3023" s="71"/>
    </row>
    <row r="3025" spans="1:10" ht="14.25" customHeight="1" x14ac:dyDescent="0.35">
      <c r="A3025" s="43" t="s">
        <v>16424</v>
      </c>
      <c r="B3025" s="43" t="s">
        <v>16856</v>
      </c>
      <c r="C3025" s="43" t="s">
        <v>16326</v>
      </c>
      <c r="D3025" s="43" t="s">
        <v>15925</v>
      </c>
      <c r="E3025" s="43" t="s">
        <v>7248</v>
      </c>
      <c r="F3025" s="43" t="s">
        <v>15955</v>
      </c>
    </row>
    <row r="3026" spans="1:10" ht="14.25" customHeight="1" x14ac:dyDescent="0.35">
      <c r="A3026" s="39" t="s">
        <v>18106</v>
      </c>
      <c r="B3026" s="40" t="str">
        <f ca="1">IFERROR(INDEX(UNSPSCDes,MATCH(INDIRECT(ADDRESS(ROW(),COLUMN()-1,4)),UNSPSCCode,0)),IF(INDIRECT(ADDRESS(ROW(),COLUMN()-1,4))="82121702","Servicios de copias a color o de cotejo",""))</f>
        <v>Servicios de copias a color o de cotejo</v>
      </c>
      <c r="C3026" s="72" t="str">
        <f>IFERROR(VLOOKUP("UD",'Informacion '!P:Q,2,FALSE),"")</f>
        <v>Unidad</v>
      </c>
      <c r="D3026" s="39">
        <v>600</v>
      </c>
      <c r="E3026" s="42">
        <v>11.75</v>
      </c>
      <c r="F3026" s="41">
        <f ca="1">INDIRECT(ADDRESS(ROW(),COLUMN()-2,4))*INDIRECT(ADDRESS(ROW(),COLUMN()-1,4))</f>
        <v>7050</v>
      </c>
    </row>
    <row r="3027" spans="1:10" ht="14.25" customHeight="1" x14ac:dyDescent="0.35">
      <c r="E3027" s="44" t="s">
        <v>13122</v>
      </c>
      <c r="F3027" s="45">
        <f ca="1">SUM(Table145[MONTO TOTAL ESTIMADO])</f>
        <v>7050</v>
      </c>
      <c r="H3027" s="24" t="str">
        <f>C3019</f>
        <v>Servicios</v>
      </c>
      <c r="I3027" s="24" t="str">
        <f>E3019</f>
        <v>Sí</v>
      </c>
      <c r="J3027" s="24" t="str">
        <f>D3019</f>
        <v>Compras por debajo del Umbral</v>
      </c>
    </row>
    <row r="3029" spans="1:10" ht="34" customHeight="1" x14ac:dyDescent="0.35">
      <c r="A3029" s="36" t="s">
        <v>17105</v>
      </c>
      <c r="B3029" s="36" t="s">
        <v>167</v>
      </c>
      <c r="C3029" s="36" t="s">
        <v>12252</v>
      </c>
      <c r="D3029" s="36" t="s">
        <v>15021</v>
      </c>
      <c r="E3029" s="36" t="s">
        <v>11455</v>
      </c>
      <c r="F3029" s="36" t="s">
        <v>11595</v>
      </c>
    </row>
    <row r="3030" spans="1:10" ht="14.25" customHeight="1" x14ac:dyDescent="0.35">
      <c r="A3030" s="37" t="s">
        <v>9718</v>
      </c>
      <c r="B3030" s="37" t="s">
        <v>3982</v>
      </c>
      <c r="C3030" s="37" t="s">
        <v>18585</v>
      </c>
      <c r="D3030" s="37" t="s">
        <v>10634</v>
      </c>
      <c r="E3030" s="37" t="s">
        <v>9261</v>
      </c>
      <c r="F3030" s="37" t="s">
        <v>7088</v>
      </c>
    </row>
    <row r="3031" spans="1:10" ht="14.25" customHeight="1" x14ac:dyDescent="0.35">
      <c r="A3031" s="75" t="s">
        <v>15490</v>
      </c>
      <c r="B3031" s="38" t="s">
        <v>8918</v>
      </c>
      <c r="C3031" s="68">
        <v>45383</v>
      </c>
      <c r="D3031" s="75" t="s">
        <v>9819</v>
      </c>
      <c r="E3031" s="70" t="s">
        <v>13683</v>
      </c>
      <c r="F3031" s="71" t="s">
        <v>3205</v>
      </c>
    </row>
    <row r="3032" spans="1:10" ht="14.25" customHeight="1" x14ac:dyDescent="0.35">
      <c r="A3032" s="76"/>
      <c r="B3032" s="38" t="s">
        <v>1858</v>
      </c>
      <c r="C3032" s="69">
        <f>IF(C3031="","",IF(AND(MONTH(C3031)&gt;=1,MONTH(C3031)&lt;=3),1,IF(AND(MONTH(C3031)&gt;=4,MONTH(C3031)&lt;=6),2,IF(AND(MONTH(C3031)&gt;=7,MONTH(C3031)&lt;=9),3,4))))</f>
        <v>2</v>
      </c>
      <c r="D3032" s="76"/>
      <c r="E3032" s="70" t="s">
        <v>2509</v>
      </c>
      <c r="F3032" s="71" t="s">
        <v>11612</v>
      </c>
    </row>
    <row r="3033" spans="1:10" ht="14.25" customHeight="1" x14ac:dyDescent="0.35">
      <c r="A3033" s="76"/>
      <c r="B3033" s="38" t="s">
        <v>13526</v>
      </c>
      <c r="C3033" s="68">
        <v>45471</v>
      </c>
      <c r="D3033" s="76"/>
      <c r="E3033" s="70" t="s">
        <v>3198</v>
      </c>
      <c r="F3033" s="71" t="s">
        <v>11612</v>
      </c>
    </row>
    <row r="3034" spans="1:10" ht="14.25" customHeight="1" x14ac:dyDescent="0.35">
      <c r="A3034" s="76"/>
      <c r="B3034" s="38" t="s">
        <v>1858</v>
      </c>
      <c r="C3034" s="69">
        <f>IF(C3033="","",IF(AND(MONTH(C3033)&gt;=1,MONTH(C3033)&lt;=3),1,IF(AND(MONTH(C3033)&gt;=4,MONTH(C3033)&lt;=6),2,IF(AND(MONTH(C3033)&gt;=7,MONTH(C3033)&lt;=9),3,4))))</f>
        <v>2</v>
      </c>
      <c r="D3034" s="76"/>
      <c r="E3034" s="70" t="s">
        <v>13785</v>
      </c>
      <c r="F3034" s="71"/>
    </row>
    <row r="3036" spans="1:10" ht="14.25" customHeight="1" x14ac:dyDescent="0.35">
      <c r="A3036" s="43" t="s">
        <v>16424</v>
      </c>
      <c r="B3036" s="43" t="s">
        <v>16856</v>
      </c>
      <c r="C3036" s="43" t="s">
        <v>16326</v>
      </c>
      <c r="D3036" s="43" t="s">
        <v>15925</v>
      </c>
      <c r="E3036" s="43" t="s">
        <v>7248</v>
      </c>
      <c r="F3036" s="43" t="s">
        <v>15955</v>
      </c>
    </row>
    <row r="3037" spans="1:10" ht="14.25" customHeight="1" x14ac:dyDescent="0.35">
      <c r="A3037" s="39" t="s">
        <v>9656</v>
      </c>
      <c r="B3037" s="40" t="str">
        <f ca="1">IFERROR(INDEX(UNSPSCDes,MATCH(INDIRECT(ADDRESS(ROW(),COLUMN()-1,4)),UNSPSCCode,0)),IF(INDIRECT(ADDRESS(ROW(),COLUMN()-1,4))="30201706","Aseos portátiles",""))</f>
        <v>Aseos portátiles</v>
      </c>
      <c r="C3037" s="72" t="str">
        <f>IFERROR(VLOOKUP("UD",'Informacion '!P:Q,2,FALSE),"")</f>
        <v>Unidad</v>
      </c>
      <c r="D3037" s="39">
        <v>4</v>
      </c>
      <c r="E3037" s="42">
        <v>9410.5</v>
      </c>
      <c r="F3037" s="41">
        <f ca="1">INDIRECT(ADDRESS(ROW(),COLUMN()-2,4))*INDIRECT(ADDRESS(ROW(),COLUMN()-1,4))</f>
        <v>37642</v>
      </c>
    </row>
    <row r="3038" spans="1:10" ht="14.25" customHeight="1" x14ac:dyDescent="0.35">
      <c r="E3038" s="44" t="s">
        <v>13122</v>
      </c>
      <c r="F3038" s="45">
        <f ca="1">SUM(Table146[MONTO TOTAL ESTIMADO])</f>
        <v>37642</v>
      </c>
      <c r="H3038" s="24" t="str">
        <f>C3030</f>
        <v>Bienes</v>
      </c>
      <c r="I3038" s="24" t="str">
        <f>E3030</f>
        <v>Sí</v>
      </c>
      <c r="J3038" s="24" t="str">
        <f>D3030</f>
        <v>Compras por debajo del Umbral</v>
      </c>
    </row>
    <row r="3040" spans="1:10" ht="34" customHeight="1" x14ac:dyDescent="0.35">
      <c r="A3040" s="36" t="s">
        <v>17105</v>
      </c>
      <c r="B3040" s="36" t="s">
        <v>167</v>
      </c>
      <c r="C3040" s="36" t="s">
        <v>12252</v>
      </c>
      <c r="D3040" s="36" t="s">
        <v>15021</v>
      </c>
      <c r="E3040" s="36" t="s">
        <v>11455</v>
      </c>
      <c r="F3040" s="36" t="s">
        <v>11595</v>
      </c>
    </row>
    <row r="3041" spans="1:10" ht="14.25" customHeight="1" x14ac:dyDescent="0.35">
      <c r="A3041" s="37" t="s">
        <v>9037</v>
      </c>
      <c r="B3041" s="37" t="s">
        <v>9037</v>
      </c>
      <c r="C3041" s="37" t="s">
        <v>7109</v>
      </c>
      <c r="D3041" s="37" t="s">
        <v>1950</v>
      </c>
      <c r="E3041" s="37" t="s">
        <v>9261</v>
      </c>
      <c r="F3041" s="37"/>
    </row>
    <row r="3042" spans="1:10" ht="14.25" customHeight="1" x14ac:dyDescent="0.35">
      <c r="A3042" s="75" t="s">
        <v>15490</v>
      </c>
      <c r="B3042" s="38" t="s">
        <v>8918</v>
      </c>
      <c r="C3042" s="68">
        <v>45333</v>
      </c>
      <c r="D3042" s="75" t="s">
        <v>9819</v>
      </c>
      <c r="E3042" s="70" t="s">
        <v>13683</v>
      </c>
      <c r="F3042" s="71" t="s">
        <v>3205</v>
      </c>
    </row>
    <row r="3043" spans="1:10" ht="14.25" customHeight="1" x14ac:dyDescent="0.35">
      <c r="A3043" s="76"/>
      <c r="B3043" s="38" t="s">
        <v>1858</v>
      </c>
      <c r="C3043" s="69">
        <f>IF(C3042="","",IF(AND(MONTH(C3042)&gt;=1,MONTH(C3042)&lt;=3),1,IF(AND(MONTH(C3042)&gt;=4,MONTH(C3042)&lt;=6),2,IF(AND(MONTH(C3042)&gt;=7,MONTH(C3042)&lt;=9),3,4))))</f>
        <v>1</v>
      </c>
      <c r="D3043" s="76"/>
      <c r="E3043" s="70" t="s">
        <v>2509</v>
      </c>
      <c r="F3043" s="71" t="s">
        <v>11612</v>
      </c>
    </row>
    <row r="3044" spans="1:10" ht="14.25" customHeight="1" x14ac:dyDescent="0.35">
      <c r="A3044" s="76"/>
      <c r="B3044" s="38" t="s">
        <v>13526</v>
      </c>
      <c r="C3044" s="68">
        <v>45377</v>
      </c>
      <c r="D3044" s="76"/>
      <c r="E3044" s="70" t="s">
        <v>3198</v>
      </c>
      <c r="F3044" s="71" t="s">
        <v>11612</v>
      </c>
    </row>
    <row r="3045" spans="1:10" ht="14.25" customHeight="1" x14ac:dyDescent="0.35">
      <c r="A3045" s="76"/>
      <c r="B3045" s="38" t="s">
        <v>1858</v>
      </c>
      <c r="C3045" s="69">
        <f>IF(C3044="","",IF(AND(MONTH(C3044)&gt;=1,MONTH(C3044)&lt;=3),1,IF(AND(MONTH(C3044)&gt;=4,MONTH(C3044)&lt;=6),2,IF(AND(MONTH(C3044)&gt;=7,MONTH(C3044)&lt;=9),3,4))))</f>
        <v>1</v>
      </c>
      <c r="D3045" s="76"/>
      <c r="E3045" s="70" t="s">
        <v>13785</v>
      </c>
      <c r="F3045" s="71"/>
    </row>
    <row r="3047" spans="1:10" ht="14.25" customHeight="1" x14ac:dyDescent="0.35">
      <c r="A3047" s="43" t="s">
        <v>16424</v>
      </c>
      <c r="B3047" s="43" t="s">
        <v>16856</v>
      </c>
      <c r="C3047" s="43" t="s">
        <v>16326</v>
      </c>
      <c r="D3047" s="43" t="s">
        <v>15925</v>
      </c>
      <c r="E3047" s="43" t="s">
        <v>7248</v>
      </c>
      <c r="F3047" s="43" t="s">
        <v>15955</v>
      </c>
    </row>
    <row r="3048" spans="1:10" ht="14.25" customHeight="1" x14ac:dyDescent="0.35">
      <c r="A3048" s="39" t="s">
        <v>10331</v>
      </c>
      <c r="B3048" s="40" t="str">
        <f ca="1">IFERROR(INDEX(UNSPSCDes,MATCH(INDIRECT(ADDRESS(ROW(),COLUMN()-1,4)),UNSPSCCode,0)),IF(INDIRECT(ADDRESS(ROW(),COLUMN()-1,4))="80141902","Reuniones y eventos",""))</f>
        <v>Reuniones y eventos</v>
      </c>
      <c r="C3048" s="72" t="str">
        <f>IFERROR(VLOOKUP("UD",'Informacion '!P:Q,2,FALSE),"")</f>
        <v>Unidad</v>
      </c>
      <c r="D3048" s="39">
        <v>12</v>
      </c>
      <c r="E3048" s="42">
        <v>366666.67</v>
      </c>
      <c r="F3048" s="41">
        <f ca="1">INDIRECT(ADDRESS(ROW(),COLUMN()-2,4))*INDIRECT(ADDRESS(ROW(),COLUMN()-1,4))</f>
        <v>4400000.04</v>
      </c>
    </row>
    <row r="3049" spans="1:10" ht="14.25" customHeight="1" x14ac:dyDescent="0.35">
      <c r="E3049" s="44" t="s">
        <v>13122</v>
      </c>
      <c r="F3049" s="45">
        <f ca="1">SUM(Table147[MONTO TOTAL ESTIMADO])</f>
        <v>4400000.04</v>
      </c>
      <c r="H3049" s="24" t="str">
        <f>C3041</f>
        <v>Servicios</v>
      </c>
      <c r="I3049" s="24" t="str">
        <f>E3041</f>
        <v>Sí</v>
      </c>
      <c r="J3049" s="24" t="str">
        <f>D3041</f>
        <v>Comparacion de Precios</v>
      </c>
    </row>
    <row r="3051" spans="1:10" ht="34" customHeight="1" x14ac:dyDescent="0.35">
      <c r="A3051" s="36" t="s">
        <v>17105</v>
      </c>
      <c r="B3051" s="36" t="s">
        <v>167</v>
      </c>
      <c r="C3051" s="36" t="s">
        <v>12252</v>
      </c>
      <c r="D3051" s="36" t="s">
        <v>15021</v>
      </c>
      <c r="E3051" s="36" t="s">
        <v>11455</v>
      </c>
      <c r="F3051" s="36" t="s">
        <v>11595</v>
      </c>
    </row>
    <row r="3052" spans="1:10" ht="14.25" customHeight="1" x14ac:dyDescent="0.35">
      <c r="A3052" s="37" t="s">
        <v>9037</v>
      </c>
      <c r="B3052" s="37" t="s">
        <v>9037</v>
      </c>
      <c r="C3052" s="37" t="s">
        <v>7109</v>
      </c>
      <c r="D3052" s="37" t="s">
        <v>1950</v>
      </c>
      <c r="E3052" s="37" t="s">
        <v>9261</v>
      </c>
      <c r="F3052" s="37" t="s">
        <v>7088</v>
      </c>
    </row>
    <row r="3053" spans="1:10" ht="14.25" customHeight="1" x14ac:dyDescent="0.35">
      <c r="A3053" s="75" t="s">
        <v>15490</v>
      </c>
      <c r="B3053" s="38" t="s">
        <v>8918</v>
      </c>
      <c r="C3053" s="68">
        <v>45474</v>
      </c>
      <c r="D3053" s="75" t="s">
        <v>9819</v>
      </c>
      <c r="E3053" s="70" t="s">
        <v>13683</v>
      </c>
      <c r="F3053" s="71" t="s">
        <v>3205</v>
      </c>
    </row>
    <row r="3054" spans="1:10" ht="14.25" customHeight="1" x14ac:dyDescent="0.35">
      <c r="A3054" s="76"/>
      <c r="B3054" s="38" t="s">
        <v>1858</v>
      </c>
      <c r="C3054" s="69">
        <f>IF(C3053="","",IF(AND(MONTH(C3053)&gt;=1,MONTH(C3053)&lt;=3),1,IF(AND(MONTH(C3053)&gt;=4,MONTH(C3053)&lt;=6),2,IF(AND(MONTH(C3053)&gt;=7,MONTH(C3053)&lt;=9),3,4))))</f>
        <v>3</v>
      </c>
      <c r="D3054" s="76"/>
      <c r="E3054" s="70" t="s">
        <v>2509</v>
      </c>
      <c r="F3054" s="71" t="s">
        <v>11612</v>
      </c>
    </row>
    <row r="3055" spans="1:10" ht="14.25" customHeight="1" x14ac:dyDescent="0.35">
      <c r="A3055" s="76"/>
      <c r="B3055" s="38" t="s">
        <v>13526</v>
      </c>
      <c r="C3055" s="68">
        <v>45565</v>
      </c>
      <c r="D3055" s="76"/>
      <c r="E3055" s="70" t="s">
        <v>3198</v>
      </c>
      <c r="F3055" s="71" t="s">
        <v>11612</v>
      </c>
    </row>
    <row r="3056" spans="1:10" ht="14.25" customHeight="1" x14ac:dyDescent="0.35">
      <c r="A3056" s="76"/>
      <c r="B3056" s="38" t="s">
        <v>1858</v>
      </c>
      <c r="C3056" s="69">
        <f>IF(C3055="","",IF(AND(MONTH(C3055)&gt;=1,MONTH(C3055)&lt;=3),1,IF(AND(MONTH(C3055)&gt;=4,MONTH(C3055)&lt;=6),2,IF(AND(MONTH(C3055)&gt;=7,MONTH(C3055)&lt;=9),3,4))))</f>
        <v>3</v>
      </c>
      <c r="D3056" s="76"/>
      <c r="E3056" s="70" t="s">
        <v>13785</v>
      </c>
      <c r="F3056" s="71"/>
    </row>
    <row r="3058" spans="1:10" ht="14.25" customHeight="1" x14ac:dyDescent="0.35">
      <c r="A3058" s="43" t="s">
        <v>16424</v>
      </c>
      <c r="B3058" s="43" t="s">
        <v>16856</v>
      </c>
      <c r="C3058" s="43" t="s">
        <v>16326</v>
      </c>
      <c r="D3058" s="43" t="s">
        <v>15925</v>
      </c>
      <c r="E3058" s="43" t="s">
        <v>7248</v>
      </c>
      <c r="F3058" s="43" t="s">
        <v>15955</v>
      </c>
    </row>
    <row r="3059" spans="1:10" ht="14.25" customHeight="1" x14ac:dyDescent="0.35">
      <c r="A3059" s="39" t="s">
        <v>10331</v>
      </c>
      <c r="B3059" s="40" t="str">
        <f ca="1">IFERROR(INDEX(UNSPSCDes,MATCH(INDIRECT(ADDRESS(ROW(),COLUMN()-1,4)),UNSPSCCode,0)),IF(INDIRECT(ADDRESS(ROW(),COLUMN()-1,4))="80141902","Reuniones y eventos",""))</f>
        <v>Reuniones y eventos</v>
      </c>
      <c r="C3059" s="72" t="str">
        <f>IFERROR(VLOOKUP("UD",'Informacion '!P:Q,2,FALSE),"")</f>
        <v>Unidad</v>
      </c>
      <c r="D3059" s="39">
        <v>1</v>
      </c>
      <c r="E3059" s="42">
        <v>428340</v>
      </c>
      <c r="F3059" s="41">
        <f ca="1">INDIRECT(ADDRESS(ROW(),COLUMN()-2,4))*INDIRECT(ADDRESS(ROW(),COLUMN()-1,4))</f>
        <v>428340</v>
      </c>
    </row>
    <row r="3060" spans="1:10" ht="14.25" customHeight="1" x14ac:dyDescent="0.35">
      <c r="E3060" s="44" t="s">
        <v>13122</v>
      </c>
      <c r="F3060" s="45">
        <f ca="1">SUM(Table148[MONTO TOTAL ESTIMADO])</f>
        <v>428340</v>
      </c>
      <c r="H3060" s="24" t="str">
        <f>C3052</f>
        <v>Servicios</v>
      </c>
      <c r="I3060" s="24" t="str">
        <f>E3052</f>
        <v>Sí</v>
      </c>
      <c r="J3060" s="24" t="str">
        <f>D3052</f>
        <v>Comparacion de Precios</v>
      </c>
    </row>
    <row r="3062" spans="1:10" ht="34" customHeight="1" x14ac:dyDescent="0.35">
      <c r="A3062" s="36" t="s">
        <v>17105</v>
      </c>
      <c r="B3062" s="36" t="s">
        <v>167</v>
      </c>
      <c r="C3062" s="36" t="s">
        <v>12252</v>
      </c>
      <c r="D3062" s="36" t="s">
        <v>15021</v>
      </c>
      <c r="E3062" s="36" t="s">
        <v>11455</v>
      </c>
      <c r="F3062" s="36" t="s">
        <v>11595</v>
      </c>
    </row>
    <row r="3063" spans="1:10" ht="14.25" customHeight="1" x14ac:dyDescent="0.35">
      <c r="A3063" s="37" t="s">
        <v>9037</v>
      </c>
      <c r="B3063" s="37" t="s">
        <v>9037</v>
      </c>
      <c r="C3063" s="37" t="s">
        <v>7109</v>
      </c>
      <c r="D3063" s="37" t="s">
        <v>1950</v>
      </c>
      <c r="E3063" s="37" t="s">
        <v>6314</v>
      </c>
      <c r="F3063" s="37" t="s">
        <v>7088</v>
      </c>
    </row>
    <row r="3064" spans="1:10" ht="14.25" customHeight="1" x14ac:dyDescent="0.35">
      <c r="A3064" s="75" t="s">
        <v>15490</v>
      </c>
      <c r="B3064" s="38" t="s">
        <v>8918</v>
      </c>
      <c r="C3064" s="68">
        <v>45566</v>
      </c>
      <c r="D3064" s="75" t="s">
        <v>9819</v>
      </c>
      <c r="E3064" s="70" t="s">
        <v>13683</v>
      </c>
      <c r="F3064" s="71" t="s">
        <v>3205</v>
      </c>
    </row>
    <row r="3065" spans="1:10" ht="14.25" customHeight="1" x14ac:dyDescent="0.35">
      <c r="A3065" s="76"/>
      <c r="B3065" s="38" t="s">
        <v>1858</v>
      </c>
      <c r="C3065" s="69">
        <f>IF(C3064="","",IF(AND(MONTH(C3064)&gt;=1,MONTH(C3064)&lt;=3),1,IF(AND(MONTH(C3064)&gt;=4,MONTH(C3064)&lt;=6),2,IF(AND(MONTH(C3064)&gt;=7,MONTH(C3064)&lt;=9),3,4))))</f>
        <v>4</v>
      </c>
      <c r="D3065" s="76"/>
      <c r="E3065" s="70" t="s">
        <v>2509</v>
      </c>
      <c r="F3065" s="71" t="s">
        <v>11612</v>
      </c>
    </row>
    <row r="3066" spans="1:10" ht="14.25" customHeight="1" x14ac:dyDescent="0.35">
      <c r="A3066" s="76"/>
      <c r="B3066" s="38" t="s">
        <v>13526</v>
      </c>
      <c r="C3066" s="68">
        <v>45657</v>
      </c>
      <c r="D3066" s="76"/>
      <c r="E3066" s="70" t="s">
        <v>3198</v>
      </c>
      <c r="F3066" s="71" t="s">
        <v>11612</v>
      </c>
    </row>
    <row r="3067" spans="1:10" ht="14.25" customHeight="1" x14ac:dyDescent="0.35">
      <c r="A3067" s="76"/>
      <c r="B3067" s="38" t="s">
        <v>1858</v>
      </c>
      <c r="C3067" s="69">
        <f>IF(C3066="","",IF(AND(MONTH(C3066)&gt;=1,MONTH(C3066)&lt;=3),1,IF(AND(MONTH(C3066)&gt;=4,MONTH(C3066)&lt;=6),2,IF(AND(MONTH(C3066)&gt;=7,MONTH(C3066)&lt;=9),3,4))))</f>
        <v>4</v>
      </c>
      <c r="D3067" s="76"/>
      <c r="E3067" s="70" t="s">
        <v>13785</v>
      </c>
      <c r="F3067" s="71"/>
    </row>
    <row r="3069" spans="1:10" ht="14.25" customHeight="1" x14ac:dyDescent="0.35">
      <c r="A3069" s="43" t="s">
        <v>16424</v>
      </c>
      <c r="B3069" s="43" t="s">
        <v>16856</v>
      </c>
      <c r="C3069" s="43" t="s">
        <v>16326</v>
      </c>
      <c r="D3069" s="43" t="s">
        <v>15925</v>
      </c>
      <c r="E3069" s="43" t="s">
        <v>7248</v>
      </c>
      <c r="F3069" s="43" t="s">
        <v>15955</v>
      </c>
    </row>
    <row r="3070" spans="1:10" ht="14.25" customHeight="1" x14ac:dyDescent="0.35">
      <c r="A3070" s="39" t="s">
        <v>10331</v>
      </c>
      <c r="B3070" s="40" t="str">
        <f ca="1">IFERROR(INDEX(UNSPSCDes,MATCH(INDIRECT(ADDRESS(ROW(),COLUMN()-1,4)),UNSPSCCode,0)),IF(INDIRECT(ADDRESS(ROW(),COLUMN()-1,4))="80141902","Reuniones y eventos",""))</f>
        <v>Reuniones y eventos</v>
      </c>
      <c r="C3070" s="72" t="str">
        <f>IFERROR(VLOOKUP("UD",'Informacion '!P:Q,2,FALSE),"")</f>
        <v>Unidad</v>
      </c>
      <c r="D3070" s="39">
        <v>1</v>
      </c>
      <c r="E3070" s="42">
        <v>2000000</v>
      </c>
      <c r="F3070" s="41">
        <f ca="1">INDIRECT(ADDRESS(ROW(),COLUMN()-2,4))*INDIRECT(ADDRESS(ROW(),COLUMN()-1,4))</f>
        <v>2000000</v>
      </c>
    </row>
    <row r="3071" spans="1:10" ht="14.25" customHeight="1" x14ac:dyDescent="0.35">
      <c r="E3071" s="44" t="s">
        <v>13122</v>
      </c>
      <c r="F3071" s="45">
        <f ca="1">SUM(Table149[MONTO TOTAL ESTIMADO])</f>
        <v>2000000</v>
      </c>
      <c r="H3071" s="24" t="str">
        <f>C3063</f>
        <v>Servicios</v>
      </c>
      <c r="I3071" s="24" t="str">
        <f>E3063</f>
        <v>MIPYME Mujeres</v>
      </c>
      <c r="J3071" s="24" t="str">
        <f>D3063</f>
        <v>Comparacion de Precios</v>
      </c>
    </row>
    <row r="3073" spans="1:10" ht="34" customHeight="1" x14ac:dyDescent="0.35">
      <c r="A3073" s="36" t="s">
        <v>17105</v>
      </c>
      <c r="B3073" s="36" t="s">
        <v>167</v>
      </c>
      <c r="C3073" s="36" t="s">
        <v>12252</v>
      </c>
      <c r="D3073" s="36" t="s">
        <v>15021</v>
      </c>
      <c r="E3073" s="36" t="s">
        <v>11455</v>
      </c>
      <c r="F3073" s="36" t="s">
        <v>11595</v>
      </c>
    </row>
    <row r="3074" spans="1:10" ht="14.25" customHeight="1" x14ac:dyDescent="0.35">
      <c r="A3074" s="37" t="s">
        <v>11776</v>
      </c>
      <c r="B3074" s="37" t="s">
        <v>11776</v>
      </c>
      <c r="C3074" s="37" t="s">
        <v>18585</v>
      </c>
      <c r="D3074" s="37" t="s">
        <v>10634</v>
      </c>
      <c r="E3074" s="37" t="s">
        <v>9261</v>
      </c>
      <c r="F3074" s="37" t="s">
        <v>7088</v>
      </c>
    </row>
    <row r="3075" spans="1:10" ht="14.25" customHeight="1" x14ac:dyDescent="0.35">
      <c r="A3075" s="75" t="s">
        <v>15490</v>
      </c>
      <c r="B3075" s="38" t="s">
        <v>8918</v>
      </c>
      <c r="C3075" s="68">
        <v>45337</v>
      </c>
      <c r="D3075" s="75" t="s">
        <v>9819</v>
      </c>
      <c r="E3075" s="70" t="s">
        <v>13683</v>
      </c>
      <c r="F3075" s="71" t="s">
        <v>3205</v>
      </c>
    </row>
    <row r="3076" spans="1:10" ht="14.25" customHeight="1" x14ac:dyDescent="0.35">
      <c r="A3076" s="76"/>
      <c r="B3076" s="38" t="s">
        <v>1858</v>
      </c>
      <c r="C3076" s="69">
        <f>IF(C3075="","",IF(AND(MONTH(C3075)&gt;=1,MONTH(C3075)&lt;=3),1,IF(AND(MONTH(C3075)&gt;=4,MONTH(C3075)&lt;=6),2,IF(AND(MONTH(C3075)&gt;=7,MONTH(C3075)&lt;=9),3,4))))</f>
        <v>1</v>
      </c>
      <c r="D3076" s="76"/>
      <c r="E3076" s="70" t="s">
        <v>2509</v>
      </c>
      <c r="F3076" s="71" t="s">
        <v>11612</v>
      </c>
    </row>
    <row r="3077" spans="1:10" ht="14.25" customHeight="1" x14ac:dyDescent="0.35">
      <c r="A3077" s="76"/>
      <c r="B3077" s="38" t="s">
        <v>13526</v>
      </c>
      <c r="C3077" s="68">
        <v>45371</v>
      </c>
      <c r="D3077" s="76"/>
      <c r="E3077" s="70" t="s">
        <v>3198</v>
      </c>
      <c r="F3077" s="71"/>
    </row>
    <row r="3078" spans="1:10" ht="14.25" customHeight="1" x14ac:dyDescent="0.35">
      <c r="A3078" s="76"/>
      <c r="B3078" s="38" t="s">
        <v>1858</v>
      </c>
      <c r="C3078" s="69">
        <f>IF(C3077="","",IF(AND(MONTH(C3077)&gt;=1,MONTH(C3077)&lt;=3),1,IF(AND(MONTH(C3077)&gt;=4,MONTH(C3077)&lt;=6),2,IF(AND(MONTH(C3077)&gt;=7,MONTH(C3077)&lt;=9),3,4))))</f>
        <v>1</v>
      </c>
      <c r="D3078" s="76"/>
      <c r="E3078" s="70" t="s">
        <v>13785</v>
      </c>
      <c r="F3078" s="71"/>
    </row>
    <row r="3080" spans="1:10" ht="14.25" customHeight="1" x14ac:dyDescent="0.35">
      <c r="A3080" s="43" t="s">
        <v>16424</v>
      </c>
      <c r="B3080" s="43" t="s">
        <v>16856</v>
      </c>
      <c r="C3080" s="43" t="s">
        <v>16326</v>
      </c>
      <c r="D3080" s="43" t="s">
        <v>15925</v>
      </c>
      <c r="E3080" s="43" t="s">
        <v>7248</v>
      </c>
      <c r="F3080" s="43" t="s">
        <v>15955</v>
      </c>
    </row>
    <row r="3081" spans="1:10" ht="14.25" customHeight="1" x14ac:dyDescent="0.35">
      <c r="A3081" s="39" t="s">
        <v>3971</v>
      </c>
      <c r="B3081" s="40" t="str">
        <f ca="1">IFERROR(INDEX(UNSPSCDes,MATCH(INDIRECT(ADDRESS(ROW(),COLUMN()-1,4)),UNSPSCCode,0)),IF(INDIRECT(ADDRESS(ROW(),COLUMN()-1,4))="55121804","Gafetes o porta gafetes",""))</f>
        <v>Gafetes o porta gafetes</v>
      </c>
      <c r="C3081" s="72" t="str">
        <f>IFERROR(VLOOKUP("UD",'Informacion '!P:Q,2,FALSE),"")</f>
        <v>Unidad</v>
      </c>
      <c r="D3081" s="39">
        <v>100</v>
      </c>
      <c r="E3081" s="42">
        <v>135.69999999999999</v>
      </c>
      <c r="F3081" s="41">
        <f ca="1">INDIRECT(ADDRESS(ROW(),COLUMN()-2,4))*INDIRECT(ADDRESS(ROW(),COLUMN()-1,4))</f>
        <v>13569.999999999998</v>
      </c>
    </row>
    <row r="3082" spans="1:10" ht="14.25" customHeight="1" x14ac:dyDescent="0.35">
      <c r="E3082" s="44" t="s">
        <v>13122</v>
      </c>
      <c r="F3082" s="45">
        <f ca="1">SUM(Table150[MONTO TOTAL ESTIMADO])</f>
        <v>13569.999999999998</v>
      </c>
      <c r="H3082" s="24" t="str">
        <f>C3074</f>
        <v>Bienes</v>
      </c>
      <c r="I3082" s="24" t="str">
        <f>E3074</f>
        <v>Sí</v>
      </c>
      <c r="J3082" s="24" t="str">
        <f>D3074</f>
        <v>Compras por debajo del Umbral</v>
      </c>
    </row>
    <row r="3084" spans="1:10" ht="34" customHeight="1" x14ac:dyDescent="0.35">
      <c r="A3084" s="36" t="s">
        <v>17105</v>
      </c>
      <c r="B3084" s="36" t="s">
        <v>167</v>
      </c>
      <c r="C3084" s="36" t="s">
        <v>12252</v>
      </c>
      <c r="D3084" s="36" t="s">
        <v>15021</v>
      </c>
      <c r="E3084" s="36" t="s">
        <v>11455</v>
      </c>
      <c r="F3084" s="36" t="s">
        <v>11595</v>
      </c>
    </row>
    <row r="3085" spans="1:10" ht="14.25" customHeight="1" x14ac:dyDescent="0.35">
      <c r="A3085" s="37" t="s">
        <v>4464</v>
      </c>
      <c r="B3085" s="37" t="s">
        <v>4464</v>
      </c>
      <c r="C3085" s="37" t="s">
        <v>18585</v>
      </c>
      <c r="D3085" s="37" t="s">
        <v>18256</v>
      </c>
      <c r="E3085" s="37" t="s">
        <v>18646</v>
      </c>
      <c r="F3085" s="37" t="s">
        <v>7088</v>
      </c>
    </row>
    <row r="3086" spans="1:10" ht="14.25" customHeight="1" x14ac:dyDescent="0.35">
      <c r="A3086" s="75" t="s">
        <v>15490</v>
      </c>
      <c r="B3086" s="38" t="s">
        <v>8918</v>
      </c>
      <c r="C3086" s="68">
        <v>45394</v>
      </c>
      <c r="D3086" s="75" t="s">
        <v>9819</v>
      </c>
      <c r="E3086" s="70" t="s">
        <v>13683</v>
      </c>
      <c r="F3086" s="71" t="s">
        <v>3205</v>
      </c>
    </row>
    <row r="3087" spans="1:10" ht="14.25" customHeight="1" x14ac:dyDescent="0.35">
      <c r="A3087" s="76"/>
      <c r="B3087" s="38" t="s">
        <v>1858</v>
      </c>
      <c r="C3087" s="69">
        <f>IF(C3086="","",IF(AND(MONTH(C3086)&gt;=1,MONTH(C3086)&lt;=3),1,IF(AND(MONTH(C3086)&gt;=4,MONTH(C3086)&lt;=6),2,IF(AND(MONTH(C3086)&gt;=7,MONTH(C3086)&lt;=9),3,4))))</f>
        <v>2</v>
      </c>
      <c r="D3087" s="76"/>
      <c r="E3087" s="70" t="s">
        <v>2509</v>
      </c>
      <c r="F3087" s="71" t="s">
        <v>11612</v>
      </c>
    </row>
    <row r="3088" spans="1:10" ht="14.25" customHeight="1" x14ac:dyDescent="0.35">
      <c r="A3088" s="76"/>
      <c r="B3088" s="38" t="s">
        <v>13526</v>
      </c>
      <c r="C3088" s="68">
        <v>45442</v>
      </c>
      <c r="D3088" s="76"/>
      <c r="E3088" s="70" t="s">
        <v>3198</v>
      </c>
      <c r="F3088" s="71" t="s">
        <v>11612</v>
      </c>
    </row>
    <row r="3089" spans="1:10" ht="14.25" customHeight="1" x14ac:dyDescent="0.35">
      <c r="A3089" s="76"/>
      <c r="B3089" s="38" t="s">
        <v>1858</v>
      </c>
      <c r="C3089" s="69">
        <f>IF(C3088="","",IF(AND(MONTH(C3088)&gt;=1,MONTH(C3088)&lt;=3),1,IF(AND(MONTH(C3088)&gt;=4,MONTH(C3088)&lt;=6),2,IF(AND(MONTH(C3088)&gt;=7,MONTH(C3088)&lt;=9),3,4))))</f>
        <v>2</v>
      </c>
      <c r="D3089" s="76"/>
      <c r="E3089" s="70" t="s">
        <v>13785</v>
      </c>
      <c r="F3089" s="71"/>
    </row>
    <row r="3091" spans="1:10" ht="14.25" customHeight="1" x14ac:dyDescent="0.35">
      <c r="A3091" s="43" t="s">
        <v>16424</v>
      </c>
      <c r="B3091" s="43" t="s">
        <v>16856</v>
      </c>
      <c r="C3091" s="43" t="s">
        <v>16326</v>
      </c>
      <c r="D3091" s="43" t="s">
        <v>15925</v>
      </c>
      <c r="E3091" s="43" t="s">
        <v>7248</v>
      </c>
      <c r="F3091" s="43" t="s">
        <v>15955</v>
      </c>
    </row>
    <row r="3092" spans="1:10" ht="14.25" customHeight="1" x14ac:dyDescent="0.35">
      <c r="A3092" s="39" t="s">
        <v>19368</v>
      </c>
      <c r="B3092" s="40" t="str">
        <f ca="1">IFERROR(INDEX(UNSPSCDes,MATCH(INDIRECT(ADDRESS(ROW(),COLUMN()-1,4)),UNSPSCCode,0)),IF(INDIRECT(ADDRESS(ROW(),COLUMN()-1,4))="56101519","Mesas",""))</f>
        <v>Mesas</v>
      </c>
      <c r="C3092" s="72" t="str">
        <f>IFERROR(VLOOKUP("UD",'Informacion '!P:Q,2,FALSE),"")</f>
        <v>Unidad</v>
      </c>
      <c r="D3092" s="39">
        <v>2</v>
      </c>
      <c r="E3092" s="42">
        <v>14573</v>
      </c>
      <c r="F3092" s="41">
        <f ca="1">INDIRECT(ADDRESS(ROW(),COLUMN()-2,4))*INDIRECT(ADDRESS(ROW(),COLUMN()-1,4))</f>
        <v>29146</v>
      </c>
    </row>
    <row r="3093" spans="1:10" ht="14.25" customHeight="1" x14ac:dyDescent="0.35">
      <c r="A3093" s="39" t="s">
        <v>19368</v>
      </c>
      <c r="B3093" s="40" t="str">
        <f ca="1">IFERROR(INDEX(UNSPSCDes,MATCH(INDIRECT(ADDRESS(ROW(),COLUMN()-1,4)),UNSPSCCode,0)),IF(INDIRECT(ADDRESS(ROW(),COLUMN()-1,4))="56101519","Mesas",""))</f>
        <v>Mesas</v>
      </c>
      <c r="C3093" s="72" t="str">
        <f>IFERROR(VLOOKUP("UD",'Informacion '!P:Q,2,FALSE),"")</f>
        <v>Unidad</v>
      </c>
      <c r="D3093" s="39">
        <v>20</v>
      </c>
      <c r="E3093" s="42">
        <v>5600</v>
      </c>
      <c r="F3093" s="41">
        <f ca="1">INDIRECT(ADDRESS(ROW(),COLUMN()-2,4))*INDIRECT(ADDRESS(ROW(),COLUMN()-1,4))</f>
        <v>112000</v>
      </c>
    </row>
    <row r="3094" spans="1:10" ht="14.25" customHeight="1" x14ac:dyDescent="0.35">
      <c r="A3094" s="39" t="s">
        <v>19368</v>
      </c>
      <c r="B3094" s="40" t="str">
        <f ca="1">IFERROR(INDEX(UNSPSCDes,MATCH(INDIRECT(ADDRESS(ROW(),COLUMN()-1,4)),UNSPSCCode,0)),IF(INDIRECT(ADDRESS(ROW(),COLUMN()-1,4))="56101519","Mesas",""))</f>
        <v>Mesas</v>
      </c>
      <c r="C3094" s="72" t="str">
        <f>IFERROR(VLOOKUP("UD",'Informacion '!P:Q,2,FALSE),"")</f>
        <v>Unidad</v>
      </c>
      <c r="D3094" s="39">
        <v>10</v>
      </c>
      <c r="E3094" s="42">
        <v>11210</v>
      </c>
      <c r="F3094" s="41">
        <f ca="1">INDIRECT(ADDRESS(ROW(),COLUMN()-2,4))*INDIRECT(ADDRESS(ROW(),COLUMN()-1,4))</f>
        <v>112100</v>
      </c>
    </row>
    <row r="3095" spans="1:10" ht="14.25" customHeight="1" x14ac:dyDescent="0.35">
      <c r="E3095" s="44" t="s">
        <v>13122</v>
      </c>
      <c r="F3095" s="45">
        <f ca="1">SUM(Table151[MONTO TOTAL ESTIMADO])</f>
        <v>253246</v>
      </c>
      <c r="H3095" s="24" t="str">
        <f>C3085</f>
        <v>Bienes</v>
      </c>
      <c r="I3095" s="24" t="str">
        <f>E3085</f>
        <v>No</v>
      </c>
      <c r="J3095" s="24" t="str">
        <f>D3085</f>
        <v>Compras Menores</v>
      </c>
    </row>
    <row r="3097" spans="1:10" ht="34" customHeight="1" x14ac:dyDescent="0.35">
      <c r="A3097" s="36" t="s">
        <v>17105</v>
      </c>
      <c r="B3097" s="36" t="s">
        <v>167</v>
      </c>
      <c r="C3097" s="36" t="s">
        <v>12252</v>
      </c>
      <c r="D3097" s="36" t="s">
        <v>15021</v>
      </c>
      <c r="E3097" s="36" t="s">
        <v>11455</v>
      </c>
      <c r="F3097" s="36" t="s">
        <v>11595</v>
      </c>
    </row>
    <row r="3098" spans="1:10" ht="14.25" customHeight="1" x14ac:dyDescent="0.35">
      <c r="A3098" s="37" t="s">
        <v>1314</v>
      </c>
      <c r="B3098" s="37" t="s">
        <v>1314</v>
      </c>
      <c r="C3098" s="37" t="s">
        <v>18585</v>
      </c>
      <c r="D3098" s="37" t="s">
        <v>10634</v>
      </c>
      <c r="E3098" s="37" t="s">
        <v>18646</v>
      </c>
      <c r="F3098" s="37" t="s">
        <v>7088</v>
      </c>
    </row>
    <row r="3099" spans="1:10" ht="14.25" customHeight="1" x14ac:dyDescent="0.35">
      <c r="A3099" s="75" t="s">
        <v>15490</v>
      </c>
      <c r="B3099" s="38" t="s">
        <v>8918</v>
      </c>
      <c r="C3099" s="68">
        <v>45334</v>
      </c>
      <c r="D3099" s="75" t="s">
        <v>9819</v>
      </c>
      <c r="E3099" s="70" t="s">
        <v>13683</v>
      </c>
      <c r="F3099" s="71" t="s">
        <v>3205</v>
      </c>
    </row>
    <row r="3100" spans="1:10" ht="14.25" customHeight="1" x14ac:dyDescent="0.35">
      <c r="A3100" s="76"/>
      <c r="B3100" s="38" t="s">
        <v>1858</v>
      </c>
      <c r="C3100" s="69">
        <f>IF(C3099="","",IF(AND(MONTH(C3099)&gt;=1,MONTH(C3099)&lt;=3),1,IF(AND(MONTH(C3099)&gt;=4,MONTH(C3099)&lt;=6),2,IF(AND(MONTH(C3099)&gt;=7,MONTH(C3099)&lt;=9),3,4))))</f>
        <v>1</v>
      </c>
      <c r="D3100" s="76"/>
      <c r="E3100" s="70" t="s">
        <v>2509</v>
      </c>
      <c r="F3100" s="71" t="s">
        <v>11612</v>
      </c>
    </row>
    <row r="3101" spans="1:10" ht="14.25" customHeight="1" x14ac:dyDescent="0.35">
      <c r="A3101" s="76"/>
      <c r="B3101" s="38" t="s">
        <v>13526</v>
      </c>
      <c r="C3101" s="68">
        <v>45376</v>
      </c>
      <c r="D3101" s="76"/>
      <c r="E3101" s="70" t="s">
        <v>3198</v>
      </c>
      <c r="F3101" s="71" t="s">
        <v>11612</v>
      </c>
    </row>
    <row r="3102" spans="1:10" ht="14.25" customHeight="1" x14ac:dyDescent="0.35">
      <c r="A3102" s="76"/>
      <c r="B3102" s="38" t="s">
        <v>1858</v>
      </c>
      <c r="C3102" s="69">
        <f>IF(C3101="","",IF(AND(MONTH(C3101)&gt;=1,MONTH(C3101)&lt;=3),1,IF(AND(MONTH(C3101)&gt;=4,MONTH(C3101)&lt;=6),2,IF(AND(MONTH(C3101)&gt;=7,MONTH(C3101)&lt;=9),3,4))))</f>
        <v>1</v>
      </c>
      <c r="D3102" s="76"/>
      <c r="E3102" s="70" t="s">
        <v>13785</v>
      </c>
      <c r="F3102" s="71"/>
    </row>
    <row r="3104" spans="1:10" ht="14.25" customHeight="1" x14ac:dyDescent="0.35">
      <c r="A3104" s="43" t="s">
        <v>16424</v>
      </c>
      <c r="B3104" s="43" t="s">
        <v>16856</v>
      </c>
      <c r="C3104" s="43" t="s">
        <v>16326</v>
      </c>
      <c r="D3104" s="43" t="s">
        <v>15925</v>
      </c>
      <c r="E3104" s="43" t="s">
        <v>7248</v>
      </c>
      <c r="F3104" s="43" t="s">
        <v>15955</v>
      </c>
    </row>
    <row r="3105" spans="1:10" ht="14.25" customHeight="1" x14ac:dyDescent="0.35">
      <c r="A3105" s="39" t="s">
        <v>16724</v>
      </c>
      <c r="B3105" s="40" t="str">
        <f ca="1">IFERROR(INDEX(UNSPSCDes,MATCH(INDIRECT(ADDRESS(ROW(),COLUMN()-1,4)),UNSPSCCode,0)),IF(INDIRECT(ADDRESS(ROW(),COLUMN()-1,4))="56101520","Casilleros (“lockers”)",""))</f>
        <v>Casilleros (“lockers”)</v>
      </c>
      <c r="C3105" s="72" t="str">
        <f>IFERROR(VLOOKUP("UD",'Informacion '!P:Q,2,FALSE),"")</f>
        <v>Unidad</v>
      </c>
      <c r="D3105" s="39">
        <v>10</v>
      </c>
      <c r="E3105" s="42">
        <v>11723</v>
      </c>
      <c r="F3105" s="41">
        <f ca="1">INDIRECT(ADDRESS(ROW(),COLUMN()-2,4))*INDIRECT(ADDRESS(ROW(),COLUMN()-1,4))</f>
        <v>117230</v>
      </c>
    </row>
    <row r="3106" spans="1:10" ht="14.25" customHeight="1" x14ac:dyDescent="0.35">
      <c r="E3106" s="44" t="s">
        <v>13122</v>
      </c>
      <c r="F3106" s="45">
        <f ca="1">SUM(Table152[MONTO TOTAL ESTIMADO])</f>
        <v>117230</v>
      </c>
      <c r="H3106" s="24" t="str">
        <f>C3098</f>
        <v>Bienes</v>
      </c>
      <c r="I3106" s="24" t="str">
        <f>E3098</f>
        <v>No</v>
      </c>
      <c r="J3106" s="24" t="str">
        <f>D3098</f>
        <v>Compras por debajo del Umbral</v>
      </c>
    </row>
    <row r="3108" spans="1:10" ht="34" customHeight="1" x14ac:dyDescent="0.35">
      <c r="A3108" s="36" t="s">
        <v>17105</v>
      </c>
      <c r="B3108" s="36" t="s">
        <v>167</v>
      </c>
      <c r="C3108" s="36" t="s">
        <v>12252</v>
      </c>
      <c r="D3108" s="36" t="s">
        <v>15021</v>
      </c>
      <c r="E3108" s="36" t="s">
        <v>11455</v>
      </c>
      <c r="F3108" s="36" t="s">
        <v>11595</v>
      </c>
    </row>
    <row r="3109" spans="1:10" ht="14.25" customHeight="1" x14ac:dyDescent="0.35">
      <c r="A3109" s="37" t="s">
        <v>17784</v>
      </c>
      <c r="B3109" s="37" t="s">
        <v>17784</v>
      </c>
      <c r="C3109" s="37" t="s">
        <v>18585</v>
      </c>
      <c r="D3109" s="37" t="s">
        <v>18256</v>
      </c>
      <c r="E3109" s="37" t="s">
        <v>9261</v>
      </c>
      <c r="F3109" s="37" t="s">
        <v>7088</v>
      </c>
    </row>
    <row r="3110" spans="1:10" ht="14.25" customHeight="1" x14ac:dyDescent="0.35">
      <c r="A3110" s="75" t="s">
        <v>15490</v>
      </c>
      <c r="B3110" s="38" t="s">
        <v>8918</v>
      </c>
      <c r="C3110" s="68">
        <v>45337</v>
      </c>
      <c r="D3110" s="75" t="s">
        <v>9819</v>
      </c>
      <c r="E3110" s="70" t="s">
        <v>13683</v>
      </c>
      <c r="F3110" s="71" t="s">
        <v>3205</v>
      </c>
    </row>
    <row r="3111" spans="1:10" ht="14.25" customHeight="1" x14ac:dyDescent="0.35">
      <c r="A3111" s="76"/>
      <c r="B3111" s="38" t="s">
        <v>1858</v>
      </c>
      <c r="C3111" s="69">
        <f>IF(C3110="","",IF(AND(MONTH(C3110)&gt;=1,MONTH(C3110)&lt;=3),1,IF(AND(MONTH(C3110)&gt;=4,MONTH(C3110)&lt;=6),2,IF(AND(MONTH(C3110)&gt;=7,MONTH(C3110)&lt;=9),3,4))))</f>
        <v>1</v>
      </c>
      <c r="D3111" s="76"/>
      <c r="E3111" s="70" t="s">
        <v>2509</v>
      </c>
      <c r="F3111" s="71" t="s">
        <v>11612</v>
      </c>
    </row>
    <row r="3112" spans="1:10" ht="14.25" customHeight="1" x14ac:dyDescent="0.35">
      <c r="A3112" s="76"/>
      <c r="B3112" s="38" t="s">
        <v>13526</v>
      </c>
      <c r="C3112" s="68">
        <v>45371</v>
      </c>
      <c r="D3112" s="76"/>
      <c r="E3112" s="70" t="s">
        <v>3198</v>
      </c>
      <c r="F3112" s="71" t="s">
        <v>11612</v>
      </c>
    </row>
    <row r="3113" spans="1:10" ht="14.25" customHeight="1" x14ac:dyDescent="0.35">
      <c r="A3113" s="76"/>
      <c r="B3113" s="38" t="s">
        <v>1858</v>
      </c>
      <c r="C3113" s="69">
        <f>IF(C3112="","",IF(AND(MONTH(C3112)&gt;=1,MONTH(C3112)&lt;=3),1,IF(AND(MONTH(C3112)&gt;=4,MONTH(C3112)&lt;=6),2,IF(AND(MONTH(C3112)&gt;=7,MONTH(C3112)&lt;=9),3,4))))</f>
        <v>1</v>
      </c>
      <c r="D3113" s="76"/>
      <c r="E3113" s="70" t="s">
        <v>13785</v>
      </c>
      <c r="F3113" s="71"/>
    </row>
    <row r="3115" spans="1:10" ht="14.25" customHeight="1" x14ac:dyDescent="0.35">
      <c r="A3115" s="43" t="s">
        <v>16424</v>
      </c>
      <c r="B3115" s="43" t="s">
        <v>16856</v>
      </c>
      <c r="C3115" s="43" t="s">
        <v>16326</v>
      </c>
      <c r="D3115" s="43" t="s">
        <v>15925</v>
      </c>
      <c r="E3115" s="43" t="s">
        <v>7248</v>
      </c>
      <c r="F3115" s="43" t="s">
        <v>15955</v>
      </c>
    </row>
    <row r="3116" spans="1:10" ht="14.25" customHeight="1" x14ac:dyDescent="0.35">
      <c r="A3116" s="39" t="s">
        <v>1974</v>
      </c>
      <c r="B3116" s="40" t="str">
        <f ca="1">IFERROR(INDEX(UNSPSCDes,MATCH(INDIRECT(ADDRESS(ROW(),COLUMN()-1,4)),UNSPSCCode,0)),IF(INDIRECT(ADDRESS(ROW(),COLUMN()-1,4))="56101522","Sillas de brazos",""))</f>
        <v>Sillas de brazos</v>
      </c>
      <c r="C3116" s="72" t="str">
        <f>IFERROR(VLOOKUP("UD",'Informacion '!P:Q,2,FALSE),"")</f>
        <v>Unidad</v>
      </c>
      <c r="D3116" s="39">
        <v>500</v>
      </c>
      <c r="E3116" s="42">
        <v>655</v>
      </c>
      <c r="F3116" s="41">
        <f ca="1">INDIRECT(ADDRESS(ROW(),COLUMN()-2,4))*INDIRECT(ADDRESS(ROW(),COLUMN()-1,4))</f>
        <v>327500</v>
      </c>
    </row>
    <row r="3117" spans="1:10" ht="14.25" customHeight="1" x14ac:dyDescent="0.35">
      <c r="A3117" s="39" t="s">
        <v>1974</v>
      </c>
      <c r="B3117" s="40" t="str">
        <f ca="1">IFERROR(INDEX(UNSPSCDes,MATCH(INDIRECT(ADDRESS(ROW(),COLUMN()-1,4)),UNSPSCCode,0)),IF(INDIRECT(ADDRESS(ROW(),COLUMN()-1,4))="56101522","Sillas de brazos",""))</f>
        <v>Sillas de brazos</v>
      </c>
      <c r="C3117" s="72" t="str">
        <f>IFERROR(VLOOKUP("UD",'Informacion '!P:Q,2,FALSE),"")</f>
        <v>Unidad</v>
      </c>
      <c r="D3117" s="39">
        <v>100</v>
      </c>
      <c r="E3117" s="42">
        <v>1500</v>
      </c>
      <c r="F3117" s="41">
        <f ca="1">INDIRECT(ADDRESS(ROW(),COLUMN()-2,4))*INDIRECT(ADDRESS(ROW(),COLUMN()-1,4))</f>
        <v>150000</v>
      </c>
    </row>
    <row r="3118" spans="1:10" ht="14.25" customHeight="1" x14ac:dyDescent="0.35">
      <c r="A3118" s="39" t="s">
        <v>1974</v>
      </c>
      <c r="B3118" s="40" t="str">
        <f ca="1">IFERROR(INDEX(UNSPSCDes,MATCH(INDIRECT(ADDRESS(ROW(),COLUMN()-1,4)),UNSPSCCode,0)),IF(INDIRECT(ADDRESS(ROW(),COLUMN()-1,4))="56101522","Sillas de brazos",""))</f>
        <v>Sillas de brazos</v>
      </c>
      <c r="C3118" s="72" t="str">
        <f>IFERROR(VLOOKUP("UD",'Informacion '!P:Q,2,FALSE),"")</f>
        <v>Unidad</v>
      </c>
      <c r="D3118" s="39">
        <v>3</v>
      </c>
      <c r="E3118" s="42">
        <v>4118</v>
      </c>
      <c r="F3118" s="41">
        <f ca="1">INDIRECT(ADDRESS(ROW(),COLUMN()-2,4))*INDIRECT(ADDRESS(ROW(),COLUMN()-1,4))</f>
        <v>12354</v>
      </c>
    </row>
    <row r="3119" spans="1:10" ht="14.25" customHeight="1" x14ac:dyDescent="0.35">
      <c r="E3119" s="44" t="s">
        <v>13122</v>
      </c>
      <c r="F3119" s="45">
        <f ca="1">SUM(Table153[MONTO TOTAL ESTIMADO])</f>
        <v>489854</v>
      </c>
      <c r="H3119" s="24" t="str">
        <f>C3109</f>
        <v>Bienes</v>
      </c>
      <c r="I3119" s="24" t="str">
        <f>E3109</f>
        <v>Sí</v>
      </c>
      <c r="J3119" s="24" t="str">
        <f>D3109</f>
        <v>Compras Menores</v>
      </c>
    </row>
    <row r="3121" spans="1:10" ht="34" customHeight="1" x14ac:dyDescent="0.35">
      <c r="A3121" s="36" t="s">
        <v>17105</v>
      </c>
      <c r="B3121" s="36" t="s">
        <v>167</v>
      </c>
      <c r="C3121" s="36" t="s">
        <v>12252</v>
      </c>
      <c r="D3121" s="36" t="s">
        <v>15021</v>
      </c>
      <c r="E3121" s="36" t="s">
        <v>11455</v>
      </c>
      <c r="F3121" s="36" t="s">
        <v>11595</v>
      </c>
    </row>
    <row r="3122" spans="1:10" ht="14.25" customHeight="1" x14ac:dyDescent="0.35">
      <c r="A3122" s="37" t="s">
        <v>14515</v>
      </c>
      <c r="B3122" s="37" t="s">
        <v>14515</v>
      </c>
      <c r="C3122" s="37" t="s">
        <v>7109</v>
      </c>
      <c r="D3122" s="37" t="s">
        <v>10634</v>
      </c>
      <c r="E3122" s="37" t="s">
        <v>9261</v>
      </c>
      <c r="F3122" s="37" t="s">
        <v>7088</v>
      </c>
    </row>
    <row r="3123" spans="1:10" ht="14.25" customHeight="1" x14ac:dyDescent="0.35">
      <c r="A3123" s="75" t="s">
        <v>15490</v>
      </c>
      <c r="B3123" s="38" t="s">
        <v>8918</v>
      </c>
      <c r="C3123" s="68">
        <v>45337</v>
      </c>
      <c r="D3123" s="75" t="s">
        <v>9819</v>
      </c>
      <c r="E3123" s="70" t="s">
        <v>13683</v>
      </c>
      <c r="F3123" s="71" t="s">
        <v>3205</v>
      </c>
    </row>
    <row r="3124" spans="1:10" ht="14.25" customHeight="1" x14ac:dyDescent="0.35">
      <c r="A3124" s="76"/>
      <c r="B3124" s="38" t="s">
        <v>1858</v>
      </c>
      <c r="C3124" s="69">
        <f>IF(C3123="","",IF(AND(MONTH(C3123)&gt;=1,MONTH(C3123)&lt;=3),1,IF(AND(MONTH(C3123)&gt;=4,MONTH(C3123)&lt;=6),2,IF(AND(MONTH(C3123)&gt;=7,MONTH(C3123)&lt;=9),3,4))))</f>
        <v>1</v>
      </c>
      <c r="D3124" s="76"/>
      <c r="E3124" s="70" t="s">
        <v>2509</v>
      </c>
      <c r="F3124" s="71" t="s">
        <v>11612</v>
      </c>
    </row>
    <row r="3125" spans="1:10" ht="14.25" customHeight="1" x14ac:dyDescent="0.35">
      <c r="A3125" s="76"/>
      <c r="B3125" s="38" t="s">
        <v>13526</v>
      </c>
      <c r="C3125" s="68">
        <v>45371</v>
      </c>
      <c r="D3125" s="76"/>
      <c r="E3125" s="70" t="s">
        <v>3198</v>
      </c>
      <c r="F3125" s="71" t="s">
        <v>11612</v>
      </c>
    </row>
    <row r="3126" spans="1:10" ht="14.25" customHeight="1" x14ac:dyDescent="0.35">
      <c r="A3126" s="76"/>
      <c r="B3126" s="38" t="s">
        <v>1858</v>
      </c>
      <c r="C3126" s="69">
        <f>IF(C3125="","",IF(AND(MONTH(C3125)&gt;=1,MONTH(C3125)&lt;=3),1,IF(AND(MONTH(C3125)&gt;=4,MONTH(C3125)&lt;=6),2,IF(AND(MONTH(C3125)&gt;=7,MONTH(C3125)&lt;=9),3,4))))</f>
        <v>1</v>
      </c>
      <c r="D3126" s="76"/>
      <c r="E3126" s="70" t="s">
        <v>13785</v>
      </c>
      <c r="F3126" s="71"/>
    </row>
    <row r="3128" spans="1:10" ht="14.25" customHeight="1" x14ac:dyDescent="0.35">
      <c r="A3128" s="43" t="s">
        <v>16424</v>
      </c>
      <c r="B3128" s="43" t="s">
        <v>16856</v>
      </c>
      <c r="C3128" s="43" t="s">
        <v>16326</v>
      </c>
      <c r="D3128" s="43" t="s">
        <v>15925</v>
      </c>
      <c r="E3128" s="43" t="s">
        <v>7248</v>
      </c>
      <c r="F3128" s="43" t="s">
        <v>15955</v>
      </c>
    </row>
    <row r="3129" spans="1:10" ht="14.25" customHeight="1" x14ac:dyDescent="0.35">
      <c r="A3129" s="39" t="s">
        <v>8762</v>
      </c>
      <c r="B3129" s="40" t="str">
        <f ca="1">IFERROR(INDEX(UNSPSCDes,MATCH(INDIRECT(ADDRESS(ROW(),COLUMN()-1,4)),UNSPSCCode,0)),IF(INDIRECT(ADDRESS(ROW(),COLUMN()-1,4))="56101536","Trípodes para instrumentos",""))</f>
        <v>Trípodes para instrumentos</v>
      </c>
      <c r="C3129" s="72" t="str">
        <f>IFERROR(VLOOKUP("UD",'Informacion '!P:Q,2,FALSE),"")</f>
        <v>Unidad</v>
      </c>
      <c r="D3129" s="39">
        <v>1</v>
      </c>
      <c r="E3129" s="42">
        <v>15989</v>
      </c>
      <c r="F3129" s="41">
        <f ca="1">INDIRECT(ADDRESS(ROW(),COLUMN()-2,4))*INDIRECT(ADDRESS(ROW(),COLUMN()-1,4))</f>
        <v>15989</v>
      </c>
    </row>
    <row r="3130" spans="1:10" ht="14.25" customHeight="1" x14ac:dyDescent="0.35">
      <c r="E3130" s="44" t="s">
        <v>13122</v>
      </c>
      <c r="F3130" s="45">
        <f ca="1">SUM(Table154[MONTO TOTAL ESTIMADO])</f>
        <v>15989</v>
      </c>
      <c r="H3130" s="24" t="str">
        <f>C3122</f>
        <v>Servicios</v>
      </c>
      <c r="I3130" s="24" t="str">
        <f>E3122</f>
        <v>Sí</v>
      </c>
      <c r="J3130" s="24" t="str">
        <f>D3122</f>
        <v>Compras por debajo del Umbral</v>
      </c>
    </row>
    <row r="3132" spans="1:10" ht="34" customHeight="1" x14ac:dyDescent="0.35">
      <c r="A3132" s="36" t="s">
        <v>17105</v>
      </c>
      <c r="B3132" s="36" t="s">
        <v>167</v>
      </c>
      <c r="C3132" s="36" t="s">
        <v>12252</v>
      </c>
      <c r="D3132" s="36" t="s">
        <v>15021</v>
      </c>
      <c r="E3132" s="36" t="s">
        <v>11455</v>
      </c>
      <c r="F3132" s="36" t="s">
        <v>11595</v>
      </c>
    </row>
    <row r="3133" spans="1:10" ht="14.25" customHeight="1" x14ac:dyDescent="0.35">
      <c r="A3133" s="37" t="s">
        <v>16919</v>
      </c>
      <c r="B3133" s="37" t="s">
        <v>16919</v>
      </c>
      <c r="C3133" s="37" t="s">
        <v>18585</v>
      </c>
      <c r="D3133" s="37" t="s">
        <v>1950</v>
      </c>
      <c r="E3133" s="37" t="s">
        <v>18646</v>
      </c>
      <c r="F3133" s="37" t="s">
        <v>7088</v>
      </c>
    </row>
    <row r="3134" spans="1:10" ht="14.25" customHeight="1" x14ac:dyDescent="0.35">
      <c r="A3134" s="75" t="s">
        <v>15490</v>
      </c>
      <c r="B3134" s="38" t="s">
        <v>8918</v>
      </c>
      <c r="C3134" s="68">
        <v>45334</v>
      </c>
      <c r="D3134" s="75" t="s">
        <v>9819</v>
      </c>
      <c r="E3134" s="70" t="s">
        <v>13683</v>
      </c>
      <c r="F3134" s="71" t="s">
        <v>3205</v>
      </c>
    </row>
    <row r="3135" spans="1:10" ht="14.25" customHeight="1" x14ac:dyDescent="0.35">
      <c r="A3135" s="76"/>
      <c r="B3135" s="38" t="s">
        <v>1858</v>
      </c>
      <c r="C3135" s="69">
        <f>IF(C3134="","",IF(AND(MONTH(C3134)&gt;=1,MONTH(C3134)&lt;=3),1,IF(AND(MONTH(C3134)&gt;=4,MONTH(C3134)&lt;=6),2,IF(AND(MONTH(C3134)&gt;=7,MONTH(C3134)&lt;=9),3,4))))</f>
        <v>1</v>
      </c>
      <c r="D3135" s="76"/>
      <c r="E3135" s="70" t="s">
        <v>2509</v>
      </c>
      <c r="F3135" s="71" t="s">
        <v>11612</v>
      </c>
    </row>
    <row r="3136" spans="1:10" ht="14.25" customHeight="1" x14ac:dyDescent="0.35">
      <c r="A3136" s="76"/>
      <c r="B3136" s="38" t="s">
        <v>13526</v>
      </c>
      <c r="C3136" s="68">
        <v>45381</v>
      </c>
      <c r="D3136" s="76"/>
      <c r="E3136" s="70" t="s">
        <v>3198</v>
      </c>
      <c r="F3136" s="71" t="s">
        <v>11612</v>
      </c>
    </row>
    <row r="3137" spans="1:10" ht="14.25" customHeight="1" x14ac:dyDescent="0.35">
      <c r="A3137" s="76"/>
      <c r="B3137" s="38" t="s">
        <v>1858</v>
      </c>
      <c r="C3137" s="69">
        <f>IF(C3136="","",IF(AND(MONTH(C3136)&gt;=1,MONTH(C3136)&lt;=3),1,IF(AND(MONTH(C3136)&gt;=4,MONTH(C3136)&lt;=6),2,IF(AND(MONTH(C3136)&gt;=7,MONTH(C3136)&lt;=9),3,4))))</f>
        <v>1</v>
      </c>
      <c r="D3137" s="76"/>
      <c r="E3137" s="70" t="s">
        <v>13785</v>
      </c>
      <c r="F3137" s="71"/>
    </row>
    <row r="3139" spans="1:10" ht="14.25" customHeight="1" x14ac:dyDescent="0.35">
      <c r="A3139" s="43" t="s">
        <v>16424</v>
      </c>
      <c r="B3139" s="43" t="s">
        <v>16856</v>
      </c>
      <c r="C3139" s="43" t="s">
        <v>16326</v>
      </c>
      <c r="D3139" s="43" t="s">
        <v>15925</v>
      </c>
      <c r="E3139" s="43" t="s">
        <v>7248</v>
      </c>
      <c r="F3139" s="43" t="s">
        <v>15955</v>
      </c>
    </row>
    <row r="3140" spans="1:10" ht="14.25" customHeight="1" x14ac:dyDescent="0.35">
      <c r="A3140" s="39" t="s">
        <v>6351</v>
      </c>
      <c r="B3140" s="40" t="str">
        <f ca="1">IFERROR(INDEX(UNSPSCDes,MATCH(INDIRECT(ADDRESS(ROW(),COLUMN()-1,4)),UNSPSCCode,0)),IF(INDIRECT(ADDRESS(ROW(),COLUMN()-1,4))="56101702","Gabinetes de archivo o accesorios",""))</f>
        <v>Gabinetes de archivo o accesorios</v>
      </c>
      <c r="C3140" s="72" t="str">
        <f>IFERROR(VLOOKUP("UD",'Informacion '!P:Q,2,FALSE),"")</f>
        <v>Unidad</v>
      </c>
      <c r="D3140" s="39">
        <v>1</v>
      </c>
      <c r="E3140" s="42">
        <v>3000000</v>
      </c>
      <c r="F3140" s="41">
        <f ca="1">INDIRECT(ADDRESS(ROW(),COLUMN()-2,4))*INDIRECT(ADDRESS(ROW(),COLUMN()-1,4))</f>
        <v>3000000</v>
      </c>
    </row>
    <row r="3141" spans="1:10" ht="14.25" customHeight="1" x14ac:dyDescent="0.35">
      <c r="E3141" s="44" t="s">
        <v>13122</v>
      </c>
      <c r="F3141" s="45">
        <f ca="1">SUM(Table155[MONTO TOTAL ESTIMADO])</f>
        <v>3000000</v>
      </c>
      <c r="H3141" s="24" t="str">
        <f>C3133</f>
        <v>Bienes</v>
      </c>
      <c r="I3141" s="24" t="str">
        <f>E3133</f>
        <v>No</v>
      </c>
      <c r="J3141" s="24" t="str">
        <f>D3133</f>
        <v>Comparacion de Precios</v>
      </c>
    </row>
    <row r="3143" spans="1:10" ht="34" customHeight="1" x14ac:dyDescent="0.35">
      <c r="A3143" s="36" t="s">
        <v>17105</v>
      </c>
      <c r="B3143" s="36" t="s">
        <v>167</v>
      </c>
      <c r="C3143" s="36" t="s">
        <v>12252</v>
      </c>
      <c r="D3143" s="36" t="s">
        <v>15021</v>
      </c>
      <c r="E3143" s="36" t="s">
        <v>11455</v>
      </c>
      <c r="F3143" s="36" t="s">
        <v>11595</v>
      </c>
    </row>
    <row r="3144" spans="1:10" ht="14.25" customHeight="1" x14ac:dyDescent="0.35">
      <c r="A3144" s="37" t="s">
        <v>16919</v>
      </c>
      <c r="B3144" s="37" t="s">
        <v>16919</v>
      </c>
      <c r="C3144" s="37" t="s">
        <v>18585</v>
      </c>
      <c r="D3144" s="37" t="s">
        <v>1950</v>
      </c>
      <c r="E3144" s="37" t="s">
        <v>18646</v>
      </c>
      <c r="F3144" s="37" t="s">
        <v>7088</v>
      </c>
    </row>
    <row r="3145" spans="1:10" ht="14.25" customHeight="1" x14ac:dyDescent="0.35">
      <c r="A3145" s="75" t="s">
        <v>15490</v>
      </c>
      <c r="B3145" s="38" t="s">
        <v>8918</v>
      </c>
      <c r="C3145" s="68">
        <v>45398</v>
      </c>
      <c r="D3145" s="75" t="s">
        <v>9819</v>
      </c>
      <c r="E3145" s="70" t="s">
        <v>13683</v>
      </c>
      <c r="F3145" s="71" t="s">
        <v>3205</v>
      </c>
    </row>
    <row r="3146" spans="1:10" ht="14.25" customHeight="1" x14ac:dyDescent="0.35">
      <c r="A3146" s="76"/>
      <c r="B3146" s="38" t="s">
        <v>1858</v>
      </c>
      <c r="C3146" s="69">
        <f>IF(C3145="","",IF(AND(MONTH(C3145)&gt;=1,MONTH(C3145)&lt;=3),1,IF(AND(MONTH(C3145)&gt;=4,MONTH(C3145)&lt;=6),2,IF(AND(MONTH(C3145)&gt;=7,MONTH(C3145)&lt;=9),3,4))))</f>
        <v>2</v>
      </c>
      <c r="D3146" s="76"/>
      <c r="E3146" s="70" t="s">
        <v>2509</v>
      </c>
      <c r="F3146" s="71" t="s">
        <v>11612</v>
      </c>
    </row>
    <row r="3147" spans="1:10" ht="14.25" customHeight="1" x14ac:dyDescent="0.35">
      <c r="A3147" s="76"/>
      <c r="B3147" s="38" t="s">
        <v>13526</v>
      </c>
      <c r="C3147" s="68">
        <v>45428</v>
      </c>
      <c r="D3147" s="76"/>
      <c r="E3147" s="70" t="s">
        <v>3198</v>
      </c>
      <c r="F3147" s="71" t="s">
        <v>11612</v>
      </c>
    </row>
    <row r="3148" spans="1:10" ht="14.25" customHeight="1" x14ac:dyDescent="0.35">
      <c r="A3148" s="76"/>
      <c r="B3148" s="38" t="s">
        <v>1858</v>
      </c>
      <c r="C3148" s="69">
        <f>IF(C3147="","",IF(AND(MONTH(C3147)&gt;=1,MONTH(C3147)&lt;=3),1,IF(AND(MONTH(C3147)&gt;=4,MONTH(C3147)&lt;=6),2,IF(AND(MONTH(C3147)&gt;=7,MONTH(C3147)&lt;=9),3,4))))</f>
        <v>2</v>
      </c>
      <c r="D3148" s="76"/>
      <c r="E3148" s="70" t="s">
        <v>13785</v>
      </c>
      <c r="F3148" s="71"/>
    </row>
    <row r="3150" spans="1:10" ht="14.25" customHeight="1" x14ac:dyDescent="0.35">
      <c r="A3150" s="43" t="s">
        <v>16424</v>
      </c>
      <c r="B3150" s="43" t="s">
        <v>16856</v>
      </c>
      <c r="C3150" s="43" t="s">
        <v>16326</v>
      </c>
      <c r="D3150" s="43" t="s">
        <v>15925</v>
      </c>
      <c r="E3150" s="43" t="s">
        <v>7248</v>
      </c>
      <c r="F3150" s="43" t="s">
        <v>15955</v>
      </c>
    </row>
    <row r="3151" spans="1:10" ht="14.25" customHeight="1" x14ac:dyDescent="0.35">
      <c r="A3151" s="39" t="s">
        <v>6351</v>
      </c>
      <c r="B3151" s="40" t="str">
        <f ca="1">IFERROR(INDEX(UNSPSCDes,MATCH(INDIRECT(ADDRESS(ROW(),COLUMN()-1,4)),UNSPSCCode,0)),IF(INDIRECT(ADDRESS(ROW(),COLUMN()-1,4))="56101702","Gabinetes de archivo o accesorios",""))</f>
        <v>Gabinetes de archivo o accesorios</v>
      </c>
      <c r="C3151" s="72" t="str">
        <f>IFERROR(VLOOKUP("UD",'Informacion '!P:Q,2,FALSE),"")</f>
        <v>Unidad</v>
      </c>
      <c r="D3151" s="39">
        <v>1</v>
      </c>
      <c r="E3151" s="42">
        <v>3000000</v>
      </c>
      <c r="F3151" s="41">
        <f ca="1">INDIRECT(ADDRESS(ROW(),COLUMN()-2,4))*INDIRECT(ADDRESS(ROW(),COLUMN()-1,4))</f>
        <v>3000000</v>
      </c>
    </row>
    <row r="3152" spans="1:10" ht="14.25" customHeight="1" x14ac:dyDescent="0.35">
      <c r="E3152" s="44" t="s">
        <v>13122</v>
      </c>
      <c r="F3152" s="45">
        <f ca="1">SUM(Table156[MONTO TOTAL ESTIMADO])</f>
        <v>3000000</v>
      </c>
      <c r="H3152" s="24" t="str">
        <f>C3144</f>
        <v>Bienes</v>
      </c>
      <c r="I3152" s="24" t="str">
        <f>E3144</f>
        <v>No</v>
      </c>
      <c r="J3152" s="24" t="str">
        <f>D3144</f>
        <v>Comparacion de Precios</v>
      </c>
    </row>
    <row r="3154" spans="1:10" ht="34" customHeight="1" x14ac:dyDescent="0.35">
      <c r="A3154" s="36" t="s">
        <v>17105</v>
      </c>
      <c r="B3154" s="36" t="s">
        <v>167</v>
      </c>
      <c r="C3154" s="36" t="s">
        <v>12252</v>
      </c>
      <c r="D3154" s="36" t="s">
        <v>15021</v>
      </c>
      <c r="E3154" s="36" t="s">
        <v>11455</v>
      </c>
      <c r="F3154" s="36" t="s">
        <v>11595</v>
      </c>
    </row>
    <row r="3155" spans="1:10" ht="14.25" customHeight="1" x14ac:dyDescent="0.35">
      <c r="A3155" s="37" t="s">
        <v>3457</v>
      </c>
      <c r="B3155" s="37" t="s">
        <v>3457</v>
      </c>
      <c r="C3155" s="37" t="s">
        <v>7109</v>
      </c>
      <c r="D3155" s="37" t="s">
        <v>18256</v>
      </c>
      <c r="E3155" s="37" t="s">
        <v>9261</v>
      </c>
      <c r="F3155" s="37" t="s">
        <v>7088</v>
      </c>
    </row>
    <row r="3156" spans="1:10" ht="14.25" customHeight="1" x14ac:dyDescent="0.35">
      <c r="A3156" s="75" t="s">
        <v>15490</v>
      </c>
      <c r="B3156" s="38" t="s">
        <v>8918</v>
      </c>
      <c r="C3156" s="68">
        <v>45337</v>
      </c>
      <c r="D3156" s="75" t="s">
        <v>9819</v>
      </c>
      <c r="E3156" s="70" t="s">
        <v>13683</v>
      </c>
      <c r="F3156" s="71" t="s">
        <v>3205</v>
      </c>
    </row>
    <row r="3157" spans="1:10" ht="14.25" customHeight="1" x14ac:dyDescent="0.35">
      <c r="A3157" s="76"/>
      <c r="B3157" s="38" t="s">
        <v>1858</v>
      </c>
      <c r="C3157" s="69">
        <f>IF(C3156="","",IF(AND(MONTH(C3156)&gt;=1,MONTH(C3156)&lt;=3),1,IF(AND(MONTH(C3156)&gt;=4,MONTH(C3156)&lt;=6),2,IF(AND(MONTH(C3156)&gt;=7,MONTH(C3156)&lt;=9),3,4))))</f>
        <v>1</v>
      </c>
      <c r="D3157" s="76"/>
      <c r="E3157" s="70" t="s">
        <v>2509</v>
      </c>
      <c r="F3157" s="71" t="s">
        <v>11612</v>
      </c>
    </row>
    <row r="3158" spans="1:10" ht="14.25" customHeight="1" x14ac:dyDescent="0.35">
      <c r="A3158" s="76"/>
      <c r="B3158" s="38" t="s">
        <v>13526</v>
      </c>
      <c r="C3158" s="68">
        <v>45381</v>
      </c>
      <c r="D3158" s="76"/>
      <c r="E3158" s="70" t="s">
        <v>3198</v>
      </c>
      <c r="F3158" s="71" t="s">
        <v>11612</v>
      </c>
    </row>
    <row r="3159" spans="1:10" ht="14.25" customHeight="1" x14ac:dyDescent="0.35">
      <c r="A3159" s="76"/>
      <c r="B3159" s="38" t="s">
        <v>1858</v>
      </c>
      <c r="C3159" s="69">
        <f>IF(C3158="","",IF(AND(MONTH(C3158)&gt;=1,MONTH(C3158)&lt;=3),1,IF(AND(MONTH(C3158)&gt;=4,MONTH(C3158)&lt;=6),2,IF(AND(MONTH(C3158)&gt;=7,MONTH(C3158)&lt;=9),3,4))))</f>
        <v>1</v>
      </c>
      <c r="D3159" s="76"/>
      <c r="E3159" s="70" t="s">
        <v>13785</v>
      </c>
      <c r="F3159" s="71"/>
    </row>
    <row r="3161" spans="1:10" ht="14.25" customHeight="1" x14ac:dyDescent="0.35">
      <c r="A3161" s="43" t="s">
        <v>16424</v>
      </c>
      <c r="B3161" s="43" t="s">
        <v>16856</v>
      </c>
      <c r="C3161" s="43" t="s">
        <v>16326</v>
      </c>
      <c r="D3161" s="43" t="s">
        <v>15925</v>
      </c>
      <c r="E3161" s="43" t="s">
        <v>7248</v>
      </c>
      <c r="F3161" s="43" t="s">
        <v>15955</v>
      </c>
    </row>
    <row r="3162" spans="1:10" ht="14.25" customHeight="1" x14ac:dyDescent="0.35">
      <c r="A3162" s="39" t="s">
        <v>6351</v>
      </c>
      <c r="B3162" s="40" t="str">
        <f ca="1">IFERROR(INDEX(UNSPSCDes,MATCH(INDIRECT(ADDRESS(ROW(),COLUMN()-1,4)),UNSPSCCode,0)),IF(INDIRECT(ADDRESS(ROW(),COLUMN()-1,4))="56101702","Gabinetes de archivo o accesorios",""))</f>
        <v>Gabinetes de archivo o accesorios</v>
      </c>
      <c r="C3162" s="72" t="str">
        <f>IFERROR(VLOOKUP("UD",'Informacion '!P:Q,2,FALSE),"")</f>
        <v>Unidad</v>
      </c>
      <c r="D3162" s="39">
        <v>2</v>
      </c>
      <c r="E3162" s="42">
        <v>139526</v>
      </c>
      <c r="F3162" s="41">
        <f ca="1">INDIRECT(ADDRESS(ROW(),COLUMN()-2,4))*INDIRECT(ADDRESS(ROW(),COLUMN()-1,4))</f>
        <v>279052</v>
      </c>
    </row>
    <row r="3163" spans="1:10" ht="14.25" customHeight="1" x14ac:dyDescent="0.35">
      <c r="E3163" s="44" t="s">
        <v>13122</v>
      </c>
      <c r="F3163" s="45">
        <f ca="1">SUM(Table157[MONTO TOTAL ESTIMADO])</f>
        <v>279052</v>
      </c>
      <c r="H3163" s="24" t="str">
        <f>C3155</f>
        <v>Servicios</v>
      </c>
      <c r="I3163" s="24" t="str">
        <f>E3155</f>
        <v>Sí</v>
      </c>
      <c r="J3163" s="24" t="str">
        <f>D3155</f>
        <v>Compras Menores</v>
      </c>
    </row>
    <row r="3165" spans="1:10" ht="34" customHeight="1" x14ac:dyDescent="0.35">
      <c r="A3165" s="36" t="s">
        <v>17105</v>
      </c>
      <c r="B3165" s="36" t="s">
        <v>167</v>
      </c>
      <c r="C3165" s="36" t="s">
        <v>12252</v>
      </c>
      <c r="D3165" s="36" t="s">
        <v>15021</v>
      </c>
      <c r="E3165" s="36" t="s">
        <v>11455</v>
      </c>
      <c r="F3165" s="36" t="s">
        <v>11595</v>
      </c>
    </row>
    <row r="3166" spans="1:10" ht="14.25" customHeight="1" x14ac:dyDescent="0.35">
      <c r="A3166" s="37" t="s">
        <v>8199</v>
      </c>
      <c r="B3166" s="37" t="s">
        <v>8199</v>
      </c>
      <c r="C3166" s="37" t="s">
        <v>7109</v>
      </c>
      <c r="D3166" s="37" t="s">
        <v>10634</v>
      </c>
      <c r="E3166" s="37" t="s">
        <v>18646</v>
      </c>
      <c r="F3166" s="37" t="s">
        <v>7088</v>
      </c>
    </row>
    <row r="3167" spans="1:10" ht="14.25" customHeight="1" x14ac:dyDescent="0.35">
      <c r="A3167" s="75" t="s">
        <v>15490</v>
      </c>
      <c r="B3167" s="38" t="s">
        <v>8918</v>
      </c>
      <c r="C3167" s="68">
        <v>45402</v>
      </c>
      <c r="D3167" s="75" t="s">
        <v>9819</v>
      </c>
      <c r="E3167" s="70" t="s">
        <v>13683</v>
      </c>
      <c r="F3167" s="71" t="s">
        <v>3205</v>
      </c>
    </row>
    <row r="3168" spans="1:10" ht="14.25" customHeight="1" x14ac:dyDescent="0.35">
      <c r="A3168" s="76"/>
      <c r="B3168" s="38" t="s">
        <v>1858</v>
      </c>
      <c r="C3168" s="69">
        <f>IF(C3167="","",IF(AND(MONTH(C3167)&gt;=1,MONTH(C3167)&lt;=3),1,IF(AND(MONTH(C3167)&gt;=4,MONTH(C3167)&lt;=6),2,IF(AND(MONTH(C3167)&gt;=7,MONTH(C3167)&lt;=9),3,4))))</f>
        <v>2</v>
      </c>
      <c r="D3168" s="76"/>
      <c r="E3168" s="70" t="s">
        <v>2509</v>
      </c>
      <c r="F3168" s="71" t="s">
        <v>11612</v>
      </c>
    </row>
    <row r="3169" spans="1:10" ht="14.25" customHeight="1" x14ac:dyDescent="0.35">
      <c r="A3169" s="76"/>
      <c r="B3169" s="38" t="s">
        <v>13526</v>
      </c>
      <c r="C3169" s="68">
        <v>45442</v>
      </c>
      <c r="D3169" s="76"/>
      <c r="E3169" s="70" t="s">
        <v>3198</v>
      </c>
      <c r="F3169" s="71" t="s">
        <v>11612</v>
      </c>
    </row>
    <row r="3170" spans="1:10" ht="14.25" customHeight="1" x14ac:dyDescent="0.35">
      <c r="A3170" s="76"/>
      <c r="B3170" s="38" t="s">
        <v>1858</v>
      </c>
      <c r="C3170" s="69">
        <f>IF(C3169="","",IF(AND(MONTH(C3169)&gt;=1,MONTH(C3169)&lt;=3),1,IF(AND(MONTH(C3169)&gt;=4,MONTH(C3169)&lt;=6),2,IF(AND(MONTH(C3169)&gt;=7,MONTH(C3169)&lt;=9),3,4))))</f>
        <v>2</v>
      </c>
      <c r="D3170" s="76"/>
      <c r="E3170" s="70" t="s">
        <v>13785</v>
      </c>
      <c r="F3170" s="71"/>
    </row>
    <row r="3172" spans="1:10" ht="14.25" customHeight="1" x14ac:dyDescent="0.35">
      <c r="A3172" s="43" t="s">
        <v>16424</v>
      </c>
      <c r="B3172" s="43" t="s">
        <v>16856</v>
      </c>
      <c r="C3172" s="43" t="s">
        <v>16326</v>
      </c>
      <c r="D3172" s="43" t="s">
        <v>15925</v>
      </c>
      <c r="E3172" s="43" t="s">
        <v>7248</v>
      </c>
      <c r="F3172" s="43" t="s">
        <v>15955</v>
      </c>
    </row>
    <row r="3173" spans="1:10" ht="14.25" customHeight="1" x14ac:dyDescent="0.35">
      <c r="A3173" s="39" t="s">
        <v>1609</v>
      </c>
      <c r="B3173" s="40" t="str">
        <f ca="1">IFERROR(INDEX(UNSPSCDes,MATCH(INDIRECT(ADDRESS(ROW(),COLUMN()-1,4)),UNSPSCCode,0)),IF(INDIRECT(ADDRESS(ROW(),COLUMN()-1,4))="72101516","Servicio de inspección, mantenimiento o reparación de extinguidores de fuego",""))</f>
        <v>Servicio de inspección, mantenimiento o reparación de extinguidores de fuego</v>
      </c>
      <c r="C3173" s="72" t="str">
        <f>IFERROR(VLOOKUP("UD",'Informacion '!P:Q,2,FALSE),"")</f>
        <v>Unidad</v>
      </c>
      <c r="D3173" s="39">
        <v>6</v>
      </c>
      <c r="E3173" s="42">
        <v>30208</v>
      </c>
      <c r="F3173" s="41">
        <f ca="1">INDIRECT(ADDRESS(ROW(),COLUMN()-2,4))*INDIRECT(ADDRESS(ROW(),COLUMN()-1,4))</f>
        <v>181248</v>
      </c>
    </row>
    <row r="3174" spans="1:10" ht="14.25" customHeight="1" x14ac:dyDescent="0.35">
      <c r="E3174" s="44" t="s">
        <v>13122</v>
      </c>
      <c r="F3174" s="45">
        <f ca="1">SUM(Table158[MONTO TOTAL ESTIMADO])</f>
        <v>181248</v>
      </c>
      <c r="H3174" s="24" t="str">
        <f>C3166</f>
        <v>Servicios</v>
      </c>
      <c r="I3174" s="24" t="str">
        <f>E3166</f>
        <v>No</v>
      </c>
      <c r="J3174" s="24" t="str">
        <f>D3166</f>
        <v>Compras por debajo del Umbral</v>
      </c>
    </row>
    <row r="3176" spans="1:10" ht="34" customHeight="1" x14ac:dyDescent="0.35">
      <c r="A3176" s="36" t="s">
        <v>17105</v>
      </c>
      <c r="B3176" s="36" t="s">
        <v>167</v>
      </c>
      <c r="C3176" s="36" t="s">
        <v>12252</v>
      </c>
      <c r="D3176" s="36" t="s">
        <v>15021</v>
      </c>
      <c r="E3176" s="36" t="s">
        <v>11455</v>
      </c>
      <c r="F3176" s="36" t="s">
        <v>11595</v>
      </c>
    </row>
    <row r="3177" spans="1:10" ht="14.25" customHeight="1" x14ac:dyDescent="0.35">
      <c r="A3177" s="37" t="s">
        <v>13907</v>
      </c>
      <c r="B3177" s="37" t="s">
        <v>13907</v>
      </c>
      <c r="C3177" s="37" t="s">
        <v>7109</v>
      </c>
      <c r="D3177" s="37" t="s">
        <v>1950</v>
      </c>
      <c r="E3177" s="37" t="s">
        <v>18646</v>
      </c>
      <c r="F3177" s="37" t="s">
        <v>7088</v>
      </c>
    </row>
    <row r="3178" spans="1:10" ht="14.25" customHeight="1" x14ac:dyDescent="0.35">
      <c r="A3178" s="75" t="s">
        <v>15490</v>
      </c>
      <c r="B3178" s="38" t="s">
        <v>8918</v>
      </c>
      <c r="C3178" s="68">
        <v>45334</v>
      </c>
      <c r="D3178" s="75" t="s">
        <v>9819</v>
      </c>
      <c r="E3178" s="70" t="s">
        <v>13683</v>
      </c>
      <c r="F3178" s="71" t="s">
        <v>3205</v>
      </c>
    </row>
    <row r="3179" spans="1:10" ht="14.25" customHeight="1" x14ac:dyDescent="0.35">
      <c r="A3179" s="76"/>
      <c r="B3179" s="38" t="s">
        <v>1858</v>
      </c>
      <c r="C3179" s="69">
        <f>IF(C3178="","",IF(AND(MONTH(C3178)&gt;=1,MONTH(C3178)&lt;=3),1,IF(AND(MONTH(C3178)&gt;=4,MONTH(C3178)&lt;=6),2,IF(AND(MONTH(C3178)&gt;=7,MONTH(C3178)&lt;=9),3,4))))</f>
        <v>1</v>
      </c>
      <c r="D3179" s="76"/>
      <c r="E3179" s="70" t="s">
        <v>2509</v>
      </c>
      <c r="F3179" s="71" t="s">
        <v>11612</v>
      </c>
    </row>
    <row r="3180" spans="1:10" ht="14.25" customHeight="1" x14ac:dyDescent="0.35">
      <c r="A3180" s="76"/>
      <c r="B3180" s="38" t="s">
        <v>13526</v>
      </c>
      <c r="C3180" s="68">
        <v>45381</v>
      </c>
      <c r="D3180" s="76"/>
      <c r="E3180" s="70" t="s">
        <v>3198</v>
      </c>
      <c r="F3180" s="71" t="s">
        <v>11612</v>
      </c>
    </row>
    <row r="3181" spans="1:10" ht="14.25" customHeight="1" x14ac:dyDescent="0.35">
      <c r="A3181" s="76"/>
      <c r="B3181" s="38" t="s">
        <v>1858</v>
      </c>
      <c r="C3181" s="69">
        <f>IF(C3180="","",IF(AND(MONTH(C3180)&gt;=1,MONTH(C3180)&lt;=3),1,IF(AND(MONTH(C3180)&gt;=4,MONTH(C3180)&lt;=6),2,IF(AND(MONTH(C3180)&gt;=7,MONTH(C3180)&lt;=9),3,4))))</f>
        <v>1</v>
      </c>
      <c r="D3181" s="76"/>
      <c r="E3181" s="70" t="s">
        <v>13785</v>
      </c>
      <c r="F3181" s="71"/>
    </row>
    <row r="3183" spans="1:10" ht="14.25" customHeight="1" x14ac:dyDescent="0.35">
      <c r="A3183" s="43" t="s">
        <v>16424</v>
      </c>
      <c r="B3183" s="43" t="s">
        <v>16856</v>
      </c>
      <c r="C3183" s="43" t="s">
        <v>16326</v>
      </c>
      <c r="D3183" s="43" t="s">
        <v>15925</v>
      </c>
      <c r="E3183" s="43" t="s">
        <v>7248</v>
      </c>
      <c r="F3183" s="43" t="s">
        <v>15955</v>
      </c>
    </row>
    <row r="3184" spans="1:10" ht="14.25" customHeight="1" x14ac:dyDescent="0.35">
      <c r="A3184" s="39" t="s">
        <v>12639</v>
      </c>
      <c r="B3184" s="40" t="str">
        <f ca="1">IFERROR(INDEX(UNSPSCDes,MATCH(INDIRECT(ADDRESS(ROW(),COLUMN()-1,4)),UNSPSCCode,0)),IF(INDIRECT(ADDRESS(ROW(),COLUMN()-1,4))="72101607","Instalación o reparación de paredes",""))</f>
        <v>Instalación o reparación de paredes</v>
      </c>
      <c r="C3184" s="72" t="str">
        <f>IFERROR(VLOOKUP("UD",'Informacion '!P:Q,2,FALSE),"")</f>
        <v>Unidad</v>
      </c>
      <c r="D3184" s="39">
        <v>1</v>
      </c>
      <c r="E3184" s="42">
        <v>2520072.29</v>
      </c>
      <c r="F3184" s="41">
        <f ca="1">INDIRECT(ADDRESS(ROW(),COLUMN()-2,4))*INDIRECT(ADDRESS(ROW(),COLUMN()-1,4))</f>
        <v>2520072.29</v>
      </c>
    </row>
    <row r="3185" spans="1:10" ht="14.25" customHeight="1" x14ac:dyDescent="0.35">
      <c r="E3185" s="44" t="s">
        <v>13122</v>
      </c>
      <c r="F3185" s="45">
        <f ca="1">SUM(Table159[MONTO TOTAL ESTIMADO])</f>
        <v>2520072.29</v>
      </c>
      <c r="H3185" s="24" t="str">
        <f>C3177</f>
        <v>Servicios</v>
      </c>
      <c r="I3185" s="24" t="str">
        <f>E3177</f>
        <v>No</v>
      </c>
      <c r="J3185" s="24" t="str">
        <f>D3177</f>
        <v>Comparacion de Precios</v>
      </c>
    </row>
    <row r="3187" spans="1:10" ht="34" customHeight="1" x14ac:dyDescent="0.35">
      <c r="A3187" s="36" t="s">
        <v>17105</v>
      </c>
      <c r="B3187" s="36" t="s">
        <v>167</v>
      </c>
      <c r="C3187" s="36" t="s">
        <v>12252</v>
      </c>
      <c r="D3187" s="36" t="s">
        <v>15021</v>
      </c>
      <c r="E3187" s="36" t="s">
        <v>11455</v>
      </c>
      <c r="F3187" s="36" t="s">
        <v>11595</v>
      </c>
    </row>
    <row r="3188" spans="1:10" ht="14.25" customHeight="1" x14ac:dyDescent="0.35">
      <c r="A3188" s="37" t="s">
        <v>13907</v>
      </c>
      <c r="B3188" s="37" t="s">
        <v>13907</v>
      </c>
      <c r="C3188" s="37" t="s">
        <v>7109</v>
      </c>
      <c r="D3188" s="37" t="s">
        <v>1950</v>
      </c>
      <c r="E3188" s="37" t="s">
        <v>18646</v>
      </c>
      <c r="F3188" s="37" t="s">
        <v>7088</v>
      </c>
    </row>
    <row r="3189" spans="1:10" ht="14.25" customHeight="1" x14ac:dyDescent="0.35">
      <c r="A3189" s="75" t="s">
        <v>15490</v>
      </c>
      <c r="B3189" s="38" t="s">
        <v>8918</v>
      </c>
      <c r="C3189" s="68">
        <v>45334</v>
      </c>
      <c r="D3189" s="75" t="s">
        <v>9819</v>
      </c>
      <c r="E3189" s="70" t="s">
        <v>13683</v>
      </c>
      <c r="F3189" s="71" t="s">
        <v>3205</v>
      </c>
    </row>
    <row r="3190" spans="1:10" ht="14.25" customHeight="1" x14ac:dyDescent="0.35">
      <c r="A3190" s="76"/>
      <c r="B3190" s="38" t="s">
        <v>1858</v>
      </c>
      <c r="C3190" s="69">
        <f>IF(C3189="","",IF(AND(MONTH(C3189)&gt;=1,MONTH(C3189)&lt;=3),1,IF(AND(MONTH(C3189)&gt;=4,MONTH(C3189)&lt;=6),2,IF(AND(MONTH(C3189)&gt;=7,MONTH(C3189)&lt;=9),3,4))))</f>
        <v>1</v>
      </c>
      <c r="D3190" s="76"/>
      <c r="E3190" s="70" t="s">
        <v>2509</v>
      </c>
      <c r="F3190" s="71" t="s">
        <v>11612</v>
      </c>
    </row>
    <row r="3191" spans="1:10" ht="14.25" customHeight="1" x14ac:dyDescent="0.35">
      <c r="A3191" s="76"/>
      <c r="B3191" s="38" t="s">
        <v>13526</v>
      </c>
      <c r="C3191" s="68">
        <v>45381</v>
      </c>
      <c r="D3191" s="76"/>
      <c r="E3191" s="70" t="s">
        <v>3198</v>
      </c>
      <c r="F3191" s="71" t="s">
        <v>11612</v>
      </c>
    </row>
    <row r="3192" spans="1:10" ht="14.25" customHeight="1" x14ac:dyDescent="0.35">
      <c r="A3192" s="76"/>
      <c r="B3192" s="38" t="s">
        <v>1858</v>
      </c>
      <c r="C3192" s="69">
        <f>IF(C3191="","",IF(AND(MONTH(C3191)&gt;=1,MONTH(C3191)&lt;=3),1,IF(AND(MONTH(C3191)&gt;=4,MONTH(C3191)&lt;=6),2,IF(AND(MONTH(C3191)&gt;=7,MONTH(C3191)&lt;=9),3,4))))</f>
        <v>1</v>
      </c>
      <c r="D3192" s="76"/>
      <c r="E3192" s="70" t="s">
        <v>13785</v>
      </c>
      <c r="F3192" s="71"/>
    </row>
    <row r="3194" spans="1:10" ht="14.25" customHeight="1" x14ac:dyDescent="0.35">
      <c r="A3194" s="43" t="s">
        <v>16424</v>
      </c>
      <c r="B3194" s="43" t="s">
        <v>16856</v>
      </c>
      <c r="C3194" s="43" t="s">
        <v>16326</v>
      </c>
      <c r="D3194" s="43" t="s">
        <v>15925</v>
      </c>
      <c r="E3194" s="43" t="s">
        <v>7248</v>
      </c>
      <c r="F3194" s="43" t="s">
        <v>15955</v>
      </c>
    </row>
    <row r="3195" spans="1:10" ht="14.25" customHeight="1" x14ac:dyDescent="0.35">
      <c r="A3195" s="39" t="s">
        <v>12639</v>
      </c>
      <c r="B3195" s="40" t="str">
        <f ca="1">IFERROR(INDEX(UNSPSCDes,MATCH(INDIRECT(ADDRESS(ROW(),COLUMN()-1,4)),UNSPSCCode,0)),IF(INDIRECT(ADDRESS(ROW(),COLUMN()-1,4))="72101607","Instalación o reparación de paredes",""))</f>
        <v>Instalación o reparación de paredes</v>
      </c>
      <c r="C3195" s="72" t="str">
        <f>IFERROR(VLOOKUP("UD",'Informacion '!P:Q,2,FALSE),"")</f>
        <v>Unidad</v>
      </c>
      <c r="D3195" s="39">
        <v>1</v>
      </c>
      <c r="E3195" s="42">
        <v>3841733.72</v>
      </c>
      <c r="F3195" s="41">
        <f ca="1">INDIRECT(ADDRESS(ROW(),COLUMN()-2,4))*INDIRECT(ADDRESS(ROW(),COLUMN()-1,4))</f>
        <v>3841733.72</v>
      </c>
    </row>
    <row r="3196" spans="1:10" ht="14.25" customHeight="1" x14ac:dyDescent="0.35">
      <c r="E3196" s="44" t="s">
        <v>13122</v>
      </c>
      <c r="F3196" s="45">
        <f ca="1">SUM(Table160[MONTO TOTAL ESTIMADO])</f>
        <v>3841733.72</v>
      </c>
      <c r="H3196" s="24" t="str">
        <f>C3188</f>
        <v>Servicios</v>
      </c>
      <c r="I3196" s="24" t="str">
        <f>E3188</f>
        <v>No</v>
      </c>
      <c r="J3196" s="24" t="str">
        <f>D3188</f>
        <v>Comparacion de Precios</v>
      </c>
    </row>
    <row r="3198" spans="1:10" ht="34" customHeight="1" x14ac:dyDescent="0.35">
      <c r="A3198" s="36" t="s">
        <v>17105</v>
      </c>
      <c r="B3198" s="36" t="s">
        <v>167</v>
      </c>
      <c r="C3198" s="36" t="s">
        <v>12252</v>
      </c>
      <c r="D3198" s="36" t="s">
        <v>15021</v>
      </c>
      <c r="E3198" s="36" t="s">
        <v>11455</v>
      </c>
      <c r="F3198" s="36" t="s">
        <v>11595</v>
      </c>
    </row>
    <row r="3199" spans="1:10" ht="14.25" customHeight="1" x14ac:dyDescent="0.35">
      <c r="A3199" s="37" t="s">
        <v>13907</v>
      </c>
      <c r="B3199" s="37" t="s">
        <v>13907</v>
      </c>
      <c r="C3199" s="37" t="s">
        <v>7109</v>
      </c>
      <c r="D3199" s="37" t="s">
        <v>2615</v>
      </c>
      <c r="E3199" s="37" t="s">
        <v>18646</v>
      </c>
      <c r="F3199" s="37" t="s">
        <v>7088</v>
      </c>
    </row>
    <row r="3200" spans="1:10" ht="14.25" customHeight="1" x14ac:dyDescent="0.35">
      <c r="A3200" s="75" t="s">
        <v>15490</v>
      </c>
      <c r="B3200" s="38" t="s">
        <v>8918</v>
      </c>
      <c r="C3200" s="68">
        <v>45334</v>
      </c>
      <c r="D3200" s="75" t="s">
        <v>9819</v>
      </c>
      <c r="E3200" s="70" t="s">
        <v>13683</v>
      </c>
      <c r="F3200" s="71" t="s">
        <v>3205</v>
      </c>
    </row>
    <row r="3201" spans="1:10" ht="14.25" customHeight="1" x14ac:dyDescent="0.35">
      <c r="A3201" s="76"/>
      <c r="B3201" s="38" t="s">
        <v>1858</v>
      </c>
      <c r="C3201" s="69">
        <f>IF(C3200="","",IF(AND(MONTH(C3200)&gt;=1,MONTH(C3200)&lt;=3),1,IF(AND(MONTH(C3200)&gt;=4,MONTH(C3200)&lt;=6),2,IF(AND(MONTH(C3200)&gt;=7,MONTH(C3200)&lt;=9),3,4))))</f>
        <v>1</v>
      </c>
      <c r="D3201" s="76"/>
      <c r="E3201" s="70" t="s">
        <v>2509</v>
      </c>
      <c r="F3201" s="71" t="s">
        <v>11612</v>
      </c>
    </row>
    <row r="3202" spans="1:10" ht="14.25" customHeight="1" x14ac:dyDescent="0.35">
      <c r="A3202" s="76"/>
      <c r="B3202" s="38" t="s">
        <v>13526</v>
      </c>
      <c r="C3202" s="68">
        <v>45381</v>
      </c>
      <c r="D3202" s="76"/>
      <c r="E3202" s="70" t="s">
        <v>3198</v>
      </c>
      <c r="F3202" s="71" t="s">
        <v>11612</v>
      </c>
    </row>
    <row r="3203" spans="1:10" ht="14.25" customHeight="1" x14ac:dyDescent="0.35">
      <c r="A3203" s="76"/>
      <c r="B3203" s="38" t="s">
        <v>1858</v>
      </c>
      <c r="C3203" s="69">
        <f>IF(C3202="","",IF(AND(MONTH(C3202)&gt;=1,MONTH(C3202)&lt;=3),1,IF(AND(MONTH(C3202)&gt;=4,MONTH(C3202)&lt;=6),2,IF(AND(MONTH(C3202)&gt;=7,MONTH(C3202)&lt;=9),3,4))))</f>
        <v>1</v>
      </c>
      <c r="D3203" s="76"/>
      <c r="E3203" s="70" t="s">
        <v>13785</v>
      </c>
      <c r="F3203" s="71"/>
    </row>
    <row r="3205" spans="1:10" ht="14.25" customHeight="1" x14ac:dyDescent="0.35">
      <c r="A3205" s="43" t="s">
        <v>16424</v>
      </c>
      <c r="B3205" s="43" t="s">
        <v>16856</v>
      </c>
      <c r="C3205" s="43" t="s">
        <v>16326</v>
      </c>
      <c r="D3205" s="43" t="s">
        <v>15925</v>
      </c>
      <c r="E3205" s="43" t="s">
        <v>7248</v>
      </c>
      <c r="F3205" s="43" t="s">
        <v>15955</v>
      </c>
    </row>
    <row r="3206" spans="1:10" ht="14.25" customHeight="1" x14ac:dyDescent="0.35">
      <c r="A3206" s="39" t="s">
        <v>12639</v>
      </c>
      <c r="B3206" s="40" t="str">
        <f ca="1">IFERROR(INDEX(UNSPSCDes,MATCH(INDIRECT(ADDRESS(ROW(),COLUMN()-1,4)),UNSPSCCode,0)),IF(INDIRECT(ADDRESS(ROW(),COLUMN()-1,4))="72101607","Instalación o reparación de paredes",""))</f>
        <v>Instalación o reparación de paredes</v>
      </c>
      <c r="C3206" s="72" t="str">
        <f>IFERROR(VLOOKUP("UD",'Informacion '!P:Q,2,FALSE),"")</f>
        <v>Unidad</v>
      </c>
      <c r="D3206" s="39">
        <v>1</v>
      </c>
      <c r="E3206" s="42">
        <v>9500000</v>
      </c>
      <c r="F3206" s="41">
        <f ca="1">INDIRECT(ADDRESS(ROW(),COLUMN()-2,4))*INDIRECT(ADDRESS(ROW(),COLUMN()-1,4))</f>
        <v>9500000</v>
      </c>
    </row>
    <row r="3207" spans="1:10" ht="14.25" customHeight="1" x14ac:dyDescent="0.35">
      <c r="E3207" s="44" t="s">
        <v>13122</v>
      </c>
      <c r="F3207" s="45">
        <f ca="1">SUM(Table161[MONTO TOTAL ESTIMADO])</f>
        <v>9500000</v>
      </c>
      <c r="H3207" s="24" t="str">
        <f>C3199</f>
        <v>Servicios</v>
      </c>
      <c r="I3207" s="24" t="str">
        <f>E3199</f>
        <v>No</v>
      </c>
      <c r="J3207" s="24" t="str">
        <f>D3199</f>
        <v>Licitacion Publica</v>
      </c>
    </row>
    <row r="3209" spans="1:10" ht="34" customHeight="1" x14ac:dyDescent="0.35">
      <c r="A3209" s="36" t="s">
        <v>17105</v>
      </c>
      <c r="B3209" s="36" t="s">
        <v>167</v>
      </c>
      <c r="C3209" s="36" t="s">
        <v>12252</v>
      </c>
      <c r="D3209" s="36" t="s">
        <v>15021</v>
      </c>
      <c r="E3209" s="36" t="s">
        <v>11455</v>
      </c>
      <c r="F3209" s="36" t="s">
        <v>11595</v>
      </c>
    </row>
    <row r="3210" spans="1:10" ht="14.25" customHeight="1" x14ac:dyDescent="0.35">
      <c r="A3210" s="37" t="s">
        <v>13907</v>
      </c>
      <c r="B3210" s="37" t="s">
        <v>13907</v>
      </c>
      <c r="C3210" s="37" t="s">
        <v>7109</v>
      </c>
      <c r="D3210" s="37" t="s">
        <v>18256</v>
      </c>
      <c r="E3210" s="37" t="s">
        <v>18646</v>
      </c>
      <c r="F3210" s="37" t="s">
        <v>7088</v>
      </c>
    </row>
    <row r="3211" spans="1:10" ht="14.25" customHeight="1" x14ac:dyDescent="0.35">
      <c r="A3211" s="75" t="s">
        <v>15490</v>
      </c>
      <c r="B3211" s="38" t="s">
        <v>8918</v>
      </c>
      <c r="C3211" s="68">
        <v>45334</v>
      </c>
      <c r="D3211" s="75" t="s">
        <v>9819</v>
      </c>
      <c r="E3211" s="70" t="s">
        <v>13683</v>
      </c>
      <c r="F3211" s="71" t="s">
        <v>3205</v>
      </c>
    </row>
    <row r="3212" spans="1:10" ht="14.25" customHeight="1" x14ac:dyDescent="0.35">
      <c r="A3212" s="76"/>
      <c r="B3212" s="38" t="s">
        <v>1858</v>
      </c>
      <c r="C3212" s="69">
        <f>IF(C3211="","",IF(AND(MONTH(C3211)&gt;=1,MONTH(C3211)&lt;=3),1,IF(AND(MONTH(C3211)&gt;=4,MONTH(C3211)&lt;=6),2,IF(AND(MONTH(C3211)&gt;=7,MONTH(C3211)&lt;=9),3,4))))</f>
        <v>1</v>
      </c>
      <c r="D3212" s="76"/>
      <c r="E3212" s="70" t="s">
        <v>2509</v>
      </c>
      <c r="F3212" s="71" t="s">
        <v>11612</v>
      </c>
    </row>
    <row r="3213" spans="1:10" ht="14.25" customHeight="1" x14ac:dyDescent="0.35">
      <c r="A3213" s="76"/>
      <c r="B3213" s="38" t="s">
        <v>13526</v>
      </c>
      <c r="C3213" s="68">
        <v>45371</v>
      </c>
      <c r="D3213" s="76"/>
      <c r="E3213" s="70" t="s">
        <v>3198</v>
      </c>
      <c r="F3213" s="71" t="s">
        <v>11612</v>
      </c>
    </row>
    <row r="3214" spans="1:10" ht="14.25" customHeight="1" x14ac:dyDescent="0.35">
      <c r="A3214" s="76"/>
      <c r="B3214" s="38" t="s">
        <v>1858</v>
      </c>
      <c r="C3214" s="69">
        <f>IF(C3213="","",IF(AND(MONTH(C3213)&gt;=1,MONTH(C3213)&lt;=3),1,IF(AND(MONTH(C3213)&gt;=4,MONTH(C3213)&lt;=6),2,IF(AND(MONTH(C3213)&gt;=7,MONTH(C3213)&lt;=9),3,4))))</f>
        <v>1</v>
      </c>
      <c r="D3214" s="76"/>
      <c r="E3214" s="70" t="s">
        <v>13785</v>
      </c>
      <c r="F3214" s="71"/>
    </row>
    <row r="3216" spans="1:10" ht="14.25" customHeight="1" x14ac:dyDescent="0.35">
      <c r="A3216" s="43" t="s">
        <v>16424</v>
      </c>
      <c r="B3216" s="43" t="s">
        <v>16856</v>
      </c>
      <c r="C3216" s="43" t="s">
        <v>16326</v>
      </c>
      <c r="D3216" s="43" t="s">
        <v>15925</v>
      </c>
      <c r="E3216" s="43" t="s">
        <v>7248</v>
      </c>
      <c r="F3216" s="43" t="s">
        <v>15955</v>
      </c>
    </row>
    <row r="3217" spans="1:10" ht="14.25" customHeight="1" x14ac:dyDescent="0.35">
      <c r="A3217" s="39" t="s">
        <v>12639</v>
      </c>
      <c r="B3217" s="40" t="str">
        <f ca="1">IFERROR(INDEX(UNSPSCDes,MATCH(INDIRECT(ADDRESS(ROW(),COLUMN()-1,4)),UNSPSCCode,0)),IF(INDIRECT(ADDRESS(ROW(),COLUMN()-1,4))="72101607","Instalación o reparación de paredes",""))</f>
        <v>Instalación o reparación de paredes</v>
      </c>
      <c r="C3217" s="72" t="str">
        <f>IFERROR(VLOOKUP("UD",'Informacion '!P:Q,2,FALSE),"")</f>
        <v>Unidad</v>
      </c>
      <c r="D3217" s="39">
        <v>1</v>
      </c>
      <c r="E3217" s="42">
        <v>700000</v>
      </c>
      <c r="F3217" s="41">
        <f ca="1">INDIRECT(ADDRESS(ROW(),COLUMN()-2,4))*INDIRECT(ADDRESS(ROW(),COLUMN()-1,4))</f>
        <v>700000</v>
      </c>
    </row>
    <row r="3218" spans="1:10" ht="14.25" customHeight="1" x14ac:dyDescent="0.35">
      <c r="E3218" s="44" t="s">
        <v>13122</v>
      </c>
      <c r="F3218" s="45">
        <f ca="1">SUM(Table162[MONTO TOTAL ESTIMADO])</f>
        <v>700000</v>
      </c>
      <c r="H3218" s="24" t="str">
        <f>C3210</f>
        <v>Servicios</v>
      </c>
      <c r="I3218" s="24" t="str">
        <f>E3210</f>
        <v>No</v>
      </c>
      <c r="J3218" s="24" t="str">
        <f>D3210</f>
        <v>Compras Menores</v>
      </c>
    </row>
    <row r="3220" spans="1:10" ht="34" customHeight="1" x14ac:dyDescent="0.35">
      <c r="A3220" s="36" t="s">
        <v>17105</v>
      </c>
      <c r="B3220" s="36" t="s">
        <v>167</v>
      </c>
      <c r="C3220" s="36" t="s">
        <v>12252</v>
      </c>
      <c r="D3220" s="36" t="s">
        <v>15021</v>
      </c>
      <c r="E3220" s="36" t="s">
        <v>11455</v>
      </c>
      <c r="F3220" s="36" t="s">
        <v>11595</v>
      </c>
    </row>
    <row r="3221" spans="1:10" ht="14.25" customHeight="1" x14ac:dyDescent="0.35">
      <c r="A3221" s="37" t="s">
        <v>13907</v>
      </c>
      <c r="B3221" s="37" t="s">
        <v>13907</v>
      </c>
      <c r="C3221" s="37" t="s">
        <v>7109</v>
      </c>
      <c r="D3221" s="37" t="s">
        <v>1950</v>
      </c>
      <c r="E3221" s="37" t="s">
        <v>18646</v>
      </c>
      <c r="F3221" s="37" t="s">
        <v>7088</v>
      </c>
    </row>
    <row r="3222" spans="1:10" ht="14.25" customHeight="1" x14ac:dyDescent="0.35">
      <c r="A3222" s="75" t="s">
        <v>15490</v>
      </c>
      <c r="B3222" s="38" t="s">
        <v>8918</v>
      </c>
      <c r="C3222" s="68">
        <v>45402</v>
      </c>
      <c r="D3222" s="75" t="s">
        <v>9819</v>
      </c>
      <c r="E3222" s="70" t="s">
        <v>13683</v>
      </c>
      <c r="F3222" s="71" t="s">
        <v>3205</v>
      </c>
    </row>
    <row r="3223" spans="1:10" ht="14.25" customHeight="1" x14ac:dyDescent="0.35">
      <c r="A3223" s="76"/>
      <c r="B3223" s="38" t="s">
        <v>1858</v>
      </c>
      <c r="C3223" s="69">
        <f>IF(C3222="","",IF(AND(MONTH(C3222)&gt;=1,MONTH(C3222)&lt;=3),1,IF(AND(MONTH(C3222)&gt;=4,MONTH(C3222)&lt;=6),2,IF(AND(MONTH(C3222)&gt;=7,MONTH(C3222)&lt;=9),3,4))))</f>
        <v>2</v>
      </c>
      <c r="D3223" s="76"/>
      <c r="E3223" s="70" t="s">
        <v>2509</v>
      </c>
      <c r="F3223" s="71" t="s">
        <v>11612</v>
      </c>
    </row>
    <row r="3224" spans="1:10" ht="14.25" customHeight="1" x14ac:dyDescent="0.35">
      <c r="A3224" s="76"/>
      <c r="B3224" s="38" t="s">
        <v>13526</v>
      </c>
      <c r="C3224" s="68">
        <v>45432</v>
      </c>
      <c r="D3224" s="76"/>
      <c r="E3224" s="70" t="s">
        <v>3198</v>
      </c>
      <c r="F3224" s="71" t="s">
        <v>11612</v>
      </c>
    </row>
    <row r="3225" spans="1:10" ht="14.25" customHeight="1" x14ac:dyDescent="0.35">
      <c r="A3225" s="76"/>
      <c r="B3225" s="38" t="s">
        <v>1858</v>
      </c>
      <c r="C3225" s="69">
        <f>IF(C3224="","",IF(AND(MONTH(C3224)&gt;=1,MONTH(C3224)&lt;=3),1,IF(AND(MONTH(C3224)&gt;=4,MONTH(C3224)&lt;=6),2,IF(AND(MONTH(C3224)&gt;=7,MONTH(C3224)&lt;=9),3,4))))</f>
        <v>2</v>
      </c>
      <c r="D3225" s="76"/>
      <c r="E3225" s="70" t="s">
        <v>13785</v>
      </c>
      <c r="F3225" s="71"/>
    </row>
    <row r="3227" spans="1:10" ht="14.25" customHeight="1" x14ac:dyDescent="0.35">
      <c r="A3227" s="43" t="s">
        <v>16424</v>
      </c>
      <c r="B3227" s="43" t="s">
        <v>16856</v>
      </c>
      <c r="C3227" s="43" t="s">
        <v>16326</v>
      </c>
      <c r="D3227" s="43" t="s">
        <v>15925</v>
      </c>
      <c r="E3227" s="43" t="s">
        <v>7248</v>
      </c>
      <c r="F3227" s="43" t="s">
        <v>15955</v>
      </c>
    </row>
    <row r="3228" spans="1:10" ht="14.25" customHeight="1" x14ac:dyDescent="0.35">
      <c r="A3228" s="39" t="s">
        <v>12639</v>
      </c>
      <c r="B3228" s="40" t="str">
        <f ca="1">IFERROR(INDEX(UNSPSCDes,MATCH(INDIRECT(ADDRESS(ROW(),COLUMN()-1,4)),UNSPSCCode,0)),IF(INDIRECT(ADDRESS(ROW(),COLUMN()-1,4))="72101607","Instalación o reparación de paredes",""))</f>
        <v>Instalación o reparación de paredes</v>
      </c>
      <c r="C3228" s="72" t="str">
        <f>IFERROR(VLOOKUP("UD",'Informacion '!P:Q,2,FALSE),"")</f>
        <v>Unidad</v>
      </c>
      <c r="D3228" s="39">
        <v>1</v>
      </c>
      <c r="E3228" s="42">
        <v>3000000</v>
      </c>
      <c r="F3228" s="41">
        <f ca="1">INDIRECT(ADDRESS(ROW(),COLUMN()-2,4))*INDIRECT(ADDRESS(ROW(),COLUMN()-1,4))</f>
        <v>3000000</v>
      </c>
    </row>
    <row r="3229" spans="1:10" ht="14.25" customHeight="1" x14ac:dyDescent="0.35">
      <c r="E3229" s="44" t="s">
        <v>13122</v>
      </c>
      <c r="F3229" s="45">
        <f ca="1">SUM(Table163[MONTO TOTAL ESTIMADO])</f>
        <v>3000000</v>
      </c>
      <c r="H3229" s="24" t="str">
        <f>C3221</f>
        <v>Servicios</v>
      </c>
      <c r="I3229" s="24" t="str">
        <f>E3221</f>
        <v>No</v>
      </c>
      <c r="J3229" s="24" t="str">
        <f>D3221</f>
        <v>Comparacion de Precios</v>
      </c>
    </row>
    <row r="3231" spans="1:10" ht="34" customHeight="1" x14ac:dyDescent="0.35">
      <c r="A3231" s="36" t="s">
        <v>17105</v>
      </c>
      <c r="B3231" s="36" t="s">
        <v>167</v>
      </c>
      <c r="C3231" s="36" t="s">
        <v>12252</v>
      </c>
      <c r="D3231" s="36" t="s">
        <v>15021</v>
      </c>
      <c r="E3231" s="36" t="s">
        <v>11455</v>
      </c>
      <c r="F3231" s="36" t="s">
        <v>11595</v>
      </c>
    </row>
    <row r="3232" spans="1:10" ht="14.25" customHeight="1" x14ac:dyDescent="0.35">
      <c r="A3232" s="37" t="s">
        <v>13907</v>
      </c>
      <c r="B3232" s="37" t="s">
        <v>13907</v>
      </c>
      <c r="C3232" s="37" t="s">
        <v>7109</v>
      </c>
      <c r="D3232" s="37" t="s">
        <v>1950</v>
      </c>
      <c r="E3232" s="37" t="s">
        <v>18646</v>
      </c>
      <c r="F3232" s="37" t="s">
        <v>7088</v>
      </c>
    </row>
    <row r="3233" spans="1:10" ht="14.25" customHeight="1" x14ac:dyDescent="0.35">
      <c r="A3233" s="75" t="s">
        <v>15490</v>
      </c>
      <c r="B3233" s="38" t="s">
        <v>8918</v>
      </c>
      <c r="C3233" s="68">
        <v>45402</v>
      </c>
      <c r="D3233" s="75" t="s">
        <v>9819</v>
      </c>
      <c r="E3233" s="70" t="s">
        <v>13683</v>
      </c>
      <c r="F3233" s="71" t="s">
        <v>3205</v>
      </c>
    </row>
    <row r="3234" spans="1:10" ht="14.25" customHeight="1" x14ac:dyDescent="0.35">
      <c r="A3234" s="76"/>
      <c r="B3234" s="38" t="s">
        <v>1858</v>
      </c>
      <c r="C3234" s="69">
        <f>IF(C3233="","",IF(AND(MONTH(C3233)&gt;=1,MONTH(C3233)&lt;=3),1,IF(AND(MONTH(C3233)&gt;=4,MONTH(C3233)&lt;=6),2,IF(AND(MONTH(C3233)&gt;=7,MONTH(C3233)&lt;=9),3,4))))</f>
        <v>2</v>
      </c>
      <c r="D3234" s="76"/>
      <c r="E3234" s="70" t="s">
        <v>2509</v>
      </c>
      <c r="F3234" s="71" t="s">
        <v>11612</v>
      </c>
    </row>
    <row r="3235" spans="1:10" ht="14.25" customHeight="1" x14ac:dyDescent="0.35">
      <c r="A3235" s="76"/>
      <c r="B3235" s="38" t="s">
        <v>13526</v>
      </c>
      <c r="C3235" s="68">
        <v>45442</v>
      </c>
      <c r="D3235" s="76"/>
      <c r="E3235" s="70" t="s">
        <v>3198</v>
      </c>
      <c r="F3235" s="71" t="s">
        <v>11612</v>
      </c>
    </row>
    <row r="3236" spans="1:10" ht="14.25" customHeight="1" x14ac:dyDescent="0.35">
      <c r="A3236" s="76"/>
      <c r="B3236" s="38" t="s">
        <v>1858</v>
      </c>
      <c r="C3236" s="69">
        <f>IF(C3235="","",IF(AND(MONTH(C3235)&gt;=1,MONTH(C3235)&lt;=3),1,IF(AND(MONTH(C3235)&gt;=4,MONTH(C3235)&lt;=6),2,IF(AND(MONTH(C3235)&gt;=7,MONTH(C3235)&lt;=9),3,4))))</f>
        <v>2</v>
      </c>
      <c r="D3236" s="76"/>
      <c r="E3236" s="70" t="s">
        <v>13785</v>
      </c>
      <c r="F3236" s="71"/>
    </row>
    <row r="3238" spans="1:10" ht="14.25" customHeight="1" x14ac:dyDescent="0.35">
      <c r="A3238" s="43" t="s">
        <v>16424</v>
      </c>
      <c r="B3238" s="43" t="s">
        <v>16856</v>
      </c>
      <c r="C3238" s="43" t="s">
        <v>16326</v>
      </c>
      <c r="D3238" s="43" t="s">
        <v>15925</v>
      </c>
      <c r="E3238" s="43" t="s">
        <v>7248</v>
      </c>
      <c r="F3238" s="43" t="s">
        <v>15955</v>
      </c>
    </row>
    <row r="3239" spans="1:10" ht="14.25" customHeight="1" x14ac:dyDescent="0.35">
      <c r="A3239" s="39" t="s">
        <v>12639</v>
      </c>
      <c r="B3239" s="40" t="str">
        <f ca="1">IFERROR(INDEX(UNSPSCDes,MATCH(INDIRECT(ADDRESS(ROW(),COLUMN()-1,4)),UNSPSCCode,0)),IF(INDIRECT(ADDRESS(ROW(),COLUMN()-1,4))="72101607","Instalación o reparación de paredes",""))</f>
        <v>Instalación o reparación de paredes</v>
      </c>
      <c r="C3239" s="72" t="str">
        <f>IFERROR(VLOOKUP("UD",'Informacion '!P:Q,2,FALSE),"")</f>
        <v>Unidad</v>
      </c>
      <c r="D3239" s="39">
        <v>1</v>
      </c>
      <c r="E3239" s="42">
        <v>4773736.7</v>
      </c>
      <c r="F3239" s="41">
        <f ca="1">INDIRECT(ADDRESS(ROW(),COLUMN()-2,4))*INDIRECT(ADDRESS(ROW(),COLUMN()-1,4))</f>
        <v>4773736.7</v>
      </c>
    </row>
    <row r="3240" spans="1:10" ht="14.25" customHeight="1" x14ac:dyDescent="0.35">
      <c r="E3240" s="44" t="s">
        <v>13122</v>
      </c>
      <c r="F3240" s="45">
        <f ca="1">SUM(Table164[MONTO TOTAL ESTIMADO])</f>
        <v>4773736.7</v>
      </c>
      <c r="H3240" s="24" t="str">
        <f>C3232</f>
        <v>Servicios</v>
      </c>
      <c r="I3240" s="24" t="str">
        <f>E3232</f>
        <v>No</v>
      </c>
      <c r="J3240" s="24" t="str">
        <f>D3232</f>
        <v>Comparacion de Precios</v>
      </c>
    </row>
    <row r="3242" spans="1:10" ht="34" customHeight="1" x14ac:dyDescent="0.35">
      <c r="A3242" s="36" t="s">
        <v>17105</v>
      </c>
      <c r="B3242" s="36" t="s">
        <v>167</v>
      </c>
      <c r="C3242" s="36" t="s">
        <v>12252</v>
      </c>
      <c r="D3242" s="36" t="s">
        <v>15021</v>
      </c>
      <c r="E3242" s="36" t="s">
        <v>11455</v>
      </c>
      <c r="F3242" s="36" t="s">
        <v>11595</v>
      </c>
    </row>
    <row r="3243" spans="1:10" ht="14.25" customHeight="1" x14ac:dyDescent="0.35">
      <c r="A3243" s="37" t="s">
        <v>17663</v>
      </c>
      <c r="B3243" s="37" t="s">
        <v>17663</v>
      </c>
      <c r="C3243" s="37" t="s">
        <v>7109</v>
      </c>
      <c r="D3243" s="37" t="s">
        <v>2615</v>
      </c>
      <c r="E3243" s="37" t="s">
        <v>18646</v>
      </c>
      <c r="F3243" s="37" t="s">
        <v>7088</v>
      </c>
    </row>
    <row r="3244" spans="1:10" ht="14.25" customHeight="1" x14ac:dyDescent="0.35">
      <c r="A3244" s="75" t="s">
        <v>15490</v>
      </c>
      <c r="B3244" s="38" t="s">
        <v>8918</v>
      </c>
      <c r="C3244" s="68">
        <v>45402</v>
      </c>
      <c r="D3244" s="75" t="s">
        <v>9819</v>
      </c>
      <c r="E3244" s="70" t="s">
        <v>13683</v>
      </c>
      <c r="F3244" s="71" t="s">
        <v>3205</v>
      </c>
    </row>
    <row r="3245" spans="1:10" ht="14.25" customHeight="1" x14ac:dyDescent="0.35">
      <c r="A3245" s="76"/>
      <c r="B3245" s="38" t="s">
        <v>1858</v>
      </c>
      <c r="C3245" s="69">
        <f>IF(C3244="","",IF(AND(MONTH(C3244)&gt;=1,MONTH(C3244)&lt;=3),1,IF(AND(MONTH(C3244)&gt;=4,MONTH(C3244)&lt;=6),2,IF(AND(MONTH(C3244)&gt;=7,MONTH(C3244)&lt;=9),3,4))))</f>
        <v>2</v>
      </c>
      <c r="D3245" s="76"/>
      <c r="E3245" s="70" t="s">
        <v>2509</v>
      </c>
      <c r="F3245" s="71" t="s">
        <v>11612</v>
      </c>
    </row>
    <row r="3246" spans="1:10" ht="14.25" customHeight="1" x14ac:dyDescent="0.35">
      <c r="A3246" s="76"/>
      <c r="B3246" s="38" t="s">
        <v>13526</v>
      </c>
      <c r="C3246" s="68">
        <v>45442</v>
      </c>
      <c r="D3246" s="76"/>
      <c r="E3246" s="70" t="s">
        <v>3198</v>
      </c>
      <c r="F3246" s="71" t="s">
        <v>11612</v>
      </c>
    </row>
    <row r="3247" spans="1:10" ht="14.25" customHeight="1" x14ac:dyDescent="0.35">
      <c r="A3247" s="76"/>
      <c r="B3247" s="38" t="s">
        <v>1858</v>
      </c>
      <c r="C3247" s="69">
        <f>IF(C3246="","",IF(AND(MONTH(C3246)&gt;=1,MONTH(C3246)&lt;=3),1,IF(AND(MONTH(C3246)&gt;=4,MONTH(C3246)&lt;=6),2,IF(AND(MONTH(C3246)&gt;=7,MONTH(C3246)&lt;=9),3,4))))</f>
        <v>2</v>
      </c>
      <c r="D3247" s="76"/>
      <c r="E3247" s="70" t="s">
        <v>13785</v>
      </c>
      <c r="F3247" s="71"/>
    </row>
    <row r="3249" spans="1:10" ht="14.25" customHeight="1" x14ac:dyDescent="0.35">
      <c r="A3249" s="43" t="s">
        <v>16424</v>
      </c>
      <c r="B3249" s="43" t="s">
        <v>16856</v>
      </c>
      <c r="C3249" s="43" t="s">
        <v>16326</v>
      </c>
      <c r="D3249" s="43" t="s">
        <v>15925</v>
      </c>
      <c r="E3249" s="43" t="s">
        <v>7248</v>
      </c>
      <c r="F3249" s="43" t="s">
        <v>15955</v>
      </c>
    </row>
    <row r="3250" spans="1:10" ht="14.25" customHeight="1" x14ac:dyDescent="0.35">
      <c r="A3250" s="39" t="s">
        <v>15798</v>
      </c>
      <c r="B3250" s="40" t="str">
        <f ca="1">IFERROR(INDEX(UNSPSCDes,MATCH(INDIRECT(ADDRESS(ROW(),COLUMN()-1,4)),UNSPSCCode,0)),IF(INDIRECT(ADDRESS(ROW(),COLUMN()-1,4))="72102801","Renovación de edificios, mojones y monumentos",""))</f>
        <v>Renovación de edificios, mojones y monumentos</v>
      </c>
      <c r="C3250" s="72" t="str">
        <f>IFERROR(VLOOKUP("UD",'Informacion '!P:Q,2,FALSE),"")</f>
        <v>Unidad</v>
      </c>
      <c r="D3250" s="39">
        <v>1</v>
      </c>
      <c r="E3250" s="42">
        <v>28000000</v>
      </c>
      <c r="F3250" s="41">
        <f ca="1">INDIRECT(ADDRESS(ROW(),COLUMN()-2,4))*INDIRECT(ADDRESS(ROW(),COLUMN()-1,4))</f>
        <v>28000000</v>
      </c>
    </row>
    <row r="3251" spans="1:10" ht="14.25" customHeight="1" x14ac:dyDescent="0.35">
      <c r="E3251" s="44" t="s">
        <v>13122</v>
      </c>
      <c r="F3251" s="45">
        <f ca="1">SUM(Table165[MONTO TOTAL ESTIMADO])</f>
        <v>28000000</v>
      </c>
      <c r="H3251" s="24" t="str">
        <f>C3243</f>
        <v>Servicios</v>
      </c>
      <c r="I3251" s="24" t="str">
        <f>E3243</f>
        <v>No</v>
      </c>
      <c r="J3251" s="24" t="str">
        <f>D3243</f>
        <v>Licitacion Publica</v>
      </c>
    </row>
    <row r="3253" spans="1:10" ht="34" customHeight="1" x14ac:dyDescent="0.35">
      <c r="A3253" s="36" t="s">
        <v>17105</v>
      </c>
      <c r="B3253" s="36" t="s">
        <v>167</v>
      </c>
      <c r="C3253" s="36" t="s">
        <v>12252</v>
      </c>
      <c r="D3253" s="36" t="s">
        <v>15021</v>
      </c>
      <c r="E3253" s="36" t="s">
        <v>11455</v>
      </c>
      <c r="F3253" s="36" t="s">
        <v>11595</v>
      </c>
    </row>
    <row r="3254" spans="1:10" ht="14.25" customHeight="1" x14ac:dyDescent="0.35">
      <c r="A3254" s="37" t="s">
        <v>17675</v>
      </c>
      <c r="B3254" s="37" t="s">
        <v>17675</v>
      </c>
      <c r="C3254" s="37" t="s">
        <v>7109</v>
      </c>
      <c r="D3254" s="37" t="s">
        <v>13679</v>
      </c>
      <c r="E3254" s="37" t="s">
        <v>18646</v>
      </c>
      <c r="F3254" s="37" t="s">
        <v>7088</v>
      </c>
    </row>
    <row r="3255" spans="1:10" ht="14.25" customHeight="1" x14ac:dyDescent="0.35">
      <c r="A3255" s="75" t="s">
        <v>15490</v>
      </c>
      <c r="B3255" s="38" t="s">
        <v>8918</v>
      </c>
      <c r="C3255" s="68">
        <v>45442</v>
      </c>
      <c r="D3255" s="75" t="s">
        <v>9819</v>
      </c>
      <c r="E3255" s="70" t="s">
        <v>13683</v>
      </c>
      <c r="F3255" s="71" t="s">
        <v>3205</v>
      </c>
    </row>
    <row r="3256" spans="1:10" ht="14.25" customHeight="1" x14ac:dyDescent="0.35">
      <c r="A3256" s="76"/>
      <c r="B3256" s="38" t="s">
        <v>1858</v>
      </c>
      <c r="C3256" s="69">
        <f>IF(C3255="","",IF(AND(MONTH(C3255)&gt;=1,MONTH(C3255)&lt;=3),1,IF(AND(MONTH(C3255)&gt;=4,MONTH(C3255)&lt;=6),2,IF(AND(MONTH(C3255)&gt;=7,MONTH(C3255)&lt;=9),3,4))))</f>
        <v>2</v>
      </c>
      <c r="D3256" s="76"/>
      <c r="E3256" s="70" t="s">
        <v>2509</v>
      </c>
      <c r="F3256" s="71" t="s">
        <v>11612</v>
      </c>
    </row>
    <row r="3257" spans="1:10" ht="14.25" customHeight="1" x14ac:dyDescent="0.35">
      <c r="A3257" s="76"/>
      <c r="B3257" s="38" t="s">
        <v>13526</v>
      </c>
      <c r="C3257" s="68">
        <v>45473</v>
      </c>
      <c r="D3257" s="76"/>
      <c r="E3257" s="70" t="s">
        <v>3198</v>
      </c>
      <c r="F3257" s="71" t="s">
        <v>11612</v>
      </c>
    </row>
    <row r="3258" spans="1:10" ht="14.25" customHeight="1" x14ac:dyDescent="0.35">
      <c r="A3258" s="76"/>
      <c r="B3258" s="38" t="s">
        <v>1858</v>
      </c>
      <c r="C3258" s="69">
        <f>IF(C3257="","",IF(AND(MONTH(C3257)&gt;=1,MONTH(C3257)&lt;=3),1,IF(AND(MONTH(C3257)&gt;=4,MONTH(C3257)&lt;=6),2,IF(AND(MONTH(C3257)&gt;=7,MONTH(C3257)&lt;=9),3,4))))</f>
        <v>2</v>
      </c>
      <c r="D3258" s="76"/>
      <c r="E3258" s="70" t="s">
        <v>13785</v>
      </c>
      <c r="F3258" s="71"/>
    </row>
    <row r="3260" spans="1:10" ht="14.25" customHeight="1" x14ac:dyDescent="0.35">
      <c r="A3260" s="43" t="s">
        <v>16424</v>
      </c>
      <c r="B3260" s="43" t="s">
        <v>16856</v>
      </c>
      <c r="C3260" s="43" t="s">
        <v>16326</v>
      </c>
      <c r="D3260" s="43" t="s">
        <v>15925</v>
      </c>
      <c r="E3260" s="43" t="s">
        <v>7248</v>
      </c>
      <c r="F3260" s="43" t="s">
        <v>15955</v>
      </c>
    </row>
    <row r="3261" spans="1:10" ht="14.25" customHeight="1" x14ac:dyDescent="0.35">
      <c r="A3261" s="39" t="s">
        <v>12087</v>
      </c>
      <c r="B3261" s="40" t="str">
        <f t="shared" ref="B3261:B3275" ca="1" si="127">IFERROR(INDEX(UNSPSCDes,MATCH(INDIRECT(ADDRESS(ROW(),COLUMN()-1,4)),UNSPSCCode,0)),IF(INDIRECT(ADDRESS(ROW(),COLUMN()-1,4))="72131601","Construcción de centrales eléctricas",""))</f>
        <v>Construcción de centrales eléctricas</v>
      </c>
      <c r="C3261" s="72" t="str">
        <f>IFERROR(VLOOKUP("UD",'Informacion '!P:Q,2,FALSE),"")</f>
        <v>Unidad</v>
      </c>
      <c r="D3261" s="39">
        <v>1</v>
      </c>
      <c r="E3261" s="42">
        <v>7188624.8799999999</v>
      </c>
      <c r="F3261" s="41">
        <f t="shared" ref="F3261:F3275" ca="1" si="128">INDIRECT(ADDRESS(ROW(),COLUMN()-2,4))*INDIRECT(ADDRESS(ROW(),COLUMN()-1,4))</f>
        <v>7188624.8799999999</v>
      </c>
    </row>
    <row r="3262" spans="1:10" ht="14.25" customHeight="1" x14ac:dyDescent="0.35">
      <c r="A3262" s="39" t="s">
        <v>12087</v>
      </c>
      <c r="B3262" s="40" t="str">
        <f t="shared" ca="1" si="127"/>
        <v>Construcción de centrales eléctricas</v>
      </c>
      <c r="C3262" s="72" t="str">
        <f>IFERROR(VLOOKUP("UD",'Informacion '!P:Q,2,FALSE),"")</f>
        <v>Unidad</v>
      </c>
      <c r="D3262" s="39">
        <v>1</v>
      </c>
      <c r="E3262" s="42">
        <v>1267897.8899999999</v>
      </c>
      <c r="F3262" s="41">
        <f t="shared" ca="1" si="128"/>
        <v>1267897.8899999999</v>
      </c>
    </row>
    <row r="3263" spans="1:10" ht="14.25" customHeight="1" x14ac:dyDescent="0.35">
      <c r="A3263" s="39" t="s">
        <v>12087</v>
      </c>
      <c r="B3263" s="40" t="str">
        <f t="shared" ca="1" si="127"/>
        <v>Construcción de centrales eléctricas</v>
      </c>
      <c r="C3263" s="72" t="str">
        <f>IFERROR(VLOOKUP("UD",'Informacion '!P:Q,2,FALSE),"")</f>
        <v>Unidad</v>
      </c>
      <c r="D3263" s="39">
        <v>1</v>
      </c>
      <c r="E3263" s="42">
        <v>12304533.58</v>
      </c>
      <c r="F3263" s="41">
        <f t="shared" ca="1" si="128"/>
        <v>12304533.58</v>
      </c>
    </row>
    <row r="3264" spans="1:10" ht="14.25" customHeight="1" x14ac:dyDescent="0.35">
      <c r="A3264" s="39" t="s">
        <v>12087</v>
      </c>
      <c r="B3264" s="40" t="str">
        <f t="shared" ca="1" si="127"/>
        <v>Construcción de centrales eléctricas</v>
      </c>
      <c r="C3264" s="72" t="str">
        <f>IFERROR(VLOOKUP("UD",'Informacion '!P:Q,2,FALSE),"")</f>
        <v>Unidad</v>
      </c>
      <c r="D3264" s="39">
        <v>1</v>
      </c>
      <c r="E3264" s="42">
        <v>13693813.039999999</v>
      </c>
      <c r="F3264" s="41">
        <f t="shared" ca="1" si="128"/>
        <v>13693813.039999999</v>
      </c>
    </row>
    <row r="3265" spans="1:10" ht="14.25" customHeight="1" x14ac:dyDescent="0.35">
      <c r="A3265" s="39" t="s">
        <v>12087</v>
      </c>
      <c r="B3265" s="40" t="str">
        <f t="shared" ca="1" si="127"/>
        <v>Construcción de centrales eléctricas</v>
      </c>
      <c r="C3265" s="72" t="str">
        <f>IFERROR(VLOOKUP("UD",'Informacion '!P:Q,2,FALSE),"")</f>
        <v>Unidad</v>
      </c>
      <c r="D3265" s="39">
        <v>1</v>
      </c>
      <c r="E3265" s="42">
        <v>7110479.4500000002</v>
      </c>
      <c r="F3265" s="41">
        <f t="shared" ca="1" si="128"/>
        <v>7110479.4500000002</v>
      </c>
    </row>
    <row r="3266" spans="1:10" ht="14.25" customHeight="1" x14ac:dyDescent="0.35">
      <c r="A3266" s="39" t="s">
        <v>12087</v>
      </c>
      <c r="B3266" s="40" t="str">
        <f t="shared" ca="1" si="127"/>
        <v>Construcción de centrales eléctricas</v>
      </c>
      <c r="C3266" s="72" t="str">
        <f>IFERROR(VLOOKUP("UD",'Informacion '!P:Q,2,FALSE),"")</f>
        <v>Unidad</v>
      </c>
      <c r="D3266" s="39">
        <v>1</v>
      </c>
      <c r="E3266" s="42">
        <v>5314795.71</v>
      </c>
      <c r="F3266" s="41">
        <f t="shared" ca="1" si="128"/>
        <v>5314795.71</v>
      </c>
    </row>
    <row r="3267" spans="1:10" ht="14.25" customHeight="1" x14ac:dyDescent="0.35">
      <c r="A3267" s="39" t="s">
        <v>12087</v>
      </c>
      <c r="B3267" s="40" t="str">
        <f t="shared" ca="1" si="127"/>
        <v>Construcción de centrales eléctricas</v>
      </c>
      <c r="C3267" s="72" t="str">
        <f>IFERROR(VLOOKUP("UD",'Informacion '!P:Q,2,FALSE),"")</f>
        <v>Unidad</v>
      </c>
      <c r="D3267" s="39">
        <v>1</v>
      </c>
      <c r="E3267" s="42">
        <v>6815161.21</v>
      </c>
      <c r="F3267" s="41">
        <f t="shared" ca="1" si="128"/>
        <v>6815161.21</v>
      </c>
    </row>
    <row r="3268" spans="1:10" ht="14.25" customHeight="1" x14ac:dyDescent="0.35">
      <c r="A3268" s="39" t="s">
        <v>12087</v>
      </c>
      <c r="B3268" s="40" t="str">
        <f t="shared" ca="1" si="127"/>
        <v>Construcción de centrales eléctricas</v>
      </c>
      <c r="C3268" s="72" t="str">
        <f>IFERROR(VLOOKUP("UD",'Informacion '!P:Q,2,FALSE),"")</f>
        <v>Unidad</v>
      </c>
      <c r="D3268" s="39">
        <v>1</v>
      </c>
      <c r="E3268" s="42">
        <v>17827846.829999998</v>
      </c>
      <c r="F3268" s="41">
        <f t="shared" ca="1" si="128"/>
        <v>17827846.829999998</v>
      </c>
    </row>
    <row r="3269" spans="1:10" ht="14.25" customHeight="1" x14ac:dyDescent="0.35">
      <c r="A3269" s="39" t="s">
        <v>12087</v>
      </c>
      <c r="B3269" s="40" t="str">
        <f t="shared" ca="1" si="127"/>
        <v>Construcción de centrales eléctricas</v>
      </c>
      <c r="C3269" s="72" t="str">
        <f>IFERROR(VLOOKUP("UD",'Informacion '!P:Q,2,FALSE),"")</f>
        <v>Unidad</v>
      </c>
      <c r="D3269" s="39">
        <v>1</v>
      </c>
      <c r="E3269" s="42">
        <v>11497595.18</v>
      </c>
      <c r="F3269" s="41">
        <f t="shared" ca="1" si="128"/>
        <v>11497595.18</v>
      </c>
    </row>
    <row r="3270" spans="1:10" ht="14.25" customHeight="1" x14ac:dyDescent="0.35">
      <c r="A3270" s="39" t="s">
        <v>12087</v>
      </c>
      <c r="B3270" s="40" t="str">
        <f t="shared" ca="1" si="127"/>
        <v>Construcción de centrales eléctricas</v>
      </c>
      <c r="C3270" s="72" t="str">
        <f>IFERROR(VLOOKUP("UD",'Informacion '!P:Q,2,FALSE),"")</f>
        <v>Unidad</v>
      </c>
      <c r="D3270" s="39">
        <v>1</v>
      </c>
      <c r="E3270" s="42">
        <v>19619858.489999998</v>
      </c>
      <c r="F3270" s="41">
        <f t="shared" ca="1" si="128"/>
        <v>19619858.489999998</v>
      </c>
    </row>
    <row r="3271" spans="1:10" ht="14.25" customHeight="1" x14ac:dyDescent="0.35">
      <c r="A3271" s="39" t="s">
        <v>12087</v>
      </c>
      <c r="B3271" s="40" t="str">
        <f t="shared" ca="1" si="127"/>
        <v>Construcción de centrales eléctricas</v>
      </c>
      <c r="C3271" s="72" t="str">
        <f>IFERROR(VLOOKUP("UD",'Informacion '!P:Q,2,FALSE),"")</f>
        <v>Unidad</v>
      </c>
      <c r="D3271" s="39">
        <v>1</v>
      </c>
      <c r="E3271" s="42">
        <v>7085843.0599999996</v>
      </c>
      <c r="F3271" s="41">
        <f t="shared" ca="1" si="128"/>
        <v>7085843.0599999996</v>
      </c>
    </row>
    <row r="3272" spans="1:10" ht="14.25" customHeight="1" x14ac:dyDescent="0.35">
      <c r="A3272" s="39" t="s">
        <v>12087</v>
      </c>
      <c r="B3272" s="40" t="str">
        <f t="shared" ca="1" si="127"/>
        <v>Construcción de centrales eléctricas</v>
      </c>
      <c r="C3272" s="72" t="str">
        <f>IFERROR(VLOOKUP("UD",'Informacion '!P:Q,2,FALSE),"")</f>
        <v>Unidad</v>
      </c>
      <c r="D3272" s="39">
        <v>1</v>
      </c>
      <c r="E3272" s="42">
        <v>3244601.31</v>
      </c>
      <c r="F3272" s="41">
        <f t="shared" ca="1" si="128"/>
        <v>3244601.31</v>
      </c>
    </row>
    <row r="3273" spans="1:10" ht="14.25" customHeight="1" x14ac:dyDescent="0.35">
      <c r="A3273" s="39" t="s">
        <v>12087</v>
      </c>
      <c r="B3273" s="40" t="str">
        <f t="shared" ca="1" si="127"/>
        <v>Construcción de centrales eléctricas</v>
      </c>
      <c r="C3273" s="72" t="str">
        <f>IFERROR(VLOOKUP("UD",'Informacion '!P:Q,2,FALSE),"")</f>
        <v>Unidad</v>
      </c>
      <c r="D3273" s="39">
        <v>1</v>
      </c>
      <c r="E3273" s="42">
        <v>11091621.66</v>
      </c>
      <c r="F3273" s="41">
        <f t="shared" ca="1" si="128"/>
        <v>11091621.66</v>
      </c>
    </row>
    <row r="3274" spans="1:10" ht="14.25" customHeight="1" x14ac:dyDescent="0.35">
      <c r="A3274" s="39" t="s">
        <v>12087</v>
      </c>
      <c r="B3274" s="40" t="str">
        <f t="shared" ca="1" si="127"/>
        <v>Construcción de centrales eléctricas</v>
      </c>
      <c r="C3274" s="72" t="str">
        <f>IFERROR(VLOOKUP("UD",'Informacion '!P:Q,2,FALSE),"")</f>
        <v>Unidad</v>
      </c>
      <c r="D3274" s="39">
        <v>1</v>
      </c>
      <c r="E3274" s="42">
        <v>6402482.4400000004</v>
      </c>
      <c r="F3274" s="41">
        <f t="shared" ca="1" si="128"/>
        <v>6402482.4400000004</v>
      </c>
    </row>
    <row r="3275" spans="1:10" ht="14.25" customHeight="1" x14ac:dyDescent="0.35">
      <c r="A3275" s="39" t="s">
        <v>12087</v>
      </c>
      <c r="B3275" s="40" t="str">
        <f t="shared" ca="1" si="127"/>
        <v>Construcción de centrales eléctricas</v>
      </c>
      <c r="C3275" s="72" t="str">
        <f>IFERROR(VLOOKUP("UD",'Informacion '!P:Q,2,FALSE),"")</f>
        <v>Unidad</v>
      </c>
      <c r="D3275" s="39">
        <v>1</v>
      </c>
      <c r="E3275" s="42">
        <v>4179371.08</v>
      </c>
      <c r="F3275" s="41">
        <f t="shared" ca="1" si="128"/>
        <v>4179371.08</v>
      </c>
    </row>
    <row r="3276" spans="1:10" ht="14.25" customHeight="1" x14ac:dyDescent="0.35">
      <c r="E3276" s="44" t="s">
        <v>13122</v>
      </c>
      <c r="F3276" s="45">
        <f ca="1">SUM(Table166[MONTO TOTAL ESTIMADO])</f>
        <v>134644525.81</v>
      </c>
      <c r="H3276" s="24" t="str">
        <f>C3254</f>
        <v>Servicios</v>
      </c>
      <c r="I3276" s="24" t="str">
        <f>E3254</f>
        <v>No</v>
      </c>
      <c r="J3276" s="24" t="str">
        <f>D3254</f>
        <v>Sorteo de Obras</v>
      </c>
    </row>
    <row r="3278" spans="1:10" ht="34" customHeight="1" x14ac:dyDescent="0.35">
      <c r="A3278" s="36" t="s">
        <v>17105</v>
      </c>
      <c r="B3278" s="36" t="s">
        <v>167</v>
      </c>
      <c r="C3278" s="36" t="s">
        <v>12252</v>
      </c>
      <c r="D3278" s="36" t="s">
        <v>15021</v>
      </c>
      <c r="E3278" s="36" t="s">
        <v>11455</v>
      </c>
      <c r="F3278" s="36" t="s">
        <v>11595</v>
      </c>
    </row>
    <row r="3279" spans="1:10" ht="14.25" customHeight="1" x14ac:dyDescent="0.35">
      <c r="A3279" s="37" t="s">
        <v>11560</v>
      </c>
      <c r="B3279" s="37" t="s">
        <v>11560</v>
      </c>
      <c r="C3279" s="37" t="s">
        <v>18585</v>
      </c>
      <c r="D3279" s="37" t="s">
        <v>10634</v>
      </c>
      <c r="E3279" s="37" t="s">
        <v>9261</v>
      </c>
      <c r="F3279" s="37" t="s">
        <v>7088</v>
      </c>
    </row>
    <row r="3280" spans="1:10" ht="14.25" customHeight="1" x14ac:dyDescent="0.35">
      <c r="A3280" s="75" t="s">
        <v>15490</v>
      </c>
      <c r="B3280" s="38" t="s">
        <v>8918</v>
      </c>
      <c r="C3280" s="68">
        <v>45334</v>
      </c>
      <c r="D3280" s="75" t="s">
        <v>9819</v>
      </c>
      <c r="E3280" s="70" t="s">
        <v>13683</v>
      </c>
      <c r="F3280" s="71" t="s">
        <v>3205</v>
      </c>
    </row>
    <row r="3281" spans="1:10" ht="14.25" customHeight="1" x14ac:dyDescent="0.35">
      <c r="A3281" s="76"/>
      <c r="B3281" s="38" t="s">
        <v>1858</v>
      </c>
      <c r="C3281" s="69">
        <f>IF(C3280="","",IF(AND(MONTH(C3280)&gt;=1,MONTH(C3280)&lt;=3),1,IF(AND(MONTH(C3280)&gt;=4,MONTH(C3280)&lt;=6),2,IF(AND(MONTH(C3280)&gt;=7,MONTH(C3280)&lt;=9),3,4))))</f>
        <v>1</v>
      </c>
      <c r="D3281" s="76"/>
      <c r="E3281" s="70" t="s">
        <v>2509</v>
      </c>
      <c r="F3281" s="71" t="s">
        <v>11612</v>
      </c>
    </row>
    <row r="3282" spans="1:10" ht="14.25" customHeight="1" x14ac:dyDescent="0.35">
      <c r="A3282" s="76"/>
      <c r="B3282" s="38" t="s">
        <v>13526</v>
      </c>
      <c r="C3282" s="68">
        <v>45381</v>
      </c>
      <c r="D3282" s="76"/>
      <c r="E3282" s="70" t="s">
        <v>3198</v>
      </c>
      <c r="F3282" s="71" t="s">
        <v>11612</v>
      </c>
    </row>
    <row r="3283" spans="1:10" ht="14.25" customHeight="1" x14ac:dyDescent="0.35">
      <c r="A3283" s="76"/>
      <c r="B3283" s="38" t="s">
        <v>1858</v>
      </c>
      <c r="C3283" s="69">
        <f>IF(C3282="","",IF(AND(MONTH(C3282)&gt;=1,MONTH(C3282)&lt;=3),1,IF(AND(MONTH(C3282)&gt;=4,MONTH(C3282)&lt;=6),2,IF(AND(MONTH(C3282)&gt;=7,MONTH(C3282)&lt;=9),3,4))))</f>
        <v>1</v>
      </c>
      <c r="D3283" s="76"/>
      <c r="E3283" s="70" t="s">
        <v>13785</v>
      </c>
      <c r="F3283" s="71"/>
    </row>
    <row r="3285" spans="1:10" ht="14.25" customHeight="1" x14ac:dyDescent="0.35">
      <c r="A3285" s="43" t="s">
        <v>16424</v>
      </c>
      <c r="B3285" s="43" t="s">
        <v>16856</v>
      </c>
      <c r="C3285" s="43" t="s">
        <v>16326</v>
      </c>
      <c r="D3285" s="43" t="s">
        <v>15925</v>
      </c>
      <c r="E3285" s="43" t="s">
        <v>7248</v>
      </c>
      <c r="F3285" s="43" t="s">
        <v>15955</v>
      </c>
    </row>
    <row r="3286" spans="1:10" ht="14.25" customHeight="1" x14ac:dyDescent="0.35">
      <c r="A3286" s="39" t="s">
        <v>3579</v>
      </c>
      <c r="B3286" s="40" t="str">
        <f ca="1">IFERROR(INDEX(UNSPSCDes,MATCH(INDIRECT(ADDRESS(ROW(),COLUMN()-1,4)),UNSPSCCode,0)),IF(INDIRECT(ADDRESS(ROW(),COLUMN()-1,4))="26131701","Detectores de gases inflamables o peligrosos para generadores",""))</f>
        <v>Detectores de gases inflamables o peligrosos para generadores</v>
      </c>
      <c r="C3286" s="72" t="str">
        <f>IFERROR(VLOOKUP("UD",'Informacion '!P:Q,2,FALSE),"")</f>
        <v>Unidad</v>
      </c>
      <c r="D3286" s="39">
        <v>2</v>
      </c>
      <c r="E3286" s="42">
        <v>56000</v>
      </c>
      <c r="F3286" s="41">
        <f ca="1">INDIRECT(ADDRESS(ROW(),COLUMN()-2,4))*INDIRECT(ADDRESS(ROW(),COLUMN()-1,4))</f>
        <v>112000</v>
      </c>
    </row>
    <row r="3287" spans="1:10" ht="14.25" customHeight="1" x14ac:dyDescent="0.35">
      <c r="E3287" s="44" t="s">
        <v>13122</v>
      </c>
      <c r="F3287" s="45">
        <f ca="1">SUM(Table167[MONTO TOTAL ESTIMADO])</f>
        <v>112000</v>
      </c>
      <c r="H3287" s="24" t="str">
        <f>C3279</f>
        <v>Bienes</v>
      </c>
      <c r="I3287" s="24" t="str">
        <f>E3279</f>
        <v>Sí</v>
      </c>
      <c r="J3287" s="24" t="str">
        <f>D3279</f>
        <v>Compras por debajo del Umbral</v>
      </c>
    </row>
    <row r="3289" spans="1:10" ht="34" customHeight="1" x14ac:dyDescent="0.35">
      <c r="A3289" s="36" t="s">
        <v>17105</v>
      </c>
      <c r="B3289" s="36" t="s">
        <v>167</v>
      </c>
      <c r="C3289" s="36" t="s">
        <v>12252</v>
      </c>
      <c r="D3289" s="36" t="s">
        <v>15021</v>
      </c>
      <c r="E3289" s="36" t="s">
        <v>11455</v>
      </c>
      <c r="F3289" s="36" t="s">
        <v>11595</v>
      </c>
    </row>
    <row r="3290" spans="1:10" ht="14.25" customHeight="1" x14ac:dyDescent="0.35">
      <c r="A3290" s="37" t="s">
        <v>8651</v>
      </c>
      <c r="B3290" s="37" t="s">
        <v>8651</v>
      </c>
      <c r="C3290" s="37" t="s">
        <v>18585</v>
      </c>
      <c r="D3290" s="37" t="s">
        <v>18256</v>
      </c>
      <c r="E3290" s="37" t="s">
        <v>9261</v>
      </c>
      <c r="F3290" s="37" t="s">
        <v>7088</v>
      </c>
    </row>
    <row r="3291" spans="1:10" ht="14.25" customHeight="1" x14ac:dyDescent="0.35">
      <c r="A3291" s="75" t="s">
        <v>15490</v>
      </c>
      <c r="B3291" s="38" t="s">
        <v>8918</v>
      </c>
      <c r="C3291" s="68">
        <v>45334</v>
      </c>
      <c r="D3291" s="75" t="s">
        <v>9819</v>
      </c>
      <c r="E3291" s="70" t="s">
        <v>13683</v>
      </c>
      <c r="F3291" s="71" t="s">
        <v>3205</v>
      </c>
    </row>
    <row r="3292" spans="1:10" ht="14.25" customHeight="1" x14ac:dyDescent="0.35">
      <c r="A3292" s="76"/>
      <c r="B3292" s="38" t="s">
        <v>1858</v>
      </c>
      <c r="C3292" s="69">
        <f>IF(C3291="","",IF(AND(MONTH(C3291)&gt;=1,MONTH(C3291)&lt;=3),1,IF(AND(MONTH(C3291)&gt;=4,MONTH(C3291)&lt;=6),2,IF(AND(MONTH(C3291)&gt;=7,MONTH(C3291)&lt;=9),3,4))))</f>
        <v>1</v>
      </c>
      <c r="D3292" s="76"/>
      <c r="E3292" s="70" t="s">
        <v>2509</v>
      </c>
      <c r="F3292" s="71" t="s">
        <v>11612</v>
      </c>
    </row>
    <row r="3293" spans="1:10" ht="14.25" customHeight="1" x14ac:dyDescent="0.35">
      <c r="A3293" s="76"/>
      <c r="B3293" s="38" t="s">
        <v>13526</v>
      </c>
      <c r="C3293" s="68">
        <v>45381</v>
      </c>
      <c r="D3293" s="76"/>
      <c r="E3293" s="70" t="s">
        <v>3198</v>
      </c>
      <c r="F3293" s="71" t="s">
        <v>11612</v>
      </c>
    </row>
    <row r="3294" spans="1:10" ht="14.25" customHeight="1" x14ac:dyDescent="0.35">
      <c r="A3294" s="76"/>
      <c r="B3294" s="38" t="s">
        <v>1858</v>
      </c>
      <c r="C3294" s="69">
        <f>IF(C3293="","",IF(AND(MONTH(C3293)&gt;=1,MONTH(C3293)&lt;=3),1,IF(AND(MONTH(C3293)&gt;=4,MONTH(C3293)&lt;=6),2,IF(AND(MONTH(C3293)&gt;=7,MONTH(C3293)&lt;=9),3,4))))</f>
        <v>1</v>
      </c>
      <c r="D3294" s="76"/>
      <c r="E3294" s="70" t="s">
        <v>13785</v>
      </c>
      <c r="F3294" s="71"/>
    </row>
    <row r="3296" spans="1:10" ht="14.25" customHeight="1" x14ac:dyDescent="0.35">
      <c r="A3296" s="43" t="s">
        <v>16424</v>
      </c>
      <c r="B3296" s="43" t="s">
        <v>16856</v>
      </c>
      <c r="C3296" s="43" t="s">
        <v>16326</v>
      </c>
      <c r="D3296" s="43" t="s">
        <v>15925</v>
      </c>
      <c r="E3296" s="43" t="s">
        <v>7248</v>
      </c>
      <c r="F3296" s="43" t="s">
        <v>15955</v>
      </c>
    </row>
    <row r="3297" spans="1:6" ht="14.25" customHeight="1" x14ac:dyDescent="0.35">
      <c r="A3297" s="39" t="s">
        <v>5329</v>
      </c>
      <c r="B3297" s="40" t="str">
        <f ca="1">IFERROR(INDEX(UNSPSCDes,MATCH(INDIRECT(ADDRESS(ROW(),COLUMN()-1,4)),UNSPSCCode,0)),IF(INDIRECT(ADDRESS(ROW(),COLUMN()-1,4))="27111511","Cortadores de alambres",""))</f>
        <v>Cortadores de alambres</v>
      </c>
      <c r="C3297" s="72" t="str">
        <f>IFERROR(VLOOKUP("UD",'Informacion '!P:Q,2,FALSE),"")</f>
        <v>Unidad</v>
      </c>
      <c r="D3297" s="39">
        <v>2</v>
      </c>
      <c r="E3297" s="42">
        <v>194300</v>
      </c>
      <c r="F3297" s="41">
        <f t="shared" ref="F3297:F3328" ca="1" si="129">INDIRECT(ADDRESS(ROW(),COLUMN()-2,4))*INDIRECT(ADDRESS(ROW(),COLUMN()-1,4))</f>
        <v>388600</v>
      </c>
    </row>
    <row r="3298" spans="1:6" ht="14.25" customHeight="1" x14ac:dyDescent="0.35">
      <c r="A3298" s="39" t="s">
        <v>16306</v>
      </c>
      <c r="B3298" s="40" t="str">
        <f ca="1">IFERROR(INDEX(UNSPSCDes,MATCH(INDIRECT(ADDRESS(ROW(),COLUMN()-1,4)),UNSPSCCode,0)),IF(INDIRECT(ADDRESS(ROW(),COLUMN()-1,4))="27111514","Cortadores de vidrio",""))</f>
        <v>Cortadores de vidrio</v>
      </c>
      <c r="C3298" s="72" t="str">
        <f>IFERROR(VLOOKUP("UD",'Informacion '!P:Q,2,FALSE),"")</f>
        <v>Unidad</v>
      </c>
      <c r="D3298" s="39">
        <v>7</v>
      </c>
      <c r="E3298" s="42">
        <v>731.5</v>
      </c>
      <c r="F3298" s="41">
        <f t="shared" ca="1" si="129"/>
        <v>5120.5</v>
      </c>
    </row>
    <row r="3299" spans="1:6" ht="14.25" customHeight="1" x14ac:dyDescent="0.35">
      <c r="A3299" s="39" t="s">
        <v>4723</v>
      </c>
      <c r="B3299" s="40" t="str">
        <f ca="1">IFERROR(INDEX(UNSPSCDes,MATCH(INDIRECT(ADDRESS(ROW(),COLUMN()-1,4)),UNSPSCCode,0)),IF(INDIRECT(ADDRESS(ROW(),COLUMN()-1,4))="27111516","Alicates de perforación",""))</f>
        <v>Alicates de perforación</v>
      </c>
      <c r="C3299" s="72" t="str">
        <f>IFERROR(VLOOKUP("UD",'Informacion '!P:Q,2,FALSE),"")</f>
        <v>Unidad</v>
      </c>
      <c r="D3299" s="39">
        <v>8</v>
      </c>
      <c r="E3299" s="42">
        <v>4041.5</v>
      </c>
      <c r="F3299" s="41">
        <f t="shared" ca="1" si="129"/>
        <v>32332</v>
      </c>
    </row>
    <row r="3300" spans="1:6" ht="14.25" customHeight="1" x14ac:dyDescent="0.35">
      <c r="A3300" s="39" t="s">
        <v>6188</v>
      </c>
      <c r="B3300" s="40" t="str">
        <f ca="1">IFERROR(INDEX(UNSPSCDes,MATCH(INDIRECT(ADDRESS(ROW(),COLUMN()-1,4)),UNSPSCCode,0)),IF(INDIRECT(ADDRESS(ROW(),COLUMN()-1,4))="27111601","Mazas de hierro",""))</f>
        <v>Mazas de hierro</v>
      </c>
      <c r="C3300" s="72" t="str">
        <f>IFERROR(VLOOKUP("UD",'Informacion '!P:Q,2,FALSE),"")</f>
        <v>Unidad</v>
      </c>
      <c r="D3300" s="39">
        <v>3</v>
      </c>
      <c r="E3300" s="42">
        <v>124</v>
      </c>
      <c r="F3300" s="41">
        <f t="shared" ca="1" si="129"/>
        <v>372</v>
      </c>
    </row>
    <row r="3301" spans="1:6" ht="14.25" customHeight="1" x14ac:dyDescent="0.35">
      <c r="A3301" s="39" t="s">
        <v>19518</v>
      </c>
      <c r="B3301" s="40" t="str">
        <f ca="1">IFERROR(INDEX(UNSPSCDes,MATCH(INDIRECT(ADDRESS(ROW(),COLUMN()-1,4)),UNSPSCCode,0)),IF(INDIRECT(ADDRESS(ROW(),COLUMN()-1,4))="27111602","Martillos",""))</f>
        <v>Martillos</v>
      </c>
      <c r="C3301" s="72" t="str">
        <f>IFERROR(VLOOKUP("UD",'Informacion '!P:Q,2,FALSE),"")</f>
        <v>Unidad</v>
      </c>
      <c r="D3301" s="39">
        <v>6</v>
      </c>
      <c r="E3301" s="42">
        <v>289</v>
      </c>
      <c r="F3301" s="41">
        <f t="shared" ca="1" si="129"/>
        <v>1734</v>
      </c>
    </row>
    <row r="3302" spans="1:6" ht="14.25" customHeight="1" x14ac:dyDescent="0.35">
      <c r="A3302" s="39" t="s">
        <v>19518</v>
      </c>
      <c r="B3302" s="40" t="str">
        <f ca="1">IFERROR(INDEX(UNSPSCDes,MATCH(INDIRECT(ADDRESS(ROW(),COLUMN()-1,4)),UNSPSCCode,0)),IF(INDIRECT(ADDRESS(ROW(),COLUMN()-1,4))="27111602","Martillos",""))</f>
        <v>Martillos</v>
      </c>
      <c r="C3302" s="72" t="str">
        <f>IFERROR(VLOOKUP("UD",'Informacion '!P:Q,2,FALSE),"")</f>
        <v>Unidad</v>
      </c>
      <c r="D3302" s="39">
        <v>10</v>
      </c>
      <c r="E3302" s="42">
        <v>259</v>
      </c>
      <c r="F3302" s="41">
        <f t="shared" ca="1" si="129"/>
        <v>2590</v>
      </c>
    </row>
    <row r="3303" spans="1:6" ht="14.25" customHeight="1" x14ac:dyDescent="0.35">
      <c r="A3303" s="39" t="s">
        <v>9048</v>
      </c>
      <c r="B3303" s="40" t="str">
        <f ca="1">IFERROR(INDEX(UNSPSCDes,MATCH(INDIRECT(ADDRESS(ROW(),COLUMN()-1,4)),UNSPSCCode,0)),IF(INDIRECT(ADDRESS(ROW(),COLUMN()-1,4))="27111605","Picas",""))</f>
        <v>Picas</v>
      </c>
      <c r="C3303" s="72" t="str">
        <f>IFERROR(VLOOKUP("UD",'Informacion '!P:Q,2,FALSE),"")</f>
        <v>Unidad</v>
      </c>
      <c r="D3303" s="39">
        <v>5</v>
      </c>
      <c r="E3303" s="42">
        <v>427.5</v>
      </c>
      <c r="F3303" s="41">
        <f t="shared" ca="1" si="129"/>
        <v>2137.5</v>
      </c>
    </row>
    <row r="3304" spans="1:6" ht="14.25" customHeight="1" x14ac:dyDescent="0.35">
      <c r="A3304" s="39" t="s">
        <v>9048</v>
      </c>
      <c r="B3304" s="40" t="str">
        <f ca="1">IFERROR(INDEX(UNSPSCDes,MATCH(INDIRECT(ADDRESS(ROW(),COLUMN()-1,4)),UNSPSCCode,0)),IF(INDIRECT(ADDRESS(ROW(),COLUMN()-1,4))="27111605","Picas",""))</f>
        <v>Picas</v>
      </c>
      <c r="C3304" s="72" t="str">
        <f>IFERROR(VLOOKUP("UD",'Informacion '!P:Q,2,FALSE),"")</f>
        <v>Unidad</v>
      </c>
      <c r="D3304" s="39">
        <v>8</v>
      </c>
      <c r="E3304" s="42">
        <v>881.13</v>
      </c>
      <c r="F3304" s="41">
        <f t="shared" ca="1" si="129"/>
        <v>7049.04</v>
      </c>
    </row>
    <row r="3305" spans="1:6" ht="14.25" customHeight="1" x14ac:dyDescent="0.35">
      <c r="A3305" s="39" t="s">
        <v>441</v>
      </c>
      <c r="B3305" s="40" t="str">
        <f t="shared" ref="B3305:B3311" ca="1" si="130">IFERROR(INDEX(UNSPSCDes,MATCH(INDIRECT(ADDRESS(ROW(),COLUMN()-1,4)),UNSPSCCode,0)),IF(INDIRECT(ADDRESS(ROW(),COLUMN()-1,4))="27111701","Destornilladores",""))</f>
        <v>Destornilladores</v>
      </c>
      <c r="C3305" s="72" t="str">
        <f>IFERROR(VLOOKUP("UD",'Informacion '!P:Q,2,FALSE),"")</f>
        <v>Unidad</v>
      </c>
      <c r="D3305" s="39">
        <v>3</v>
      </c>
      <c r="E3305" s="42">
        <v>106</v>
      </c>
      <c r="F3305" s="41">
        <f t="shared" ca="1" si="129"/>
        <v>318</v>
      </c>
    </row>
    <row r="3306" spans="1:6" ht="14.25" customHeight="1" x14ac:dyDescent="0.35">
      <c r="A3306" s="39" t="s">
        <v>441</v>
      </c>
      <c r="B3306" s="40" t="str">
        <f t="shared" ca="1" si="130"/>
        <v>Destornilladores</v>
      </c>
      <c r="C3306" s="72" t="str">
        <f>IFERROR(VLOOKUP("UD",'Informacion '!P:Q,2,FALSE),"")</f>
        <v>Unidad</v>
      </c>
      <c r="D3306" s="39">
        <v>3</v>
      </c>
      <c r="E3306" s="42">
        <v>74</v>
      </c>
      <c r="F3306" s="41">
        <f t="shared" ca="1" si="129"/>
        <v>222</v>
      </c>
    </row>
    <row r="3307" spans="1:6" ht="14.25" customHeight="1" x14ac:dyDescent="0.35">
      <c r="A3307" s="39" t="s">
        <v>441</v>
      </c>
      <c r="B3307" s="40" t="str">
        <f t="shared" ca="1" si="130"/>
        <v>Destornilladores</v>
      </c>
      <c r="C3307" s="72" t="str">
        <f>IFERROR(VLOOKUP("UD",'Informacion '!P:Q,2,FALSE),"")</f>
        <v>Unidad</v>
      </c>
      <c r="D3307" s="39">
        <v>4</v>
      </c>
      <c r="E3307" s="42">
        <v>1233</v>
      </c>
      <c r="F3307" s="41">
        <f t="shared" ca="1" si="129"/>
        <v>4932</v>
      </c>
    </row>
    <row r="3308" spans="1:6" ht="14.25" customHeight="1" x14ac:dyDescent="0.35">
      <c r="A3308" s="39" t="s">
        <v>441</v>
      </c>
      <c r="B3308" s="40" t="str">
        <f t="shared" ca="1" si="130"/>
        <v>Destornilladores</v>
      </c>
      <c r="C3308" s="72" t="str">
        <f>IFERROR(VLOOKUP("UD",'Informacion '!P:Q,2,FALSE),"")</f>
        <v>Unidad</v>
      </c>
      <c r="D3308" s="39">
        <v>4</v>
      </c>
      <c r="E3308" s="42">
        <v>1235</v>
      </c>
      <c r="F3308" s="41">
        <f t="shared" ca="1" si="129"/>
        <v>4940</v>
      </c>
    </row>
    <row r="3309" spans="1:6" ht="14.25" customHeight="1" x14ac:dyDescent="0.35">
      <c r="A3309" s="39" t="s">
        <v>441</v>
      </c>
      <c r="B3309" s="40" t="str">
        <f t="shared" ca="1" si="130"/>
        <v>Destornilladores</v>
      </c>
      <c r="C3309" s="72" t="str">
        <f>IFERROR(VLOOKUP("UD",'Informacion '!P:Q,2,FALSE),"")</f>
        <v>Unidad</v>
      </c>
      <c r="D3309" s="39">
        <v>10</v>
      </c>
      <c r="E3309" s="42">
        <v>776.33</v>
      </c>
      <c r="F3309" s="41">
        <f t="shared" ca="1" si="129"/>
        <v>7763.3</v>
      </c>
    </row>
    <row r="3310" spans="1:6" ht="14.25" customHeight="1" x14ac:dyDescent="0.35">
      <c r="A3310" s="39" t="s">
        <v>441</v>
      </c>
      <c r="B3310" s="40" t="str">
        <f t="shared" ca="1" si="130"/>
        <v>Destornilladores</v>
      </c>
      <c r="C3310" s="72" t="str">
        <f>IFERROR(VLOOKUP("UD",'Informacion '!P:Q,2,FALSE),"")</f>
        <v>Unidad</v>
      </c>
      <c r="D3310" s="39">
        <v>12</v>
      </c>
      <c r="E3310" s="42">
        <v>700</v>
      </c>
      <c r="F3310" s="41">
        <f t="shared" ca="1" si="129"/>
        <v>8400</v>
      </c>
    </row>
    <row r="3311" spans="1:6" ht="14.25" customHeight="1" x14ac:dyDescent="0.35">
      <c r="A3311" s="39" t="s">
        <v>441</v>
      </c>
      <c r="B3311" s="40" t="str">
        <f t="shared" ca="1" si="130"/>
        <v>Destornilladores</v>
      </c>
      <c r="C3311" s="72" t="str">
        <f>IFERROR(VLOOKUP("UD",'Informacion '!P:Q,2,FALSE),"")</f>
        <v>Unidad</v>
      </c>
      <c r="D3311" s="39">
        <v>4</v>
      </c>
      <c r="E3311" s="42">
        <v>2050</v>
      </c>
      <c r="F3311" s="41">
        <f t="shared" ca="1" si="129"/>
        <v>8200</v>
      </c>
    </row>
    <row r="3312" spans="1:6" ht="14.25" customHeight="1" x14ac:dyDescent="0.35">
      <c r="A3312" s="39" t="s">
        <v>16388</v>
      </c>
      <c r="B3312" s="40" t="str">
        <f ca="1">IFERROR(INDEX(UNSPSCDes,MATCH(INDIRECT(ADDRESS(ROW(),COLUMN()-1,4)),UNSPSCCode,0)),IF(INDIRECT(ADDRESS(ROW(),COLUMN()-1,4))="27111702","Llaves para tuercas",""))</f>
        <v>Llaves para tuercas</v>
      </c>
      <c r="C3312" s="72" t="str">
        <f>IFERROR(VLOOKUP("UD",'Informacion '!P:Q,2,FALSE),"")</f>
        <v>Unidad</v>
      </c>
      <c r="D3312" s="39">
        <v>40</v>
      </c>
      <c r="E3312" s="42">
        <v>350</v>
      </c>
      <c r="F3312" s="41">
        <f t="shared" ca="1" si="129"/>
        <v>14000</v>
      </c>
    </row>
    <row r="3313" spans="1:6" ht="14.25" customHeight="1" x14ac:dyDescent="0.35">
      <c r="A3313" s="39" t="s">
        <v>16388</v>
      </c>
      <c r="B3313" s="40" t="str">
        <f ca="1">IFERROR(INDEX(UNSPSCDes,MATCH(INDIRECT(ADDRESS(ROW(),COLUMN()-1,4)),UNSPSCCode,0)),IF(INDIRECT(ADDRESS(ROW(),COLUMN()-1,4))="27111702","Llaves para tuercas",""))</f>
        <v>Llaves para tuercas</v>
      </c>
      <c r="C3313" s="72" t="str">
        <f>IFERROR(VLOOKUP("UD",'Informacion '!P:Q,2,FALSE),"")</f>
        <v>Unidad</v>
      </c>
      <c r="D3313" s="39">
        <v>5</v>
      </c>
      <c r="E3313" s="42">
        <v>2829.7</v>
      </c>
      <c r="F3313" s="41">
        <f t="shared" ca="1" si="129"/>
        <v>14148.5</v>
      </c>
    </row>
    <row r="3314" spans="1:6" ht="14.25" customHeight="1" x14ac:dyDescent="0.35">
      <c r="A3314" s="39" t="s">
        <v>16574</v>
      </c>
      <c r="B3314" s="40" t="str">
        <f ca="1">IFERROR(INDEX(UNSPSCDes,MATCH(INDIRECT(ADDRESS(ROW(),COLUMN()-1,4)),UNSPSCCode,0)),IF(INDIRECT(ADDRESS(ROW(),COLUMN()-1,4))="27111704","Enchufes",""))</f>
        <v>Enchufes</v>
      </c>
      <c r="C3314" s="72" t="str">
        <f>IFERROR(VLOOKUP("UD",'Informacion '!P:Q,2,FALSE),"")</f>
        <v>Unidad</v>
      </c>
      <c r="D3314" s="39">
        <v>50</v>
      </c>
      <c r="E3314" s="42">
        <v>250.6</v>
      </c>
      <c r="F3314" s="41">
        <f t="shared" ca="1" si="129"/>
        <v>12530</v>
      </c>
    </row>
    <row r="3315" spans="1:6" ht="14.25" customHeight="1" x14ac:dyDescent="0.35">
      <c r="A3315" s="39" t="s">
        <v>15461</v>
      </c>
      <c r="B3315" s="40" t="str">
        <f ca="1">IFERROR(INDEX(UNSPSCDes,MATCH(INDIRECT(ADDRESS(ROW(),COLUMN()-1,4)),UNSPSCCode,0)),IF(INDIRECT(ADDRESS(ROW(),COLUMN()-1,4))="27111705","Llaves de tuercas de boca cerrada",""))</f>
        <v>Llaves de tuercas de boca cerrada</v>
      </c>
      <c r="C3315" s="72" t="str">
        <f>IFERROR(VLOOKUP("UD",'Informacion '!P:Q,2,FALSE),"")</f>
        <v>Unidad</v>
      </c>
      <c r="D3315" s="39">
        <v>4</v>
      </c>
      <c r="E3315" s="42">
        <v>3299</v>
      </c>
      <c r="F3315" s="41">
        <f t="shared" ca="1" si="129"/>
        <v>13196</v>
      </c>
    </row>
    <row r="3316" spans="1:6" ht="14.25" customHeight="1" x14ac:dyDescent="0.35">
      <c r="A3316" s="39" t="s">
        <v>2764</v>
      </c>
      <c r="B3316" s="40" t="str">
        <f ca="1">IFERROR(INDEX(UNSPSCDes,MATCH(INDIRECT(ADDRESS(ROW(),COLUMN()-1,4)),UNSPSCCode,0)),IF(INDIRECT(ADDRESS(ROW(),COLUMN()-1,4))="27111707","Llaves ajustables",""))</f>
        <v>Llaves ajustables</v>
      </c>
      <c r="C3316" s="72" t="str">
        <f>IFERROR(VLOOKUP("UD",'Informacion '!P:Q,2,FALSE),"")</f>
        <v>Unidad</v>
      </c>
      <c r="D3316" s="39">
        <v>4</v>
      </c>
      <c r="E3316" s="42">
        <v>1708.5</v>
      </c>
      <c r="F3316" s="41">
        <f t="shared" ca="1" si="129"/>
        <v>6834</v>
      </c>
    </row>
    <row r="3317" spans="1:6" ht="14.25" customHeight="1" x14ac:dyDescent="0.35">
      <c r="A3317" s="39" t="s">
        <v>6100</v>
      </c>
      <c r="B3317" s="40" t="str">
        <f ca="1">IFERROR(INDEX(UNSPSCDes,MATCH(INDIRECT(ADDRESS(ROW(),COLUMN()-1,4)),UNSPSCCode,0)),IF(INDIRECT(ADDRESS(ROW(),COLUMN()-1,4))="27111710","Llaves allen",""))</f>
        <v>Llaves allen</v>
      </c>
      <c r="C3317" s="72" t="str">
        <f>IFERROR(VLOOKUP("UD",'Informacion '!P:Q,2,FALSE),"")</f>
        <v>Unidad</v>
      </c>
      <c r="D3317" s="39">
        <v>2</v>
      </c>
      <c r="E3317" s="42">
        <v>684</v>
      </c>
      <c r="F3317" s="41">
        <f t="shared" ca="1" si="129"/>
        <v>1368</v>
      </c>
    </row>
    <row r="3318" spans="1:6" ht="14.25" customHeight="1" x14ac:dyDescent="0.35">
      <c r="A3318" s="39" t="s">
        <v>6100</v>
      </c>
      <c r="B3318" s="40" t="str">
        <f ca="1">IFERROR(INDEX(UNSPSCDes,MATCH(INDIRECT(ADDRESS(ROW(),COLUMN()-1,4)),UNSPSCCode,0)),IF(INDIRECT(ADDRESS(ROW(),COLUMN()-1,4))="27111710","Llaves allen",""))</f>
        <v>Llaves allen</v>
      </c>
      <c r="C3318" s="72" t="str">
        <f>IFERROR(VLOOKUP("UD",'Informacion '!P:Q,2,FALSE),"")</f>
        <v>Unidad</v>
      </c>
      <c r="D3318" s="39">
        <v>2</v>
      </c>
      <c r="E3318" s="42">
        <v>684</v>
      </c>
      <c r="F3318" s="41">
        <f t="shared" ca="1" si="129"/>
        <v>1368</v>
      </c>
    </row>
    <row r="3319" spans="1:6" ht="14.25" customHeight="1" x14ac:dyDescent="0.35">
      <c r="A3319" s="39" t="s">
        <v>6100</v>
      </c>
      <c r="B3319" s="40" t="str">
        <f ca="1">IFERROR(INDEX(UNSPSCDes,MATCH(INDIRECT(ADDRESS(ROW(),COLUMN()-1,4)),UNSPSCCode,0)),IF(INDIRECT(ADDRESS(ROW(),COLUMN()-1,4))="27111710","Llaves allen",""))</f>
        <v>Llaves allen</v>
      </c>
      <c r="C3319" s="72" t="str">
        <f>IFERROR(VLOOKUP("UD",'Informacion '!P:Q,2,FALSE),"")</f>
        <v>Unidad</v>
      </c>
      <c r="D3319" s="39">
        <v>4</v>
      </c>
      <c r="E3319" s="42">
        <v>1062</v>
      </c>
      <c r="F3319" s="41">
        <f t="shared" ca="1" si="129"/>
        <v>4248</v>
      </c>
    </row>
    <row r="3320" spans="1:6" ht="14.25" customHeight="1" x14ac:dyDescent="0.35">
      <c r="A3320" s="39" t="s">
        <v>6100</v>
      </c>
      <c r="B3320" s="40" t="str">
        <f ca="1">IFERROR(INDEX(UNSPSCDes,MATCH(INDIRECT(ADDRESS(ROW(),COLUMN()-1,4)),UNSPSCCode,0)),IF(INDIRECT(ADDRESS(ROW(),COLUMN()-1,4))="27111710","Llaves allen",""))</f>
        <v>Llaves allen</v>
      </c>
      <c r="C3320" s="72" t="str">
        <f>IFERROR(VLOOKUP("UD",'Informacion '!P:Q,2,FALSE),"")</f>
        <v>Unidad</v>
      </c>
      <c r="D3320" s="39">
        <v>16</v>
      </c>
      <c r="E3320" s="42">
        <v>684</v>
      </c>
      <c r="F3320" s="41">
        <f t="shared" ca="1" si="129"/>
        <v>10944</v>
      </c>
    </row>
    <row r="3321" spans="1:6" ht="14.25" customHeight="1" x14ac:dyDescent="0.35">
      <c r="A3321" s="39" t="s">
        <v>9212</v>
      </c>
      <c r="B3321" s="40" t="str">
        <f t="shared" ref="B3321:B3326" ca="1" si="131">IFERROR(INDEX(UNSPSCDes,MATCH(INDIRECT(ADDRESS(ROW(),COLUMN()-1,4)),UNSPSCCode,0)),IF(INDIRECT(ADDRESS(ROW(),COLUMN()-1,4))="27111726","Llaves de tuercas",""))</f>
        <v>Llaves de tuercas</v>
      </c>
      <c r="C3321" s="72" t="str">
        <f>IFERROR(VLOOKUP("UD",'Informacion '!P:Q,2,FALSE),"")</f>
        <v>Unidad</v>
      </c>
      <c r="D3321" s="39">
        <v>4</v>
      </c>
      <c r="E3321" s="42">
        <v>1816</v>
      </c>
      <c r="F3321" s="41">
        <f t="shared" ca="1" si="129"/>
        <v>7264</v>
      </c>
    </row>
    <row r="3322" spans="1:6" ht="14.25" customHeight="1" x14ac:dyDescent="0.35">
      <c r="A3322" s="39" t="s">
        <v>9212</v>
      </c>
      <c r="B3322" s="40" t="str">
        <f t="shared" ca="1" si="131"/>
        <v>Llaves de tuercas</v>
      </c>
      <c r="C3322" s="72" t="str">
        <f>IFERROR(VLOOKUP("UD",'Informacion '!P:Q,2,FALSE),"")</f>
        <v>Unidad</v>
      </c>
      <c r="D3322" s="39">
        <v>6</v>
      </c>
      <c r="E3322" s="42">
        <v>1200</v>
      </c>
      <c r="F3322" s="41">
        <f t="shared" ca="1" si="129"/>
        <v>7200</v>
      </c>
    </row>
    <row r="3323" spans="1:6" ht="14.25" customHeight="1" x14ac:dyDescent="0.35">
      <c r="A3323" s="39" t="s">
        <v>9212</v>
      </c>
      <c r="B3323" s="40" t="str">
        <f t="shared" ca="1" si="131"/>
        <v>Llaves de tuercas</v>
      </c>
      <c r="C3323" s="72" t="str">
        <f>IFERROR(VLOOKUP("UD",'Informacion '!P:Q,2,FALSE),"")</f>
        <v>Unidad</v>
      </c>
      <c r="D3323" s="39">
        <v>6</v>
      </c>
      <c r="E3323" s="42">
        <v>500</v>
      </c>
      <c r="F3323" s="41">
        <f t="shared" ca="1" si="129"/>
        <v>3000</v>
      </c>
    </row>
    <row r="3324" spans="1:6" ht="14.25" customHeight="1" x14ac:dyDescent="0.35">
      <c r="A3324" s="39" t="s">
        <v>9212</v>
      </c>
      <c r="B3324" s="40" t="str">
        <f t="shared" ca="1" si="131"/>
        <v>Llaves de tuercas</v>
      </c>
      <c r="C3324" s="72" t="str">
        <f>IFERROR(VLOOKUP("UD",'Informacion '!P:Q,2,FALSE),"")</f>
        <v>Unidad</v>
      </c>
      <c r="D3324" s="39">
        <v>4</v>
      </c>
      <c r="E3324" s="42">
        <v>1400</v>
      </c>
      <c r="F3324" s="41">
        <f t="shared" ca="1" si="129"/>
        <v>5600</v>
      </c>
    </row>
    <row r="3325" spans="1:6" ht="14.25" customHeight="1" x14ac:dyDescent="0.35">
      <c r="A3325" s="39" t="s">
        <v>9212</v>
      </c>
      <c r="B3325" s="40" t="str">
        <f t="shared" ca="1" si="131"/>
        <v>Llaves de tuercas</v>
      </c>
      <c r="C3325" s="72" t="str">
        <f>IFERROR(VLOOKUP("UD",'Informacion '!P:Q,2,FALSE),"")</f>
        <v>Unidad</v>
      </c>
      <c r="D3325" s="39">
        <v>4</v>
      </c>
      <c r="E3325" s="42">
        <v>2600</v>
      </c>
      <c r="F3325" s="41">
        <f t="shared" ca="1" si="129"/>
        <v>10400</v>
      </c>
    </row>
    <row r="3326" spans="1:6" ht="14.25" customHeight="1" x14ac:dyDescent="0.35">
      <c r="A3326" s="39" t="s">
        <v>9212</v>
      </c>
      <c r="B3326" s="40" t="str">
        <f t="shared" ca="1" si="131"/>
        <v>Llaves de tuercas</v>
      </c>
      <c r="C3326" s="72" t="str">
        <f>IFERROR(VLOOKUP("UD",'Informacion '!P:Q,2,FALSE),"")</f>
        <v>Unidad</v>
      </c>
      <c r="D3326" s="39">
        <v>2</v>
      </c>
      <c r="E3326" s="42">
        <v>2662</v>
      </c>
      <c r="F3326" s="41">
        <f t="shared" ca="1" si="129"/>
        <v>5324</v>
      </c>
    </row>
    <row r="3327" spans="1:6" ht="14.25" customHeight="1" x14ac:dyDescent="0.35">
      <c r="A3327" s="39" t="s">
        <v>18386</v>
      </c>
      <c r="B3327" s="40" t="str">
        <f ca="1">IFERROR(INDEX(UNSPSCDes,MATCH(INDIRECT(ADDRESS(ROW(),COLUMN()-1,4)),UNSPSCCode,0)),IF(INDIRECT(ADDRESS(ROW(),COLUMN()-1,4))="27111801","Cintas métricas",""))</f>
        <v>Cintas métricas</v>
      </c>
      <c r="C3327" s="72" t="str">
        <f>IFERROR(VLOOKUP("UD",'Informacion '!P:Q,2,FALSE),"")</f>
        <v>Unidad</v>
      </c>
      <c r="D3327" s="39">
        <v>3</v>
      </c>
      <c r="E3327" s="42">
        <v>272.75</v>
      </c>
      <c r="F3327" s="41">
        <f t="shared" ca="1" si="129"/>
        <v>818.25</v>
      </c>
    </row>
    <row r="3328" spans="1:6" ht="14.25" customHeight="1" x14ac:dyDescent="0.35">
      <c r="A3328" s="39" t="s">
        <v>18386</v>
      </c>
      <c r="B3328" s="40" t="str">
        <f ca="1">IFERROR(INDEX(UNSPSCDes,MATCH(INDIRECT(ADDRESS(ROW(),COLUMN()-1,4)),UNSPSCCode,0)),IF(INDIRECT(ADDRESS(ROW(),COLUMN()-1,4))="27111801","Cintas métricas",""))</f>
        <v>Cintas métricas</v>
      </c>
      <c r="C3328" s="72" t="str">
        <f>IFERROR(VLOOKUP("UD",'Informacion '!P:Q,2,FALSE),"")</f>
        <v>Unidad</v>
      </c>
      <c r="D3328" s="39">
        <v>1</v>
      </c>
      <c r="E3328" s="42">
        <v>11000</v>
      </c>
      <c r="F3328" s="41">
        <f t="shared" ca="1" si="129"/>
        <v>11000</v>
      </c>
    </row>
    <row r="3329" spans="1:6" ht="14.25" customHeight="1" x14ac:dyDescent="0.35">
      <c r="A3329" s="39" t="s">
        <v>16618</v>
      </c>
      <c r="B3329" s="40" t="str">
        <f ca="1">IFERROR(INDEX(UNSPSCDes,MATCH(INDIRECT(ADDRESS(ROW(),COLUMN()-1,4)),UNSPSCCode,0)),IF(INDIRECT(ADDRESS(ROW(),COLUMN()-1,4))="27111802","Nivel",""))</f>
        <v>Nivel</v>
      </c>
      <c r="C3329" s="72" t="str">
        <f>IFERROR(VLOOKUP("UD",'Informacion '!P:Q,2,FALSE),"")</f>
        <v>Unidad</v>
      </c>
      <c r="D3329" s="39">
        <v>3</v>
      </c>
      <c r="E3329" s="42">
        <v>841</v>
      </c>
      <c r="F3329" s="41">
        <f t="shared" ref="F3329:F3360" ca="1" si="132">INDIRECT(ADDRESS(ROW(),COLUMN()-2,4))*INDIRECT(ADDRESS(ROW(),COLUMN()-1,4))</f>
        <v>2523</v>
      </c>
    </row>
    <row r="3330" spans="1:6" ht="14.25" customHeight="1" x14ac:dyDescent="0.35">
      <c r="A3330" s="39" t="s">
        <v>16618</v>
      </c>
      <c r="B3330" s="40" t="str">
        <f ca="1">IFERROR(INDEX(UNSPSCDes,MATCH(INDIRECT(ADDRESS(ROW(),COLUMN()-1,4)),UNSPSCCode,0)),IF(INDIRECT(ADDRESS(ROW(),COLUMN()-1,4))="27111802","Nivel",""))</f>
        <v>Nivel</v>
      </c>
      <c r="C3330" s="72" t="str">
        <f>IFERROR(VLOOKUP("UD",'Informacion '!P:Q,2,FALSE),"")</f>
        <v>Unidad</v>
      </c>
      <c r="D3330" s="39">
        <v>3</v>
      </c>
      <c r="E3330" s="42">
        <v>127</v>
      </c>
      <c r="F3330" s="41">
        <f t="shared" ca="1" si="132"/>
        <v>381</v>
      </c>
    </row>
    <row r="3331" spans="1:6" ht="14.25" customHeight="1" x14ac:dyDescent="0.35">
      <c r="A3331" s="39" t="s">
        <v>16618</v>
      </c>
      <c r="B3331" s="40" t="str">
        <f ca="1">IFERROR(INDEX(UNSPSCDes,MATCH(INDIRECT(ADDRESS(ROW(),COLUMN()-1,4)),UNSPSCCode,0)),IF(INDIRECT(ADDRESS(ROW(),COLUMN()-1,4))="27111802","Nivel",""))</f>
        <v>Nivel</v>
      </c>
      <c r="C3331" s="72" t="str">
        <f>IFERROR(VLOOKUP("UD",'Informacion '!P:Q,2,FALSE),"")</f>
        <v>Unidad</v>
      </c>
      <c r="D3331" s="39">
        <v>8</v>
      </c>
      <c r="E3331" s="42">
        <v>841</v>
      </c>
      <c r="F3331" s="41">
        <f t="shared" ca="1" si="132"/>
        <v>6728</v>
      </c>
    </row>
    <row r="3332" spans="1:6" ht="14.25" customHeight="1" x14ac:dyDescent="0.35">
      <c r="A3332" s="39" t="s">
        <v>13278</v>
      </c>
      <c r="B3332" s="40" t="str">
        <f ca="1">IFERROR(INDEX(UNSPSCDes,MATCH(INDIRECT(ADDRESS(ROW(),COLUMN()-1,4)),UNSPSCCode,0)),IF(INDIRECT(ADDRESS(ROW(),COLUMN()-1,4))="27111803","Escuadras",""))</f>
        <v>Escuadras</v>
      </c>
      <c r="C3332" s="72" t="str">
        <f>IFERROR(VLOOKUP("UD",'Informacion '!P:Q,2,FALSE),"")</f>
        <v>Unidad</v>
      </c>
      <c r="D3332" s="39">
        <v>6</v>
      </c>
      <c r="E3332" s="42">
        <v>438</v>
      </c>
      <c r="F3332" s="41">
        <f t="shared" ca="1" si="132"/>
        <v>2628</v>
      </c>
    </row>
    <row r="3333" spans="1:6" ht="14.25" customHeight="1" x14ac:dyDescent="0.35">
      <c r="A3333" s="39" t="s">
        <v>5299</v>
      </c>
      <c r="B3333" s="40" t="str">
        <f ca="1">IFERROR(INDEX(UNSPSCDes,MATCH(INDIRECT(ADDRESS(ROW(),COLUMN()-1,4)),UNSPSCCode,0)),IF(INDIRECT(ADDRESS(ROW(),COLUMN()-1,4))="27111902","Limas",""))</f>
        <v>Limas</v>
      </c>
      <c r="C3333" s="72" t="str">
        <f>IFERROR(VLOOKUP("UD",'Informacion '!P:Q,2,FALSE),"")</f>
        <v>Unidad</v>
      </c>
      <c r="D3333" s="39">
        <v>1</v>
      </c>
      <c r="E3333" s="42">
        <v>150</v>
      </c>
      <c r="F3333" s="41">
        <f t="shared" ca="1" si="132"/>
        <v>150</v>
      </c>
    </row>
    <row r="3334" spans="1:6" ht="14.25" customHeight="1" x14ac:dyDescent="0.35">
      <c r="A3334" s="39" t="s">
        <v>5299</v>
      </c>
      <c r="B3334" s="40" t="str">
        <f ca="1">IFERROR(INDEX(UNSPSCDes,MATCH(INDIRECT(ADDRESS(ROW(),COLUMN()-1,4)),UNSPSCCode,0)),IF(INDIRECT(ADDRESS(ROW(),COLUMN()-1,4))="27111902","Limas",""))</f>
        <v>Limas</v>
      </c>
      <c r="C3334" s="72" t="str">
        <f>IFERROR(VLOOKUP("UD",'Informacion '!P:Q,2,FALSE),"")</f>
        <v>Unidad</v>
      </c>
      <c r="D3334" s="39">
        <v>2</v>
      </c>
      <c r="E3334" s="42">
        <v>99.92</v>
      </c>
      <c r="F3334" s="41">
        <f t="shared" ca="1" si="132"/>
        <v>199.84</v>
      </c>
    </row>
    <row r="3335" spans="1:6" ht="14.25" customHeight="1" x14ac:dyDescent="0.35">
      <c r="A3335" s="39" t="s">
        <v>19203</v>
      </c>
      <c r="B3335" s="40" t="str">
        <f ca="1">IFERROR(INDEX(UNSPSCDes,MATCH(INDIRECT(ADDRESS(ROW(),COLUMN()-1,4)),UNSPSCCode,0)),IF(INDIRECT(ADDRESS(ROW(),COLUMN()-1,4))="27111909","Espátulas",""))</f>
        <v>Espátulas</v>
      </c>
      <c r="C3335" s="72" t="str">
        <f>IFERROR(VLOOKUP("UD",'Informacion '!P:Q,2,FALSE),"")</f>
        <v>Unidad</v>
      </c>
      <c r="D3335" s="39">
        <v>17</v>
      </c>
      <c r="E3335" s="42">
        <v>97.4</v>
      </c>
      <c r="F3335" s="41">
        <f t="shared" ca="1" si="132"/>
        <v>1655.8000000000002</v>
      </c>
    </row>
    <row r="3336" spans="1:6" ht="14.25" customHeight="1" x14ac:dyDescent="0.35">
      <c r="A3336" s="39" t="s">
        <v>201</v>
      </c>
      <c r="B3336" s="40" t="str">
        <f ca="1">IFERROR(INDEX(UNSPSCDes,MATCH(INDIRECT(ADDRESS(ROW(),COLUMN()-1,4)),UNSPSCCode,0)),IF(INDIRECT(ADDRESS(ROW(),COLUMN()-1,4))="27112001","Machetes",""))</f>
        <v>Machetes</v>
      </c>
      <c r="C3336" s="72" t="str">
        <f>IFERROR(VLOOKUP("UD",'Informacion '!P:Q,2,FALSE),"")</f>
        <v>Unidad</v>
      </c>
      <c r="D3336" s="39">
        <v>4</v>
      </c>
      <c r="E3336" s="42">
        <v>256</v>
      </c>
      <c r="F3336" s="41">
        <f t="shared" ca="1" si="132"/>
        <v>1024</v>
      </c>
    </row>
    <row r="3337" spans="1:6" ht="14.25" customHeight="1" x14ac:dyDescent="0.35">
      <c r="A3337" s="39" t="s">
        <v>201</v>
      </c>
      <c r="B3337" s="40" t="str">
        <f ca="1">IFERROR(INDEX(UNSPSCDes,MATCH(INDIRECT(ADDRESS(ROW(),COLUMN()-1,4)),UNSPSCCode,0)),IF(INDIRECT(ADDRESS(ROW(),COLUMN()-1,4))="27112001","Machetes",""))</f>
        <v>Machetes</v>
      </c>
      <c r="C3337" s="72" t="str">
        <f>IFERROR(VLOOKUP("UD",'Informacion '!P:Q,2,FALSE),"")</f>
        <v>Unidad</v>
      </c>
      <c r="D3337" s="39">
        <v>2</v>
      </c>
      <c r="E3337" s="42">
        <v>276</v>
      </c>
      <c r="F3337" s="41">
        <f t="shared" ca="1" si="132"/>
        <v>552</v>
      </c>
    </row>
    <row r="3338" spans="1:6" ht="14.25" customHeight="1" x14ac:dyDescent="0.35">
      <c r="A3338" s="39" t="s">
        <v>201</v>
      </c>
      <c r="B3338" s="40" t="str">
        <f ca="1">IFERROR(INDEX(UNSPSCDes,MATCH(INDIRECT(ADDRESS(ROW(),COLUMN()-1,4)),UNSPSCCode,0)),IF(INDIRECT(ADDRESS(ROW(),COLUMN()-1,4))="27112001","Machetes",""))</f>
        <v>Machetes</v>
      </c>
      <c r="C3338" s="72" t="str">
        <f>IFERROR(VLOOKUP("UD",'Informacion '!P:Q,2,FALSE),"")</f>
        <v>Unidad</v>
      </c>
      <c r="D3338" s="39">
        <v>4</v>
      </c>
      <c r="E3338" s="42">
        <v>354</v>
      </c>
      <c r="F3338" s="41">
        <f t="shared" ca="1" si="132"/>
        <v>1416</v>
      </c>
    </row>
    <row r="3339" spans="1:6" ht="14.25" customHeight="1" x14ac:dyDescent="0.35">
      <c r="A3339" s="39" t="s">
        <v>17884</v>
      </c>
      <c r="B3339" s="40" t="str">
        <f ca="1">IFERROR(INDEX(UNSPSCDes,MATCH(INDIRECT(ADDRESS(ROW(),COLUMN()-1,4)),UNSPSCCode,0)),IF(INDIRECT(ADDRESS(ROW(),COLUMN()-1,4))="27112003","Rastrillos",""))</f>
        <v>Rastrillos</v>
      </c>
      <c r="C3339" s="72" t="str">
        <f>IFERROR(VLOOKUP("UD",'Informacion '!P:Q,2,FALSE),"")</f>
        <v>Unidad</v>
      </c>
      <c r="D3339" s="39">
        <v>4</v>
      </c>
      <c r="E3339" s="42">
        <v>171.08</v>
      </c>
      <c r="F3339" s="41">
        <f t="shared" ca="1" si="132"/>
        <v>684.32</v>
      </c>
    </row>
    <row r="3340" spans="1:6" ht="14.25" customHeight="1" x14ac:dyDescent="0.35">
      <c r="A3340" s="39" t="s">
        <v>17884</v>
      </c>
      <c r="B3340" s="40" t="str">
        <f ca="1">IFERROR(INDEX(UNSPSCDes,MATCH(INDIRECT(ADDRESS(ROW(),COLUMN()-1,4)),UNSPSCCode,0)),IF(INDIRECT(ADDRESS(ROW(),COLUMN()-1,4))="27112003","Rastrillos",""))</f>
        <v>Rastrillos</v>
      </c>
      <c r="C3340" s="72" t="str">
        <f>IFERROR(VLOOKUP("UD",'Informacion '!P:Q,2,FALSE),"")</f>
        <v>Unidad</v>
      </c>
      <c r="D3340" s="39">
        <v>5</v>
      </c>
      <c r="E3340" s="42">
        <v>377.6</v>
      </c>
      <c r="F3340" s="41">
        <f t="shared" ca="1" si="132"/>
        <v>1888</v>
      </c>
    </row>
    <row r="3341" spans="1:6" ht="14.25" customHeight="1" x14ac:dyDescent="0.35">
      <c r="A3341" s="39" t="s">
        <v>4374</v>
      </c>
      <c r="B3341" s="40" t="str">
        <f ca="1">IFERROR(INDEX(UNSPSCDes,MATCH(INDIRECT(ADDRESS(ROW(),COLUMN()-1,4)),UNSPSCCode,0)),IF(INDIRECT(ADDRESS(ROW(),COLUMN()-1,4))="27112004","Palas",""))</f>
        <v>Palas</v>
      </c>
      <c r="C3341" s="72" t="str">
        <f>IFERROR(VLOOKUP("UD",'Informacion '!P:Q,2,FALSE),"")</f>
        <v>Unidad</v>
      </c>
      <c r="D3341" s="39">
        <v>4</v>
      </c>
      <c r="E3341" s="42">
        <v>684</v>
      </c>
      <c r="F3341" s="41">
        <f t="shared" ca="1" si="132"/>
        <v>2736</v>
      </c>
    </row>
    <row r="3342" spans="1:6" ht="14.25" customHeight="1" x14ac:dyDescent="0.35">
      <c r="A3342" s="39" t="s">
        <v>10928</v>
      </c>
      <c r="B3342" s="40" t="str">
        <f ca="1">IFERROR(INDEX(UNSPSCDes,MATCH(INDIRECT(ADDRESS(ROW(),COLUMN()-1,4)),UNSPSCCode,0)),IF(INDIRECT(ADDRESS(ROW(),COLUMN()-1,4))="21101701","Cortadoras de pasto",""))</f>
        <v>Cortadoras de pasto</v>
      </c>
      <c r="C3342" s="72" t="str">
        <f>IFERROR(VLOOKUP("UD",'Informacion '!P:Q,2,FALSE),"")</f>
        <v>Unidad</v>
      </c>
      <c r="D3342" s="39">
        <v>2</v>
      </c>
      <c r="E3342" s="42">
        <v>17549</v>
      </c>
      <c r="F3342" s="41">
        <f t="shared" ca="1" si="132"/>
        <v>35098</v>
      </c>
    </row>
    <row r="3343" spans="1:6" ht="14.25" customHeight="1" x14ac:dyDescent="0.35">
      <c r="A3343" s="39" t="s">
        <v>4374</v>
      </c>
      <c r="B3343" s="40" t="str">
        <f ca="1">IFERROR(INDEX(UNSPSCDes,MATCH(INDIRECT(ADDRESS(ROW(),COLUMN()-1,4)),UNSPSCCode,0)),IF(INDIRECT(ADDRESS(ROW(),COLUMN()-1,4))="27112004","Palas",""))</f>
        <v>Palas</v>
      </c>
      <c r="C3343" s="72" t="str">
        <f>IFERROR(VLOOKUP("UD",'Informacion '!P:Q,2,FALSE),"")</f>
        <v>Unidad</v>
      </c>
      <c r="D3343" s="39">
        <v>50</v>
      </c>
      <c r="E3343" s="42">
        <v>88.5</v>
      </c>
      <c r="F3343" s="41">
        <f t="shared" ca="1" si="132"/>
        <v>4425</v>
      </c>
    </row>
    <row r="3344" spans="1:6" ht="14.25" customHeight="1" x14ac:dyDescent="0.35">
      <c r="A3344" s="39" t="s">
        <v>14559</v>
      </c>
      <c r="B3344" s="40" t="str">
        <f ca="1">IFERROR(INDEX(UNSPSCDes,MATCH(INDIRECT(ADDRESS(ROW(),COLUMN()-1,4)),UNSPSCCode,0)),IF(INDIRECT(ADDRESS(ROW(),COLUMN()-1,4))="27112007","Tijeras de podar",""))</f>
        <v>Tijeras de podar</v>
      </c>
      <c r="C3344" s="72" t="str">
        <f>IFERROR(VLOOKUP("UD",'Informacion '!P:Q,2,FALSE),"")</f>
        <v>Unidad</v>
      </c>
      <c r="D3344" s="39">
        <v>4</v>
      </c>
      <c r="E3344" s="42">
        <v>1651</v>
      </c>
      <c r="F3344" s="41">
        <f t="shared" ca="1" si="132"/>
        <v>6604</v>
      </c>
    </row>
    <row r="3345" spans="1:6" ht="14.25" customHeight="1" x14ac:dyDescent="0.35">
      <c r="A3345" s="39" t="s">
        <v>14559</v>
      </c>
      <c r="B3345" s="40" t="str">
        <f ca="1">IFERROR(INDEX(UNSPSCDes,MATCH(INDIRECT(ADDRESS(ROW(),COLUMN()-1,4)),UNSPSCCode,0)),IF(INDIRECT(ADDRESS(ROW(),COLUMN()-1,4))="27112007","Tijeras de podar",""))</f>
        <v>Tijeras de podar</v>
      </c>
      <c r="C3345" s="72" t="str">
        <f>IFERROR(VLOOKUP("UD",'Informacion '!P:Q,2,FALSE),"")</f>
        <v>Unidad</v>
      </c>
      <c r="D3345" s="39">
        <v>4</v>
      </c>
      <c r="E3345" s="42">
        <v>1888</v>
      </c>
      <c r="F3345" s="41">
        <f t="shared" ca="1" si="132"/>
        <v>7552</v>
      </c>
    </row>
    <row r="3346" spans="1:6" ht="14.25" customHeight="1" x14ac:dyDescent="0.35">
      <c r="A3346" s="39" t="s">
        <v>7504</v>
      </c>
      <c r="B3346" s="40" t="str">
        <f ca="1">IFERROR(INDEX(UNSPSCDes,MATCH(INDIRECT(ADDRESS(ROW(),COLUMN()-1,4)),UNSPSCCode,0)),IF(INDIRECT(ADDRESS(ROW(),COLUMN()-1,4))="27112014","Cortadora de pasto",""))</f>
        <v>Cortadora de pasto</v>
      </c>
      <c r="C3346" s="72" t="str">
        <f>IFERROR(VLOOKUP("UD",'Informacion '!P:Q,2,FALSE),"")</f>
        <v>Unidad</v>
      </c>
      <c r="D3346" s="39">
        <v>2</v>
      </c>
      <c r="E3346" s="42">
        <v>22125</v>
      </c>
      <c r="F3346" s="41">
        <f t="shared" ca="1" si="132"/>
        <v>44250</v>
      </c>
    </row>
    <row r="3347" spans="1:6" ht="14.25" customHeight="1" x14ac:dyDescent="0.35">
      <c r="A3347" s="39" t="s">
        <v>7504</v>
      </c>
      <c r="B3347" s="40" t="str">
        <f ca="1">IFERROR(INDEX(UNSPSCDes,MATCH(INDIRECT(ADDRESS(ROW(),COLUMN()-1,4)),UNSPSCCode,0)),IF(INDIRECT(ADDRESS(ROW(),COLUMN()-1,4))="27112014","Cortadora de pasto",""))</f>
        <v>Cortadora de pasto</v>
      </c>
      <c r="C3347" s="72" t="str">
        <f>IFERROR(VLOOKUP("UD",'Informacion '!P:Q,2,FALSE),"")</f>
        <v>Unidad</v>
      </c>
      <c r="D3347" s="39">
        <v>2</v>
      </c>
      <c r="E3347" s="42">
        <v>55814</v>
      </c>
      <c r="F3347" s="41">
        <f t="shared" ca="1" si="132"/>
        <v>111628</v>
      </c>
    </row>
    <row r="3348" spans="1:6" ht="14.25" customHeight="1" x14ac:dyDescent="0.35">
      <c r="A3348" s="39" t="s">
        <v>349</v>
      </c>
      <c r="B3348" s="40" t="str">
        <f ca="1">IFERROR(INDEX(UNSPSCDes,MATCH(INDIRECT(ADDRESS(ROW(),COLUMN()-1,4)),UNSPSCCode,0)),IF(INDIRECT(ADDRESS(ROW(),COLUMN()-1,4))="27112709","Sierras eléctricas",""))</f>
        <v>Sierras eléctricas</v>
      </c>
      <c r="C3348" s="72" t="str">
        <f>IFERROR(VLOOKUP("UD",'Informacion '!P:Q,2,FALSE),"")</f>
        <v>Unidad</v>
      </c>
      <c r="D3348" s="39">
        <v>1</v>
      </c>
      <c r="E3348" s="42">
        <v>11855</v>
      </c>
      <c r="F3348" s="41">
        <f t="shared" ca="1" si="132"/>
        <v>11855</v>
      </c>
    </row>
    <row r="3349" spans="1:6" ht="14.25" customHeight="1" x14ac:dyDescent="0.35">
      <c r="A3349" s="39" t="s">
        <v>7504</v>
      </c>
      <c r="B3349" s="40" t="str">
        <f ca="1">IFERROR(INDEX(UNSPSCDes,MATCH(INDIRECT(ADDRESS(ROW(),COLUMN()-1,4)),UNSPSCCode,0)),IF(INDIRECT(ADDRESS(ROW(),COLUMN()-1,4))="27112014","Cortadora de pasto",""))</f>
        <v>Cortadora de pasto</v>
      </c>
      <c r="C3349" s="72" t="str">
        <f>IFERROR(VLOOKUP("UD",'Informacion '!P:Q,2,FALSE),"")</f>
        <v>Unidad</v>
      </c>
      <c r="D3349" s="39">
        <v>1</v>
      </c>
      <c r="E3349" s="42">
        <v>24142</v>
      </c>
      <c r="F3349" s="41">
        <f t="shared" ca="1" si="132"/>
        <v>24142</v>
      </c>
    </row>
    <row r="3350" spans="1:6" ht="14.25" customHeight="1" x14ac:dyDescent="0.35">
      <c r="A3350" s="39" t="s">
        <v>7504</v>
      </c>
      <c r="B3350" s="40" t="str">
        <f ca="1">IFERROR(INDEX(UNSPSCDes,MATCH(INDIRECT(ADDRESS(ROW(),COLUMN()-1,4)),UNSPSCCode,0)),IF(INDIRECT(ADDRESS(ROW(),COLUMN()-1,4))="27112014","Cortadora de pasto",""))</f>
        <v>Cortadora de pasto</v>
      </c>
      <c r="C3350" s="72" t="str">
        <f>IFERROR(VLOOKUP("UD",'Informacion '!P:Q,2,FALSE),"")</f>
        <v>Unidad</v>
      </c>
      <c r="D3350" s="39">
        <v>1</v>
      </c>
      <c r="E3350" s="42">
        <v>23000</v>
      </c>
      <c r="F3350" s="41">
        <f t="shared" ca="1" si="132"/>
        <v>23000</v>
      </c>
    </row>
    <row r="3351" spans="1:6" ht="14.25" customHeight="1" x14ac:dyDescent="0.35">
      <c r="A3351" s="39" t="s">
        <v>4223</v>
      </c>
      <c r="B3351" s="40" t="str">
        <f ca="1">IFERROR(INDEX(UNSPSCDes,MATCH(INDIRECT(ADDRESS(ROW(),COLUMN()-1,4)),UNSPSCCode,0)),IF(INDIRECT(ADDRESS(ROW(),COLUMN()-1,4))="27112106","Alicates de guardalínea",""))</f>
        <v>Alicates de guardalínea</v>
      </c>
      <c r="C3351" s="72" t="str">
        <f>IFERROR(VLOOKUP("UD",'Informacion '!P:Q,2,FALSE),"")</f>
        <v>Unidad</v>
      </c>
      <c r="D3351" s="39">
        <v>20</v>
      </c>
      <c r="E3351" s="42">
        <v>419</v>
      </c>
      <c r="F3351" s="41">
        <f t="shared" ca="1" si="132"/>
        <v>8380</v>
      </c>
    </row>
    <row r="3352" spans="1:6" ht="14.25" customHeight="1" x14ac:dyDescent="0.35">
      <c r="A3352" s="39" t="s">
        <v>10622</v>
      </c>
      <c r="B3352" s="40" t="str">
        <f ca="1">IFERROR(INDEX(UNSPSCDes,MATCH(INDIRECT(ADDRESS(ROW(),COLUMN()-1,4)),UNSPSCCode,0)),IF(INDIRECT(ADDRESS(ROW(),COLUMN()-1,4))="27112122","Alicates de hoja metálica",""))</f>
        <v>Alicates de hoja metálica</v>
      </c>
      <c r="C3352" s="72" t="str">
        <f>IFERROR(VLOOKUP("UD",'Informacion '!P:Q,2,FALSE),"")</f>
        <v>Unidad</v>
      </c>
      <c r="D3352" s="39">
        <v>4</v>
      </c>
      <c r="E3352" s="42">
        <v>649</v>
      </c>
      <c r="F3352" s="41">
        <f t="shared" ca="1" si="132"/>
        <v>2596</v>
      </c>
    </row>
    <row r="3353" spans="1:6" ht="14.25" customHeight="1" x14ac:dyDescent="0.35">
      <c r="A3353" s="39" t="s">
        <v>10622</v>
      </c>
      <c r="B3353" s="40" t="str">
        <f ca="1">IFERROR(INDEX(UNSPSCDes,MATCH(INDIRECT(ADDRESS(ROW(),COLUMN()-1,4)),UNSPSCCode,0)),IF(INDIRECT(ADDRESS(ROW(),COLUMN()-1,4))="27112122","Alicates de hoja metálica",""))</f>
        <v>Alicates de hoja metálica</v>
      </c>
      <c r="C3353" s="72" t="str">
        <f>IFERROR(VLOOKUP("UD",'Informacion '!P:Q,2,FALSE),"")</f>
        <v>Unidad</v>
      </c>
      <c r="D3353" s="39">
        <v>2</v>
      </c>
      <c r="E3353" s="42">
        <v>737</v>
      </c>
      <c r="F3353" s="41">
        <f t="shared" ca="1" si="132"/>
        <v>1474</v>
      </c>
    </row>
    <row r="3354" spans="1:6" ht="14.25" customHeight="1" x14ac:dyDescent="0.35">
      <c r="A3354" s="39" t="s">
        <v>9333</v>
      </c>
      <c r="B3354" s="40" t="str">
        <f ca="1">IFERROR(INDEX(UNSPSCDes,MATCH(INDIRECT(ADDRESS(ROW(),COLUMN()-1,4)),UNSPSCCode,0)),IF(INDIRECT(ADDRESS(ROW(),COLUMN()-1,4))="27112201","Palustres",""))</f>
        <v>Palustres</v>
      </c>
      <c r="C3354" s="72" t="str">
        <f>IFERROR(VLOOKUP("UD",'Informacion '!P:Q,2,FALSE),"")</f>
        <v>Unidad</v>
      </c>
      <c r="D3354" s="39">
        <v>3</v>
      </c>
      <c r="E3354" s="42">
        <v>171.5</v>
      </c>
      <c r="F3354" s="41">
        <f t="shared" ca="1" si="132"/>
        <v>514.5</v>
      </c>
    </row>
    <row r="3355" spans="1:6" ht="14.25" customHeight="1" x14ac:dyDescent="0.35">
      <c r="A3355" s="39" t="s">
        <v>3660</v>
      </c>
      <c r="B3355" s="40" t="str">
        <f t="shared" ref="B3355:B3361" ca="1" si="133">IFERROR(INDEX(UNSPSCDes,MATCH(INDIRECT(ADDRESS(ROW(),COLUMN()-1,4)),UNSPSCCode,0)),IF(INDIRECT(ADDRESS(ROW(),COLUMN()-1,4))="27112504","Cuñas",""))</f>
        <v>Cuñas</v>
      </c>
      <c r="C3355" s="72" t="str">
        <f>IFERROR(VLOOKUP("UD",'Informacion '!P:Q,2,FALSE),"")</f>
        <v>Unidad</v>
      </c>
      <c r="D3355" s="39">
        <v>200</v>
      </c>
      <c r="E3355" s="42">
        <v>1.71</v>
      </c>
      <c r="F3355" s="41">
        <f t="shared" ca="1" si="132"/>
        <v>342</v>
      </c>
    </row>
    <row r="3356" spans="1:6" ht="14.25" customHeight="1" x14ac:dyDescent="0.35">
      <c r="A3356" s="39" t="s">
        <v>3660</v>
      </c>
      <c r="B3356" s="40" t="str">
        <f t="shared" ca="1" si="133"/>
        <v>Cuñas</v>
      </c>
      <c r="C3356" s="72" t="str">
        <f>IFERROR(VLOOKUP("UD",'Informacion '!P:Q,2,FALSE),"")</f>
        <v>Unidad</v>
      </c>
      <c r="D3356" s="39">
        <v>200</v>
      </c>
      <c r="E3356" s="42">
        <v>2.93</v>
      </c>
      <c r="F3356" s="41">
        <f t="shared" ca="1" si="132"/>
        <v>586</v>
      </c>
    </row>
    <row r="3357" spans="1:6" ht="14.25" customHeight="1" x14ac:dyDescent="0.35">
      <c r="A3357" s="39" t="s">
        <v>3660</v>
      </c>
      <c r="B3357" s="40" t="str">
        <f t="shared" ca="1" si="133"/>
        <v>Cuñas</v>
      </c>
      <c r="C3357" s="72" t="str">
        <f>IFERROR(VLOOKUP("UD",'Informacion '!P:Q,2,FALSE),"")</f>
        <v>Unidad</v>
      </c>
      <c r="D3357" s="39">
        <v>200</v>
      </c>
      <c r="E3357" s="42">
        <v>188</v>
      </c>
      <c r="F3357" s="41">
        <f t="shared" ca="1" si="132"/>
        <v>37600</v>
      </c>
    </row>
    <row r="3358" spans="1:6" ht="14.25" customHeight="1" x14ac:dyDescent="0.35">
      <c r="A3358" s="39" t="s">
        <v>3660</v>
      </c>
      <c r="B3358" s="40" t="str">
        <f t="shared" ca="1" si="133"/>
        <v>Cuñas</v>
      </c>
      <c r="C3358" s="72" t="str">
        <f>IFERROR(VLOOKUP("UD",'Informacion '!P:Q,2,FALSE),"")</f>
        <v>Unidad</v>
      </c>
      <c r="D3358" s="39">
        <v>100</v>
      </c>
      <c r="E3358" s="42">
        <v>3200</v>
      </c>
      <c r="F3358" s="41">
        <f t="shared" ca="1" si="132"/>
        <v>320000</v>
      </c>
    </row>
    <row r="3359" spans="1:6" ht="14.25" customHeight="1" x14ac:dyDescent="0.35">
      <c r="A3359" s="39" t="s">
        <v>3660</v>
      </c>
      <c r="B3359" s="40" t="str">
        <f t="shared" ca="1" si="133"/>
        <v>Cuñas</v>
      </c>
      <c r="C3359" s="72" t="str">
        <f>IFERROR(VLOOKUP("UD",'Informacion '!P:Q,2,FALSE),"")</f>
        <v>Unidad</v>
      </c>
      <c r="D3359" s="39">
        <v>24</v>
      </c>
      <c r="E3359" s="42">
        <v>5380.8</v>
      </c>
      <c r="F3359" s="41">
        <f t="shared" ca="1" si="132"/>
        <v>129139.20000000001</v>
      </c>
    </row>
    <row r="3360" spans="1:6" ht="14.25" customHeight="1" x14ac:dyDescent="0.35">
      <c r="A3360" s="39" t="s">
        <v>3660</v>
      </c>
      <c r="B3360" s="40" t="str">
        <f t="shared" ca="1" si="133"/>
        <v>Cuñas</v>
      </c>
      <c r="C3360" s="72" t="str">
        <f>IFERROR(VLOOKUP("UD",'Informacion '!P:Q,2,FALSE),"")</f>
        <v>Unidad</v>
      </c>
      <c r="D3360" s="39">
        <v>200</v>
      </c>
      <c r="E3360" s="42">
        <v>0.89</v>
      </c>
      <c r="F3360" s="41">
        <f t="shared" ca="1" si="132"/>
        <v>178</v>
      </c>
    </row>
    <row r="3361" spans="1:10" ht="14.25" customHeight="1" x14ac:dyDescent="0.35">
      <c r="A3361" s="39" t="s">
        <v>3660</v>
      </c>
      <c r="B3361" s="40" t="str">
        <f t="shared" ca="1" si="133"/>
        <v>Cuñas</v>
      </c>
      <c r="C3361" s="72" t="str">
        <f>IFERROR(VLOOKUP("UD",'Informacion '!P:Q,2,FALSE),"")</f>
        <v>Unidad</v>
      </c>
      <c r="D3361" s="39">
        <v>200</v>
      </c>
      <c r="E3361" s="42">
        <v>2.36</v>
      </c>
      <c r="F3361" s="41">
        <f t="shared" ref="F3361:F3371" ca="1" si="134">INDIRECT(ADDRESS(ROW(),COLUMN()-2,4))*INDIRECT(ADDRESS(ROW(),COLUMN()-1,4))</f>
        <v>472</v>
      </c>
    </row>
    <row r="3362" spans="1:10" ht="14.25" customHeight="1" x14ac:dyDescent="0.35">
      <c r="A3362" s="39" t="s">
        <v>349</v>
      </c>
      <c r="B3362" s="40" t="str">
        <f ca="1">IFERROR(INDEX(UNSPSCDes,MATCH(INDIRECT(ADDRESS(ROW(),COLUMN()-1,4)),UNSPSCCode,0)),IF(INDIRECT(ADDRESS(ROW(),COLUMN()-1,4))="27112709","Sierras eléctricas",""))</f>
        <v>Sierras eléctricas</v>
      </c>
      <c r="C3362" s="72" t="str">
        <f>IFERROR(VLOOKUP("UD",'Informacion '!P:Q,2,FALSE),"")</f>
        <v>Unidad</v>
      </c>
      <c r="D3362" s="39">
        <v>1</v>
      </c>
      <c r="E3362" s="42">
        <v>28685.67</v>
      </c>
      <c r="F3362" s="41">
        <f t="shared" ca="1" si="134"/>
        <v>28685.67</v>
      </c>
    </row>
    <row r="3363" spans="1:10" ht="14.25" customHeight="1" x14ac:dyDescent="0.35">
      <c r="A3363" s="39" t="s">
        <v>7648</v>
      </c>
      <c r="B3363" s="40" t="str">
        <f ca="1">IFERROR(INDEX(UNSPSCDes,MATCH(INDIRECT(ADDRESS(ROW(),COLUMN()-1,4)),UNSPSCCode,0)),IF(INDIRECT(ADDRESS(ROW(),COLUMN()-1,4))="27112801","Brocas",""))</f>
        <v>Brocas</v>
      </c>
      <c r="C3363" s="72" t="str">
        <f>IFERROR(VLOOKUP("UD",'Informacion '!P:Q,2,FALSE),"")</f>
        <v>Unidad</v>
      </c>
      <c r="D3363" s="39">
        <v>4</v>
      </c>
      <c r="E3363" s="42">
        <v>3873</v>
      </c>
      <c r="F3363" s="41">
        <f t="shared" ca="1" si="134"/>
        <v>15492</v>
      </c>
    </row>
    <row r="3364" spans="1:10" ht="14.25" customHeight="1" x14ac:dyDescent="0.35">
      <c r="A3364" s="39" t="s">
        <v>7648</v>
      </c>
      <c r="B3364" s="40" t="str">
        <f ca="1">IFERROR(INDEX(UNSPSCDes,MATCH(INDIRECT(ADDRESS(ROW(),COLUMN()-1,4)),UNSPSCCode,0)),IF(INDIRECT(ADDRESS(ROW(),COLUMN()-1,4))="27112801","Brocas",""))</f>
        <v>Brocas</v>
      </c>
      <c r="C3364" s="72" t="str">
        <f>IFERROR(VLOOKUP("UD",'Informacion '!P:Q,2,FALSE),"")</f>
        <v>Unidad</v>
      </c>
      <c r="D3364" s="39">
        <v>1</v>
      </c>
      <c r="E3364" s="42">
        <v>10000</v>
      </c>
      <c r="F3364" s="41">
        <f t="shared" ca="1" si="134"/>
        <v>10000</v>
      </c>
    </row>
    <row r="3365" spans="1:10" ht="14.25" customHeight="1" x14ac:dyDescent="0.35">
      <c r="A3365" s="39" t="s">
        <v>11312</v>
      </c>
      <c r="B3365" s="40" t="str">
        <f ca="1">IFERROR(INDEX(UNSPSCDes,MATCH(INDIRECT(ADDRESS(ROW(),COLUMN()-1,4)),UNSPSCCode,0)),IF(INDIRECT(ADDRESS(ROW(),COLUMN()-1,4))="27112802","Hojas de sierra",""))</f>
        <v>Hojas de sierra</v>
      </c>
      <c r="C3365" s="72" t="str">
        <f>IFERROR(VLOOKUP("UD",'Informacion '!P:Q,2,FALSE),"")</f>
        <v>Unidad</v>
      </c>
      <c r="D3365" s="39">
        <v>3</v>
      </c>
      <c r="E3365" s="42">
        <v>731.17</v>
      </c>
      <c r="F3365" s="41">
        <f t="shared" ca="1" si="134"/>
        <v>2193.5099999999998</v>
      </c>
    </row>
    <row r="3366" spans="1:10" ht="14.25" customHeight="1" x14ac:dyDescent="0.35">
      <c r="A3366" s="39" t="s">
        <v>11312</v>
      </c>
      <c r="B3366" s="40" t="str">
        <f ca="1">IFERROR(INDEX(UNSPSCDes,MATCH(INDIRECT(ADDRESS(ROW(),COLUMN()-1,4)),UNSPSCCode,0)),IF(INDIRECT(ADDRESS(ROW(),COLUMN()-1,4))="27112802","Hojas de sierra",""))</f>
        <v>Hojas de sierra</v>
      </c>
      <c r="C3366" s="72" t="str">
        <f>IFERROR(VLOOKUP("UD",'Informacion '!P:Q,2,FALSE),"")</f>
        <v>Unidad</v>
      </c>
      <c r="D3366" s="39">
        <v>20</v>
      </c>
      <c r="E3366" s="42">
        <v>47.2</v>
      </c>
      <c r="F3366" s="41">
        <f t="shared" ca="1" si="134"/>
        <v>944</v>
      </c>
    </row>
    <row r="3367" spans="1:10" ht="14.25" customHeight="1" x14ac:dyDescent="0.35">
      <c r="A3367" s="39" t="s">
        <v>12090</v>
      </c>
      <c r="B3367" s="40" t="str">
        <f ca="1">IFERROR(INDEX(UNSPSCDes,MATCH(INDIRECT(ADDRESS(ROW(),COLUMN()-1,4)),UNSPSCCode,0)),IF(INDIRECT(ADDRESS(ROW(),COLUMN()-1,4))="27112813","Vara de extensión",""))</f>
        <v>Vara de extensión</v>
      </c>
      <c r="C3367" s="72" t="str">
        <f>IFERROR(VLOOKUP("UD",'Informacion '!P:Q,2,FALSE),"")</f>
        <v>Unidad</v>
      </c>
      <c r="D3367" s="39">
        <v>4</v>
      </c>
      <c r="E3367" s="42">
        <v>346.33</v>
      </c>
      <c r="F3367" s="41">
        <f t="shared" ca="1" si="134"/>
        <v>1385.32</v>
      </c>
    </row>
    <row r="3368" spans="1:10" ht="14.25" customHeight="1" x14ac:dyDescent="0.35">
      <c r="A3368" s="39" t="s">
        <v>8869</v>
      </c>
      <c r="B3368" s="40" t="str">
        <f ca="1">IFERROR(INDEX(UNSPSCDes,MATCH(INDIRECT(ADDRESS(ROW(),COLUMN()-1,4)),UNSPSCCode,0)),IF(INDIRECT(ADDRESS(ROW(),COLUMN()-1,4))="27112826","Caladora",""))</f>
        <v>Caladora</v>
      </c>
      <c r="C3368" s="72" t="str">
        <f>IFERROR(VLOOKUP("UD",'Informacion '!P:Q,2,FALSE),"")</f>
        <v>Unidad</v>
      </c>
      <c r="D3368" s="39">
        <v>1</v>
      </c>
      <c r="E3368" s="42">
        <v>10200</v>
      </c>
      <c r="F3368" s="41">
        <f t="shared" ca="1" si="134"/>
        <v>10200</v>
      </c>
    </row>
    <row r="3369" spans="1:10" ht="14.25" customHeight="1" x14ac:dyDescent="0.35">
      <c r="A3369" s="39" t="s">
        <v>8869</v>
      </c>
      <c r="B3369" s="40" t="str">
        <f ca="1">IFERROR(INDEX(UNSPSCDes,MATCH(INDIRECT(ADDRESS(ROW(),COLUMN()-1,4)),UNSPSCCode,0)),IF(INDIRECT(ADDRESS(ROW(),COLUMN()-1,4))="27112826","Caladora",""))</f>
        <v>Caladora</v>
      </c>
      <c r="C3369" s="72" t="str">
        <f>IFERROR(VLOOKUP("UD",'Informacion '!P:Q,2,FALSE),"")</f>
        <v>Unidad</v>
      </c>
      <c r="D3369" s="39">
        <v>1</v>
      </c>
      <c r="E3369" s="42">
        <v>1000</v>
      </c>
      <c r="F3369" s="41">
        <f t="shared" ca="1" si="134"/>
        <v>1000</v>
      </c>
    </row>
    <row r="3370" spans="1:10" ht="14.25" customHeight="1" x14ac:dyDescent="0.35">
      <c r="A3370" s="39" t="s">
        <v>8869</v>
      </c>
      <c r="B3370" s="40" t="str">
        <f ca="1">IFERROR(INDEX(UNSPSCDes,MATCH(INDIRECT(ADDRESS(ROW(),COLUMN()-1,4)),UNSPSCCode,0)),IF(INDIRECT(ADDRESS(ROW(),COLUMN()-1,4))="27112826","Caladora",""))</f>
        <v>Caladora</v>
      </c>
      <c r="C3370" s="72" t="str">
        <f>IFERROR(VLOOKUP("UD",'Informacion '!P:Q,2,FALSE),"")</f>
        <v>Unidad</v>
      </c>
      <c r="D3370" s="39">
        <v>1</v>
      </c>
      <c r="E3370" s="42">
        <v>3174.2</v>
      </c>
      <c r="F3370" s="41">
        <f t="shared" ca="1" si="134"/>
        <v>3174.2</v>
      </c>
    </row>
    <row r="3371" spans="1:10" ht="14.25" customHeight="1" x14ac:dyDescent="0.35">
      <c r="A3371" s="39" t="s">
        <v>5661</v>
      </c>
      <c r="B3371" s="40" t="str">
        <f ca="1">IFERROR(INDEX(UNSPSCDes,MATCH(INDIRECT(ADDRESS(ROW(),COLUMN()-1,4)),UNSPSCCode,0)),IF(INDIRECT(ADDRESS(ROW(),COLUMN()-1,4))="27112904","Pistola de resina",""))</f>
        <v>Pistola de resina</v>
      </c>
      <c r="C3371" s="72" t="str">
        <f>IFERROR(VLOOKUP("UD",'Informacion '!P:Q,2,FALSE),"")</f>
        <v>Unidad</v>
      </c>
      <c r="D3371" s="39">
        <v>4</v>
      </c>
      <c r="E3371" s="42">
        <v>317</v>
      </c>
      <c r="F3371" s="41">
        <f t="shared" ca="1" si="134"/>
        <v>1268</v>
      </c>
    </row>
    <row r="3372" spans="1:10" ht="14.25" customHeight="1" x14ac:dyDescent="0.35">
      <c r="E3372" s="44" t="s">
        <v>13122</v>
      </c>
      <c r="F3372" s="45">
        <f ca="1">SUM(Table168[MONTO TOTAL ESTIMADO])</f>
        <v>1470697.4499999997</v>
      </c>
      <c r="H3372" s="24" t="str">
        <f>C3290</f>
        <v>Bienes</v>
      </c>
      <c r="I3372" s="24" t="str">
        <f>E3290</f>
        <v>Sí</v>
      </c>
      <c r="J3372" s="24" t="str">
        <f>D3290</f>
        <v>Compras Menores</v>
      </c>
    </row>
    <row r="3374" spans="1:10" ht="34" customHeight="1" x14ac:dyDescent="0.35">
      <c r="A3374" s="36" t="s">
        <v>17105</v>
      </c>
      <c r="B3374" s="36" t="s">
        <v>167</v>
      </c>
      <c r="C3374" s="36" t="s">
        <v>12252</v>
      </c>
      <c r="D3374" s="36" t="s">
        <v>15021</v>
      </c>
      <c r="E3374" s="36" t="s">
        <v>11455</v>
      </c>
      <c r="F3374" s="36" t="s">
        <v>11595</v>
      </c>
    </row>
    <row r="3375" spans="1:10" ht="14.25" customHeight="1" x14ac:dyDescent="0.35">
      <c r="A3375" s="37" t="s">
        <v>12272</v>
      </c>
      <c r="B3375" s="37" t="s">
        <v>12272</v>
      </c>
      <c r="C3375" s="37" t="s">
        <v>18585</v>
      </c>
      <c r="D3375" s="37" t="s">
        <v>10634</v>
      </c>
      <c r="E3375" s="37" t="s">
        <v>9261</v>
      </c>
      <c r="F3375" s="37" t="s">
        <v>7088</v>
      </c>
    </row>
    <row r="3376" spans="1:10" ht="14.25" customHeight="1" x14ac:dyDescent="0.35">
      <c r="A3376" s="75" t="s">
        <v>15490</v>
      </c>
      <c r="B3376" s="38" t="s">
        <v>8918</v>
      </c>
      <c r="C3376" s="68">
        <v>45334</v>
      </c>
      <c r="D3376" s="75" t="s">
        <v>9819</v>
      </c>
      <c r="E3376" s="70" t="s">
        <v>13683</v>
      </c>
      <c r="F3376" s="71" t="s">
        <v>3205</v>
      </c>
    </row>
    <row r="3377" spans="1:6" ht="14.25" customHeight="1" x14ac:dyDescent="0.35">
      <c r="A3377" s="76"/>
      <c r="B3377" s="38" t="s">
        <v>1858</v>
      </c>
      <c r="C3377" s="69">
        <f>IF(C3376="","",IF(AND(MONTH(C3376)&gt;=1,MONTH(C3376)&lt;=3),1,IF(AND(MONTH(C3376)&gt;=4,MONTH(C3376)&lt;=6),2,IF(AND(MONTH(C3376)&gt;=7,MONTH(C3376)&lt;=9),3,4))))</f>
        <v>1</v>
      </c>
      <c r="D3377" s="76"/>
      <c r="E3377" s="70" t="s">
        <v>2509</v>
      </c>
      <c r="F3377" s="71" t="s">
        <v>11612</v>
      </c>
    </row>
    <row r="3378" spans="1:6" ht="14.25" customHeight="1" x14ac:dyDescent="0.35">
      <c r="A3378" s="76"/>
      <c r="B3378" s="38" t="s">
        <v>13526</v>
      </c>
      <c r="C3378" s="68">
        <v>45381</v>
      </c>
      <c r="D3378" s="76"/>
      <c r="E3378" s="70" t="s">
        <v>3198</v>
      </c>
      <c r="F3378" s="71" t="s">
        <v>11612</v>
      </c>
    </row>
    <row r="3379" spans="1:6" ht="14.25" customHeight="1" x14ac:dyDescent="0.35">
      <c r="A3379" s="76"/>
      <c r="B3379" s="38" t="s">
        <v>1858</v>
      </c>
      <c r="C3379" s="69">
        <f>IF(C3378="","",IF(AND(MONTH(C3378)&gt;=1,MONTH(C3378)&lt;=3),1,IF(AND(MONTH(C3378)&gt;=4,MONTH(C3378)&lt;=6),2,IF(AND(MONTH(C3378)&gt;=7,MONTH(C3378)&lt;=9),3,4))))</f>
        <v>1</v>
      </c>
      <c r="D3379" s="76"/>
      <c r="E3379" s="70" t="s">
        <v>13785</v>
      </c>
      <c r="F3379" s="71"/>
    </row>
    <row r="3381" spans="1:6" ht="14.25" customHeight="1" x14ac:dyDescent="0.35">
      <c r="A3381" s="43" t="s">
        <v>16424</v>
      </c>
      <c r="B3381" s="43" t="s">
        <v>16856</v>
      </c>
      <c r="C3381" s="43" t="s">
        <v>16326</v>
      </c>
      <c r="D3381" s="43" t="s">
        <v>15925</v>
      </c>
      <c r="E3381" s="43" t="s">
        <v>7248</v>
      </c>
      <c r="F3381" s="43" t="s">
        <v>15955</v>
      </c>
    </row>
    <row r="3382" spans="1:6" ht="14.25" customHeight="1" x14ac:dyDescent="0.35">
      <c r="A3382" s="39" t="s">
        <v>5299</v>
      </c>
      <c r="B3382" s="40" t="str">
        <f ca="1">IFERROR(INDEX(UNSPSCDes,MATCH(INDIRECT(ADDRESS(ROW(),COLUMN()-1,4)),UNSPSCCode,0)),IF(INDIRECT(ADDRESS(ROW(),COLUMN()-1,4))="27111902","Limas",""))</f>
        <v>Limas</v>
      </c>
      <c r="C3382" s="72" t="str">
        <f>IFERROR(VLOOKUP("UD",'Informacion '!P:Q,2,FALSE),"")</f>
        <v>Unidad</v>
      </c>
      <c r="D3382" s="39">
        <v>2</v>
      </c>
      <c r="E3382" s="42">
        <v>112</v>
      </c>
      <c r="F3382" s="41">
        <f t="shared" ref="F3382:F3392" ca="1" si="135">INDIRECT(ADDRESS(ROW(),COLUMN()-2,4))*INDIRECT(ADDRESS(ROW(),COLUMN()-1,4))</f>
        <v>224</v>
      </c>
    </row>
    <row r="3383" spans="1:6" ht="14.25" customHeight="1" x14ac:dyDescent="0.35">
      <c r="A3383" s="39" t="s">
        <v>6009</v>
      </c>
      <c r="B3383" s="40" t="str">
        <f ca="1">IFERROR(INDEX(UNSPSCDes,MATCH(INDIRECT(ADDRESS(ROW(),COLUMN()-1,4)),UNSPSCCode,0)),IF(INDIRECT(ADDRESS(ROW(),COLUMN()-1,4))="12141901","Cloro cl",""))</f>
        <v>Cloro cl</v>
      </c>
      <c r="C3383" s="72" t="str">
        <f>IFERROR(VLOOKUP("UD",'Informacion '!P:Q,2,FALSE),"")</f>
        <v>Unidad</v>
      </c>
      <c r="D3383" s="39">
        <v>500</v>
      </c>
      <c r="E3383" s="42">
        <v>104</v>
      </c>
      <c r="F3383" s="41">
        <f t="shared" ca="1" si="135"/>
        <v>52000</v>
      </c>
    </row>
    <row r="3384" spans="1:6" ht="14.25" customHeight="1" x14ac:dyDescent="0.35">
      <c r="A3384" s="39" t="s">
        <v>201</v>
      </c>
      <c r="B3384" s="40" t="str">
        <f ca="1">IFERROR(INDEX(UNSPSCDes,MATCH(INDIRECT(ADDRESS(ROW(),COLUMN()-1,4)),UNSPSCCode,0)),IF(INDIRECT(ADDRESS(ROW(),COLUMN()-1,4))="27112001","Machetes",""))</f>
        <v>Machetes</v>
      </c>
      <c r="C3384" s="72" t="str">
        <f>IFERROR(VLOOKUP("UD",'Informacion '!P:Q,2,FALSE),"")</f>
        <v>Unidad</v>
      </c>
      <c r="D3384" s="39">
        <v>9</v>
      </c>
      <c r="E3384" s="42">
        <v>184.74</v>
      </c>
      <c r="F3384" s="41">
        <f t="shared" ca="1" si="135"/>
        <v>1662.66</v>
      </c>
    </row>
    <row r="3385" spans="1:6" ht="14.25" customHeight="1" x14ac:dyDescent="0.35">
      <c r="A3385" s="39" t="s">
        <v>201</v>
      </c>
      <c r="B3385" s="40" t="str">
        <f ca="1">IFERROR(INDEX(UNSPSCDes,MATCH(INDIRECT(ADDRESS(ROW(),COLUMN()-1,4)),UNSPSCCode,0)),IF(INDIRECT(ADDRESS(ROW(),COLUMN()-1,4))="27112001","Machetes",""))</f>
        <v>Machetes</v>
      </c>
      <c r="C3385" s="72" t="str">
        <f>IFERROR(VLOOKUP("UD",'Informacion '!P:Q,2,FALSE),"")</f>
        <v>Unidad</v>
      </c>
      <c r="D3385" s="39">
        <v>2</v>
      </c>
      <c r="E3385" s="42">
        <v>232</v>
      </c>
      <c r="F3385" s="41">
        <f t="shared" ca="1" si="135"/>
        <v>464</v>
      </c>
    </row>
    <row r="3386" spans="1:6" ht="14.25" customHeight="1" x14ac:dyDescent="0.35">
      <c r="A3386" s="39" t="s">
        <v>4374</v>
      </c>
      <c r="B3386" s="40" t="str">
        <f ca="1">IFERROR(INDEX(UNSPSCDes,MATCH(INDIRECT(ADDRESS(ROW(),COLUMN()-1,4)),UNSPSCCode,0)),IF(INDIRECT(ADDRESS(ROW(),COLUMN()-1,4))="27112004","Palas",""))</f>
        <v>Palas</v>
      </c>
      <c r="C3386" s="72" t="str">
        <f>IFERROR(VLOOKUP("UD",'Informacion '!P:Q,2,FALSE),"")</f>
        <v>Unidad</v>
      </c>
      <c r="D3386" s="39">
        <v>5</v>
      </c>
      <c r="E3386" s="42">
        <v>418.88</v>
      </c>
      <c r="F3386" s="41">
        <f t="shared" ca="1" si="135"/>
        <v>2094.4</v>
      </c>
    </row>
    <row r="3387" spans="1:6" ht="14.25" customHeight="1" x14ac:dyDescent="0.35">
      <c r="A3387" s="39" t="s">
        <v>4374</v>
      </c>
      <c r="B3387" s="40" t="str">
        <f ca="1">IFERROR(INDEX(UNSPSCDes,MATCH(INDIRECT(ADDRESS(ROW(),COLUMN()-1,4)),UNSPSCCode,0)),IF(INDIRECT(ADDRESS(ROW(),COLUMN()-1,4))="27112004","Palas",""))</f>
        <v>Palas</v>
      </c>
      <c r="C3387" s="72" t="str">
        <f>IFERROR(VLOOKUP("UD",'Informacion '!P:Q,2,FALSE),"")</f>
        <v>Unidad</v>
      </c>
      <c r="D3387" s="39">
        <v>5</v>
      </c>
      <c r="E3387" s="42">
        <v>778</v>
      </c>
      <c r="F3387" s="41">
        <f t="shared" ca="1" si="135"/>
        <v>3890</v>
      </c>
    </row>
    <row r="3388" spans="1:6" ht="14.25" customHeight="1" x14ac:dyDescent="0.35">
      <c r="A3388" s="39" t="s">
        <v>4977</v>
      </c>
      <c r="B3388" s="40" t="str">
        <f ca="1">IFERROR(INDEX(UNSPSCDes,MATCH(INDIRECT(ADDRESS(ROW(),COLUMN()-1,4)),UNSPSCCode,0)),IF(INDIRECT(ADDRESS(ROW(),COLUMN()-1,4))="27112005","Hachas",""))</f>
        <v>Hachas</v>
      </c>
      <c r="C3388" s="72" t="str">
        <f>IFERROR(VLOOKUP("UD",'Informacion '!P:Q,2,FALSE),"")</f>
        <v>Unidad</v>
      </c>
      <c r="D3388" s="39">
        <v>2</v>
      </c>
      <c r="E3388" s="42">
        <v>6000</v>
      </c>
      <c r="F3388" s="41">
        <f t="shared" ca="1" si="135"/>
        <v>12000</v>
      </c>
    </row>
    <row r="3389" spans="1:6" ht="14.25" customHeight="1" x14ac:dyDescent="0.35">
      <c r="A3389" s="39" t="s">
        <v>13610</v>
      </c>
      <c r="B3389" s="40" t="str">
        <f ca="1">IFERROR(INDEX(UNSPSCDes,MATCH(INDIRECT(ADDRESS(ROW(),COLUMN()-1,4)),UNSPSCCode,0)),IF(INDIRECT(ADDRESS(ROW(),COLUMN()-1,4))="27112101","Dobladores de tubos",""))</f>
        <v>Dobladores de tubos</v>
      </c>
      <c r="C3389" s="72" t="str">
        <f>IFERROR(VLOOKUP("UD",'Informacion '!P:Q,2,FALSE),"")</f>
        <v>Unidad</v>
      </c>
      <c r="D3389" s="39">
        <v>1</v>
      </c>
      <c r="E3389" s="42">
        <v>1764</v>
      </c>
      <c r="F3389" s="41">
        <f t="shared" ca="1" si="135"/>
        <v>1764</v>
      </c>
    </row>
    <row r="3390" spans="1:6" ht="14.25" customHeight="1" x14ac:dyDescent="0.35">
      <c r="A3390" s="39" t="s">
        <v>13610</v>
      </c>
      <c r="B3390" s="40" t="str">
        <f ca="1">IFERROR(INDEX(UNSPSCDes,MATCH(INDIRECT(ADDRESS(ROW(),COLUMN()-1,4)),UNSPSCCode,0)),IF(INDIRECT(ADDRESS(ROW(),COLUMN()-1,4))="27112101","Dobladores de tubos",""))</f>
        <v>Dobladores de tubos</v>
      </c>
      <c r="C3390" s="72" t="str">
        <f>IFERROR(VLOOKUP("UD",'Informacion '!P:Q,2,FALSE),"")</f>
        <v>Unidad</v>
      </c>
      <c r="D3390" s="39">
        <v>1</v>
      </c>
      <c r="E3390" s="42">
        <v>802</v>
      </c>
      <c r="F3390" s="41">
        <f t="shared" ca="1" si="135"/>
        <v>802</v>
      </c>
    </row>
    <row r="3391" spans="1:6" ht="14.25" customHeight="1" x14ac:dyDescent="0.35">
      <c r="A3391" s="39" t="s">
        <v>13610</v>
      </c>
      <c r="B3391" s="40" t="str">
        <f ca="1">IFERROR(INDEX(UNSPSCDes,MATCH(INDIRECT(ADDRESS(ROW(),COLUMN()-1,4)),UNSPSCCode,0)),IF(INDIRECT(ADDRESS(ROW(),COLUMN()-1,4))="27112101","Dobladores de tubos",""))</f>
        <v>Dobladores de tubos</v>
      </c>
      <c r="C3391" s="72" t="str">
        <f>IFERROR(VLOOKUP("UD",'Informacion '!P:Q,2,FALSE),"")</f>
        <v>Unidad</v>
      </c>
      <c r="D3391" s="39">
        <v>1</v>
      </c>
      <c r="E3391" s="42">
        <v>1628</v>
      </c>
      <c r="F3391" s="41">
        <f t="shared" ca="1" si="135"/>
        <v>1628</v>
      </c>
    </row>
    <row r="3392" spans="1:6" ht="14.25" customHeight="1" x14ac:dyDescent="0.35">
      <c r="A3392" s="39" t="s">
        <v>19460</v>
      </c>
      <c r="B3392" s="40" t="str">
        <f ca="1">IFERROR(INDEX(UNSPSCDes,MATCH(INDIRECT(ADDRESS(ROW(),COLUMN()-1,4)),UNSPSCCode,0)),IF(INDIRECT(ADDRESS(ROW(),COLUMN()-1,4))="27112105","Pinzas",""))</f>
        <v>Pinzas</v>
      </c>
      <c r="C3392" s="72" t="str">
        <f>IFERROR(VLOOKUP("UD",'Informacion '!P:Q,2,FALSE),"")</f>
        <v>Unidad</v>
      </c>
      <c r="D3392" s="39">
        <v>8</v>
      </c>
      <c r="E3392" s="42">
        <v>377.6</v>
      </c>
      <c r="F3392" s="41">
        <f t="shared" ca="1" si="135"/>
        <v>3020.8</v>
      </c>
    </row>
    <row r="3393" spans="1:10" ht="14.25" customHeight="1" x14ac:dyDescent="0.35">
      <c r="E3393" s="44" t="s">
        <v>13122</v>
      </c>
      <c r="F3393" s="45">
        <f ca="1">SUM(Table169[MONTO TOTAL ESTIMADO])</f>
        <v>79549.86</v>
      </c>
      <c r="H3393" s="24" t="str">
        <f>C3375</f>
        <v>Bienes</v>
      </c>
      <c r="I3393" s="24" t="str">
        <f>E3375</f>
        <v>Sí</v>
      </c>
      <c r="J3393" s="24" t="str">
        <f>D3375</f>
        <v>Compras por debajo del Umbral</v>
      </c>
    </row>
    <row r="3395" spans="1:10" ht="34" customHeight="1" x14ac:dyDescent="0.35">
      <c r="A3395" s="36" t="s">
        <v>17105</v>
      </c>
      <c r="B3395" s="36" t="s">
        <v>167</v>
      </c>
      <c r="C3395" s="36" t="s">
        <v>12252</v>
      </c>
      <c r="D3395" s="36" t="s">
        <v>15021</v>
      </c>
      <c r="E3395" s="36" t="s">
        <v>11455</v>
      </c>
      <c r="F3395" s="36" t="s">
        <v>11595</v>
      </c>
    </row>
    <row r="3396" spans="1:10" ht="14.25" customHeight="1" x14ac:dyDescent="0.35">
      <c r="A3396" s="37" t="s">
        <v>10587</v>
      </c>
      <c r="B3396" s="37" t="s">
        <v>10587</v>
      </c>
      <c r="C3396" s="37" t="s">
        <v>18585</v>
      </c>
      <c r="D3396" s="37" t="s">
        <v>10634</v>
      </c>
      <c r="E3396" s="37" t="s">
        <v>9261</v>
      </c>
      <c r="F3396" s="37" t="s">
        <v>7088</v>
      </c>
    </row>
    <row r="3397" spans="1:10" ht="14.25" customHeight="1" x14ac:dyDescent="0.35">
      <c r="A3397" s="75" t="s">
        <v>15490</v>
      </c>
      <c r="B3397" s="38" t="s">
        <v>8918</v>
      </c>
      <c r="C3397" s="68">
        <v>45334</v>
      </c>
      <c r="D3397" s="75" t="s">
        <v>9819</v>
      </c>
      <c r="E3397" s="70" t="s">
        <v>13683</v>
      </c>
      <c r="F3397" s="71" t="s">
        <v>3205</v>
      </c>
    </row>
    <row r="3398" spans="1:10" ht="14.25" customHeight="1" x14ac:dyDescent="0.35">
      <c r="A3398" s="76"/>
      <c r="B3398" s="38" t="s">
        <v>1858</v>
      </c>
      <c r="C3398" s="69">
        <f>IF(C3397="","",IF(AND(MONTH(C3397)&gt;=1,MONTH(C3397)&lt;=3),1,IF(AND(MONTH(C3397)&gt;=4,MONTH(C3397)&lt;=6),2,IF(AND(MONTH(C3397)&gt;=7,MONTH(C3397)&lt;=9),3,4))))</f>
        <v>1</v>
      </c>
      <c r="D3398" s="76"/>
      <c r="E3398" s="70" t="s">
        <v>2509</v>
      </c>
      <c r="F3398" s="71" t="s">
        <v>11612</v>
      </c>
    </row>
    <row r="3399" spans="1:10" ht="14.25" customHeight="1" x14ac:dyDescent="0.35">
      <c r="A3399" s="76"/>
      <c r="B3399" s="38" t="s">
        <v>13526</v>
      </c>
      <c r="C3399" s="68">
        <v>45381</v>
      </c>
      <c r="D3399" s="76"/>
      <c r="E3399" s="70" t="s">
        <v>3198</v>
      </c>
      <c r="F3399" s="71" t="s">
        <v>11612</v>
      </c>
    </row>
    <row r="3400" spans="1:10" ht="14.25" customHeight="1" x14ac:dyDescent="0.35">
      <c r="A3400" s="76"/>
      <c r="B3400" s="38" t="s">
        <v>1858</v>
      </c>
      <c r="C3400" s="69">
        <f>IF(C3399="","",IF(AND(MONTH(C3399)&gt;=1,MONTH(C3399)&lt;=3),1,IF(AND(MONTH(C3399)&gt;=4,MONTH(C3399)&lt;=6),2,IF(AND(MONTH(C3399)&gt;=7,MONTH(C3399)&lt;=9),3,4))))</f>
        <v>1</v>
      </c>
      <c r="D3400" s="76"/>
      <c r="E3400" s="70" t="s">
        <v>13785</v>
      </c>
      <c r="F3400" s="71"/>
    </row>
    <row r="3402" spans="1:10" ht="14.25" customHeight="1" x14ac:dyDescent="0.35">
      <c r="A3402" s="43" t="s">
        <v>16424</v>
      </c>
      <c r="B3402" s="43" t="s">
        <v>16856</v>
      </c>
      <c r="C3402" s="43" t="s">
        <v>16326</v>
      </c>
      <c r="D3402" s="43" t="s">
        <v>15925</v>
      </c>
      <c r="E3402" s="43" t="s">
        <v>7248</v>
      </c>
      <c r="F3402" s="43" t="s">
        <v>15955</v>
      </c>
    </row>
    <row r="3403" spans="1:10" ht="14.25" customHeight="1" x14ac:dyDescent="0.35">
      <c r="A3403" s="39" t="s">
        <v>4419</v>
      </c>
      <c r="B3403" s="40" t="str">
        <f ca="1">IFERROR(INDEX(UNSPSCDes,MATCH(INDIRECT(ADDRESS(ROW(),COLUMN()-1,4)),UNSPSCCode,0)),IF(INDIRECT(ADDRESS(ROW(),COLUMN()-1,4))="24112401","Cofres, cajas o armarios para herramientas",""))</f>
        <v>Cofres, cajas o armarios para herramientas</v>
      </c>
      <c r="C3403" s="72" t="str">
        <f>IFERROR(VLOOKUP("UD",'Informacion '!P:Q,2,FALSE),"")</f>
        <v>Unidad</v>
      </c>
      <c r="D3403" s="39">
        <v>200</v>
      </c>
      <c r="E3403" s="42">
        <v>103.8</v>
      </c>
      <c r="F3403" s="41">
        <f ca="1">INDIRECT(ADDRESS(ROW(),COLUMN()-2,4))*INDIRECT(ADDRESS(ROW(),COLUMN()-1,4))</f>
        <v>20760</v>
      </c>
    </row>
    <row r="3404" spans="1:10" ht="14.25" customHeight="1" x14ac:dyDescent="0.35">
      <c r="E3404" s="44" t="s">
        <v>13122</v>
      </c>
      <c r="F3404" s="45">
        <f ca="1">SUM(Table170[MONTO TOTAL ESTIMADO])</f>
        <v>20760</v>
      </c>
      <c r="H3404" s="24" t="str">
        <f>C3396</f>
        <v>Bienes</v>
      </c>
      <c r="I3404" s="24" t="str">
        <f>E3396</f>
        <v>Sí</v>
      </c>
      <c r="J3404" s="24" t="str">
        <f>D3396</f>
        <v>Compras por debajo del Umbral</v>
      </c>
    </row>
    <row r="3406" spans="1:10" ht="34" customHeight="1" x14ac:dyDescent="0.35">
      <c r="A3406" s="36" t="s">
        <v>17105</v>
      </c>
      <c r="B3406" s="36" t="s">
        <v>167</v>
      </c>
      <c r="C3406" s="36" t="s">
        <v>12252</v>
      </c>
      <c r="D3406" s="36" t="s">
        <v>15021</v>
      </c>
      <c r="E3406" s="36" t="s">
        <v>11455</v>
      </c>
      <c r="F3406" s="36" t="s">
        <v>11595</v>
      </c>
    </row>
    <row r="3407" spans="1:10" ht="14.25" customHeight="1" x14ac:dyDescent="0.35">
      <c r="A3407" s="37" t="s">
        <v>10587</v>
      </c>
      <c r="B3407" s="37" t="s">
        <v>10587</v>
      </c>
      <c r="C3407" s="37" t="s">
        <v>18585</v>
      </c>
      <c r="D3407" s="37" t="s">
        <v>10634</v>
      </c>
      <c r="E3407" s="37" t="s">
        <v>9261</v>
      </c>
      <c r="F3407" s="37" t="s">
        <v>7088</v>
      </c>
    </row>
    <row r="3408" spans="1:10" ht="14.25" customHeight="1" x14ac:dyDescent="0.35">
      <c r="A3408" s="75" t="s">
        <v>15490</v>
      </c>
      <c r="B3408" s="38" t="s">
        <v>8918</v>
      </c>
      <c r="C3408" s="68">
        <v>45392</v>
      </c>
      <c r="D3408" s="75" t="s">
        <v>9819</v>
      </c>
      <c r="E3408" s="70" t="s">
        <v>13683</v>
      </c>
      <c r="F3408" s="71" t="s">
        <v>3205</v>
      </c>
    </row>
    <row r="3409" spans="1:10" ht="14.25" customHeight="1" x14ac:dyDescent="0.35">
      <c r="A3409" s="76"/>
      <c r="B3409" s="38" t="s">
        <v>1858</v>
      </c>
      <c r="C3409" s="69">
        <f>IF(C3408="","",IF(AND(MONTH(C3408)&gt;=1,MONTH(C3408)&lt;=3),1,IF(AND(MONTH(C3408)&gt;=4,MONTH(C3408)&lt;=6),2,IF(AND(MONTH(C3408)&gt;=7,MONTH(C3408)&lt;=9),3,4))))</f>
        <v>2</v>
      </c>
      <c r="D3409" s="76"/>
      <c r="E3409" s="70" t="s">
        <v>2509</v>
      </c>
      <c r="F3409" s="71" t="s">
        <v>11612</v>
      </c>
    </row>
    <row r="3410" spans="1:10" ht="14.25" customHeight="1" x14ac:dyDescent="0.35">
      <c r="A3410" s="76"/>
      <c r="B3410" s="38" t="s">
        <v>13526</v>
      </c>
      <c r="C3410" s="68">
        <v>45437</v>
      </c>
      <c r="D3410" s="76"/>
      <c r="E3410" s="70" t="s">
        <v>3198</v>
      </c>
      <c r="F3410" s="71" t="s">
        <v>11612</v>
      </c>
    </row>
    <row r="3411" spans="1:10" ht="14.25" customHeight="1" x14ac:dyDescent="0.35">
      <c r="A3411" s="76"/>
      <c r="B3411" s="38" t="s">
        <v>1858</v>
      </c>
      <c r="C3411" s="69">
        <f>IF(C3410="","",IF(AND(MONTH(C3410)&gt;=1,MONTH(C3410)&lt;=3),1,IF(AND(MONTH(C3410)&gt;=4,MONTH(C3410)&lt;=6),2,IF(AND(MONTH(C3410)&gt;=7,MONTH(C3410)&lt;=9),3,4))))</f>
        <v>2</v>
      </c>
      <c r="D3411" s="76"/>
      <c r="E3411" s="70" t="s">
        <v>13785</v>
      </c>
      <c r="F3411" s="71"/>
    </row>
    <row r="3413" spans="1:10" ht="14.25" customHeight="1" x14ac:dyDescent="0.35">
      <c r="A3413" s="43" t="s">
        <v>16424</v>
      </c>
      <c r="B3413" s="43" t="s">
        <v>16856</v>
      </c>
      <c r="C3413" s="43" t="s">
        <v>16326</v>
      </c>
      <c r="D3413" s="43" t="s">
        <v>15925</v>
      </c>
      <c r="E3413" s="43" t="s">
        <v>7248</v>
      </c>
      <c r="F3413" s="43" t="s">
        <v>15955</v>
      </c>
    </row>
    <row r="3414" spans="1:10" ht="14.25" customHeight="1" x14ac:dyDescent="0.35">
      <c r="A3414" s="39" t="s">
        <v>4419</v>
      </c>
      <c r="B3414" s="40" t="str">
        <f ca="1">IFERROR(INDEX(UNSPSCDes,MATCH(INDIRECT(ADDRESS(ROW(),COLUMN()-1,4)),UNSPSCCode,0)),IF(INDIRECT(ADDRESS(ROW(),COLUMN()-1,4))="24112401","Cofres, cajas o armarios para herramientas",""))</f>
        <v>Cofres, cajas o armarios para herramientas</v>
      </c>
      <c r="C3414" s="72" t="str">
        <f>IFERROR(VLOOKUP("UD",'Informacion '!P:Q,2,FALSE),"")</f>
        <v>Unidad</v>
      </c>
      <c r="D3414" s="39">
        <v>200</v>
      </c>
      <c r="E3414" s="42">
        <v>103.8</v>
      </c>
      <c r="F3414" s="41">
        <f ca="1">INDIRECT(ADDRESS(ROW(),COLUMN()-2,4))*INDIRECT(ADDRESS(ROW(),COLUMN()-1,4))</f>
        <v>20760</v>
      </c>
    </row>
    <row r="3415" spans="1:10" ht="14.25" customHeight="1" x14ac:dyDescent="0.35">
      <c r="E3415" s="44" t="s">
        <v>13122</v>
      </c>
      <c r="F3415" s="45">
        <f ca="1">SUM(Table171[MONTO TOTAL ESTIMADO])</f>
        <v>20760</v>
      </c>
      <c r="H3415" s="24" t="str">
        <f>C3407</f>
        <v>Bienes</v>
      </c>
      <c r="I3415" s="24" t="str">
        <f>E3407</f>
        <v>Sí</v>
      </c>
      <c r="J3415" s="24" t="str">
        <f>D3407</f>
        <v>Compras por debajo del Umbral</v>
      </c>
    </row>
    <row r="3417" spans="1:10" ht="34" customHeight="1" x14ac:dyDescent="0.35">
      <c r="A3417" s="36" t="s">
        <v>17105</v>
      </c>
      <c r="B3417" s="36" t="s">
        <v>167</v>
      </c>
      <c r="C3417" s="36" t="s">
        <v>12252</v>
      </c>
      <c r="D3417" s="36" t="s">
        <v>15021</v>
      </c>
      <c r="E3417" s="36" t="s">
        <v>11455</v>
      </c>
      <c r="F3417" s="36" t="s">
        <v>11595</v>
      </c>
    </row>
    <row r="3418" spans="1:10" ht="14.25" customHeight="1" x14ac:dyDescent="0.35">
      <c r="A3418" s="37" t="s">
        <v>10587</v>
      </c>
      <c r="B3418" s="37" t="s">
        <v>10587</v>
      </c>
      <c r="C3418" s="37" t="s">
        <v>18585</v>
      </c>
      <c r="D3418" s="37" t="s">
        <v>10634</v>
      </c>
      <c r="E3418" s="37" t="s">
        <v>9261</v>
      </c>
      <c r="F3418" s="37" t="s">
        <v>7088</v>
      </c>
    </row>
    <row r="3419" spans="1:10" ht="14.25" customHeight="1" x14ac:dyDescent="0.35">
      <c r="A3419" s="75" t="s">
        <v>15490</v>
      </c>
      <c r="B3419" s="38" t="s">
        <v>8918</v>
      </c>
      <c r="C3419" s="68">
        <v>45483</v>
      </c>
      <c r="D3419" s="75" t="s">
        <v>9819</v>
      </c>
      <c r="E3419" s="70" t="s">
        <v>13683</v>
      </c>
      <c r="F3419" s="71" t="s">
        <v>3205</v>
      </c>
    </row>
    <row r="3420" spans="1:10" ht="14.25" customHeight="1" x14ac:dyDescent="0.35">
      <c r="A3420" s="76"/>
      <c r="B3420" s="38" t="s">
        <v>1858</v>
      </c>
      <c r="C3420" s="69">
        <f>IF(C3419="","",IF(AND(MONTH(C3419)&gt;=1,MONTH(C3419)&lt;=3),1,IF(AND(MONTH(C3419)&gt;=4,MONTH(C3419)&lt;=6),2,IF(AND(MONTH(C3419)&gt;=7,MONTH(C3419)&lt;=9),3,4))))</f>
        <v>3</v>
      </c>
      <c r="D3420" s="76"/>
      <c r="E3420" s="70" t="s">
        <v>2509</v>
      </c>
      <c r="F3420" s="71" t="s">
        <v>11612</v>
      </c>
    </row>
    <row r="3421" spans="1:10" ht="14.25" customHeight="1" x14ac:dyDescent="0.35">
      <c r="A3421" s="76"/>
      <c r="B3421" s="38" t="s">
        <v>13526</v>
      </c>
      <c r="C3421" s="68">
        <v>45524</v>
      </c>
      <c r="D3421" s="76"/>
      <c r="E3421" s="70" t="s">
        <v>3198</v>
      </c>
      <c r="F3421" s="71" t="s">
        <v>11612</v>
      </c>
    </row>
    <row r="3422" spans="1:10" ht="14.25" customHeight="1" x14ac:dyDescent="0.35">
      <c r="A3422" s="76"/>
      <c r="B3422" s="38" t="s">
        <v>1858</v>
      </c>
      <c r="C3422" s="69">
        <f>IF(C3421="","",IF(AND(MONTH(C3421)&gt;=1,MONTH(C3421)&lt;=3),1,IF(AND(MONTH(C3421)&gt;=4,MONTH(C3421)&lt;=6),2,IF(AND(MONTH(C3421)&gt;=7,MONTH(C3421)&lt;=9),3,4))))</f>
        <v>3</v>
      </c>
      <c r="D3422" s="76"/>
      <c r="E3422" s="70" t="s">
        <v>13785</v>
      </c>
      <c r="F3422" s="71"/>
    </row>
    <row r="3424" spans="1:10" ht="14.25" customHeight="1" x14ac:dyDescent="0.35">
      <c r="A3424" s="43" t="s">
        <v>16424</v>
      </c>
      <c r="B3424" s="43" t="s">
        <v>16856</v>
      </c>
      <c r="C3424" s="43" t="s">
        <v>16326</v>
      </c>
      <c r="D3424" s="43" t="s">
        <v>15925</v>
      </c>
      <c r="E3424" s="43" t="s">
        <v>7248</v>
      </c>
      <c r="F3424" s="43" t="s">
        <v>15955</v>
      </c>
    </row>
    <row r="3425" spans="1:10" ht="14.25" customHeight="1" x14ac:dyDescent="0.35">
      <c r="A3425" s="39" t="s">
        <v>4419</v>
      </c>
      <c r="B3425" s="40" t="str">
        <f ca="1">IFERROR(INDEX(UNSPSCDes,MATCH(INDIRECT(ADDRESS(ROW(),COLUMN()-1,4)),UNSPSCCode,0)),IF(INDIRECT(ADDRESS(ROW(),COLUMN()-1,4))="24112401","Cofres, cajas o armarios para herramientas",""))</f>
        <v>Cofres, cajas o armarios para herramientas</v>
      </c>
      <c r="C3425" s="72" t="str">
        <f>IFERROR(VLOOKUP("UD",'Informacion '!P:Q,2,FALSE),"")</f>
        <v>Unidad</v>
      </c>
      <c r="D3425" s="39">
        <v>200</v>
      </c>
      <c r="E3425" s="42">
        <v>103.8</v>
      </c>
      <c r="F3425" s="41">
        <f ca="1">INDIRECT(ADDRESS(ROW(),COLUMN()-2,4))*INDIRECT(ADDRESS(ROW(),COLUMN()-1,4))</f>
        <v>20760</v>
      </c>
    </row>
    <row r="3426" spans="1:10" ht="14.25" customHeight="1" x14ac:dyDescent="0.35">
      <c r="E3426" s="44" t="s">
        <v>13122</v>
      </c>
      <c r="F3426" s="45">
        <f ca="1">SUM(Table172[MONTO TOTAL ESTIMADO])</f>
        <v>20760</v>
      </c>
      <c r="H3426" s="24" t="str">
        <f>C3418</f>
        <v>Bienes</v>
      </c>
      <c r="I3426" s="24" t="str">
        <f>E3418</f>
        <v>Sí</v>
      </c>
      <c r="J3426" s="24" t="str">
        <f>D3418</f>
        <v>Compras por debajo del Umbral</v>
      </c>
    </row>
    <row r="3428" spans="1:10" ht="34" customHeight="1" x14ac:dyDescent="0.35">
      <c r="A3428" s="36" t="s">
        <v>17105</v>
      </c>
      <c r="B3428" s="36" t="s">
        <v>167</v>
      </c>
      <c r="C3428" s="36" t="s">
        <v>12252</v>
      </c>
      <c r="D3428" s="36" t="s">
        <v>15021</v>
      </c>
      <c r="E3428" s="36" t="s">
        <v>11455</v>
      </c>
      <c r="F3428" s="36" t="s">
        <v>11595</v>
      </c>
    </row>
    <row r="3429" spans="1:10" ht="14.25" customHeight="1" x14ac:dyDescent="0.35">
      <c r="A3429" s="37" t="s">
        <v>10587</v>
      </c>
      <c r="B3429" s="37" t="s">
        <v>10587</v>
      </c>
      <c r="C3429" s="37" t="s">
        <v>18585</v>
      </c>
      <c r="D3429" s="37" t="s">
        <v>10634</v>
      </c>
      <c r="E3429" s="37" t="s">
        <v>9261</v>
      </c>
      <c r="F3429" s="37" t="s">
        <v>7088</v>
      </c>
    </row>
    <row r="3430" spans="1:10" ht="14.25" customHeight="1" x14ac:dyDescent="0.35">
      <c r="A3430" s="75" t="s">
        <v>15490</v>
      </c>
      <c r="B3430" s="38" t="s">
        <v>8918</v>
      </c>
      <c r="C3430" s="68">
        <v>45575</v>
      </c>
      <c r="D3430" s="75" t="s">
        <v>9819</v>
      </c>
      <c r="E3430" s="70" t="s">
        <v>13683</v>
      </c>
      <c r="F3430" s="71" t="s">
        <v>3205</v>
      </c>
    </row>
    <row r="3431" spans="1:10" ht="14.25" customHeight="1" x14ac:dyDescent="0.35">
      <c r="A3431" s="76"/>
      <c r="B3431" s="38" t="s">
        <v>1858</v>
      </c>
      <c r="C3431" s="69">
        <f>IF(C3430="","",IF(AND(MONTH(C3430)&gt;=1,MONTH(C3430)&lt;=3),1,IF(AND(MONTH(C3430)&gt;=4,MONTH(C3430)&lt;=6),2,IF(AND(MONTH(C3430)&gt;=7,MONTH(C3430)&lt;=9),3,4))))</f>
        <v>4</v>
      </c>
      <c r="D3431" s="76"/>
      <c r="E3431" s="70" t="s">
        <v>2509</v>
      </c>
      <c r="F3431" s="71" t="s">
        <v>11612</v>
      </c>
    </row>
    <row r="3432" spans="1:10" ht="14.25" customHeight="1" x14ac:dyDescent="0.35">
      <c r="A3432" s="76"/>
      <c r="B3432" s="38" t="s">
        <v>13526</v>
      </c>
      <c r="C3432" s="68">
        <v>45616</v>
      </c>
      <c r="D3432" s="76"/>
      <c r="E3432" s="70" t="s">
        <v>3198</v>
      </c>
      <c r="F3432" s="71" t="s">
        <v>11612</v>
      </c>
    </row>
    <row r="3433" spans="1:10" ht="14.25" customHeight="1" x14ac:dyDescent="0.35">
      <c r="A3433" s="76"/>
      <c r="B3433" s="38" t="s">
        <v>1858</v>
      </c>
      <c r="C3433" s="69">
        <f>IF(C3432="","",IF(AND(MONTH(C3432)&gt;=1,MONTH(C3432)&lt;=3),1,IF(AND(MONTH(C3432)&gt;=4,MONTH(C3432)&lt;=6),2,IF(AND(MONTH(C3432)&gt;=7,MONTH(C3432)&lt;=9),3,4))))</f>
        <v>4</v>
      </c>
      <c r="D3433" s="76"/>
      <c r="E3433" s="70" t="s">
        <v>13785</v>
      </c>
      <c r="F3433" s="71"/>
    </row>
    <row r="3435" spans="1:10" ht="14.25" customHeight="1" x14ac:dyDescent="0.35">
      <c r="A3435" s="43" t="s">
        <v>16424</v>
      </c>
      <c r="B3435" s="43" t="s">
        <v>16856</v>
      </c>
      <c r="C3435" s="43" t="s">
        <v>16326</v>
      </c>
      <c r="D3435" s="43" t="s">
        <v>15925</v>
      </c>
      <c r="E3435" s="43" t="s">
        <v>7248</v>
      </c>
      <c r="F3435" s="43" t="s">
        <v>15955</v>
      </c>
    </row>
    <row r="3436" spans="1:10" ht="14.25" customHeight="1" x14ac:dyDescent="0.35">
      <c r="A3436" s="39" t="s">
        <v>4419</v>
      </c>
      <c r="B3436" s="40" t="str">
        <f ca="1">IFERROR(INDEX(UNSPSCDes,MATCH(INDIRECT(ADDRESS(ROW(),COLUMN()-1,4)),UNSPSCCode,0)),IF(INDIRECT(ADDRESS(ROW(),COLUMN()-1,4))="24112401","Cofres, cajas o armarios para herramientas",""))</f>
        <v>Cofres, cajas o armarios para herramientas</v>
      </c>
      <c r="C3436" s="72" t="str">
        <f>IFERROR(VLOOKUP("UD",'Informacion '!P:Q,2,FALSE),"")</f>
        <v>Unidad</v>
      </c>
      <c r="D3436" s="39">
        <v>200</v>
      </c>
      <c r="E3436" s="42">
        <v>103.8</v>
      </c>
      <c r="F3436" s="41">
        <f ca="1">INDIRECT(ADDRESS(ROW(),COLUMN()-2,4))*INDIRECT(ADDRESS(ROW(),COLUMN()-1,4))</f>
        <v>20760</v>
      </c>
    </row>
    <row r="3437" spans="1:10" ht="14.25" customHeight="1" x14ac:dyDescent="0.35">
      <c r="E3437" s="44" t="s">
        <v>13122</v>
      </c>
      <c r="F3437" s="45">
        <f ca="1">SUM(Table173[MONTO TOTAL ESTIMADO])</f>
        <v>20760</v>
      </c>
      <c r="H3437" s="24" t="str">
        <f>C3429</f>
        <v>Bienes</v>
      </c>
      <c r="I3437" s="24" t="str">
        <f>E3429</f>
        <v>Sí</v>
      </c>
      <c r="J3437" s="24" t="str">
        <f>D3429</f>
        <v>Compras por debajo del Umbral</v>
      </c>
    </row>
    <row r="3439" spans="1:10" ht="34" customHeight="1" x14ac:dyDescent="0.35">
      <c r="A3439" s="36" t="s">
        <v>17105</v>
      </c>
      <c r="B3439" s="36" t="s">
        <v>167</v>
      </c>
      <c r="C3439" s="36" t="s">
        <v>12252</v>
      </c>
      <c r="D3439" s="36" t="s">
        <v>15021</v>
      </c>
      <c r="E3439" s="36" t="s">
        <v>11455</v>
      </c>
      <c r="F3439" s="36" t="s">
        <v>11595</v>
      </c>
    </row>
    <row r="3440" spans="1:10" ht="14.25" customHeight="1" x14ac:dyDescent="0.35">
      <c r="A3440" s="37" t="s">
        <v>4486</v>
      </c>
      <c r="B3440" s="37" t="s">
        <v>4486</v>
      </c>
      <c r="C3440" s="37" t="s">
        <v>18585</v>
      </c>
      <c r="D3440" s="37" t="s">
        <v>10634</v>
      </c>
      <c r="E3440" s="37" t="s">
        <v>9261</v>
      </c>
      <c r="F3440" s="37" t="s">
        <v>7088</v>
      </c>
    </row>
    <row r="3441" spans="1:10" ht="14.25" customHeight="1" x14ac:dyDescent="0.35">
      <c r="A3441" s="75" t="s">
        <v>15490</v>
      </c>
      <c r="B3441" s="38" t="s">
        <v>8918</v>
      </c>
      <c r="C3441" s="68">
        <v>45334</v>
      </c>
      <c r="D3441" s="75" t="s">
        <v>9819</v>
      </c>
      <c r="E3441" s="70" t="s">
        <v>13683</v>
      </c>
      <c r="F3441" s="71" t="s">
        <v>3205</v>
      </c>
    </row>
    <row r="3442" spans="1:10" ht="14.25" customHeight="1" x14ac:dyDescent="0.35">
      <c r="A3442" s="76"/>
      <c r="B3442" s="38" t="s">
        <v>1858</v>
      </c>
      <c r="C3442" s="69">
        <f>IF(C3441="","",IF(AND(MONTH(C3441)&gt;=1,MONTH(C3441)&lt;=3),1,IF(AND(MONTH(C3441)&gt;=4,MONTH(C3441)&lt;=6),2,IF(AND(MONTH(C3441)&gt;=7,MONTH(C3441)&lt;=9),3,4))))</f>
        <v>1</v>
      </c>
      <c r="D3442" s="76"/>
      <c r="E3442" s="70" t="s">
        <v>2509</v>
      </c>
      <c r="F3442" s="71" t="s">
        <v>11612</v>
      </c>
    </row>
    <row r="3443" spans="1:10" ht="14.25" customHeight="1" x14ac:dyDescent="0.35">
      <c r="A3443" s="76"/>
      <c r="B3443" s="38" t="s">
        <v>13526</v>
      </c>
      <c r="C3443" s="68">
        <v>45381</v>
      </c>
      <c r="D3443" s="76"/>
      <c r="E3443" s="70" t="s">
        <v>3198</v>
      </c>
      <c r="F3443" s="71" t="s">
        <v>11612</v>
      </c>
    </row>
    <row r="3444" spans="1:10" ht="14.25" customHeight="1" x14ac:dyDescent="0.35">
      <c r="A3444" s="76"/>
      <c r="B3444" s="38" t="s">
        <v>1858</v>
      </c>
      <c r="C3444" s="69">
        <f>IF(C3443="","",IF(AND(MONTH(C3443)&gt;=1,MONTH(C3443)&lt;=3),1,IF(AND(MONTH(C3443)&gt;=4,MONTH(C3443)&lt;=6),2,IF(AND(MONTH(C3443)&gt;=7,MONTH(C3443)&lt;=9),3,4))))</f>
        <v>1</v>
      </c>
      <c r="D3444" s="76"/>
      <c r="E3444" s="70" t="s">
        <v>13785</v>
      </c>
      <c r="F3444" s="71"/>
    </row>
    <row r="3446" spans="1:10" ht="14.25" customHeight="1" x14ac:dyDescent="0.35">
      <c r="A3446" s="43" t="s">
        <v>16424</v>
      </c>
      <c r="B3446" s="43" t="s">
        <v>16856</v>
      </c>
      <c r="C3446" s="43" t="s">
        <v>16326</v>
      </c>
      <c r="D3446" s="43" t="s">
        <v>15925</v>
      </c>
      <c r="E3446" s="43" t="s">
        <v>7248</v>
      </c>
      <c r="F3446" s="43" t="s">
        <v>15955</v>
      </c>
    </row>
    <row r="3447" spans="1:10" ht="14.25" customHeight="1" x14ac:dyDescent="0.35">
      <c r="A3447" s="39" t="s">
        <v>4173</v>
      </c>
      <c r="B3447" s="40" t="str">
        <f ca="1">IFERROR(INDEX(UNSPSCDes,MATCH(INDIRECT(ADDRESS(ROW(),COLUMN()-1,4)),UNSPSCCode,0)),IF(INDIRECT(ADDRESS(ROW(),COLUMN()-1,4))="27112703","Taladradoras eléctricas",""))</f>
        <v>Taladradoras eléctricas</v>
      </c>
      <c r="C3447" s="72" t="str">
        <f>IFERROR(VLOOKUP("UD",'Informacion '!P:Q,2,FALSE),"")</f>
        <v>Unidad</v>
      </c>
      <c r="D3447" s="39">
        <v>5</v>
      </c>
      <c r="E3447" s="42">
        <v>23502.67</v>
      </c>
      <c r="F3447" s="41">
        <f ca="1">INDIRECT(ADDRESS(ROW(),COLUMN()-2,4))*INDIRECT(ADDRESS(ROW(),COLUMN()-1,4))</f>
        <v>117513.34999999999</v>
      </c>
    </row>
    <row r="3448" spans="1:10" ht="14.25" customHeight="1" x14ac:dyDescent="0.35">
      <c r="E3448" s="44" t="s">
        <v>13122</v>
      </c>
      <c r="F3448" s="45">
        <f ca="1">SUM(Table174[MONTO TOTAL ESTIMADO])</f>
        <v>117513.34999999999</v>
      </c>
      <c r="H3448" s="24" t="str">
        <f>C3440</f>
        <v>Bienes</v>
      </c>
      <c r="I3448" s="24" t="str">
        <f>E3440</f>
        <v>Sí</v>
      </c>
      <c r="J3448" s="24" t="str">
        <f>D3440</f>
        <v>Compras por debajo del Umbral</v>
      </c>
    </row>
    <row r="3450" spans="1:10" ht="34" customHeight="1" x14ac:dyDescent="0.35">
      <c r="A3450" s="36" t="s">
        <v>17105</v>
      </c>
      <c r="B3450" s="36" t="s">
        <v>167</v>
      </c>
      <c r="C3450" s="36" t="s">
        <v>12252</v>
      </c>
      <c r="D3450" s="36" t="s">
        <v>15021</v>
      </c>
      <c r="E3450" s="36" t="s">
        <v>11455</v>
      </c>
      <c r="F3450" s="36" t="s">
        <v>11595</v>
      </c>
    </row>
    <row r="3451" spans="1:10" ht="14.25" customHeight="1" x14ac:dyDescent="0.35">
      <c r="A3451" s="37" t="s">
        <v>15626</v>
      </c>
      <c r="B3451" s="37" t="s">
        <v>15626</v>
      </c>
      <c r="C3451" s="37" t="s">
        <v>18585</v>
      </c>
      <c r="D3451" s="37" t="s">
        <v>10634</v>
      </c>
      <c r="E3451" s="37" t="s">
        <v>9261</v>
      </c>
      <c r="F3451" s="37" t="s">
        <v>7088</v>
      </c>
    </row>
    <row r="3452" spans="1:10" ht="14.25" customHeight="1" x14ac:dyDescent="0.35">
      <c r="A3452" s="75" t="s">
        <v>15490</v>
      </c>
      <c r="B3452" s="38" t="s">
        <v>8918</v>
      </c>
      <c r="C3452" s="68">
        <v>45334</v>
      </c>
      <c r="D3452" s="75" t="s">
        <v>9819</v>
      </c>
      <c r="E3452" s="70" t="s">
        <v>13683</v>
      </c>
      <c r="F3452" s="71" t="s">
        <v>3205</v>
      </c>
    </row>
    <row r="3453" spans="1:10" ht="14.25" customHeight="1" x14ac:dyDescent="0.35">
      <c r="A3453" s="76"/>
      <c r="B3453" s="38" t="s">
        <v>1858</v>
      </c>
      <c r="C3453" s="69">
        <f>IF(C3452="","",IF(AND(MONTH(C3452)&gt;=1,MONTH(C3452)&lt;=3),1,IF(AND(MONTH(C3452)&gt;=4,MONTH(C3452)&lt;=6),2,IF(AND(MONTH(C3452)&gt;=7,MONTH(C3452)&lt;=9),3,4))))</f>
        <v>1</v>
      </c>
      <c r="D3453" s="76"/>
      <c r="E3453" s="70" t="s">
        <v>2509</v>
      </c>
      <c r="F3453" s="71" t="s">
        <v>11612</v>
      </c>
    </row>
    <row r="3454" spans="1:10" ht="14.25" customHeight="1" x14ac:dyDescent="0.35">
      <c r="A3454" s="76"/>
      <c r="B3454" s="38" t="s">
        <v>13526</v>
      </c>
      <c r="C3454" s="68">
        <v>45381</v>
      </c>
      <c r="D3454" s="76"/>
      <c r="E3454" s="70" t="s">
        <v>3198</v>
      </c>
      <c r="F3454" s="71" t="s">
        <v>11612</v>
      </c>
    </row>
    <row r="3455" spans="1:10" ht="14.25" customHeight="1" x14ac:dyDescent="0.35">
      <c r="A3455" s="76"/>
      <c r="B3455" s="38" t="s">
        <v>1858</v>
      </c>
      <c r="C3455" s="69">
        <f>IF(C3454="","",IF(AND(MONTH(C3454)&gt;=1,MONTH(C3454)&lt;=3),1,IF(AND(MONTH(C3454)&gt;=4,MONTH(C3454)&lt;=6),2,IF(AND(MONTH(C3454)&gt;=7,MONTH(C3454)&lt;=9),3,4))))</f>
        <v>1</v>
      </c>
      <c r="D3455" s="76"/>
      <c r="E3455" s="70" t="s">
        <v>13785</v>
      </c>
      <c r="F3455" s="71"/>
    </row>
    <row r="3457" spans="1:10" ht="14.25" customHeight="1" x14ac:dyDescent="0.35">
      <c r="A3457" s="43" t="s">
        <v>16424</v>
      </c>
      <c r="B3457" s="43" t="s">
        <v>16856</v>
      </c>
      <c r="C3457" s="43" t="s">
        <v>16326</v>
      </c>
      <c r="D3457" s="43" t="s">
        <v>15925</v>
      </c>
      <c r="E3457" s="43" t="s">
        <v>7248</v>
      </c>
      <c r="F3457" s="43" t="s">
        <v>15955</v>
      </c>
    </row>
    <row r="3458" spans="1:10" ht="14.25" customHeight="1" x14ac:dyDescent="0.35">
      <c r="A3458" s="39" t="s">
        <v>11312</v>
      </c>
      <c r="B3458" s="40" t="str">
        <f ca="1">IFERROR(INDEX(UNSPSCDes,MATCH(INDIRECT(ADDRESS(ROW(),COLUMN()-1,4)),UNSPSCCode,0)),IF(INDIRECT(ADDRESS(ROW(),COLUMN()-1,4))="27112802","Hojas de sierra",""))</f>
        <v>Hojas de sierra</v>
      </c>
      <c r="C3458" s="72" t="str">
        <f>IFERROR(VLOOKUP("UD",'Informacion '!P:Q,2,FALSE),"")</f>
        <v>Unidad</v>
      </c>
      <c r="D3458" s="39">
        <v>4</v>
      </c>
      <c r="E3458" s="42">
        <v>61.5</v>
      </c>
      <c r="F3458" s="41">
        <f ca="1">INDIRECT(ADDRESS(ROW(),COLUMN()-2,4))*INDIRECT(ADDRESS(ROW(),COLUMN()-1,4))</f>
        <v>246</v>
      </c>
    </row>
    <row r="3459" spans="1:10" ht="14.25" customHeight="1" x14ac:dyDescent="0.35">
      <c r="E3459" s="44" t="s">
        <v>13122</v>
      </c>
      <c r="F3459" s="45">
        <f ca="1">SUM(Table175[MONTO TOTAL ESTIMADO])</f>
        <v>246</v>
      </c>
      <c r="H3459" s="24" t="str">
        <f>C3451</f>
        <v>Bienes</v>
      </c>
      <c r="I3459" s="24" t="str">
        <f>E3451</f>
        <v>Sí</v>
      </c>
      <c r="J3459" s="24" t="str">
        <f>D3451</f>
        <v>Compras por debajo del Umbral</v>
      </c>
    </row>
    <row r="3461" spans="1:10" ht="34" customHeight="1" x14ac:dyDescent="0.35">
      <c r="A3461" s="36" t="s">
        <v>17105</v>
      </c>
      <c r="B3461" s="36" t="s">
        <v>167</v>
      </c>
      <c r="C3461" s="36" t="s">
        <v>12252</v>
      </c>
      <c r="D3461" s="36" t="s">
        <v>15021</v>
      </c>
      <c r="E3461" s="36" t="s">
        <v>11455</v>
      </c>
      <c r="F3461" s="36" t="s">
        <v>11595</v>
      </c>
    </row>
    <row r="3462" spans="1:10" ht="14.25" customHeight="1" x14ac:dyDescent="0.35">
      <c r="A3462" s="37" t="s">
        <v>16054</v>
      </c>
      <c r="B3462" s="37" t="s">
        <v>16054</v>
      </c>
      <c r="C3462" s="37" t="s">
        <v>18585</v>
      </c>
      <c r="D3462" s="37" t="s">
        <v>10634</v>
      </c>
      <c r="E3462" s="37" t="s">
        <v>9261</v>
      </c>
      <c r="F3462" s="37" t="s">
        <v>7088</v>
      </c>
    </row>
    <row r="3463" spans="1:10" ht="14.25" customHeight="1" x14ac:dyDescent="0.35">
      <c r="A3463" s="75" t="s">
        <v>15490</v>
      </c>
      <c r="B3463" s="38" t="s">
        <v>8918</v>
      </c>
      <c r="C3463" s="68">
        <v>45366</v>
      </c>
      <c r="D3463" s="75" t="s">
        <v>9819</v>
      </c>
      <c r="E3463" s="70" t="s">
        <v>13683</v>
      </c>
      <c r="F3463" s="71" t="s">
        <v>3205</v>
      </c>
    </row>
    <row r="3464" spans="1:10" ht="14.25" customHeight="1" x14ac:dyDescent="0.35">
      <c r="A3464" s="76"/>
      <c r="B3464" s="38" t="s">
        <v>1858</v>
      </c>
      <c r="C3464" s="69">
        <f>IF(C3463="","",IF(AND(MONTH(C3463)&gt;=1,MONTH(C3463)&lt;=3),1,IF(AND(MONTH(C3463)&gt;=4,MONTH(C3463)&lt;=6),2,IF(AND(MONTH(C3463)&gt;=7,MONTH(C3463)&lt;=9),3,4))))</f>
        <v>1</v>
      </c>
      <c r="D3464" s="76"/>
      <c r="E3464" s="70" t="s">
        <v>2509</v>
      </c>
      <c r="F3464" s="71" t="s">
        <v>11612</v>
      </c>
    </row>
    <row r="3465" spans="1:10" ht="14.25" customHeight="1" x14ac:dyDescent="0.35">
      <c r="A3465" s="76"/>
      <c r="B3465" s="38" t="s">
        <v>13526</v>
      </c>
      <c r="C3465" s="68">
        <v>45381</v>
      </c>
      <c r="D3465" s="76"/>
      <c r="E3465" s="70" t="s">
        <v>3198</v>
      </c>
      <c r="F3465" s="71" t="s">
        <v>11612</v>
      </c>
    </row>
    <row r="3466" spans="1:10" ht="14.25" customHeight="1" x14ac:dyDescent="0.35">
      <c r="A3466" s="76"/>
      <c r="B3466" s="38" t="s">
        <v>1858</v>
      </c>
      <c r="C3466" s="69">
        <f>IF(C3465="","",IF(AND(MONTH(C3465)&gt;=1,MONTH(C3465)&lt;=3),1,IF(AND(MONTH(C3465)&gt;=4,MONTH(C3465)&lt;=6),2,IF(AND(MONTH(C3465)&gt;=7,MONTH(C3465)&lt;=9),3,4))))</f>
        <v>1</v>
      </c>
      <c r="D3466" s="76"/>
      <c r="E3466" s="70" t="s">
        <v>13785</v>
      </c>
      <c r="F3466" s="71"/>
    </row>
    <row r="3468" spans="1:10" ht="14.25" customHeight="1" x14ac:dyDescent="0.35">
      <c r="A3468" s="43" t="s">
        <v>16424</v>
      </c>
      <c r="B3468" s="43" t="s">
        <v>16856</v>
      </c>
      <c r="C3468" s="43" t="s">
        <v>16326</v>
      </c>
      <c r="D3468" s="43" t="s">
        <v>15925</v>
      </c>
      <c r="E3468" s="43" t="s">
        <v>7248</v>
      </c>
      <c r="F3468" s="43" t="s">
        <v>15955</v>
      </c>
    </row>
    <row r="3469" spans="1:10" ht="14.25" customHeight="1" x14ac:dyDescent="0.35">
      <c r="A3469" s="39" t="s">
        <v>11740</v>
      </c>
      <c r="B3469" s="40" t="str">
        <f ca="1">IFERROR(INDEX(UNSPSCDes,MATCH(INDIRECT(ADDRESS(ROW(),COLUMN()-1,4)),UNSPSCCode,0)),IF(INDIRECT(ADDRESS(ROW(),COLUMN()-1,4))="20111709","Herramientas o kits de accesorios para perforar pozos",""))</f>
        <v>Herramientas o kits de accesorios para perforar pozos</v>
      </c>
      <c r="C3469" s="72" t="str">
        <f>IFERROR(VLOOKUP("UD",'Informacion '!P:Q,2,FALSE),"")</f>
        <v>Unidad</v>
      </c>
      <c r="D3469" s="39">
        <v>1</v>
      </c>
      <c r="E3469" s="42">
        <v>3409</v>
      </c>
      <c r="F3469" s="41">
        <f ca="1">INDIRECT(ADDRESS(ROW(),COLUMN()-2,4))*INDIRECT(ADDRESS(ROW(),COLUMN()-1,4))</f>
        <v>3409</v>
      </c>
    </row>
    <row r="3470" spans="1:10" ht="14.25" customHeight="1" x14ac:dyDescent="0.35">
      <c r="E3470" s="44" t="s">
        <v>13122</v>
      </c>
      <c r="F3470" s="45">
        <f ca="1">SUM(Table176[MONTO TOTAL ESTIMADO])</f>
        <v>3409</v>
      </c>
      <c r="H3470" s="24" t="str">
        <f>C3462</f>
        <v>Bienes</v>
      </c>
      <c r="I3470" s="24" t="str">
        <f>E3462</f>
        <v>Sí</v>
      </c>
      <c r="J3470" s="24" t="str">
        <f>D3462</f>
        <v>Compras por debajo del Umbral</v>
      </c>
    </row>
    <row r="3472" spans="1:10" ht="34" customHeight="1" x14ac:dyDescent="0.35">
      <c r="A3472" s="36" t="s">
        <v>17105</v>
      </c>
      <c r="B3472" s="36" t="s">
        <v>167</v>
      </c>
      <c r="C3472" s="36" t="s">
        <v>12252</v>
      </c>
      <c r="D3472" s="36" t="s">
        <v>15021</v>
      </c>
      <c r="E3472" s="36" t="s">
        <v>11455</v>
      </c>
      <c r="F3472" s="36" t="s">
        <v>11595</v>
      </c>
    </row>
    <row r="3473" spans="1:10" ht="14.25" customHeight="1" x14ac:dyDescent="0.35">
      <c r="A3473" s="37" t="s">
        <v>10327</v>
      </c>
      <c r="B3473" s="37" t="s">
        <v>10327</v>
      </c>
      <c r="C3473" s="37" t="s">
        <v>18585</v>
      </c>
      <c r="D3473" s="37" t="s">
        <v>10634</v>
      </c>
      <c r="E3473" s="37" t="s">
        <v>18646</v>
      </c>
      <c r="F3473" s="37" t="s">
        <v>7088</v>
      </c>
    </row>
    <row r="3474" spans="1:10" ht="14.25" customHeight="1" x14ac:dyDescent="0.35">
      <c r="A3474" s="75" t="s">
        <v>15490</v>
      </c>
      <c r="B3474" s="38" t="s">
        <v>8918</v>
      </c>
      <c r="C3474" s="68">
        <v>45366</v>
      </c>
      <c r="D3474" s="75" t="s">
        <v>9819</v>
      </c>
      <c r="E3474" s="70" t="s">
        <v>13683</v>
      </c>
      <c r="F3474" s="71" t="s">
        <v>3205</v>
      </c>
    </row>
    <row r="3475" spans="1:10" ht="14.25" customHeight="1" x14ac:dyDescent="0.35">
      <c r="A3475" s="76"/>
      <c r="B3475" s="38" t="s">
        <v>1858</v>
      </c>
      <c r="C3475" s="69">
        <f>IF(C3474="","",IF(AND(MONTH(C3474)&gt;=1,MONTH(C3474)&lt;=3),1,IF(AND(MONTH(C3474)&gt;=4,MONTH(C3474)&lt;=6),2,IF(AND(MONTH(C3474)&gt;=7,MONTH(C3474)&lt;=9),3,4))))</f>
        <v>1</v>
      </c>
      <c r="D3475" s="76"/>
      <c r="E3475" s="70" t="s">
        <v>2509</v>
      </c>
      <c r="F3475" s="71" t="s">
        <v>11612</v>
      </c>
    </row>
    <row r="3476" spans="1:10" ht="14.25" customHeight="1" x14ac:dyDescent="0.35">
      <c r="A3476" s="76"/>
      <c r="B3476" s="38" t="s">
        <v>13526</v>
      </c>
      <c r="C3476" s="68">
        <v>45381</v>
      </c>
      <c r="D3476" s="76"/>
      <c r="E3476" s="70" t="s">
        <v>3198</v>
      </c>
      <c r="F3476" s="71" t="s">
        <v>11612</v>
      </c>
    </row>
    <row r="3477" spans="1:10" ht="14.25" customHeight="1" x14ac:dyDescent="0.35">
      <c r="A3477" s="76"/>
      <c r="B3477" s="38" t="s">
        <v>1858</v>
      </c>
      <c r="C3477" s="69">
        <f>IF(C3476="","",IF(AND(MONTH(C3476)&gt;=1,MONTH(C3476)&lt;=3),1,IF(AND(MONTH(C3476)&gt;=4,MONTH(C3476)&lt;=6),2,IF(AND(MONTH(C3476)&gt;=7,MONTH(C3476)&lt;=9),3,4))))</f>
        <v>1</v>
      </c>
      <c r="D3477" s="76"/>
      <c r="E3477" s="70" t="s">
        <v>13785</v>
      </c>
      <c r="F3477" s="71"/>
    </row>
    <row r="3479" spans="1:10" ht="14.25" customHeight="1" x14ac:dyDescent="0.35">
      <c r="A3479" s="43" t="s">
        <v>16424</v>
      </c>
      <c r="B3479" s="43" t="s">
        <v>16856</v>
      </c>
      <c r="C3479" s="43" t="s">
        <v>16326</v>
      </c>
      <c r="D3479" s="43" t="s">
        <v>15925</v>
      </c>
      <c r="E3479" s="43" t="s">
        <v>7248</v>
      </c>
      <c r="F3479" s="43" t="s">
        <v>15955</v>
      </c>
    </row>
    <row r="3480" spans="1:10" ht="14.25" customHeight="1" x14ac:dyDescent="0.35">
      <c r="A3480" s="39" t="s">
        <v>10806</v>
      </c>
      <c r="B3480" s="40" t="str">
        <f ca="1">IFERROR(INDEX(UNSPSCDes,MATCH(INDIRECT(ADDRESS(ROW(),COLUMN()-1,4)),UNSPSCCode,0)),IF(INDIRECT(ADDRESS(ROW(),COLUMN()-1,4))="30102005","Lámina de acero inoxidable",""))</f>
        <v>Lámina de acero inoxidable</v>
      </c>
      <c r="C3480" s="72" t="str">
        <f>IFERROR(VLOOKUP("UD",'Informacion '!P:Q,2,FALSE),"")</f>
        <v>Unidad</v>
      </c>
      <c r="D3480" s="39">
        <v>2</v>
      </c>
      <c r="E3480" s="42">
        <v>277.26</v>
      </c>
      <c r="F3480" s="41">
        <f ca="1">INDIRECT(ADDRESS(ROW(),COLUMN()-2,4))*INDIRECT(ADDRESS(ROW(),COLUMN()-1,4))</f>
        <v>554.52</v>
      </c>
    </row>
    <row r="3481" spans="1:10" ht="14.25" customHeight="1" x14ac:dyDescent="0.35">
      <c r="A3481" s="39" t="s">
        <v>10806</v>
      </c>
      <c r="B3481" s="40" t="str">
        <f ca="1">IFERROR(INDEX(UNSPSCDes,MATCH(INDIRECT(ADDRESS(ROW(),COLUMN()-1,4)),UNSPSCCode,0)),IF(INDIRECT(ADDRESS(ROW(),COLUMN()-1,4))="30102005","Lámina de acero inoxidable",""))</f>
        <v>Lámina de acero inoxidable</v>
      </c>
      <c r="C3481" s="72" t="str">
        <f>IFERROR(VLOOKUP("UD",'Informacion '!P:Q,2,FALSE),"")</f>
        <v>Unidad</v>
      </c>
      <c r="D3481" s="39">
        <v>8</v>
      </c>
      <c r="E3481" s="42">
        <v>277.26</v>
      </c>
      <c r="F3481" s="41">
        <f ca="1">INDIRECT(ADDRESS(ROW(),COLUMN()-2,4))*INDIRECT(ADDRESS(ROW(),COLUMN()-1,4))</f>
        <v>2218.08</v>
      </c>
    </row>
    <row r="3482" spans="1:10" ht="14.25" customHeight="1" x14ac:dyDescent="0.35">
      <c r="E3482" s="44" t="s">
        <v>13122</v>
      </c>
      <c r="F3482" s="45">
        <f ca="1">SUM(Table177[MONTO TOTAL ESTIMADO])</f>
        <v>2772.6</v>
      </c>
      <c r="H3482" s="24" t="str">
        <f>C3473</f>
        <v>Bienes</v>
      </c>
      <c r="I3482" s="24" t="str">
        <f>E3473</f>
        <v>No</v>
      </c>
      <c r="J3482" s="24" t="str">
        <f>D3473</f>
        <v>Compras por debajo del Umbral</v>
      </c>
    </row>
    <row r="3484" spans="1:10" ht="34" customHeight="1" x14ac:dyDescent="0.35">
      <c r="A3484" s="36" t="s">
        <v>17105</v>
      </c>
      <c r="B3484" s="36" t="s">
        <v>167</v>
      </c>
      <c r="C3484" s="36" t="s">
        <v>12252</v>
      </c>
      <c r="D3484" s="36" t="s">
        <v>15021</v>
      </c>
      <c r="E3484" s="36" t="s">
        <v>11455</v>
      </c>
      <c r="F3484" s="36" t="s">
        <v>11595</v>
      </c>
    </row>
    <row r="3485" spans="1:10" ht="14.25" customHeight="1" x14ac:dyDescent="0.35">
      <c r="A3485" s="37" t="s">
        <v>16652</v>
      </c>
      <c r="B3485" s="37" t="s">
        <v>16652</v>
      </c>
      <c r="C3485" s="37" t="s">
        <v>18585</v>
      </c>
      <c r="D3485" s="37" t="s">
        <v>10634</v>
      </c>
      <c r="E3485" s="37" t="s">
        <v>9261</v>
      </c>
      <c r="F3485" s="37" t="s">
        <v>7088</v>
      </c>
    </row>
    <row r="3486" spans="1:10" ht="14.25" customHeight="1" x14ac:dyDescent="0.35">
      <c r="A3486" s="75" t="s">
        <v>15490</v>
      </c>
      <c r="B3486" s="38" t="s">
        <v>8918</v>
      </c>
      <c r="C3486" s="68">
        <v>45334</v>
      </c>
      <c r="D3486" s="75" t="s">
        <v>9819</v>
      </c>
      <c r="E3486" s="70" t="s">
        <v>13683</v>
      </c>
      <c r="F3486" s="71" t="s">
        <v>3205</v>
      </c>
    </row>
    <row r="3487" spans="1:10" ht="14.25" customHeight="1" x14ac:dyDescent="0.35">
      <c r="A3487" s="76"/>
      <c r="B3487" s="38" t="s">
        <v>1858</v>
      </c>
      <c r="C3487" s="69">
        <f>IF(C3486="","",IF(AND(MONTH(C3486)&gt;=1,MONTH(C3486)&lt;=3),1,IF(AND(MONTH(C3486)&gt;=4,MONTH(C3486)&lt;=6),2,IF(AND(MONTH(C3486)&gt;=7,MONTH(C3486)&lt;=9),3,4))))</f>
        <v>1</v>
      </c>
      <c r="D3487" s="76"/>
      <c r="E3487" s="70" t="s">
        <v>2509</v>
      </c>
      <c r="F3487" s="71" t="s">
        <v>11612</v>
      </c>
    </row>
    <row r="3488" spans="1:10" ht="14.25" customHeight="1" x14ac:dyDescent="0.35">
      <c r="A3488" s="76"/>
      <c r="B3488" s="38" t="s">
        <v>13526</v>
      </c>
      <c r="C3488" s="68">
        <v>45381</v>
      </c>
      <c r="D3488" s="76"/>
      <c r="E3488" s="70" t="s">
        <v>3198</v>
      </c>
      <c r="F3488" s="71" t="s">
        <v>11612</v>
      </c>
    </row>
    <row r="3489" spans="1:10" ht="14.25" customHeight="1" x14ac:dyDescent="0.35">
      <c r="A3489" s="76"/>
      <c r="B3489" s="38" t="s">
        <v>1858</v>
      </c>
      <c r="C3489" s="69">
        <f>IF(C3488="","",IF(AND(MONTH(C3488)&gt;=1,MONTH(C3488)&lt;=3),1,IF(AND(MONTH(C3488)&gt;=4,MONTH(C3488)&lt;=6),2,IF(AND(MONTH(C3488)&gt;=7,MONTH(C3488)&lt;=9),3,4))))</f>
        <v>1</v>
      </c>
      <c r="D3489" s="76"/>
      <c r="E3489" s="70" t="s">
        <v>13785</v>
      </c>
      <c r="F3489" s="71"/>
    </row>
    <row r="3491" spans="1:10" ht="14.25" customHeight="1" x14ac:dyDescent="0.35">
      <c r="A3491" s="43" t="s">
        <v>16424</v>
      </c>
      <c r="B3491" s="43" t="s">
        <v>16856</v>
      </c>
      <c r="C3491" s="43" t="s">
        <v>16326</v>
      </c>
      <c r="D3491" s="43" t="s">
        <v>15925</v>
      </c>
      <c r="E3491" s="43" t="s">
        <v>7248</v>
      </c>
      <c r="F3491" s="43" t="s">
        <v>15955</v>
      </c>
    </row>
    <row r="3492" spans="1:10" ht="14.25" customHeight="1" x14ac:dyDescent="0.35">
      <c r="A3492" s="39" t="s">
        <v>7218</v>
      </c>
      <c r="B3492" s="40" t="str">
        <f ca="1">IFERROR(INDEX(UNSPSCDes,MATCH(INDIRECT(ADDRESS(ROW(),COLUMN()-1,4)),UNSPSCCode,0)),IF(INDIRECT(ADDRESS(ROW(),COLUMN()-1,4))="30102303","Perfiles de hierro",""))</f>
        <v>Perfiles de hierro</v>
      </c>
      <c r="C3492" s="72" t="str">
        <f>IFERROR(VLOOKUP("UD",'Informacion '!P:Q,2,FALSE),"")</f>
        <v>Unidad</v>
      </c>
      <c r="D3492" s="39">
        <v>100</v>
      </c>
      <c r="E3492" s="42">
        <v>114.15</v>
      </c>
      <c r="F3492" s="41">
        <f ca="1">INDIRECT(ADDRESS(ROW(),COLUMN()-2,4))*INDIRECT(ADDRESS(ROW(),COLUMN()-1,4))</f>
        <v>11415</v>
      </c>
    </row>
    <row r="3493" spans="1:10" ht="14.25" customHeight="1" x14ac:dyDescent="0.35">
      <c r="A3493" s="39" t="s">
        <v>7218</v>
      </c>
      <c r="B3493" s="40" t="str">
        <f ca="1">IFERROR(INDEX(UNSPSCDes,MATCH(INDIRECT(ADDRESS(ROW(),COLUMN()-1,4)),UNSPSCCode,0)),IF(INDIRECT(ADDRESS(ROW(),COLUMN()-1,4))="30102303","Perfiles de hierro",""))</f>
        <v>Perfiles de hierro</v>
      </c>
      <c r="C3493" s="72" t="str">
        <f>IFERROR(VLOOKUP("UD",'Informacion '!P:Q,2,FALSE),"")</f>
        <v>Unidad</v>
      </c>
      <c r="D3493" s="39">
        <v>100</v>
      </c>
      <c r="E3493" s="42">
        <v>94.16</v>
      </c>
      <c r="F3493" s="41">
        <f ca="1">INDIRECT(ADDRESS(ROW(),COLUMN()-2,4))*INDIRECT(ADDRESS(ROW(),COLUMN()-1,4))</f>
        <v>9416</v>
      </c>
    </row>
    <row r="3494" spans="1:10" ht="14.25" customHeight="1" x14ac:dyDescent="0.35">
      <c r="A3494" s="39" t="s">
        <v>7218</v>
      </c>
      <c r="B3494" s="40" t="str">
        <f ca="1">IFERROR(INDEX(UNSPSCDes,MATCH(INDIRECT(ADDRESS(ROW(),COLUMN()-1,4)),UNSPSCCode,0)),IF(INDIRECT(ADDRESS(ROW(),COLUMN()-1,4))="30102303","Perfiles de hierro",""))</f>
        <v>Perfiles de hierro</v>
      </c>
      <c r="C3494" s="72" t="str">
        <f>IFERROR(VLOOKUP("UD",'Informacion '!P:Q,2,FALSE),"")</f>
        <v>Unidad</v>
      </c>
      <c r="D3494" s="39">
        <v>50</v>
      </c>
      <c r="E3494" s="42">
        <v>72.84</v>
      </c>
      <c r="F3494" s="41">
        <f ca="1">INDIRECT(ADDRESS(ROW(),COLUMN()-2,4))*INDIRECT(ADDRESS(ROW(),COLUMN()-1,4))</f>
        <v>3642</v>
      </c>
    </row>
    <row r="3495" spans="1:10" ht="14.25" customHeight="1" x14ac:dyDescent="0.35">
      <c r="A3495" s="39" t="s">
        <v>7218</v>
      </c>
      <c r="B3495" s="40" t="str">
        <f ca="1">IFERROR(INDEX(UNSPSCDes,MATCH(INDIRECT(ADDRESS(ROW(),COLUMN()-1,4)),UNSPSCCode,0)),IF(INDIRECT(ADDRESS(ROW(),COLUMN()-1,4))="30102303","Perfiles de hierro",""))</f>
        <v>Perfiles de hierro</v>
      </c>
      <c r="C3495" s="72" t="str">
        <f>IFERROR(VLOOKUP("UD",'Informacion '!P:Q,2,FALSE),"")</f>
        <v>Unidad</v>
      </c>
      <c r="D3495" s="39">
        <v>5</v>
      </c>
      <c r="E3495" s="42">
        <v>2714</v>
      </c>
      <c r="F3495" s="41">
        <f ca="1">INDIRECT(ADDRESS(ROW(),COLUMN()-2,4))*INDIRECT(ADDRESS(ROW(),COLUMN()-1,4))</f>
        <v>13570</v>
      </c>
    </row>
    <row r="3496" spans="1:10" ht="14.25" customHeight="1" x14ac:dyDescent="0.35">
      <c r="A3496" s="39" t="s">
        <v>7218</v>
      </c>
      <c r="B3496" s="40" t="str">
        <f ca="1">IFERROR(INDEX(UNSPSCDes,MATCH(INDIRECT(ADDRESS(ROW(),COLUMN()-1,4)),UNSPSCCode,0)),IF(INDIRECT(ADDRESS(ROW(),COLUMN()-1,4))="30102303","Perfiles de hierro",""))</f>
        <v>Perfiles de hierro</v>
      </c>
      <c r="C3496" s="72" t="str">
        <f>IFERROR(VLOOKUP("UD",'Informacion '!P:Q,2,FALSE),"")</f>
        <v>Unidad</v>
      </c>
      <c r="D3496" s="39">
        <v>20</v>
      </c>
      <c r="E3496" s="42">
        <v>295</v>
      </c>
      <c r="F3496" s="41">
        <f ca="1">INDIRECT(ADDRESS(ROW(),COLUMN()-2,4))*INDIRECT(ADDRESS(ROW(),COLUMN()-1,4))</f>
        <v>5900</v>
      </c>
    </row>
    <row r="3497" spans="1:10" ht="14.25" customHeight="1" x14ac:dyDescent="0.35">
      <c r="E3497" s="44" t="s">
        <v>13122</v>
      </c>
      <c r="F3497" s="45">
        <f ca="1">SUM(Table178[MONTO TOTAL ESTIMADO])</f>
        <v>43943</v>
      </c>
      <c r="H3497" s="24" t="str">
        <f>C3485</f>
        <v>Bienes</v>
      </c>
      <c r="I3497" s="24" t="str">
        <f>E3485</f>
        <v>Sí</v>
      </c>
      <c r="J3497" s="24" t="str">
        <f>D3485</f>
        <v>Compras por debajo del Umbral</v>
      </c>
    </row>
    <row r="3499" spans="1:10" ht="34" customHeight="1" x14ac:dyDescent="0.35">
      <c r="A3499" s="36" t="s">
        <v>17105</v>
      </c>
      <c r="B3499" s="36" t="s">
        <v>167</v>
      </c>
      <c r="C3499" s="36" t="s">
        <v>12252</v>
      </c>
      <c r="D3499" s="36" t="s">
        <v>15021</v>
      </c>
      <c r="E3499" s="36" t="s">
        <v>11455</v>
      </c>
      <c r="F3499" s="36" t="s">
        <v>11595</v>
      </c>
    </row>
    <row r="3500" spans="1:10" ht="14.25" customHeight="1" x14ac:dyDescent="0.35">
      <c r="A3500" s="37" t="s">
        <v>4288</v>
      </c>
      <c r="B3500" s="37" t="s">
        <v>4288</v>
      </c>
      <c r="C3500" s="37" t="s">
        <v>18585</v>
      </c>
      <c r="D3500" s="37" t="s">
        <v>10634</v>
      </c>
      <c r="E3500" s="37" t="s">
        <v>9261</v>
      </c>
      <c r="F3500" s="37" t="s">
        <v>7088</v>
      </c>
    </row>
    <row r="3501" spans="1:10" ht="14.25" customHeight="1" x14ac:dyDescent="0.35">
      <c r="A3501" s="75" t="s">
        <v>15490</v>
      </c>
      <c r="B3501" s="38" t="s">
        <v>8918</v>
      </c>
      <c r="C3501" s="68">
        <v>45334</v>
      </c>
      <c r="D3501" s="75" t="s">
        <v>9819</v>
      </c>
      <c r="E3501" s="70" t="s">
        <v>13683</v>
      </c>
      <c r="F3501" s="71" t="s">
        <v>3205</v>
      </c>
    </row>
    <row r="3502" spans="1:10" ht="14.25" customHeight="1" x14ac:dyDescent="0.35">
      <c r="A3502" s="76"/>
      <c r="B3502" s="38" t="s">
        <v>1858</v>
      </c>
      <c r="C3502" s="69">
        <f>IF(C3501="","",IF(AND(MONTH(C3501)&gt;=1,MONTH(C3501)&lt;=3),1,IF(AND(MONTH(C3501)&gt;=4,MONTH(C3501)&lt;=6),2,IF(AND(MONTH(C3501)&gt;=7,MONTH(C3501)&lt;=9),3,4))))</f>
        <v>1</v>
      </c>
      <c r="D3502" s="76"/>
      <c r="E3502" s="70" t="s">
        <v>2509</v>
      </c>
      <c r="F3502" s="71" t="s">
        <v>11612</v>
      </c>
    </row>
    <row r="3503" spans="1:10" ht="14.25" customHeight="1" x14ac:dyDescent="0.35">
      <c r="A3503" s="76"/>
      <c r="B3503" s="38" t="s">
        <v>13526</v>
      </c>
      <c r="C3503" s="68">
        <v>45381</v>
      </c>
      <c r="D3503" s="76"/>
      <c r="E3503" s="70" t="s">
        <v>3198</v>
      </c>
      <c r="F3503" s="71" t="s">
        <v>11612</v>
      </c>
    </row>
    <row r="3504" spans="1:10" ht="14.25" customHeight="1" x14ac:dyDescent="0.35">
      <c r="A3504" s="76"/>
      <c r="B3504" s="38" t="s">
        <v>1858</v>
      </c>
      <c r="C3504" s="69">
        <f>IF(C3503="","",IF(AND(MONTH(C3503)&gt;=1,MONTH(C3503)&lt;=3),1,IF(AND(MONTH(C3503)&gt;=4,MONTH(C3503)&lt;=6),2,IF(AND(MONTH(C3503)&gt;=7,MONTH(C3503)&lt;=9),3,4))))</f>
        <v>1</v>
      </c>
      <c r="D3504" s="76"/>
      <c r="E3504" s="70" t="s">
        <v>13785</v>
      </c>
      <c r="F3504" s="71"/>
    </row>
    <row r="3506" spans="1:10" ht="14.25" customHeight="1" x14ac:dyDescent="0.35">
      <c r="A3506" s="43" t="s">
        <v>16424</v>
      </c>
      <c r="B3506" s="43" t="s">
        <v>16856</v>
      </c>
      <c r="C3506" s="43" t="s">
        <v>16326</v>
      </c>
      <c r="D3506" s="43" t="s">
        <v>15925</v>
      </c>
      <c r="E3506" s="43" t="s">
        <v>7248</v>
      </c>
      <c r="F3506" s="43" t="s">
        <v>15955</v>
      </c>
    </row>
    <row r="3507" spans="1:10" ht="14.25" customHeight="1" x14ac:dyDescent="0.35">
      <c r="A3507" s="39" t="s">
        <v>2542</v>
      </c>
      <c r="B3507" s="40" t="str">
        <f ca="1">IFERROR(INDEX(UNSPSCDes,MATCH(INDIRECT(ADDRESS(ROW(),COLUMN()-1,4)),UNSPSCCode,0)),IF(INDIRECT(ADDRESS(ROW(),COLUMN()-1,4))="53111501","Botas para hombre",""))</f>
        <v>Botas para hombre</v>
      </c>
      <c r="C3507" s="72" t="str">
        <f>IFERROR(VLOOKUP("UD",'Informacion '!P:Q,2,FALSE),"")</f>
        <v>Unidad</v>
      </c>
      <c r="D3507" s="39">
        <v>30</v>
      </c>
      <c r="E3507" s="42">
        <v>977.04</v>
      </c>
      <c r="F3507" s="41">
        <f ca="1">INDIRECT(ADDRESS(ROW(),COLUMN()-2,4))*INDIRECT(ADDRESS(ROW(),COLUMN()-1,4))</f>
        <v>29311.199999999997</v>
      </c>
    </row>
    <row r="3508" spans="1:10" ht="14.25" customHeight="1" x14ac:dyDescent="0.35">
      <c r="E3508" s="44" t="s">
        <v>13122</v>
      </c>
      <c r="F3508" s="45">
        <f ca="1">SUM(Table179[MONTO TOTAL ESTIMADO])</f>
        <v>29311.199999999997</v>
      </c>
      <c r="H3508" s="24" t="str">
        <f>C3500</f>
        <v>Bienes</v>
      </c>
      <c r="I3508" s="24" t="str">
        <f>E3500</f>
        <v>Sí</v>
      </c>
      <c r="J3508" s="24" t="str">
        <f>D3500</f>
        <v>Compras por debajo del Umbral</v>
      </c>
    </row>
    <row r="3510" spans="1:10" ht="34" customHeight="1" x14ac:dyDescent="0.35">
      <c r="A3510" s="36" t="s">
        <v>17105</v>
      </c>
      <c r="B3510" s="36" t="s">
        <v>167</v>
      </c>
      <c r="C3510" s="36" t="s">
        <v>12252</v>
      </c>
      <c r="D3510" s="36" t="s">
        <v>15021</v>
      </c>
      <c r="E3510" s="36" t="s">
        <v>11455</v>
      </c>
      <c r="F3510" s="36" t="s">
        <v>11595</v>
      </c>
    </row>
    <row r="3511" spans="1:10" ht="14.25" customHeight="1" x14ac:dyDescent="0.35">
      <c r="A3511" s="37" t="s">
        <v>19109</v>
      </c>
      <c r="B3511" s="37" t="s">
        <v>19109</v>
      </c>
      <c r="C3511" s="37" t="s">
        <v>18585</v>
      </c>
      <c r="D3511" s="37" t="s">
        <v>10634</v>
      </c>
      <c r="E3511" s="37" t="s">
        <v>9261</v>
      </c>
      <c r="F3511" s="37" t="s">
        <v>7088</v>
      </c>
    </row>
    <row r="3512" spans="1:10" ht="14.25" customHeight="1" x14ac:dyDescent="0.35">
      <c r="A3512" s="75" t="s">
        <v>15490</v>
      </c>
      <c r="B3512" s="38" t="s">
        <v>8918</v>
      </c>
      <c r="C3512" s="68">
        <v>45334</v>
      </c>
      <c r="D3512" s="75" t="s">
        <v>9819</v>
      </c>
      <c r="E3512" s="70" t="s">
        <v>13683</v>
      </c>
      <c r="F3512" s="71" t="s">
        <v>3205</v>
      </c>
    </row>
    <row r="3513" spans="1:10" ht="14.25" customHeight="1" x14ac:dyDescent="0.35">
      <c r="A3513" s="76"/>
      <c r="B3513" s="38" t="s">
        <v>1858</v>
      </c>
      <c r="C3513" s="69">
        <f>IF(C3512="","",IF(AND(MONTH(C3512)&gt;=1,MONTH(C3512)&lt;=3),1,IF(AND(MONTH(C3512)&gt;=4,MONTH(C3512)&lt;=6),2,IF(AND(MONTH(C3512)&gt;=7,MONTH(C3512)&lt;=9),3,4))))</f>
        <v>1</v>
      </c>
      <c r="D3513" s="76"/>
      <c r="E3513" s="70" t="s">
        <v>2509</v>
      </c>
      <c r="F3513" s="71" t="s">
        <v>11612</v>
      </c>
    </row>
    <row r="3514" spans="1:10" ht="14.25" customHeight="1" x14ac:dyDescent="0.35">
      <c r="A3514" s="76"/>
      <c r="B3514" s="38" t="s">
        <v>13526</v>
      </c>
      <c r="C3514" s="68">
        <v>45381</v>
      </c>
      <c r="D3514" s="76"/>
      <c r="E3514" s="70" t="s">
        <v>3198</v>
      </c>
      <c r="F3514" s="71" t="s">
        <v>11612</v>
      </c>
    </row>
    <row r="3515" spans="1:10" ht="14.25" customHeight="1" x14ac:dyDescent="0.35">
      <c r="A3515" s="76"/>
      <c r="B3515" s="38" t="s">
        <v>1858</v>
      </c>
      <c r="C3515" s="69">
        <f>IF(C3514="","",IF(AND(MONTH(C3514)&gt;=1,MONTH(C3514)&lt;=3),1,IF(AND(MONTH(C3514)&gt;=4,MONTH(C3514)&lt;=6),2,IF(AND(MONTH(C3514)&gt;=7,MONTH(C3514)&lt;=9),3,4))))</f>
        <v>1</v>
      </c>
      <c r="D3515" s="76"/>
      <c r="E3515" s="70" t="s">
        <v>13785</v>
      </c>
      <c r="F3515" s="71"/>
    </row>
    <row r="3517" spans="1:10" ht="14.25" customHeight="1" x14ac:dyDescent="0.35">
      <c r="A3517" s="43" t="s">
        <v>16424</v>
      </c>
      <c r="B3517" s="43" t="s">
        <v>16856</v>
      </c>
      <c r="C3517" s="43" t="s">
        <v>16326</v>
      </c>
      <c r="D3517" s="43" t="s">
        <v>15925</v>
      </c>
      <c r="E3517" s="43" t="s">
        <v>7248</v>
      </c>
      <c r="F3517" s="43" t="s">
        <v>15955</v>
      </c>
    </row>
    <row r="3518" spans="1:10" ht="14.25" customHeight="1" x14ac:dyDescent="0.35">
      <c r="A3518" s="39" t="s">
        <v>11360</v>
      </c>
      <c r="B3518" s="40" t="str">
        <f ca="1">IFERROR(INDEX(UNSPSCDes,MATCH(INDIRECT(ADDRESS(ROW(),COLUMN()-1,4)),UNSPSCCode,0)),IF(INDIRECT(ADDRESS(ROW(),COLUMN()-1,4))="53121601","Bolsos o carteras",""))</f>
        <v>Bolsos o carteras</v>
      </c>
      <c r="C3518" s="72" t="str">
        <f>IFERROR(VLOOKUP("UD",'Informacion '!P:Q,2,FALSE),"")</f>
        <v>Unidad</v>
      </c>
      <c r="D3518" s="39">
        <v>100</v>
      </c>
      <c r="E3518" s="42">
        <v>324.49</v>
      </c>
      <c r="F3518" s="41">
        <f ca="1">INDIRECT(ADDRESS(ROW(),COLUMN()-2,4))*INDIRECT(ADDRESS(ROW(),COLUMN()-1,4))</f>
        <v>32449</v>
      </c>
    </row>
    <row r="3519" spans="1:10" ht="14.25" customHeight="1" x14ac:dyDescent="0.35">
      <c r="E3519" s="44" t="s">
        <v>13122</v>
      </c>
      <c r="F3519" s="45">
        <f ca="1">SUM(Table180[MONTO TOTAL ESTIMADO])</f>
        <v>32449</v>
      </c>
      <c r="H3519" s="24" t="str">
        <f>C3511</f>
        <v>Bienes</v>
      </c>
      <c r="I3519" s="24" t="str">
        <f>E3511</f>
        <v>Sí</v>
      </c>
      <c r="J3519" s="24" t="str">
        <f>D3511</f>
        <v>Compras por debajo del Umbral</v>
      </c>
    </row>
    <row r="3521" spans="1:10" ht="34" customHeight="1" x14ac:dyDescent="0.35">
      <c r="A3521" s="36" t="s">
        <v>17105</v>
      </c>
      <c r="B3521" s="36" t="s">
        <v>167</v>
      </c>
      <c r="C3521" s="36" t="s">
        <v>12252</v>
      </c>
      <c r="D3521" s="36" t="s">
        <v>15021</v>
      </c>
      <c r="E3521" s="36" t="s">
        <v>11455</v>
      </c>
      <c r="F3521" s="36" t="s">
        <v>11595</v>
      </c>
    </row>
    <row r="3522" spans="1:10" ht="14.25" customHeight="1" x14ac:dyDescent="0.35">
      <c r="A3522" s="37" t="s">
        <v>1111</v>
      </c>
      <c r="B3522" s="37" t="s">
        <v>1111</v>
      </c>
      <c r="C3522" s="37" t="s">
        <v>18585</v>
      </c>
      <c r="D3522" s="37" t="s">
        <v>10634</v>
      </c>
      <c r="E3522" s="37" t="s">
        <v>9261</v>
      </c>
      <c r="F3522" s="37" t="s">
        <v>7088</v>
      </c>
    </row>
    <row r="3523" spans="1:10" ht="14.25" customHeight="1" x14ac:dyDescent="0.35">
      <c r="A3523" s="75" t="s">
        <v>15490</v>
      </c>
      <c r="B3523" s="38" t="s">
        <v>8918</v>
      </c>
      <c r="C3523" s="68">
        <v>45397</v>
      </c>
      <c r="D3523" s="75" t="s">
        <v>9819</v>
      </c>
      <c r="E3523" s="70" t="s">
        <v>13683</v>
      </c>
      <c r="F3523" s="71" t="s">
        <v>3205</v>
      </c>
    </row>
    <row r="3524" spans="1:10" ht="14.25" customHeight="1" x14ac:dyDescent="0.35">
      <c r="A3524" s="76"/>
      <c r="B3524" s="38" t="s">
        <v>1858</v>
      </c>
      <c r="C3524" s="69">
        <f>IF(C3523="","",IF(AND(MONTH(C3523)&gt;=1,MONTH(C3523)&lt;=3),1,IF(AND(MONTH(C3523)&gt;=4,MONTH(C3523)&lt;=6),2,IF(AND(MONTH(C3523)&gt;=7,MONTH(C3523)&lt;=9),3,4))))</f>
        <v>2</v>
      </c>
      <c r="D3524" s="76"/>
      <c r="E3524" s="70" t="s">
        <v>2509</v>
      </c>
      <c r="F3524" s="71" t="s">
        <v>11612</v>
      </c>
    </row>
    <row r="3525" spans="1:10" ht="14.25" customHeight="1" x14ac:dyDescent="0.35">
      <c r="A3525" s="76"/>
      <c r="B3525" s="38" t="s">
        <v>13526</v>
      </c>
      <c r="C3525" s="68">
        <v>45442</v>
      </c>
      <c r="D3525" s="76"/>
      <c r="E3525" s="70" t="s">
        <v>3198</v>
      </c>
      <c r="F3525" s="71" t="s">
        <v>11612</v>
      </c>
    </row>
    <row r="3526" spans="1:10" ht="14.25" customHeight="1" x14ac:dyDescent="0.35">
      <c r="A3526" s="76"/>
      <c r="B3526" s="38" t="s">
        <v>1858</v>
      </c>
      <c r="C3526" s="69">
        <f>IF(C3525="","",IF(AND(MONTH(C3525)&gt;=1,MONTH(C3525)&lt;=3),1,IF(AND(MONTH(C3525)&gt;=4,MONTH(C3525)&lt;=6),2,IF(AND(MONTH(C3525)&gt;=7,MONTH(C3525)&lt;=9),3,4))))</f>
        <v>2</v>
      </c>
      <c r="D3526" s="76"/>
      <c r="E3526" s="70" t="s">
        <v>13785</v>
      </c>
      <c r="F3526" s="71"/>
    </row>
    <row r="3528" spans="1:10" ht="14.25" customHeight="1" x14ac:dyDescent="0.35">
      <c r="A3528" s="43" t="s">
        <v>16424</v>
      </c>
      <c r="B3528" s="43" t="s">
        <v>16856</v>
      </c>
      <c r="C3528" s="43" t="s">
        <v>16326</v>
      </c>
      <c r="D3528" s="43" t="s">
        <v>15925</v>
      </c>
      <c r="E3528" s="43" t="s">
        <v>7248</v>
      </c>
      <c r="F3528" s="43" t="s">
        <v>15955</v>
      </c>
    </row>
    <row r="3529" spans="1:10" ht="14.25" customHeight="1" x14ac:dyDescent="0.35">
      <c r="A3529" s="39" t="s">
        <v>3584</v>
      </c>
      <c r="B3529" s="40" t="str">
        <f ca="1">IFERROR(INDEX(UNSPSCDes,MATCH(INDIRECT(ADDRESS(ROW(),COLUMN()-1,4)),UNSPSCCode,0)),IF(INDIRECT(ADDRESS(ROW(),COLUMN()-1,4))="53121603","Morrales",""))</f>
        <v>Morrales</v>
      </c>
      <c r="C3529" s="72" t="str">
        <f>IFERROR(VLOOKUP("UD",'Informacion '!P:Q,2,FALSE),"")</f>
        <v>Unidad</v>
      </c>
      <c r="D3529" s="39">
        <v>4</v>
      </c>
      <c r="E3529" s="42">
        <v>885</v>
      </c>
      <c r="F3529" s="41">
        <f ca="1">INDIRECT(ADDRESS(ROW(),COLUMN()-2,4))*INDIRECT(ADDRESS(ROW(),COLUMN()-1,4))</f>
        <v>3540</v>
      </c>
    </row>
    <row r="3530" spans="1:10" ht="14.25" customHeight="1" x14ac:dyDescent="0.35">
      <c r="A3530" s="39" t="s">
        <v>3584</v>
      </c>
      <c r="B3530" s="40" t="str">
        <f ca="1">IFERROR(INDEX(UNSPSCDes,MATCH(INDIRECT(ADDRESS(ROW(),COLUMN()-1,4)),UNSPSCCode,0)),IF(INDIRECT(ADDRESS(ROW(),COLUMN()-1,4))="53121603","Morrales",""))</f>
        <v>Morrales</v>
      </c>
      <c r="C3530" s="72" t="str">
        <f>IFERROR(VLOOKUP("UD",'Informacion '!P:Q,2,FALSE),"")</f>
        <v>Unidad</v>
      </c>
      <c r="D3530" s="39">
        <v>3</v>
      </c>
      <c r="E3530" s="42">
        <v>813.01</v>
      </c>
      <c r="F3530" s="41">
        <f ca="1">INDIRECT(ADDRESS(ROW(),COLUMN()-2,4))*INDIRECT(ADDRESS(ROW(),COLUMN()-1,4))</f>
        <v>2439.0299999999997</v>
      </c>
    </row>
    <row r="3531" spans="1:10" ht="14.25" customHeight="1" x14ac:dyDescent="0.35">
      <c r="A3531" s="39" t="s">
        <v>3584</v>
      </c>
      <c r="B3531" s="40" t="str">
        <f ca="1">IFERROR(INDEX(UNSPSCDes,MATCH(INDIRECT(ADDRESS(ROW(),COLUMN()-1,4)),UNSPSCCode,0)),IF(INDIRECT(ADDRESS(ROW(),COLUMN()-1,4))="53121603","Morrales",""))</f>
        <v>Morrales</v>
      </c>
      <c r="C3531" s="72" t="str">
        <f>IFERROR(VLOOKUP("UD",'Informacion '!P:Q,2,FALSE),"")</f>
        <v>Unidad</v>
      </c>
      <c r="D3531" s="39">
        <v>70</v>
      </c>
      <c r="E3531" s="42">
        <v>1700</v>
      </c>
      <c r="F3531" s="41">
        <f ca="1">INDIRECT(ADDRESS(ROW(),COLUMN()-2,4))*INDIRECT(ADDRESS(ROW(),COLUMN()-1,4))</f>
        <v>119000</v>
      </c>
    </row>
    <row r="3532" spans="1:10" ht="14.25" customHeight="1" x14ac:dyDescent="0.35">
      <c r="E3532" s="44" t="s">
        <v>13122</v>
      </c>
      <c r="F3532" s="45">
        <f ca="1">SUM(Table181[MONTO TOTAL ESTIMADO])</f>
        <v>124979.03</v>
      </c>
      <c r="H3532" s="24" t="str">
        <f>C3522</f>
        <v>Bienes</v>
      </c>
      <c r="I3532" s="24" t="str">
        <f>E3522</f>
        <v>Sí</v>
      </c>
      <c r="J3532" s="24" t="str">
        <f>D3522</f>
        <v>Compras por debajo del Umbral</v>
      </c>
    </row>
    <row r="3534" spans="1:10" ht="34" customHeight="1" x14ac:dyDescent="0.35">
      <c r="A3534" s="36" t="s">
        <v>17105</v>
      </c>
      <c r="B3534" s="36" t="s">
        <v>167</v>
      </c>
      <c r="C3534" s="36" t="s">
        <v>12252</v>
      </c>
      <c r="D3534" s="36" t="s">
        <v>15021</v>
      </c>
      <c r="E3534" s="36" t="s">
        <v>11455</v>
      </c>
      <c r="F3534" s="36" t="s">
        <v>11595</v>
      </c>
    </row>
    <row r="3535" spans="1:10" ht="14.25" customHeight="1" x14ac:dyDescent="0.35">
      <c r="A3535" s="37" t="s">
        <v>15062</v>
      </c>
      <c r="B3535" s="37" t="s">
        <v>15062</v>
      </c>
      <c r="C3535" s="37" t="s">
        <v>18585</v>
      </c>
      <c r="D3535" s="37" t="s">
        <v>10634</v>
      </c>
      <c r="E3535" s="37" t="s">
        <v>18646</v>
      </c>
      <c r="F3535" s="37" t="s">
        <v>7088</v>
      </c>
    </row>
    <row r="3536" spans="1:10" ht="14.25" customHeight="1" x14ac:dyDescent="0.35">
      <c r="A3536" s="75" t="s">
        <v>15490</v>
      </c>
      <c r="B3536" s="38" t="s">
        <v>8918</v>
      </c>
      <c r="C3536" s="68">
        <v>45334</v>
      </c>
      <c r="D3536" s="75" t="s">
        <v>9819</v>
      </c>
      <c r="E3536" s="70" t="s">
        <v>13683</v>
      </c>
      <c r="F3536" s="71" t="s">
        <v>3205</v>
      </c>
    </row>
    <row r="3537" spans="1:10" ht="14.25" customHeight="1" x14ac:dyDescent="0.35">
      <c r="A3537" s="76"/>
      <c r="B3537" s="38" t="s">
        <v>1858</v>
      </c>
      <c r="C3537" s="69">
        <f>IF(C3536="","",IF(AND(MONTH(C3536)&gt;=1,MONTH(C3536)&lt;=3),1,IF(AND(MONTH(C3536)&gt;=4,MONTH(C3536)&lt;=6),2,IF(AND(MONTH(C3536)&gt;=7,MONTH(C3536)&lt;=9),3,4))))</f>
        <v>1</v>
      </c>
      <c r="D3537" s="76"/>
      <c r="E3537" s="70" t="s">
        <v>2509</v>
      </c>
      <c r="F3537" s="71" t="s">
        <v>11612</v>
      </c>
    </row>
    <row r="3538" spans="1:10" ht="14.25" customHeight="1" x14ac:dyDescent="0.35">
      <c r="A3538" s="76"/>
      <c r="B3538" s="38" t="s">
        <v>13526</v>
      </c>
      <c r="C3538" s="68">
        <v>45381</v>
      </c>
      <c r="D3538" s="76"/>
      <c r="E3538" s="70" t="s">
        <v>3198</v>
      </c>
      <c r="F3538" s="71" t="s">
        <v>11612</v>
      </c>
    </row>
    <row r="3539" spans="1:10" ht="14.25" customHeight="1" x14ac:dyDescent="0.35">
      <c r="A3539" s="76"/>
      <c r="B3539" s="38" t="s">
        <v>1858</v>
      </c>
      <c r="C3539" s="69">
        <f>IF(C3538="","",IF(AND(MONTH(C3538)&gt;=1,MONTH(C3538)&lt;=3),1,IF(AND(MONTH(C3538)&gt;=4,MONTH(C3538)&lt;=6),2,IF(AND(MONTH(C3538)&gt;=7,MONTH(C3538)&lt;=9),3,4))))</f>
        <v>1</v>
      </c>
      <c r="D3539" s="76"/>
      <c r="E3539" s="70" t="s">
        <v>13785</v>
      </c>
      <c r="F3539" s="71"/>
    </row>
    <row r="3541" spans="1:10" ht="14.25" customHeight="1" x14ac:dyDescent="0.35">
      <c r="A3541" s="43" t="s">
        <v>16424</v>
      </c>
      <c r="B3541" s="43" t="s">
        <v>16856</v>
      </c>
      <c r="C3541" s="43" t="s">
        <v>16326</v>
      </c>
      <c r="D3541" s="43" t="s">
        <v>15925</v>
      </c>
      <c r="E3541" s="43" t="s">
        <v>7248</v>
      </c>
      <c r="F3541" s="43" t="s">
        <v>15955</v>
      </c>
    </row>
    <row r="3542" spans="1:10" ht="14.25" customHeight="1" x14ac:dyDescent="0.35">
      <c r="A3542" s="39" t="s">
        <v>3584</v>
      </c>
      <c r="B3542" s="40" t="str">
        <f ca="1">IFERROR(INDEX(UNSPSCDes,MATCH(INDIRECT(ADDRESS(ROW(),COLUMN()-1,4)),UNSPSCCode,0)),IF(INDIRECT(ADDRESS(ROW(),COLUMN()-1,4))="53121603","Morrales",""))</f>
        <v>Morrales</v>
      </c>
      <c r="C3542" s="72" t="str">
        <f>IFERROR(VLOOKUP("UD",'Informacion '!P:Q,2,FALSE),"")</f>
        <v>Unidad</v>
      </c>
      <c r="D3542" s="39">
        <v>1</v>
      </c>
      <c r="E3542" s="42">
        <v>5015</v>
      </c>
      <c r="F3542" s="41">
        <f ca="1">INDIRECT(ADDRESS(ROW(),COLUMN()-2,4))*INDIRECT(ADDRESS(ROW(),COLUMN()-1,4))</f>
        <v>5015</v>
      </c>
    </row>
    <row r="3543" spans="1:10" ht="14.25" customHeight="1" x14ac:dyDescent="0.35">
      <c r="A3543" s="39" t="s">
        <v>1051</v>
      </c>
      <c r="B3543" s="40" t="str">
        <f ca="1">IFERROR(INDEX(UNSPSCDes,MATCH(INDIRECT(ADDRESS(ROW(),COLUMN()-1,4)),UNSPSCCode,0)),IF(INDIRECT(ADDRESS(ROW(),COLUMN()-1,4))="53121706","Maletines para computador",""))</f>
        <v>Maletines para computador</v>
      </c>
      <c r="C3543" s="72" t="str">
        <f>IFERROR(VLOOKUP("UD",'Informacion '!P:Q,2,FALSE),"")</f>
        <v>Unidad</v>
      </c>
      <c r="D3543" s="39">
        <v>1</v>
      </c>
      <c r="E3543" s="42">
        <v>16030</v>
      </c>
      <c r="F3543" s="41">
        <f ca="1">INDIRECT(ADDRESS(ROW(),COLUMN()-2,4))*INDIRECT(ADDRESS(ROW(),COLUMN()-1,4))</f>
        <v>16030</v>
      </c>
    </row>
    <row r="3544" spans="1:10" ht="14.25" customHeight="1" x14ac:dyDescent="0.35">
      <c r="E3544" s="44" t="s">
        <v>13122</v>
      </c>
      <c r="F3544" s="45">
        <f ca="1">SUM(Table182[MONTO TOTAL ESTIMADO])</f>
        <v>21045</v>
      </c>
      <c r="H3544" s="24" t="str">
        <f>C3535</f>
        <v>Bienes</v>
      </c>
      <c r="I3544" s="24" t="str">
        <f>E3535</f>
        <v>No</v>
      </c>
      <c r="J3544" s="24" t="str">
        <f>D3535</f>
        <v>Compras por debajo del Umbral</v>
      </c>
    </row>
    <row r="3546" spans="1:10" ht="34" customHeight="1" x14ac:dyDescent="0.35">
      <c r="A3546" s="36" t="s">
        <v>17105</v>
      </c>
      <c r="B3546" s="36" t="s">
        <v>167</v>
      </c>
      <c r="C3546" s="36" t="s">
        <v>12252</v>
      </c>
      <c r="D3546" s="36" t="s">
        <v>15021</v>
      </c>
      <c r="E3546" s="36" t="s">
        <v>11455</v>
      </c>
      <c r="F3546" s="36" t="s">
        <v>11595</v>
      </c>
    </row>
    <row r="3547" spans="1:10" ht="14.25" customHeight="1" x14ac:dyDescent="0.35">
      <c r="A3547" s="37" t="s">
        <v>15339</v>
      </c>
      <c r="B3547" s="37" t="s">
        <v>15339</v>
      </c>
      <c r="C3547" s="37" t="s">
        <v>18585</v>
      </c>
      <c r="D3547" s="37" t="s">
        <v>10634</v>
      </c>
      <c r="E3547" s="37" t="s">
        <v>9261</v>
      </c>
      <c r="F3547" s="37" t="s">
        <v>7088</v>
      </c>
    </row>
    <row r="3548" spans="1:10" ht="14.25" customHeight="1" x14ac:dyDescent="0.35">
      <c r="A3548" s="75" t="s">
        <v>15490</v>
      </c>
      <c r="B3548" s="38" t="s">
        <v>8918</v>
      </c>
      <c r="C3548" s="68">
        <v>45397</v>
      </c>
      <c r="D3548" s="75" t="s">
        <v>9819</v>
      </c>
      <c r="E3548" s="70" t="s">
        <v>13683</v>
      </c>
      <c r="F3548" s="71" t="s">
        <v>3205</v>
      </c>
    </row>
    <row r="3549" spans="1:10" ht="14.25" customHeight="1" x14ac:dyDescent="0.35">
      <c r="A3549" s="76"/>
      <c r="B3549" s="38" t="s">
        <v>1858</v>
      </c>
      <c r="C3549" s="69">
        <f>IF(C3548="","",IF(AND(MONTH(C3548)&gt;=1,MONTH(C3548)&lt;=3),1,IF(AND(MONTH(C3548)&gt;=4,MONTH(C3548)&lt;=6),2,IF(AND(MONTH(C3548)&gt;=7,MONTH(C3548)&lt;=9),3,4))))</f>
        <v>2</v>
      </c>
      <c r="D3549" s="76"/>
      <c r="E3549" s="70" t="s">
        <v>2509</v>
      </c>
      <c r="F3549" s="71" t="s">
        <v>11612</v>
      </c>
    </row>
    <row r="3550" spans="1:10" ht="14.25" customHeight="1" x14ac:dyDescent="0.35">
      <c r="A3550" s="76"/>
      <c r="B3550" s="38" t="s">
        <v>13526</v>
      </c>
      <c r="C3550" s="68">
        <v>45422</v>
      </c>
      <c r="D3550" s="76"/>
      <c r="E3550" s="70" t="s">
        <v>3198</v>
      </c>
      <c r="F3550" s="71" t="s">
        <v>11612</v>
      </c>
    </row>
    <row r="3551" spans="1:10" ht="14.25" customHeight="1" x14ac:dyDescent="0.35">
      <c r="A3551" s="76"/>
      <c r="B3551" s="38" t="s">
        <v>1858</v>
      </c>
      <c r="C3551" s="69">
        <f>IF(C3550="","",IF(AND(MONTH(C3550)&gt;=1,MONTH(C3550)&lt;=3),1,IF(AND(MONTH(C3550)&gt;=4,MONTH(C3550)&lt;=6),2,IF(AND(MONTH(C3550)&gt;=7,MONTH(C3550)&lt;=9),3,4))))</f>
        <v>2</v>
      </c>
      <c r="D3551" s="76"/>
      <c r="E3551" s="70" t="s">
        <v>13785</v>
      </c>
      <c r="F3551" s="71"/>
    </row>
    <row r="3553" spans="1:10" ht="14.25" customHeight="1" x14ac:dyDescent="0.35">
      <c r="A3553" s="43" t="s">
        <v>16424</v>
      </c>
      <c r="B3553" s="43" t="s">
        <v>16856</v>
      </c>
      <c r="C3553" s="43" t="s">
        <v>16326</v>
      </c>
      <c r="D3553" s="43" t="s">
        <v>15925</v>
      </c>
      <c r="E3553" s="43" t="s">
        <v>7248</v>
      </c>
      <c r="F3553" s="43" t="s">
        <v>15955</v>
      </c>
    </row>
    <row r="3554" spans="1:10" ht="14.25" customHeight="1" x14ac:dyDescent="0.35">
      <c r="A3554" s="39" t="s">
        <v>1051</v>
      </c>
      <c r="B3554" s="40" t="str">
        <f ca="1">IFERROR(INDEX(UNSPSCDes,MATCH(INDIRECT(ADDRESS(ROW(),COLUMN()-1,4)),UNSPSCCode,0)),IF(INDIRECT(ADDRESS(ROW(),COLUMN()-1,4))="53121706","Maletines para computador",""))</f>
        <v>Maletines para computador</v>
      </c>
      <c r="C3554" s="72" t="str">
        <f>IFERROR(VLOOKUP("UD",'Informacion '!P:Q,2,FALSE),"")</f>
        <v>Unidad</v>
      </c>
      <c r="D3554" s="39">
        <v>4</v>
      </c>
      <c r="E3554" s="42">
        <v>5500</v>
      </c>
      <c r="F3554" s="41">
        <f ca="1">INDIRECT(ADDRESS(ROW(),COLUMN()-2,4))*INDIRECT(ADDRESS(ROW(),COLUMN()-1,4))</f>
        <v>22000</v>
      </c>
    </row>
    <row r="3555" spans="1:10" ht="14.25" customHeight="1" x14ac:dyDescent="0.35">
      <c r="E3555" s="44" t="s">
        <v>13122</v>
      </c>
      <c r="F3555" s="45">
        <f ca="1">SUM(Table183[MONTO TOTAL ESTIMADO])</f>
        <v>22000</v>
      </c>
      <c r="H3555" s="24" t="str">
        <f>C3547</f>
        <v>Bienes</v>
      </c>
      <c r="I3555" s="24" t="str">
        <f>E3547</f>
        <v>Sí</v>
      </c>
      <c r="J3555" s="24" t="str">
        <f>D3547</f>
        <v>Compras por debajo del Umbral</v>
      </c>
    </row>
    <row r="3557" spans="1:10" ht="34" customHeight="1" x14ac:dyDescent="0.35">
      <c r="A3557" s="36" t="s">
        <v>17105</v>
      </c>
      <c r="B3557" s="36" t="s">
        <v>167</v>
      </c>
      <c r="C3557" s="36" t="s">
        <v>12252</v>
      </c>
      <c r="D3557" s="36" t="s">
        <v>15021</v>
      </c>
      <c r="E3557" s="36" t="s">
        <v>11455</v>
      </c>
      <c r="F3557" s="36" t="s">
        <v>11595</v>
      </c>
    </row>
    <row r="3558" spans="1:10" ht="14.25" customHeight="1" x14ac:dyDescent="0.35">
      <c r="A3558" s="37" t="s">
        <v>17719</v>
      </c>
      <c r="B3558" s="37" t="s">
        <v>17719</v>
      </c>
      <c r="C3558" s="37" t="s">
        <v>18585</v>
      </c>
      <c r="D3558" s="37" t="s">
        <v>10634</v>
      </c>
      <c r="E3558" s="37" t="s">
        <v>18646</v>
      </c>
      <c r="F3558" s="37" t="s">
        <v>7088</v>
      </c>
    </row>
    <row r="3559" spans="1:10" ht="14.25" customHeight="1" x14ac:dyDescent="0.35">
      <c r="A3559" s="75" t="s">
        <v>15490</v>
      </c>
      <c r="B3559" s="38" t="s">
        <v>8918</v>
      </c>
      <c r="C3559" s="68">
        <v>45432</v>
      </c>
      <c r="D3559" s="75" t="s">
        <v>9819</v>
      </c>
      <c r="E3559" s="70" t="s">
        <v>13683</v>
      </c>
      <c r="F3559" s="71" t="s">
        <v>3205</v>
      </c>
    </row>
    <row r="3560" spans="1:10" ht="14.25" customHeight="1" x14ac:dyDescent="0.35">
      <c r="A3560" s="76"/>
      <c r="B3560" s="38" t="s">
        <v>1858</v>
      </c>
      <c r="C3560" s="69">
        <f>IF(C3559="","",IF(AND(MONTH(C3559)&gt;=1,MONTH(C3559)&lt;=3),1,IF(AND(MONTH(C3559)&gt;=4,MONTH(C3559)&lt;=6),2,IF(AND(MONTH(C3559)&gt;=7,MONTH(C3559)&lt;=9),3,4))))</f>
        <v>2</v>
      </c>
      <c r="D3560" s="76"/>
      <c r="E3560" s="70" t="s">
        <v>2509</v>
      </c>
      <c r="F3560" s="71" t="s">
        <v>11612</v>
      </c>
    </row>
    <row r="3561" spans="1:10" ht="14.25" customHeight="1" x14ac:dyDescent="0.35">
      <c r="A3561" s="76"/>
      <c r="B3561" s="38" t="s">
        <v>13526</v>
      </c>
      <c r="C3561" s="68">
        <v>45458</v>
      </c>
      <c r="D3561" s="76"/>
      <c r="E3561" s="70" t="s">
        <v>3198</v>
      </c>
      <c r="F3561" s="71" t="s">
        <v>11612</v>
      </c>
    </row>
    <row r="3562" spans="1:10" ht="14.25" customHeight="1" x14ac:dyDescent="0.35">
      <c r="A3562" s="76"/>
      <c r="B3562" s="38" t="s">
        <v>1858</v>
      </c>
      <c r="C3562" s="69">
        <f>IF(C3561="","",IF(AND(MONTH(C3561)&gt;=1,MONTH(C3561)&lt;=3),1,IF(AND(MONTH(C3561)&gt;=4,MONTH(C3561)&lt;=6),2,IF(AND(MONTH(C3561)&gt;=7,MONTH(C3561)&lt;=9),3,4))))</f>
        <v>2</v>
      </c>
      <c r="D3562" s="76"/>
      <c r="E3562" s="70" t="s">
        <v>13785</v>
      </c>
      <c r="F3562" s="71"/>
    </row>
    <row r="3564" spans="1:10" ht="14.25" customHeight="1" x14ac:dyDescent="0.35">
      <c r="A3564" s="43" t="s">
        <v>16424</v>
      </c>
      <c r="B3564" s="43" t="s">
        <v>16856</v>
      </c>
      <c r="C3564" s="43" t="s">
        <v>16326</v>
      </c>
      <c r="D3564" s="43" t="s">
        <v>15925</v>
      </c>
      <c r="E3564" s="43" t="s">
        <v>7248</v>
      </c>
      <c r="F3564" s="43" t="s">
        <v>15955</v>
      </c>
    </row>
    <row r="3565" spans="1:10" ht="14.25" customHeight="1" x14ac:dyDescent="0.35">
      <c r="A3565" s="39" t="s">
        <v>1051</v>
      </c>
      <c r="B3565" s="40" t="str">
        <f ca="1">IFERROR(INDEX(UNSPSCDes,MATCH(INDIRECT(ADDRESS(ROW(),COLUMN()-1,4)),UNSPSCCode,0)),IF(INDIRECT(ADDRESS(ROW(),COLUMN()-1,4))="53121706","Maletines para computador",""))</f>
        <v>Maletines para computador</v>
      </c>
      <c r="C3565" s="72" t="str">
        <f>IFERROR(VLOOKUP("UD",'Informacion '!P:Q,2,FALSE),"")</f>
        <v>Unidad</v>
      </c>
      <c r="D3565" s="39">
        <v>20</v>
      </c>
      <c r="E3565" s="42">
        <v>3500</v>
      </c>
      <c r="F3565" s="41">
        <f ca="1">INDIRECT(ADDRESS(ROW(),COLUMN()-2,4))*INDIRECT(ADDRESS(ROW(),COLUMN()-1,4))</f>
        <v>70000</v>
      </c>
    </row>
    <row r="3566" spans="1:10" ht="14.25" customHeight="1" x14ac:dyDescent="0.35">
      <c r="E3566" s="44" t="s">
        <v>13122</v>
      </c>
      <c r="F3566" s="45">
        <f ca="1">SUM(Table184[MONTO TOTAL ESTIMADO])</f>
        <v>70000</v>
      </c>
      <c r="H3566" s="24" t="str">
        <f>C3558</f>
        <v>Bienes</v>
      </c>
      <c r="I3566" s="24" t="str">
        <f>E3558</f>
        <v>No</v>
      </c>
      <c r="J3566" s="24" t="str">
        <f>D3558</f>
        <v>Compras por debajo del Umbral</v>
      </c>
    </row>
    <row r="3568" spans="1:10" ht="34" customHeight="1" x14ac:dyDescent="0.35">
      <c r="A3568" s="36" t="s">
        <v>17105</v>
      </c>
      <c r="B3568" s="36" t="s">
        <v>167</v>
      </c>
      <c r="C3568" s="36" t="s">
        <v>12252</v>
      </c>
      <c r="D3568" s="36" t="s">
        <v>15021</v>
      </c>
      <c r="E3568" s="36" t="s">
        <v>11455</v>
      </c>
      <c r="F3568" s="36" t="s">
        <v>11595</v>
      </c>
    </row>
    <row r="3569" spans="1:10" ht="14.25" customHeight="1" x14ac:dyDescent="0.35">
      <c r="A3569" s="37" t="s">
        <v>5047</v>
      </c>
      <c r="B3569" s="37" t="s">
        <v>5047</v>
      </c>
      <c r="C3569" s="37" t="s">
        <v>18585</v>
      </c>
      <c r="D3569" s="37" t="s">
        <v>10634</v>
      </c>
      <c r="E3569" s="37" t="s">
        <v>9261</v>
      </c>
      <c r="F3569" s="37" t="s">
        <v>7088</v>
      </c>
    </row>
    <row r="3570" spans="1:10" ht="14.25" customHeight="1" x14ac:dyDescent="0.35">
      <c r="A3570" s="75" t="s">
        <v>15490</v>
      </c>
      <c r="B3570" s="38" t="s">
        <v>8918</v>
      </c>
      <c r="C3570" s="68">
        <v>45334</v>
      </c>
      <c r="D3570" s="75" t="s">
        <v>9819</v>
      </c>
      <c r="E3570" s="70" t="s">
        <v>13683</v>
      </c>
      <c r="F3570" s="71" t="s">
        <v>3205</v>
      </c>
    </row>
    <row r="3571" spans="1:10" ht="14.25" customHeight="1" x14ac:dyDescent="0.35">
      <c r="A3571" s="76"/>
      <c r="B3571" s="38" t="s">
        <v>1858</v>
      </c>
      <c r="C3571" s="69">
        <f>IF(C3570="","",IF(AND(MONTH(C3570)&gt;=1,MONTH(C3570)&lt;=3),1,IF(AND(MONTH(C3570)&gt;=4,MONTH(C3570)&lt;=6),2,IF(AND(MONTH(C3570)&gt;=7,MONTH(C3570)&lt;=9),3,4))))</f>
        <v>1</v>
      </c>
      <c r="D3571" s="76"/>
      <c r="E3571" s="70" t="s">
        <v>2509</v>
      </c>
      <c r="F3571" s="71" t="s">
        <v>11612</v>
      </c>
    </row>
    <row r="3572" spans="1:10" ht="14.25" customHeight="1" x14ac:dyDescent="0.35">
      <c r="A3572" s="76"/>
      <c r="B3572" s="38" t="s">
        <v>13526</v>
      </c>
      <c r="C3572" s="68">
        <v>45381</v>
      </c>
      <c r="D3572" s="76"/>
      <c r="E3572" s="70" t="s">
        <v>3198</v>
      </c>
      <c r="F3572" s="71" t="s">
        <v>11612</v>
      </c>
    </row>
    <row r="3573" spans="1:10" ht="14.25" customHeight="1" x14ac:dyDescent="0.35">
      <c r="A3573" s="76"/>
      <c r="B3573" s="38" t="s">
        <v>1858</v>
      </c>
      <c r="C3573" s="69">
        <f>IF(C3572="","",IF(AND(MONTH(C3572)&gt;=1,MONTH(C3572)&lt;=3),1,IF(AND(MONTH(C3572)&gt;=4,MONTH(C3572)&lt;=6),2,IF(AND(MONTH(C3572)&gt;=7,MONTH(C3572)&lt;=9),3,4))))</f>
        <v>1</v>
      </c>
      <c r="D3573" s="76"/>
      <c r="E3573" s="70" t="s">
        <v>13785</v>
      </c>
      <c r="F3573" s="71"/>
    </row>
    <row r="3575" spans="1:10" ht="14.25" customHeight="1" x14ac:dyDescent="0.35">
      <c r="A3575" s="43" t="s">
        <v>16424</v>
      </c>
      <c r="B3575" s="43" t="s">
        <v>16856</v>
      </c>
      <c r="C3575" s="43" t="s">
        <v>16326</v>
      </c>
      <c r="D3575" s="43" t="s">
        <v>15925</v>
      </c>
      <c r="E3575" s="43" t="s">
        <v>7248</v>
      </c>
      <c r="F3575" s="43" t="s">
        <v>15955</v>
      </c>
    </row>
    <row r="3576" spans="1:10" ht="14.25" customHeight="1" x14ac:dyDescent="0.35">
      <c r="A3576" s="39" t="s">
        <v>16291</v>
      </c>
      <c r="B3576" s="40" t="str">
        <f ca="1">IFERROR(INDEX(UNSPSCDes,MATCH(INDIRECT(ADDRESS(ROW(),COLUMN()-1,4)),UNSPSCCode,0)),IF(INDIRECT(ADDRESS(ROW(),COLUMN()-1,4))="30102403","Varillas de hierro",""))</f>
        <v>Varillas de hierro</v>
      </c>
      <c r="C3576" s="72" t="str">
        <f>IFERROR(VLOOKUP("UD",'Informacion '!P:Q,2,FALSE),"")</f>
        <v>Unidad</v>
      </c>
      <c r="D3576" s="39">
        <v>22</v>
      </c>
      <c r="E3576" s="42">
        <v>995</v>
      </c>
      <c r="F3576" s="41">
        <f ca="1">INDIRECT(ADDRESS(ROW(),COLUMN()-2,4))*INDIRECT(ADDRESS(ROW(),COLUMN()-1,4))</f>
        <v>21890</v>
      </c>
    </row>
    <row r="3577" spans="1:10" ht="14.25" customHeight="1" x14ac:dyDescent="0.35">
      <c r="E3577" s="44" t="s">
        <v>13122</v>
      </c>
      <c r="F3577" s="45">
        <f ca="1">SUM(Table185[MONTO TOTAL ESTIMADO])</f>
        <v>21890</v>
      </c>
      <c r="H3577" s="24" t="str">
        <f>C3569</f>
        <v>Bienes</v>
      </c>
      <c r="I3577" s="24" t="str">
        <f>E3569</f>
        <v>Sí</v>
      </c>
      <c r="J3577" s="24" t="str">
        <f>D3569</f>
        <v>Compras por debajo del Umbral</v>
      </c>
    </row>
    <row r="3579" spans="1:10" ht="34" customHeight="1" x14ac:dyDescent="0.35">
      <c r="A3579" s="36" t="s">
        <v>17105</v>
      </c>
      <c r="B3579" s="36" t="s">
        <v>167</v>
      </c>
      <c r="C3579" s="36" t="s">
        <v>12252</v>
      </c>
      <c r="D3579" s="36" t="s">
        <v>15021</v>
      </c>
      <c r="E3579" s="36" t="s">
        <v>11455</v>
      </c>
      <c r="F3579" s="36" t="s">
        <v>11595</v>
      </c>
    </row>
    <row r="3580" spans="1:10" ht="14.25" customHeight="1" x14ac:dyDescent="0.35">
      <c r="A3580" s="37" t="s">
        <v>12839</v>
      </c>
      <c r="B3580" s="37" t="s">
        <v>12839</v>
      </c>
      <c r="C3580" s="37" t="s">
        <v>18585</v>
      </c>
      <c r="D3580" s="37" t="s">
        <v>10634</v>
      </c>
      <c r="E3580" s="37" t="s">
        <v>9261</v>
      </c>
      <c r="F3580" s="37" t="s">
        <v>7088</v>
      </c>
    </row>
    <row r="3581" spans="1:10" ht="14.25" customHeight="1" x14ac:dyDescent="0.35">
      <c r="A3581" s="75" t="s">
        <v>15490</v>
      </c>
      <c r="B3581" s="38" t="s">
        <v>8918</v>
      </c>
      <c r="C3581" s="68">
        <v>45334</v>
      </c>
      <c r="D3581" s="75" t="s">
        <v>9819</v>
      </c>
      <c r="E3581" s="70" t="s">
        <v>13683</v>
      </c>
      <c r="F3581" s="71" t="s">
        <v>3205</v>
      </c>
    </row>
    <row r="3582" spans="1:10" ht="14.25" customHeight="1" x14ac:dyDescent="0.35">
      <c r="A3582" s="76"/>
      <c r="B3582" s="38" t="s">
        <v>1858</v>
      </c>
      <c r="C3582" s="69">
        <f>IF(C3581="","",IF(AND(MONTH(C3581)&gt;=1,MONTH(C3581)&lt;=3),1,IF(AND(MONTH(C3581)&gt;=4,MONTH(C3581)&lt;=6),2,IF(AND(MONTH(C3581)&gt;=7,MONTH(C3581)&lt;=9),3,4))))</f>
        <v>1</v>
      </c>
      <c r="D3582" s="76"/>
      <c r="E3582" s="70" t="s">
        <v>2509</v>
      </c>
      <c r="F3582" s="71" t="s">
        <v>11612</v>
      </c>
    </row>
    <row r="3583" spans="1:10" ht="14.25" customHeight="1" x14ac:dyDescent="0.35">
      <c r="A3583" s="76"/>
      <c r="B3583" s="38" t="s">
        <v>13526</v>
      </c>
      <c r="C3583" s="68">
        <v>45381</v>
      </c>
      <c r="D3583" s="76"/>
      <c r="E3583" s="70" t="s">
        <v>3198</v>
      </c>
      <c r="F3583" s="71" t="s">
        <v>11612</v>
      </c>
    </row>
    <row r="3584" spans="1:10" ht="14.25" customHeight="1" x14ac:dyDescent="0.35">
      <c r="A3584" s="76"/>
      <c r="B3584" s="38" t="s">
        <v>1858</v>
      </c>
      <c r="C3584" s="69">
        <f>IF(C3583="","",IF(AND(MONTH(C3583)&gt;=1,MONTH(C3583)&lt;=3),1,IF(AND(MONTH(C3583)&gt;=4,MONTH(C3583)&lt;=6),2,IF(AND(MONTH(C3583)&gt;=7,MONTH(C3583)&lt;=9),3,4))))</f>
        <v>1</v>
      </c>
      <c r="D3584" s="76"/>
      <c r="E3584" s="70" t="s">
        <v>13785</v>
      </c>
      <c r="F3584" s="71"/>
    </row>
    <row r="3586" spans="1:10" ht="14.25" customHeight="1" x14ac:dyDescent="0.35">
      <c r="A3586" s="43" t="s">
        <v>16424</v>
      </c>
      <c r="B3586" s="43" t="s">
        <v>16856</v>
      </c>
      <c r="C3586" s="43" t="s">
        <v>16326</v>
      </c>
      <c r="D3586" s="43" t="s">
        <v>15925</v>
      </c>
      <c r="E3586" s="43" t="s">
        <v>7248</v>
      </c>
      <c r="F3586" s="43" t="s">
        <v>15955</v>
      </c>
    </row>
    <row r="3587" spans="1:10" ht="14.25" customHeight="1" x14ac:dyDescent="0.35">
      <c r="A3587" s="39" t="s">
        <v>16291</v>
      </c>
      <c r="B3587" s="40" t="str">
        <f ca="1">IFERROR(INDEX(UNSPSCDes,MATCH(INDIRECT(ADDRESS(ROW(),COLUMN()-1,4)),UNSPSCCode,0)),IF(INDIRECT(ADDRESS(ROW(),COLUMN()-1,4))="30102403","Varillas de hierro",""))</f>
        <v>Varillas de hierro</v>
      </c>
      <c r="C3587" s="72" t="str">
        <f>IFERROR(VLOOKUP("UD",'Informacion '!P:Q,2,FALSE),"")</f>
        <v>Unidad</v>
      </c>
      <c r="D3587" s="39">
        <v>6</v>
      </c>
      <c r="E3587" s="42">
        <v>808.3</v>
      </c>
      <c r="F3587" s="41">
        <f ca="1">INDIRECT(ADDRESS(ROW(),COLUMN()-2,4))*INDIRECT(ADDRESS(ROW(),COLUMN()-1,4))</f>
        <v>4849.7999999999993</v>
      </c>
    </row>
    <row r="3588" spans="1:10" ht="14.25" customHeight="1" x14ac:dyDescent="0.35">
      <c r="E3588" s="44" t="s">
        <v>13122</v>
      </c>
      <c r="F3588" s="45">
        <f ca="1">SUM(Table186[MONTO TOTAL ESTIMADO])</f>
        <v>4849.7999999999993</v>
      </c>
      <c r="H3588" s="24" t="str">
        <f>C3580</f>
        <v>Bienes</v>
      </c>
      <c r="I3588" s="24" t="str">
        <f>E3580</f>
        <v>Sí</v>
      </c>
      <c r="J3588" s="24" t="str">
        <f>D3580</f>
        <v>Compras por debajo del Umbral</v>
      </c>
    </row>
    <row r="3590" spans="1:10" ht="34" customHeight="1" x14ac:dyDescent="0.35">
      <c r="A3590" s="36" t="s">
        <v>17105</v>
      </c>
      <c r="B3590" s="36" t="s">
        <v>167</v>
      </c>
      <c r="C3590" s="36" t="s">
        <v>12252</v>
      </c>
      <c r="D3590" s="36" t="s">
        <v>15021</v>
      </c>
      <c r="E3590" s="36" t="s">
        <v>11455</v>
      </c>
      <c r="F3590" s="36" t="s">
        <v>11595</v>
      </c>
    </row>
    <row r="3591" spans="1:10" ht="14.25" customHeight="1" x14ac:dyDescent="0.35">
      <c r="A3591" s="37" t="s">
        <v>12839</v>
      </c>
      <c r="B3591" s="37" t="s">
        <v>12839</v>
      </c>
      <c r="C3591" s="37" t="s">
        <v>18585</v>
      </c>
      <c r="D3591" s="37" t="s">
        <v>10634</v>
      </c>
      <c r="E3591" s="37" t="s">
        <v>9261</v>
      </c>
      <c r="F3591" s="37" t="s">
        <v>7088</v>
      </c>
    </row>
    <row r="3592" spans="1:10" ht="14.25" customHeight="1" x14ac:dyDescent="0.35">
      <c r="A3592" s="75" t="s">
        <v>15490</v>
      </c>
      <c r="B3592" s="38" t="s">
        <v>8918</v>
      </c>
      <c r="C3592" s="68">
        <v>45334</v>
      </c>
      <c r="D3592" s="75" t="s">
        <v>9819</v>
      </c>
      <c r="E3592" s="70" t="s">
        <v>13683</v>
      </c>
      <c r="F3592" s="71" t="s">
        <v>3205</v>
      </c>
    </row>
    <row r="3593" spans="1:10" ht="14.25" customHeight="1" x14ac:dyDescent="0.35">
      <c r="A3593" s="76"/>
      <c r="B3593" s="38" t="s">
        <v>1858</v>
      </c>
      <c r="C3593" s="69">
        <f>IF(C3592="","",IF(AND(MONTH(C3592)&gt;=1,MONTH(C3592)&lt;=3),1,IF(AND(MONTH(C3592)&gt;=4,MONTH(C3592)&lt;=6),2,IF(AND(MONTH(C3592)&gt;=7,MONTH(C3592)&lt;=9),3,4))))</f>
        <v>1</v>
      </c>
      <c r="D3593" s="76"/>
      <c r="E3593" s="70" t="s">
        <v>2509</v>
      </c>
      <c r="F3593" s="71" t="s">
        <v>11612</v>
      </c>
    </row>
    <row r="3594" spans="1:10" ht="14.25" customHeight="1" x14ac:dyDescent="0.35">
      <c r="A3594" s="76"/>
      <c r="B3594" s="38" t="s">
        <v>13526</v>
      </c>
      <c r="C3594" s="68">
        <v>45381</v>
      </c>
      <c r="D3594" s="76"/>
      <c r="E3594" s="70" t="s">
        <v>3198</v>
      </c>
      <c r="F3594" s="71" t="s">
        <v>11612</v>
      </c>
    </row>
    <row r="3595" spans="1:10" ht="14.25" customHeight="1" x14ac:dyDescent="0.35">
      <c r="A3595" s="76"/>
      <c r="B3595" s="38" t="s">
        <v>1858</v>
      </c>
      <c r="C3595" s="69">
        <f>IF(C3594="","",IF(AND(MONTH(C3594)&gt;=1,MONTH(C3594)&lt;=3),1,IF(AND(MONTH(C3594)&gt;=4,MONTH(C3594)&lt;=6),2,IF(AND(MONTH(C3594)&gt;=7,MONTH(C3594)&lt;=9),3,4))))</f>
        <v>1</v>
      </c>
      <c r="D3595" s="76"/>
      <c r="E3595" s="70" t="s">
        <v>13785</v>
      </c>
      <c r="F3595" s="71"/>
    </row>
    <row r="3597" spans="1:10" ht="14.25" customHeight="1" x14ac:dyDescent="0.35">
      <c r="A3597" s="43" t="s">
        <v>16424</v>
      </c>
      <c r="B3597" s="43" t="s">
        <v>16856</v>
      </c>
      <c r="C3597" s="43" t="s">
        <v>16326</v>
      </c>
      <c r="D3597" s="43" t="s">
        <v>15925</v>
      </c>
      <c r="E3597" s="43" t="s">
        <v>7248</v>
      </c>
      <c r="F3597" s="43" t="s">
        <v>15955</v>
      </c>
    </row>
    <row r="3598" spans="1:10" ht="14.25" customHeight="1" x14ac:dyDescent="0.35">
      <c r="A3598" s="39" t="s">
        <v>13565</v>
      </c>
      <c r="B3598" s="40" t="str">
        <f ca="1">IFERROR(INDEX(UNSPSCDes,MATCH(INDIRECT(ADDRESS(ROW(),COLUMN()-1,4)),UNSPSCCode,0)),IF(INDIRECT(ADDRESS(ROW(),COLUMN()-1,4))="30102409","Varillas de cobre",""))</f>
        <v>Varillas de cobre</v>
      </c>
      <c r="C3598" s="72" t="str">
        <f>IFERROR(VLOOKUP("UD",'Informacion '!P:Q,2,FALSE),"")</f>
        <v>Unidad</v>
      </c>
      <c r="D3598" s="39">
        <v>6</v>
      </c>
      <c r="E3598" s="42">
        <v>797.5</v>
      </c>
      <c r="F3598" s="41">
        <f ca="1">INDIRECT(ADDRESS(ROW(),COLUMN()-2,4))*INDIRECT(ADDRESS(ROW(),COLUMN()-1,4))</f>
        <v>4785</v>
      </c>
    </row>
    <row r="3599" spans="1:10" ht="14.25" customHeight="1" x14ac:dyDescent="0.35">
      <c r="A3599" s="39" t="s">
        <v>13565</v>
      </c>
      <c r="B3599" s="40" t="str">
        <f ca="1">IFERROR(INDEX(UNSPSCDes,MATCH(INDIRECT(ADDRESS(ROW(),COLUMN()-1,4)),UNSPSCCode,0)),IF(INDIRECT(ADDRESS(ROW(),COLUMN()-1,4))="30102409","Varillas de cobre",""))</f>
        <v>Varillas de cobre</v>
      </c>
      <c r="C3599" s="72" t="str">
        <f>IFERROR(VLOOKUP("UD",'Informacion '!P:Q,2,FALSE),"")</f>
        <v>Unidad</v>
      </c>
      <c r="D3599" s="39">
        <v>4</v>
      </c>
      <c r="E3599" s="42">
        <v>797.5</v>
      </c>
      <c r="F3599" s="41">
        <f ca="1">INDIRECT(ADDRESS(ROW(),COLUMN()-2,4))*INDIRECT(ADDRESS(ROW(),COLUMN()-1,4))</f>
        <v>3190</v>
      </c>
    </row>
    <row r="3600" spans="1:10" ht="14.25" customHeight="1" x14ac:dyDescent="0.35">
      <c r="E3600" s="44" t="s">
        <v>13122</v>
      </c>
      <c r="F3600" s="45">
        <f ca="1">SUM(Table187[MONTO TOTAL ESTIMADO])</f>
        <v>7975</v>
      </c>
      <c r="H3600" s="24" t="str">
        <f>C3591</f>
        <v>Bienes</v>
      </c>
      <c r="I3600" s="24" t="str">
        <f>E3591</f>
        <v>Sí</v>
      </c>
      <c r="J3600" s="24" t="str">
        <f>D3591</f>
        <v>Compras por debajo del Umbral</v>
      </c>
    </row>
    <row r="3602" spans="1:10" ht="34" customHeight="1" x14ac:dyDescent="0.35">
      <c r="A3602" s="36" t="s">
        <v>17105</v>
      </c>
      <c r="B3602" s="36" t="s">
        <v>167</v>
      </c>
      <c r="C3602" s="36" t="s">
        <v>12252</v>
      </c>
      <c r="D3602" s="36" t="s">
        <v>15021</v>
      </c>
      <c r="E3602" s="36" t="s">
        <v>11455</v>
      </c>
      <c r="F3602" s="36" t="s">
        <v>11595</v>
      </c>
    </row>
    <row r="3603" spans="1:10" ht="14.25" customHeight="1" x14ac:dyDescent="0.35">
      <c r="A3603" s="37" t="s">
        <v>5047</v>
      </c>
      <c r="B3603" s="37" t="s">
        <v>5047</v>
      </c>
      <c r="C3603" s="37" t="s">
        <v>18585</v>
      </c>
      <c r="D3603" s="37" t="s">
        <v>18256</v>
      </c>
      <c r="E3603" s="37" t="s">
        <v>18646</v>
      </c>
      <c r="F3603" s="37" t="s">
        <v>7088</v>
      </c>
    </row>
    <row r="3604" spans="1:10" ht="14.25" customHeight="1" x14ac:dyDescent="0.35">
      <c r="A3604" s="75" t="s">
        <v>15490</v>
      </c>
      <c r="B3604" s="38" t="s">
        <v>8918</v>
      </c>
      <c r="C3604" s="68">
        <v>45334</v>
      </c>
      <c r="D3604" s="75" t="s">
        <v>9819</v>
      </c>
      <c r="E3604" s="70" t="s">
        <v>13683</v>
      </c>
      <c r="F3604" s="71" t="s">
        <v>3205</v>
      </c>
    </row>
    <row r="3605" spans="1:10" ht="14.25" customHeight="1" x14ac:dyDescent="0.35">
      <c r="A3605" s="76"/>
      <c r="B3605" s="38" t="s">
        <v>1858</v>
      </c>
      <c r="C3605" s="69">
        <f>IF(C3604="","",IF(AND(MONTH(C3604)&gt;=1,MONTH(C3604)&lt;=3),1,IF(AND(MONTH(C3604)&gt;=4,MONTH(C3604)&lt;=6),2,IF(AND(MONTH(C3604)&gt;=7,MONTH(C3604)&lt;=9),3,4))))</f>
        <v>1</v>
      </c>
      <c r="D3605" s="76"/>
      <c r="E3605" s="70" t="s">
        <v>2509</v>
      </c>
      <c r="F3605" s="71" t="s">
        <v>11612</v>
      </c>
    </row>
    <row r="3606" spans="1:10" ht="14.25" customHeight="1" x14ac:dyDescent="0.35">
      <c r="A3606" s="76"/>
      <c r="B3606" s="38" t="s">
        <v>13526</v>
      </c>
      <c r="C3606" s="68">
        <v>45381</v>
      </c>
      <c r="D3606" s="76"/>
      <c r="E3606" s="70" t="s">
        <v>3198</v>
      </c>
      <c r="F3606" s="71" t="s">
        <v>11612</v>
      </c>
    </row>
    <row r="3607" spans="1:10" ht="14.25" customHeight="1" x14ac:dyDescent="0.35">
      <c r="A3607" s="76"/>
      <c r="B3607" s="38" t="s">
        <v>1858</v>
      </c>
      <c r="C3607" s="69">
        <f>IF(C3606="","",IF(AND(MONTH(C3606)&gt;=1,MONTH(C3606)&lt;=3),1,IF(AND(MONTH(C3606)&gt;=4,MONTH(C3606)&lt;=6),2,IF(AND(MONTH(C3606)&gt;=7,MONTH(C3606)&lt;=9),3,4))))</f>
        <v>1</v>
      </c>
      <c r="D3607" s="76"/>
      <c r="E3607" s="70" t="s">
        <v>13785</v>
      </c>
      <c r="F3607" s="71"/>
    </row>
    <row r="3609" spans="1:10" ht="14.25" customHeight="1" x14ac:dyDescent="0.35">
      <c r="A3609" s="43" t="s">
        <v>16424</v>
      </c>
      <c r="B3609" s="43" t="s">
        <v>16856</v>
      </c>
      <c r="C3609" s="43" t="s">
        <v>16326</v>
      </c>
      <c r="D3609" s="43" t="s">
        <v>15925</v>
      </c>
      <c r="E3609" s="43" t="s">
        <v>7248</v>
      </c>
      <c r="F3609" s="43" t="s">
        <v>15955</v>
      </c>
    </row>
    <row r="3610" spans="1:10" ht="14.25" customHeight="1" x14ac:dyDescent="0.35">
      <c r="A3610" s="39" t="s">
        <v>13565</v>
      </c>
      <c r="B3610" s="40" t="str">
        <f ca="1">IFERROR(INDEX(UNSPSCDes,MATCH(INDIRECT(ADDRESS(ROW(),COLUMN()-1,4)),UNSPSCCode,0)),IF(INDIRECT(ADDRESS(ROW(),COLUMN()-1,4))="30102409","Varillas de cobre",""))</f>
        <v>Varillas de cobre</v>
      </c>
      <c r="C3610" s="72" t="str">
        <f>IFERROR(VLOOKUP("UD",'Informacion '!P:Q,2,FALSE),"")</f>
        <v>Unidad</v>
      </c>
      <c r="D3610" s="39">
        <v>645</v>
      </c>
      <c r="E3610" s="42">
        <v>585.27</v>
      </c>
      <c r="F3610" s="41">
        <f ca="1">INDIRECT(ADDRESS(ROW(),COLUMN()-2,4))*INDIRECT(ADDRESS(ROW(),COLUMN()-1,4))</f>
        <v>377499.14999999997</v>
      </c>
    </row>
    <row r="3611" spans="1:10" ht="14.25" customHeight="1" x14ac:dyDescent="0.35">
      <c r="E3611" s="44" t="s">
        <v>13122</v>
      </c>
      <c r="F3611" s="45">
        <f ca="1">SUM(Table188[MONTO TOTAL ESTIMADO])</f>
        <v>377499.14999999997</v>
      </c>
      <c r="H3611" s="24" t="str">
        <f>C3603</f>
        <v>Bienes</v>
      </c>
      <c r="I3611" s="24" t="str">
        <f>E3603</f>
        <v>No</v>
      </c>
      <c r="J3611" s="24" t="str">
        <f>D3603</f>
        <v>Compras Menores</v>
      </c>
    </row>
    <row r="3613" spans="1:10" ht="34" customHeight="1" x14ac:dyDescent="0.35">
      <c r="A3613" s="36" t="s">
        <v>17105</v>
      </c>
      <c r="B3613" s="36" t="s">
        <v>167</v>
      </c>
      <c r="C3613" s="36" t="s">
        <v>12252</v>
      </c>
      <c r="D3613" s="36" t="s">
        <v>15021</v>
      </c>
      <c r="E3613" s="36" t="s">
        <v>11455</v>
      </c>
      <c r="F3613" s="36" t="s">
        <v>11595</v>
      </c>
    </row>
    <row r="3614" spans="1:10" ht="14.25" customHeight="1" x14ac:dyDescent="0.35">
      <c r="A3614" s="37" t="s">
        <v>3388</v>
      </c>
      <c r="B3614" s="37" t="s">
        <v>3388</v>
      </c>
      <c r="C3614" s="37" t="s">
        <v>18585</v>
      </c>
      <c r="D3614" s="37" t="s">
        <v>18256</v>
      </c>
      <c r="E3614" s="37" t="s">
        <v>18646</v>
      </c>
      <c r="F3614" s="37" t="s">
        <v>7088</v>
      </c>
    </row>
    <row r="3615" spans="1:10" ht="14.25" customHeight="1" x14ac:dyDescent="0.35">
      <c r="A3615" s="75" t="s">
        <v>15490</v>
      </c>
      <c r="B3615" s="38" t="s">
        <v>8918</v>
      </c>
      <c r="C3615" s="68">
        <v>45334</v>
      </c>
      <c r="D3615" s="75" t="s">
        <v>9819</v>
      </c>
      <c r="E3615" s="70" t="s">
        <v>13683</v>
      </c>
      <c r="F3615" s="71" t="s">
        <v>3205</v>
      </c>
    </row>
    <row r="3616" spans="1:10" ht="14.25" customHeight="1" x14ac:dyDescent="0.35">
      <c r="A3616" s="76"/>
      <c r="B3616" s="38" t="s">
        <v>1858</v>
      </c>
      <c r="C3616" s="69">
        <f>IF(C3615="","",IF(AND(MONTH(C3615)&gt;=1,MONTH(C3615)&lt;=3),1,IF(AND(MONTH(C3615)&gt;=4,MONTH(C3615)&lt;=6),2,IF(AND(MONTH(C3615)&gt;=7,MONTH(C3615)&lt;=9),3,4))))</f>
        <v>1</v>
      </c>
      <c r="D3616" s="76"/>
      <c r="E3616" s="70" t="s">
        <v>2509</v>
      </c>
      <c r="F3616" s="71" t="s">
        <v>11612</v>
      </c>
    </row>
    <row r="3617" spans="1:10" ht="14.25" customHeight="1" x14ac:dyDescent="0.35">
      <c r="A3617" s="76"/>
      <c r="B3617" s="38" t="s">
        <v>13526</v>
      </c>
      <c r="C3617" s="68">
        <v>45381</v>
      </c>
      <c r="D3617" s="76"/>
      <c r="E3617" s="70" t="s">
        <v>3198</v>
      </c>
      <c r="F3617" s="71" t="s">
        <v>11612</v>
      </c>
    </row>
    <row r="3618" spans="1:10" ht="14.25" customHeight="1" x14ac:dyDescent="0.35">
      <c r="A3618" s="76"/>
      <c r="B3618" s="38" t="s">
        <v>1858</v>
      </c>
      <c r="C3618" s="69">
        <f>IF(C3617="","",IF(AND(MONTH(C3617)&gt;=1,MONTH(C3617)&lt;=3),1,IF(AND(MONTH(C3617)&gt;=4,MONTH(C3617)&lt;=6),2,IF(AND(MONTH(C3617)&gt;=7,MONTH(C3617)&lt;=9),3,4))))</f>
        <v>1</v>
      </c>
      <c r="D3618" s="76"/>
      <c r="E3618" s="70" t="s">
        <v>13785</v>
      </c>
      <c r="F3618" s="71"/>
    </row>
    <row r="3620" spans="1:10" ht="14.25" customHeight="1" x14ac:dyDescent="0.35">
      <c r="A3620" s="43" t="s">
        <v>16424</v>
      </c>
      <c r="B3620" s="43" t="s">
        <v>16856</v>
      </c>
      <c r="C3620" s="43" t="s">
        <v>16326</v>
      </c>
      <c r="D3620" s="43" t="s">
        <v>15925</v>
      </c>
      <c r="E3620" s="43" t="s">
        <v>7248</v>
      </c>
      <c r="F3620" s="43" t="s">
        <v>15955</v>
      </c>
    </row>
    <row r="3621" spans="1:10" ht="14.25" customHeight="1" x14ac:dyDescent="0.35">
      <c r="A3621" s="39" t="s">
        <v>7331</v>
      </c>
      <c r="B3621" s="40" t="str">
        <f ca="1">IFERROR(INDEX(UNSPSCDes,MATCH(INDIRECT(ADDRESS(ROW(),COLUMN()-1,4)),UNSPSCCode,0)),IF(INDIRECT(ADDRESS(ROW(),COLUMN()-1,4))="30102901","Postes de cemento o concreto",""))</f>
        <v>Postes de cemento o concreto</v>
      </c>
      <c r="C3621" s="72" t="str">
        <f>IFERROR(VLOOKUP("UD",'Informacion '!P:Q,2,FALSE),"")</f>
        <v>Unidad</v>
      </c>
      <c r="D3621" s="39">
        <v>1</v>
      </c>
      <c r="E3621" s="42">
        <v>46850</v>
      </c>
      <c r="F3621" s="41">
        <f t="shared" ref="F3621:F3626" ca="1" si="136">INDIRECT(ADDRESS(ROW(),COLUMN()-2,4))*INDIRECT(ADDRESS(ROW(),COLUMN()-1,4))</f>
        <v>46850</v>
      </c>
    </row>
    <row r="3622" spans="1:10" ht="14.25" customHeight="1" x14ac:dyDescent="0.35">
      <c r="A3622" s="39" t="s">
        <v>7331</v>
      </c>
      <c r="B3622" s="40" t="str">
        <f ca="1">IFERROR(INDEX(UNSPSCDes,MATCH(INDIRECT(ADDRESS(ROW(),COLUMN()-1,4)),UNSPSCCode,0)),IF(INDIRECT(ADDRESS(ROW(),COLUMN()-1,4))="30102901","Postes de cemento o concreto",""))</f>
        <v>Postes de cemento o concreto</v>
      </c>
      <c r="C3622" s="72" t="str">
        <f>IFERROR(VLOOKUP("UD",'Informacion '!P:Q,2,FALSE),"")</f>
        <v>Unidad</v>
      </c>
      <c r="D3622" s="39">
        <v>1</v>
      </c>
      <c r="E3622" s="42">
        <v>31650</v>
      </c>
      <c r="F3622" s="41">
        <f t="shared" ca="1" si="136"/>
        <v>31650</v>
      </c>
    </row>
    <row r="3623" spans="1:10" ht="14.25" customHeight="1" x14ac:dyDescent="0.35">
      <c r="A3623" s="39" t="s">
        <v>7822</v>
      </c>
      <c r="B3623" s="40" t="str">
        <f ca="1">IFERROR(INDEX(UNSPSCDes,MATCH(INDIRECT(ADDRESS(ROW(),COLUMN()-1,4)),UNSPSCCode,0)),IF(INDIRECT(ADDRESS(ROW(),COLUMN()-1,4))="30102904","Postes de madera",""))</f>
        <v>Postes de madera</v>
      </c>
      <c r="C3623" s="72" t="str">
        <f>IFERROR(VLOOKUP("UD",'Informacion '!P:Q,2,FALSE),"")</f>
        <v>Unidad</v>
      </c>
      <c r="D3623" s="39">
        <v>9</v>
      </c>
      <c r="E3623" s="42">
        <v>19970.22</v>
      </c>
      <c r="F3623" s="41">
        <f t="shared" ca="1" si="136"/>
        <v>179731.98</v>
      </c>
    </row>
    <row r="3624" spans="1:10" ht="14.25" customHeight="1" x14ac:dyDescent="0.35">
      <c r="A3624" s="39" t="s">
        <v>7822</v>
      </c>
      <c r="B3624" s="40" t="str">
        <f ca="1">IFERROR(INDEX(UNSPSCDes,MATCH(INDIRECT(ADDRESS(ROW(),COLUMN()-1,4)),UNSPSCCode,0)),IF(INDIRECT(ADDRESS(ROW(),COLUMN()-1,4))="30102904","Postes de madera",""))</f>
        <v>Postes de madera</v>
      </c>
      <c r="C3624" s="72" t="str">
        <f>IFERROR(VLOOKUP("UD",'Informacion '!P:Q,2,FALSE),"")</f>
        <v>Unidad</v>
      </c>
      <c r="D3624" s="39">
        <v>1</v>
      </c>
      <c r="E3624" s="42">
        <v>26770.28</v>
      </c>
      <c r="F3624" s="41">
        <f t="shared" ca="1" si="136"/>
        <v>26770.28</v>
      </c>
    </row>
    <row r="3625" spans="1:10" ht="14.25" customHeight="1" x14ac:dyDescent="0.35">
      <c r="A3625" s="39" t="s">
        <v>7822</v>
      </c>
      <c r="B3625" s="40" t="str">
        <f ca="1">IFERROR(INDEX(UNSPSCDes,MATCH(INDIRECT(ADDRESS(ROW(),COLUMN()-1,4)),UNSPSCCode,0)),IF(INDIRECT(ADDRESS(ROW(),COLUMN()-1,4))="30102904","Postes de madera",""))</f>
        <v>Postes de madera</v>
      </c>
      <c r="C3625" s="72" t="str">
        <f>IFERROR(VLOOKUP("UD",'Informacion '!P:Q,2,FALSE),"")</f>
        <v>Unidad</v>
      </c>
      <c r="D3625" s="39">
        <v>6</v>
      </c>
      <c r="E3625" s="42">
        <v>19970.22</v>
      </c>
      <c r="F3625" s="41">
        <f t="shared" ca="1" si="136"/>
        <v>119821.32</v>
      </c>
    </row>
    <row r="3626" spans="1:10" ht="14.25" customHeight="1" x14ac:dyDescent="0.35">
      <c r="A3626" s="39" t="s">
        <v>7822</v>
      </c>
      <c r="B3626" s="40" t="str">
        <f ca="1">IFERROR(INDEX(UNSPSCDes,MATCH(INDIRECT(ADDRESS(ROW(),COLUMN()-1,4)),UNSPSCCode,0)),IF(INDIRECT(ADDRESS(ROW(),COLUMN()-1,4))="30102904","Postes de madera",""))</f>
        <v>Postes de madera</v>
      </c>
      <c r="C3626" s="72" t="str">
        <f>IFERROR(VLOOKUP("UD",'Informacion '!P:Q,2,FALSE),"")</f>
        <v>Unidad</v>
      </c>
      <c r="D3626" s="39">
        <v>1</v>
      </c>
      <c r="E3626" s="42">
        <v>26770.28</v>
      </c>
      <c r="F3626" s="41">
        <f t="shared" ca="1" si="136"/>
        <v>26770.28</v>
      </c>
    </row>
    <row r="3627" spans="1:10" ht="14.25" customHeight="1" x14ac:dyDescent="0.35">
      <c r="E3627" s="44" t="s">
        <v>13122</v>
      </c>
      <c r="F3627" s="45">
        <f ca="1">SUM(Table189[MONTO TOTAL ESTIMADO])</f>
        <v>431593.86</v>
      </c>
      <c r="H3627" s="24" t="str">
        <f>C3614</f>
        <v>Bienes</v>
      </c>
      <c r="I3627" s="24" t="str">
        <f>E3614</f>
        <v>No</v>
      </c>
      <c r="J3627" s="24" t="str">
        <f>D3614</f>
        <v>Compras Menores</v>
      </c>
    </row>
    <row r="3629" spans="1:10" ht="34" customHeight="1" x14ac:dyDescent="0.35">
      <c r="A3629" s="36" t="s">
        <v>17105</v>
      </c>
      <c r="B3629" s="36" t="s">
        <v>167</v>
      </c>
      <c r="C3629" s="36" t="s">
        <v>12252</v>
      </c>
      <c r="D3629" s="36" t="s">
        <v>15021</v>
      </c>
      <c r="E3629" s="36" t="s">
        <v>11455</v>
      </c>
      <c r="F3629" s="36" t="s">
        <v>11595</v>
      </c>
    </row>
    <row r="3630" spans="1:10" ht="14.25" customHeight="1" x14ac:dyDescent="0.35">
      <c r="A3630" s="37" t="s">
        <v>18211</v>
      </c>
      <c r="B3630" s="37" t="s">
        <v>18211</v>
      </c>
      <c r="C3630" s="37" t="s">
        <v>18585</v>
      </c>
      <c r="D3630" s="37" t="s">
        <v>10634</v>
      </c>
      <c r="E3630" s="37" t="s">
        <v>9261</v>
      </c>
      <c r="F3630" s="37" t="s">
        <v>7088</v>
      </c>
    </row>
    <row r="3631" spans="1:10" ht="14.25" customHeight="1" x14ac:dyDescent="0.35">
      <c r="A3631" s="75" t="s">
        <v>15490</v>
      </c>
      <c r="B3631" s="38" t="s">
        <v>8918</v>
      </c>
      <c r="C3631" s="68">
        <v>45334</v>
      </c>
      <c r="D3631" s="75" t="s">
        <v>9819</v>
      </c>
      <c r="E3631" s="70" t="s">
        <v>13683</v>
      </c>
      <c r="F3631" s="71" t="s">
        <v>3205</v>
      </c>
    </row>
    <row r="3632" spans="1:10" ht="14.25" customHeight="1" x14ac:dyDescent="0.35">
      <c r="A3632" s="76"/>
      <c r="B3632" s="38" t="s">
        <v>1858</v>
      </c>
      <c r="C3632" s="69">
        <f>IF(C3631="","",IF(AND(MONTH(C3631)&gt;=1,MONTH(C3631)&lt;=3),1,IF(AND(MONTH(C3631)&gt;=4,MONTH(C3631)&lt;=6),2,IF(AND(MONTH(C3631)&gt;=7,MONTH(C3631)&lt;=9),3,4))))</f>
        <v>1</v>
      </c>
      <c r="D3632" s="76"/>
      <c r="E3632" s="70" t="s">
        <v>2509</v>
      </c>
      <c r="F3632" s="71" t="s">
        <v>11612</v>
      </c>
    </row>
    <row r="3633" spans="1:10" ht="14.25" customHeight="1" x14ac:dyDescent="0.35">
      <c r="A3633" s="76"/>
      <c r="B3633" s="38" t="s">
        <v>13526</v>
      </c>
      <c r="C3633" s="68">
        <v>45369</v>
      </c>
      <c r="D3633" s="76"/>
      <c r="E3633" s="70" t="s">
        <v>3198</v>
      </c>
      <c r="F3633" s="71" t="s">
        <v>11612</v>
      </c>
    </row>
    <row r="3634" spans="1:10" ht="14.25" customHeight="1" x14ac:dyDescent="0.35">
      <c r="A3634" s="76"/>
      <c r="B3634" s="38" t="s">
        <v>1858</v>
      </c>
      <c r="C3634" s="69">
        <f>IF(C3633="","",IF(AND(MONTH(C3633)&gt;=1,MONTH(C3633)&lt;=3),1,IF(AND(MONTH(C3633)&gt;=4,MONTH(C3633)&lt;=6),2,IF(AND(MONTH(C3633)&gt;=7,MONTH(C3633)&lt;=9),3,4))))</f>
        <v>1</v>
      </c>
      <c r="D3634" s="76"/>
      <c r="E3634" s="70" t="s">
        <v>13785</v>
      </c>
      <c r="F3634" s="71"/>
    </row>
    <row r="3636" spans="1:10" ht="14.25" customHeight="1" x14ac:dyDescent="0.35">
      <c r="A3636" s="43" t="s">
        <v>16424</v>
      </c>
      <c r="B3636" s="43" t="s">
        <v>16856</v>
      </c>
      <c r="C3636" s="43" t="s">
        <v>16326</v>
      </c>
      <c r="D3636" s="43" t="s">
        <v>15925</v>
      </c>
      <c r="E3636" s="43" t="s">
        <v>7248</v>
      </c>
      <c r="F3636" s="43" t="s">
        <v>15955</v>
      </c>
    </row>
    <row r="3637" spans="1:10" ht="14.25" customHeight="1" x14ac:dyDescent="0.35">
      <c r="A3637" s="39" t="s">
        <v>3037</v>
      </c>
      <c r="B3637" s="40" t="str">
        <f ca="1">IFERROR(INDEX(UNSPSCDes,MATCH(INDIRECT(ADDRESS(ROW(),COLUMN()-1,4)),UNSPSCCode,0)),IF(INDIRECT(ADDRESS(ROW(),COLUMN()-1,4))="30103001","Sistema de ejes de acero",""))</f>
        <v>Sistema de ejes de acero</v>
      </c>
      <c r="C3637" s="72" t="str">
        <f>IFERROR(VLOOKUP("UD",'Informacion '!P:Q,2,FALSE),"")</f>
        <v>Unidad</v>
      </c>
      <c r="D3637" s="39">
        <v>1</v>
      </c>
      <c r="E3637" s="42">
        <v>1953.77</v>
      </c>
      <c r="F3637" s="41">
        <f ca="1">INDIRECT(ADDRESS(ROW(),COLUMN()-2,4))*INDIRECT(ADDRESS(ROW(),COLUMN()-1,4))</f>
        <v>1953.77</v>
      </c>
    </row>
    <row r="3638" spans="1:10" ht="14.25" customHeight="1" x14ac:dyDescent="0.35">
      <c r="A3638" s="39" t="s">
        <v>3037</v>
      </c>
      <c r="B3638" s="40" t="str">
        <f ca="1">IFERROR(INDEX(UNSPSCDes,MATCH(INDIRECT(ADDRESS(ROW(),COLUMN()-1,4)),UNSPSCCode,0)),IF(INDIRECT(ADDRESS(ROW(),COLUMN()-1,4))="30103001","Sistema de ejes de acero",""))</f>
        <v>Sistema de ejes de acero</v>
      </c>
      <c r="C3638" s="72" t="str">
        <f>IFERROR(VLOOKUP("UD",'Informacion '!P:Q,2,FALSE),"")</f>
        <v>Unidad</v>
      </c>
      <c r="D3638" s="39">
        <v>4</v>
      </c>
      <c r="E3638" s="42">
        <v>2310</v>
      </c>
      <c r="F3638" s="41">
        <f ca="1">INDIRECT(ADDRESS(ROW(),COLUMN()-2,4))*INDIRECT(ADDRESS(ROW(),COLUMN()-1,4))</f>
        <v>9240</v>
      </c>
    </row>
    <row r="3639" spans="1:10" ht="14.25" customHeight="1" x14ac:dyDescent="0.35">
      <c r="E3639" s="44" t="s">
        <v>13122</v>
      </c>
      <c r="F3639" s="45">
        <f ca="1">SUM(Table190[MONTO TOTAL ESTIMADO])</f>
        <v>11193.77</v>
      </c>
      <c r="H3639" s="24" t="str">
        <f>C3630</f>
        <v>Bienes</v>
      </c>
      <c r="I3639" s="24" t="str">
        <f>E3630</f>
        <v>Sí</v>
      </c>
      <c r="J3639" s="24" t="str">
        <f>D3630</f>
        <v>Compras por debajo del Umbral</v>
      </c>
    </row>
    <row r="3641" spans="1:10" ht="34" customHeight="1" x14ac:dyDescent="0.35">
      <c r="A3641" s="36" t="s">
        <v>17105</v>
      </c>
      <c r="B3641" s="36" t="s">
        <v>167</v>
      </c>
      <c r="C3641" s="36" t="s">
        <v>12252</v>
      </c>
      <c r="D3641" s="36" t="s">
        <v>15021</v>
      </c>
      <c r="E3641" s="36" t="s">
        <v>11455</v>
      </c>
      <c r="F3641" s="36" t="s">
        <v>11595</v>
      </c>
    </row>
    <row r="3642" spans="1:10" ht="14.25" customHeight="1" x14ac:dyDescent="0.35">
      <c r="A3642" s="37" t="s">
        <v>13899</v>
      </c>
      <c r="B3642" s="37" t="s">
        <v>13899</v>
      </c>
      <c r="C3642" s="37" t="s">
        <v>18585</v>
      </c>
      <c r="D3642" s="37" t="s">
        <v>18256</v>
      </c>
      <c r="E3642" s="37" t="s">
        <v>9261</v>
      </c>
      <c r="F3642" s="37" t="s">
        <v>7088</v>
      </c>
    </row>
    <row r="3643" spans="1:10" ht="14.25" customHeight="1" x14ac:dyDescent="0.35">
      <c r="A3643" s="75" t="s">
        <v>15490</v>
      </c>
      <c r="B3643" s="38" t="s">
        <v>8918</v>
      </c>
      <c r="C3643" s="68">
        <v>45334</v>
      </c>
      <c r="D3643" s="75" t="s">
        <v>9819</v>
      </c>
      <c r="E3643" s="70" t="s">
        <v>13683</v>
      </c>
      <c r="F3643" s="71" t="s">
        <v>3205</v>
      </c>
    </row>
    <row r="3644" spans="1:10" ht="14.25" customHeight="1" x14ac:dyDescent="0.35">
      <c r="A3644" s="76"/>
      <c r="B3644" s="38" t="s">
        <v>1858</v>
      </c>
      <c r="C3644" s="69">
        <f>IF(C3643="","",IF(AND(MONTH(C3643)&gt;=1,MONTH(C3643)&lt;=3),1,IF(AND(MONTH(C3643)&gt;=4,MONTH(C3643)&lt;=6),2,IF(AND(MONTH(C3643)&gt;=7,MONTH(C3643)&lt;=9),3,4))))</f>
        <v>1</v>
      </c>
      <c r="D3644" s="76"/>
      <c r="E3644" s="70" t="s">
        <v>2509</v>
      </c>
      <c r="F3644" s="71" t="s">
        <v>11612</v>
      </c>
    </row>
    <row r="3645" spans="1:10" ht="14.25" customHeight="1" x14ac:dyDescent="0.35">
      <c r="A3645" s="76"/>
      <c r="B3645" s="38" t="s">
        <v>13526</v>
      </c>
      <c r="C3645" s="68">
        <v>45376</v>
      </c>
      <c r="D3645" s="76"/>
      <c r="E3645" s="70" t="s">
        <v>3198</v>
      </c>
      <c r="F3645" s="71" t="s">
        <v>11612</v>
      </c>
    </row>
    <row r="3646" spans="1:10" ht="14.25" customHeight="1" x14ac:dyDescent="0.35">
      <c r="A3646" s="76"/>
      <c r="B3646" s="38" t="s">
        <v>1858</v>
      </c>
      <c r="C3646" s="69">
        <f>IF(C3645="","",IF(AND(MONTH(C3645)&gt;=1,MONTH(C3645)&lt;=3),1,IF(AND(MONTH(C3645)&gt;=4,MONTH(C3645)&lt;=6),2,IF(AND(MONTH(C3645)&gt;=7,MONTH(C3645)&lt;=9),3,4))))</f>
        <v>1</v>
      </c>
      <c r="D3646" s="76"/>
      <c r="E3646" s="70" t="s">
        <v>13785</v>
      </c>
      <c r="F3646" s="71"/>
    </row>
    <row r="3648" spans="1:10" ht="14.25" customHeight="1" x14ac:dyDescent="0.35">
      <c r="A3648" s="43" t="s">
        <v>16424</v>
      </c>
      <c r="B3648" s="43" t="s">
        <v>16856</v>
      </c>
      <c r="C3648" s="43" t="s">
        <v>16326</v>
      </c>
      <c r="D3648" s="43" t="s">
        <v>15925</v>
      </c>
      <c r="E3648" s="43" t="s">
        <v>7248</v>
      </c>
      <c r="F3648" s="43" t="s">
        <v>15955</v>
      </c>
    </row>
    <row r="3649" spans="1:10" ht="14.25" customHeight="1" x14ac:dyDescent="0.35">
      <c r="A3649" s="39" t="s">
        <v>3786</v>
      </c>
      <c r="B3649" s="40" t="str">
        <f ca="1">IFERROR(INDEX(UNSPSCDes,MATCH(INDIRECT(ADDRESS(ROW(),COLUMN()-1,4)),UNSPSCCode,0)),IF(INDIRECT(ADDRESS(ROW(),COLUMN()-1,4))="53131605","Kits de tocador",""))</f>
        <v>Kits de tocador</v>
      </c>
      <c r="C3649" s="72" t="str">
        <f>IFERROR(VLOOKUP("UD",'Informacion '!P:Q,2,FALSE),"")</f>
        <v>Unidad</v>
      </c>
      <c r="D3649" s="39">
        <v>1000</v>
      </c>
      <c r="E3649" s="42">
        <v>1000</v>
      </c>
      <c r="F3649" s="41">
        <f ca="1">INDIRECT(ADDRESS(ROW(),COLUMN()-2,4))*INDIRECT(ADDRESS(ROW(),COLUMN()-1,4))</f>
        <v>1000000</v>
      </c>
    </row>
    <row r="3650" spans="1:10" ht="14.25" customHeight="1" x14ac:dyDescent="0.35">
      <c r="E3650" s="44" t="s">
        <v>13122</v>
      </c>
      <c r="F3650" s="45">
        <f ca="1">SUM(Table191[MONTO TOTAL ESTIMADO])</f>
        <v>1000000</v>
      </c>
      <c r="H3650" s="24" t="str">
        <f>C3642</f>
        <v>Bienes</v>
      </c>
      <c r="I3650" s="24" t="str">
        <f>E3642</f>
        <v>Sí</v>
      </c>
      <c r="J3650" s="24" t="str">
        <f>D3642</f>
        <v>Compras Menores</v>
      </c>
    </row>
    <row r="3652" spans="1:10" ht="34" customHeight="1" x14ac:dyDescent="0.35">
      <c r="A3652" s="36" t="s">
        <v>17105</v>
      </c>
      <c r="B3652" s="36" t="s">
        <v>167</v>
      </c>
      <c r="C3652" s="36" t="s">
        <v>12252</v>
      </c>
      <c r="D3652" s="36" t="s">
        <v>15021</v>
      </c>
      <c r="E3652" s="36" t="s">
        <v>11455</v>
      </c>
      <c r="F3652" s="36" t="s">
        <v>11595</v>
      </c>
    </row>
    <row r="3653" spans="1:10" ht="14.25" customHeight="1" x14ac:dyDescent="0.35">
      <c r="A3653" s="37" t="s">
        <v>19291</v>
      </c>
      <c r="B3653" s="37" t="s">
        <v>19291</v>
      </c>
      <c r="C3653" s="37" t="s">
        <v>18585</v>
      </c>
      <c r="D3653" s="37" t="s">
        <v>10634</v>
      </c>
      <c r="E3653" s="37" t="s">
        <v>9261</v>
      </c>
      <c r="F3653" s="37" t="s">
        <v>7088</v>
      </c>
    </row>
    <row r="3654" spans="1:10" ht="14.25" customHeight="1" x14ac:dyDescent="0.35">
      <c r="A3654" s="75" t="s">
        <v>15490</v>
      </c>
      <c r="B3654" s="38" t="s">
        <v>8918</v>
      </c>
      <c r="C3654" s="68">
        <v>45334</v>
      </c>
      <c r="D3654" s="75" t="s">
        <v>9819</v>
      </c>
      <c r="E3654" s="70" t="s">
        <v>13683</v>
      </c>
      <c r="F3654" s="71" t="s">
        <v>3205</v>
      </c>
    </row>
    <row r="3655" spans="1:10" ht="14.25" customHeight="1" x14ac:dyDescent="0.35">
      <c r="A3655" s="76"/>
      <c r="B3655" s="38" t="s">
        <v>1858</v>
      </c>
      <c r="C3655" s="69">
        <f>IF(C3654="","",IF(AND(MONTH(C3654)&gt;=1,MONTH(C3654)&lt;=3),1,IF(AND(MONTH(C3654)&gt;=4,MONTH(C3654)&lt;=6),2,IF(AND(MONTH(C3654)&gt;=7,MONTH(C3654)&lt;=9),3,4))))</f>
        <v>1</v>
      </c>
      <c r="D3655" s="76"/>
      <c r="E3655" s="70" t="s">
        <v>2509</v>
      </c>
      <c r="F3655" s="71" t="s">
        <v>11612</v>
      </c>
    </row>
    <row r="3656" spans="1:10" ht="14.25" customHeight="1" x14ac:dyDescent="0.35">
      <c r="A3656" s="76"/>
      <c r="B3656" s="38" t="s">
        <v>13526</v>
      </c>
      <c r="C3656" s="68">
        <v>45376</v>
      </c>
      <c r="D3656" s="76"/>
      <c r="E3656" s="70" t="s">
        <v>3198</v>
      </c>
      <c r="F3656" s="71" t="s">
        <v>11612</v>
      </c>
    </row>
    <row r="3657" spans="1:10" ht="14.25" customHeight="1" x14ac:dyDescent="0.35">
      <c r="A3657" s="76"/>
      <c r="B3657" s="38" t="s">
        <v>1858</v>
      </c>
      <c r="C3657" s="69">
        <f>IF(C3656="","",IF(AND(MONTH(C3656)&gt;=1,MONTH(C3656)&lt;=3),1,IF(AND(MONTH(C3656)&gt;=4,MONTH(C3656)&lt;=6),2,IF(AND(MONTH(C3656)&gt;=7,MONTH(C3656)&lt;=9),3,4))))</f>
        <v>1</v>
      </c>
      <c r="D3657" s="76"/>
      <c r="E3657" s="70" t="s">
        <v>13785</v>
      </c>
      <c r="F3657" s="71"/>
    </row>
    <row r="3659" spans="1:10" ht="14.25" customHeight="1" x14ac:dyDescent="0.35">
      <c r="A3659" s="43" t="s">
        <v>16424</v>
      </c>
      <c r="B3659" s="43" t="s">
        <v>16856</v>
      </c>
      <c r="C3659" s="43" t="s">
        <v>16326</v>
      </c>
      <c r="D3659" s="43" t="s">
        <v>15925</v>
      </c>
      <c r="E3659" s="43" t="s">
        <v>7248</v>
      </c>
      <c r="F3659" s="43" t="s">
        <v>15955</v>
      </c>
    </row>
    <row r="3660" spans="1:10" ht="14.25" customHeight="1" x14ac:dyDescent="0.35">
      <c r="A3660" s="39" t="s">
        <v>1328</v>
      </c>
      <c r="B3660" s="40" t="str">
        <f ca="1">IFERROR(INDEX(UNSPSCDes,MATCH(INDIRECT(ADDRESS(ROW(),COLUMN()-1,4)),UNSPSCCode,0)),IF(INDIRECT(ADDRESS(ROW(),COLUMN()-1,4))="53131608","Jabones",""))</f>
        <v>Jabones</v>
      </c>
      <c r="C3660" s="72" t="str">
        <f>IFERROR(VLOOKUP("UD",'Informacion '!P:Q,2,FALSE),"")</f>
        <v>Unidad</v>
      </c>
      <c r="D3660" s="39">
        <v>20</v>
      </c>
      <c r="E3660" s="42">
        <v>1534</v>
      </c>
      <c r="F3660" s="41">
        <f ca="1">INDIRECT(ADDRESS(ROW(),COLUMN()-2,4))*INDIRECT(ADDRESS(ROW(),COLUMN()-1,4))</f>
        <v>30680</v>
      </c>
    </row>
    <row r="3661" spans="1:10" ht="14.25" customHeight="1" x14ac:dyDescent="0.35">
      <c r="A3661" s="39" t="s">
        <v>1328</v>
      </c>
      <c r="B3661" s="40" t="str">
        <f ca="1">IFERROR(INDEX(UNSPSCDes,MATCH(INDIRECT(ADDRESS(ROW(),COLUMN()-1,4)),UNSPSCCode,0)),IF(INDIRECT(ADDRESS(ROW(),COLUMN()-1,4))="53131608","Jabones",""))</f>
        <v>Jabones</v>
      </c>
      <c r="C3661" s="72" t="str">
        <f>IFERROR(VLOOKUP("UD",'Informacion '!P:Q,2,FALSE),"")</f>
        <v>Unidad</v>
      </c>
      <c r="D3661" s="39">
        <v>520</v>
      </c>
      <c r="E3661" s="42">
        <v>113.27</v>
      </c>
      <c r="F3661" s="41">
        <f ca="1">INDIRECT(ADDRESS(ROW(),COLUMN()-2,4))*INDIRECT(ADDRESS(ROW(),COLUMN()-1,4))</f>
        <v>58900.4</v>
      </c>
    </row>
    <row r="3662" spans="1:10" ht="14.25" customHeight="1" x14ac:dyDescent="0.35">
      <c r="E3662" s="44" t="s">
        <v>13122</v>
      </c>
      <c r="F3662" s="45">
        <f ca="1">SUM(Table192[MONTO TOTAL ESTIMADO])</f>
        <v>89580.4</v>
      </c>
      <c r="H3662" s="24" t="str">
        <f>C3653</f>
        <v>Bienes</v>
      </c>
      <c r="I3662" s="24" t="str">
        <f>E3653</f>
        <v>Sí</v>
      </c>
      <c r="J3662" s="24" t="str">
        <f>D3653</f>
        <v>Compras por debajo del Umbral</v>
      </c>
    </row>
    <row r="3664" spans="1:10" ht="34" customHeight="1" x14ac:dyDescent="0.35">
      <c r="A3664" s="36" t="s">
        <v>17105</v>
      </c>
      <c r="B3664" s="36" t="s">
        <v>167</v>
      </c>
      <c r="C3664" s="36" t="s">
        <v>12252</v>
      </c>
      <c r="D3664" s="36" t="s">
        <v>15021</v>
      </c>
      <c r="E3664" s="36" t="s">
        <v>11455</v>
      </c>
      <c r="F3664" s="36" t="s">
        <v>11595</v>
      </c>
    </row>
    <row r="3665" spans="1:10" ht="14.25" customHeight="1" x14ac:dyDescent="0.35">
      <c r="A3665" s="37" t="s">
        <v>13375</v>
      </c>
      <c r="B3665" s="37" t="s">
        <v>13375</v>
      </c>
      <c r="C3665" s="37" t="s">
        <v>18585</v>
      </c>
      <c r="D3665" s="37" t="s">
        <v>10634</v>
      </c>
      <c r="E3665" s="37" t="s">
        <v>9261</v>
      </c>
      <c r="F3665" s="37" t="s">
        <v>7088</v>
      </c>
    </row>
    <row r="3666" spans="1:10" ht="14.25" customHeight="1" x14ac:dyDescent="0.35">
      <c r="A3666" s="75" t="s">
        <v>15490</v>
      </c>
      <c r="B3666" s="38" t="s">
        <v>8918</v>
      </c>
      <c r="C3666" s="68">
        <v>45334</v>
      </c>
      <c r="D3666" s="75" t="s">
        <v>9819</v>
      </c>
      <c r="E3666" s="70" t="s">
        <v>13683</v>
      </c>
      <c r="F3666" s="71" t="s">
        <v>3205</v>
      </c>
    </row>
    <row r="3667" spans="1:10" ht="14.25" customHeight="1" x14ac:dyDescent="0.35">
      <c r="A3667" s="76"/>
      <c r="B3667" s="38" t="s">
        <v>1858</v>
      </c>
      <c r="C3667" s="69">
        <f>IF(C3666="","",IF(AND(MONTH(C3666)&gt;=1,MONTH(C3666)&lt;=3),1,IF(AND(MONTH(C3666)&gt;=4,MONTH(C3666)&lt;=6),2,IF(AND(MONTH(C3666)&gt;=7,MONTH(C3666)&lt;=9),3,4))))</f>
        <v>1</v>
      </c>
      <c r="D3667" s="76"/>
      <c r="E3667" s="70" t="s">
        <v>2509</v>
      </c>
      <c r="F3667" s="71" t="s">
        <v>11612</v>
      </c>
    </row>
    <row r="3668" spans="1:10" ht="14.25" customHeight="1" x14ac:dyDescent="0.35">
      <c r="A3668" s="76"/>
      <c r="B3668" s="38" t="s">
        <v>13526</v>
      </c>
      <c r="C3668" s="68">
        <v>45381</v>
      </c>
      <c r="D3668" s="76"/>
      <c r="E3668" s="70" t="s">
        <v>3198</v>
      </c>
      <c r="F3668" s="71" t="s">
        <v>11612</v>
      </c>
    </row>
    <row r="3669" spans="1:10" ht="14.25" customHeight="1" x14ac:dyDescent="0.35">
      <c r="A3669" s="76"/>
      <c r="B3669" s="38" t="s">
        <v>1858</v>
      </c>
      <c r="C3669" s="69">
        <f>IF(C3668="","",IF(AND(MONTH(C3668)&gt;=1,MONTH(C3668)&lt;=3),1,IF(AND(MONTH(C3668)&gt;=4,MONTH(C3668)&lt;=6),2,IF(AND(MONTH(C3668)&gt;=7,MONTH(C3668)&lt;=9),3,4))))</f>
        <v>1</v>
      </c>
      <c r="D3669" s="76"/>
      <c r="E3669" s="70" t="s">
        <v>13785</v>
      </c>
      <c r="F3669" s="71"/>
    </row>
    <row r="3671" spans="1:10" ht="14.25" customHeight="1" x14ac:dyDescent="0.35">
      <c r="A3671" s="43" t="s">
        <v>16424</v>
      </c>
      <c r="B3671" s="43" t="s">
        <v>16856</v>
      </c>
      <c r="C3671" s="43" t="s">
        <v>16326</v>
      </c>
      <c r="D3671" s="43" t="s">
        <v>15925</v>
      </c>
      <c r="E3671" s="43" t="s">
        <v>7248</v>
      </c>
      <c r="F3671" s="43" t="s">
        <v>15955</v>
      </c>
    </row>
    <row r="3672" spans="1:10" ht="14.25" customHeight="1" x14ac:dyDescent="0.35">
      <c r="A3672" s="39" t="s">
        <v>5724</v>
      </c>
      <c r="B3672" s="40" t="str">
        <f ca="1">IFERROR(INDEX(UNSPSCDes,MATCH(INDIRECT(ADDRESS(ROW(),COLUMN()-1,4)),UNSPSCCode,0)),IF(INDIRECT(ADDRESS(ROW(),COLUMN()-1,4))="52121701","Toallas de baño",""))</f>
        <v>Toallas de baño</v>
      </c>
      <c r="C3672" s="72" t="str">
        <f>IFERROR(VLOOKUP("UD",'Informacion '!P:Q,2,FALSE),"")</f>
        <v>Unidad</v>
      </c>
      <c r="D3672" s="39">
        <v>10</v>
      </c>
      <c r="E3672" s="42">
        <v>814.2</v>
      </c>
      <c r="F3672" s="41">
        <f ca="1">INDIRECT(ADDRESS(ROW(),COLUMN()-2,4))*INDIRECT(ADDRESS(ROW(),COLUMN()-1,4))</f>
        <v>8142</v>
      </c>
    </row>
    <row r="3673" spans="1:10" ht="14.25" customHeight="1" x14ac:dyDescent="0.35">
      <c r="E3673" s="44" t="s">
        <v>13122</v>
      </c>
      <c r="F3673" s="45">
        <f ca="1">SUM(Table193[MONTO TOTAL ESTIMADO])</f>
        <v>8142</v>
      </c>
      <c r="H3673" s="24" t="str">
        <f>C3665</f>
        <v>Bienes</v>
      </c>
      <c r="I3673" s="24" t="str">
        <f>E3665</f>
        <v>Sí</v>
      </c>
      <c r="J3673" s="24" t="str">
        <f>D3665</f>
        <v>Compras por debajo del Umbral</v>
      </c>
    </row>
    <row r="3675" spans="1:10" ht="34" customHeight="1" x14ac:dyDescent="0.35">
      <c r="A3675" s="36" t="s">
        <v>17105</v>
      </c>
      <c r="B3675" s="36" t="s">
        <v>167</v>
      </c>
      <c r="C3675" s="36" t="s">
        <v>12252</v>
      </c>
      <c r="D3675" s="36" t="s">
        <v>15021</v>
      </c>
      <c r="E3675" s="36" t="s">
        <v>11455</v>
      </c>
      <c r="F3675" s="36" t="s">
        <v>11595</v>
      </c>
    </row>
    <row r="3676" spans="1:10" ht="14.25" customHeight="1" x14ac:dyDescent="0.35">
      <c r="A3676" s="37" t="s">
        <v>3325</v>
      </c>
      <c r="B3676" s="37" t="s">
        <v>3325</v>
      </c>
      <c r="C3676" s="37" t="s">
        <v>18585</v>
      </c>
      <c r="D3676" s="37" t="s">
        <v>18256</v>
      </c>
      <c r="E3676" s="37" t="s">
        <v>9261</v>
      </c>
      <c r="F3676" s="37" t="s">
        <v>7088</v>
      </c>
    </row>
    <row r="3677" spans="1:10" ht="14.25" customHeight="1" x14ac:dyDescent="0.35">
      <c r="A3677" s="75" t="s">
        <v>15490</v>
      </c>
      <c r="B3677" s="38" t="s">
        <v>8918</v>
      </c>
      <c r="C3677" s="68">
        <v>45402</v>
      </c>
      <c r="D3677" s="75" t="s">
        <v>9819</v>
      </c>
      <c r="E3677" s="70" t="s">
        <v>13683</v>
      </c>
      <c r="F3677" s="71" t="s">
        <v>3205</v>
      </c>
    </row>
    <row r="3678" spans="1:10" ht="14.25" customHeight="1" x14ac:dyDescent="0.35">
      <c r="A3678" s="76"/>
      <c r="B3678" s="38" t="s">
        <v>1858</v>
      </c>
      <c r="C3678" s="69">
        <f>IF(C3677="","",IF(AND(MONTH(C3677)&gt;=1,MONTH(C3677)&lt;=3),1,IF(AND(MONTH(C3677)&gt;=4,MONTH(C3677)&lt;=6),2,IF(AND(MONTH(C3677)&gt;=7,MONTH(C3677)&lt;=9),3,4))))</f>
        <v>2</v>
      </c>
      <c r="D3678" s="76"/>
      <c r="E3678" s="70" t="s">
        <v>2509</v>
      </c>
      <c r="F3678" s="71" t="s">
        <v>11612</v>
      </c>
    </row>
    <row r="3679" spans="1:10" ht="14.25" customHeight="1" x14ac:dyDescent="0.35">
      <c r="A3679" s="76"/>
      <c r="B3679" s="38" t="s">
        <v>13526</v>
      </c>
      <c r="C3679" s="68">
        <v>45442</v>
      </c>
      <c r="D3679" s="76"/>
      <c r="E3679" s="70" t="s">
        <v>3198</v>
      </c>
      <c r="F3679" s="71" t="s">
        <v>11612</v>
      </c>
    </row>
    <row r="3680" spans="1:10" ht="14.25" customHeight="1" x14ac:dyDescent="0.35">
      <c r="A3680" s="76"/>
      <c r="B3680" s="38" t="s">
        <v>1858</v>
      </c>
      <c r="C3680" s="69">
        <f>IF(C3679="","",IF(AND(MONTH(C3679)&gt;=1,MONTH(C3679)&lt;=3),1,IF(AND(MONTH(C3679)&gt;=4,MONTH(C3679)&lt;=6),2,IF(AND(MONTH(C3679)&gt;=7,MONTH(C3679)&lt;=9),3,4))))</f>
        <v>2</v>
      </c>
      <c r="D3680" s="76"/>
      <c r="E3680" s="70" t="s">
        <v>13785</v>
      </c>
      <c r="F3680" s="71"/>
    </row>
    <row r="3682" spans="1:10" ht="14.25" customHeight="1" x14ac:dyDescent="0.35">
      <c r="A3682" s="43" t="s">
        <v>16424</v>
      </c>
      <c r="B3682" s="43" t="s">
        <v>16856</v>
      </c>
      <c r="C3682" s="43" t="s">
        <v>16326</v>
      </c>
      <c r="D3682" s="43" t="s">
        <v>15925</v>
      </c>
      <c r="E3682" s="43" t="s">
        <v>7248</v>
      </c>
      <c r="F3682" s="43" t="s">
        <v>15955</v>
      </c>
    </row>
    <row r="3683" spans="1:10" ht="14.25" customHeight="1" x14ac:dyDescent="0.35">
      <c r="A3683" s="39" t="s">
        <v>14736</v>
      </c>
      <c r="B3683" s="40" t="str">
        <f ca="1">IFERROR(INDEX(UNSPSCDes,MATCH(INDIRECT(ADDRESS(ROW(),COLUMN()-1,4)),UNSPSCCode,0)),IF(INDIRECT(ADDRESS(ROW(),COLUMN()-1,4))="54101509","Mancornas de joyería fina",""))</f>
        <v>Mancornas de joyería fina</v>
      </c>
      <c r="C3683" s="72" t="str">
        <f>IFERROR(VLOOKUP("UD",'Informacion '!P:Q,2,FALSE),"")</f>
        <v>Unidad</v>
      </c>
      <c r="D3683" s="39">
        <v>100</v>
      </c>
      <c r="E3683" s="42">
        <v>3500</v>
      </c>
      <c r="F3683" s="41">
        <f ca="1">INDIRECT(ADDRESS(ROW(),COLUMN()-2,4))*INDIRECT(ADDRESS(ROW(),COLUMN()-1,4))</f>
        <v>350000</v>
      </c>
    </row>
    <row r="3684" spans="1:10" ht="14.25" customHeight="1" x14ac:dyDescent="0.35">
      <c r="A3684" s="39" t="s">
        <v>3988</v>
      </c>
      <c r="B3684" s="40" t="str">
        <f ca="1">IFERROR(INDEX(UNSPSCDes,MATCH(INDIRECT(ADDRESS(ROW(),COLUMN()-1,4)),UNSPSCCode,0)),IF(INDIRECT(ADDRESS(ROW(),COLUMN()-1,4))="54101604","Aretes",""))</f>
        <v>Aretes</v>
      </c>
      <c r="C3684" s="72" t="str">
        <f>IFERROR(VLOOKUP("UD",'Informacion '!P:Q,2,FALSE),"")</f>
        <v>Unidad</v>
      </c>
      <c r="D3684" s="39">
        <v>100</v>
      </c>
      <c r="E3684" s="42">
        <v>2000</v>
      </c>
      <c r="F3684" s="41">
        <f ca="1">INDIRECT(ADDRESS(ROW(),COLUMN()-2,4))*INDIRECT(ADDRESS(ROW(),COLUMN()-1,4))</f>
        <v>200000</v>
      </c>
    </row>
    <row r="3685" spans="1:10" ht="14.25" customHeight="1" x14ac:dyDescent="0.35">
      <c r="E3685" s="44" t="s">
        <v>13122</v>
      </c>
      <c r="F3685" s="45">
        <f ca="1">SUM(Table194[MONTO TOTAL ESTIMADO])</f>
        <v>550000</v>
      </c>
      <c r="H3685" s="24" t="str">
        <f>C3676</f>
        <v>Bienes</v>
      </c>
      <c r="I3685" s="24" t="str">
        <f>E3676</f>
        <v>Sí</v>
      </c>
      <c r="J3685" s="24" t="str">
        <f>D3676</f>
        <v>Compras Menores</v>
      </c>
    </row>
    <row r="3687" spans="1:10" ht="34" customHeight="1" x14ac:dyDescent="0.35">
      <c r="A3687" s="36" t="s">
        <v>17105</v>
      </c>
      <c r="B3687" s="36" t="s">
        <v>167</v>
      </c>
      <c r="C3687" s="36" t="s">
        <v>12252</v>
      </c>
      <c r="D3687" s="36" t="s">
        <v>15021</v>
      </c>
      <c r="E3687" s="36" t="s">
        <v>11455</v>
      </c>
      <c r="F3687" s="36" t="s">
        <v>11595</v>
      </c>
    </row>
    <row r="3688" spans="1:10" ht="14.25" customHeight="1" x14ac:dyDescent="0.35">
      <c r="A3688" s="37" t="s">
        <v>7475</v>
      </c>
      <c r="B3688" s="37" t="s">
        <v>7475</v>
      </c>
      <c r="C3688" s="37" t="s">
        <v>18585</v>
      </c>
      <c r="D3688" s="37" t="s">
        <v>10634</v>
      </c>
      <c r="E3688" s="37" t="s">
        <v>18646</v>
      </c>
      <c r="F3688" s="37" t="s">
        <v>7088</v>
      </c>
    </row>
    <row r="3689" spans="1:10" ht="14.25" customHeight="1" x14ac:dyDescent="0.35">
      <c r="A3689" s="75" t="s">
        <v>15490</v>
      </c>
      <c r="B3689" s="38" t="s">
        <v>8918</v>
      </c>
      <c r="C3689" s="68">
        <v>45334</v>
      </c>
      <c r="D3689" s="75" t="s">
        <v>9819</v>
      </c>
      <c r="E3689" s="70" t="s">
        <v>13683</v>
      </c>
      <c r="F3689" s="71" t="s">
        <v>3205</v>
      </c>
    </row>
    <row r="3690" spans="1:10" ht="14.25" customHeight="1" x14ac:dyDescent="0.35">
      <c r="A3690" s="76"/>
      <c r="B3690" s="38" t="s">
        <v>1858</v>
      </c>
      <c r="C3690" s="69">
        <f>IF(C3689="","",IF(AND(MONTH(C3689)&gt;=1,MONTH(C3689)&lt;=3),1,IF(AND(MONTH(C3689)&gt;=4,MONTH(C3689)&lt;=6),2,IF(AND(MONTH(C3689)&gt;=7,MONTH(C3689)&lt;=9),3,4))))</f>
        <v>1</v>
      </c>
      <c r="D3690" s="76"/>
      <c r="E3690" s="70" t="s">
        <v>2509</v>
      </c>
      <c r="F3690" s="71" t="s">
        <v>11612</v>
      </c>
    </row>
    <row r="3691" spans="1:10" ht="14.25" customHeight="1" x14ac:dyDescent="0.35">
      <c r="A3691" s="76"/>
      <c r="B3691" s="38" t="s">
        <v>13526</v>
      </c>
      <c r="C3691" s="68">
        <v>45376</v>
      </c>
      <c r="D3691" s="76"/>
      <c r="E3691" s="70" t="s">
        <v>3198</v>
      </c>
      <c r="F3691" s="71" t="s">
        <v>11612</v>
      </c>
    </row>
    <row r="3692" spans="1:10" ht="14.25" customHeight="1" x14ac:dyDescent="0.35">
      <c r="A3692" s="76"/>
      <c r="B3692" s="38" t="s">
        <v>1858</v>
      </c>
      <c r="C3692" s="69">
        <f>IF(C3691="","",IF(AND(MONTH(C3691)&gt;=1,MONTH(C3691)&lt;=3),1,IF(AND(MONTH(C3691)&gt;=4,MONTH(C3691)&lt;=6),2,IF(AND(MONTH(C3691)&gt;=7,MONTH(C3691)&lt;=9),3,4))))</f>
        <v>1</v>
      </c>
      <c r="D3692" s="76"/>
      <c r="E3692" s="70" t="s">
        <v>13785</v>
      </c>
      <c r="F3692" s="71"/>
    </row>
    <row r="3694" spans="1:10" ht="14.25" customHeight="1" x14ac:dyDescent="0.35">
      <c r="A3694" s="43" t="s">
        <v>16424</v>
      </c>
      <c r="B3694" s="43" t="s">
        <v>16856</v>
      </c>
      <c r="C3694" s="43" t="s">
        <v>16326</v>
      </c>
      <c r="D3694" s="43" t="s">
        <v>15925</v>
      </c>
      <c r="E3694" s="43" t="s">
        <v>7248</v>
      </c>
      <c r="F3694" s="43" t="s">
        <v>15955</v>
      </c>
    </row>
    <row r="3695" spans="1:10" ht="14.25" customHeight="1" x14ac:dyDescent="0.35">
      <c r="A3695" s="39" t="s">
        <v>1087</v>
      </c>
      <c r="B3695" s="40" t="str">
        <f ca="1">IFERROR(INDEX(UNSPSCDes,MATCH(INDIRECT(ADDRESS(ROW(),COLUMN()-1,4)),UNSPSCCode,0)),IF(INDIRECT(ADDRESS(ROW(),COLUMN()-1,4))="55121606","Etiquetas auto adhesivas",""))</f>
        <v>Etiquetas auto adhesivas</v>
      </c>
      <c r="C3695" s="72" t="str">
        <f>IFERROR(VLOOKUP("UD",'Informacion '!P:Q,2,FALSE),"")</f>
        <v>Unidad</v>
      </c>
      <c r="D3695" s="39">
        <v>200</v>
      </c>
      <c r="E3695" s="42">
        <v>259.33</v>
      </c>
      <c r="F3695" s="41">
        <f ca="1">INDIRECT(ADDRESS(ROW(),COLUMN()-2,4))*INDIRECT(ADDRESS(ROW(),COLUMN()-1,4))</f>
        <v>51866</v>
      </c>
    </row>
    <row r="3696" spans="1:10" ht="14.25" customHeight="1" x14ac:dyDescent="0.35">
      <c r="A3696" s="39" t="s">
        <v>1087</v>
      </c>
      <c r="B3696" s="40" t="str">
        <f ca="1">IFERROR(INDEX(UNSPSCDes,MATCH(INDIRECT(ADDRESS(ROW(),COLUMN()-1,4)),UNSPSCCode,0)),IF(INDIRECT(ADDRESS(ROW(),COLUMN()-1,4))="55121606","Etiquetas auto adhesivas",""))</f>
        <v>Etiquetas auto adhesivas</v>
      </c>
      <c r="C3696" s="72" t="str">
        <f>IFERROR(VLOOKUP("UD",'Informacion '!P:Q,2,FALSE),"")</f>
        <v>Unidad</v>
      </c>
      <c r="D3696" s="39">
        <v>500</v>
      </c>
      <c r="E3696" s="42">
        <v>35</v>
      </c>
      <c r="F3696" s="41">
        <f ca="1">INDIRECT(ADDRESS(ROW(),COLUMN()-2,4))*INDIRECT(ADDRESS(ROW(),COLUMN()-1,4))</f>
        <v>17500</v>
      </c>
    </row>
    <row r="3697" spans="1:10" ht="14.25" customHeight="1" x14ac:dyDescent="0.35">
      <c r="A3697" s="39" t="s">
        <v>1087</v>
      </c>
      <c r="B3697" s="40" t="str">
        <f ca="1">IFERROR(INDEX(UNSPSCDes,MATCH(INDIRECT(ADDRESS(ROW(),COLUMN()-1,4)),UNSPSCCode,0)),IF(INDIRECT(ADDRESS(ROW(),COLUMN()-1,4))="55121606","Etiquetas auto adhesivas",""))</f>
        <v>Etiquetas auto adhesivas</v>
      </c>
      <c r="C3697" s="72" t="str">
        <f>IFERROR(VLOOKUP("UD",'Informacion '!P:Q,2,FALSE),"")</f>
        <v>Unidad</v>
      </c>
      <c r="D3697" s="39">
        <v>350</v>
      </c>
      <c r="E3697" s="42">
        <v>10.029999999999999</v>
      </c>
      <c r="F3697" s="41">
        <f ca="1">INDIRECT(ADDRESS(ROW(),COLUMN()-2,4))*INDIRECT(ADDRESS(ROW(),COLUMN()-1,4))</f>
        <v>3510.5</v>
      </c>
    </row>
    <row r="3698" spans="1:10" ht="14.25" customHeight="1" x14ac:dyDescent="0.35">
      <c r="A3698" s="39" t="s">
        <v>1087</v>
      </c>
      <c r="B3698" s="40" t="str">
        <f ca="1">IFERROR(INDEX(UNSPSCDes,MATCH(INDIRECT(ADDRESS(ROW(),COLUMN()-1,4)),UNSPSCCode,0)),IF(INDIRECT(ADDRESS(ROW(),COLUMN()-1,4))="55121606","Etiquetas auto adhesivas",""))</f>
        <v>Etiquetas auto adhesivas</v>
      </c>
      <c r="C3698" s="72" t="str">
        <f>IFERROR(VLOOKUP("UD",'Informacion '!P:Q,2,FALSE),"")</f>
        <v>Unidad</v>
      </c>
      <c r="D3698" s="39">
        <v>200</v>
      </c>
      <c r="E3698" s="42">
        <v>354</v>
      </c>
      <c r="F3698" s="41">
        <f ca="1">INDIRECT(ADDRESS(ROW(),COLUMN()-2,4))*INDIRECT(ADDRESS(ROW(),COLUMN()-1,4))</f>
        <v>70800</v>
      </c>
    </row>
    <row r="3699" spans="1:10" ht="14.25" customHeight="1" x14ac:dyDescent="0.35">
      <c r="E3699" s="44" t="s">
        <v>13122</v>
      </c>
      <c r="F3699" s="45">
        <f ca="1">SUM(Table195[MONTO TOTAL ESTIMADO])</f>
        <v>143676.5</v>
      </c>
      <c r="H3699" s="24" t="str">
        <f>C3688</f>
        <v>Bienes</v>
      </c>
      <c r="I3699" s="24" t="str">
        <f>E3688</f>
        <v>No</v>
      </c>
      <c r="J3699" s="24" t="str">
        <f>D3688</f>
        <v>Compras por debajo del Umbral</v>
      </c>
    </row>
    <row r="3701" spans="1:10" ht="34" customHeight="1" x14ac:dyDescent="0.35">
      <c r="A3701" s="36" t="s">
        <v>17105</v>
      </c>
      <c r="B3701" s="36" t="s">
        <v>167</v>
      </c>
      <c r="C3701" s="36" t="s">
        <v>12252</v>
      </c>
      <c r="D3701" s="36" t="s">
        <v>15021</v>
      </c>
      <c r="E3701" s="36" t="s">
        <v>11455</v>
      </c>
      <c r="F3701" s="36" t="s">
        <v>11595</v>
      </c>
    </row>
    <row r="3702" spans="1:10" ht="14.25" customHeight="1" x14ac:dyDescent="0.35">
      <c r="A3702" s="37" t="s">
        <v>3240</v>
      </c>
      <c r="B3702" s="37" t="s">
        <v>3240</v>
      </c>
      <c r="C3702" s="37" t="s">
        <v>18585</v>
      </c>
      <c r="D3702" s="37" t="s">
        <v>10634</v>
      </c>
      <c r="E3702" s="37" t="s">
        <v>9261</v>
      </c>
      <c r="F3702" s="37" t="s">
        <v>7088</v>
      </c>
    </row>
    <row r="3703" spans="1:10" ht="14.25" customHeight="1" x14ac:dyDescent="0.35">
      <c r="A3703" s="75" t="s">
        <v>15490</v>
      </c>
      <c r="B3703" s="38" t="s">
        <v>8918</v>
      </c>
      <c r="C3703" s="68">
        <v>45334</v>
      </c>
      <c r="D3703" s="75" t="s">
        <v>9819</v>
      </c>
      <c r="E3703" s="70" t="s">
        <v>13683</v>
      </c>
      <c r="F3703" s="71" t="s">
        <v>3205</v>
      </c>
    </row>
    <row r="3704" spans="1:10" ht="14.25" customHeight="1" x14ac:dyDescent="0.35">
      <c r="A3704" s="76"/>
      <c r="B3704" s="38" t="s">
        <v>1858</v>
      </c>
      <c r="C3704" s="69">
        <f>IF(C3703="","",IF(AND(MONTH(C3703)&gt;=1,MONTH(C3703)&lt;=3),1,IF(AND(MONTH(C3703)&gt;=4,MONTH(C3703)&lt;=6),2,IF(AND(MONTH(C3703)&gt;=7,MONTH(C3703)&lt;=9),3,4))))</f>
        <v>1</v>
      </c>
      <c r="D3704" s="76"/>
      <c r="E3704" s="70" t="s">
        <v>2509</v>
      </c>
      <c r="F3704" s="71" t="s">
        <v>11612</v>
      </c>
    </row>
    <row r="3705" spans="1:10" ht="14.25" customHeight="1" x14ac:dyDescent="0.35">
      <c r="A3705" s="76"/>
      <c r="B3705" s="38" t="s">
        <v>13526</v>
      </c>
      <c r="C3705" s="68">
        <v>45381</v>
      </c>
      <c r="D3705" s="76"/>
      <c r="E3705" s="70" t="s">
        <v>3198</v>
      </c>
      <c r="F3705" s="71" t="s">
        <v>11612</v>
      </c>
    </row>
    <row r="3706" spans="1:10" ht="14.25" customHeight="1" x14ac:dyDescent="0.35">
      <c r="A3706" s="76"/>
      <c r="B3706" s="38" t="s">
        <v>1858</v>
      </c>
      <c r="C3706" s="69">
        <f>IF(C3705="","",IF(AND(MONTH(C3705)&gt;=1,MONTH(C3705)&lt;=3),1,IF(AND(MONTH(C3705)&gt;=4,MONTH(C3705)&lt;=6),2,IF(AND(MONTH(C3705)&gt;=7,MONTH(C3705)&lt;=9),3,4))))</f>
        <v>1</v>
      </c>
      <c r="D3706" s="76"/>
      <c r="E3706" s="70" t="s">
        <v>13785</v>
      </c>
      <c r="F3706" s="71"/>
    </row>
    <row r="3708" spans="1:10" ht="14.25" customHeight="1" x14ac:dyDescent="0.35">
      <c r="A3708" s="43" t="s">
        <v>16424</v>
      </c>
      <c r="B3708" s="43" t="s">
        <v>16856</v>
      </c>
      <c r="C3708" s="43" t="s">
        <v>16326</v>
      </c>
      <c r="D3708" s="43" t="s">
        <v>15925</v>
      </c>
      <c r="E3708" s="43" t="s">
        <v>7248</v>
      </c>
      <c r="F3708" s="43" t="s">
        <v>15955</v>
      </c>
    </row>
    <row r="3709" spans="1:10" ht="14.25" customHeight="1" x14ac:dyDescent="0.35">
      <c r="A3709" s="39" t="s">
        <v>5705</v>
      </c>
      <c r="B3709" s="40" t="str">
        <f ca="1">IFERROR(INDEX(UNSPSCDes,MATCH(INDIRECT(ADDRESS(ROW(),COLUMN()-1,4)),UNSPSCCode,0)),IF(INDIRECT(ADDRESS(ROW(),COLUMN()-1,4))="55121704","Señales de seguridad",""))</f>
        <v>Señales de seguridad</v>
      </c>
      <c r="C3709" s="72" t="str">
        <f>IFERROR(VLOOKUP("UD",'Informacion '!P:Q,2,FALSE),"")</f>
        <v>Unidad</v>
      </c>
      <c r="D3709" s="39">
        <v>15</v>
      </c>
      <c r="E3709" s="42">
        <v>1058.45</v>
      </c>
      <c r="F3709" s="41">
        <f ca="1">INDIRECT(ADDRESS(ROW(),COLUMN()-2,4))*INDIRECT(ADDRESS(ROW(),COLUMN()-1,4))</f>
        <v>15876.75</v>
      </c>
    </row>
    <row r="3710" spans="1:10" ht="14.25" customHeight="1" x14ac:dyDescent="0.35">
      <c r="E3710" s="44" t="s">
        <v>13122</v>
      </c>
      <c r="F3710" s="45">
        <f ca="1">SUM(Table196[MONTO TOTAL ESTIMADO])</f>
        <v>15876.75</v>
      </c>
      <c r="H3710" s="24" t="str">
        <f>C3702</f>
        <v>Bienes</v>
      </c>
      <c r="I3710" s="24" t="str">
        <f>E3702</f>
        <v>Sí</v>
      </c>
      <c r="J3710" s="24" t="str">
        <f>D3702</f>
        <v>Compras por debajo del Umbral</v>
      </c>
    </row>
    <row r="3712" spans="1:10" ht="34" customHeight="1" x14ac:dyDescent="0.35">
      <c r="A3712" s="36" t="s">
        <v>17105</v>
      </c>
      <c r="B3712" s="36" t="s">
        <v>167</v>
      </c>
      <c r="C3712" s="36" t="s">
        <v>12252</v>
      </c>
      <c r="D3712" s="36" t="s">
        <v>15021</v>
      </c>
      <c r="E3712" s="36" t="s">
        <v>11455</v>
      </c>
      <c r="F3712" s="36" t="s">
        <v>11595</v>
      </c>
    </row>
    <row r="3713" spans="1:10" ht="14.25" customHeight="1" x14ac:dyDescent="0.35">
      <c r="A3713" s="37" t="s">
        <v>16330</v>
      </c>
      <c r="B3713" s="37" t="s">
        <v>16330</v>
      </c>
      <c r="C3713" s="37" t="s">
        <v>18585</v>
      </c>
      <c r="D3713" s="37" t="s">
        <v>10634</v>
      </c>
      <c r="E3713" s="37" t="s">
        <v>9261</v>
      </c>
      <c r="F3713" s="37" t="s">
        <v>7088</v>
      </c>
    </row>
    <row r="3714" spans="1:10" ht="14.25" customHeight="1" x14ac:dyDescent="0.35">
      <c r="A3714" s="75" t="s">
        <v>15490</v>
      </c>
      <c r="B3714" s="38" t="s">
        <v>8918</v>
      </c>
      <c r="C3714" s="68">
        <v>45334</v>
      </c>
      <c r="D3714" s="75" t="s">
        <v>9819</v>
      </c>
      <c r="E3714" s="70" t="s">
        <v>13683</v>
      </c>
      <c r="F3714" s="71" t="s">
        <v>3205</v>
      </c>
    </row>
    <row r="3715" spans="1:10" ht="14.25" customHeight="1" x14ac:dyDescent="0.35">
      <c r="A3715" s="76"/>
      <c r="B3715" s="38" t="s">
        <v>1858</v>
      </c>
      <c r="C3715" s="69">
        <f>IF(C3714="","",IF(AND(MONTH(C3714)&gt;=1,MONTH(C3714)&lt;=3),1,IF(AND(MONTH(C3714)&gt;=4,MONTH(C3714)&lt;=6),2,IF(AND(MONTH(C3714)&gt;=7,MONTH(C3714)&lt;=9),3,4))))</f>
        <v>1</v>
      </c>
      <c r="D3715" s="76"/>
      <c r="E3715" s="70" t="s">
        <v>2509</v>
      </c>
      <c r="F3715" s="71" t="s">
        <v>11612</v>
      </c>
    </row>
    <row r="3716" spans="1:10" ht="14.25" customHeight="1" x14ac:dyDescent="0.35">
      <c r="A3716" s="76"/>
      <c r="B3716" s="38" t="s">
        <v>13526</v>
      </c>
      <c r="C3716" s="68">
        <v>190002</v>
      </c>
      <c r="D3716" s="76"/>
      <c r="E3716" s="70" t="s">
        <v>3198</v>
      </c>
      <c r="F3716" s="71" t="s">
        <v>11612</v>
      </c>
    </row>
    <row r="3717" spans="1:10" ht="14.25" customHeight="1" x14ac:dyDescent="0.35">
      <c r="A3717" s="76"/>
      <c r="B3717" s="38" t="s">
        <v>1858</v>
      </c>
      <c r="C3717" s="69">
        <f>IF(C3716="","",IF(AND(MONTH(C3716)&gt;=1,MONTH(C3716)&lt;=3),1,IF(AND(MONTH(C3716)&gt;=4,MONTH(C3716)&lt;=6),2,IF(AND(MONTH(C3716)&gt;=7,MONTH(C3716)&lt;=9),3,4))))</f>
        <v>1</v>
      </c>
      <c r="D3717" s="76"/>
      <c r="E3717" s="70" t="s">
        <v>13785</v>
      </c>
      <c r="F3717" s="71"/>
    </row>
    <row r="3719" spans="1:10" ht="14.25" customHeight="1" x14ac:dyDescent="0.35">
      <c r="A3719" s="43" t="s">
        <v>16424</v>
      </c>
      <c r="B3719" s="43" t="s">
        <v>16856</v>
      </c>
      <c r="C3719" s="43" t="s">
        <v>16326</v>
      </c>
      <c r="D3719" s="43" t="s">
        <v>15925</v>
      </c>
      <c r="E3719" s="43" t="s">
        <v>7248</v>
      </c>
      <c r="F3719" s="43" t="s">
        <v>15955</v>
      </c>
    </row>
    <row r="3720" spans="1:10" ht="14.25" customHeight="1" x14ac:dyDescent="0.35">
      <c r="A3720" s="39" t="s">
        <v>16139</v>
      </c>
      <c r="B3720" s="40" t="str">
        <f ca="1">IFERROR(INDEX(UNSPSCDes,MATCH(INDIRECT(ADDRESS(ROW(),COLUMN()-1,4)),UNSPSCCode,0)),IF(INDIRECT(ADDRESS(ROW(),COLUMN()-1,4))="55121715","Banderas o accesorios",""))</f>
        <v>Banderas o accesorios</v>
      </c>
      <c r="C3720" s="72" t="str">
        <f>IFERROR(VLOOKUP("UD",'Informacion '!P:Q,2,FALSE),"")</f>
        <v>Unidad</v>
      </c>
      <c r="D3720" s="39">
        <v>18</v>
      </c>
      <c r="E3720" s="42">
        <v>1180</v>
      </c>
      <c r="F3720" s="41">
        <f ca="1">INDIRECT(ADDRESS(ROW(),COLUMN()-2,4))*INDIRECT(ADDRESS(ROW(),COLUMN()-1,4))</f>
        <v>21240</v>
      </c>
    </row>
    <row r="3721" spans="1:10" ht="14.25" customHeight="1" x14ac:dyDescent="0.35">
      <c r="E3721" s="44" t="s">
        <v>13122</v>
      </c>
      <c r="F3721" s="45">
        <f ca="1">SUM(Table197[MONTO TOTAL ESTIMADO])</f>
        <v>21240</v>
      </c>
      <c r="H3721" s="24" t="str">
        <f>C3713</f>
        <v>Bienes</v>
      </c>
      <c r="I3721" s="24" t="str">
        <f>E3713</f>
        <v>Sí</v>
      </c>
      <c r="J3721" s="24" t="str">
        <f>D3713</f>
        <v>Compras por debajo del Umbral</v>
      </c>
    </row>
    <row r="3723" spans="1:10" ht="34" customHeight="1" x14ac:dyDescent="0.35">
      <c r="A3723" s="36" t="s">
        <v>17105</v>
      </c>
      <c r="B3723" s="36" t="s">
        <v>167</v>
      </c>
      <c r="C3723" s="36" t="s">
        <v>12252</v>
      </c>
      <c r="D3723" s="36" t="s">
        <v>15021</v>
      </c>
      <c r="E3723" s="36" t="s">
        <v>11455</v>
      </c>
      <c r="F3723" s="36" t="s">
        <v>11595</v>
      </c>
    </row>
    <row r="3724" spans="1:10" ht="14.25" customHeight="1" x14ac:dyDescent="0.35">
      <c r="A3724" s="37" t="s">
        <v>1763</v>
      </c>
      <c r="B3724" s="37" t="s">
        <v>1763</v>
      </c>
      <c r="C3724" s="37" t="s">
        <v>18585</v>
      </c>
      <c r="D3724" s="37" t="s">
        <v>10634</v>
      </c>
      <c r="E3724" s="37" t="s">
        <v>9261</v>
      </c>
      <c r="F3724" s="37" t="s">
        <v>7088</v>
      </c>
    </row>
    <row r="3725" spans="1:10" ht="14.25" customHeight="1" x14ac:dyDescent="0.35">
      <c r="A3725" s="75" t="s">
        <v>15490</v>
      </c>
      <c r="B3725" s="38" t="s">
        <v>8918</v>
      </c>
      <c r="C3725" s="68">
        <v>45334</v>
      </c>
      <c r="D3725" s="75" t="s">
        <v>9819</v>
      </c>
      <c r="E3725" s="70" t="s">
        <v>13683</v>
      </c>
      <c r="F3725" s="71" t="s">
        <v>3205</v>
      </c>
    </row>
    <row r="3726" spans="1:10" ht="14.25" customHeight="1" x14ac:dyDescent="0.35">
      <c r="A3726" s="76"/>
      <c r="B3726" s="38" t="s">
        <v>1858</v>
      </c>
      <c r="C3726" s="69">
        <f>IF(C3725="","",IF(AND(MONTH(C3725)&gt;=1,MONTH(C3725)&lt;=3),1,IF(AND(MONTH(C3725)&gt;=4,MONTH(C3725)&lt;=6),2,IF(AND(MONTH(C3725)&gt;=7,MONTH(C3725)&lt;=9),3,4))))</f>
        <v>1</v>
      </c>
      <c r="D3726" s="76"/>
      <c r="E3726" s="70" t="s">
        <v>2509</v>
      </c>
      <c r="F3726" s="71" t="s">
        <v>11612</v>
      </c>
    </row>
    <row r="3727" spans="1:10" ht="14.25" customHeight="1" x14ac:dyDescent="0.35">
      <c r="A3727" s="76"/>
      <c r="B3727" s="38" t="s">
        <v>13526</v>
      </c>
      <c r="C3727" s="68">
        <v>45371</v>
      </c>
      <c r="D3727" s="76"/>
      <c r="E3727" s="70" t="s">
        <v>3198</v>
      </c>
      <c r="F3727" s="71" t="s">
        <v>11612</v>
      </c>
    </row>
    <row r="3728" spans="1:10" ht="14.25" customHeight="1" x14ac:dyDescent="0.35">
      <c r="A3728" s="76"/>
      <c r="B3728" s="38" t="s">
        <v>1858</v>
      </c>
      <c r="C3728" s="69">
        <f>IF(C3727="","",IF(AND(MONTH(C3727)&gt;=1,MONTH(C3727)&lt;=3),1,IF(AND(MONTH(C3727)&gt;=4,MONTH(C3727)&lt;=6),2,IF(AND(MONTH(C3727)&gt;=7,MONTH(C3727)&lt;=9),3,4))))</f>
        <v>1</v>
      </c>
      <c r="D3728" s="76"/>
      <c r="E3728" s="70" t="s">
        <v>13785</v>
      </c>
      <c r="F3728" s="71"/>
    </row>
    <row r="3730" spans="1:10" ht="14.25" customHeight="1" x14ac:dyDescent="0.35">
      <c r="A3730" s="43" t="s">
        <v>16424</v>
      </c>
      <c r="B3730" s="43" t="s">
        <v>16856</v>
      </c>
      <c r="C3730" s="43" t="s">
        <v>16326</v>
      </c>
      <c r="D3730" s="43" t="s">
        <v>15925</v>
      </c>
      <c r="E3730" s="43" t="s">
        <v>7248</v>
      </c>
      <c r="F3730" s="43" t="s">
        <v>15955</v>
      </c>
    </row>
    <row r="3731" spans="1:10" ht="14.25" customHeight="1" x14ac:dyDescent="0.35">
      <c r="A3731" s="39" t="s">
        <v>14998</v>
      </c>
      <c r="B3731" s="40" t="str">
        <f ca="1">IFERROR(INDEX(UNSPSCDes,MATCH(INDIRECT(ADDRESS(ROW(),COLUMN()-1,4)),UNSPSCCode,0)),IF(INDIRECT(ADDRESS(ROW(),COLUMN()-1,4))="55121723","Bases o soportes para señales",""))</f>
        <v>Bases o soportes para señales</v>
      </c>
      <c r="C3731" s="72" t="str">
        <f>IFERROR(VLOOKUP("UD",'Informacion '!P:Q,2,FALSE),"")</f>
        <v>Unidad</v>
      </c>
      <c r="D3731" s="39">
        <v>5</v>
      </c>
      <c r="E3731" s="42">
        <v>4720</v>
      </c>
      <c r="F3731" s="41">
        <f ca="1">INDIRECT(ADDRESS(ROW(),COLUMN()-2,4))*INDIRECT(ADDRESS(ROW(),COLUMN()-1,4))</f>
        <v>23600</v>
      </c>
    </row>
    <row r="3732" spans="1:10" ht="14.25" customHeight="1" x14ac:dyDescent="0.35">
      <c r="E3732" s="44" t="s">
        <v>13122</v>
      </c>
      <c r="F3732" s="45">
        <f ca="1">SUM(Table198[MONTO TOTAL ESTIMADO])</f>
        <v>23600</v>
      </c>
      <c r="H3732" s="24" t="str">
        <f>C3724</f>
        <v>Bienes</v>
      </c>
      <c r="I3732" s="24" t="str">
        <f>E3724</f>
        <v>Sí</v>
      </c>
      <c r="J3732" s="24" t="str">
        <f>D3724</f>
        <v>Compras por debajo del Umbral</v>
      </c>
    </row>
    <row r="3734" spans="1:10" ht="34" customHeight="1" x14ac:dyDescent="0.35">
      <c r="A3734" s="36" t="s">
        <v>17105</v>
      </c>
      <c r="B3734" s="36" t="s">
        <v>167</v>
      </c>
      <c r="C3734" s="36" t="s">
        <v>12252</v>
      </c>
      <c r="D3734" s="36" t="s">
        <v>15021</v>
      </c>
      <c r="E3734" s="36" t="s">
        <v>11455</v>
      </c>
      <c r="F3734" s="36" t="s">
        <v>11595</v>
      </c>
    </row>
    <row r="3735" spans="1:10" ht="14.25" customHeight="1" x14ac:dyDescent="0.35">
      <c r="A3735" s="37" t="s">
        <v>6969</v>
      </c>
      <c r="B3735" s="37" t="s">
        <v>6969</v>
      </c>
      <c r="C3735" s="37" t="s">
        <v>7109</v>
      </c>
      <c r="D3735" s="37" t="s">
        <v>2615</v>
      </c>
      <c r="E3735" s="37" t="s">
        <v>18646</v>
      </c>
      <c r="F3735" s="37" t="s">
        <v>7088</v>
      </c>
    </row>
    <row r="3736" spans="1:10" ht="14.25" customHeight="1" x14ac:dyDescent="0.35">
      <c r="A3736" s="75" t="s">
        <v>15490</v>
      </c>
      <c r="B3736" s="38" t="s">
        <v>8918</v>
      </c>
      <c r="C3736" s="68">
        <v>45334</v>
      </c>
      <c r="D3736" s="75" t="s">
        <v>9819</v>
      </c>
      <c r="E3736" s="70" t="s">
        <v>13683</v>
      </c>
      <c r="F3736" s="71" t="s">
        <v>3205</v>
      </c>
    </row>
    <row r="3737" spans="1:10" ht="14.25" customHeight="1" x14ac:dyDescent="0.35">
      <c r="A3737" s="76"/>
      <c r="B3737" s="38" t="s">
        <v>1858</v>
      </c>
      <c r="C3737" s="69">
        <f>IF(C3736="","",IF(AND(MONTH(C3736)&gt;=1,MONTH(C3736)&lt;=3),1,IF(AND(MONTH(C3736)&gt;=4,MONTH(C3736)&lt;=6),2,IF(AND(MONTH(C3736)&gt;=7,MONTH(C3736)&lt;=9),3,4))))</f>
        <v>1</v>
      </c>
      <c r="D3737" s="76"/>
      <c r="E3737" s="70" t="s">
        <v>2509</v>
      </c>
      <c r="F3737" s="71" t="s">
        <v>11612</v>
      </c>
    </row>
    <row r="3738" spans="1:10" ht="14.25" customHeight="1" x14ac:dyDescent="0.35">
      <c r="A3738" s="76"/>
      <c r="B3738" s="38" t="s">
        <v>13526</v>
      </c>
      <c r="C3738" s="68">
        <v>45378</v>
      </c>
      <c r="D3738" s="76"/>
      <c r="E3738" s="70" t="s">
        <v>3198</v>
      </c>
      <c r="F3738" s="71" t="s">
        <v>11612</v>
      </c>
    </row>
    <row r="3739" spans="1:10" ht="14.25" customHeight="1" x14ac:dyDescent="0.35">
      <c r="A3739" s="76"/>
      <c r="B3739" s="38" t="s">
        <v>1858</v>
      </c>
      <c r="C3739" s="69">
        <f>IF(C3738="","",IF(AND(MONTH(C3738)&gt;=1,MONTH(C3738)&lt;=3),1,IF(AND(MONTH(C3738)&gt;=4,MONTH(C3738)&lt;=6),2,IF(AND(MONTH(C3738)&gt;=7,MONTH(C3738)&lt;=9),3,4))))</f>
        <v>1</v>
      </c>
      <c r="D3739" s="76"/>
      <c r="E3739" s="70" t="s">
        <v>13785</v>
      </c>
      <c r="F3739" s="71"/>
    </row>
    <row r="3741" spans="1:10" ht="14.25" customHeight="1" x14ac:dyDescent="0.35">
      <c r="A3741" s="43" t="s">
        <v>16424</v>
      </c>
      <c r="B3741" s="43" t="s">
        <v>16856</v>
      </c>
      <c r="C3741" s="43" t="s">
        <v>16326</v>
      </c>
      <c r="D3741" s="43" t="s">
        <v>15925</v>
      </c>
      <c r="E3741" s="43" t="s">
        <v>7248</v>
      </c>
      <c r="F3741" s="43" t="s">
        <v>15955</v>
      </c>
    </row>
    <row r="3742" spans="1:10" ht="14.25" customHeight="1" x14ac:dyDescent="0.35">
      <c r="A3742" s="39" t="s">
        <v>2797</v>
      </c>
      <c r="B3742" s="40" t="str">
        <f t="shared" ref="B3742:B3747" ca="1" si="137">IFERROR(INDEX(UNSPSCDes,MATCH(INDIRECT(ADDRESS(ROW(),COLUMN()-1,4)),UNSPSCCode,0)),IF(INDIRECT(ADDRESS(ROW(),COLUMN()-1,4))="82101502","Publicidad en afiches",""))</f>
        <v>Publicidad en afiches</v>
      </c>
      <c r="C3742" s="72" t="str">
        <f>IFERROR(VLOOKUP("UD",'Informacion '!P:Q,2,FALSE),"")</f>
        <v>Unidad</v>
      </c>
      <c r="D3742" s="39">
        <v>10</v>
      </c>
      <c r="E3742" s="42">
        <v>3540</v>
      </c>
      <c r="F3742" s="41">
        <f t="shared" ref="F3742:F3750" ca="1" si="138">INDIRECT(ADDRESS(ROW(),COLUMN()-2,4))*INDIRECT(ADDRESS(ROW(),COLUMN()-1,4))</f>
        <v>35400</v>
      </c>
    </row>
    <row r="3743" spans="1:10" ht="14.25" customHeight="1" x14ac:dyDescent="0.35">
      <c r="A3743" s="39" t="s">
        <v>2797</v>
      </c>
      <c r="B3743" s="40" t="str">
        <f t="shared" ca="1" si="137"/>
        <v>Publicidad en afiches</v>
      </c>
      <c r="C3743" s="72" t="str">
        <f>IFERROR(VLOOKUP("UD",'Informacion '!P:Q,2,FALSE),"")</f>
        <v>Unidad</v>
      </c>
      <c r="D3743" s="39">
        <v>2</v>
      </c>
      <c r="E3743" s="42">
        <v>1770</v>
      </c>
      <c r="F3743" s="41">
        <f t="shared" ca="1" si="138"/>
        <v>3540</v>
      </c>
    </row>
    <row r="3744" spans="1:10" ht="14.25" customHeight="1" x14ac:dyDescent="0.35">
      <c r="A3744" s="39" t="s">
        <v>2797</v>
      </c>
      <c r="B3744" s="40" t="str">
        <f t="shared" ca="1" si="137"/>
        <v>Publicidad en afiches</v>
      </c>
      <c r="C3744" s="72" t="str">
        <f>IFERROR(VLOOKUP("UD",'Informacion '!P:Q,2,FALSE),"")</f>
        <v>Unidad</v>
      </c>
      <c r="D3744" s="39">
        <v>2</v>
      </c>
      <c r="E3744" s="42">
        <v>50000</v>
      </c>
      <c r="F3744" s="41">
        <f t="shared" ca="1" si="138"/>
        <v>100000</v>
      </c>
    </row>
    <row r="3745" spans="1:10" ht="14.25" customHeight="1" x14ac:dyDescent="0.35">
      <c r="A3745" s="39" t="s">
        <v>2797</v>
      </c>
      <c r="B3745" s="40" t="str">
        <f t="shared" ca="1" si="137"/>
        <v>Publicidad en afiches</v>
      </c>
      <c r="C3745" s="72" t="str">
        <f>IFERROR(VLOOKUP("UD",'Informacion '!P:Q,2,FALSE),"")</f>
        <v>Unidad</v>
      </c>
      <c r="D3745" s="39">
        <v>1</v>
      </c>
      <c r="E3745" s="42">
        <v>500000</v>
      </c>
      <c r="F3745" s="41">
        <f t="shared" ca="1" si="138"/>
        <v>500000</v>
      </c>
    </row>
    <row r="3746" spans="1:10" ht="14.25" customHeight="1" x14ac:dyDescent="0.35">
      <c r="A3746" s="39" t="s">
        <v>2797</v>
      </c>
      <c r="B3746" s="40" t="str">
        <f t="shared" ca="1" si="137"/>
        <v>Publicidad en afiches</v>
      </c>
      <c r="C3746" s="72" t="str">
        <f>IFERROR(VLOOKUP("UD",'Informacion '!P:Q,2,FALSE),"")</f>
        <v>Unidad</v>
      </c>
      <c r="D3746" s="39">
        <v>2</v>
      </c>
      <c r="E3746" s="42">
        <v>200000</v>
      </c>
      <c r="F3746" s="41">
        <f t="shared" ca="1" si="138"/>
        <v>400000</v>
      </c>
    </row>
    <row r="3747" spans="1:10" ht="14.25" customHeight="1" x14ac:dyDescent="0.35">
      <c r="A3747" s="39" t="s">
        <v>2797</v>
      </c>
      <c r="B3747" s="40" t="str">
        <f t="shared" ca="1" si="137"/>
        <v>Publicidad en afiches</v>
      </c>
      <c r="C3747" s="72" t="str">
        <f>IFERROR(VLOOKUP("UD",'Informacion '!P:Q,2,FALSE),"")</f>
        <v>Unidad</v>
      </c>
      <c r="D3747" s="39">
        <v>1</v>
      </c>
      <c r="E3747" s="42">
        <v>50000</v>
      </c>
      <c r="F3747" s="41">
        <f t="shared" ca="1" si="138"/>
        <v>50000</v>
      </c>
    </row>
    <row r="3748" spans="1:10" ht="14.25" customHeight="1" x14ac:dyDescent="0.35">
      <c r="A3748" s="39" t="s">
        <v>6286</v>
      </c>
      <c r="B3748" s="40" t="str">
        <f ca="1">IFERROR(INDEX(UNSPSCDes,MATCH(INDIRECT(ADDRESS(ROW(),COLUMN()-1,4)),UNSPSCCode,0)),IF(INDIRECT(ADDRESS(ROW(),COLUMN()-1,4))="82101504","Publicidad en periódicos",""))</f>
        <v>Publicidad en periódicos</v>
      </c>
      <c r="C3748" s="72" t="str">
        <f>IFERROR(VLOOKUP("UD",'Informacion '!P:Q,2,FALSE),"")</f>
        <v>Unidad</v>
      </c>
      <c r="D3748" s="39">
        <v>1</v>
      </c>
      <c r="E3748" s="42">
        <v>70092</v>
      </c>
      <c r="F3748" s="41">
        <f t="shared" ca="1" si="138"/>
        <v>70092</v>
      </c>
    </row>
    <row r="3749" spans="1:10" ht="14.25" customHeight="1" x14ac:dyDescent="0.35">
      <c r="A3749" s="39" t="s">
        <v>7961</v>
      </c>
      <c r="B3749" s="40" t="str">
        <f ca="1">IFERROR(INDEX(UNSPSCDes,MATCH(INDIRECT(ADDRESS(ROW(),COLUMN()-1,4)),UNSPSCCode,0)),IF(INDIRECT(ADDRESS(ROW(),COLUMN()-1,4))="82101503","Publicidad en revistas",""))</f>
        <v>Publicidad en revistas</v>
      </c>
      <c r="C3749" s="72" t="str">
        <f>IFERROR(VLOOKUP("UD",'Informacion '!P:Q,2,FALSE),"")</f>
        <v>Unidad</v>
      </c>
      <c r="D3749" s="39">
        <v>1</v>
      </c>
      <c r="E3749" s="42">
        <v>20000000</v>
      </c>
      <c r="F3749" s="41">
        <f t="shared" ca="1" si="138"/>
        <v>20000000</v>
      </c>
    </row>
    <row r="3750" spans="1:10" ht="14.25" customHeight="1" x14ac:dyDescent="0.35">
      <c r="A3750" s="39" t="s">
        <v>5527</v>
      </c>
      <c r="B3750" s="40" t="str">
        <f ca="1">IFERROR(INDEX(UNSPSCDes,MATCH(INDIRECT(ADDRESS(ROW(),COLUMN()-1,4)),UNSPSCCode,0)),IF(INDIRECT(ADDRESS(ROW(),COLUMN()-1,4))="82101905","Inserción en medios impresos",""))</f>
        <v>Inserción en medios impresos</v>
      </c>
      <c r="C3750" s="72" t="str">
        <f>IFERROR(VLOOKUP("UD",'Informacion '!P:Q,2,FALSE),"")</f>
        <v>Unidad</v>
      </c>
      <c r="D3750" s="39">
        <v>12</v>
      </c>
      <c r="E3750" s="42">
        <v>3100</v>
      </c>
      <c r="F3750" s="41">
        <f t="shared" ca="1" si="138"/>
        <v>37200</v>
      </c>
    </row>
    <row r="3751" spans="1:10" ht="14.25" customHeight="1" x14ac:dyDescent="0.35">
      <c r="E3751" s="44" t="s">
        <v>13122</v>
      </c>
      <c r="F3751" s="45">
        <f ca="1">SUM(Table199[MONTO TOTAL ESTIMADO])</f>
        <v>21196232</v>
      </c>
      <c r="H3751" s="24" t="str">
        <f>C3735</f>
        <v>Servicios</v>
      </c>
      <c r="I3751" s="24" t="str">
        <f>E3735</f>
        <v>No</v>
      </c>
      <c r="J3751" s="24" t="str">
        <f>D3735</f>
        <v>Licitacion Publica</v>
      </c>
    </row>
    <row r="3753" spans="1:10" ht="34" customHeight="1" x14ac:dyDescent="0.35">
      <c r="A3753" s="36" t="s">
        <v>17105</v>
      </c>
      <c r="B3753" s="36" t="s">
        <v>167</v>
      </c>
      <c r="C3753" s="36" t="s">
        <v>12252</v>
      </c>
      <c r="D3753" s="36" t="s">
        <v>15021</v>
      </c>
      <c r="E3753" s="36" t="s">
        <v>11455</v>
      </c>
      <c r="F3753" s="36" t="s">
        <v>11595</v>
      </c>
    </row>
    <row r="3754" spans="1:10" ht="14.25" customHeight="1" x14ac:dyDescent="0.35">
      <c r="A3754" s="37" t="s">
        <v>6969</v>
      </c>
      <c r="B3754" s="37" t="s">
        <v>6969</v>
      </c>
      <c r="C3754" s="37" t="s">
        <v>7109</v>
      </c>
      <c r="D3754" s="37" t="s">
        <v>1950</v>
      </c>
      <c r="E3754" s="37" t="s">
        <v>18646</v>
      </c>
      <c r="F3754" s="37" t="s">
        <v>7088</v>
      </c>
    </row>
    <row r="3755" spans="1:10" ht="14.25" customHeight="1" x14ac:dyDescent="0.35">
      <c r="A3755" s="75" t="s">
        <v>15490</v>
      </c>
      <c r="B3755" s="38" t="s">
        <v>8918</v>
      </c>
      <c r="C3755" s="68">
        <v>45383</v>
      </c>
      <c r="D3755" s="75" t="s">
        <v>9819</v>
      </c>
      <c r="E3755" s="70" t="s">
        <v>13683</v>
      </c>
      <c r="F3755" s="71" t="s">
        <v>3205</v>
      </c>
    </row>
    <row r="3756" spans="1:10" ht="14.25" customHeight="1" x14ac:dyDescent="0.35">
      <c r="A3756" s="76"/>
      <c r="B3756" s="38" t="s">
        <v>1858</v>
      </c>
      <c r="C3756" s="69">
        <f>IF(C3755="","",IF(AND(MONTH(C3755)&gt;=1,MONTH(C3755)&lt;=3),1,IF(AND(MONTH(C3755)&gt;=4,MONTH(C3755)&lt;=6),2,IF(AND(MONTH(C3755)&gt;=7,MONTH(C3755)&lt;=9),3,4))))</f>
        <v>2</v>
      </c>
      <c r="D3756" s="76"/>
      <c r="E3756" s="70" t="s">
        <v>2509</v>
      </c>
      <c r="F3756" s="71" t="s">
        <v>11612</v>
      </c>
    </row>
    <row r="3757" spans="1:10" ht="14.25" customHeight="1" x14ac:dyDescent="0.35">
      <c r="A3757" s="76"/>
      <c r="B3757" s="38" t="s">
        <v>13526</v>
      </c>
      <c r="C3757" s="68">
        <v>45471</v>
      </c>
      <c r="D3757" s="76"/>
      <c r="E3757" s="70" t="s">
        <v>3198</v>
      </c>
      <c r="F3757" s="71" t="s">
        <v>11612</v>
      </c>
    </row>
    <row r="3758" spans="1:10" ht="14.25" customHeight="1" x14ac:dyDescent="0.35">
      <c r="A3758" s="76"/>
      <c r="B3758" s="38" t="s">
        <v>1858</v>
      </c>
      <c r="C3758" s="69">
        <f>IF(C3757="","",IF(AND(MONTH(C3757)&gt;=1,MONTH(C3757)&lt;=3),1,IF(AND(MONTH(C3757)&gt;=4,MONTH(C3757)&lt;=6),2,IF(AND(MONTH(C3757)&gt;=7,MONTH(C3757)&lt;=9),3,4))))</f>
        <v>2</v>
      </c>
      <c r="D3758" s="76"/>
      <c r="E3758" s="70" t="s">
        <v>13785</v>
      </c>
      <c r="F3758" s="71"/>
    </row>
    <row r="3760" spans="1:10" ht="14.25" customHeight="1" x14ac:dyDescent="0.35">
      <c r="A3760" s="43" t="s">
        <v>16424</v>
      </c>
      <c r="B3760" s="43" t="s">
        <v>16856</v>
      </c>
      <c r="C3760" s="43" t="s">
        <v>16326</v>
      </c>
      <c r="D3760" s="43" t="s">
        <v>15925</v>
      </c>
      <c r="E3760" s="43" t="s">
        <v>7248</v>
      </c>
      <c r="F3760" s="43" t="s">
        <v>15955</v>
      </c>
    </row>
    <row r="3761" spans="1:10" ht="14.25" customHeight="1" x14ac:dyDescent="0.35">
      <c r="A3761" s="39" t="s">
        <v>2797</v>
      </c>
      <c r="B3761" s="40" t="str">
        <f t="shared" ref="B3761:B3767" ca="1" si="139">IFERROR(INDEX(UNSPSCDes,MATCH(INDIRECT(ADDRESS(ROW(),COLUMN()-1,4)),UNSPSCCode,0)),IF(INDIRECT(ADDRESS(ROW(),COLUMN()-1,4))="82101502","Publicidad en afiches",""))</f>
        <v>Publicidad en afiches</v>
      </c>
      <c r="C3761" s="72" t="str">
        <f>IFERROR(VLOOKUP("UD",'Informacion '!P:Q,2,FALSE),"")</f>
        <v>Unidad</v>
      </c>
      <c r="D3761" s="39">
        <v>6</v>
      </c>
      <c r="E3761" s="42">
        <v>1770</v>
      </c>
      <c r="F3761" s="41">
        <f t="shared" ref="F3761:F3774" ca="1" si="140">INDIRECT(ADDRESS(ROW(),COLUMN()-2,4))*INDIRECT(ADDRESS(ROW(),COLUMN()-1,4))</f>
        <v>10620</v>
      </c>
    </row>
    <row r="3762" spans="1:10" ht="14.25" customHeight="1" x14ac:dyDescent="0.35">
      <c r="A3762" s="39" t="s">
        <v>2797</v>
      </c>
      <c r="B3762" s="40" t="str">
        <f t="shared" ca="1" si="139"/>
        <v>Publicidad en afiches</v>
      </c>
      <c r="C3762" s="72" t="str">
        <f>IFERROR(VLOOKUP("UD",'Informacion '!P:Q,2,FALSE),"")</f>
        <v>Unidad</v>
      </c>
      <c r="D3762" s="39">
        <v>6</v>
      </c>
      <c r="E3762" s="42">
        <v>50000</v>
      </c>
      <c r="F3762" s="41">
        <f t="shared" ca="1" si="140"/>
        <v>300000</v>
      </c>
    </row>
    <row r="3763" spans="1:10" ht="14.25" customHeight="1" x14ac:dyDescent="0.35">
      <c r="A3763" s="39" t="s">
        <v>2797</v>
      </c>
      <c r="B3763" s="40" t="str">
        <f t="shared" ca="1" si="139"/>
        <v>Publicidad en afiches</v>
      </c>
      <c r="C3763" s="72" t="str">
        <f>IFERROR(VLOOKUP("UD",'Informacion '!P:Q,2,FALSE),"")</f>
        <v>Unidad</v>
      </c>
      <c r="D3763" s="39">
        <v>2</v>
      </c>
      <c r="E3763" s="42">
        <v>30000</v>
      </c>
      <c r="F3763" s="41">
        <f t="shared" ca="1" si="140"/>
        <v>60000</v>
      </c>
    </row>
    <row r="3764" spans="1:10" ht="14.25" customHeight="1" x14ac:dyDescent="0.35">
      <c r="A3764" s="39" t="s">
        <v>2797</v>
      </c>
      <c r="B3764" s="40" t="str">
        <f t="shared" ca="1" si="139"/>
        <v>Publicidad en afiches</v>
      </c>
      <c r="C3764" s="72" t="str">
        <f>IFERROR(VLOOKUP("UD",'Informacion '!P:Q,2,FALSE),"")</f>
        <v>Unidad</v>
      </c>
      <c r="D3764" s="39">
        <v>1</v>
      </c>
      <c r="E3764" s="42">
        <v>500000</v>
      </c>
      <c r="F3764" s="41">
        <f t="shared" ca="1" si="140"/>
        <v>500000</v>
      </c>
    </row>
    <row r="3765" spans="1:10" ht="14.25" customHeight="1" x14ac:dyDescent="0.35">
      <c r="A3765" s="39" t="s">
        <v>2797</v>
      </c>
      <c r="B3765" s="40" t="str">
        <f t="shared" ca="1" si="139"/>
        <v>Publicidad en afiches</v>
      </c>
      <c r="C3765" s="72" t="str">
        <f>IFERROR(VLOOKUP("UD",'Informacion '!P:Q,2,FALSE),"")</f>
        <v>Unidad</v>
      </c>
      <c r="D3765" s="39">
        <v>6</v>
      </c>
      <c r="E3765" s="42">
        <v>200000</v>
      </c>
      <c r="F3765" s="41">
        <f t="shared" ca="1" si="140"/>
        <v>1200000</v>
      </c>
    </row>
    <row r="3766" spans="1:10" ht="14.25" customHeight="1" x14ac:dyDescent="0.35">
      <c r="A3766" s="39" t="s">
        <v>2797</v>
      </c>
      <c r="B3766" s="40" t="str">
        <f t="shared" ca="1" si="139"/>
        <v>Publicidad en afiches</v>
      </c>
      <c r="C3766" s="72" t="str">
        <f>IFERROR(VLOOKUP("UD",'Informacion '!P:Q,2,FALSE),"")</f>
        <v>Unidad</v>
      </c>
      <c r="D3766" s="39">
        <v>1</v>
      </c>
      <c r="E3766" s="42">
        <v>50000</v>
      </c>
      <c r="F3766" s="41">
        <f t="shared" ca="1" si="140"/>
        <v>50000</v>
      </c>
    </row>
    <row r="3767" spans="1:10" ht="14.25" customHeight="1" x14ac:dyDescent="0.35">
      <c r="A3767" s="39" t="s">
        <v>2797</v>
      </c>
      <c r="B3767" s="40" t="str">
        <f t="shared" ca="1" si="139"/>
        <v>Publicidad en afiches</v>
      </c>
      <c r="C3767" s="72" t="str">
        <f>IFERROR(VLOOKUP("UD",'Informacion '!P:Q,2,FALSE),"")</f>
        <v>Unidad</v>
      </c>
      <c r="D3767" s="39">
        <v>2</v>
      </c>
      <c r="E3767" s="42">
        <v>47000</v>
      </c>
      <c r="F3767" s="41">
        <f t="shared" ca="1" si="140"/>
        <v>94000</v>
      </c>
    </row>
    <row r="3768" spans="1:10" ht="14.25" customHeight="1" x14ac:dyDescent="0.35">
      <c r="A3768" s="39" t="s">
        <v>7961</v>
      </c>
      <c r="B3768" s="40" t="str">
        <f ca="1">IFERROR(INDEX(UNSPSCDes,MATCH(INDIRECT(ADDRESS(ROW(),COLUMN()-1,4)),UNSPSCCode,0)),IF(INDIRECT(ADDRESS(ROW(),COLUMN()-1,4))="82101503","Publicidad en revistas",""))</f>
        <v>Publicidad en revistas</v>
      </c>
      <c r="C3768" s="72" t="str">
        <f>IFERROR(VLOOKUP("UD",'Informacion '!P:Q,2,FALSE),"")</f>
        <v>Unidad</v>
      </c>
      <c r="D3768" s="39">
        <v>1</v>
      </c>
      <c r="E3768" s="42">
        <v>550000</v>
      </c>
      <c r="F3768" s="41">
        <f t="shared" ca="1" si="140"/>
        <v>550000</v>
      </c>
    </row>
    <row r="3769" spans="1:10" ht="14.25" customHeight="1" x14ac:dyDescent="0.35">
      <c r="A3769" s="39" t="s">
        <v>6286</v>
      </c>
      <c r="B3769" s="40" t="str">
        <f ca="1">IFERROR(INDEX(UNSPSCDes,MATCH(INDIRECT(ADDRESS(ROW(),COLUMN()-1,4)),UNSPSCCode,0)),IF(INDIRECT(ADDRESS(ROW(),COLUMN()-1,4))="82101504","Publicidad en periódicos",""))</f>
        <v>Publicidad en periódicos</v>
      </c>
      <c r="C3769" s="72" t="str">
        <f>IFERROR(VLOOKUP("UD",'Informacion '!P:Q,2,FALSE),"")</f>
        <v>Unidad</v>
      </c>
      <c r="D3769" s="39">
        <v>6</v>
      </c>
      <c r="E3769" s="42">
        <v>1770</v>
      </c>
      <c r="F3769" s="41">
        <f t="shared" ca="1" si="140"/>
        <v>10620</v>
      </c>
    </row>
    <row r="3770" spans="1:10" ht="14.25" customHeight="1" x14ac:dyDescent="0.35">
      <c r="A3770" s="39" t="s">
        <v>6286</v>
      </c>
      <c r="B3770" s="40" t="str">
        <f ca="1">IFERROR(INDEX(UNSPSCDes,MATCH(INDIRECT(ADDRESS(ROW(),COLUMN()-1,4)),UNSPSCCode,0)),IF(INDIRECT(ADDRESS(ROW(),COLUMN()-1,4))="82101504","Publicidad en periódicos",""))</f>
        <v>Publicidad en periódicos</v>
      </c>
      <c r="C3770" s="72" t="str">
        <f>IFERROR(VLOOKUP("UD",'Informacion '!P:Q,2,FALSE),"")</f>
        <v>Unidad</v>
      </c>
      <c r="D3770" s="39">
        <v>4</v>
      </c>
      <c r="E3770" s="42">
        <v>50000</v>
      </c>
      <c r="F3770" s="41">
        <f t="shared" ca="1" si="140"/>
        <v>200000</v>
      </c>
    </row>
    <row r="3771" spans="1:10" ht="14.25" customHeight="1" x14ac:dyDescent="0.35">
      <c r="A3771" s="39" t="s">
        <v>6286</v>
      </c>
      <c r="B3771" s="40" t="str">
        <f ca="1">IFERROR(INDEX(UNSPSCDes,MATCH(INDIRECT(ADDRESS(ROW(),COLUMN()-1,4)),UNSPSCCode,0)),IF(INDIRECT(ADDRESS(ROW(),COLUMN()-1,4))="82101504","Publicidad en periódicos",""))</f>
        <v>Publicidad en periódicos</v>
      </c>
      <c r="C3771" s="72" t="str">
        <f>IFERROR(VLOOKUP("UD",'Informacion '!P:Q,2,FALSE),"")</f>
        <v>Unidad</v>
      </c>
      <c r="D3771" s="39">
        <v>1500</v>
      </c>
      <c r="E3771" s="42">
        <v>20.059999999999999</v>
      </c>
      <c r="F3771" s="41">
        <f t="shared" ca="1" si="140"/>
        <v>30089.999999999996</v>
      </c>
    </row>
    <row r="3772" spans="1:10" ht="14.25" customHeight="1" x14ac:dyDescent="0.35">
      <c r="A3772" s="39" t="s">
        <v>16136</v>
      </c>
      <c r="B3772" s="40" t="str">
        <f ca="1">IFERROR(INDEX(UNSPSCDes,MATCH(INDIRECT(ADDRESS(ROW(),COLUMN()-1,4)),UNSPSCCode,0)),IF(INDIRECT(ADDRESS(ROW(),COLUMN()-1,4))="82101603","Publicidad en internet",""))</f>
        <v>Publicidad en internet</v>
      </c>
      <c r="C3772" s="72" t="str">
        <f>IFERROR(VLOOKUP("UD",'Informacion '!P:Q,2,FALSE),"")</f>
        <v>Unidad</v>
      </c>
      <c r="D3772" s="39">
        <v>4</v>
      </c>
      <c r="E3772" s="42">
        <v>100000</v>
      </c>
      <c r="F3772" s="41">
        <f t="shared" ca="1" si="140"/>
        <v>400000</v>
      </c>
    </row>
    <row r="3773" spans="1:10" ht="14.25" customHeight="1" x14ac:dyDescent="0.35">
      <c r="A3773" s="39" t="s">
        <v>16136</v>
      </c>
      <c r="B3773" s="40" t="str">
        <f ca="1">IFERROR(INDEX(UNSPSCDes,MATCH(INDIRECT(ADDRESS(ROW(),COLUMN()-1,4)),UNSPSCCode,0)),IF(INDIRECT(ADDRESS(ROW(),COLUMN()-1,4))="82101603","Publicidad en internet",""))</f>
        <v>Publicidad en internet</v>
      </c>
      <c r="C3773" s="72" t="str">
        <f>IFERROR(VLOOKUP("UD",'Informacion '!P:Q,2,FALSE),"")</f>
        <v>Unidad</v>
      </c>
      <c r="D3773" s="39">
        <v>2</v>
      </c>
      <c r="E3773" s="42">
        <v>100000</v>
      </c>
      <c r="F3773" s="41">
        <f t="shared" ca="1" si="140"/>
        <v>200000</v>
      </c>
    </row>
    <row r="3774" spans="1:10" ht="14.25" customHeight="1" x14ac:dyDescent="0.35">
      <c r="A3774" s="39" t="s">
        <v>5527</v>
      </c>
      <c r="B3774" s="40" t="str">
        <f ca="1">IFERROR(INDEX(UNSPSCDes,MATCH(INDIRECT(ADDRESS(ROW(),COLUMN()-1,4)),UNSPSCCode,0)),IF(INDIRECT(ADDRESS(ROW(),COLUMN()-1,4))="82101905","Inserción en medios impresos",""))</f>
        <v>Inserción en medios impresos</v>
      </c>
      <c r="C3774" s="72" t="str">
        <f>IFERROR(VLOOKUP("UD",'Informacion '!P:Q,2,FALSE),"")</f>
        <v>Unidad</v>
      </c>
      <c r="D3774" s="39">
        <v>12</v>
      </c>
      <c r="E3774" s="42">
        <v>3100</v>
      </c>
      <c r="F3774" s="41">
        <f t="shared" ca="1" si="140"/>
        <v>37200</v>
      </c>
    </row>
    <row r="3775" spans="1:10" ht="14.25" customHeight="1" x14ac:dyDescent="0.35">
      <c r="E3775" s="44" t="s">
        <v>13122</v>
      </c>
      <c r="F3775" s="45">
        <f ca="1">SUM(Table200[MONTO TOTAL ESTIMADO])</f>
        <v>3642530</v>
      </c>
      <c r="H3775" s="24" t="str">
        <f>C3754</f>
        <v>Servicios</v>
      </c>
      <c r="I3775" s="24" t="str">
        <f>E3754</f>
        <v>No</v>
      </c>
      <c r="J3775" s="24" t="str">
        <f>D3754</f>
        <v>Comparacion de Precios</v>
      </c>
    </row>
    <row r="3777" spans="1:6" ht="34" customHeight="1" x14ac:dyDescent="0.35">
      <c r="A3777" s="36" t="s">
        <v>17105</v>
      </c>
      <c r="B3777" s="36" t="s">
        <v>167</v>
      </c>
      <c r="C3777" s="36" t="s">
        <v>12252</v>
      </c>
      <c r="D3777" s="36" t="s">
        <v>15021</v>
      </c>
      <c r="E3777" s="36" t="s">
        <v>11455</v>
      </c>
      <c r="F3777" s="36" t="s">
        <v>11595</v>
      </c>
    </row>
    <row r="3778" spans="1:6" ht="14.25" customHeight="1" x14ac:dyDescent="0.35">
      <c r="A3778" s="37" t="s">
        <v>18177</v>
      </c>
      <c r="B3778" s="37" t="s">
        <v>18177</v>
      </c>
      <c r="C3778" s="37" t="s">
        <v>7109</v>
      </c>
      <c r="D3778" s="37" t="s">
        <v>1950</v>
      </c>
      <c r="E3778" s="37" t="s">
        <v>18646</v>
      </c>
      <c r="F3778" s="37" t="s">
        <v>7088</v>
      </c>
    </row>
    <row r="3779" spans="1:6" ht="14.25" customHeight="1" x14ac:dyDescent="0.35">
      <c r="A3779" s="75" t="s">
        <v>15490</v>
      </c>
      <c r="B3779" s="38" t="s">
        <v>8918</v>
      </c>
      <c r="C3779" s="68">
        <v>45480</v>
      </c>
      <c r="D3779" s="75" t="s">
        <v>9819</v>
      </c>
      <c r="E3779" s="70" t="s">
        <v>13683</v>
      </c>
      <c r="F3779" s="71" t="s">
        <v>3205</v>
      </c>
    </row>
    <row r="3780" spans="1:6" ht="14.25" customHeight="1" x14ac:dyDescent="0.35">
      <c r="A3780" s="76"/>
      <c r="B3780" s="38" t="s">
        <v>1858</v>
      </c>
      <c r="C3780" s="69">
        <f>IF(C3779="","",IF(AND(MONTH(C3779)&gt;=1,MONTH(C3779)&lt;=3),1,IF(AND(MONTH(C3779)&gt;=4,MONTH(C3779)&lt;=6),2,IF(AND(MONTH(C3779)&gt;=7,MONTH(C3779)&lt;=9),3,4))))</f>
        <v>3</v>
      </c>
      <c r="D3780" s="76"/>
      <c r="E3780" s="70" t="s">
        <v>2509</v>
      </c>
      <c r="F3780" s="71" t="s">
        <v>11612</v>
      </c>
    </row>
    <row r="3781" spans="1:6" ht="14.25" customHeight="1" x14ac:dyDescent="0.35">
      <c r="A3781" s="76"/>
      <c r="B3781" s="38" t="s">
        <v>13526</v>
      </c>
      <c r="C3781" s="68">
        <v>45565</v>
      </c>
      <c r="D3781" s="76"/>
      <c r="E3781" s="70" t="s">
        <v>3198</v>
      </c>
      <c r="F3781" s="71" t="s">
        <v>11612</v>
      </c>
    </row>
    <row r="3782" spans="1:6" ht="14.25" customHeight="1" x14ac:dyDescent="0.35">
      <c r="A3782" s="76"/>
      <c r="B3782" s="38" t="s">
        <v>1858</v>
      </c>
      <c r="C3782" s="69">
        <f>IF(C3781="","",IF(AND(MONTH(C3781)&gt;=1,MONTH(C3781)&lt;=3),1,IF(AND(MONTH(C3781)&gt;=4,MONTH(C3781)&lt;=6),2,IF(AND(MONTH(C3781)&gt;=7,MONTH(C3781)&lt;=9),3,4))))</f>
        <v>3</v>
      </c>
      <c r="D3782" s="76"/>
      <c r="E3782" s="70" t="s">
        <v>13785</v>
      </c>
      <c r="F3782" s="71"/>
    </row>
    <row r="3784" spans="1:6" ht="14.25" customHeight="1" x14ac:dyDescent="0.35">
      <c r="A3784" s="43" t="s">
        <v>16424</v>
      </c>
      <c r="B3784" s="43" t="s">
        <v>16856</v>
      </c>
      <c r="C3784" s="43" t="s">
        <v>16326</v>
      </c>
      <c r="D3784" s="43" t="s">
        <v>15925</v>
      </c>
      <c r="E3784" s="43" t="s">
        <v>7248</v>
      </c>
      <c r="F3784" s="43" t="s">
        <v>15955</v>
      </c>
    </row>
    <row r="3785" spans="1:6" ht="14.25" customHeight="1" x14ac:dyDescent="0.35">
      <c r="A3785" s="39" t="s">
        <v>2797</v>
      </c>
      <c r="B3785" s="40" t="str">
        <f t="shared" ref="B3785:B3791" ca="1" si="141">IFERROR(INDEX(UNSPSCDes,MATCH(INDIRECT(ADDRESS(ROW(),COLUMN()-1,4)),UNSPSCCode,0)),IF(INDIRECT(ADDRESS(ROW(),COLUMN()-1,4))="82101502","Publicidad en afiches",""))</f>
        <v>Publicidad en afiches</v>
      </c>
      <c r="C3785" s="72" t="str">
        <f>IFERROR(VLOOKUP("UD",'Informacion '!P:Q,2,FALSE),"")</f>
        <v>Unidad</v>
      </c>
      <c r="D3785" s="39">
        <v>6</v>
      </c>
      <c r="E3785" s="42">
        <v>1770</v>
      </c>
      <c r="F3785" s="41">
        <f t="shared" ref="F3785:F3795" ca="1" si="142">INDIRECT(ADDRESS(ROW(),COLUMN()-2,4))*INDIRECT(ADDRESS(ROW(),COLUMN()-1,4))</f>
        <v>10620</v>
      </c>
    </row>
    <row r="3786" spans="1:6" ht="14.25" customHeight="1" x14ac:dyDescent="0.35">
      <c r="A3786" s="39" t="s">
        <v>2797</v>
      </c>
      <c r="B3786" s="40" t="str">
        <f t="shared" ca="1" si="141"/>
        <v>Publicidad en afiches</v>
      </c>
      <c r="C3786" s="72" t="str">
        <f>IFERROR(VLOOKUP("UD",'Informacion '!P:Q,2,FALSE),"")</f>
        <v>Unidad</v>
      </c>
      <c r="D3786" s="39">
        <v>6</v>
      </c>
      <c r="E3786" s="42">
        <v>50000</v>
      </c>
      <c r="F3786" s="41">
        <f t="shared" ca="1" si="142"/>
        <v>300000</v>
      </c>
    </row>
    <row r="3787" spans="1:6" ht="14.25" customHeight="1" x14ac:dyDescent="0.35">
      <c r="A3787" s="39" t="s">
        <v>2797</v>
      </c>
      <c r="B3787" s="40" t="str">
        <f t="shared" ca="1" si="141"/>
        <v>Publicidad en afiches</v>
      </c>
      <c r="C3787" s="72" t="str">
        <f>IFERROR(VLOOKUP("UD",'Informacion '!P:Q,2,FALSE),"")</f>
        <v>Unidad</v>
      </c>
      <c r="D3787" s="39">
        <v>1</v>
      </c>
      <c r="E3787" s="42">
        <v>30000</v>
      </c>
      <c r="F3787" s="41">
        <f t="shared" ca="1" si="142"/>
        <v>30000</v>
      </c>
    </row>
    <row r="3788" spans="1:6" ht="14.25" customHeight="1" x14ac:dyDescent="0.35">
      <c r="A3788" s="39" t="s">
        <v>2797</v>
      </c>
      <c r="B3788" s="40" t="str">
        <f t="shared" ca="1" si="141"/>
        <v>Publicidad en afiches</v>
      </c>
      <c r="C3788" s="72" t="str">
        <f>IFERROR(VLOOKUP("UD",'Informacion '!P:Q,2,FALSE),"")</f>
        <v>Unidad</v>
      </c>
      <c r="D3788" s="39">
        <v>2</v>
      </c>
      <c r="E3788" s="42">
        <v>500000</v>
      </c>
      <c r="F3788" s="41">
        <f t="shared" ca="1" si="142"/>
        <v>1000000</v>
      </c>
    </row>
    <row r="3789" spans="1:6" ht="14.25" customHeight="1" x14ac:dyDescent="0.35">
      <c r="A3789" s="39" t="s">
        <v>2797</v>
      </c>
      <c r="B3789" s="40" t="str">
        <f t="shared" ca="1" si="141"/>
        <v>Publicidad en afiches</v>
      </c>
      <c r="C3789" s="72" t="str">
        <f>IFERROR(VLOOKUP("UD",'Informacion '!P:Q,2,FALSE),"")</f>
        <v>Unidad</v>
      </c>
      <c r="D3789" s="39">
        <v>6</v>
      </c>
      <c r="E3789" s="42">
        <v>200000</v>
      </c>
      <c r="F3789" s="41">
        <f t="shared" ca="1" si="142"/>
        <v>1200000</v>
      </c>
    </row>
    <row r="3790" spans="1:6" ht="14.25" customHeight="1" x14ac:dyDescent="0.35">
      <c r="A3790" s="39" t="s">
        <v>2797</v>
      </c>
      <c r="B3790" s="40" t="str">
        <f t="shared" ca="1" si="141"/>
        <v>Publicidad en afiches</v>
      </c>
      <c r="C3790" s="72" t="str">
        <f>IFERROR(VLOOKUP("UD",'Informacion '!P:Q,2,FALSE),"")</f>
        <v>Unidad</v>
      </c>
      <c r="D3790" s="39">
        <v>2</v>
      </c>
      <c r="E3790" s="42">
        <v>50000</v>
      </c>
      <c r="F3790" s="41">
        <f t="shared" ca="1" si="142"/>
        <v>100000</v>
      </c>
    </row>
    <row r="3791" spans="1:6" ht="14.25" customHeight="1" x14ac:dyDescent="0.35">
      <c r="A3791" s="39" t="s">
        <v>2797</v>
      </c>
      <c r="B3791" s="40" t="str">
        <f t="shared" ca="1" si="141"/>
        <v>Publicidad en afiches</v>
      </c>
      <c r="C3791" s="72" t="str">
        <f>IFERROR(VLOOKUP("UD",'Informacion '!P:Q,2,FALSE),"")</f>
        <v>Unidad</v>
      </c>
      <c r="D3791" s="39">
        <v>1</v>
      </c>
      <c r="E3791" s="42">
        <v>47000</v>
      </c>
      <c r="F3791" s="41">
        <f t="shared" ca="1" si="142"/>
        <v>47000</v>
      </c>
    </row>
    <row r="3792" spans="1:6" ht="14.25" customHeight="1" x14ac:dyDescent="0.35">
      <c r="A3792" s="39" t="s">
        <v>6286</v>
      </c>
      <c r="B3792" s="40" t="str">
        <f ca="1">IFERROR(INDEX(UNSPSCDes,MATCH(INDIRECT(ADDRESS(ROW(),COLUMN()-1,4)),UNSPSCCode,0)),IF(INDIRECT(ADDRESS(ROW(),COLUMN()-1,4))="82101504","Publicidad en periódicos",""))</f>
        <v>Publicidad en periódicos</v>
      </c>
      <c r="C3792" s="72" t="str">
        <f>IFERROR(VLOOKUP("UD",'Informacion '!P:Q,2,FALSE),"")</f>
        <v>Unidad</v>
      </c>
      <c r="D3792" s="39">
        <v>1000</v>
      </c>
      <c r="E3792" s="42">
        <v>20.059999999999999</v>
      </c>
      <c r="F3792" s="41">
        <f t="shared" ca="1" si="142"/>
        <v>20060</v>
      </c>
    </row>
    <row r="3793" spans="1:10" ht="14.25" customHeight="1" x14ac:dyDescent="0.35">
      <c r="A3793" s="39" t="s">
        <v>6286</v>
      </c>
      <c r="B3793" s="40" t="str">
        <f ca="1">IFERROR(INDEX(UNSPSCDes,MATCH(INDIRECT(ADDRESS(ROW(),COLUMN()-1,4)),UNSPSCCode,0)),IF(INDIRECT(ADDRESS(ROW(),COLUMN()-1,4))="82101504","Publicidad en periódicos",""))</f>
        <v>Publicidad en periódicos</v>
      </c>
      <c r="C3793" s="72" t="str">
        <f>IFERROR(VLOOKUP("UD",'Informacion '!P:Q,2,FALSE),"")</f>
        <v>Unidad</v>
      </c>
      <c r="D3793" s="39">
        <v>1</v>
      </c>
      <c r="E3793" s="42">
        <v>123900</v>
      </c>
      <c r="F3793" s="41">
        <f t="shared" ca="1" si="142"/>
        <v>123900</v>
      </c>
    </row>
    <row r="3794" spans="1:10" ht="14.25" customHeight="1" x14ac:dyDescent="0.35">
      <c r="A3794" s="39" t="s">
        <v>16136</v>
      </c>
      <c r="B3794" s="40" t="str">
        <f ca="1">IFERROR(INDEX(UNSPSCDes,MATCH(INDIRECT(ADDRESS(ROW(),COLUMN()-1,4)),UNSPSCCode,0)),IF(INDIRECT(ADDRESS(ROW(),COLUMN()-1,4))="82101603","Publicidad en internet",""))</f>
        <v>Publicidad en internet</v>
      </c>
      <c r="C3794" s="72" t="str">
        <f>IFERROR(VLOOKUP("UD",'Informacion '!P:Q,2,FALSE),"")</f>
        <v>Unidad</v>
      </c>
      <c r="D3794" s="39">
        <v>1</v>
      </c>
      <c r="E3794" s="42">
        <v>100000</v>
      </c>
      <c r="F3794" s="41">
        <f t="shared" ca="1" si="142"/>
        <v>100000</v>
      </c>
    </row>
    <row r="3795" spans="1:10" ht="14.25" customHeight="1" x14ac:dyDescent="0.35">
      <c r="A3795" s="39" t="s">
        <v>5527</v>
      </c>
      <c r="B3795" s="40" t="str">
        <f ca="1">IFERROR(INDEX(UNSPSCDes,MATCH(INDIRECT(ADDRESS(ROW(),COLUMN()-1,4)),UNSPSCCode,0)),IF(INDIRECT(ADDRESS(ROW(),COLUMN()-1,4))="82101905","Inserción en medios impresos",""))</f>
        <v>Inserción en medios impresos</v>
      </c>
      <c r="C3795" s="72" t="str">
        <f>IFERROR(VLOOKUP("UD",'Informacion '!P:Q,2,FALSE),"")</f>
        <v>Unidad</v>
      </c>
      <c r="D3795" s="39">
        <v>12</v>
      </c>
      <c r="E3795" s="42">
        <v>3100</v>
      </c>
      <c r="F3795" s="41">
        <f t="shared" ca="1" si="142"/>
        <v>37200</v>
      </c>
    </row>
    <row r="3796" spans="1:10" ht="14.25" customHeight="1" x14ac:dyDescent="0.35">
      <c r="E3796" s="44" t="s">
        <v>13122</v>
      </c>
      <c r="F3796" s="45">
        <f ca="1">SUM(Table201[MONTO TOTAL ESTIMADO])</f>
        <v>2968780</v>
      </c>
      <c r="H3796" s="24" t="str">
        <f>C3778</f>
        <v>Servicios</v>
      </c>
      <c r="I3796" s="24" t="str">
        <f>E3778</f>
        <v>No</v>
      </c>
      <c r="J3796" s="24" t="str">
        <f>D3778</f>
        <v>Comparacion de Precios</v>
      </c>
    </row>
    <row r="3798" spans="1:10" ht="34" customHeight="1" x14ac:dyDescent="0.35">
      <c r="A3798" s="36" t="s">
        <v>17105</v>
      </c>
      <c r="B3798" s="36" t="s">
        <v>167</v>
      </c>
      <c r="C3798" s="36" t="s">
        <v>12252</v>
      </c>
      <c r="D3798" s="36" t="s">
        <v>15021</v>
      </c>
      <c r="E3798" s="36" t="s">
        <v>11455</v>
      </c>
      <c r="F3798" s="36" t="s">
        <v>11595</v>
      </c>
    </row>
    <row r="3799" spans="1:10" ht="14.25" customHeight="1" x14ac:dyDescent="0.35">
      <c r="A3799" s="37" t="s">
        <v>18177</v>
      </c>
      <c r="B3799" s="37" t="s">
        <v>18177</v>
      </c>
      <c r="C3799" s="37" t="s">
        <v>7109</v>
      </c>
      <c r="D3799" s="37" t="s">
        <v>18256</v>
      </c>
      <c r="E3799" s="37" t="s">
        <v>18646</v>
      </c>
      <c r="F3799" s="37" t="s">
        <v>7088</v>
      </c>
    </row>
    <row r="3800" spans="1:10" ht="14.25" customHeight="1" x14ac:dyDescent="0.35">
      <c r="A3800" s="75" t="s">
        <v>15490</v>
      </c>
      <c r="B3800" s="38" t="s">
        <v>8918</v>
      </c>
      <c r="C3800" s="68">
        <v>45566</v>
      </c>
      <c r="D3800" s="75" t="s">
        <v>9819</v>
      </c>
      <c r="E3800" s="70" t="s">
        <v>13683</v>
      </c>
      <c r="F3800" s="71" t="s">
        <v>3205</v>
      </c>
    </row>
    <row r="3801" spans="1:10" ht="14.25" customHeight="1" x14ac:dyDescent="0.35">
      <c r="A3801" s="76"/>
      <c r="B3801" s="38" t="s">
        <v>1858</v>
      </c>
      <c r="C3801" s="69">
        <f>IF(C3800="","",IF(AND(MONTH(C3800)&gt;=1,MONTH(C3800)&lt;=3),1,IF(AND(MONTH(C3800)&gt;=4,MONTH(C3800)&lt;=6),2,IF(AND(MONTH(C3800)&gt;=7,MONTH(C3800)&lt;=9),3,4))))</f>
        <v>4</v>
      </c>
      <c r="D3801" s="76"/>
      <c r="E3801" s="70" t="s">
        <v>2509</v>
      </c>
      <c r="F3801" s="71" t="s">
        <v>11612</v>
      </c>
    </row>
    <row r="3802" spans="1:10" ht="14.25" customHeight="1" x14ac:dyDescent="0.35">
      <c r="A3802" s="76"/>
      <c r="B3802" s="38" t="s">
        <v>13526</v>
      </c>
      <c r="C3802" s="68">
        <v>45657</v>
      </c>
      <c r="D3802" s="76"/>
      <c r="E3802" s="70" t="s">
        <v>3198</v>
      </c>
      <c r="F3802" s="71" t="s">
        <v>11612</v>
      </c>
    </row>
    <row r="3803" spans="1:10" ht="14.25" customHeight="1" x14ac:dyDescent="0.35">
      <c r="A3803" s="76"/>
      <c r="B3803" s="38" t="s">
        <v>1858</v>
      </c>
      <c r="C3803" s="69">
        <f>IF(C3802="","",IF(AND(MONTH(C3802)&gt;=1,MONTH(C3802)&lt;=3),1,IF(AND(MONTH(C3802)&gt;=4,MONTH(C3802)&lt;=6),2,IF(AND(MONTH(C3802)&gt;=7,MONTH(C3802)&lt;=9),3,4))))</f>
        <v>4</v>
      </c>
      <c r="D3803" s="76"/>
      <c r="E3803" s="70" t="s">
        <v>13785</v>
      </c>
      <c r="F3803" s="71"/>
    </row>
    <row r="3805" spans="1:10" ht="14.25" customHeight="1" x14ac:dyDescent="0.35">
      <c r="A3805" s="43" t="s">
        <v>16424</v>
      </c>
      <c r="B3805" s="43" t="s">
        <v>16856</v>
      </c>
      <c r="C3805" s="43" t="s">
        <v>16326</v>
      </c>
      <c r="D3805" s="43" t="s">
        <v>15925</v>
      </c>
      <c r="E3805" s="43" t="s">
        <v>7248</v>
      </c>
      <c r="F3805" s="43" t="s">
        <v>15955</v>
      </c>
    </row>
    <row r="3806" spans="1:10" ht="14.25" customHeight="1" x14ac:dyDescent="0.35">
      <c r="A3806" s="39" t="s">
        <v>2797</v>
      </c>
      <c r="B3806" s="40" t="str">
        <f ca="1">IFERROR(INDEX(UNSPSCDes,MATCH(INDIRECT(ADDRESS(ROW(),COLUMN()-1,4)),UNSPSCCode,0)),IF(INDIRECT(ADDRESS(ROW(),COLUMN()-1,4))="82101502","Publicidad en afiches",""))</f>
        <v>Publicidad en afiches</v>
      </c>
      <c r="C3806" s="72" t="str">
        <f>IFERROR(VLOOKUP("UD",'Informacion '!P:Q,2,FALSE),"")</f>
        <v>Unidad</v>
      </c>
      <c r="D3806" s="39">
        <v>2</v>
      </c>
      <c r="E3806" s="42">
        <v>1770</v>
      </c>
      <c r="F3806" s="41">
        <f t="shared" ref="F3806:F3811" ca="1" si="143">INDIRECT(ADDRESS(ROW(),COLUMN()-2,4))*INDIRECT(ADDRESS(ROW(),COLUMN()-1,4))</f>
        <v>3540</v>
      </c>
    </row>
    <row r="3807" spans="1:10" ht="14.25" customHeight="1" x14ac:dyDescent="0.35">
      <c r="A3807" s="39" t="s">
        <v>2797</v>
      </c>
      <c r="B3807" s="40" t="str">
        <f ca="1">IFERROR(INDEX(UNSPSCDes,MATCH(INDIRECT(ADDRESS(ROW(),COLUMN()-1,4)),UNSPSCCode,0)),IF(INDIRECT(ADDRESS(ROW(),COLUMN()-1,4))="82101502","Publicidad en afiches",""))</f>
        <v>Publicidad en afiches</v>
      </c>
      <c r="C3807" s="72" t="str">
        <f>IFERROR(VLOOKUP("UD",'Informacion '!P:Q,2,FALSE),"")</f>
        <v>Unidad</v>
      </c>
      <c r="D3807" s="39">
        <v>2</v>
      </c>
      <c r="E3807" s="42">
        <v>50000</v>
      </c>
      <c r="F3807" s="41">
        <f t="shared" ca="1" si="143"/>
        <v>100000</v>
      </c>
    </row>
    <row r="3808" spans="1:10" ht="14.25" customHeight="1" x14ac:dyDescent="0.35">
      <c r="A3808" s="39" t="s">
        <v>2797</v>
      </c>
      <c r="B3808" s="40" t="str">
        <f ca="1">IFERROR(INDEX(UNSPSCDes,MATCH(INDIRECT(ADDRESS(ROW(),COLUMN()-1,4)),UNSPSCCode,0)),IF(INDIRECT(ADDRESS(ROW(),COLUMN()-1,4))="82101502","Publicidad en afiches",""))</f>
        <v>Publicidad en afiches</v>
      </c>
      <c r="C3808" s="72" t="str">
        <f>IFERROR(VLOOKUP("UD",'Informacion '!P:Q,2,FALSE),"")</f>
        <v>Unidad</v>
      </c>
      <c r="D3808" s="39">
        <v>1</v>
      </c>
      <c r="E3808" s="42">
        <v>30000</v>
      </c>
      <c r="F3808" s="41">
        <f t="shared" ca="1" si="143"/>
        <v>30000</v>
      </c>
    </row>
    <row r="3809" spans="1:10" ht="14.25" customHeight="1" x14ac:dyDescent="0.35">
      <c r="A3809" s="39" t="s">
        <v>2797</v>
      </c>
      <c r="B3809" s="40" t="str">
        <f ca="1">IFERROR(INDEX(UNSPSCDes,MATCH(INDIRECT(ADDRESS(ROW(),COLUMN()-1,4)),UNSPSCCode,0)),IF(INDIRECT(ADDRESS(ROW(),COLUMN()-1,4))="82101502","Publicidad en afiches",""))</f>
        <v>Publicidad en afiches</v>
      </c>
      <c r="C3809" s="72" t="str">
        <f>IFERROR(VLOOKUP("UD",'Informacion '!P:Q,2,FALSE),"")</f>
        <v>Unidad</v>
      </c>
      <c r="D3809" s="39">
        <v>2</v>
      </c>
      <c r="E3809" s="42">
        <v>200000</v>
      </c>
      <c r="F3809" s="41">
        <f t="shared" ca="1" si="143"/>
        <v>400000</v>
      </c>
    </row>
    <row r="3810" spans="1:10" ht="14.25" customHeight="1" x14ac:dyDescent="0.35">
      <c r="A3810" s="39" t="s">
        <v>2797</v>
      </c>
      <c r="B3810" s="40" t="str">
        <f ca="1">IFERROR(INDEX(UNSPSCDes,MATCH(INDIRECT(ADDRESS(ROW(),COLUMN()-1,4)),UNSPSCCode,0)),IF(INDIRECT(ADDRESS(ROW(),COLUMN()-1,4))="82101502","Publicidad en afiches",""))</f>
        <v>Publicidad en afiches</v>
      </c>
      <c r="C3810" s="72" t="str">
        <f>IFERROR(VLOOKUP("UD",'Informacion '!P:Q,2,FALSE),"")</f>
        <v>Unidad</v>
      </c>
      <c r="D3810" s="39">
        <v>1</v>
      </c>
      <c r="E3810" s="42">
        <v>47000</v>
      </c>
      <c r="F3810" s="41">
        <f t="shared" ca="1" si="143"/>
        <v>47000</v>
      </c>
    </row>
    <row r="3811" spans="1:10" ht="14.25" customHeight="1" x14ac:dyDescent="0.35">
      <c r="A3811" s="39" t="s">
        <v>6286</v>
      </c>
      <c r="B3811" s="40" t="str">
        <f ca="1">IFERROR(INDEX(UNSPSCDes,MATCH(INDIRECT(ADDRESS(ROW(),COLUMN()-1,4)),UNSPSCCode,0)),IF(INDIRECT(ADDRESS(ROW(),COLUMN()-1,4))="82101504","Publicidad en periódicos",""))</f>
        <v>Publicidad en periódicos</v>
      </c>
      <c r="C3811" s="72" t="str">
        <f>IFERROR(VLOOKUP("UD",'Informacion '!P:Q,2,FALSE),"")</f>
        <v>Unidad</v>
      </c>
      <c r="D3811" s="39">
        <v>1500</v>
      </c>
      <c r="E3811" s="42">
        <v>20.059999999999999</v>
      </c>
      <c r="F3811" s="41">
        <f t="shared" ca="1" si="143"/>
        <v>30089.999999999996</v>
      </c>
    </row>
    <row r="3812" spans="1:10" ht="14.25" customHeight="1" x14ac:dyDescent="0.35">
      <c r="E3812" s="44" t="s">
        <v>13122</v>
      </c>
      <c r="F3812" s="45">
        <f ca="1">SUM(Table202[MONTO TOTAL ESTIMADO])</f>
        <v>610630</v>
      </c>
      <c r="H3812" s="24" t="str">
        <f>C3799</f>
        <v>Servicios</v>
      </c>
      <c r="I3812" s="24" t="str">
        <f>E3799</f>
        <v>No</v>
      </c>
      <c r="J3812" s="24" t="str">
        <f>D3799</f>
        <v>Compras Menores</v>
      </c>
    </row>
    <row r="3814" spans="1:10" ht="34" customHeight="1" x14ac:dyDescent="0.35">
      <c r="A3814" s="36" t="s">
        <v>17105</v>
      </c>
      <c r="B3814" s="36" t="s">
        <v>167</v>
      </c>
      <c r="C3814" s="36" t="s">
        <v>12252</v>
      </c>
      <c r="D3814" s="36" t="s">
        <v>15021</v>
      </c>
      <c r="E3814" s="36" t="s">
        <v>11455</v>
      </c>
      <c r="F3814" s="36" t="s">
        <v>11595</v>
      </c>
    </row>
    <row r="3815" spans="1:10" ht="14.25" customHeight="1" x14ac:dyDescent="0.35">
      <c r="A3815" s="37" t="s">
        <v>12117</v>
      </c>
      <c r="B3815" s="37" t="s">
        <v>12117</v>
      </c>
      <c r="C3815" s="37" t="s">
        <v>7109</v>
      </c>
      <c r="D3815" s="37" t="s">
        <v>2615</v>
      </c>
      <c r="E3815" s="37" t="s">
        <v>18646</v>
      </c>
      <c r="F3815" s="37" t="s">
        <v>7088</v>
      </c>
    </row>
    <row r="3816" spans="1:10" ht="14.25" customHeight="1" x14ac:dyDescent="0.35">
      <c r="A3816" s="75" t="s">
        <v>15490</v>
      </c>
      <c r="B3816" s="38" t="s">
        <v>8918</v>
      </c>
      <c r="C3816" s="68">
        <v>45334</v>
      </c>
      <c r="D3816" s="75" t="s">
        <v>9819</v>
      </c>
      <c r="E3816" s="70" t="s">
        <v>13683</v>
      </c>
      <c r="F3816" s="71" t="s">
        <v>3205</v>
      </c>
    </row>
    <row r="3817" spans="1:10" ht="14.25" customHeight="1" x14ac:dyDescent="0.35">
      <c r="A3817" s="76"/>
      <c r="B3817" s="38" t="s">
        <v>1858</v>
      </c>
      <c r="C3817" s="69">
        <f>IF(C3816="","",IF(AND(MONTH(C3816)&gt;=1,MONTH(C3816)&lt;=3),1,IF(AND(MONTH(C3816)&gt;=4,MONTH(C3816)&lt;=6),2,IF(AND(MONTH(C3816)&gt;=7,MONTH(C3816)&lt;=9),3,4))))</f>
        <v>1</v>
      </c>
      <c r="D3817" s="76"/>
      <c r="E3817" s="70" t="s">
        <v>2509</v>
      </c>
      <c r="F3817" s="71" t="s">
        <v>11612</v>
      </c>
    </row>
    <row r="3818" spans="1:10" ht="14.25" customHeight="1" x14ac:dyDescent="0.35">
      <c r="A3818" s="76"/>
      <c r="B3818" s="38" t="s">
        <v>13526</v>
      </c>
      <c r="C3818" s="68">
        <v>45378</v>
      </c>
      <c r="D3818" s="76"/>
      <c r="E3818" s="70" t="s">
        <v>3198</v>
      </c>
      <c r="F3818" s="71" t="s">
        <v>11612</v>
      </c>
    </row>
    <row r="3819" spans="1:10" ht="14.25" customHeight="1" x14ac:dyDescent="0.35">
      <c r="A3819" s="76"/>
      <c r="B3819" s="38" t="s">
        <v>1858</v>
      </c>
      <c r="C3819" s="69">
        <f>IF(C3818="","",IF(AND(MONTH(C3818)&gt;=1,MONTH(C3818)&lt;=3),1,IF(AND(MONTH(C3818)&gt;=4,MONTH(C3818)&lt;=6),2,IF(AND(MONTH(C3818)&gt;=7,MONTH(C3818)&lt;=9),3,4))))</f>
        <v>1</v>
      </c>
      <c r="D3819" s="76"/>
      <c r="E3819" s="70" t="s">
        <v>13785</v>
      </c>
      <c r="F3819" s="71"/>
    </row>
    <row r="3821" spans="1:10" ht="14.25" customHeight="1" x14ac:dyDescent="0.35">
      <c r="A3821" s="43" t="s">
        <v>16424</v>
      </c>
      <c r="B3821" s="43" t="s">
        <v>16856</v>
      </c>
      <c r="C3821" s="43" t="s">
        <v>16326</v>
      </c>
      <c r="D3821" s="43" t="s">
        <v>15925</v>
      </c>
      <c r="E3821" s="43" t="s">
        <v>7248</v>
      </c>
      <c r="F3821" s="43" t="s">
        <v>15955</v>
      </c>
    </row>
    <row r="3822" spans="1:10" ht="14.25" customHeight="1" x14ac:dyDescent="0.35">
      <c r="A3822" s="39" t="s">
        <v>12105</v>
      </c>
      <c r="B3822" s="40" t="str">
        <f ca="1">IFERROR(INDEX(UNSPSCDes,MATCH(INDIRECT(ADDRESS(ROW(),COLUMN()-1,4)),UNSPSCCode,0)),IF(INDIRECT(ADDRESS(ROW(),COLUMN()-1,4))="82111501","Servicios de redacción  de instrucciones",""))</f>
        <v>Servicios de redacción  de instrucciones</v>
      </c>
      <c r="C3822" s="72" t="str">
        <f>IFERROR(VLOOKUP("UD",'Informacion '!P:Q,2,FALSE),"")</f>
        <v>Unidad</v>
      </c>
      <c r="D3822" s="39">
        <v>1</v>
      </c>
      <c r="E3822" s="42">
        <v>37544550</v>
      </c>
      <c r="F3822" s="41">
        <f ca="1">INDIRECT(ADDRESS(ROW(),COLUMN()-2,4))*INDIRECT(ADDRESS(ROW(),COLUMN()-1,4))</f>
        <v>37544550</v>
      </c>
    </row>
    <row r="3823" spans="1:10" ht="14.25" customHeight="1" x14ac:dyDescent="0.35">
      <c r="A3823" s="39" t="s">
        <v>12105</v>
      </c>
      <c r="B3823" s="40" t="str">
        <f ca="1">IFERROR(INDEX(UNSPSCDes,MATCH(INDIRECT(ADDRESS(ROW(),COLUMN()-1,4)),UNSPSCCode,0)),IF(INDIRECT(ADDRESS(ROW(),COLUMN()-1,4))="82111501","Servicios de redacción  de instrucciones",""))</f>
        <v>Servicios de redacción  de instrucciones</v>
      </c>
      <c r="C3823" s="72" t="str">
        <f>IFERROR(VLOOKUP("UD",'Informacion '!P:Q,2,FALSE),"")</f>
        <v>Unidad</v>
      </c>
      <c r="D3823" s="39">
        <v>1</v>
      </c>
      <c r="E3823" s="42">
        <v>6254000</v>
      </c>
      <c r="F3823" s="41">
        <f ca="1">INDIRECT(ADDRESS(ROW(),COLUMN()-2,4))*INDIRECT(ADDRESS(ROW(),COLUMN()-1,4))</f>
        <v>6254000</v>
      </c>
    </row>
    <row r="3824" spans="1:10" ht="14.25" customHeight="1" x14ac:dyDescent="0.35">
      <c r="E3824" s="44" t="s">
        <v>13122</v>
      </c>
      <c r="F3824" s="45">
        <f ca="1">SUM(Table203[MONTO TOTAL ESTIMADO])</f>
        <v>43798550</v>
      </c>
      <c r="H3824" s="24" t="str">
        <f>C3815</f>
        <v>Servicios</v>
      </c>
      <c r="I3824" s="24" t="str">
        <f>E3815</f>
        <v>No</v>
      </c>
      <c r="J3824" s="24" t="str">
        <f>D3815</f>
        <v>Licitacion Publica</v>
      </c>
    </row>
    <row r="3826" spans="1:10" ht="34" customHeight="1" x14ac:dyDescent="0.35">
      <c r="A3826" s="36" t="s">
        <v>17105</v>
      </c>
      <c r="B3826" s="36" t="s">
        <v>167</v>
      </c>
      <c r="C3826" s="36" t="s">
        <v>12252</v>
      </c>
      <c r="D3826" s="36" t="s">
        <v>15021</v>
      </c>
      <c r="E3826" s="36" t="s">
        <v>11455</v>
      </c>
      <c r="F3826" s="36" t="s">
        <v>11595</v>
      </c>
    </row>
    <row r="3827" spans="1:10" ht="14.25" customHeight="1" x14ac:dyDescent="0.35">
      <c r="A3827" s="37" t="s">
        <v>12117</v>
      </c>
      <c r="B3827" s="37" t="s">
        <v>12117</v>
      </c>
      <c r="C3827" s="37" t="s">
        <v>7109</v>
      </c>
      <c r="D3827" s="37" t="s">
        <v>2615</v>
      </c>
      <c r="E3827" s="37" t="s">
        <v>18646</v>
      </c>
      <c r="F3827" s="37" t="s">
        <v>7088</v>
      </c>
    </row>
    <row r="3828" spans="1:10" ht="14.25" customHeight="1" x14ac:dyDescent="0.35">
      <c r="A3828" s="75" t="s">
        <v>15490</v>
      </c>
      <c r="B3828" s="38" t="s">
        <v>8918</v>
      </c>
      <c r="C3828" s="68">
        <v>45383</v>
      </c>
      <c r="D3828" s="75" t="s">
        <v>9819</v>
      </c>
      <c r="E3828" s="70" t="s">
        <v>13683</v>
      </c>
      <c r="F3828" s="71" t="s">
        <v>3205</v>
      </c>
    </row>
    <row r="3829" spans="1:10" ht="14.25" customHeight="1" x14ac:dyDescent="0.35">
      <c r="A3829" s="76"/>
      <c r="B3829" s="38" t="s">
        <v>1858</v>
      </c>
      <c r="C3829" s="69">
        <f>IF(C3828="","",IF(AND(MONTH(C3828)&gt;=1,MONTH(C3828)&lt;=3),1,IF(AND(MONTH(C3828)&gt;=4,MONTH(C3828)&lt;=6),2,IF(AND(MONTH(C3828)&gt;=7,MONTH(C3828)&lt;=9),3,4))))</f>
        <v>2</v>
      </c>
      <c r="D3829" s="76"/>
      <c r="E3829" s="70" t="s">
        <v>2509</v>
      </c>
      <c r="F3829" s="71" t="s">
        <v>11612</v>
      </c>
    </row>
    <row r="3830" spans="1:10" ht="14.25" customHeight="1" x14ac:dyDescent="0.35">
      <c r="A3830" s="76"/>
      <c r="B3830" s="38" t="s">
        <v>13526</v>
      </c>
      <c r="C3830" s="68">
        <v>45471</v>
      </c>
      <c r="D3830" s="76"/>
      <c r="E3830" s="70" t="s">
        <v>3198</v>
      </c>
      <c r="F3830" s="71" t="s">
        <v>11612</v>
      </c>
    </row>
    <row r="3831" spans="1:10" ht="14.25" customHeight="1" x14ac:dyDescent="0.35">
      <c r="A3831" s="76"/>
      <c r="B3831" s="38" t="s">
        <v>1858</v>
      </c>
      <c r="C3831" s="69">
        <f>IF(C3830="","",IF(AND(MONTH(C3830)&gt;=1,MONTH(C3830)&lt;=3),1,IF(AND(MONTH(C3830)&gt;=4,MONTH(C3830)&lt;=6),2,IF(AND(MONTH(C3830)&gt;=7,MONTH(C3830)&lt;=9),3,4))))</f>
        <v>2</v>
      </c>
      <c r="D3831" s="76"/>
      <c r="E3831" s="70" t="s">
        <v>13785</v>
      </c>
      <c r="F3831" s="71"/>
    </row>
    <row r="3833" spans="1:10" ht="14.25" customHeight="1" x14ac:dyDescent="0.35">
      <c r="A3833" s="43" t="s">
        <v>16424</v>
      </c>
      <c r="B3833" s="43" t="s">
        <v>16856</v>
      </c>
      <c r="C3833" s="43" t="s">
        <v>16326</v>
      </c>
      <c r="D3833" s="43" t="s">
        <v>15925</v>
      </c>
      <c r="E3833" s="43" t="s">
        <v>7248</v>
      </c>
      <c r="F3833" s="43" t="s">
        <v>15955</v>
      </c>
    </row>
    <row r="3834" spans="1:10" ht="14.25" customHeight="1" x14ac:dyDescent="0.35">
      <c r="A3834" s="39" t="s">
        <v>12105</v>
      </c>
      <c r="B3834" s="40" t="str">
        <f ca="1">IFERROR(INDEX(UNSPSCDes,MATCH(INDIRECT(ADDRESS(ROW(),COLUMN()-1,4)),UNSPSCCode,0)),IF(INDIRECT(ADDRESS(ROW(),COLUMN()-1,4))="82111501","Servicios de redacción  de instrucciones",""))</f>
        <v>Servicios de redacción  de instrucciones</v>
      </c>
      <c r="C3834" s="72" t="str">
        <f>IFERROR(VLOOKUP("UD",'Informacion '!P:Q,2,FALSE),"")</f>
        <v>Unidad</v>
      </c>
      <c r="D3834" s="39">
        <v>2</v>
      </c>
      <c r="E3834" s="42">
        <v>17040400</v>
      </c>
      <c r="F3834" s="41">
        <f ca="1">INDIRECT(ADDRESS(ROW(),COLUMN()-2,4))*INDIRECT(ADDRESS(ROW(),COLUMN()-1,4))</f>
        <v>34080800</v>
      </c>
    </row>
    <row r="3835" spans="1:10" ht="14.25" customHeight="1" x14ac:dyDescent="0.35">
      <c r="A3835" s="39" t="s">
        <v>12105</v>
      </c>
      <c r="B3835" s="40" t="str">
        <f ca="1">IFERROR(INDEX(UNSPSCDes,MATCH(INDIRECT(ADDRESS(ROW(),COLUMN()-1,4)),UNSPSCCode,0)),IF(INDIRECT(ADDRESS(ROW(),COLUMN()-1,4))="82111501","Servicios de redacción  de instrucciones",""))</f>
        <v>Servicios de redacción  de instrucciones</v>
      </c>
      <c r="C3835" s="72" t="str">
        <f>IFERROR(VLOOKUP("UD",'Informacion '!P:Q,2,FALSE),"")</f>
        <v>Unidad</v>
      </c>
      <c r="D3835" s="39">
        <v>1</v>
      </c>
      <c r="E3835" s="42">
        <v>6254000</v>
      </c>
      <c r="F3835" s="41">
        <f ca="1">INDIRECT(ADDRESS(ROW(),COLUMN()-2,4))*INDIRECT(ADDRESS(ROW(),COLUMN()-1,4))</f>
        <v>6254000</v>
      </c>
    </row>
    <row r="3836" spans="1:10" ht="14.25" customHeight="1" x14ac:dyDescent="0.35">
      <c r="A3836" s="39" t="s">
        <v>7679</v>
      </c>
      <c r="B3836" s="40" t="str">
        <f ca="1">IFERROR(INDEX(UNSPSCDes,MATCH(INDIRECT(ADDRESS(ROW(),COLUMN()-1,4)),UNSPSCCode,0)),IF(INDIRECT(ADDRESS(ROW(),COLUMN()-1,4))="82111804","Servicios de traducción escrita",""))</f>
        <v>Servicios de traducción escrita</v>
      </c>
      <c r="C3836" s="72" t="str">
        <f>IFERROR(VLOOKUP("UD",'Informacion '!P:Q,2,FALSE),"")</f>
        <v>Unidad</v>
      </c>
      <c r="D3836" s="39">
        <v>4</v>
      </c>
      <c r="E3836" s="42">
        <v>268200</v>
      </c>
      <c r="F3836" s="41">
        <f ca="1">INDIRECT(ADDRESS(ROW(),COLUMN()-2,4))*INDIRECT(ADDRESS(ROW(),COLUMN()-1,4))</f>
        <v>1072800</v>
      </c>
    </row>
    <row r="3837" spans="1:10" ht="14.25" customHeight="1" x14ac:dyDescent="0.35">
      <c r="E3837" s="44" t="s">
        <v>13122</v>
      </c>
      <c r="F3837" s="45">
        <f ca="1">SUM(Table204[MONTO TOTAL ESTIMADO])</f>
        <v>41407600</v>
      </c>
      <c r="H3837" s="24" t="str">
        <f>C3827</f>
        <v>Servicios</v>
      </c>
      <c r="I3837" s="24" t="str">
        <f>E3827</f>
        <v>No</v>
      </c>
      <c r="J3837" s="24" t="str">
        <f>D3827</f>
        <v>Licitacion Publica</v>
      </c>
    </row>
    <row r="3839" spans="1:10" ht="34" customHeight="1" x14ac:dyDescent="0.35">
      <c r="A3839" s="36" t="s">
        <v>17105</v>
      </c>
      <c r="B3839" s="36" t="s">
        <v>167</v>
      </c>
      <c r="C3839" s="36" t="s">
        <v>12252</v>
      </c>
      <c r="D3839" s="36" t="s">
        <v>15021</v>
      </c>
      <c r="E3839" s="36" t="s">
        <v>11455</v>
      </c>
      <c r="F3839" s="36" t="s">
        <v>11595</v>
      </c>
    </row>
    <row r="3840" spans="1:10" ht="14.25" customHeight="1" x14ac:dyDescent="0.35">
      <c r="A3840" s="37" t="s">
        <v>19391</v>
      </c>
      <c r="B3840" s="37" t="s">
        <v>19391</v>
      </c>
      <c r="C3840" s="37" t="s">
        <v>7109</v>
      </c>
      <c r="D3840" s="37" t="s">
        <v>1950</v>
      </c>
      <c r="E3840" s="37" t="s">
        <v>9261</v>
      </c>
      <c r="F3840" s="37" t="s">
        <v>7088</v>
      </c>
    </row>
    <row r="3841" spans="1:6" ht="14.25" customHeight="1" x14ac:dyDescent="0.35">
      <c r="A3841" s="75" t="s">
        <v>15490</v>
      </c>
      <c r="B3841" s="38" t="s">
        <v>8918</v>
      </c>
      <c r="C3841" s="68">
        <v>45334</v>
      </c>
      <c r="D3841" s="75" t="s">
        <v>9819</v>
      </c>
      <c r="E3841" s="70" t="s">
        <v>13683</v>
      </c>
      <c r="F3841" s="71" t="s">
        <v>3205</v>
      </c>
    </row>
    <row r="3842" spans="1:6" ht="14.25" customHeight="1" x14ac:dyDescent="0.35">
      <c r="A3842" s="76"/>
      <c r="B3842" s="38" t="s">
        <v>1858</v>
      </c>
      <c r="C3842" s="69">
        <f>IF(C3841="","",IF(AND(MONTH(C3841)&gt;=1,MONTH(C3841)&lt;=3),1,IF(AND(MONTH(C3841)&gt;=4,MONTH(C3841)&lt;=6),2,IF(AND(MONTH(C3841)&gt;=7,MONTH(C3841)&lt;=9),3,4))))</f>
        <v>1</v>
      </c>
      <c r="D3842" s="76"/>
      <c r="E3842" s="70" t="s">
        <v>2509</v>
      </c>
      <c r="F3842" s="71" t="s">
        <v>11612</v>
      </c>
    </row>
    <row r="3843" spans="1:6" ht="14.25" customHeight="1" x14ac:dyDescent="0.35">
      <c r="A3843" s="76"/>
      <c r="B3843" s="38" t="s">
        <v>13526</v>
      </c>
      <c r="C3843" s="68">
        <v>45378</v>
      </c>
      <c r="D3843" s="76"/>
      <c r="E3843" s="70" t="s">
        <v>3198</v>
      </c>
      <c r="F3843" s="71" t="s">
        <v>11612</v>
      </c>
    </row>
    <row r="3844" spans="1:6" ht="14.25" customHeight="1" x14ac:dyDescent="0.35">
      <c r="A3844" s="76"/>
      <c r="B3844" s="38" t="s">
        <v>1858</v>
      </c>
      <c r="C3844" s="69">
        <f>IF(C3843="","",IF(AND(MONTH(C3843)&gt;=1,MONTH(C3843)&lt;=3),1,IF(AND(MONTH(C3843)&gt;=4,MONTH(C3843)&lt;=6),2,IF(AND(MONTH(C3843)&gt;=7,MONTH(C3843)&lt;=9),3,4))))</f>
        <v>1</v>
      </c>
      <c r="D3844" s="76"/>
      <c r="E3844" s="70" t="s">
        <v>13785</v>
      </c>
      <c r="F3844" s="71"/>
    </row>
    <row r="3846" spans="1:6" ht="14.25" customHeight="1" x14ac:dyDescent="0.35">
      <c r="A3846" s="43" t="s">
        <v>16424</v>
      </c>
      <c r="B3846" s="43" t="s">
        <v>16856</v>
      </c>
      <c r="C3846" s="43" t="s">
        <v>16326</v>
      </c>
      <c r="D3846" s="43" t="s">
        <v>15925</v>
      </c>
      <c r="E3846" s="43" t="s">
        <v>7248</v>
      </c>
      <c r="F3846" s="43" t="s">
        <v>15955</v>
      </c>
    </row>
    <row r="3847" spans="1:6" ht="14.25" customHeight="1" x14ac:dyDescent="0.35">
      <c r="A3847" s="39" t="s">
        <v>113</v>
      </c>
      <c r="B3847" s="40" t="str">
        <f t="shared" ref="B3847:B3857" ca="1" si="144">IFERROR(INDEX(UNSPSCDes,MATCH(INDIRECT(ADDRESS(ROW(),COLUMN()-1,4)),UNSPSCCode,0)),IF(INDIRECT(ADDRESS(ROW(),COLUMN()-1,4))="82121504","Impresión tipográfica o por serigrafía",""))</f>
        <v>Impresión tipográfica o por serigrafía</v>
      </c>
      <c r="C3847" s="72" t="str">
        <f>IFERROR(VLOOKUP("UD",'Informacion '!P:Q,2,FALSE),"")</f>
        <v>Unidad</v>
      </c>
      <c r="D3847" s="39">
        <v>10</v>
      </c>
      <c r="E3847" s="42">
        <v>3849.96</v>
      </c>
      <c r="F3847" s="41">
        <f t="shared" ref="F3847:F3859" ca="1" si="145">INDIRECT(ADDRESS(ROW(),COLUMN()-2,4))*INDIRECT(ADDRESS(ROW(),COLUMN()-1,4))</f>
        <v>38499.599999999999</v>
      </c>
    </row>
    <row r="3848" spans="1:6" ht="14.25" customHeight="1" x14ac:dyDescent="0.35">
      <c r="A3848" s="39" t="s">
        <v>113</v>
      </c>
      <c r="B3848" s="40" t="str">
        <f t="shared" ca="1" si="144"/>
        <v>Impresión tipográfica o por serigrafía</v>
      </c>
      <c r="C3848" s="72" t="str">
        <f>IFERROR(VLOOKUP("UD",'Informacion '!P:Q,2,FALSE),"")</f>
        <v>Unidad</v>
      </c>
      <c r="D3848" s="39">
        <v>5</v>
      </c>
      <c r="E3848" s="42">
        <v>5000</v>
      </c>
      <c r="F3848" s="41">
        <f t="shared" ca="1" si="145"/>
        <v>25000</v>
      </c>
    </row>
    <row r="3849" spans="1:6" ht="14.25" customHeight="1" x14ac:dyDescent="0.35">
      <c r="A3849" s="39" t="s">
        <v>113</v>
      </c>
      <c r="B3849" s="40" t="str">
        <f t="shared" ca="1" si="144"/>
        <v>Impresión tipográfica o por serigrafía</v>
      </c>
      <c r="C3849" s="72" t="str">
        <f>IFERROR(VLOOKUP("UD",'Informacion '!P:Q,2,FALSE),"")</f>
        <v>Unidad</v>
      </c>
      <c r="D3849" s="39">
        <v>100</v>
      </c>
      <c r="E3849" s="42">
        <v>50</v>
      </c>
      <c r="F3849" s="41">
        <f t="shared" ca="1" si="145"/>
        <v>5000</v>
      </c>
    </row>
    <row r="3850" spans="1:6" ht="14.25" customHeight="1" x14ac:dyDescent="0.35">
      <c r="A3850" s="39" t="s">
        <v>113</v>
      </c>
      <c r="B3850" s="40" t="str">
        <f t="shared" ca="1" si="144"/>
        <v>Impresión tipográfica o por serigrafía</v>
      </c>
      <c r="C3850" s="72" t="str">
        <f>IFERROR(VLOOKUP("UD",'Informacion '!P:Q,2,FALSE),"")</f>
        <v>Unidad</v>
      </c>
      <c r="D3850" s="39">
        <v>1</v>
      </c>
      <c r="E3850" s="42">
        <v>14215</v>
      </c>
      <c r="F3850" s="41">
        <f t="shared" ca="1" si="145"/>
        <v>14215</v>
      </c>
    </row>
    <row r="3851" spans="1:6" ht="14.25" customHeight="1" x14ac:dyDescent="0.35">
      <c r="A3851" s="39" t="s">
        <v>113</v>
      </c>
      <c r="B3851" s="40" t="str">
        <f t="shared" ca="1" si="144"/>
        <v>Impresión tipográfica o por serigrafía</v>
      </c>
      <c r="C3851" s="72" t="str">
        <f>IFERROR(VLOOKUP("UD",'Informacion '!P:Q,2,FALSE),"")</f>
        <v>Unidad</v>
      </c>
      <c r="D3851" s="39">
        <v>600</v>
      </c>
      <c r="E3851" s="42">
        <v>53.1</v>
      </c>
      <c r="F3851" s="41">
        <f t="shared" ca="1" si="145"/>
        <v>31860</v>
      </c>
    </row>
    <row r="3852" spans="1:6" ht="14.25" customHeight="1" x14ac:dyDescent="0.35">
      <c r="A3852" s="39" t="s">
        <v>113</v>
      </c>
      <c r="B3852" s="40" t="str">
        <f t="shared" ca="1" si="144"/>
        <v>Impresión tipográfica o por serigrafía</v>
      </c>
      <c r="C3852" s="72" t="str">
        <f>IFERROR(VLOOKUP("UD",'Informacion '!P:Q,2,FALSE),"")</f>
        <v>Unidad</v>
      </c>
      <c r="D3852" s="39">
        <v>1</v>
      </c>
      <c r="E3852" s="42">
        <v>39530</v>
      </c>
      <c r="F3852" s="41">
        <f t="shared" ca="1" si="145"/>
        <v>39530</v>
      </c>
    </row>
    <row r="3853" spans="1:6" ht="14.25" customHeight="1" x14ac:dyDescent="0.35">
      <c r="A3853" s="39" t="s">
        <v>113</v>
      </c>
      <c r="B3853" s="40" t="str">
        <f t="shared" ca="1" si="144"/>
        <v>Impresión tipográfica o por serigrafía</v>
      </c>
      <c r="C3853" s="72" t="str">
        <f>IFERROR(VLOOKUP("UD",'Informacion '!P:Q,2,FALSE),"")</f>
        <v>Unidad</v>
      </c>
      <c r="D3853" s="39">
        <v>15</v>
      </c>
      <c r="E3853" s="42">
        <v>4130</v>
      </c>
      <c r="F3853" s="41">
        <f t="shared" ca="1" si="145"/>
        <v>61950</v>
      </c>
    </row>
    <row r="3854" spans="1:6" ht="14.25" customHeight="1" x14ac:dyDescent="0.35">
      <c r="A3854" s="39" t="s">
        <v>113</v>
      </c>
      <c r="B3854" s="40" t="str">
        <f t="shared" ca="1" si="144"/>
        <v>Impresión tipográfica o por serigrafía</v>
      </c>
      <c r="C3854" s="72" t="str">
        <f>IFERROR(VLOOKUP("UD",'Informacion '!P:Q,2,FALSE),"")</f>
        <v>Unidad</v>
      </c>
      <c r="D3854" s="39">
        <v>1000</v>
      </c>
      <c r="E3854" s="42">
        <v>600</v>
      </c>
      <c r="F3854" s="41">
        <f t="shared" ca="1" si="145"/>
        <v>600000</v>
      </c>
    </row>
    <row r="3855" spans="1:6" ht="14.25" customHeight="1" x14ac:dyDescent="0.35">
      <c r="A3855" s="39" t="s">
        <v>113</v>
      </c>
      <c r="B3855" s="40" t="str">
        <f t="shared" ca="1" si="144"/>
        <v>Impresión tipográfica o por serigrafía</v>
      </c>
      <c r="C3855" s="72" t="str">
        <f>IFERROR(VLOOKUP("UD",'Informacion '!P:Q,2,FALSE),"")</f>
        <v>Unidad</v>
      </c>
      <c r="D3855" s="39">
        <v>1</v>
      </c>
      <c r="E3855" s="42">
        <v>1500000</v>
      </c>
      <c r="F3855" s="41">
        <f t="shared" ca="1" si="145"/>
        <v>1500000</v>
      </c>
    </row>
    <row r="3856" spans="1:6" ht="14.25" customHeight="1" x14ac:dyDescent="0.35">
      <c r="A3856" s="39" t="s">
        <v>113</v>
      </c>
      <c r="B3856" s="40" t="str">
        <f t="shared" ca="1" si="144"/>
        <v>Impresión tipográfica o por serigrafía</v>
      </c>
      <c r="C3856" s="72" t="str">
        <f>IFERROR(VLOOKUP("UD",'Informacion '!P:Q,2,FALSE),"")</f>
        <v>Unidad</v>
      </c>
      <c r="D3856" s="39">
        <v>1</v>
      </c>
      <c r="E3856" s="42">
        <v>400000</v>
      </c>
      <c r="F3856" s="41">
        <f t="shared" ca="1" si="145"/>
        <v>400000</v>
      </c>
    </row>
    <row r="3857" spans="1:10" ht="14.25" customHeight="1" x14ac:dyDescent="0.35">
      <c r="A3857" s="39" t="s">
        <v>113</v>
      </c>
      <c r="B3857" s="40" t="str">
        <f t="shared" ca="1" si="144"/>
        <v>Impresión tipográfica o por serigrafía</v>
      </c>
      <c r="C3857" s="72" t="str">
        <f>IFERROR(VLOOKUP("UD",'Informacion '!P:Q,2,FALSE),"")</f>
        <v>Unidad</v>
      </c>
      <c r="D3857" s="39">
        <v>150</v>
      </c>
      <c r="E3857" s="42">
        <v>17.46</v>
      </c>
      <c r="F3857" s="41">
        <f t="shared" ca="1" si="145"/>
        <v>2619</v>
      </c>
    </row>
    <row r="3858" spans="1:10" ht="14.25" customHeight="1" x14ac:dyDescent="0.35">
      <c r="A3858" s="39" t="s">
        <v>3736</v>
      </c>
      <c r="B3858" s="40" t="str">
        <f ca="1">IFERROR(INDEX(UNSPSCDes,MATCH(INDIRECT(ADDRESS(ROW(),COLUMN()-1,4)),UNSPSCCode,0)),IF(INDIRECT(ADDRESS(ROW(),COLUMN()-1,4))="82121902","Encuadernación espiral",""))</f>
        <v>Encuadernación espiral</v>
      </c>
      <c r="C3858" s="72" t="str">
        <f>IFERROR(VLOOKUP("UD",'Informacion '!P:Q,2,FALSE),"")</f>
        <v>Unidad</v>
      </c>
      <c r="D3858" s="39">
        <v>40</v>
      </c>
      <c r="E3858" s="42">
        <v>6299</v>
      </c>
      <c r="F3858" s="41">
        <f t="shared" ca="1" si="145"/>
        <v>251960</v>
      </c>
    </row>
    <row r="3859" spans="1:10" ht="14.25" customHeight="1" x14ac:dyDescent="0.35">
      <c r="A3859" s="39" t="s">
        <v>3736</v>
      </c>
      <c r="B3859" s="40" t="str">
        <f ca="1">IFERROR(INDEX(UNSPSCDes,MATCH(INDIRECT(ADDRESS(ROW(),COLUMN()-1,4)),UNSPSCCode,0)),IF(INDIRECT(ADDRESS(ROW(),COLUMN()-1,4))="82121902","Encuadernación espiral",""))</f>
        <v>Encuadernación espiral</v>
      </c>
      <c r="C3859" s="72" t="str">
        <f>IFERROR(VLOOKUP("UD",'Informacion '!P:Q,2,FALSE),"")</f>
        <v>Unidad</v>
      </c>
      <c r="D3859" s="39">
        <v>60</v>
      </c>
      <c r="E3859" s="42">
        <v>29.99</v>
      </c>
      <c r="F3859" s="41">
        <f t="shared" ca="1" si="145"/>
        <v>1799.3999999999999</v>
      </c>
    </row>
    <row r="3860" spans="1:10" ht="14.25" customHeight="1" x14ac:dyDescent="0.35">
      <c r="E3860" s="44" t="s">
        <v>13122</v>
      </c>
      <c r="F3860" s="45">
        <f ca="1">SUM(Table205[MONTO TOTAL ESTIMADO])</f>
        <v>2972433</v>
      </c>
      <c r="H3860" s="24" t="str">
        <f>C3840</f>
        <v>Servicios</v>
      </c>
      <c r="I3860" s="24" t="str">
        <f>E3840</f>
        <v>Sí</v>
      </c>
      <c r="J3860" s="24" t="str">
        <f>D3840</f>
        <v>Comparacion de Precios</v>
      </c>
    </row>
    <row r="3862" spans="1:10" ht="34" customHeight="1" x14ac:dyDescent="0.35">
      <c r="A3862" s="36" t="s">
        <v>17105</v>
      </c>
      <c r="B3862" s="36" t="s">
        <v>167</v>
      </c>
      <c r="C3862" s="36" t="s">
        <v>12252</v>
      </c>
      <c r="D3862" s="36" t="s">
        <v>15021</v>
      </c>
      <c r="E3862" s="36" t="s">
        <v>11455</v>
      </c>
      <c r="F3862" s="36" t="s">
        <v>11595</v>
      </c>
    </row>
    <row r="3863" spans="1:10" ht="14.25" customHeight="1" x14ac:dyDescent="0.35">
      <c r="A3863" s="37" t="s">
        <v>19391</v>
      </c>
      <c r="B3863" s="37" t="s">
        <v>19391</v>
      </c>
      <c r="C3863" s="37" t="s">
        <v>7109</v>
      </c>
      <c r="D3863" s="37" t="s">
        <v>1950</v>
      </c>
      <c r="E3863" s="37" t="s">
        <v>9261</v>
      </c>
      <c r="F3863" s="37" t="s">
        <v>7088</v>
      </c>
    </row>
    <row r="3864" spans="1:10" ht="14.25" customHeight="1" x14ac:dyDescent="0.35">
      <c r="A3864" s="75" t="s">
        <v>15490</v>
      </c>
      <c r="B3864" s="38" t="s">
        <v>8918</v>
      </c>
      <c r="C3864" s="68">
        <v>45383</v>
      </c>
      <c r="D3864" s="75" t="s">
        <v>9819</v>
      </c>
      <c r="E3864" s="70" t="s">
        <v>13683</v>
      </c>
      <c r="F3864" s="71" t="s">
        <v>3205</v>
      </c>
    </row>
    <row r="3865" spans="1:10" ht="14.25" customHeight="1" x14ac:dyDescent="0.35">
      <c r="A3865" s="76"/>
      <c r="B3865" s="38" t="s">
        <v>1858</v>
      </c>
      <c r="C3865" s="69">
        <f>IF(C3864="","",IF(AND(MONTH(C3864)&gt;=1,MONTH(C3864)&lt;=3),1,IF(AND(MONTH(C3864)&gt;=4,MONTH(C3864)&lt;=6),2,IF(AND(MONTH(C3864)&gt;=7,MONTH(C3864)&lt;=9),3,4))))</f>
        <v>2</v>
      </c>
      <c r="D3865" s="76"/>
      <c r="E3865" s="70" t="s">
        <v>2509</v>
      </c>
      <c r="F3865" s="71" t="s">
        <v>11612</v>
      </c>
    </row>
    <row r="3866" spans="1:10" ht="14.25" customHeight="1" x14ac:dyDescent="0.35">
      <c r="A3866" s="76"/>
      <c r="B3866" s="38" t="s">
        <v>13526</v>
      </c>
      <c r="C3866" s="68">
        <v>45471</v>
      </c>
      <c r="D3866" s="76"/>
      <c r="E3866" s="70" t="s">
        <v>3198</v>
      </c>
      <c r="F3866" s="71" t="s">
        <v>11612</v>
      </c>
    </row>
    <row r="3867" spans="1:10" ht="14.25" customHeight="1" x14ac:dyDescent="0.35">
      <c r="A3867" s="76"/>
      <c r="B3867" s="38" t="s">
        <v>1858</v>
      </c>
      <c r="C3867" s="69">
        <f>IF(C3866="","",IF(AND(MONTH(C3866)&gt;=1,MONTH(C3866)&lt;=3),1,IF(AND(MONTH(C3866)&gt;=4,MONTH(C3866)&lt;=6),2,IF(AND(MONTH(C3866)&gt;=7,MONTH(C3866)&lt;=9),3,4))))</f>
        <v>2</v>
      </c>
      <c r="D3867" s="76"/>
      <c r="E3867" s="70" t="s">
        <v>13785</v>
      </c>
      <c r="F3867" s="71"/>
    </row>
    <row r="3869" spans="1:10" ht="14.25" customHeight="1" x14ac:dyDescent="0.35">
      <c r="A3869" s="43" t="s">
        <v>16424</v>
      </c>
      <c r="B3869" s="43" t="s">
        <v>16856</v>
      </c>
      <c r="C3869" s="43" t="s">
        <v>16326</v>
      </c>
      <c r="D3869" s="43" t="s">
        <v>15925</v>
      </c>
      <c r="E3869" s="43" t="s">
        <v>7248</v>
      </c>
      <c r="F3869" s="43" t="s">
        <v>15955</v>
      </c>
    </row>
    <row r="3870" spans="1:10" ht="14.25" customHeight="1" x14ac:dyDescent="0.35">
      <c r="A3870" s="39" t="s">
        <v>48</v>
      </c>
      <c r="B3870" s="40" t="str">
        <f ca="1">IFERROR(INDEX(UNSPSCDes,MATCH(INDIRECT(ADDRESS(ROW(),COLUMN()-1,4)),UNSPSCCode,0)),IF(INDIRECT(ADDRESS(ROW(),COLUMN()-1,4))="82121503","Impresión digital",""))</f>
        <v>Impresión digital</v>
      </c>
      <c r="C3870" s="72" t="str">
        <f>IFERROR(VLOOKUP("UD",'Informacion '!P:Q,2,FALSE),"")</f>
        <v>Unidad</v>
      </c>
      <c r="D3870" s="39">
        <v>1</v>
      </c>
      <c r="E3870" s="42">
        <v>39530</v>
      </c>
      <c r="F3870" s="41">
        <f t="shared" ref="F3870:F3890" ca="1" si="146">INDIRECT(ADDRESS(ROW(),COLUMN()-2,4))*INDIRECT(ADDRESS(ROW(),COLUMN()-1,4))</f>
        <v>39530</v>
      </c>
    </row>
    <row r="3871" spans="1:10" ht="14.25" customHeight="1" x14ac:dyDescent="0.35">
      <c r="A3871" s="39" t="s">
        <v>113</v>
      </c>
      <c r="B3871" s="40" t="str">
        <f t="shared" ref="B3871:B3880" ca="1" si="147">IFERROR(INDEX(UNSPSCDes,MATCH(INDIRECT(ADDRESS(ROW(),COLUMN()-1,4)),UNSPSCCode,0)),IF(INDIRECT(ADDRESS(ROW(),COLUMN()-1,4))="82121504","Impresión tipográfica o por serigrafía",""))</f>
        <v>Impresión tipográfica o por serigrafía</v>
      </c>
      <c r="C3871" s="72" t="str">
        <f>IFERROR(VLOOKUP("UD",'Informacion '!P:Q,2,FALSE),"")</f>
        <v>Unidad</v>
      </c>
      <c r="D3871" s="39">
        <v>100</v>
      </c>
      <c r="E3871" s="42">
        <v>20.059999999999999</v>
      </c>
      <c r="F3871" s="41">
        <f t="shared" ca="1" si="146"/>
        <v>2005.9999999999998</v>
      </c>
    </row>
    <row r="3872" spans="1:10" ht="14.25" customHeight="1" x14ac:dyDescent="0.35">
      <c r="A3872" s="39" t="s">
        <v>113</v>
      </c>
      <c r="B3872" s="40" t="str">
        <f t="shared" ca="1" si="147"/>
        <v>Impresión tipográfica o por serigrafía</v>
      </c>
      <c r="C3872" s="72" t="str">
        <f>IFERROR(VLOOKUP("UD",'Informacion '!P:Q,2,FALSE),"")</f>
        <v>Unidad</v>
      </c>
      <c r="D3872" s="39">
        <v>100</v>
      </c>
      <c r="E3872" s="42">
        <v>395.88</v>
      </c>
      <c r="F3872" s="41">
        <f t="shared" ca="1" si="146"/>
        <v>39588</v>
      </c>
    </row>
    <row r="3873" spans="1:6" ht="14.25" customHeight="1" x14ac:dyDescent="0.35">
      <c r="A3873" s="39" t="s">
        <v>113</v>
      </c>
      <c r="B3873" s="40" t="str">
        <f t="shared" ca="1" si="147"/>
        <v>Impresión tipográfica o por serigrafía</v>
      </c>
      <c r="C3873" s="72" t="str">
        <f>IFERROR(VLOOKUP("UD",'Informacion '!P:Q,2,FALSE),"")</f>
        <v>Unidad</v>
      </c>
      <c r="D3873" s="39">
        <v>1500</v>
      </c>
      <c r="E3873" s="42">
        <v>38.049999999999997</v>
      </c>
      <c r="F3873" s="41">
        <f t="shared" ca="1" si="146"/>
        <v>57074.999999999993</v>
      </c>
    </row>
    <row r="3874" spans="1:6" ht="14.25" customHeight="1" x14ac:dyDescent="0.35">
      <c r="A3874" s="39" t="s">
        <v>113</v>
      </c>
      <c r="B3874" s="40" t="str">
        <f t="shared" ca="1" si="147"/>
        <v>Impresión tipográfica o por serigrafía</v>
      </c>
      <c r="C3874" s="72" t="str">
        <f>IFERROR(VLOOKUP("UD",'Informacion '!P:Q,2,FALSE),"")</f>
        <v>Unidad</v>
      </c>
      <c r="D3874" s="39">
        <v>10</v>
      </c>
      <c r="E3874" s="42">
        <v>44.84</v>
      </c>
      <c r="F3874" s="41">
        <f t="shared" ca="1" si="146"/>
        <v>448.40000000000003</v>
      </c>
    </row>
    <row r="3875" spans="1:6" ht="14.25" customHeight="1" x14ac:dyDescent="0.35">
      <c r="A3875" s="39" t="s">
        <v>113</v>
      </c>
      <c r="B3875" s="40" t="str">
        <f t="shared" ca="1" si="147"/>
        <v>Impresión tipográfica o por serigrafía</v>
      </c>
      <c r="C3875" s="72" t="str">
        <f>IFERROR(VLOOKUP("UD",'Informacion '!P:Q,2,FALSE),"")</f>
        <v>Unidad</v>
      </c>
      <c r="D3875" s="39">
        <v>2</v>
      </c>
      <c r="E3875" s="42">
        <v>8260</v>
      </c>
      <c r="F3875" s="41">
        <f t="shared" ca="1" si="146"/>
        <v>16520</v>
      </c>
    </row>
    <row r="3876" spans="1:6" ht="14.25" customHeight="1" x14ac:dyDescent="0.35">
      <c r="A3876" s="39" t="s">
        <v>113</v>
      </c>
      <c r="B3876" s="40" t="str">
        <f t="shared" ca="1" si="147"/>
        <v>Impresión tipográfica o por serigrafía</v>
      </c>
      <c r="C3876" s="72" t="str">
        <f>IFERROR(VLOOKUP("UD",'Informacion '!P:Q,2,FALSE),"")</f>
        <v>Unidad</v>
      </c>
      <c r="D3876" s="39">
        <v>15</v>
      </c>
      <c r="E3876" s="42">
        <v>4130</v>
      </c>
      <c r="F3876" s="41">
        <f t="shared" ca="1" si="146"/>
        <v>61950</v>
      </c>
    </row>
    <row r="3877" spans="1:6" ht="14.25" customHeight="1" x14ac:dyDescent="0.35">
      <c r="A3877" s="39" t="s">
        <v>113</v>
      </c>
      <c r="B3877" s="40" t="str">
        <f t="shared" ca="1" si="147"/>
        <v>Impresión tipográfica o por serigrafía</v>
      </c>
      <c r="C3877" s="72" t="str">
        <f>IFERROR(VLOOKUP("UD",'Informacion '!P:Q,2,FALSE),"")</f>
        <v>Unidad</v>
      </c>
      <c r="D3877" s="39">
        <v>200</v>
      </c>
      <c r="E3877" s="42">
        <v>100</v>
      </c>
      <c r="F3877" s="41">
        <f t="shared" ca="1" si="146"/>
        <v>20000</v>
      </c>
    </row>
    <row r="3878" spans="1:6" ht="14.25" customHeight="1" x14ac:dyDescent="0.35">
      <c r="A3878" s="39" t="s">
        <v>113</v>
      </c>
      <c r="B3878" s="40" t="str">
        <f t="shared" ca="1" si="147"/>
        <v>Impresión tipográfica o por serigrafía</v>
      </c>
      <c r="C3878" s="72" t="str">
        <f>IFERROR(VLOOKUP("UD",'Informacion '!P:Q,2,FALSE),"")</f>
        <v>Unidad</v>
      </c>
      <c r="D3878" s="39">
        <v>1</v>
      </c>
      <c r="E3878" s="42">
        <v>1500000</v>
      </c>
      <c r="F3878" s="41">
        <f t="shared" ca="1" si="146"/>
        <v>1500000</v>
      </c>
    </row>
    <row r="3879" spans="1:6" ht="14.25" customHeight="1" x14ac:dyDescent="0.35">
      <c r="A3879" s="39" t="s">
        <v>113</v>
      </c>
      <c r="B3879" s="40" t="str">
        <f t="shared" ca="1" si="147"/>
        <v>Impresión tipográfica o por serigrafía</v>
      </c>
      <c r="C3879" s="72" t="str">
        <f>IFERROR(VLOOKUP("UD",'Informacion '!P:Q,2,FALSE),"")</f>
        <v>Unidad</v>
      </c>
      <c r="D3879" s="39">
        <v>500</v>
      </c>
      <c r="E3879" s="42">
        <v>900</v>
      </c>
      <c r="F3879" s="41">
        <f t="shared" ca="1" si="146"/>
        <v>450000</v>
      </c>
    </row>
    <row r="3880" spans="1:6" ht="14.25" customHeight="1" x14ac:dyDescent="0.35">
      <c r="A3880" s="39" t="s">
        <v>113</v>
      </c>
      <c r="B3880" s="40" t="str">
        <f t="shared" ca="1" si="147"/>
        <v>Impresión tipográfica o por serigrafía</v>
      </c>
      <c r="C3880" s="72" t="str">
        <f>IFERROR(VLOOKUP("UD",'Informacion '!P:Q,2,FALSE),"")</f>
        <v>Unidad</v>
      </c>
      <c r="D3880" s="39">
        <v>3</v>
      </c>
      <c r="E3880" s="42">
        <v>400000</v>
      </c>
      <c r="F3880" s="41">
        <f t="shared" ca="1" si="146"/>
        <v>1200000</v>
      </c>
    </row>
    <row r="3881" spans="1:6" ht="14.25" customHeight="1" x14ac:dyDescent="0.35">
      <c r="A3881" s="39" t="s">
        <v>3223</v>
      </c>
      <c r="B3881" s="40" t="str">
        <f t="shared" ref="B3881:B3889" ca="1" si="148">IFERROR(INDEX(UNSPSCDes,MATCH(INDIRECT(ADDRESS(ROW(),COLUMN()-1,4)),UNSPSCCode,0)),IF(INDIRECT(ADDRESS(ROW(),COLUMN()-1,4))="82121505","Impresión promocional o publicitaria",""))</f>
        <v>Impresión promocional o publicitaria</v>
      </c>
      <c r="C3881" s="72" t="str">
        <f>IFERROR(VLOOKUP("UD",'Informacion '!P:Q,2,FALSE),"")</f>
        <v>Unidad</v>
      </c>
      <c r="D3881" s="39">
        <v>100</v>
      </c>
      <c r="E3881" s="42">
        <v>1816</v>
      </c>
      <c r="F3881" s="41">
        <f t="shared" ca="1" si="146"/>
        <v>181600</v>
      </c>
    </row>
    <row r="3882" spans="1:6" ht="14.25" customHeight="1" x14ac:dyDescent="0.35">
      <c r="A3882" s="39" t="s">
        <v>3223</v>
      </c>
      <c r="B3882" s="40" t="str">
        <f t="shared" ca="1" si="148"/>
        <v>Impresión promocional o publicitaria</v>
      </c>
      <c r="C3882" s="72" t="str">
        <f>IFERROR(VLOOKUP("UD",'Informacion '!P:Q,2,FALSE),"")</f>
        <v>Unidad</v>
      </c>
      <c r="D3882" s="39">
        <v>1000</v>
      </c>
      <c r="E3882" s="42">
        <v>7.97</v>
      </c>
      <c r="F3882" s="41">
        <f t="shared" ca="1" si="146"/>
        <v>7970</v>
      </c>
    </row>
    <row r="3883" spans="1:6" ht="14.25" customHeight="1" x14ac:dyDescent="0.35">
      <c r="A3883" s="39" t="s">
        <v>3223</v>
      </c>
      <c r="B3883" s="40" t="str">
        <f t="shared" ca="1" si="148"/>
        <v>Impresión promocional o publicitaria</v>
      </c>
      <c r="C3883" s="72" t="str">
        <f>IFERROR(VLOOKUP("UD",'Informacion '!P:Q,2,FALSE),"")</f>
        <v>Unidad</v>
      </c>
      <c r="D3883" s="39">
        <v>500</v>
      </c>
      <c r="E3883" s="42">
        <v>53.1</v>
      </c>
      <c r="F3883" s="41">
        <f t="shared" ca="1" si="146"/>
        <v>26550</v>
      </c>
    </row>
    <row r="3884" spans="1:6" ht="14.25" customHeight="1" x14ac:dyDescent="0.35">
      <c r="A3884" s="39" t="s">
        <v>3223</v>
      </c>
      <c r="B3884" s="40" t="str">
        <f t="shared" ca="1" si="148"/>
        <v>Impresión promocional o publicitaria</v>
      </c>
      <c r="C3884" s="72" t="str">
        <f>IFERROR(VLOOKUP("UD",'Informacion '!P:Q,2,FALSE),"")</f>
        <v>Unidad</v>
      </c>
      <c r="D3884" s="39">
        <v>200</v>
      </c>
      <c r="E3884" s="42">
        <v>41.3</v>
      </c>
      <c r="F3884" s="41">
        <f t="shared" ca="1" si="146"/>
        <v>8260</v>
      </c>
    </row>
    <row r="3885" spans="1:6" ht="14.25" customHeight="1" x14ac:dyDescent="0.35">
      <c r="A3885" s="39" t="s">
        <v>3223</v>
      </c>
      <c r="B3885" s="40" t="str">
        <f t="shared" ca="1" si="148"/>
        <v>Impresión promocional o publicitaria</v>
      </c>
      <c r="C3885" s="72" t="str">
        <f>IFERROR(VLOOKUP("UD",'Informacion '!P:Q,2,FALSE),"")</f>
        <v>Unidad</v>
      </c>
      <c r="D3885" s="39">
        <v>2</v>
      </c>
      <c r="E3885" s="42">
        <v>1947</v>
      </c>
      <c r="F3885" s="41">
        <f t="shared" ca="1" si="146"/>
        <v>3894</v>
      </c>
    </row>
    <row r="3886" spans="1:6" ht="14.25" customHeight="1" x14ac:dyDescent="0.35">
      <c r="A3886" s="39" t="s">
        <v>3223</v>
      </c>
      <c r="B3886" s="40" t="str">
        <f t="shared" ca="1" si="148"/>
        <v>Impresión promocional o publicitaria</v>
      </c>
      <c r="C3886" s="72" t="str">
        <f>IFERROR(VLOOKUP("UD",'Informacion '!P:Q,2,FALSE),"")</f>
        <v>Unidad</v>
      </c>
      <c r="D3886" s="39">
        <v>250</v>
      </c>
      <c r="E3886" s="42">
        <v>2</v>
      </c>
      <c r="F3886" s="41">
        <f t="shared" ca="1" si="146"/>
        <v>500</v>
      </c>
    </row>
    <row r="3887" spans="1:6" ht="14.25" customHeight="1" x14ac:dyDescent="0.35">
      <c r="A3887" s="39" t="s">
        <v>3223</v>
      </c>
      <c r="B3887" s="40" t="str">
        <f t="shared" ca="1" si="148"/>
        <v>Impresión promocional o publicitaria</v>
      </c>
      <c r="C3887" s="72" t="str">
        <f>IFERROR(VLOOKUP("UD",'Informacion '!P:Q,2,FALSE),"")</f>
        <v>Unidad</v>
      </c>
      <c r="D3887" s="39">
        <v>750</v>
      </c>
      <c r="E3887" s="42">
        <v>4.3</v>
      </c>
      <c r="F3887" s="41">
        <f t="shared" ca="1" si="146"/>
        <v>3225</v>
      </c>
    </row>
    <row r="3888" spans="1:6" ht="14.25" customHeight="1" x14ac:dyDescent="0.35">
      <c r="A3888" s="39" t="s">
        <v>3223</v>
      </c>
      <c r="B3888" s="40" t="str">
        <f t="shared" ca="1" si="148"/>
        <v>Impresión promocional o publicitaria</v>
      </c>
      <c r="C3888" s="72" t="str">
        <f>IFERROR(VLOOKUP("UD",'Informacion '!P:Q,2,FALSE),"")</f>
        <v>Unidad</v>
      </c>
      <c r="D3888" s="39">
        <v>20</v>
      </c>
      <c r="E3888" s="42">
        <v>453.4</v>
      </c>
      <c r="F3888" s="41">
        <f t="shared" ca="1" si="146"/>
        <v>9068</v>
      </c>
    </row>
    <row r="3889" spans="1:10" ht="14.25" customHeight="1" x14ac:dyDescent="0.35">
      <c r="A3889" s="39" t="s">
        <v>3223</v>
      </c>
      <c r="B3889" s="40" t="str">
        <f t="shared" ca="1" si="148"/>
        <v>Impresión promocional o publicitaria</v>
      </c>
      <c r="C3889" s="72" t="str">
        <f>IFERROR(VLOOKUP("UD",'Informacion '!P:Q,2,FALSE),"")</f>
        <v>Unidad</v>
      </c>
      <c r="D3889" s="39">
        <v>150</v>
      </c>
      <c r="E3889" s="42">
        <v>80.69</v>
      </c>
      <c r="F3889" s="41">
        <f t="shared" ca="1" si="146"/>
        <v>12103.5</v>
      </c>
    </row>
    <row r="3890" spans="1:10" ht="14.25" customHeight="1" x14ac:dyDescent="0.35">
      <c r="A3890" s="39" t="s">
        <v>15410</v>
      </c>
      <c r="B3890" s="40" t="str">
        <f ca="1">IFERROR(INDEX(UNSPSCDes,MATCH(INDIRECT(ADDRESS(ROW(),COLUMN()-1,4)),UNSPSCCode,0)),IF(INDIRECT(ADDRESS(ROW(),COLUMN()-1,4))="82121506","Impresión de publicaciones",""))</f>
        <v>Impresión de publicaciones</v>
      </c>
      <c r="C3890" s="72" t="str">
        <f>IFERROR(VLOOKUP("UD",'Informacion '!P:Q,2,FALSE),"")</f>
        <v>Unidad</v>
      </c>
      <c r="D3890" s="39">
        <v>1</v>
      </c>
      <c r="E3890" s="42">
        <v>70800</v>
      </c>
      <c r="F3890" s="41">
        <f t="shared" ca="1" si="146"/>
        <v>70800</v>
      </c>
    </row>
    <row r="3891" spans="1:10" ht="14.25" customHeight="1" x14ac:dyDescent="0.35">
      <c r="E3891" s="44" t="s">
        <v>13122</v>
      </c>
      <c r="F3891" s="45">
        <f ca="1">SUM(Table206[MONTO TOTAL ESTIMADO])</f>
        <v>3711087.9</v>
      </c>
      <c r="H3891" s="24" t="str">
        <f>C3863</f>
        <v>Servicios</v>
      </c>
      <c r="I3891" s="24" t="str">
        <f>E3863</f>
        <v>Sí</v>
      </c>
      <c r="J3891" s="24" t="str">
        <f>D3863</f>
        <v>Comparacion de Precios</v>
      </c>
    </row>
    <row r="3893" spans="1:10" ht="34" customHeight="1" x14ac:dyDescent="0.35">
      <c r="A3893" s="36" t="s">
        <v>17105</v>
      </c>
      <c r="B3893" s="36" t="s">
        <v>167</v>
      </c>
      <c r="C3893" s="36" t="s">
        <v>12252</v>
      </c>
      <c r="D3893" s="36" t="s">
        <v>15021</v>
      </c>
      <c r="E3893" s="36" t="s">
        <v>11455</v>
      </c>
      <c r="F3893" s="36" t="s">
        <v>11595</v>
      </c>
    </row>
    <row r="3894" spans="1:10" ht="14.25" customHeight="1" x14ac:dyDescent="0.35">
      <c r="A3894" s="37" t="s">
        <v>19391</v>
      </c>
      <c r="B3894" s="37" t="s">
        <v>19391</v>
      </c>
      <c r="C3894" s="37" t="s">
        <v>7109</v>
      </c>
      <c r="D3894" s="37" t="s">
        <v>18256</v>
      </c>
      <c r="E3894" s="37" t="s">
        <v>9261</v>
      </c>
      <c r="F3894" s="37" t="s">
        <v>7088</v>
      </c>
    </row>
    <row r="3895" spans="1:10" ht="14.25" customHeight="1" x14ac:dyDescent="0.35">
      <c r="A3895" s="75" t="s">
        <v>15490</v>
      </c>
      <c r="B3895" s="38" t="s">
        <v>8918</v>
      </c>
      <c r="C3895" s="68">
        <v>45474</v>
      </c>
      <c r="D3895" s="75" t="s">
        <v>9819</v>
      </c>
      <c r="E3895" s="70" t="s">
        <v>13683</v>
      </c>
      <c r="F3895" s="71" t="s">
        <v>3205</v>
      </c>
    </row>
    <row r="3896" spans="1:10" ht="14.25" customHeight="1" x14ac:dyDescent="0.35">
      <c r="A3896" s="76"/>
      <c r="B3896" s="38" t="s">
        <v>1858</v>
      </c>
      <c r="C3896" s="69">
        <f>IF(C3895="","",IF(AND(MONTH(C3895)&gt;=1,MONTH(C3895)&lt;=3),1,IF(AND(MONTH(C3895)&gt;=4,MONTH(C3895)&lt;=6),2,IF(AND(MONTH(C3895)&gt;=7,MONTH(C3895)&lt;=9),3,4))))</f>
        <v>3</v>
      </c>
      <c r="D3896" s="76"/>
      <c r="E3896" s="70" t="s">
        <v>2509</v>
      </c>
      <c r="F3896" s="71" t="s">
        <v>11612</v>
      </c>
    </row>
    <row r="3897" spans="1:10" ht="14.25" customHeight="1" x14ac:dyDescent="0.35">
      <c r="A3897" s="76"/>
      <c r="B3897" s="38" t="s">
        <v>13526</v>
      </c>
      <c r="C3897" s="68">
        <v>45565</v>
      </c>
      <c r="D3897" s="76"/>
      <c r="E3897" s="70" t="s">
        <v>3198</v>
      </c>
      <c r="F3897" s="71" t="s">
        <v>11612</v>
      </c>
    </row>
    <row r="3898" spans="1:10" ht="14.25" customHeight="1" x14ac:dyDescent="0.35">
      <c r="A3898" s="76"/>
      <c r="B3898" s="38" t="s">
        <v>1858</v>
      </c>
      <c r="C3898" s="69">
        <f>IF(C3897="","",IF(AND(MONTH(C3897)&gt;=1,MONTH(C3897)&lt;=3),1,IF(AND(MONTH(C3897)&gt;=4,MONTH(C3897)&lt;=6),2,IF(AND(MONTH(C3897)&gt;=7,MONTH(C3897)&lt;=9),3,4))))</f>
        <v>3</v>
      </c>
      <c r="D3898" s="76"/>
      <c r="E3898" s="70" t="s">
        <v>13785</v>
      </c>
      <c r="F3898" s="71"/>
    </row>
    <row r="3900" spans="1:10" ht="14.25" customHeight="1" x14ac:dyDescent="0.35">
      <c r="A3900" s="43" t="s">
        <v>16424</v>
      </c>
      <c r="B3900" s="43" t="s">
        <v>16856</v>
      </c>
      <c r="C3900" s="43" t="s">
        <v>16326</v>
      </c>
      <c r="D3900" s="43" t="s">
        <v>15925</v>
      </c>
      <c r="E3900" s="43" t="s">
        <v>7248</v>
      </c>
      <c r="F3900" s="43" t="s">
        <v>15955</v>
      </c>
    </row>
    <row r="3901" spans="1:10" ht="14.25" customHeight="1" x14ac:dyDescent="0.35">
      <c r="A3901" s="39" t="s">
        <v>48</v>
      </c>
      <c r="B3901" s="40" t="str">
        <f ca="1">IFERROR(INDEX(UNSPSCDes,MATCH(INDIRECT(ADDRESS(ROW(),COLUMN()-1,4)),UNSPSCCode,0)),IF(INDIRECT(ADDRESS(ROW(),COLUMN()-1,4))="82121503","Impresión digital",""))</f>
        <v>Impresión digital</v>
      </c>
      <c r="C3901" s="72" t="str">
        <f>IFERROR(VLOOKUP("UD",'Informacion '!P:Q,2,FALSE),"")</f>
        <v>Unidad</v>
      </c>
      <c r="D3901" s="39">
        <v>2</v>
      </c>
      <c r="E3901" s="42">
        <v>6299</v>
      </c>
      <c r="F3901" s="41">
        <f t="shared" ref="F3901:F3912" ca="1" si="149">INDIRECT(ADDRESS(ROW(),COLUMN()-2,4))*INDIRECT(ADDRESS(ROW(),COLUMN()-1,4))</f>
        <v>12598</v>
      </c>
    </row>
    <row r="3902" spans="1:10" ht="14.25" customHeight="1" x14ac:dyDescent="0.35">
      <c r="A3902" s="39" t="s">
        <v>113</v>
      </c>
      <c r="B3902" s="40" t="str">
        <f ca="1">IFERROR(INDEX(UNSPSCDes,MATCH(INDIRECT(ADDRESS(ROW(),COLUMN()-1,4)),UNSPSCCode,0)),IF(INDIRECT(ADDRESS(ROW(),COLUMN()-1,4))="82121504","Impresión tipográfica o por serigrafía",""))</f>
        <v>Impresión tipográfica o por serigrafía</v>
      </c>
      <c r="C3902" s="72" t="str">
        <f>IFERROR(VLOOKUP("UD",'Informacion '!P:Q,2,FALSE),"")</f>
        <v>Unidad</v>
      </c>
      <c r="D3902" s="39">
        <v>1000</v>
      </c>
      <c r="E3902" s="42">
        <v>38.049999999999997</v>
      </c>
      <c r="F3902" s="41">
        <f t="shared" ca="1" si="149"/>
        <v>38050</v>
      </c>
    </row>
    <row r="3903" spans="1:10" ht="14.25" customHeight="1" x14ac:dyDescent="0.35">
      <c r="A3903" s="39" t="s">
        <v>113</v>
      </c>
      <c r="B3903" s="40" t="str">
        <f ca="1">IFERROR(INDEX(UNSPSCDes,MATCH(INDIRECT(ADDRESS(ROW(),COLUMN()-1,4)),UNSPSCCode,0)),IF(INDIRECT(ADDRESS(ROW(),COLUMN()-1,4))="82121504","Impresión tipográfica o por serigrafía",""))</f>
        <v>Impresión tipográfica o por serigrafía</v>
      </c>
      <c r="C3903" s="72" t="str">
        <f>IFERROR(VLOOKUP("UD",'Informacion '!P:Q,2,FALSE),"")</f>
        <v>Unidad</v>
      </c>
      <c r="D3903" s="39">
        <v>10</v>
      </c>
      <c r="E3903" s="42">
        <v>44.84</v>
      </c>
      <c r="F3903" s="41">
        <f t="shared" ca="1" si="149"/>
        <v>448.40000000000003</v>
      </c>
    </row>
    <row r="3904" spans="1:10" ht="14.25" customHeight="1" x14ac:dyDescent="0.35">
      <c r="A3904" s="39" t="s">
        <v>113</v>
      </c>
      <c r="B3904" s="40" t="str">
        <f ca="1">IFERROR(INDEX(UNSPSCDes,MATCH(INDIRECT(ADDRESS(ROW(),COLUMN()-1,4)),UNSPSCCode,0)),IF(INDIRECT(ADDRESS(ROW(),COLUMN()-1,4))="82121504","Impresión tipográfica o por serigrafía",""))</f>
        <v>Impresión tipográfica o por serigrafía</v>
      </c>
      <c r="C3904" s="72" t="str">
        <f>IFERROR(VLOOKUP("UD",'Informacion '!P:Q,2,FALSE),"")</f>
        <v>Unidad</v>
      </c>
      <c r="D3904" s="39">
        <v>2</v>
      </c>
      <c r="E3904" s="42">
        <v>140000</v>
      </c>
      <c r="F3904" s="41">
        <f t="shared" ca="1" si="149"/>
        <v>280000</v>
      </c>
    </row>
    <row r="3905" spans="1:10" ht="14.25" customHeight="1" x14ac:dyDescent="0.35">
      <c r="A3905" s="39" t="s">
        <v>113</v>
      </c>
      <c r="B3905" s="40" t="str">
        <f ca="1">IFERROR(INDEX(UNSPSCDes,MATCH(INDIRECT(ADDRESS(ROW(),COLUMN()-1,4)),UNSPSCCode,0)),IF(INDIRECT(ADDRESS(ROW(),COLUMN()-1,4))="82121504","Impresión tipográfica o por serigrafía",""))</f>
        <v>Impresión tipográfica o por serigrafía</v>
      </c>
      <c r="C3905" s="72" t="str">
        <f>IFERROR(VLOOKUP("UD",'Informacion '!P:Q,2,FALSE),"")</f>
        <v>Unidad</v>
      </c>
      <c r="D3905" s="39">
        <v>15</v>
      </c>
      <c r="E3905" s="42">
        <v>4130</v>
      </c>
      <c r="F3905" s="41">
        <f t="shared" ca="1" si="149"/>
        <v>61950</v>
      </c>
    </row>
    <row r="3906" spans="1:10" ht="14.25" customHeight="1" x14ac:dyDescent="0.35">
      <c r="A3906" s="39" t="s">
        <v>113</v>
      </c>
      <c r="B3906" s="40" t="str">
        <f ca="1">IFERROR(INDEX(UNSPSCDes,MATCH(INDIRECT(ADDRESS(ROW(),COLUMN()-1,4)),UNSPSCCode,0)),IF(INDIRECT(ADDRESS(ROW(),COLUMN()-1,4))="82121504","Impresión tipográfica o por serigrafía",""))</f>
        <v>Impresión tipográfica o por serigrafía</v>
      </c>
      <c r="C3906" s="72" t="str">
        <f>IFERROR(VLOOKUP("UD",'Informacion '!P:Q,2,FALSE),"")</f>
        <v>Unidad</v>
      </c>
      <c r="D3906" s="39">
        <v>3</v>
      </c>
      <c r="E3906" s="42">
        <v>40000</v>
      </c>
      <c r="F3906" s="41">
        <f t="shared" ca="1" si="149"/>
        <v>120000</v>
      </c>
    </row>
    <row r="3907" spans="1:10" ht="14.25" customHeight="1" x14ac:dyDescent="0.35">
      <c r="A3907" s="39" t="s">
        <v>3223</v>
      </c>
      <c r="B3907" s="40" t="str">
        <f t="shared" ref="B3907:B3912" ca="1" si="150">IFERROR(INDEX(UNSPSCDes,MATCH(INDIRECT(ADDRESS(ROW(),COLUMN()-1,4)),UNSPSCCode,0)),IF(INDIRECT(ADDRESS(ROW(),COLUMN()-1,4))="82121505","Impresión promocional o publicitaria",""))</f>
        <v>Impresión promocional o publicitaria</v>
      </c>
      <c r="C3907" s="72" t="str">
        <f>IFERROR(VLOOKUP("UD",'Informacion '!P:Q,2,FALSE),"")</f>
        <v>Unidad</v>
      </c>
      <c r="D3907" s="39">
        <v>200</v>
      </c>
      <c r="E3907" s="42">
        <v>41.3</v>
      </c>
      <c r="F3907" s="41">
        <f t="shared" ca="1" si="149"/>
        <v>8260</v>
      </c>
    </row>
    <row r="3908" spans="1:10" ht="14.25" customHeight="1" x14ac:dyDescent="0.35">
      <c r="A3908" s="39" t="s">
        <v>3223</v>
      </c>
      <c r="B3908" s="40" t="str">
        <f t="shared" ca="1" si="150"/>
        <v>Impresión promocional o publicitaria</v>
      </c>
      <c r="C3908" s="72" t="str">
        <f>IFERROR(VLOOKUP("UD",'Informacion '!P:Q,2,FALSE),"")</f>
        <v>Unidad</v>
      </c>
      <c r="D3908" s="39">
        <v>2</v>
      </c>
      <c r="E3908" s="42">
        <v>1947</v>
      </c>
      <c r="F3908" s="41">
        <f t="shared" ca="1" si="149"/>
        <v>3894</v>
      </c>
    </row>
    <row r="3909" spans="1:10" ht="14.25" customHeight="1" x14ac:dyDescent="0.35">
      <c r="A3909" s="39" t="s">
        <v>3223</v>
      </c>
      <c r="B3909" s="40" t="str">
        <f t="shared" ca="1" si="150"/>
        <v>Impresión promocional o publicitaria</v>
      </c>
      <c r="C3909" s="72" t="str">
        <f>IFERROR(VLOOKUP("UD",'Informacion '!P:Q,2,FALSE),"")</f>
        <v>Unidad</v>
      </c>
      <c r="D3909" s="39">
        <v>350</v>
      </c>
      <c r="E3909" s="42">
        <v>12.98</v>
      </c>
      <c r="F3909" s="41">
        <f t="shared" ca="1" si="149"/>
        <v>4543</v>
      </c>
    </row>
    <row r="3910" spans="1:10" ht="14.25" customHeight="1" x14ac:dyDescent="0.35">
      <c r="A3910" s="39" t="s">
        <v>3223</v>
      </c>
      <c r="B3910" s="40" t="str">
        <f t="shared" ca="1" si="150"/>
        <v>Impresión promocional o publicitaria</v>
      </c>
      <c r="C3910" s="72" t="str">
        <f>IFERROR(VLOOKUP("UD",'Informacion '!P:Q,2,FALSE),"")</f>
        <v>Unidad</v>
      </c>
      <c r="D3910" s="39">
        <v>750</v>
      </c>
      <c r="E3910" s="42">
        <v>4.3</v>
      </c>
      <c r="F3910" s="41">
        <f t="shared" ca="1" si="149"/>
        <v>3225</v>
      </c>
    </row>
    <row r="3911" spans="1:10" ht="14.25" customHeight="1" x14ac:dyDescent="0.35">
      <c r="A3911" s="39" t="s">
        <v>3223</v>
      </c>
      <c r="B3911" s="40" t="str">
        <f t="shared" ca="1" si="150"/>
        <v>Impresión promocional o publicitaria</v>
      </c>
      <c r="C3911" s="72" t="str">
        <f>IFERROR(VLOOKUP("UD",'Informacion '!P:Q,2,FALSE),"")</f>
        <v>Unidad</v>
      </c>
      <c r="D3911" s="39">
        <v>20</v>
      </c>
      <c r="E3911" s="42">
        <v>153.4</v>
      </c>
      <c r="F3911" s="41">
        <f t="shared" ca="1" si="149"/>
        <v>3068</v>
      </c>
    </row>
    <row r="3912" spans="1:10" ht="14.25" customHeight="1" x14ac:dyDescent="0.35">
      <c r="A3912" s="39" t="s">
        <v>3223</v>
      </c>
      <c r="B3912" s="40" t="str">
        <f t="shared" ca="1" si="150"/>
        <v>Impresión promocional o publicitaria</v>
      </c>
      <c r="C3912" s="72" t="str">
        <f>IFERROR(VLOOKUP("UD",'Informacion '!P:Q,2,FALSE),"")</f>
        <v>Unidad</v>
      </c>
      <c r="D3912" s="39">
        <v>1</v>
      </c>
      <c r="E3912" s="42">
        <v>482575</v>
      </c>
      <c r="F3912" s="41">
        <f t="shared" ca="1" si="149"/>
        <v>482575</v>
      </c>
    </row>
    <row r="3913" spans="1:10" ht="14.25" customHeight="1" x14ac:dyDescent="0.35">
      <c r="E3913" s="44" t="s">
        <v>13122</v>
      </c>
      <c r="F3913" s="45">
        <f ca="1">SUM(Table207[MONTO TOTAL ESTIMADO])</f>
        <v>1018611.4</v>
      </c>
      <c r="H3913" s="24" t="str">
        <f>C3894</f>
        <v>Servicios</v>
      </c>
      <c r="I3913" s="24" t="str">
        <f>E3894</f>
        <v>Sí</v>
      </c>
      <c r="J3913" s="24" t="str">
        <f>D3894</f>
        <v>Compras Menores</v>
      </c>
    </row>
    <row r="3915" spans="1:10" ht="34" customHeight="1" x14ac:dyDescent="0.35">
      <c r="A3915" s="36" t="s">
        <v>17105</v>
      </c>
      <c r="B3915" s="36" t="s">
        <v>167</v>
      </c>
      <c r="C3915" s="36" t="s">
        <v>12252</v>
      </c>
      <c r="D3915" s="36" t="s">
        <v>15021</v>
      </c>
      <c r="E3915" s="36" t="s">
        <v>11455</v>
      </c>
      <c r="F3915" s="36" t="s">
        <v>11595</v>
      </c>
    </row>
    <row r="3916" spans="1:10" ht="14.25" customHeight="1" x14ac:dyDescent="0.35">
      <c r="A3916" s="37" t="s">
        <v>19391</v>
      </c>
      <c r="B3916" s="37" t="s">
        <v>19391</v>
      </c>
      <c r="C3916" s="37" t="s">
        <v>7109</v>
      </c>
      <c r="D3916" s="37" t="s">
        <v>18256</v>
      </c>
      <c r="E3916" s="37" t="s">
        <v>9261</v>
      </c>
      <c r="F3916" s="37" t="s">
        <v>7088</v>
      </c>
    </row>
    <row r="3917" spans="1:10" ht="14.25" customHeight="1" x14ac:dyDescent="0.35">
      <c r="A3917" s="75" t="s">
        <v>15490</v>
      </c>
      <c r="B3917" s="38" t="s">
        <v>8918</v>
      </c>
      <c r="C3917" s="68">
        <v>45566</v>
      </c>
      <c r="D3917" s="75" t="s">
        <v>9819</v>
      </c>
      <c r="E3917" s="70" t="s">
        <v>13683</v>
      </c>
      <c r="F3917" s="71" t="s">
        <v>3205</v>
      </c>
    </row>
    <row r="3918" spans="1:10" ht="14.25" customHeight="1" x14ac:dyDescent="0.35">
      <c r="A3918" s="76"/>
      <c r="B3918" s="38" t="s">
        <v>1858</v>
      </c>
      <c r="C3918" s="69">
        <f>IF(C3917="","",IF(AND(MONTH(C3917)&gt;=1,MONTH(C3917)&lt;=3),1,IF(AND(MONTH(C3917)&gt;=4,MONTH(C3917)&lt;=6),2,IF(AND(MONTH(C3917)&gt;=7,MONTH(C3917)&lt;=9),3,4))))</f>
        <v>4</v>
      </c>
      <c r="D3918" s="76"/>
      <c r="E3918" s="70" t="s">
        <v>2509</v>
      </c>
      <c r="F3918" s="71" t="s">
        <v>11612</v>
      </c>
    </row>
    <row r="3919" spans="1:10" ht="14.25" customHeight="1" x14ac:dyDescent="0.35">
      <c r="A3919" s="76"/>
      <c r="B3919" s="38" t="s">
        <v>13526</v>
      </c>
      <c r="C3919" s="68">
        <v>45596</v>
      </c>
      <c r="D3919" s="76"/>
      <c r="E3919" s="70" t="s">
        <v>3198</v>
      </c>
      <c r="F3919" s="71" t="s">
        <v>11612</v>
      </c>
    </row>
    <row r="3920" spans="1:10" ht="14.25" customHeight="1" x14ac:dyDescent="0.35">
      <c r="A3920" s="76"/>
      <c r="B3920" s="38" t="s">
        <v>1858</v>
      </c>
      <c r="C3920" s="69">
        <f>IF(C3919="","",IF(AND(MONTH(C3919)&gt;=1,MONTH(C3919)&lt;=3),1,IF(AND(MONTH(C3919)&gt;=4,MONTH(C3919)&lt;=6),2,IF(AND(MONTH(C3919)&gt;=7,MONTH(C3919)&lt;=9),3,4))))</f>
        <v>4</v>
      </c>
      <c r="D3920" s="76"/>
      <c r="E3920" s="70" t="s">
        <v>13785</v>
      </c>
      <c r="F3920" s="71"/>
    </row>
    <row r="3922" spans="1:10" ht="14.25" customHeight="1" x14ac:dyDescent="0.35">
      <c r="A3922" s="43" t="s">
        <v>16424</v>
      </c>
      <c r="B3922" s="43" t="s">
        <v>16856</v>
      </c>
      <c r="C3922" s="43" t="s">
        <v>16326</v>
      </c>
      <c r="D3922" s="43" t="s">
        <v>15925</v>
      </c>
      <c r="E3922" s="43" t="s">
        <v>7248</v>
      </c>
      <c r="F3922" s="43" t="s">
        <v>15955</v>
      </c>
    </row>
    <row r="3923" spans="1:10" ht="14.25" customHeight="1" x14ac:dyDescent="0.35">
      <c r="A3923" s="39" t="s">
        <v>48</v>
      </c>
      <c r="B3923" s="40" t="str">
        <f ca="1">IFERROR(INDEX(UNSPSCDes,MATCH(INDIRECT(ADDRESS(ROW(),COLUMN()-1,4)),UNSPSCCode,0)),IF(INDIRECT(ADDRESS(ROW(),COLUMN()-1,4))="82121503","Impresión digital",""))</f>
        <v>Impresión digital</v>
      </c>
      <c r="C3923" s="72" t="str">
        <f>IFERROR(VLOOKUP("UD",'Informacion '!P:Q,2,FALSE),"")</f>
        <v>Unidad</v>
      </c>
      <c r="D3923" s="39">
        <v>2</v>
      </c>
      <c r="E3923" s="42">
        <v>6299</v>
      </c>
      <c r="F3923" s="41">
        <f t="shared" ref="F3923:F3931" ca="1" si="151">INDIRECT(ADDRESS(ROW(),COLUMN()-2,4))*INDIRECT(ADDRESS(ROW(),COLUMN()-1,4))</f>
        <v>12598</v>
      </c>
    </row>
    <row r="3924" spans="1:10" ht="14.25" customHeight="1" x14ac:dyDescent="0.35">
      <c r="A3924" s="39" t="s">
        <v>48</v>
      </c>
      <c r="B3924" s="40" t="str">
        <f ca="1">IFERROR(INDEX(UNSPSCDes,MATCH(INDIRECT(ADDRESS(ROW(),COLUMN()-1,4)),UNSPSCCode,0)),IF(INDIRECT(ADDRESS(ROW(),COLUMN()-1,4))="82121503","Impresión digital",""))</f>
        <v>Impresión digital</v>
      </c>
      <c r="C3924" s="72" t="str">
        <f>IFERROR(VLOOKUP("UD",'Informacion '!P:Q,2,FALSE),"")</f>
        <v>Unidad</v>
      </c>
      <c r="D3924" s="39">
        <v>50</v>
      </c>
      <c r="E3924" s="42">
        <v>6299</v>
      </c>
      <c r="F3924" s="41">
        <f t="shared" ca="1" si="151"/>
        <v>314950</v>
      </c>
    </row>
    <row r="3925" spans="1:10" ht="14.25" customHeight="1" x14ac:dyDescent="0.35">
      <c r="A3925" s="39" t="s">
        <v>48</v>
      </c>
      <c r="B3925" s="40" t="str">
        <f ca="1">IFERROR(INDEX(UNSPSCDes,MATCH(INDIRECT(ADDRESS(ROW(),COLUMN()-1,4)),UNSPSCCode,0)),IF(INDIRECT(ADDRESS(ROW(),COLUMN()-1,4))="82121503","Impresión digital",""))</f>
        <v>Impresión digital</v>
      </c>
      <c r="C3925" s="72" t="str">
        <f>IFERROR(VLOOKUP("UD",'Informacion '!P:Q,2,FALSE),"")</f>
        <v>Unidad</v>
      </c>
      <c r="D3925" s="39">
        <v>1</v>
      </c>
      <c r="E3925" s="42">
        <v>39530</v>
      </c>
      <c r="F3925" s="41">
        <f t="shared" ca="1" si="151"/>
        <v>39530</v>
      </c>
    </row>
    <row r="3926" spans="1:10" ht="14.25" customHeight="1" x14ac:dyDescent="0.35">
      <c r="A3926" s="39" t="s">
        <v>113</v>
      </c>
      <c r="B3926" s="40" t="str">
        <f ca="1">IFERROR(INDEX(UNSPSCDes,MATCH(INDIRECT(ADDRESS(ROW(),COLUMN()-1,4)),UNSPSCCode,0)),IF(INDIRECT(ADDRESS(ROW(),COLUMN()-1,4))="82121504","Impresión tipográfica o por serigrafía",""))</f>
        <v>Impresión tipográfica o por serigrafía</v>
      </c>
      <c r="C3926" s="72" t="str">
        <f>IFERROR(VLOOKUP("UD",'Informacion '!P:Q,2,FALSE),"")</f>
        <v>Unidad</v>
      </c>
      <c r="D3926" s="39">
        <v>3</v>
      </c>
      <c r="E3926" s="42">
        <v>4720</v>
      </c>
      <c r="F3926" s="41">
        <f t="shared" ca="1" si="151"/>
        <v>14160</v>
      </c>
    </row>
    <row r="3927" spans="1:10" ht="14.25" customHeight="1" x14ac:dyDescent="0.35">
      <c r="A3927" s="39" t="s">
        <v>113</v>
      </c>
      <c r="B3927" s="40" t="str">
        <f ca="1">IFERROR(INDEX(UNSPSCDes,MATCH(INDIRECT(ADDRESS(ROW(),COLUMN()-1,4)),UNSPSCCode,0)),IF(INDIRECT(ADDRESS(ROW(),COLUMN()-1,4))="82121504","Impresión tipográfica o por serigrafía",""))</f>
        <v>Impresión tipográfica o por serigrafía</v>
      </c>
      <c r="C3927" s="72" t="str">
        <f>IFERROR(VLOOKUP("UD",'Informacion '!P:Q,2,FALSE),"")</f>
        <v>Unidad</v>
      </c>
      <c r="D3927" s="39">
        <v>1500</v>
      </c>
      <c r="E3927" s="42">
        <v>38.049999999999997</v>
      </c>
      <c r="F3927" s="41">
        <f t="shared" ca="1" si="151"/>
        <v>57074.999999999993</v>
      </c>
    </row>
    <row r="3928" spans="1:10" ht="14.25" customHeight="1" x14ac:dyDescent="0.35">
      <c r="A3928" s="39" t="s">
        <v>113</v>
      </c>
      <c r="B3928" s="40" t="str">
        <f ca="1">IFERROR(INDEX(UNSPSCDes,MATCH(INDIRECT(ADDRESS(ROW(),COLUMN()-1,4)),UNSPSCCode,0)),IF(INDIRECT(ADDRESS(ROW(),COLUMN()-1,4))="82121504","Impresión tipográfica o por serigrafía",""))</f>
        <v>Impresión tipográfica o por serigrafía</v>
      </c>
      <c r="C3928" s="72" t="str">
        <f>IFERROR(VLOOKUP("UD",'Informacion '!P:Q,2,FALSE),"")</f>
        <v>Unidad</v>
      </c>
      <c r="D3928" s="39">
        <v>5</v>
      </c>
      <c r="E3928" s="42">
        <v>44.84</v>
      </c>
      <c r="F3928" s="41">
        <f t="shared" ca="1" si="151"/>
        <v>224.20000000000002</v>
      </c>
    </row>
    <row r="3929" spans="1:10" ht="14.25" customHeight="1" x14ac:dyDescent="0.35">
      <c r="A3929" s="39" t="s">
        <v>113</v>
      </c>
      <c r="B3929" s="40" t="str">
        <f ca="1">IFERROR(INDEX(UNSPSCDes,MATCH(INDIRECT(ADDRESS(ROW(),COLUMN()-1,4)),UNSPSCCode,0)),IF(INDIRECT(ADDRESS(ROW(),COLUMN()-1,4))="82121504","Impresión tipográfica o por serigrafía",""))</f>
        <v>Impresión tipográfica o por serigrafía</v>
      </c>
      <c r="C3929" s="72" t="str">
        <f>IFERROR(VLOOKUP("UD",'Informacion '!P:Q,2,FALSE),"")</f>
        <v>Unidad</v>
      </c>
      <c r="D3929" s="39">
        <v>15</v>
      </c>
      <c r="E3929" s="42">
        <v>4130</v>
      </c>
      <c r="F3929" s="41">
        <f t="shared" ca="1" si="151"/>
        <v>61950</v>
      </c>
    </row>
    <row r="3930" spans="1:10" ht="14.25" customHeight="1" x14ac:dyDescent="0.35">
      <c r="A3930" s="39" t="s">
        <v>113</v>
      </c>
      <c r="B3930" s="40" t="str">
        <f ca="1">IFERROR(INDEX(UNSPSCDes,MATCH(INDIRECT(ADDRESS(ROW(),COLUMN()-1,4)),UNSPSCCode,0)),IF(INDIRECT(ADDRESS(ROW(),COLUMN()-1,4))="82121504","Impresión tipográfica o por serigrafía",""))</f>
        <v>Impresión tipográfica o por serigrafía</v>
      </c>
      <c r="C3930" s="72" t="str">
        <f>IFERROR(VLOOKUP("UD",'Informacion '!P:Q,2,FALSE),"")</f>
        <v>Unidad</v>
      </c>
      <c r="D3930" s="39">
        <v>3</v>
      </c>
      <c r="E3930" s="42">
        <v>400000</v>
      </c>
      <c r="F3930" s="41">
        <f t="shared" ca="1" si="151"/>
        <v>1200000</v>
      </c>
    </row>
    <row r="3931" spans="1:10" ht="14.25" customHeight="1" x14ac:dyDescent="0.35">
      <c r="A3931" s="39" t="s">
        <v>3223</v>
      </c>
      <c r="B3931" s="40" t="str">
        <f ca="1">IFERROR(INDEX(UNSPSCDes,MATCH(INDIRECT(ADDRESS(ROW(),COLUMN()-1,4)),UNSPSCCode,0)),IF(INDIRECT(ADDRESS(ROW(),COLUMN()-1,4))="82121505","Impresión promocional o publicitaria",""))</f>
        <v>Impresión promocional o publicitaria</v>
      </c>
      <c r="C3931" s="72" t="str">
        <f>IFERROR(VLOOKUP("UD",'Informacion '!P:Q,2,FALSE),"")</f>
        <v>Unidad</v>
      </c>
      <c r="D3931" s="39">
        <v>200</v>
      </c>
      <c r="E3931" s="42">
        <v>41.3</v>
      </c>
      <c r="F3931" s="41">
        <f t="shared" ca="1" si="151"/>
        <v>8260</v>
      </c>
    </row>
    <row r="3932" spans="1:10" ht="14.25" customHeight="1" x14ac:dyDescent="0.35">
      <c r="E3932" s="44" t="s">
        <v>13122</v>
      </c>
      <c r="F3932" s="45">
        <f ca="1">SUM(Table208[MONTO TOTAL ESTIMADO])</f>
        <v>1708747.2</v>
      </c>
      <c r="H3932" s="24" t="str">
        <f>C3916</f>
        <v>Servicios</v>
      </c>
      <c r="I3932" s="24" t="str">
        <f>E3916</f>
        <v>Sí</v>
      </c>
      <c r="J3932" s="24" t="str">
        <f>D3916</f>
        <v>Compras Menores</v>
      </c>
    </row>
    <row r="3934" spans="1:10" ht="34" customHeight="1" x14ac:dyDescent="0.35">
      <c r="A3934" s="36" t="s">
        <v>17105</v>
      </c>
      <c r="B3934" s="36" t="s">
        <v>167</v>
      </c>
      <c r="C3934" s="36" t="s">
        <v>12252</v>
      </c>
      <c r="D3934" s="36" t="s">
        <v>15021</v>
      </c>
      <c r="E3934" s="36" t="s">
        <v>11455</v>
      </c>
      <c r="F3934" s="36" t="s">
        <v>11595</v>
      </c>
    </row>
    <row r="3935" spans="1:10" ht="14.25" customHeight="1" x14ac:dyDescent="0.35">
      <c r="A3935" s="37" t="s">
        <v>8397</v>
      </c>
      <c r="B3935" s="37" t="s">
        <v>8397</v>
      </c>
      <c r="C3935" s="37" t="s">
        <v>7109</v>
      </c>
      <c r="D3935" s="37" t="s">
        <v>2615</v>
      </c>
      <c r="E3935" s="37" t="s">
        <v>18646</v>
      </c>
      <c r="F3935" s="37" t="s">
        <v>7088</v>
      </c>
    </row>
    <row r="3936" spans="1:10" ht="14.25" customHeight="1" x14ac:dyDescent="0.35">
      <c r="A3936" s="75" t="s">
        <v>15490</v>
      </c>
      <c r="B3936" s="38" t="s">
        <v>8918</v>
      </c>
      <c r="C3936" s="68">
        <v>45334</v>
      </c>
      <c r="D3936" s="75" t="s">
        <v>9819</v>
      </c>
      <c r="E3936" s="70" t="s">
        <v>13683</v>
      </c>
      <c r="F3936" s="71" t="s">
        <v>3205</v>
      </c>
    </row>
    <row r="3937" spans="1:10" ht="14.25" customHeight="1" x14ac:dyDescent="0.35">
      <c r="A3937" s="76"/>
      <c r="B3937" s="38" t="s">
        <v>1858</v>
      </c>
      <c r="C3937" s="69">
        <f>IF(C3936="","",IF(AND(MONTH(C3936)&gt;=1,MONTH(C3936)&lt;=3),1,IF(AND(MONTH(C3936)&gt;=4,MONTH(C3936)&lt;=6),2,IF(AND(MONTH(C3936)&gt;=7,MONTH(C3936)&lt;=9),3,4))))</f>
        <v>1</v>
      </c>
      <c r="D3937" s="76"/>
      <c r="E3937" s="70" t="s">
        <v>2509</v>
      </c>
      <c r="F3937" s="71" t="s">
        <v>11612</v>
      </c>
    </row>
    <row r="3938" spans="1:10" ht="14.25" customHeight="1" x14ac:dyDescent="0.35">
      <c r="A3938" s="76"/>
      <c r="B3938" s="38" t="s">
        <v>13526</v>
      </c>
      <c r="C3938" s="68">
        <v>45378</v>
      </c>
      <c r="D3938" s="76"/>
      <c r="E3938" s="70" t="s">
        <v>3198</v>
      </c>
      <c r="F3938" s="71" t="s">
        <v>11612</v>
      </c>
    </row>
    <row r="3939" spans="1:10" ht="14.25" customHeight="1" x14ac:dyDescent="0.35">
      <c r="A3939" s="76"/>
      <c r="B3939" s="38" t="s">
        <v>1858</v>
      </c>
      <c r="C3939" s="69">
        <f>IF(C3938="","",IF(AND(MONTH(C3938)&gt;=1,MONTH(C3938)&lt;=3),1,IF(AND(MONTH(C3938)&gt;=4,MONTH(C3938)&lt;=6),2,IF(AND(MONTH(C3938)&gt;=7,MONTH(C3938)&lt;=9),3,4))))</f>
        <v>1</v>
      </c>
      <c r="D3939" s="76"/>
      <c r="E3939" s="70" t="s">
        <v>13785</v>
      </c>
      <c r="F3939" s="71"/>
    </row>
    <row r="3941" spans="1:10" ht="14.25" customHeight="1" x14ac:dyDescent="0.35">
      <c r="A3941" s="43" t="s">
        <v>16424</v>
      </c>
      <c r="B3941" s="43" t="s">
        <v>16856</v>
      </c>
      <c r="C3941" s="43" t="s">
        <v>16326</v>
      </c>
      <c r="D3941" s="43" t="s">
        <v>15925</v>
      </c>
      <c r="E3941" s="43" t="s">
        <v>7248</v>
      </c>
      <c r="F3941" s="43" t="s">
        <v>15955</v>
      </c>
    </row>
    <row r="3942" spans="1:10" ht="14.25" customHeight="1" x14ac:dyDescent="0.35">
      <c r="A3942" s="39" t="s">
        <v>7362</v>
      </c>
      <c r="B3942" s="40" t="str">
        <f ca="1">IFERROR(INDEX(UNSPSCDes,MATCH(INDIRECT(ADDRESS(ROW(),COLUMN()-1,4)),UNSPSCCode,0)),IF(INDIRECT(ADDRESS(ROW(),COLUMN()-1,4))="82131603","Servicios de producción de vídeos",""))</f>
        <v>Servicios de producción de vídeos</v>
      </c>
      <c r="C3942" s="72" t="str">
        <f>IFERROR(VLOOKUP("UD",'Informacion '!P:Q,2,FALSE),"")</f>
        <v>Unidad</v>
      </c>
      <c r="D3942" s="39">
        <v>1</v>
      </c>
      <c r="E3942" s="42">
        <v>14000000</v>
      </c>
      <c r="F3942" s="41">
        <f ca="1">INDIRECT(ADDRESS(ROW(),COLUMN()-2,4))*INDIRECT(ADDRESS(ROW(),COLUMN()-1,4))</f>
        <v>14000000</v>
      </c>
    </row>
    <row r="3943" spans="1:10" ht="14.25" customHeight="1" x14ac:dyDescent="0.35">
      <c r="A3943" s="39" t="s">
        <v>7362</v>
      </c>
      <c r="B3943" s="40" t="str">
        <f ca="1">IFERROR(INDEX(UNSPSCDes,MATCH(INDIRECT(ADDRESS(ROW(),COLUMN()-1,4)),UNSPSCCode,0)),IF(INDIRECT(ADDRESS(ROW(),COLUMN()-1,4))="82131603","Servicios de producción de vídeos",""))</f>
        <v>Servicios de producción de vídeos</v>
      </c>
      <c r="C3943" s="72" t="str">
        <f>IFERROR(VLOOKUP("UD",'Informacion '!P:Q,2,FALSE),"")</f>
        <v>Unidad</v>
      </c>
      <c r="D3943" s="39">
        <v>1</v>
      </c>
      <c r="E3943" s="42">
        <v>3000000</v>
      </c>
      <c r="F3943" s="41">
        <f ca="1">INDIRECT(ADDRESS(ROW(),COLUMN()-2,4))*INDIRECT(ADDRESS(ROW(),COLUMN()-1,4))</f>
        <v>3000000</v>
      </c>
    </row>
    <row r="3944" spans="1:10" ht="14.25" customHeight="1" x14ac:dyDescent="0.35">
      <c r="A3944" s="39" t="s">
        <v>7362</v>
      </c>
      <c r="B3944" s="40" t="str">
        <f ca="1">IFERROR(INDEX(UNSPSCDes,MATCH(INDIRECT(ADDRESS(ROW(),COLUMN()-1,4)),UNSPSCCode,0)),IF(INDIRECT(ADDRESS(ROW(),COLUMN()-1,4))="82131603","Servicios de producción de vídeos",""))</f>
        <v>Servicios de producción de vídeos</v>
      </c>
      <c r="C3944" s="72" t="str">
        <f>IFERROR(VLOOKUP("UD",'Informacion '!P:Q,2,FALSE),"")</f>
        <v>Unidad</v>
      </c>
      <c r="D3944" s="39">
        <v>1</v>
      </c>
      <c r="E3944" s="42">
        <v>1300000</v>
      </c>
      <c r="F3944" s="41">
        <f ca="1">INDIRECT(ADDRESS(ROW(),COLUMN()-2,4))*INDIRECT(ADDRESS(ROW(),COLUMN()-1,4))</f>
        <v>1300000</v>
      </c>
    </row>
    <row r="3945" spans="1:10" ht="14.25" customHeight="1" x14ac:dyDescent="0.35">
      <c r="E3945" s="44" t="s">
        <v>13122</v>
      </c>
      <c r="F3945" s="45">
        <f ca="1">SUM(Table209[MONTO TOTAL ESTIMADO])</f>
        <v>18300000</v>
      </c>
      <c r="H3945" s="24" t="str">
        <f>C3935</f>
        <v>Servicios</v>
      </c>
      <c r="I3945" s="24" t="str">
        <f>E3935</f>
        <v>No</v>
      </c>
      <c r="J3945" s="24" t="str">
        <f>D3935</f>
        <v>Licitacion Publica</v>
      </c>
    </row>
    <row r="3947" spans="1:10" ht="34" customHeight="1" x14ac:dyDescent="0.35">
      <c r="A3947" s="36" t="s">
        <v>17105</v>
      </c>
      <c r="B3947" s="36" t="s">
        <v>167</v>
      </c>
      <c r="C3947" s="36" t="s">
        <v>12252</v>
      </c>
      <c r="D3947" s="36" t="s">
        <v>15021</v>
      </c>
      <c r="E3947" s="36" t="s">
        <v>11455</v>
      </c>
      <c r="F3947" s="36" t="s">
        <v>11595</v>
      </c>
    </row>
    <row r="3948" spans="1:10" ht="14.25" customHeight="1" x14ac:dyDescent="0.35">
      <c r="A3948" s="37" t="s">
        <v>14419</v>
      </c>
      <c r="B3948" s="37" t="s">
        <v>14419</v>
      </c>
      <c r="C3948" s="37" t="s">
        <v>7109</v>
      </c>
      <c r="D3948" s="37" t="s">
        <v>1950</v>
      </c>
      <c r="E3948" s="37" t="s">
        <v>18646</v>
      </c>
      <c r="F3948" s="37" t="s">
        <v>7088</v>
      </c>
    </row>
    <row r="3949" spans="1:10" ht="14.25" customHeight="1" x14ac:dyDescent="0.35">
      <c r="A3949" s="75" t="s">
        <v>15490</v>
      </c>
      <c r="B3949" s="38" t="s">
        <v>8918</v>
      </c>
      <c r="C3949" s="68">
        <v>45334</v>
      </c>
      <c r="D3949" s="75" t="s">
        <v>9819</v>
      </c>
      <c r="E3949" s="70" t="s">
        <v>13683</v>
      </c>
      <c r="F3949" s="71" t="s">
        <v>3205</v>
      </c>
    </row>
    <row r="3950" spans="1:10" ht="14.25" customHeight="1" x14ac:dyDescent="0.35">
      <c r="A3950" s="76"/>
      <c r="B3950" s="38" t="s">
        <v>1858</v>
      </c>
      <c r="C3950" s="69">
        <f>IF(C3949="","",IF(AND(MONTH(C3949)&gt;=1,MONTH(C3949)&lt;=3),1,IF(AND(MONTH(C3949)&gt;=4,MONTH(C3949)&lt;=6),2,IF(AND(MONTH(C3949)&gt;=7,MONTH(C3949)&lt;=9),3,4))))</f>
        <v>1</v>
      </c>
      <c r="D3950" s="76"/>
      <c r="E3950" s="70" t="s">
        <v>2509</v>
      </c>
      <c r="F3950" s="71" t="s">
        <v>11612</v>
      </c>
    </row>
    <row r="3951" spans="1:10" ht="14.25" customHeight="1" x14ac:dyDescent="0.35">
      <c r="A3951" s="76"/>
      <c r="B3951" s="38" t="s">
        <v>13526</v>
      </c>
      <c r="C3951" s="68">
        <v>45378</v>
      </c>
      <c r="D3951" s="76"/>
      <c r="E3951" s="70" t="s">
        <v>3198</v>
      </c>
      <c r="F3951" s="71" t="s">
        <v>11612</v>
      </c>
    </row>
    <row r="3952" spans="1:10" ht="14.25" customHeight="1" x14ac:dyDescent="0.35">
      <c r="A3952" s="76"/>
      <c r="B3952" s="38" t="s">
        <v>1858</v>
      </c>
      <c r="C3952" s="69">
        <f>IF(C3951="","",IF(AND(MONTH(C3951)&gt;=1,MONTH(C3951)&lt;=3),1,IF(AND(MONTH(C3951)&gt;=4,MONTH(C3951)&lt;=6),2,IF(AND(MONTH(C3951)&gt;=7,MONTH(C3951)&lt;=9),3,4))))</f>
        <v>1</v>
      </c>
      <c r="D3952" s="76"/>
      <c r="E3952" s="70" t="s">
        <v>13785</v>
      </c>
      <c r="F3952" s="71"/>
    </row>
    <row r="3954" spans="1:6" ht="14.25" customHeight="1" x14ac:dyDescent="0.35">
      <c r="A3954" s="43" t="s">
        <v>16424</v>
      </c>
      <c r="B3954" s="43" t="s">
        <v>16856</v>
      </c>
      <c r="C3954" s="43" t="s">
        <v>16326</v>
      </c>
      <c r="D3954" s="43" t="s">
        <v>15925</v>
      </c>
      <c r="E3954" s="43" t="s">
        <v>7248</v>
      </c>
      <c r="F3954" s="43" t="s">
        <v>15955</v>
      </c>
    </row>
    <row r="3955" spans="1:6" ht="14.25" customHeight="1" x14ac:dyDescent="0.35">
      <c r="A3955" s="39" t="s">
        <v>5227</v>
      </c>
      <c r="B3955" s="40" t="str">
        <f t="shared" ref="B3955:B4000" ca="1" si="152">IFERROR(INDEX(UNSPSCDes,MATCH(INDIRECT(ADDRESS(ROW(),COLUMN()-1,4)),UNSPSCCode,0)),IF(INDIRECT(ADDRESS(ROW(),COLUMN()-1,4))="82141507","Servicios de diseño de serigrafía",""))</f>
        <v>Servicios de diseño de serigrafía</v>
      </c>
      <c r="C3955" s="72" t="str">
        <f>IFERROR(VLOOKUP("UD",'Informacion '!P:Q,2,FALSE),"")</f>
        <v>Unidad</v>
      </c>
      <c r="D3955" s="39">
        <v>280</v>
      </c>
      <c r="E3955" s="42">
        <v>36.33</v>
      </c>
      <c r="F3955" s="41">
        <f t="shared" ref="F3955:F4000" ca="1" si="153">INDIRECT(ADDRESS(ROW(),COLUMN()-2,4))*INDIRECT(ADDRESS(ROW(),COLUMN()-1,4))</f>
        <v>10172.4</v>
      </c>
    </row>
    <row r="3956" spans="1:6" ht="14.25" customHeight="1" x14ac:dyDescent="0.35">
      <c r="A3956" s="39" t="s">
        <v>5227</v>
      </c>
      <c r="B3956" s="40" t="str">
        <f t="shared" ca="1" si="152"/>
        <v>Servicios de diseño de serigrafía</v>
      </c>
      <c r="C3956" s="72" t="str">
        <f>IFERROR(VLOOKUP("UD",'Informacion '!P:Q,2,FALSE),"")</f>
        <v>Unidad</v>
      </c>
      <c r="D3956" s="39">
        <v>50</v>
      </c>
      <c r="E3956" s="42">
        <v>224.2</v>
      </c>
      <c r="F3956" s="41">
        <f t="shared" ca="1" si="153"/>
        <v>11210</v>
      </c>
    </row>
    <row r="3957" spans="1:6" ht="14.25" customHeight="1" x14ac:dyDescent="0.35">
      <c r="A3957" s="39" t="s">
        <v>5227</v>
      </c>
      <c r="B3957" s="40" t="str">
        <f t="shared" ca="1" si="152"/>
        <v>Servicios de diseño de serigrafía</v>
      </c>
      <c r="C3957" s="72" t="str">
        <f>IFERROR(VLOOKUP("UD",'Informacion '!P:Q,2,FALSE),"")</f>
        <v>Unidad</v>
      </c>
      <c r="D3957" s="39">
        <v>1</v>
      </c>
      <c r="E3957" s="42">
        <v>6490</v>
      </c>
      <c r="F3957" s="41">
        <f t="shared" ca="1" si="153"/>
        <v>6490</v>
      </c>
    </row>
    <row r="3958" spans="1:6" ht="14.25" customHeight="1" x14ac:dyDescent="0.35">
      <c r="A3958" s="39" t="s">
        <v>5227</v>
      </c>
      <c r="B3958" s="40" t="str">
        <f t="shared" ca="1" si="152"/>
        <v>Servicios de diseño de serigrafía</v>
      </c>
      <c r="C3958" s="72" t="str">
        <f>IFERROR(VLOOKUP("UD",'Informacion '!P:Q,2,FALSE),"")</f>
        <v>Unidad</v>
      </c>
      <c r="D3958" s="39">
        <v>50</v>
      </c>
      <c r="E3958" s="42">
        <v>531</v>
      </c>
      <c r="F3958" s="41">
        <f t="shared" ca="1" si="153"/>
        <v>26550</v>
      </c>
    </row>
    <row r="3959" spans="1:6" ht="14.25" customHeight="1" x14ac:dyDescent="0.35">
      <c r="A3959" s="39" t="s">
        <v>5227</v>
      </c>
      <c r="B3959" s="40" t="str">
        <f t="shared" ca="1" si="152"/>
        <v>Servicios de diseño de serigrafía</v>
      </c>
      <c r="C3959" s="72" t="str">
        <f>IFERROR(VLOOKUP("UD",'Informacion '!P:Q,2,FALSE),"")</f>
        <v>Unidad</v>
      </c>
      <c r="D3959" s="39">
        <v>50</v>
      </c>
      <c r="E3959" s="42">
        <v>209.3</v>
      </c>
      <c r="F3959" s="41">
        <f t="shared" ca="1" si="153"/>
        <v>10465</v>
      </c>
    </row>
    <row r="3960" spans="1:6" ht="14.25" customHeight="1" x14ac:dyDescent="0.35">
      <c r="A3960" s="39" t="s">
        <v>5227</v>
      </c>
      <c r="B3960" s="40" t="str">
        <f t="shared" ca="1" si="152"/>
        <v>Servicios de diseño de serigrafía</v>
      </c>
      <c r="C3960" s="72" t="str">
        <f>IFERROR(VLOOKUP("UD",'Informacion '!P:Q,2,FALSE),"")</f>
        <v>Unidad</v>
      </c>
      <c r="D3960" s="39">
        <v>1</v>
      </c>
      <c r="E3960" s="42">
        <v>59000</v>
      </c>
      <c r="F3960" s="41">
        <f t="shared" ca="1" si="153"/>
        <v>59000</v>
      </c>
    </row>
    <row r="3961" spans="1:6" ht="14.25" customHeight="1" x14ac:dyDescent="0.35">
      <c r="A3961" s="39" t="s">
        <v>5227</v>
      </c>
      <c r="B3961" s="40" t="str">
        <f t="shared" ca="1" si="152"/>
        <v>Servicios de diseño de serigrafía</v>
      </c>
      <c r="C3961" s="72" t="str">
        <f>IFERROR(VLOOKUP("UD",'Informacion '!P:Q,2,FALSE),"")</f>
        <v>Unidad</v>
      </c>
      <c r="D3961" s="39">
        <v>450</v>
      </c>
      <c r="E3961" s="42">
        <v>18.88</v>
      </c>
      <c r="F3961" s="41">
        <f t="shared" ca="1" si="153"/>
        <v>8496</v>
      </c>
    </row>
    <row r="3962" spans="1:6" ht="14.25" customHeight="1" x14ac:dyDescent="0.35">
      <c r="A3962" s="39" t="s">
        <v>5227</v>
      </c>
      <c r="B3962" s="40" t="str">
        <f t="shared" ca="1" si="152"/>
        <v>Servicios de diseño de serigrafía</v>
      </c>
      <c r="C3962" s="72" t="str">
        <f>IFERROR(VLOOKUP("UD",'Informacion '!P:Q,2,FALSE),"")</f>
        <v>Unidad</v>
      </c>
      <c r="D3962" s="39">
        <v>225</v>
      </c>
      <c r="E3962" s="42">
        <v>16.52</v>
      </c>
      <c r="F3962" s="41">
        <f t="shared" ca="1" si="153"/>
        <v>3717</v>
      </c>
    </row>
    <row r="3963" spans="1:6" ht="14.25" customHeight="1" x14ac:dyDescent="0.35">
      <c r="A3963" s="39" t="s">
        <v>5227</v>
      </c>
      <c r="B3963" s="40" t="str">
        <f t="shared" ca="1" si="152"/>
        <v>Servicios de diseño de serigrafía</v>
      </c>
      <c r="C3963" s="72" t="str">
        <f>IFERROR(VLOOKUP("UD",'Informacion '!P:Q,2,FALSE),"")</f>
        <v>Unidad</v>
      </c>
      <c r="D3963" s="39">
        <v>225</v>
      </c>
      <c r="E3963" s="42">
        <v>16.52</v>
      </c>
      <c r="F3963" s="41">
        <f t="shared" ca="1" si="153"/>
        <v>3717</v>
      </c>
    </row>
    <row r="3964" spans="1:6" ht="14.25" customHeight="1" x14ac:dyDescent="0.35">
      <c r="A3964" s="39" t="s">
        <v>5227</v>
      </c>
      <c r="B3964" s="40" t="str">
        <f t="shared" ca="1" si="152"/>
        <v>Servicios de diseño de serigrafía</v>
      </c>
      <c r="C3964" s="72" t="str">
        <f>IFERROR(VLOOKUP("UD",'Informacion '!P:Q,2,FALSE),"")</f>
        <v>Unidad</v>
      </c>
      <c r="D3964" s="39">
        <v>225</v>
      </c>
      <c r="E3964" s="42">
        <v>18.88</v>
      </c>
      <c r="F3964" s="41">
        <f t="shared" ca="1" si="153"/>
        <v>4248</v>
      </c>
    </row>
    <row r="3965" spans="1:6" ht="14.25" customHeight="1" x14ac:dyDescent="0.35">
      <c r="A3965" s="39" t="s">
        <v>5227</v>
      </c>
      <c r="B3965" s="40" t="str">
        <f t="shared" ca="1" si="152"/>
        <v>Servicios de diseño de serigrafía</v>
      </c>
      <c r="C3965" s="72" t="str">
        <f>IFERROR(VLOOKUP("UD",'Informacion '!P:Q,2,FALSE),"")</f>
        <v>Unidad</v>
      </c>
      <c r="D3965" s="39">
        <v>5000</v>
      </c>
      <c r="E3965" s="42">
        <v>11.8</v>
      </c>
      <c r="F3965" s="41">
        <f t="shared" ca="1" si="153"/>
        <v>59000</v>
      </c>
    </row>
    <row r="3966" spans="1:6" ht="14.25" customHeight="1" x14ac:dyDescent="0.35">
      <c r="A3966" s="39" t="s">
        <v>5227</v>
      </c>
      <c r="B3966" s="40" t="str">
        <f t="shared" ca="1" si="152"/>
        <v>Servicios de diseño de serigrafía</v>
      </c>
      <c r="C3966" s="72" t="str">
        <f>IFERROR(VLOOKUP("UD",'Informacion '!P:Q,2,FALSE),"")</f>
        <v>Unidad</v>
      </c>
      <c r="D3966" s="39">
        <v>5000</v>
      </c>
      <c r="E3966" s="42">
        <v>11.8</v>
      </c>
      <c r="F3966" s="41">
        <f t="shared" ca="1" si="153"/>
        <v>59000</v>
      </c>
    </row>
    <row r="3967" spans="1:6" ht="14.25" customHeight="1" x14ac:dyDescent="0.35">
      <c r="A3967" s="39" t="s">
        <v>5227</v>
      </c>
      <c r="B3967" s="40" t="str">
        <f t="shared" ca="1" si="152"/>
        <v>Servicios de diseño de serigrafía</v>
      </c>
      <c r="C3967" s="72" t="str">
        <f>IFERROR(VLOOKUP("UD",'Informacion '!P:Q,2,FALSE),"")</f>
        <v>Unidad</v>
      </c>
      <c r="D3967" s="39">
        <v>200</v>
      </c>
      <c r="E3967" s="42">
        <v>32.270000000000003</v>
      </c>
      <c r="F3967" s="41">
        <f t="shared" ca="1" si="153"/>
        <v>6454.0000000000009</v>
      </c>
    </row>
    <row r="3968" spans="1:6" ht="14.25" customHeight="1" x14ac:dyDescent="0.35">
      <c r="A3968" s="39" t="s">
        <v>5227</v>
      </c>
      <c r="B3968" s="40" t="str">
        <f t="shared" ca="1" si="152"/>
        <v>Servicios de diseño de serigrafía</v>
      </c>
      <c r="C3968" s="72" t="str">
        <f>IFERROR(VLOOKUP("UD",'Informacion '!P:Q,2,FALSE),"")</f>
        <v>Unidad</v>
      </c>
      <c r="D3968" s="39">
        <v>35</v>
      </c>
      <c r="E3968" s="42">
        <v>1416</v>
      </c>
      <c r="F3968" s="41">
        <f t="shared" ca="1" si="153"/>
        <v>49560</v>
      </c>
    </row>
    <row r="3969" spans="1:6" ht="14.25" customHeight="1" x14ac:dyDescent="0.35">
      <c r="A3969" s="39" t="s">
        <v>5227</v>
      </c>
      <c r="B3969" s="40" t="str">
        <f t="shared" ca="1" si="152"/>
        <v>Servicios de diseño de serigrafía</v>
      </c>
      <c r="C3969" s="72" t="str">
        <f>IFERROR(VLOOKUP("UD",'Informacion '!P:Q,2,FALSE),"")</f>
        <v>Unidad</v>
      </c>
      <c r="D3969" s="39">
        <v>70</v>
      </c>
      <c r="E3969" s="42">
        <v>3540</v>
      </c>
      <c r="F3969" s="41">
        <f t="shared" ca="1" si="153"/>
        <v>247800</v>
      </c>
    </row>
    <row r="3970" spans="1:6" ht="14.25" customHeight="1" x14ac:dyDescent="0.35">
      <c r="A3970" s="39" t="s">
        <v>5227</v>
      </c>
      <c r="B3970" s="40" t="str">
        <f t="shared" ca="1" si="152"/>
        <v>Servicios de diseño de serigrafía</v>
      </c>
      <c r="C3970" s="72" t="str">
        <f>IFERROR(VLOOKUP("UD",'Informacion '!P:Q,2,FALSE),"")</f>
        <v>Unidad</v>
      </c>
      <c r="D3970" s="39">
        <v>70</v>
      </c>
      <c r="E3970" s="42">
        <v>265.5</v>
      </c>
      <c r="F3970" s="41">
        <f t="shared" ca="1" si="153"/>
        <v>18585</v>
      </c>
    </row>
    <row r="3971" spans="1:6" ht="14.25" customHeight="1" x14ac:dyDescent="0.35">
      <c r="A3971" s="39" t="s">
        <v>5227</v>
      </c>
      <c r="B3971" s="40" t="str">
        <f t="shared" ca="1" si="152"/>
        <v>Servicios de diseño de serigrafía</v>
      </c>
      <c r="C3971" s="72" t="str">
        <f>IFERROR(VLOOKUP("UD",'Informacion '!P:Q,2,FALSE),"")</f>
        <v>Unidad</v>
      </c>
      <c r="D3971" s="39">
        <v>25</v>
      </c>
      <c r="E3971" s="42">
        <v>702.1</v>
      </c>
      <c r="F3971" s="41">
        <f t="shared" ca="1" si="153"/>
        <v>17552.5</v>
      </c>
    </row>
    <row r="3972" spans="1:6" ht="14.25" customHeight="1" x14ac:dyDescent="0.35">
      <c r="A3972" s="39" t="s">
        <v>5227</v>
      </c>
      <c r="B3972" s="40" t="str">
        <f t="shared" ca="1" si="152"/>
        <v>Servicios de diseño de serigrafía</v>
      </c>
      <c r="C3972" s="72" t="str">
        <f>IFERROR(VLOOKUP("UD",'Informacion '!P:Q,2,FALSE),"")</f>
        <v>Unidad</v>
      </c>
      <c r="D3972" s="39">
        <v>120</v>
      </c>
      <c r="E3972" s="42">
        <v>315.06</v>
      </c>
      <c r="F3972" s="41">
        <f t="shared" ca="1" si="153"/>
        <v>37807.199999999997</v>
      </c>
    </row>
    <row r="3973" spans="1:6" ht="14.25" customHeight="1" x14ac:dyDescent="0.35">
      <c r="A3973" s="39" t="s">
        <v>5227</v>
      </c>
      <c r="B3973" s="40" t="str">
        <f t="shared" ca="1" si="152"/>
        <v>Servicios de diseño de serigrafía</v>
      </c>
      <c r="C3973" s="72" t="str">
        <f>IFERROR(VLOOKUP("UD",'Informacion '!P:Q,2,FALSE),"")</f>
        <v>Unidad</v>
      </c>
      <c r="D3973" s="39">
        <v>50</v>
      </c>
      <c r="E3973" s="42">
        <v>150</v>
      </c>
      <c r="F3973" s="41">
        <f t="shared" ca="1" si="153"/>
        <v>7500</v>
      </c>
    </row>
    <row r="3974" spans="1:6" ht="14.25" customHeight="1" x14ac:dyDescent="0.35">
      <c r="A3974" s="39" t="s">
        <v>5227</v>
      </c>
      <c r="B3974" s="40" t="str">
        <f t="shared" ca="1" si="152"/>
        <v>Servicios de diseño de serigrafía</v>
      </c>
      <c r="C3974" s="72" t="str">
        <f>IFERROR(VLOOKUP("UD",'Informacion '!P:Q,2,FALSE),"")</f>
        <v>Unidad</v>
      </c>
      <c r="D3974" s="39">
        <v>50</v>
      </c>
      <c r="E3974" s="42">
        <v>150</v>
      </c>
      <c r="F3974" s="41">
        <f t="shared" ca="1" si="153"/>
        <v>7500</v>
      </c>
    </row>
    <row r="3975" spans="1:6" ht="14.25" customHeight="1" x14ac:dyDescent="0.35">
      <c r="A3975" s="39" t="s">
        <v>5227</v>
      </c>
      <c r="B3975" s="40" t="str">
        <f t="shared" ca="1" si="152"/>
        <v>Servicios de diseño de serigrafía</v>
      </c>
      <c r="C3975" s="72" t="str">
        <f>IFERROR(VLOOKUP("UD",'Informacion '!P:Q,2,FALSE),"")</f>
        <v>Unidad</v>
      </c>
      <c r="D3975" s="39">
        <v>25</v>
      </c>
      <c r="E3975" s="42">
        <v>79.650000000000006</v>
      </c>
      <c r="F3975" s="41">
        <f t="shared" ca="1" si="153"/>
        <v>1991.2500000000002</v>
      </c>
    </row>
    <row r="3976" spans="1:6" ht="14.25" customHeight="1" x14ac:dyDescent="0.35">
      <c r="A3976" s="39" t="s">
        <v>5227</v>
      </c>
      <c r="B3976" s="40" t="str">
        <f t="shared" ca="1" si="152"/>
        <v>Servicios de diseño de serigrafía</v>
      </c>
      <c r="C3976" s="72" t="str">
        <f>IFERROR(VLOOKUP("UD",'Informacion '!P:Q,2,FALSE),"")</f>
        <v>Unidad</v>
      </c>
      <c r="D3976" s="39">
        <v>1</v>
      </c>
      <c r="E3976" s="42">
        <v>35000</v>
      </c>
      <c r="F3976" s="41">
        <f t="shared" ca="1" si="153"/>
        <v>35000</v>
      </c>
    </row>
    <row r="3977" spans="1:6" ht="14.25" customHeight="1" x14ac:dyDescent="0.35">
      <c r="A3977" s="39" t="s">
        <v>5227</v>
      </c>
      <c r="B3977" s="40" t="str">
        <f t="shared" ca="1" si="152"/>
        <v>Servicios de diseño de serigrafía</v>
      </c>
      <c r="C3977" s="72" t="str">
        <f>IFERROR(VLOOKUP("UD",'Informacion '!P:Q,2,FALSE),"")</f>
        <v>Unidad</v>
      </c>
      <c r="D3977" s="39">
        <v>300</v>
      </c>
      <c r="E3977" s="42">
        <v>29.73</v>
      </c>
      <c r="F3977" s="41">
        <f t="shared" ca="1" si="153"/>
        <v>8919</v>
      </c>
    </row>
    <row r="3978" spans="1:6" ht="14.25" customHeight="1" x14ac:dyDescent="0.35">
      <c r="A3978" s="39" t="s">
        <v>5227</v>
      </c>
      <c r="B3978" s="40" t="str">
        <f t="shared" ca="1" si="152"/>
        <v>Servicios de diseño de serigrafía</v>
      </c>
      <c r="C3978" s="72" t="str">
        <f>IFERROR(VLOOKUP("UD",'Informacion '!P:Q,2,FALSE),"")</f>
        <v>Unidad</v>
      </c>
      <c r="D3978" s="39">
        <v>300</v>
      </c>
      <c r="E3978" s="42">
        <v>29.73</v>
      </c>
      <c r="F3978" s="41">
        <f t="shared" ca="1" si="153"/>
        <v>8919</v>
      </c>
    </row>
    <row r="3979" spans="1:6" ht="14.25" customHeight="1" x14ac:dyDescent="0.35">
      <c r="A3979" s="39" t="s">
        <v>5227</v>
      </c>
      <c r="B3979" s="40" t="str">
        <f t="shared" ca="1" si="152"/>
        <v>Servicios de diseño de serigrafía</v>
      </c>
      <c r="C3979" s="72" t="str">
        <f>IFERROR(VLOOKUP("UD",'Informacion '!P:Q,2,FALSE),"")</f>
        <v>Unidad</v>
      </c>
      <c r="D3979" s="39">
        <v>8</v>
      </c>
      <c r="E3979" s="42">
        <v>16225</v>
      </c>
      <c r="F3979" s="41">
        <f t="shared" ca="1" si="153"/>
        <v>129800</v>
      </c>
    </row>
    <row r="3980" spans="1:6" ht="14.25" customHeight="1" x14ac:dyDescent="0.35">
      <c r="A3980" s="39" t="s">
        <v>5227</v>
      </c>
      <c r="B3980" s="40" t="str">
        <f t="shared" ca="1" si="152"/>
        <v>Servicios de diseño de serigrafía</v>
      </c>
      <c r="C3980" s="72" t="str">
        <f>IFERROR(VLOOKUP("UD",'Informacion '!P:Q,2,FALSE),"")</f>
        <v>Unidad</v>
      </c>
      <c r="D3980" s="39">
        <v>1050</v>
      </c>
      <c r="E3980" s="42">
        <v>531</v>
      </c>
      <c r="F3980" s="41">
        <f t="shared" ca="1" si="153"/>
        <v>557550</v>
      </c>
    </row>
    <row r="3981" spans="1:6" ht="14.25" customHeight="1" x14ac:dyDescent="0.35">
      <c r="A3981" s="39" t="s">
        <v>5227</v>
      </c>
      <c r="B3981" s="40" t="str">
        <f t="shared" ca="1" si="152"/>
        <v>Servicios de diseño de serigrafía</v>
      </c>
      <c r="C3981" s="72" t="str">
        <f>IFERROR(VLOOKUP("UD",'Informacion '!P:Q,2,FALSE),"")</f>
        <v>Unidad</v>
      </c>
      <c r="D3981" s="39">
        <v>1100</v>
      </c>
      <c r="E3981" s="42">
        <v>454.3</v>
      </c>
      <c r="F3981" s="41">
        <f t="shared" ca="1" si="153"/>
        <v>499730</v>
      </c>
    </row>
    <row r="3982" spans="1:6" ht="14.25" customHeight="1" x14ac:dyDescent="0.35">
      <c r="A3982" s="39" t="s">
        <v>5227</v>
      </c>
      <c r="B3982" s="40" t="str">
        <f t="shared" ca="1" si="152"/>
        <v>Servicios de diseño de serigrafía</v>
      </c>
      <c r="C3982" s="72" t="str">
        <f>IFERROR(VLOOKUP("UD",'Informacion '!P:Q,2,FALSE),"")</f>
        <v>Unidad</v>
      </c>
      <c r="D3982" s="39">
        <v>1200</v>
      </c>
      <c r="E3982" s="42">
        <v>700</v>
      </c>
      <c r="F3982" s="41">
        <f t="shared" ca="1" si="153"/>
        <v>840000</v>
      </c>
    </row>
    <row r="3983" spans="1:6" ht="14.25" customHeight="1" x14ac:dyDescent="0.35">
      <c r="A3983" s="39" t="s">
        <v>5227</v>
      </c>
      <c r="B3983" s="40" t="str">
        <f t="shared" ca="1" si="152"/>
        <v>Servicios de diseño de serigrafía</v>
      </c>
      <c r="C3983" s="72" t="str">
        <f>IFERROR(VLOOKUP("UD",'Informacion '!P:Q,2,FALSE),"")</f>
        <v>Unidad</v>
      </c>
      <c r="D3983" s="39">
        <v>300</v>
      </c>
      <c r="E3983" s="42">
        <v>224.2</v>
      </c>
      <c r="F3983" s="41">
        <f t="shared" ca="1" si="153"/>
        <v>67260</v>
      </c>
    </row>
    <row r="3984" spans="1:6" ht="14.25" customHeight="1" x14ac:dyDescent="0.35">
      <c r="A3984" s="39" t="s">
        <v>5227</v>
      </c>
      <c r="B3984" s="40" t="str">
        <f t="shared" ca="1" si="152"/>
        <v>Servicios de diseño de serigrafía</v>
      </c>
      <c r="C3984" s="72" t="str">
        <f>IFERROR(VLOOKUP("UD",'Informacion '!P:Q,2,FALSE),"")</f>
        <v>Unidad</v>
      </c>
      <c r="D3984" s="39">
        <v>2</v>
      </c>
      <c r="E3984" s="42">
        <v>3540</v>
      </c>
      <c r="F3984" s="41">
        <f t="shared" ca="1" si="153"/>
        <v>7080</v>
      </c>
    </row>
    <row r="3985" spans="1:6" ht="14.25" customHeight="1" x14ac:dyDescent="0.35">
      <c r="A3985" s="39" t="s">
        <v>5227</v>
      </c>
      <c r="B3985" s="40" t="str">
        <f t="shared" ca="1" si="152"/>
        <v>Servicios de diseño de serigrafía</v>
      </c>
      <c r="C3985" s="72" t="str">
        <f>IFERROR(VLOOKUP("UD",'Informacion '!P:Q,2,FALSE),"")</f>
        <v>Unidad</v>
      </c>
      <c r="D3985" s="39">
        <v>150</v>
      </c>
      <c r="E3985" s="42">
        <v>329.22</v>
      </c>
      <c r="F3985" s="41">
        <f t="shared" ca="1" si="153"/>
        <v>49383.000000000007</v>
      </c>
    </row>
    <row r="3986" spans="1:6" ht="14.25" customHeight="1" x14ac:dyDescent="0.35">
      <c r="A3986" s="39" t="s">
        <v>5227</v>
      </c>
      <c r="B3986" s="40" t="str">
        <f t="shared" ca="1" si="152"/>
        <v>Servicios de diseño de serigrafía</v>
      </c>
      <c r="C3986" s="72" t="str">
        <f>IFERROR(VLOOKUP("UD",'Informacion '!P:Q,2,FALSE),"")</f>
        <v>Unidad</v>
      </c>
      <c r="D3986" s="39">
        <v>150</v>
      </c>
      <c r="E3986" s="42">
        <v>329.22</v>
      </c>
      <c r="F3986" s="41">
        <f t="shared" ca="1" si="153"/>
        <v>49383.000000000007</v>
      </c>
    </row>
    <row r="3987" spans="1:6" ht="14.25" customHeight="1" x14ac:dyDescent="0.35">
      <c r="A3987" s="39" t="s">
        <v>5227</v>
      </c>
      <c r="B3987" s="40" t="str">
        <f t="shared" ca="1" si="152"/>
        <v>Servicios de diseño de serigrafía</v>
      </c>
      <c r="C3987" s="72" t="str">
        <f>IFERROR(VLOOKUP("UD",'Informacion '!P:Q,2,FALSE),"")</f>
        <v>Unidad</v>
      </c>
      <c r="D3987" s="39">
        <v>150</v>
      </c>
      <c r="E3987" s="42">
        <v>560.33000000000004</v>
      </c>
      <c r="F3987" s="41">
        <f t="shared" ca="1" si="153"/>
        <v>84049.5</v>
      </c>
    </row>
    <row r="3988" spans="1:6" ht="14.25" customHeight="1" x14ac:dyDescent="0.35">
      <c r="A3988" s="39" t="s">
        <v>5227</v>
      </c>
      <c r="B3988" s="40" t="str">
        <f t="shared" ca="1" si="152"/>
        <v>Servicios de diseño de serigrafía</v>
      </c>
      <c r="C3988" s="72" t="str">
        <f>IFERROR(VLOOKUP("UD",'Informacion '!P:Q,2,FALSE),"")</f>
        <v>Unidad</v>
      </c>
      <c r="D3988" s="39">
        <v>150</v>
      </c>
      <c r="E3988" s="42">
        <v>560.33000000000004</v>
      </c>
      <c r="F3988" s="41">
        <f t="shared" ca="1" si="153"/>
        <v>84049.5</v>
      </c>
    </row>
    <row r="3989" spans="1:6" ht="14.25" customHeight="1" x14ac:dyDescent="0.35">
      <c r="A3989" s="39" t="s">
        <v>5227</v>
      </c>
      <c r="B3989" s="40" t="str">
        <f t="shared" ca="1" si="152"/>
        <v>Servicios de diseño de serigrafía</v>
      </c>
      <c r="C3989" s="72" t="str">
        <f>IFERROR(VLOOKUP("UD",'Informacion '!P:Q,2,FALSE),"")</f>
        <v>Unidad</v>
      </c>
      <c r="D3989" s="39">
        <v>2</v>
      </c>
      <c r="E3989" s="42">
        <v>87025</v>
      </c>
      <c r="F3989" s="41">
        <f t="shared" ca="1" si="153"/>
        <v>174050</v>
      </c>
    </row>
    <row r="3990" spans="1:6" ht="14.25" customHeight="1" x14ac:dyDescent="0.35">
      <c r="A3990" s="39" t="s">
        <v>5227</v>
      </c>
      <c r="B3990" s="40" t="str">
        <f t="shared" ca="1" si="152"/>
        <v>Servicios de diseño de serigrafía</v>
      </c>
      <c r="C3990" s="72" t="str">
        <f>IFERROR(VLOOKUP("UD",'Informacion '!P:Q,2,FALSE),"")</f>
        <v>Unidad</v>
      </c>
      <c r="D3990" s="39">
        <v>4</v>
      </c>
      <c r="E3990" s="42">
        <v>2500</v>
      </c>
      <c r="F3990" s="41">
        <f t="shared" ca="1" si="153"/>
        <v>10000</v>
      </c>
    </row>
    <row r="3991" spans="1:6" ht="14.25" customHeight="1" x14ac:dyDescent="0.35">
      <c r="A3991" s="39" t="s">
        <v>5227</v>
      </c>
      <c r="B3991" s="40" t="str">
        <f t="shared" ca="1" si="152"/>
        <v>Servicios de diseño de serigrafía</v>
      </c>
      <c r="C3991" s="72" t="str">
        <f>IFERROR(VLOOKUP("UD",'Informacion '!P:Q,2,FALSE),"")</f>
        <v>Unidad</v>
      </c>
      <c r="D3991" s="39">
        <v>7</v>
      </c>
      <c r="E3991" s="42">
        <v>3000</v>
      </c>
      <c r="F3991" s="41">
        <f t="shared" ca="1" si="153"/>
        <v>21000</v>
      </c>
    </row>
    <row r="3992" spans="1:6" ht="14.25" customHeight="1" x14ac:dyDescent="0.35">
      <c r="A3992" s="39" t="s">
        <v>5227</v>
      </c>
      <c r="B3992" s="40" t="str">
        <f t="shared" ca="1" si="152"/>
        <v>Servicios de diseño de serigrafía</v>
      </c>
      <c r="C3992" s="72" t="str">
        <f>IFERROR(VLOOKUP("UD",'Informacion '!P:Q,2,FALSE),"")</f>
        <v>Unidad</v>
      </c>
      <c r="D3992" s="39">
        <v>7</v>
      </c>
      <c r="E3992" s="42">
        <v>500</v>
      </c>
      <c r="F3992" s="41">
        <f t="shared" ca="1" si="153"/>
        <v>3500</v>
      </c>
    </row>
    <row r="3993" spans="1:6" ht="14.25" customHeight="1" x14ac:dyDescent="0.35">
      <c r="A3993" s="39" t="s">
        <v>5227</v>
      </c>
      <c r="B3993" s="40" t="str">
        <f t="shared" ca="1" si="152"/>
        <v>Servicios de diseño de serigrafía</v>
      </c>
      <c r="C3993" s="72" t="str">
        <f>IFERROR(VLOOKUP("UD",'Informacion '!P:Q,2,FALSE),"")</f>
        <v>Unidad</v>
      </c>
      <c r="D3993" s="39">
        <v>250</v>
      </c>
      <c r="E3993" s="42">
        <v>1000</v>
      </c>
      <c r="F3993" s="41">
        <f t="shared" ca="1" si="153"/>
        <v>250000</v>
      </c>
    </row>
    <row r="3994" spans="1:6" ht="14.25" customHeight="1" x14ac:dyDescent="0.35">
      <c r="A3994" s="39" t="s">
        <v>5227</v>
      </c>
      <c r="B3994" s="40" t="str">
        <f t="shared" ca="1" si="152"/>
        <v>Servicios de diseño de serigrafía</v>
      </c>
      <c r="C3994" s="72" t="str">
        <f>IFERROR(VLOOKUP("UD",'Informacion '!P:Q,2,FALSE),"")</f>
        <v>Unidad</v>
      </c>
      <c r="D3994" s="39">
        <v>250</v>
      </c>
      <c r="E3994" s="42">
        <v>560.33000000000004</v>
      </c>
      <c r="F3994" s="41">
        <f t="shared" ca="1" si="153"/>
        <v>140082.5</v>
      </c>
    </row>
    <row r="3995" spans="1:6" ht="14.25" customHeight="1" x14ac:dyDescent="0.35">
      <c r="A3995" s="39" t="s">
        <v>5227</v>
      </c>
      <c r="B3995" s="40" t="str">
        <f t="shared" ca="1" si="152"/>
        <v>Servicios de diseño de serigrafía</v>
      </c>
      <c r="C3995" s="72" t="str">
        <f>IFERROR(VLOOKUP("UD",'Informacion '!P:Q,2,FALSE),"")</f>
        <v>Unidad</v>
      </c>
      <c r="D3995" s="39">
        <v>250</v>
      </c>
      <c r="E3995" s="42">
        <v>329.22</v>
      </c>
      <c r="F3995" s="41">
        <f t="shared" ca="1" si="153"/>
        <v>82305</v>
      </c>
    </row>
    <row r="3996" spans="1:6" ht="14.25" customHeight="1" x14ac:dyDescent="0.35">
      <c r="A3996" s="39" t="s">
        <v>5227</v>
      </c>
      <c r="B3996" s="40" t="str">
        <f t="shared" ca="1" si="152"/>
        <v>Servicios de diseño de serigrafía</v>
      </c>
      <c r="C3996" s="72" t="str">
        <f>IFERROR(VLOOKUP("UD",'Informacion '!P:Q,2,FALSE),"")</f>
        <v>Unidad</v>
      </c>
      <c r="D3996" s="39">
        <v>250</v>
      </c>
      <c r="E3996" s="42">
        <v>336.3</v>
      </c>
      <c r="F3996" s="41">
        <f t="shared" ca="1" si="153"/>
        <v>84075</v>
      </c>
    </row>
    <row r="3997" spans="1:6" ht="14.25" customHeight="1" x14ac:dyDescent="0.35">
      <c r="A3997" s="39" t="s">
        <v>5227</v>
      </c>
      <c r="B3997" s="40" t="str">
        <f t="shared" ca="1" si="152"/>
        <v>Servicios de diseño de serigrafía</v>
      </c>
      <c r="C3997" s="72" t="str">
        <f>IFERROR(VLOOKUP("UD",'Informacion '!P:Q,2,FALSE),"")</f>
        <v>Unidad</v>
      </c>
      <c r="D3997" s="39">
        <v>250</v>
      </c>
      <c r="E3997" s="42">
        <v>253.7</v>
      </c>
      <c r="F3997" s="41">
        <f t="shared" ca="1" si="153"/>
        <v>63425</v>
      </c>
    </row>
    <row r="3998" spans="1:6" ht="14.25" customHeight="1" x14ac:dyDescent="0.35">
      <c r="A3998" s="39" t="s">
        <v>5227</v>
      </c>
      <c r="B3998" s="40" t="str">
        <f t="shared" ca="1" si="152"/>
        <v>Servicios de diseño de serigrafía</v>
      </c>
      <c r="C3998" s="72" t="str">
        <f>IFERROR(VLOOKUP("UD",'Informacion '!P:Q,2,FALSE),"")</f>
        <v>Unidad</v>
      </c>
      <c r="D3998" s="39">
        <v>250</v>
      </c>
      <c r="E3998" s="42">
        <v>224.2</v>
      </c>
      <c r="F3998" s="41">
        <f t="shared" ca="1" si="153"/>
        <v>56050</v>
      </c>
    </row>
    <row r="3999" spans="1:6" ht="14.25" customHeight="1" x14ac:dyDescent="0.35">
      <c r="A3999" s="39" t="s">
        <v>5227</v>
      </c>
      <c r="B3999" s="40" t="str">
        <f t="shared" ca="1" si="152"/>
        <v>Servicios de diseño de serigrafía</v>
      </c>
      <c r="C3999" s="72" t="str">
        <f>IFERROR(VLOOKUP("UD",'Informacion '!P:Q,2,FALSE),"")</f>
        <v>Unidad</v>
      </c>
      <c r="D3999" s="39">
        <v>500</v>
      </c>
      <c r="E3999" s="42">
        <v>1.84</v>
      </c>
      <c r="F3999" s="41">
        <f t="shared" ca="1" si="153"/>
        <v>920</v>
      </c>
    </row>
    <row r="4000" spans="1:6" ht="14.25" customHeight="1" x14ac:dyDescent="0.35">
      <c r="A4000" s="39" t="s">
        <v>5227</v>
      </c>
      <c r="B4000" s="40" t="str">
        <f t="shared" ca="1" si="152"/>
        <v>Servicios de diseño de serigrafía</v>
      </c>
      <c r="C4000" s="72" t="str">
        <f>IFERROR(VLOOKUP("UD",'Informacion '!P:Q,2,FALSE),"")</f>
        <v>Unidad</v>
      </c>
      <c r="D4000" s="39">
        <v>10</v>
      </c>
      <c r="E4000" s="42">
        <v>1534</v>
      </c>
      <c r="F4000" s="41">
        <f t="shared" ca="1" si="153"/>
        <v>15340</v>
      </c>
    </row>
    <row r="4001" spans="1:10" ht="14.25" customHeight="1" x14ac:dyDescent="0.35">
      <c r="E4001" s="44" t="s">
        <v>13122</v>
      </c>
      <c r="F4001" s="45">
        <f ca="1">SUM(Table210[MONTO TOTAL ESTIMADO])</f>
        <v>3978685.85</v>
      </c>
      <c r="H4001" s="24" t="str">
        <f>C3948</f>
        <v>Servicios</v>
      </c>
      <c r="I4001" s="24" t="str">
        <f>E3948</f>
        <v>No</v>
      </c>
      <c r="J4001" s="24" t="str">
        <f>D3948</f>
        <v>Comparacion de Precios</v>
      </c>
    </row>
    <row r="4003" spans="1:10" ht="34" customHeight="1" x14ac:dyDescent="0.35">
      <c r="A4003" s="36" t="s">
        <v>17105</v>
      </c>
      <c r="B4003" s="36" t="s">
        <v>167</v>
      </c>
      <c r="C4003" s="36" t="s">
        <v>12252</v>
      </c>
      <c r="D4003" s="36" t="s">
        <v>15021</v>
      </c>
      <c r="E4003" s="36" t="s">
        <v>11455</v>
      </c>
      <c r="F4003" s="36" t="s">
        <v>11595</v>
      </c>
    </row>
    <row r="4004" spans="1:10" ht="14.25" customHeight="1" x14ac:dyDescent="0.35">
      <c r="A4004" s="37" t="s">
        <v>14419</v>
      </c>
      <c r="B4004" s="37" t="s">
        <v>14419</v>
      </c>
      <c r="C4004" s="37" t="s">
        <v>7109</v>
      </c>
      <c r="D4004" s="37" t="s">
        <v>2615</v>
      </c>
      <c r="E4004" s="37" t="s">
        <v>18646</v>
      </c>
      <c r="F4004" s="37" t="s">
        <v>7088</v>
      </c>
    </row>
    <row r="4005" spans="1:10" ht="14.25" customHeight="1" x14ac:dyDescent="0.35">
      <c r="A4005" s="75" t="s">
        <v>15490</v>
      </c>
      <c r="B4005" s="38" t="s">
        <v>8918</v>
      </c>
      <c r="C4005" s="68">
        <v>45383</v>
      </c>
      <c r="D4005" s="75" t="s">
        <v>9819</v>
      </c>
      <c r="E4005" s="70" t="s">
        <v>13683</v>
      </c>
      <c r="F4005" s="71" t="s">
        <v>3205</v>
      </c>
    </row>
    <row r="4006" spans="1:10" ht="14.25" customHeight="1" x14ac:dyDescent="0.35">
      <c r="A4006" s="76"/>
      <c r="B4006" s="38" t="s">
        <v>1858</v>
      </c>
      <c r="C4006" s="69">
        <f>IF(C4005="","",IF(AND(MONTH(C4005)&gt;=1,MONTH(C4005)&lt;=3),1,IF(AND(MONTH(C4005)&gt;=4,MONTH(C4005)&lt;=6),2,IF(AND(MONTH(C4005)&gt;=7,MONTH(C4005)&lt;=9),3,4))))</f>
        <v>2</v>
      </c>
      <c r="D4006" s="76"/>
      <c r="E4006" s="70" t="s">
        <v>2509</v>
      </c>
      <c r="F4006" s="71" t="s">
        <v>11612</v>
      </c>
    </row>
    <row r="4007" spans="1:10" ht="14.25" customHeight="1" x14ac:dyDescent="0.35">
      <c r="A4007" s="76"/>
      <c r="B4007" s="38" t="s">
        <v>13526</v>
      </c>
      <c r="C4007" s="68">
        <v>45471</v>
      </c>
      <c r="D4007" s="76"/>
      <c r="E4007" s="70" t="s">
        <v>3198</v>
      </c>
      <c r="F4007" s="71" t="s">
        <v>11612</v>
      </c>
    </row>
    <row r="4008" spans="1:10" ht="14.25" customHeight="1" x14ac:dyDescent="0.35">
      <c r="A4008" s="76"/>
      <c r="B4008" s="38" t="s">
        <v>1858</v>
      </c>
      <c r="C4008" s="69">
        <f>IF(C4007="","",IF(AND(MONTH(C4007)&gt;=1,MONTH(C4007)&lt;=3),1,IF(AND(MONTH(C4007)&gt;=4,MONTH(C4007)&lt;=6),2,IF(AND(MONTH(C4007)&gt;=7,MONTH(C4007)&lt;=9),3,4))))</f>
        <v>2</v>
      </c>
      <c r="D4008" s="76"/>
      <c r="E4008" s="70" t="s">
        <v>13785</v>
      </c>
      <c r="F4008" s="71"/>
    </row>
    <row r="4010" spans="1:10" ht="14.25" customHeight="1" x14ac:dyDescent="0.35">
      <c r="A4010" s="43" t="s">
        <v>16424</v>
      </c>
      <c r="B4010" s="43" t="s">
        <v>16856</v>
      </c>
      <c r="C4010" s="43" t="s">
        <v>16326</v>
      </c>
      <c r="D4010" s="43" t="s">
        <v>15925</v>
      </c>
      <c r="E4010" s="43" t="s">
        <v>7248</v>
      </c>
      <c r="F4010" s="43" t="s">
        <v>15955</v>
      </c>
    </row>
    <row r="4011" spans="1:10" ht="14.25" customHeight="1" x14ac:dyDescent="0.35">
      <c r="A4011" s="39" t="s">
        <v>5227</v>
      </c>
      <c r="B4011" s="40" t="str">
        <f t="shared" ref="B4011:B4039" ca="1" si="154">IFERROR(INDEX(UNSPSCDes,MATCH(INDIRECT(ADDRESS(ROW(),COLUMN()-1,4)),UNSPSCCode,0)),IF(INDIRECT(ADDRESS(ROW(),COLUMN()-1,4))="82141507","Servicios de diseño de serigrafía",""))</f>
        <v>Servicios de diseño de serigrafía</v>
      </c>
      <c r="C4011" s="72" t="str">
        <f>IFERROR(VLOOKUP("UD",'Informacion '!P:Q,2,FALSE),"")</f>
        <v>Unidad</v>
      </c>
      <c r="D4011" s="39">
        <v>12</v>
      </c>
      <c r="E4011" s="42">
        <v>2242</v>
      </c>
      <c r="F4011" s="41">
        <f t="shared" ref="F4011:F4039" ca="1" si="155">INDIRECT(ADDRESS(ROW(),COLUMN()-2,4))*INDIRECT(ADDRESS(ROW(),COLUMN()-1,4))</f>
        <v>26904</v>
      </c>
    </row>
    <row r="4012" spans="1:10" ht="14.25" customHeight="1" x14ac:dyDescent="0.35">
      <c r="A4012" s="39" t="s">
        <v>5227</v>
      </c>
      <c r="B4012" s="40" t="str">
        <f t="shared" ca="1" si="154"/>
        <v>Servicios de diseño de serigrafía</v>
      </c>
      <c r="C4012" s="72" t="str">
        <f>IFERROR(VLOOKUP("UD",'Informacion '!P:Q,2,FALSE),"")</f>
        <v>Unidad</v>
      </c>
      <c r="D4012" s="39">
        <v>100</v>
      </c>
      <c r="E4012" s="42">
        <v>177</v>
      </c>
      <c r="F4012" s="41">
        <f t="shared" ca="1" si="155"/>
        <v>17700</v>
      </c>
    </row>
    <row r="4013" spans="1:10" ht="14.25" customHeight="1" x14ac:dyDescent="0.35">
      <c r="A4013" s="39" t="s">
        <v>5227</v>
      </c>
      <c r="B4013" s="40" t="str">
        <f t="shared" ca="1" si="154"/>
        <v>Servicios de diseño de serigrafía</v>
      </c>
      <c r="C4013" s="72" t="str">
        <f>IFERROR(VLOOKUP("UD",'Informacion '!P:Q,2,FALSE),"")</f>
        <v>Unidad</v>
      </c>
      <c r="D4013" s="39">
        <v>1</v>
      </c>
      <c r="E4013" s="42">
        <v>6490</v>
      </c>
      <c r="F4013" s="41">
        <f t="shared" ca="1" si="155"/>
        <v>6490</v>
      </c>
    </row>
    <row r="4014" spans="1:10" ht="14.25" customHeight="1" x14ac:dyDescent="0.35">
      <c r="A4014" s="39" t="s">
        <v>5227</v>
      </c>
      <c r="B4014" s="40" t="str">
        <f t="shared" ca="1" si="154"/>
        <v>Servicios de diseño de serigrafía</v>
      </c>
      <c r="C4014" s="72" t="str">
        <f>IFERROR(VLOOKUP("UD",'Informacion '!P:Q,2,FALSE),"")</f>
        <v>Unidad</v>
      </c>
      <c r="D4014" s="39">
        <v>2</v>
      </c>
      <c r="E4014" s="42">
        <v>3540</v>
      </c>
      <c r="F4014" s="41">
        <f t="shared" ca="1" si="155"/>
        <v>7080</v>
      </c>
    </row>
    <row r="4015" spans="1:10" ht="14.25" customHeight="1" x14ac:dyDescent="0.35">
      <c r="A4015" s="39" t="s">
        <v>5227</v>
      </c>
      <c r="B4015" s="40" t="str">
        <f t="shared" ca="1" si="154"/>
        <v>Servicios de diseño de serigrafía</v>
      </c>
      <c r="C4015" s="72" t="str">
        <f>IFERROR(VLOOKUP("UD",'Informacion '!P:Q,2,FALSE),"")</f>
        <v>Unidad</v>
      </c>
      <c r="D4015" s="39">
        <v>100</v>
      </c>
      <c r="E4015" s="42">
        <v>201.08</v>
      </c>
      <c r="F4015" s="41">
        <f t="shared" ca="1" si="155"/>
        <v>20108</v>
      </c>
    </row>
    <row r="4016" spans="1:10" ht="14.25" customHeight="1" x14ac:dyDescent="0.35">
      <c r="A4016" s="39" t="s">
        <v>5227</v>
      </c>
      <c r="B4016" s="40" t="str">
        <f t="shared" ca="1" si="154"/>
        <v>Servicios de diseño de serigrafía</v>
      </c>
      <c r="C4016" s="72" t="str">
        <f>IFERROR(VLOOKUP("UD",'Informacion '!P:Q,2,FALSE),"")</f>
        <v>Unidad</v>
      </c>
      <c r="D4016" s="39">
        <v>35</v>
      </c>
      <c r="E4016" s="42">
        <v>1416</v>
      </c>
      <c r="F4016" s="41">
        <f t="shared" ca="1" si="155"/>
        <v>49560</v>
      </c>
    </row>
    <row r="4017" spans="1:6" ht="14.25" customHeight="1" x14ac:dyDescent="0.35">
      <c r="A4017" s="39" t="s">
        <v>5227</v>
      </c>
      <c r="B4017" s="40" t="str">
        <f t="shared" ca="1" si="154"/>
        <v>Servicios de diseño de serigrafía</v>
      </c>
      <c r="C4017" s="72" t="str">
        <f>IFERROR(VLOOKUP("UD",'Informacion '!P:Q,2,FALSE),"")</f>
        <v>Unidad</v>
      </c>
      <c r="D4017" s="39">
        <v>1000</v>
      </c>
      <c r="E4017" s="42">
        <v>3.54</v>
      </c>
      <c r="F4017" s="41">
        <f t="shared" ca="1" si="155"/>
        <v>3540</v>
      </c>
    </row>
    <row r="4018" spans="1:6" ht="14.25" customHeight="1" x14ac:dyDescent="0.35">
      <c r="A4018" s="39" t="s">
        <v>5227</v>
      </c>
      <c r="B4018" s="40" t="str">
        <f t="shared" ca="1" si="154"/>
        <v>Servicios de diseño de serigrafía</v>
      </c>
      <c r="C4018" s="72" t="str">
        <f>IFERROR(VLOOKUP("UD",'Informacion '!P:Q,2,FALSE),"")</f>
        <v>Unidad</v>
      </c>
      <c r="D4018" s="39">
        <v>2</v>
      </c>
      <c r="E4018" s="42">
        <v>2950</v>
      </c>
      <c r="F4018" s="41">
        <f t="shared" ca="1" si="155"/>
        <v>5900</v>
      </c>
    </row>
    <row r="4019" spans="1:6" ht="14.25" customHeight="1" x14ac:dyDescent="0.35">
      <c r="A4019" s="39" t="s">
        <v>5227</v>
      </c>
      <c r="B4019" s="40" t="str">
        <f t="shared" ca="1" si="154"/>
        <v>Servicios de diseño de serigrafía</v>
      </c>
      <c r="C4019" s="72" t="str">
        <f>IFERROR(VLOOKUP("UD",'Informacion '!P:Q,2,FALSE),"")</f>
        <v>Unidad</v>
      </c>
      <c r="D4019" s="39">
        <v>1500</v>
      </c>
      <c r="E4019" s="42">
        <v>59.59</v>
      </c>
      <c r="F4019" s="41">
        <f t="shared" ca="1" si="155"/>
        <v>89385</v>
      </c>
    </row>
    <row r="4020" spans="1:6" ht="14.25" customHeight="1" x14ac:dyDescent="0.35">
      <c r="A4020" s="39" t="s">
        <v>5227</v>
      </c>
      <c r="B4020" s="40" t="str">
        <f t="shared" ca="1" si="154"/>
        <v>Servicios de diseño de serigrafía</v>
      </c>
      <c r="C4020" s="72" t="str">
        <f>IFERROR(VLOOKUP("UD",'Informacion '!P:Q,2,FALSE),"")</f>
        <v>Unidad</v>
      </c>
      <c r="D4020" s="39">
        <v>6668</v>
      </c>
      <c r="E4020" s="42">
        <v>20.059999999999999</v>
      </c>
      <c r="F4020" s="41">
        <f t="shared" ca="1" si="155"/>
        <v>133760.07999999999</v>
      </c>
    </row>
    <row r="4021" spans="1:6" ht="14.25" customHeight="1" x14ac:dyDescent="0.35">
      <c r="A4021" s="39" t="s">
        <v>5227</v>
      </c>
      <c r="B4021" s="40" t="str">
        <f t="shared" ca="1" si="154"/>
        <v>Servicios de diseño de serigrafía</v>
      </c>
      <c r="C4021" s="72" t="str">
        <f>IFERROR(VLOOKUP("UD",'Informacion '!P:Q,2,FALSE),"")</f>
        <v>Unidad</v>
      </c>
      <c r="D4021" s="39">
        <v>65</v>
      </c>
      <c r="E4021" s="42">
        <v>153.4</v>
      </c>
      <c r="F4021" s="41">
        <f t="shared" ca="1" si="155"/>
        <v>9971</v>
      </c>
    </row>
    <row r="4022" spans="1:6" ht="14.25" customHeight="1" x14ac:dyDescent="0.35">
      <c r="A4022" s="39" t="s">
        <v>5227</v>
      </c>
      <c r="B4022" s="40" t="str">
        <f t="shared" ca="1" si="154"/>
        <v>Servicios de diseño de serigrafía</v>
      </c>
      <c r="C4022" s="72" t="str">
        <f>IFERROR(VLOOKUP("UD",'Informacion '!P:Q,2,FALSE),"")</f>
        <v>Unidad</v>
      </c>
      <c r="D4022" s="39">
        <v>65</v>
      </c>
      <c r="E4022" s="42">
        <v>531</v>
      </c>
      <c r="F4022" s="41">
        <f t="shared" ca="1" si="155"/>
        <v>34515</v>
      </c>
    </row>
    <row r="4023" spans="1:6" ht="14.25" customHeight="1" x14ac:dyDescent="0.35">
      <c r="A4023" s="39" t="s">
        <v>5227</v>
      </c>
      <c r="B4023" s="40" t="str">
        <f t="shared" ca="1" si="154"/>
        <v>Servicios de diseño de serigrafía</v>
      </c>
      <c r="C4023" s="72" t="str">
        <f>IFERROR(VLOOKUP("UD",'Informacion '!P:Q,2,FALSE),"")</f>
        <v>Unidad</v>
      </c>
      <c r="D4023" s="39">
        <v>38</v>
      </c>
      <c r="E4023" s="42">
        <v>336.3</v>
      </c>
      <c r="F4023" s="41">
        <f t="shared" ca="1" si="155"/>
        <v>12779.4</v>
      </c>
    </row>
    <row r="4024" spans="1:6" ht="14.25" customHeight="1" x14ac:dyDescent="0.35">
      <c r="A4024" s="39" t="s">
        <v>5227</v>
      </c>
      <c r="B4024" s="40" t="str">
        <f t="shared" ca="1" si="154"/>
        <v>Servicios de diseño de serigrafía</v>
      </c>
      <c r="C4024" s="72" t="str">
        <f>IFERROR(VLOOKUP("UD",'Informacion '!P:Q,2,FALSE),"")</f>
        <v>Unidad</v>
      </c>
      <c r="D4024" s="39">
        <v>30</v>
      </c>
      <c r="E4024" s="42">
        <v>67565</v>
      </c>
      <c r="F4024" s="41">
        <f t="shared" ca="1" si="155"/>
        <v>2026950</v>
      </c>
    </row>
    <row r="4025" spans="1:6" ht="14.25" customHeight="1" x14ac:dyDescent="0.35">
      <c r="A4025" s="39" t="s">
        <v>5227</v>
      </c>
      <c r="B4025" s="40" t="str">
        <f t="shared" ca="1" si="154"/>
        <v>Servicios de diseño de serigrafía</v>
      </c>
      <c r="C4025" s="72" t="str">
        <f>IFERROR(VLOOKUP("UD",'Informacion '!P:Q,2,FALSE),"")</f>
        <v>Unidad</v>
      </c>
      <c r="D4025" s="39">
        <v>38</v>
      </c>
      <c r="E4025" s="42">
        <v>442.5</v>
      </c>
      <c r="F4025" s="41">
        <f t="shared" ca="1" si="155"/>
        <v>16815</v>
      </c>
    </row>
    <row r="4026" spans="1:6" ht="14.25" customHeight="1" x14ac:dyDescent="0.35">
      <c r="A4026" s="39" t="s">
        <v>5227</v>
      </c>
      <c r="B4026" s="40" t="str">
        <f t="shared" ca="1" si="154"/>
        <v>Servicios de diseño de serigrafía</v>
      </c>
      <c r="C4026" s="72" t="str">
        <f>IFERROR(VLOOKUP("UD",'Informacion '!P:Q,2,FALSE),"")</f>
        <v>Unidad</v>
      </c>
      <c r="D4026" s="39">
        <v>80</v>
      </c>
      <c r="E4026" s="42">
        <v>796.5</v>
      </c>
      <c r="F4026" s="41">
        <f t="shared" ca="1" si="155"/>
        <v>63720</v>
      </c>
    </row>
    <row r="4027" spans="1:6" ht="14.25" customHeight="1" x14ac:dyDescent="0.35">
      <c r="A4027" s="39" t="s">
        <v>5227</v>
      </c>
      <c r="B4027" s="40" t="str">
        <f t="shared" ca="1" si="154"/>
        <v>Servicios de diseño de serigrafía</v>
      </c>
      <c r="C4027" s="72" t="str">
        <f>IFERROR(VLOOKUP("UD",'Informacion '!P:Q,2,FALSE),"")</f>
        <v>Unidad</v>
      </c>
      <c r="D4027" s="39">
        <v>360</v>
      </c>
      <c r="E4027" s="42">
        <v>315.06</v>
      </c>
      <c r="F4027" s="41">
        <f t="shared" ca="1" si="155"/>
        <v>113421.6</v>
      </c>
    </row>
    <row r="4028" spans="1:6" ht="14.25" customHeight="1" x14ac:dyDescent="0.35">
      <c r="A4028" s="39" t="s">
        <v>5227</v>
      </c>
      <c r="B4028" s="40" t="str">
        <f t="shared" ca="1" si="154"/>
        <v>Servicios de diseño de serigrafía</v>
      </c>
      <c r="C4028" s="72" t="str">
        <f>IFERROR(VLOOKUP("UD",'Informacion '!P:Q,2,FALSE),"")</f>
        <v>Unidad</v>
      </c>
      <c r="D4028" s="39">
        <v>60</v>
      </c>
      <c r="E4028" s="42">
        <v>900</v>
      </c>
      <c r="F4028" s="41">
        <f t="shared" ca="1" si="155"/>
        <v>54000</v>
      </c>
    </row>
    <row r="4029" spans="1:6" ht="14.25" customHeight="1" x14ac:dyDescent="0.35">
      <c r="A4029" s="39" t="s">
        <v>5227</v>
      </c>
      <c r="B4029" s="40" t="str">
        <f t="shared" ca="1" si="154"/>
        <v>Servicios de diseño de serigrafía</v>
      </c>
      <c r="C4029" s="72" t="str">
        <f>IFERROR(VLOOKUP("UD",'Informacion '!P:Q,2,FALSE),"")</f>
        <v>Unidad</v>
      </c>
      <c r="D4029" s="39">
        <v>500</v>
      </c>
      <c r="E4029" s="42">
        <v>41.3</v>
      </c>
      <c r="F4029" s="41">
        <f t="shared" ca="1" si="155"/>
        <v>20650</v>
      </c>
    </row>
    <row r="4030" spans="1:6" ht="14.25" customHeight="1" x14ac:dyDescent="0.35">
      <c r="A4030" s="39" t="s">
        <v>5227</v>
      </c>
      <c r="B4030" s="40" t="str">
        <f t="shared" ca="1" si="154"/>
        <v>Servicios de diseño de serigrafía</v>
      </c>
      <c r="C4030" s="72" t="str">
        <f>IFERROR(VLOOKUP("UD",'Informacion '!P:Q,2,FALSE),"")</f>
        <v>Unidad</v>
      </c>
      <c r="D4030" s="39">
        <v>25</v>
      </c>
      <c r="E4030" s="42">
        <v>79.650000000000006</v>
      </c>
      <c r="F4030" s="41">
        <f t="shared" ca="1" si="155"/>
        <v>1991.2500000000002</v>
      </c>
    </row>
    <row r="4031" spans="1:6" ht="14.25" customHeight="1" x14ac:dyDescent="0.35">
      <c r="A4031" s="39" t="s">
        <v>5227</v>
      </c>
      <c r="B4031" s="40" t="str">
        <f t="shared" ca="1" si="154"/>
        <v>Servicios de diseño de serigrafía</v>
      </c>
      <c r="C4031" s="72" t="str">
        <f>IFERROR(VLOOKUP("UD",'Informacion '!P:Q,2,FALSE),"")</f>
        <v>Unidad</v>
      </c>
      <c r="D4031" s="39">
        <v>300</v>
      </c>
      <c r="E4031" s="42">
        <v>2269.1999999999998</v>
      </c>
      <c r="F4031" s="41">
        <f t="shared" ca="1" si="155"/>
        <v>680760</v>
      </c>
    </row>
    <row r="4032" spans="1:6" ht="14.25" customHeight="1" x14ac:dyDescent="0.35">
      <c r="A4032" s="39" t="s">
        <v>5227</v>
      </c>
      <c r="B4032" s="40" t="str">
        <f t="shared" ca="1" si="154"/>
        <v>Servicios de diseño de serigrafía</v>
      </c>
      <c r="C4032" s="72" t="str">
        <f>IFERROR(VLOOKUP("UD",'Informacion '!P:Q,2,FALSE),"")</f>
        <v>Unidad</v>
      </c>
      <c r="D4032" s="39">
        <v>1</v>
      </c>
      <c r="E4032" s="42">
        <v>35000</v>
      </c>
      <c r="F4032" s="41">
        <f t="shared" ca="1" si="155"/>
        <v>35000</v>
      </c>
    </row>
    <row r="4033" spans="1:10" ht="14.25" customHeight="1" x14ac:dyDescent="0.35">
      <c r="A4033" s="39" t="s">
        <v>5227</v>
      </c>
      <c r="B4033" s="40" t="str">
        <f t="shared" ca="1" si="154"/>
        <v>Servicios de diseño de serigrafía</v>
      </c>
      <c r="C4033" s="72" t="str">
        <f>IFERROR(VLOOKUP("UD",'Informacion '!P:Q,2,FALSE),"")</f>
        <v>Unidad</v>
      </c>
      <c r="D4033" s="39">
        <v>1</v>
      </c>
      <c r="E4033" s="42">
        <v>2000000</v>
      </c>
      <c r="F4033" s="41">
        <f t="shared" ca="1" si="155"/>
        <v>2000000</v>
      </c>
    </row>
    <row r="4034" spans="1:10" ht="14.25" customHeight="1" x14ac:dyDescent="0.35">
      <c r="A4034" s="39" t="s">
        <v>5227</v>
      </c>
      <c r="B4034" s="40" t="str">
        <f t="shared" ca="1" si="154"/>
        <v>Servicios de diseño de serigrafía</v>
      </c>
      <c r="C4034" s="72" t="str">
        <f>IFERROR(VLOOKUP("UD",'Informacion '!P:Q,2,FALSE),"")</f>
        <v>Unidad</v>
      </c>
      <c r="D4034" s="39">
        <v>500</v>
      </c>
      <c r="E4034" s="42">
        <v>424.8</v>
      </c>
      <c r="F4034" s="41">
        <f t="shared" ca="1" si="155"/>
        <v>212400</v>
      </c>
    </row>
    <row r="4035" spans="1:10" ht="14.25" customHeight="1" x14ac:dyDescent="0.35">
      <c r="A4035" s="39" t="s">
        <v>5227</v>
      </c>
      <c r="B4035" s="40" t="str">
        <f t="shared" ca="1" si="154"/>
        <v>Servicios de diseño de serigrafía</v>
      </c>
      <c r="C4035" s="72" t="str">
        <f>IFERROR(VLOOKUP("UD",'Informacion '!P:Q,2,FALSE),"")</f>
        <v>Unidad</v>
      </c>
      <c r="D4035" s="39">
        <v>300</v>
      </c>
      <c r="E4035" s="42">
        <v>224.2</v>
      </c>
      <c r="F4035" s="41">
        <f t="shared" ca="1" si="155"/>
        <v>67260</v>
      </c>
    </row>
    <row r="4036" spans="1:10" ht="14.25" customHeight="1" x14ac:dyDescent="0.35">
      <c r="A4036" s="39" t="s">
        <v>5227</v>
      </c>
      <c r="B4036" s="40" t="str">
        <f t="shared" ca="1" si="154"/>
        <v>Servicios de diseño de serigrafía</v>
      </c>
      <c r="C4036" s="72" t="str">
        <f>IFERROR(VLOOKUP("UD",'Informacion '!P:Q,2,FALSE),"")</f>
        <v>Unidad</v>
      </c>
      <c r="D4036" s="39">
        <v>4</v>
      </c>
      <c r="E4036" s="42">
        <v>3540</v>
      </c>
      <c r="F4036" s="41">
        <f t="shared" ca="1" si="155"/>
        <v>14160</v>
      </c>
    </row>
    <row r="4037" spans="1:10" ht="14.25" customHeight="1" x14ac:dyDescent="0.35">
      <c r="A4037" s="39" t="s">
        <v>5227</v>
      </c>
      <c r="B4037" s="40" t="str">
        <f t="shared" ca="1" si="154"/>
        <v>Servicios de diseño de serigrafía</v>
      </c>
      <c r="C4037" s="72" t="str">
        <f>IFERROR(VLOOKUP("UD",'Informacion '!P:Q,2,FALSE),"")</f>
        <v>Unidad</v>
      </c>
      <c r="D4037" s="39">
        <v>150</v>
      </c>
      <c r="E4037" s="42">
        <v>329.22</v>
      </c>
      <c r="F4037" s="41">
        <f t="shared" ca="1" si="155"/>
        <v>49383.000000000007</v>
      </c>
    </row>
    <row r="4038" spans="1:10" ht="14.25" customHeight="1" x14ac:dyDescent="0.35">
      <c r="A4038" s="39" t="s">
        <v>5227</v>
      </c>
      <c r="B4038" s="40" t="str">
        <f t="shared" ca="1" si="154"/>
        <v>Servicios de diseño de serigrafía</v>
      </c>
      <c r="C4038" s="72" t="str">
        <f>IFERROR(VLOOKUP("UD",'Informacion '!P:Q,2,FALSE),"")</f>
        <v>Unidad</v>
      </c>
      <c r="D4038" s="39">
        <v>150</v>
      </c>
      <c r="E4038" s="42">
        <v>329.22</v>
      </c>
      <c r="F4038" s="41">
        <f t="shared" ca="1" si="155"/>
        <v>49383.000000000007</v>
      </c>
    </row>
    <row r="4039" spans="1:10" ht="14.25" customHeight="1" x14ac:dyDescent="0.35">
      <c r="A4039" s="39" t="s">
        <v>5227</v>
      </c>
      <c r="B4039" s="40" t="str">
        <f t="shared" ca="1" si="154"/>
        <v>Servicios de diseño de serigrafía</v>
      </c>
      <c r="C4039" s="72" t="str">
        <f>IFERROR(VLOOKUP("UD",'Informacion '!P:Q,2,FALSE),"")</f>
        <v>Unidad</v>
      </c>
      <c r="D4039" s="39">
        <v>150</v>
      </c>
      <c r="E4039" s="42">
        <v>560.33000000000004</v>
      </c>
      <c r="F4039" s="41">
        <f t="shared" ca="1" si="155"/>
        <v>84049.5</v>
      </c>
    </row>
    <row r="4040" spans="1:10" ht="14.25" customHeight="1" x14ac:dyDescent="0.35">
      <c r="E4040" s="44" t="s">
        <v>13122</v>
      </c>
      <c r="F4040" s="45">
        <f ca="1">SUM(Table211[MONTO TOTAL ESTIMADO])</f>
        <v>5907635.8300000001</v>
      </c>
      <c r="H4040" s="24" t="str">
        <f>C4004</f>
        <v>Servicios</v>
      </c>
      <c r="I4040" s="24" t="str">
        <f>E4004</f>
        <v>No</v>
      </c>
      <c r="J4040" s="24" t="str">
        <f>D4004</f>
        <v>Licitacion Publica</v>
      </c>
    </row>
    <row r="4042" spans="1:10" ht="34" customHeight="1" x14ac:dyDescent="0.35">
      <c r="A4042" s="36" t="s">
        <v>17105</v>
      </c>
      <c r="B4042" s="36" t="s">
        <v>167</v>
      </c>
      <c r="C4042" s="36" t="s">
        <v>12252</v>
      </c>
      <c r="D4042" s="36" t="s">
        <v>15021</v>
      </c>
      <c r="E4042" s="36" t="s">
        <v>11455</v>
      </c>
      <c r="F4042" s="36" t="s">
        <v>11595</v>
      </c>
    </row>
    <row r="4043" spans="1:10" ht="14.25" customHeight="1" x14ac:dyDescent="0.35">
      <c r="A4043" s="37" t="s">
        <v>14419</v>
      </c>
      <c r="B4043" s="37" t="s">
        <v>14419</v>
      </c>
      <c r="C4043" s="37" t="s">
        <v>7109</v>
      </c>
      <c r="D4043" s="37" t="s">
        <v>1950</v>
      </c>
      <c r="E4043" s="37" t="s">
        <v>18646</v>
      </c>
      <c r="F4043" s="37" t="s">
        <v>7088</v>
      </c>
    </row>
    <row r="4044" spans="1:10" ht="14.25" customHeight="1" x14ac:dyDescent="0.35">
      <c r="A4044" s="75" t="s">
        <v>15490</v>
      </c>
      <c r="B4044" s="38" t="s">
        <v>8918</v>
      </c>
      <c r="C4044" s="68">
        <v>45474</v>
      </c>
      <c r="D4044" s="75" t="s">
        <v>9819</v>
      </c>
      <c r="E4044" s="70" t="s">
        <v>13683</v>
      </c>
      <c r="F4044" s="71" t="s">
        <v>3205</v>
      </c>
    </row>
    <row r="4045" spans="1:10" ht="14.25" customHeight="1" x14ac:dyDescent="0.35">
      <c r="A4045" s="76"/>
      <c r="B4045" s="38" t="s">
        <v>1858</v>
      </c>
      <c r="C4045" s="69">
        <f>IF(C4044="","",IF(AND(MONTH(C4044)&gt;=1,MONTH(C4044)&lt;=3),1,IF(AND(MONTH(C4044)&gt;=4,MONTH(C4044)&lt;=6),2,IF(AND(MONTH(C4044)&gt;=7,MONTH(C4044)&lt;=9),3,4))))</f>
        <v>3</v>
      </c>
      <c r="D4045" s="76"/>
      <c r="E4045" s="70" t="s">
        <v>2509</v>
      </c>
      <c r="F4045" s="71" t="s">
        <v>11612</v>
      </c>
    </row>
    <row r="4046" spans="1:10" ht="14.25" customHeight="1" x14ac:dyDescent="0.35">
      <c r="A4046" s="76"/>
      <c r="B4046" s="38" t="s">
        <v>13526</v>
      </c>
      <c r="C4046" s="68">
        <v>45565</v>
      </c>
      <c r="D4046" s="76"/>
      <c r="E4046" s="70" t="s">
        <v>3198</v>
      </c>
      <c r="F4046" s="71" t="s">
        <v>11612</v>
      </c>
    </row>
    <row r="4047" spans="1:10" ht="14.25" customHeight="1" x14ac:dyDescent="0.35">
      <c r="A4047" s="76"/>
      <c r="B4047" s="38" t="s">
        <v>1858</v>
      </c>
      <c r="C4047" s="69">
        <f>IF(C4046="","",IF(AND(MONTH(C4046)&gt;=1,MONTH(C4046)&lt;=3),1,IF(AND(MONTH(C4046)&gt;=4,MONTH(C4046)&lt;=6),2,IF(AND(MONTH(C4046)&gt;=7,MONTH(C4046)&lt;=9),3,4))))</f>
        <v>3</v>
      </c>
      <c r="D4047" s="76"/>
      <c r="E4047" s="70" t="s">
        <v>13785</v>
      </c>
      <c r="F4047" s="71"/>
    </row>
    <row r="4049" spans="1:6" ht="14.25" customHeight="1" x14ac:dyDescent="0.35">
      <c r="A4049" s="43" t="s">
        <v>16424</v>
      </c>
      <c r="B4049" s="43" t="s">
        <v>16856</v>
      </c>
      <c r="C4049" s="43" t="s">
        <v>16326</v>
      </c>
      <c r="D4049" s="43" t="s">
        <v>15925</v>
      </c>
      <c r="E4049" s="43" t="s">
        <v>7248</v>
      </c>
      <c r="F4049" s="43" t="s">
        <v>15955</v>
      </c>
    </row>
    <row r="4050" spans="1:6" ht="14.25" customHeight="1" x14ac:dyDescent="0.35">
      <c r="A4050" s="39" t="s">
        <v>5227</v>
      </c>
      <c r="B4050" s="40" t="str">
        <f t="shared" ref="B4050:B4067" ca="1" si="156">IFERROR(INDEX(UNSPSCDes,MATCH(INDIRECT(ADDRESS(ROW(),COLUMN()-1,4)),UNSPSCCode,0)),IF(INDIRECT(ADDRESS(ROW(),COLUMN()-1,4))="82141507","Servicios de diseño de serigrafía",""))</f>
        <v>Servicios de diseño de serigrafía</v>
      </c>
      <c r="C4050" s="72" t="str">
        <f>IFERROR(VLOOKUP("UD",'Informacion '!P:Q,2,FALSE),"")</f>
        <v>Unidad</v>
      </c>
      <c r="D4050" s="39">
        <v>2</v>
      </c>
      <c r="E4050" s="42">
        <v>2950</v>
      </c>
      <c r="F4050" s="41">
        <f t="shared" ref="F4050:F4067" ca="1" si="157">INDIRECT(ADDRESS(ROW(),COLUMN()-2,4))*INDIRECT(ADDRESS(ROW(),COLUMN()-1,4))</f>
        <v>5900</v>
      </c>
    </row>
    <row r="4051" spans="1:6" ht="14.25" customHeight="1" x14ac:dyDescent="0.35">
      <c r="A4051" s="39" t="s">
        <v>5227</v>
      </c>
      <c r="B4051" s="40" t="str">
        <f t="shared" ca="1" si="156"/>
        <v>Servicios de diseño de serigrafía</v>
      </c>
      <c r="C4051" s="72" t="str">
        <f>IFERROR(VLOOKUP("UD",'Informacion '!P:Q,2,FALSE),"")</f>
        <v>Unidad</v>
      </c>
      <c r="D4051" s="39">
        <v>2</v>
      </c>
      <c r="E4051" s="42">
        <v>2722.2</v>
      </c>
      <c r="F4051" s="41">
        <f t="shared" ca="1" si="157"/>
        <v>5444.4</v>
      </c>
    </row>
    <row r="4052" spans="1:6" ht="14.25" customHeight="1" x14ac:dyDescent="0.35">
      <c r="A4052" s="39" t="s">
        <v>5227</v>
      </c>
      <c r="B4052" s="40" t="str">
        <f t="shared" ca="1" si="156"/>
        <v>Servicios de diseño de serigrafía</v>
      </c>
      <c r="C4052" s="72" t="str">
        <f>IFERROR(VLOOKUP("UD",'Informacion '!P:Q,2,FALSE),"")</f>
        <v>Unidad</v>
      </c>
      <c r="D4052" s="39">
        <v>1000</v>
      </c>
      <c r="E4052" s="42">
        <v>59.59</v>
      </c>
      <c r="F4052" s="41">
        <f t="shared" ca="1" si="157"/>
        <v>59590</v>
      </c>
    </row>
    <row r="4053" spans="1:6" ht="14.25" customHeight="1" x14ac:dyDescent="0.35">
      <c r="A4053" s="39" t="s">
        <v>5227</v>
      </c>
      <c r="B4053" s="40" t="str">
        <f t="shared" ca="1" si="156"/>
        <v>Servicios de diseño de serigrafía</v>
      </c>
      <c r="C4053" s="72" t="str">
        <f>IFERROR(VLOOKUP("UD",'Informacion '!P:Q,2,FALSE),"")</f>
        <v>Unidad</v>
      </c>
      <c r="D4053" s="39">
        <v>6666</v>
      </c>
      <c r="E4053" s="42">
        <v>20.059999999999999</v>
      </c>
      <c r="F4053" s="41">
        <f t="shared" ca="1" si="157"/>
        <v>133719.96</v>
      </c>
    </row>
    <row r="4054" spans="1:6" ht="14.25" customHeight="1" x14ac:dyDescent="0.35">
      <c r="A4054" s="39" t="s">
        <v>5227</v>
      </c>
      <c r="B4054" s="40" t="str">
        <f t="shared" ca="1" si="156"/>
        <v>Servicios de diseño de serigrafía</v>
      </c>
      <c r="C4054" s="72" t="str">
        <f>IFERROR(VLOOKUP("UD",'Informacion '!P:Q,2,FALSE),"")</f>
        <v>Unidad</v>
      </c>
      <c r="D4054" s="39">
        <v>1</v>
      </c>
      <c r="E4054" s="42">
        <v>8260</v>
      </c>
      <c r="F4054" s="41">
        <f t="shared" ca="1" si="157"/>
        <v>8260</v>
      </c>
    </row>
    <row r="4055" spans="1:6" ht="14.25" customHeight="1" x14ac:dyDescent="0.35">
      <c r="A4055" s="39" t="s">
        <v>5227</v>
      </c>
      <c r="B4055" s="40" t="str">
        <f t="shared" ca="1" si="156"/>
        <v>Servicios de diseño de serigrafía</v>
      </c>
      <c r="C4055" s="72" t="str">
        <f>IFERROR(VLOOKUP("UD",'Informacion '!P:Q,2,FALSE),"")</f>
        <v>Unidad</v>
      </c>
      <c r="D4055" s="39">
        <v>80</v>
      </c>
      <c r="E4055" s="42">
        <v>796.5</v>
      </c>
      <c r="F4055" s="41">
        <f t="shared" ca="1" si="157"/>
        <v>63720</v>
      </c>
    </row>
    <row r="4056" spans="1:6" ht="14.25" customHeight="1" x14ac:dyDescent="0.35">
      <c r="A4056" s="39" t="s">
        <v>5227</v>
      </c>
      <c r="B4056" s="40" t="str">
        <f t="shared" ca="1" si="156"/>
        <v>Servicios de diseño de serigrafía</v>
      </c>
      <c r="C4056" s="72" t="str">
        <f>IFERROR(VLOOKUP("UD",'Informacion '!P:Q,2,FALSE),"")</f>
        <v>Unidad</v>
      </c>
      <c r="D4056" s="39">
        <v>360</v>
      </c>
      <c r="E4056" s="42">
        <v>315.06</v>
      </c>
      <c r="F4056" s="41">
        <f t="shared" ca="1" si="157"/>
        <v>113421.6</v>
      </c>
    </row>
    <row r="4057" spans="1:6" ht="14.25" customHeight="1" x14ac:dyDescent="0.35">
      <c r="A4057" s="39" t="s">
        <v>5227</v>
      </c>
      <c r="B4057" s="40" t="str">
        <f t="shared" ca="1" si="156"/>
        <v>Servicios de diseño de serigrafía</v>
      </c>
      <c r="C4057" s="72" t="str">
        <f>IFERROR(VLOOKUP("UD",'Informacion '!P:Q,2,FALSE),"")</f>
        <v>Unidad</v>
      </c>
      <c r="D4057" s="39">
        <v>60</v>
      </c>
      <c r="E4057" s="42">
        <v>41.3</v>
      </c>
      <c r="F4057" s="41">
        <f t="shared" ca="1" si="157"/>
        <v>2478</v>
      </c>
    </row>
    <row r="4058" spans="1:6" ht="14.25" customHeight="1" x14ac:dyDescent="0.35">
      <c r="A4058" s="39" t="s">
        <v>5227</v>
      </c>
      <c r="B4058" s="40" t="str">
        <f t="shared" ca="1" si="156"/>
        <v>Servicios de diseño de serigrafía</v>
      </c>
      <c r="C4058" s="72" t="str">
        <f>IFERROR(VLOOKUP("UD",'Informacion '!P:Q,2,FALSE),"")</f>
        <v>Unidad</v>
      </c>
      <c r="D4058" s="39">
        <v>500</v>
      </c>
      <c r="E4058" s="42">
        <v>41.3</v>
      </c>
      <c r="F4058" s="41">
        <f t="shared" ca="1" si="157"/>
        <v>20650</v>
      </c>
    </row>
    <row r="4059" spans="1:6" ht="14.25" customHeight="1" x14ac:dyDescent="0.35">
      <c r="A4059" s="39" t="s">
        <v>5227</v>
      </c>
      <c r="B4059" s="40" t="str">
        <f t="shared" ca="1" si="156"/>
        <v>Servicios de diseño de serigrafía</v>
      </c>
      <c r="C4059" s="72" t="str">
        <f>IFERROR(VLOOKUP("UD",'Informacion '!P:Q,2,FALSE),"")</f>
        <v>Unidad</v>
      </c>
      <c r="D4059" s="39">
        <v>25</v>
      </c>
      <c r="E4059" s="42">
        <v>79.650000000000006</v>
      </c>
      <c r="F4059" s="41">
        <f t="shared" ca="1" si="157"/>
        <v>1991.2500000000002</v>
      </c>
    </row>
    <row r="4060" spans="1:6" ht="14.25" customHeight="1" x14ac:dyDescent="0.35">
      <c r="A4060" s="39" t="s">
        <v>5227</v>
      </c>
      <c r="B4060" s="40" t="str">
        <f t="shared" ca="1" si="156"/>
        <v>Servicios de diseño de serigrafía</v>
      </c>
      <c r="C4060" s="72" t="str">
        <f>IFERROR(VLOOKUP("UD",'Informacion '!P:Q,2,FALSE),"")</f>
        <v>Unidad</v>
      </c>
      <c r="D4060" s="39">
        <v>300</v>
      </c>
      <c r="E4060" s="42">
        <v>2269.1999999999998</v>
      </c>
      <c r="F4060" s="41">
        <f t="shared" ca="1" si="157"/>
        <v>680760</v>
      </c>
    </row>
    <row r="4061" spans="1:6" ht="14.25" customHeight="1" x14ac:dyDescent="0.35">
      <c r="A4061" s="39" t="s">
        <v>5227</v>
      </c>
      <c r="B4061" s="40" t="str">
        <f t="shared" ca="1" si="156"/>
        <v>Servicios de diseño de serigrafía</v>
      </c>
      <c r="C4061" s="72" t="str">
        <f>IFERROR(VLOOKUP("UD",'Informacion '!P:Q,2,FALSE),"")</f>
        <v>Unidad</v>
      </c>
      <c r="D4061" s="39">
        <v>2</v>
      </c>
      <c r="E4061" s="42">
        <v>35000</v>
      </c>
      <c r="F4061" s="41">
        <f t="shared" ca="1" si="157"/>
        <v>70000</v>
      </c>
    </row>
    <row r="4062" spans="1:6" ht="14.25" customHeight="1" x14ac:dyDescent="0.35">
      <c r="A4062" s="39" t="s">
        <v>5227</v>
      </c>
      <c r="B4062" s="40" t="str">
        <f t="shared" ca="1" si="156"/>
        <v>Servicios de diseño de serigrafía</v>
      </c>
      <c r="C4062" s="72" t="str">
        <f>IFERROR(VLOOKUP("UD",'Informacion '!P:Q,2,FALSE),"")</f>
        <v>Unidad</v>
      </c>
      <c r="D4062" s="39">
        <v>500</v>
      </c>
      <c r="E4062" s="42">
        <v>700</v>
      </c>
      <c r="F4062" s="41">
        <f t="shared" ca="1" si="157"/>
        <v>350000</v>
      </c>
    </row>
    <row r="4063" spans="1:6" ht="14.25" customHeight="1" x14ac:dyDescent="0.35">
      <c r="A4063" s="39" t="s">
        <v>5227</v>
      </c>
      <c r="B4063" s="40" t="str">
        <f t="shared" ca="1" si="156"/>
        <v>Servicios de diseño de serigrafía</v>
      </c>
      <c r="C4063" s="72" t="str">
        <f>IFERROR(VLOOKUP("UD",'Informacion '!P:Q,2,FALSE),"")</f>
        <v>Unidad</v>
      </c>
      <c r="D4063" s="39">
        <v>300</v>
      </c>
      <c r="E4063" s="42">
        <v>224.2</v>
      </c>
      <c r="F4063" s="41">
        <f t="shared" ca="1" si="157"/>
        <v>67260</v>
      </c>
    </row>
    <row r="4064" spans="1:6" ht="14.25" customHeight="1" x14ac:dyDescent="0.35">
      <c r="A4064" s="39" t="s">
        <v>5227</v>
      </c>
      <c r="B4064" s="40" t="str">
        <f t="shared" ca="1" si="156"/>
        <v>Servicios de diseño de serigrafía</v>
      </c>
      <c r="C4064" s="72" t="str">
        <f>IFERROR(VLOOKUP("UD",'Informacion '!P:Q,2,FALSE),"")</f>
        <v>Unidad</v>
      </c>
      <c r="D4064" s="39">
        <v>2</v>
      </c>
      <c r="E4064" s="42">
        <v>3540</v>
      </c>
      <c r="F4064" s="41">
        <f t="shared" ca="1" si="157"/>
        <v>7080</v>
      </c>
    </row>
    <row r="4065" spans="1:10" ht="14.25" customHeight="1" x14ac:dyDescent="0.35">
      <c r="A4065" s="39" t="s">
        <v>5227</v>
      </c>
      <c r="B4065" s="40" t="str">
        <f t="shared" ca="1" si="156"/>
        <v>Servicios de diseño de serigrafía</v>
      </c>
      <c r="C4065" s="72" t="str">
        <f>IFERROR(VLOOKUP("UD",'Informacion '!P:Q,2,FALSE),"")</f>
        <v>Unidad</v>
      </c>
      <c r="D4065" s="39">
        <v>150</v>
      </c>
      <c r="E4065" s="42">
        <v>329.22</v>
      </c>
      <c r="F4065" s="41">
        <f t="shared" ca="1" si="157"/>
        <v>49383.000000000007</v>
      </c>
    </row>
    <row r="4066" spans="1:10" ht="14.25" customHeight="1" x14ac:dyDescent="0.35">
      <c r="A4066" s="39" t="s">
        <v>5227</v>
      </c>
      <c r="B4066" s="40" t="str">
        <f t="shared" ca="1" si="156"/>
        <v>Servicios de diseño de serigrafía</v>
      </c>
      <c r="C4066" s="72" t="str">
        <f>IFERROR(VLOOKUP("UD",'Informacion '!P:Q,2,FALSE),"")</f>
        <v>Unidad</v>
      </c>
      <c r="D4066" s="39">
        <v>150</v>
      </c>
      <c r="E4066" s="42">
        <v>329.22</v>
      </c>
      <c r="F4066" s="41">
        <f t="shared" ca="1" si="157"/>
        <v>49383.000000000007</v>
      </c>
    </row>
    <row r="4067" spans="1:10" ht="14.25" customHeight="1" x14ac:dyDescent="0.35">
      <c r="A4067" s="39" t="s">
        <v>5227</v>
      </c>
      <c r="B4067" s="40" t="str">
        <f t="shared" ca="1" si="156"/>
        <v>Servicios de diseño de serigrafía</v>
      </c>
      <c r="C4067" s="72" t="str">
        <f>IFERROR(VLOOKUP("UD",'Informacion '!P:Q,2,FALSE),"")</f>
        <v>Unidad</v>
      </c>
      <c r="D4067" s="39">
        <v>150</v>
      </c>
      <c r="E4067" s="42">
        <v>560.33000000000004</v>
      </c>
      <c r="F4067" s="41">
        <f t="shared" ca="1" si="157"/>
        <v>84049.5</v>
      </c>
    </row>
    <row r="4068" spans="1:10" ht="14.25" customHeight="1" x14ac:dyDescent="0.35">
      <c r="E4068" s="44" t="s">
        <v>13122</v>
      </c>
      <c r="F4068" s="45">
        <f ca="1">SUM(Table212[MONTO TOTAL ESTIMADO])</f>
        <v>1773090.71</v>
      </c>
      <c r="H4068" s="24" t="str">
        <f>C4043</f>
        <v>Servicios</v>
      </c>
      <c r="I4068" s="24" t="str">
        <f>E4043</f>
        <v>No</v>
      </c>
      <c r="J4068" s="24" t="str">
        <f>D4043</f>
        <v>Comparacion de Precios</v>
      </c>
    </row>
    <row r="4070" spans="1:10" ht="34" customHeight="1" x14ac:dyDescent="0.35">
      <c r="A4070" s="36" t="s">
        <v>17105</v>
      </c>
      <c r="B4070" s="36" t="s">
        <v>167</v>
      </c>
      <c r="C4070" s="36" t="s">
        <v>12252</v>
      </c>
      <c r="D4070" s="36" t="s">
        <v>15021</v>
      </c>
      <c r="E4070" s="36" t="s">
        <v>11455</v>
      </c>
      <c r="F4070" s="36" t="s">
        <v>11595</v>
      </c>
    </row>
    <row r="4071" spans="1:10" ht="14.25" customHeight="1" x14ac:dyDescent="0.35">
      <c r="A4071" s="37" t="s">
        <v>14419</v>
      </c>
      <c r="B4071" s="37" t="s">
        <v>14419</v>
      </c>
      <c r="C4071" s="37" t="s">
        <v>7109</v>
      </c>
      <c r="D4071" s="37" t="s">
        <v>18256</v>
      </c>
      <c r="E4071" s="37" t="s">
        <v>18646</v>
      </c>
      <c r="F4071" s="37" t="s">
        <v>7088</v>
      </c>
    </row>
    <row r="4072" spans="1:10" ht="14.25" customHeight="1" x14ac:dyDescent="0.35">
      <c r="A4072" s="75" t="s">
        <v>15490</v>
      </c>
      <c r="B4072" s="38" t="s">
        <v>8918</v>
      </c>
      <c r="C4072" s="68">
        <v>45566</v>
      </c>
      <c r="D4072" s="75" t="s">
        <v>9819</v>
      </c>
      <c r="E4072" s="70" t="s">
        <v>13683</v>
      </c>
      <c r="F4072" s="71" t="s">
        <v>3205</v>
      </c>
    </row>
    <row r="4073" spans="1:10" ht="14.25" customHeight="1" x14ac:dyDescent="0.35">
      <c r="A4073" s="76"/>
      <c r="B4073" s="38" t="s">
        <v>1858</v>
      </c>
      <c r="C4073" s="69">
        <f>IF(C4072="","",IF(AND(MONTH(C4072)&gt;=1,MONTH(C4072)&lt;=3),1,IF(AND(MONTH(C4072)&gt;=4,MONTH(C4072)&lt;=6),2,IF(AND(MONTH(C4072)&gt;=7,MONTH(C4072)&lt;=9),3,4))))</f>
        <v>4</v>
      </c>
      <c r="D4073" s="76"/>
      <c r="E4073" s="70" t="s">
        <v>2509</v>
      </c>
      <c r="F4073" s="71" t="s">
        <v>11612</v>
      </c>
    </row>
    <row r="4074" spans="1:10" ht="14.25" customHeight="1" x14ac:dyDescent="0.35">
      <c r="A4074" s="76"/>
      <c r="B4074" s="38" t="s">
        <v>13526</v>
      </c>
      <c r="C4074" s="68">
        <v>45657</v>
      </c>
      <c r="D4074" s="76"/>
      <c r="E4074" s="70" t="s">
        <v>3198</v>
      </c>
      <c r="F4074" s="71" t="s">
        <v>11612</v>
      </c>
    </row>
    <row r="4075" spans="1:10" ht="14.25" customHeight="1" x14ac:dyDescent="0.35">
      <c r="A4075" s="76"/>
      <c r="B4075" s="38" t="s">
        <v>1858</v>
      </c>
      <c r="C4075" s="69">
        <f>IF(C4074="","",IF(AND(MONTH(C4074)&gt;=1,MONTH(C4074)&lt;=3),1,IF(AND(MONTH(C4074)&gt;=4,MONTH(C4074)&lt;=6),2,IF(AND(MONTH(C4074)&gt;=7,MONTH(C4074)&lt;=9),3,4))))</f>
        <v>4</v>
      </c>
      <c r="D4075" s="76"/>
      <c r="E4075" s="70" t="s">
        <v>13785</v>
      </c>
      <c r="F4075" s="71"/>
    </row>
    <row r="4077" spans="1:10" ht="14.25" customHeight="1" x14ac:dyDescent="0.35">
      <c r="A4077" s="43" t="s">
        <v>16424</v>
      </c>
      <c r="B4077" s="43" t="s">
        <v>16856</v>
      </c>
      <c r="C4077" s="43" t="s">
        <v>16326</v>
      </c>
      <c r="D4077" s="43" t="s">
        <v>15925</v>
      </c>
      <c r="E4077" s="43" t="s">
        <v>7248</v>
      </c>
      <c r="F4077" s="43" t="s">
        <v>15955</v>
      </c>
    </row>
    <row r="4078" spans="1:10" ht="14.25" customHeight="1" x14ac:dyDescent="0.35">
      <c r="A4078" s="39" t="s">
        <v>5227</v>
      </c>
      <c r="B4078" s="40" t="str">
        <f t="shared" ref="B4078:B4092" ca="1" si="158">IFERROR(INDEX(UNSPSCDes,MATCH(INDIRECT(ADDRESS(ROW(),COLUMN()-1,4)),UNSPSCCode,0)),IF(INDIRECT(ADDRESS(ROW(),COLUMN()-1,4))="82141507","Servicios de diseño de serigrafía",""))</f>
        <v>Servicios de diseño de serigrafía</v>
      </c>
      <c r="C4078" s="72" t="str">
        <f>IFERROR(VLOOKUP("UD",'Informacion '!P:Q,2,FALSE),"")</f>
        <v>Unidad</v>
      </c>
      <c r="D4078" s="39">
        <v>50</v>
      </c>
      <c r="E4078" s="42">
        <v>224.2</v>
      </c>
      <c r="F4078" s="41">
        <f t="shared" ref="F4078:F4092" ca="1" si="159">INDIRECT(ADDRESS(ROW(),COLUMN()-2,4))*INDIRECT(ADDRESS(ROW(),COLUMN()-1,4))</f>
        <v>11210</v>
      </c>
    </row>
    <row r="4079" spans="1:10" ht="14.25" customHeight="1" x14ac:dyDescent="0.35">
      <c r="A4079" s="39" t="s">
        <v>5227</v>
      </c>
      <c r="B4079" s="40" t="str">
        <f t="shared" ca="1" si="158"/>
        <v>Servicios de diseño de serigrafía</v>
      </c>
      <c r="C4079" s="72" t="str">
        <f>IFERROR(VLOOKUP("UD",'Informacion '!P:Q,2,FALSE),"")</f>
        <v>Unidad</v>
      </c>
      <c r="D4079" s="39">
        <v>100</v>
      </c>
      <c r="E4079" s="42">
        <v>531</v>
      </c>
      <c r="F4079" s="41">
        <f t="shared" ca="1" si="159"/>
        <v>53100</v>
      </c>
    </row>
    <row r="4080" spans="1:10" ht="14.25" customHeight="1" x14ac:dyDescent="0.35">
      <c r="A4080" s="39" t="s">
        <v>5227</v>
      </c>
      <c r="B4080" s="40" t="str">
        <f t="shared" ca="1" si="158"/>
        <v>Servicios de diseño de serigrafía</v>
      </c>
      <c r="C4080" s="72" t="str">
        <f>IFERROR(VLOOKUP("UD",'Informacion '!P:Q,2,FALSE),"")</f>
        <v>Unidad</v>
      </c>
      <c r="D4080" s="39">
        <v>100</v>
      </c>
      <c r="E4080" s="42">
        <v>209.3</v>
      </c>
      <c r="F4080" s="41">
        <f t="shared" ca="1" si="159"/>
        <v>20930</v>
      </c>
    </row>
    <row r="4081" spans="1:10" ht="14.25" customHeight="1" x14ac:dyDescent="0.35">
      <c r="A4081" s="39" t="s">
        <v>5227</v>
      </c>
      <c r="B4081" s="40" t="str">
        <f t="shared" ca="1" si="158"/>
        <v>Servicios de diseño de serigrafía</v>
      </c>
      <c r="C4081" s="72" t="str">
        <f>IFERROR(VLOOKUP("UD",'Informacion '!P:Q,2,FALSE),"")</f>
        <v>Unidad</v>
      </c>
      <c r="D4081" s="39">
        <v>1</v>
      </c>
      <c r="E4081" s="42">
        <v>47790</v>
      </c>
      <c r="F4081" s="41">
        <f t="shared" ca="1" si="159"/>
        <v>47790</v>
      </c>
    </row>
    <row r="4082" spans="1:10" ht="14.25" customHeight="1" x14ac:dyDescent="0.35">
      <c r="A4082" s="39" t="s">
        <v>5227</v>
      </c>
      <c r="B4082" s="40" t="str">
        <f t="shared" ca="1" si="158"/>
        <v>Servicios de diseño de serigrafía</v>
      </c>
      <c r="C4082" s="72" t="str">
        <f>IFERROR(VLOOKUP("UD",'Informacion '!P:Q,2,FALSE),"")</f>
        <v>Unidad</v>
      </c>
      <c r="D4082" s="39">
        <v>1500</v>
      </c>
      <c r="E4082" s="42">
        <v>59.59</v>
      </c>
      <c r="F4082" s="41">
        <f t="shared" ca="1" si="159"/>
        <v>89385</v>
      </c>
    </row>
    <row r="4083" spans="1:10" ht="14.25" customHeight="1" x14ac:dyDescent="0.35">
      <c r="A4083" s="39" t="s">
        <v>5227</v>
      </c>
      <c r="B4083" s="40" t="str">
        <f t="shared" ca="1" si="158"/>
        <v>Servicios de diseño de serigrafía</v>
      </c>
      <c r="C4083" s="72" t="str">
        <f>IFERROR(VLOOKUP("UD",'Informacion '!P:Q,2,FALSE),"")</f>
        <v>Unidad</v>
      </c>
      <c r="D4083" s="39">
        <v>6666</v>
      </c>
      <c r="E4083" s="42">
        <v>20.059999999999999</v>
      </c>
      <c r="F4083" s="41">
        <f t="shared" ca="1" si="159"/>
        <v>133719.96</v>
      </c>
    </row>
    <row r="4084" spans="1:10" ht="14.25" customHeight="1" x14ac:dyDescent="0.35">
      <c r="A4084" s="39" t="s">
        <v>5227</v>
      </c>
      <c r="B4084" s="40" t="str">
        <f t="shared" ca="1" si="158"/>
        <v>Servicios de diseño de serigrafía</v>
      </c>
      <c r="C4084" s="72" t="str">
        <f>IFERROR(VLOOKUP("UD",'Informacion '!P:Q,2,FALSE),"")</f>
        <v>Unidad</v>
      </c>
      <c r="D4084" s="39">
        <v>1</v>
      </c>
      <c r="E4084" s="42">
        <v>8260</v>
      </c>
      <c r="F4084" s="41">
        <f t="shared" ca="1" si="159"/>
        <v>8260</v>
      </c>
    </row>
    <row r="4085" spans="1:10" ht="14.25" customHeight="1" x14ac:dyDescent="0.35">
      <c r="A4085" s="39" t="s">
        <v>5227</v>
      </c>
      <c r="B4085" s="40" t="str">
        <f t="shared" ca="1" si="158"/>
        <v>Servicios de diseño de serigrafía</v>
      </c>
      <c r="C4085" s="72" t="str">
        <f>IFERROR(VLOOKUP("UD",'Informacion '!P:Q,2,FALSE),"")</f>
        <v>Unidad</v>
      </c>
      <c r="D4085" s="39">
        <v>80</v>
      </c>
      <c r="E4085" s="42">
        <v>796.5</v>
      </c>
      <c r="F4085" s="41">
        <f t="shared" ca="1" si="159"/>
        <v>63720</v>
      </c>
    </row>
    <row r="4086" spans="1:10" ht="14.25" customHeight="1" x14ac:dyDescent="0.35">
      <c r="A4086" s="39" t="s">
        <v>5227</v>
      </c>
      <c r="B4086" s="40" t="str">
        <f t="shared" ca="1" si="158"/>
        <v>Servicios de diseño de serigrafía</v>
      </c>
      <c r="C4086" s="72" t="str">
        <f>IFERROR(VLOOKUP("UD",'Informacion '!P:Q,2,FALSE),"")</f>
        <v>Unidad</v>
      </c>
      <c r="D4086" s="39">
        <v>360</v>
      </c>
      <c r="E4086" s="42">
        <v>315.06</v>
      </c>
      <c r="F4086" s="41">
        <f t="shared" ca="1" si="159"/>
        <v>113421.6</v>
      </c>
    </row>
    <row r="4087" spans="1:10" ht="14.25" customHeight="1" x14ac:dyDescent="0.35">
      <c r="A4087" s="39" t="s">
        <v>5227</v>
      </c>
      <c r="B4087" s="40" t="str">
        <f t="shared" ca="1" si="158"/>
        <v>Servicios de diseño de serigrafía</v>
      </c>
      <c r="C4087" s="72" t="str">
        <f>IFERROR(VLOOKUP("UD",'Informacion '!P:Q,2,FALSE),"")</f>
        <v>Unidad</v>
      </c>
      <c r="D4087" s="39">
        <v>25</v>
      </c>
      <c r="E4087" s="42">
        <v>79.650000000000006</v>
      </c>
      <c r="F4087" s="41">
        <f t="shared" ca="1" si="159"/>
        <v>1991.2500000000002</v>
      </c>
    </row>
    <row r="4088" spans="1:10" ht="14.25" customHeight="1" x14ac:dyDescent="0.35">
      <c r="A4088" s="39" t="s">
        <v>5227</v>
      </c>
      <c r="B4088" s="40" t="str">
        <f t="shared" ca="1" si="158"/>
        <v>Servicios de diseño de serigrafía</v>
      </c>
      <c r="C4088" s="72" t="str">
        <f>IFERROR(VLOOKUP("UD",'Informacion '!P:Q,2,FALSE),"")</f>
        <v>Unidad</v>
      </c>
      <c r="D4088" s="39">
        <v>300</v>
      </c>
      <c r="E4088" s="42">
        <v>224.2</v>
      </c>
      <c r="F4088" s="41">
        <f t="shared" ca="1" si="159"/>
        <v>67260</v>
      </c>
    </row>
    <row r="4089" spans="1:10" ht="14.25" customHeight="1" x14ac:dyDescent="0.35">
      <c r="A4089" s="39" t="s">
        <v>5227</v>
      </c>
      <c r="B4089" s="40" t="str">
        <f t="shared" ca="1" si="158"/>
        <v>Servicios de diseño de serigrafía</v>
      </c>
      <c r="C4089" s="72" t="str">
        <f>IFERROR(VLOOKUP("UD",'Informacion '!P:Q,2,FALSE),"")</f>
        <v>Unidad</v>
      </c>
      <c r="D4089" s="39">
        <v>4</v>
      </c>
      <c r="E4089" s="42">
        <v>3540</v>
      </c>
      <c r="F4089" s="41">
        <f t="shared" ca="1" si="159"/>
        <v>14160</v>
      </c>
    </row>
    <row r="4090" spans="1:10" ht="14.25" customHeight="1" x14ac:dyDescent="0.35">
      <c r="A4090" s="39" t="s">
        <v>5227</v>
      </c>
      <c r="B4090" s="40" t="str">
        <f t="shared" ca="1" si="158"/>
        <v>Servicios de diseño de serigrafía</v>
      </c>
      <c r="C4090" s="72" t="str">
        <f>IFERROR(VLOOKUP("UD",'Informacion '!P:Q,2,FALSE),"")</f>
        <v>Unidad</v>
      </c>
      <c r="D4090" s="39">
        <v>150</v>
      </c>
      <c r="E4090" s="42">
        <v>329.22</v>
      </c>
      <c r="F4090" s="41">
        <f t="shared" ca="1" si="159"/>
        <v>49383.000000000007</v>
      </c>
    </row>
    <row r="4091" spans="1:10" ht="14.25" customHeight="1" x14ac:dyDescent="0.35">
      <c r="A4091" s="39" t="s">
        <v>5227</v>
      </c>
      <c r="B4091" s="40" t="str">
        <f t="shared" ca="1" si="158"/>
        <v>Servicios de diseño de serigrafía</v>
      </c>
      <c r="C4091" s="72" t="str">
        <f>IFERROR(VLOOKUP("UD",'Informacion '!P:Q,2,FALSE),"")</f>
        <v>Unidad</v>
      </c>
      <c r="D4091" s="39">
        <v>150</v>
      </c>
      <c r="E4091" s="42">
        <v>329.22</v>
      </c>
      <c r="F4091" s="41">
        <f t="shared" ca="1" si="159"/>
        <v>49383.000000000007</v>
      </c>
    </row>
    <row r="4092" spans="1:10" ht="14.25" customHeight="1" x14ac:dyDescent="0.35">
      <c r="A4092" s="39" t="s">
        <v>5227</v>
      </c>
      <c r="B4092" s="40" t="str">
        <f t="shared" ca="1" si="158"/>
        <v>Servicios de diseño de serigrafía</v>
      </c>
      <c r="C4092" s="72" t="str">
        <f>IFERROR(VLOOKUP("UD",'Informacion '!P:Q,2,FALSE),"")</f>
        <v>Unidad</v>
      </c>
      <c r="D4092" s="39">
        <v>50</v>
      </c>
      <c r="E4092" s="42">
        <v>560.33000000000004</v>
      </c>
      <c r="F4092" s="41">
        <f t="shared" ca="1" si="159"/>
        <v>28016.500000000004</v>
      </c>
    </row>
    <row r="4093" spans="1:10" ht="14.25" customHeight="1" x14ac:dyDescent="0.35">
      <c r="E4093" s="44" t="s">
        <v>13122</v>
      </c>
      <c r="F4093" s="45">
        <f ca="1">SUM(Table213[MONTO TOTAL ESTIMADO])</f>
        <v>751730.30999999994</v>
      </c>
      <c r="H4093" s="24" t="str">
        <f>C4071</f>
        <v>Servicios</v>
      </c>
      <c r="I4093" s="24" t="str">
        <f>E4071</f>
        <v>No</v>
      </c>
      <c r="J4093" s="24" t="str">
        <f>D4071</f>
        <v>Compras Menores</v>
      </c>
    </row>
    <row r="4095" spans="1:10" ht="34" customHeight="1" x14ac:dyDescent="0.35">
      <c r="A4095" s="36" t="s">
        <v>17105</v>
      </c>
      <c r="B4095" s="36" t="s">
        <v>167</v>
      </c>
      <c r="C4095" s="36" t="s">
        <v>12252</v>
      </c>
      <c r="D4095" s="36" t="s">
        <v>15021</v>
      </c>
      <c r="E4095" s="36" t="s">
        <v>11455</v>
      </c>
      <c r="F4095" s="36" t="s">
        <v>11595</v>
      </c>
    </row>
    <row r="4096" spans="1:10" ht="14.25" customHeight="1" x14ac:dyDescent="0.35">
      <c r="A4096" s="37" t="s">
        <v>11605</v>
      </c>
      <c r="B4096" s="37" t="s">
        <v>11605</v>
      </c>
      <c r="C4096" s="37" t="s">
        <v>18585</v>
      </c>
      <c r="D4096" s="37" t="s">
        <v>1950</v>
      </c>
      <c r="E4096" s="37" t="s">
        <v>9261</v>
      </c>
      <c r="F4096" s="37" t="s">
        <v>7088</v>
      </c>
    </row>
    <row r="4097" spans="1:10" ht="14.25" customHeight="1" x14ac:dyDescent="0.35">
      <c r="A4097" s="75" t="s">
        <v>15490</v>
      </c>
      <c r="B4097" s="38" t="s">
        <v>8918</v>
      </c>
      <c r="C4097" s="68">
        <v>45334</v>
      </c>
      <c r="D4097" s="75" t="s">
        <v>9819</v>
      </c>
      <c r="E4097" s="70" t="s">
        <v>13683</v>
      </c>
      <c r="F4097" s="71" t="s">
        <v>3205</v>
      </c>
    </row>
    <row r="4098" spans="1:10" ht="14.25" customHeight="1" x14ac:dyDescent="0.35">
      <c r="A4098" s="76"/>
      <c r="B4098" s="38" t="s">
        <v>1858</v>
      </c>
      <c r="C4098" s="69">
        <f>IF(C4097="","",IF(AND(MONTH(C4097)&gt;=1,MONTH(C4097)&lt;=3),1,IF(AND(MONTH(C4097)&gt;=4,MONTH(C4097)&lt;=6),2,IF(AND(MONTH(C4097)&gt;=7,MONTH(C4097)&lt;=9),3,4))))</f>
        <v>1</v>
      </c>
      <c r="D4098" s="76"/>
      <c r="E4098" s="70" t="s">
        <v>2509</v>
      </c>
      <c r="F4098" s="71" t="s">
        <v>11612</v>
      </c>
    </row>
    <row r="4099" spans="1:10" ht="14.25" customHeight="1" x14ac:dyDescent="0.35">
      <c r="A4099" s="76"/>
      <c r="B4099" s="38" t="s">
        <v>13526</v>
      </c>
      <c r="C4099" s="68">
        <v>45378</v>
      </c>
      <c r="D4099" s="76"/>
      <c r="E4099" s="70" t="s">
        <v>3198</v>
      </c>
      <c r="F4099" s="71" t="s">
        <v>11612</v>
      </c>
    </row>
    <row r="4100" spans="1:10" ht="14.25" customHeight="1" x14ac:dyDescent="0.35">
      <c r="A4100" s="76"/>
      <c r="B4100" s="38" t="s">
        <v>1858</v>
      </c>
      <c r="C4100" s="69">
        <f>IF(C4099="","",IF(AND(MONTH(C4099)&gt;=1,MONTH(C4099)&lt;=3),1,IF(AND(MONTH(C4099)&gt;=4,MONTH(C4099)&lt;=6),2,IF(AND(MONTH(C4099)&gt;=7,MONTH(C4099)&lt;=9),3,4))))</f>
        <v>1</v>
      </c>
      <c r="D4100" s="76"/>
      <c r="E4100" s="70" t="s">
        <v>13785</v>
      </c>
      <c r="F4100" s="71"/>
    </row>
    <row r="4102" spans="1:10" ht="14.25" customHeight="1" x14ac:dyDescent="0.35">
      <c r="A4102" s="43" t="s">
        <v>16424</v>
      </c>
      <c r="B4102" s="43" t="s">
        <v>16856</v>
      </c>
      <c r="C4102" s="43" t="s">
        <v>16326</v>
      </c>
      <c r="D4102" s="43" t="s">
        <v>15925</v>
      </c>
      <c r="E4102" s="43" t="s">
        <v>7248</v>
      </c>
      <c r="F4102" s="43" t="s">
        <v>15955</v>
      </c>
    </row>
    <row r="4103" spans="1:10" ht="14.25" customHeight="1" x14ac:dyDescent="0.35">
      <c r="A4103" s="39" t="s">
        <v>15102</v>
      </c>
      <c r="B4103" s="40" t="str">
        <f ca="1">IFERROR(INDEX(UNSPSCDes,MATCH(INDIRECT(ADDRESS(ROW(),COLUMN()-1,4)),UNSPSCCode,0)),IF(INDIRECT(ADDRESS(ROW(),COLUMN()-1,4))="40101604","Ventiladores",""))</f>
        <v>Ventiladores</v>
      </c>
      <c r="C4103" s="72" t="str">
        <f>IFERROR(VLOOKUP("UD",'Informacion '!P:Q,2,FALSE),"")</f>
        <v>Unidad</v>
      </c>
      <c r="D4103" s="39">
        <v>6</v>
      </c>
      <c r="E4103" s="42">
        <v>885</v>
      </c>
      <c r="F4103" s="41">
        <f ca="1">INDIRECT(ADDRESS(ROW(),COLUMN()-2,4))*INDIRECT(ADDRESS(ROW(),COLUMN()-1,4))</f>
        <v>5310</v>
      </c>
    </row>
    <row r="4104" spans="1:10" ht="14.25" customHeight="1" x14ac:dyDescent="0.35">
      <c r="A4104" s="39" t="s">
        <v>15102</v>
      </c>
      <c r="B4104" s="40" t="str">
        <f ca="1">IFERROR(INDEX(UNSPSCDes,MATCH(INDIRECT(ADDRESS(ROW(),COLUMN()-1,4)),UNSPSCCode,0)),IF(INDIRECT(ADDRESS(ROW(),COLUMN()-1,4))="40101604","Ventiladores",""))</f>
        <v>Ventiladores</v>
      </c>
      <c r="C4104" s="72" t="str">
        <f>IFERROR(VLOOKUP("UD",'Informacion '!P:Q,2,FALSE),"")</f>
        <v>Unidad</v>
      </c>
      <c r="D4104" s="39">
        <v>1</v>
      </c>
      <c r="E4104" s="42">
        <v>6490</v>
      </c>
      <c r="F4104" s="41">
        <f ca="1">INDIRECT(ADDRESS(ROW(),COLUMN()-2,4))*INDIRECT(ADDRESS(ROW(),COLUMN()-1,4))</f>
        <v>6490</v>
      </c>
    </row>
    <row r="4105" spans="1:10" ht="14.25" customHeight="1" x14ac:dyDescent="0.35">
      <c r="A4105" s="39" t="s">
        <v>12455</v>
      </c>
      <c r="B4105" s="40" t="str">
        <f ca="1">IFERROR(INDEX(UNSPSCDes,MATCH(INDIRECT(ADDRESS(ROW(),COLUMN()-1,4)),UNSPSCCode,0)),IF(INDIRECT(ADDRESS(ROW(),COLUMN()-1,4))="40101605","Protectores o sus accesorios para ventiladores",""))</f>
        <v>Protectores o sus accesorios para ventiladores</v>
      </c>
      <c r="C4105" s="72" t="str">
        <f>IFERROR(VLOOKUP("UD",'Informacion '!P:Q,2,FALSE),"")</f>
        <v>Unidad</v>
      </c>
      <c r="D4105" s="39">
        <v>2</v>
      </c>
      <c r="E4105" s="42">
        <v>1640</v>
      </c>
      <c r="F4105" s="41">
        <f ca="1">INDIRECT(ADDRESS(ROW(),COLUMN()-2,4))*INDIRECT(ADDRESS(ROW(),COLUMN()-1,4))</f>
        <v>3280</v>
      </c>
    </row>
    <row r="4106" spans="1:10" ht="14.25" customHeight="1" x14ac:dyDescent="0.35">
      <c r="A4106" s="39" t="s">
        <v>9062</v>
      </c>
      <c r="B4106" s="40" t="str">
        <f ca="1">IFERROR(INDEX(UNSPSCDes,MATCH(INDIRECT(ADDRESS(ROW(),COLUMN()-1,4)),UNSPSCCode,0)),IF(INDIRECT(ADDRESS(ROW(),COLUMN()-1,4))="40101701","Aires acondicionados",""))</f>
        <v>Aires acondicionados</v>
      </c>
      <c r="C4106" s="72" t="str">
        <f>IFERROR(VLOOKUP("UD",'Informacion '!P:Q,2,FALSE),"")</f>
        <v>Unidad</v>
      </c>
      <c r="D4106" s="39">
        <v>9</v>
      </c>
      <c r="E4106" s="42">
        <v>200000</v>
      </c>
      <c r="F4106" s="41">
        <f ca="1">INDIRECT(ADDRESS(ROW(),COLUMN()-2,4))*INDIRECT(ADDRESS(ROW(),COLUMN()-1,4))</f>
        <v>1800000</v>
      </c>
    </row>
    <row r="4107" spans="1:10" ht="14.25" customHeight="1" x14ac:dyDescent="0.35">
      <c r="E4107" s="44" t="s">
        <v>13122</v>
      </c>
      <c r="F4107" s="45">
        <f ca="1">SUM(Table214[MONTO TOTAL ESTIMADO])</f>
        <v>1815080</v>
      </c>
      <c r="H4107" s="24" t="str">
        <f>C4096</f>
        <v>Bienes</v>
      </c>
      <c r="I4107" s="24" t="str">
        <f>E4096</f>
        <v>Sí</v>
      </c>
      <c r="J4107" s="24" t="str">
        <f>D4096</f>
        <v>Comparacion de Precios</v>
      </c>
    </row>
    <row r="4109" spans="1:10" ht="34" customHeight="1" x14ac:dyDescent="0.35">
      <c r="A4109" s="36" t="s">
        <v>17105</v>
      </c>
      <c r="B4109" s="36" t="s">
        <v>167</v>
      </c>
      <c r="C4109" s="36" t="s">
        <v>12252</v>
      </c>
      <c r="D4109" s="36" t="s">
        <v>15021</v>
      </c>
      <c r="E4109" s="36" t="s">
        <v>11455</v>
      </c>
      <c r="F4109" s="36" t="s">
        <v>11595</v>
      </c>
    </row>
    <row r="4110" spans="1:10" ht="14.25" customHeight="1" x14ac:dyDescent="0.35">
      <c r="A4110" s="37" t="s">
        <v>11605</v>
      </c>
      <c r="B4110" s="37" t="s">
        <v>11605</v>
      </c>
      <c r="C4110" s="37" t="s">
        <v>18585</v>
      </c>
      <c r="D4110" s="37" t="s">
        <v>1950</v>
      </c>
      <c r="E4110" s="37" t="s">
        <v>9261</v>
      </c>
      <c r="F4110" s="37" t="s">
        <v>7088</v>
      </c>
    </row>
    <row r="4111" spans="1:10" ht="14.25" customHeight="1" x14ac:dyDescent="0.35">
      <c r="A4111" s="75" t="s">
        <v>15490</v>
      </c>
      <c r="B4111" s="38" t="s">
        <v>8918</v>
      </c>
      <c r="C4111" s="68">
        <v>45383</v>
      </c>
      <c r="D4111" s="75" t="s">
        <v>9819</v>
      </c>
      <c r="E4111" s="70" t="s">
        <v>13683</v>
      </c>
      <c r="F4111" s="71" t="s">
        <v>3205</v>
      </c>
    </row>
    <row r="4112" spans="1:10" ht="14.25" customHeight="1" x14ac:dyDescent="0.35">
      <c r="A4112" s="76"/>
      <c r="B4112" s="38" t="s">
        <v>1858</v>
      </c>
      <c r="C4112" s="69">
        <f>IF(C4111="","",IF(AND(MONTH(C4111)&gt;=1,MONTH(C4111)&lt;=3),1,IF(AND(MONTH(C4111)&gt;=4,MONTH(C4111)&lt;=6),2,IF(AND(MONTH(C4111)&gt;=7,MONTH(C4111)&lt;=9),3,4))))</f>
        <v>2</v>
      </c>
      <c r="D4112" s="76"/>
      <c r="E4112" s="70" t="s">
        <v>2509</v>
      </c>
      <c r="F4112" s="71" t="s">
        <v>11612</v>
      </c>
    </row>
    <row r="4113" spans="1:10" ht="14.25" customHeight="1" x14ac:dyDescent="0.35">
      <c r="A4113" s="76"/>
      <c r="B4113" s="38" t="s">
        <v>13526</v>
      </c>
      <c r="C4113" s="68">
        <v>45471</v>
      </c>
      <c r="D4113" s="76"/>
      <c r="E4113" s="70" t="s">
        <v>3198</v>
      </c>
      <c r="F4113" s="71" t="s">
        <v>11612</v>
      </c>
    </row>
    <row r="4114" spans="1:10" ht="14.25" customHeight="1" x14ac:dyDescent="0.35">
      <c r="A4114" s="76"/>
      <c r="B4114" s="38" t="s">
        <v>1858</v>
      </c>
      <c r="C4114" s="69">
        <f>IF(C4113="","",IF(AND(MONTH(C4113)&gt;=1,MONTH(C4113)&lt;=3),1,IF(AND(MONTH(C4113)&gt;=4,MONTH(C4113)&lt;=6),2,IF(AND(MONTH(C4113)&gt;=7,MONTH(C4113)&lt;=9),3,4))))</f>
        <v>2</v>
      </c>
      <c r="D4114" s="76"/>
      <c r="E4114" s="70" t="s">
        <v>13785</v>
      </c>
      <c r="F4114" s="71"/>
    </row>
    <row r="4116" spans="1:10" ht="14.25" customHeight="1" x14ac:dyDescent="0.35">
      <c r="A4116" s="43" t="s">
        <v>16424</v>
      </c>
      <c r="B4116" s="43" t="s">
        <v>16856</v>
      </c>
      <c r="C4116" s="43" t="s">
        <v>16326</v>
      </c>
      <c r="D4116" s="43" t="s">
        <v>15925</v>
      </c>
      <c r="E4116" s="43" t="s">
        <v>7248</v>
      </c>
      <c r="F4116" s="43" t="s">
        <v>15955</v>
      </c>
    </row>
    <row r="4117" spans="1:10" ht="14.25" customHeight="1" x14ac:dyDescent="0.35">
      <c r="A4117" s="39" t="s">
        <v>15102</v>
      </c>
      <c r="B4117" s="40" t="str">
        <f ca="1">IFERROR(INDEX(UNSPSCDes,MATCH(INDIRECT(ADDRESS(ROW(),COLUMN()-1,4)),UNSPSCCode,0)),IF(INDIRECT(ADDRESS(ROW(),COLUMN()-1,4))="40101604","Ventiladores",""))</f>
        <v>Ventiladores</v>
      </c>
      <c r="C4117" s="72" t="str">
        <f>IFERROR(VLOOKUP("UD",'Informacion '!P:Q,2,FALSE),"")</f>
        <v>Unidad</v>
      </c>
      <c r="D4117" s="39">
        <v>1</v>
      </c>
      <c r="E4117" s="42">
        <v>6490</v>
      </c>
      <c r="F4117" s="41">
        <f ca="1">INDIRECT(ADDRESS(ROW(),COLUMN()-2,4))*INDIRECT(ADDRESS(ROW(),COLUMN()-1,4))</f>
        <v>6490</v>
      </c>
    </row>
    <row r="4118" spans="1:10" ht="14.25" customHeight="1" x14ac:dyDescent="0.35">
      <c r="A4118" s="39" t="s">
        <v>9062</v>
      </c>
      <c r="B4118" s="40" t="str">
        <f ca="1">IFERROR(INDEX(UNSPSCDes,MATCH(INDIRECT(ADDRESS(ROW(),COLUMN()-1,4)),UNSPSCCode,0)),IF(INDIRECT(ADDRESS(ROW(),COLUMN()-1,4))="40101701","Aires acondicionados",""))</f>
        <v>Aires acondicionados</v>
      </c>
      <c r="C4118" s="72" t="str">
        <f>IFERROR(VLOOKUP("UD",'Informacion '!P:Q,2,FALSE),"")</f>
        <v>Unidad</v>
      </c>
      <c r="D4118" s="39">
        <v>2</v>
      </c>
      <c r="E4118" s="42">
        <v>69502</v>
      </c>
      <c r="F4118" s="41">
        <f ca="1">INDIRECT(ADDRESS(ROW(),COLUMN()-2,4))*INDIRECT(ADDRESS(ROW(),COLUMN()-1,4))</f>
        <v>139004</v>
      </c>
    </row>
    <row r="4119" spans="1:10" ht="14.25" customHeight="1" x14ac:dyDescent="0.35">
      <c r="A4119" s="39" t="s">
        <v>9062</v>
      </c>
      <c r="B4119" s="40" t="str">
        <f ca="1">IFERROR(INDEX(UNSPSCDes,MATCH(INDIRECT(ADDRESS(ROW(),COLUMN()-1,4)),UNSPSCCode,0)),IF(INDIRECT(ADDRESS(ROW(),COLUMN()-1,4))="40101701","Aires acondicionados",""))</f>
        <v>Aires acondicionados</v>
      </c>
      <c r="C4119" s="72" t="str">
        <f>IFERROR(VLOOKUP("UD",'Informacion '!P:Q,2,FALSE),"")</f>
        <v>Unidad</v>
      </c>
      <c r="D4119" s="39">
        <v>5</v>
      </c>
      <c r="E4119" s="42">
        <v>41300</v>
      </c>
      <c r="F4119" s="41">
        <f ca="1">INDIRECT(ADDRESS(ROW(),COLUMN()-2,4))*INDIRECT(ADDRESS(ROW(),COLUMN()-1,4))</f>
        <v>206500</v>
      </c>
    </row>
    <row r="4120" spans="1:10" ht="14.25" customHeight="1" x14ac:dyDescent="0.35">
      <c r="E4120" s="44" t="s">
        <v>13122</v>
      </c>
      <c r="F4120" s="45">
        <f ca="1">SUM(Table215[MONTO TOTAL ESTIMADO])</f>
        <v>351994</v>
      </c>
      <c r="H4120" s="24" t="str">
        <f>C4110</f>
        <v>Bienes</v>
      </c>
      <c r="I4120" s="24" t="str">
        <f>E4110</f>
        <v>Sí</v>
      </c>
      <c r="J4120" s="24" t="str">
        <f>D4110</f>
        <v>Comparacion de Precios</v>
      </c>
    </row>
    <row r="4122" spans="1:10" ht="34" customHeight="1" x14ac:dyDescent="0.35">
      <c r="A4122" s="36" t="s">
        <v>17105</v>
      </c>
      <c r="B4122" s="36" t="s">
        <v>167</v>
      </c>
      <c r="C4122" s="36" t="s">
        <v>12252</v>
      </c>
      <c r="D4122" s="36" t="s">
        <v>15021</v>
      </c>
      <c r="E4122" s="36" t="s">
        <v>11455</v>
      </c>
      <c r="F4122" s="36" t="s">
        <v>11595</v>
      </c>
    </row>
    <row r="4123" spans="1:10" ht="14.25" customHeight="1" x14ac:dyDescent="0.35">
      <c r="A4123" s="37" t="s">
        <v>11605</v>
      </c>
      <c r="B4123" s="37" t="s">
        <v>11605</v>
      </c>
      <c r="C4123" s="37" t="s">
        <v>18585</v>
      </c>
      <c r="D4123" s="37" t="s">
        <v>1950</v>
      </c>
      <c r="E4123" s="37" t="s">
        <v>9261</v>
      </c>
      <c r="F4123" s="37" t="s">
        <v>7088</v>
      </c>
    </row>
    <row r="4124" spans="1:10" ht="14.25" customHeight="1" x14ac:dyDescent="0.35">
      <c r="A4124" s="75" t="s">
        <v>15490</v>
      </c>
      <c r="B4124" s="38" t="s">
        <v>8918</v>
      </c>
      <c r="C4124" s="68">
        <v>45474</v>
      </c>
      <c r="D4124" s="75" t="s">
        <v>9819</v>
      </c>
      <c r="E4124" s="70" t="s">
        <v>13683</v>
      </c>
      <c r="F4124" s="71" t="s">
        <v>3205</v>
      </c>
    </row>
    <row r="4125" spans="1:10" ht="14.25" customHeight="1" x14ac:dyDescent="0.35">
      <c r="A4125" s="76"/>
      <c r="B4125" s="38" t="s">
        <v>1858</v>
      </c>
      <c r="C4125" s="69">
        <f>IF(C4124="","",IF(AND(MONTH(C4124)&gt;=1,MONTH(C4124)&lt;=3),1,IF(AND(MONTH(C4124)&gt;=4,MONTH(C4124)&lt;=6),2,IF(AND(MONTH(C4124)&gt;=7,MONTH(C4124)&lt;=9),3,4))))</f>
        <v>3</v>
      </c>
      <c r="D4125" s="76"/>
      <c r="E4125" s="70" t="s">
        <v>2509</v>
      </c>
      <c r="F4125" s="71" t="s">
        <v>11612</v>
      </c>
    </row>
    <row r="4126" spans="1:10" ht="14.25" customHeight="1" x14ac:dyDescent="0.35">
      <c r="A4126" s="76"/>
      <c r="B4126" s="38" t="s">
        <v>13526</v>
      </c>
      <c r="C4126" s="68">
        <v>45565</v>
      </c>
      <c r="D4126" s="76"/>
      <c r="E4126" s="70" t="s">
        <v>3198</v>
      </c>
      <c r="F4126" s="71" t="s">
        <v>11612</v>
      </c>
    </row>
    <row r="4127" spans="1:10" ht="14.25" customHeight="1" x14ac:dyDescent="0.35">
      <c r="A4127" s="76"/>
      <c r="B4127" s="38" t="s">
        <v>1858</v>
      </c>
      <c r="C4127" s="69">
        <f>IF(C4126="","",IF(AND(MONTH(C4126)&gt;=1,MONTH(C4126)&lt;=3),1,IF(AND(MONTH(C4126)&gt;=4,MONTH(C4126)&lt;=6),2,IF(AND(MONTH(C4126)&gt;=7,MONTH(C4126)&lt;=9),3,4))))</f>
        <v>3</v>
      </c>
      <c r="D4127" s="76"/>
      <c r="E4127" s="70" t="s">
        <v>13785</v>
      </c>
      <c r="F4127" s="71"/>
    </row>
    <row r="4129" spans="1:10" ht="14.25" customHeight="1" x14ac:dyDescent="0.35">
      <c r="A4129" s="43" t="s">
        <v>16424</v>
      </c>
      <c r="B4129" s="43" t="s">
        <v>16856</v>
      </c>
      <c r="C4129" s="43" t="s">
        <v>16326</v>
      </c>
      <c r="D4129" s="43" t="s">
        <v>15925</v>
      </c>
      <c r="E4129" s="43" t="s">
        <v>7248</v>
      </c>
      <c r="F4129" s="43" t="s">
        <v>15955</v>
      </c>
    </row>
    <row r="4130" spans="1:10" ht="14.25" customHeight="1" x14ac:dyDescent="0.35">
      <c r="A4130" s="39" t="s">
        <v>15102</v>
      </c>
      <c r="B4130" s="40" t="str">
        <f ca="1">IFERROR(INDEX(UNSPSCDes,MATCH(INDIRECT(ADDRESS(ROW(),COLUMN()-1,4)),UNSPSCCode,0)),IF(INDIRECT(ADDRESS(ROW(),COLUMN()-1,4))="40101604","Ventiladores",""))</f>
        <v>Ventiladores</v>
      </c>
      <c r="C4130" s="72" t="str">
        <f>IFERROR(VLOOKUP("UD",'Informacion '!P:Q,2,FALSE),"")</f>
        <v>Unidad</v>
      </c>
      <c r="D4130" s="39">
        <v>1</v>
      </c>
      <c r="E4130" s="42">
        <v>6490</v>
      </c>
      <c r="F4130" s="41">
        <f ca="1">INDIRECT(ADDRESS(ROW(),COLUMN()-2,4))*INDIRECT(ADDRESS(ROW(),COLUMN()-1,4))</f>
        <v>6490</v>
      </c>
    </row>
    <row r="4131" spans="1:10" ht="14.25" customHeight="1" x14ac:dyDescent="0.35">
      <c r="E4131" s="44" t="s">
        <v>13122</v>
      </c>
      <c r="F4131" s="45">
        <f ca="1">SUM(Table216[MONTO TOTAL ESTIMADO])</f>
        <v>6490</v>
      </c>
      <c r="H4131" s="24" t="str">
        <f>C4123</f>
        <v>Bienes</v>
      </c>
      <c r="I4131" s="24" t="str">
        <f>E4123</f>
        <v>Sí</v>
      </c>
      <c r="J4131" s="24" t="str">
        <f>D4123</f>
        <v>Comparacion de Precios</v>
      </c>
    </row>
    <row r="4133" spans="1:10" ht="34" customHeight="1" x14ac:dyDescent="0.35">
      <c r="A4133" s="36" t="s">
        <v>17105</v>
      </c>
      <c r="B4133" s="36" t="s">
        <v>167</v>
      </c>
      <c r="C4133" s="36" t="s">
        <v>12252</v>
      </c>
      <c r="D4133" s="36" t="s">
        <v>15021</v>
      </c>
      <c r="E4133" s="36" t="s">
        <v>11455</v>
      </c>
      <c r="F4133" s="36" t="s">
        <v>11595</v>
      </c>
    </row>
    <row r="4134" spans="1:10" ht="14.25" customHeight="1" x14ac:dyDescent="0.35">
      <c r="A4134" s="37" t="s">
        <v>11605</v>
      </c>
      <c r="B4134" s="37" t="s">
        <v>11605</v>
      </c>
      <c r="C4134" s="37" t="s">
        <v>18585</v>
      </c>
      <c r="D4134" s="37" t="s">
        <v>1950</v>
      </c>
      <c r="E4134" s="37" t="s">
        <v>9261</v>
      </c>
      <c r="F4134" s="37" t="s">
        <v>7088</v>
      </c>
    </row>
    <row r="4135" spans="1:10" ht="14.25" customHeight="1" x14ac:dyDescent="0.35">
      <c r="A4135" s="75" t="s">
        <v>15490</v>
      </c>
      <c r="B4135" s="38" t="s">
        <v>8918</v>
      </c>
      <c r="C4135" s="68">
        <v>45566</v>
      </c>
      <c r="D4135" s="75" t="s">
        <v>9819</v>
      </c>
      <c r="E4135" s="70" t="s">
        <v>13683</v>
      </c>
      <c r="F4135" s="71" t="s">
        <v>3205</v>
      </c>
    </row>
    <row r="4136" spans="1:10" ht="14.25" customHeight="1" x14ac:dyDescent="0.35">
      <c r="A4136" s="76"/>
      <c r="B4136" s="38" t="s">
        <v>1858</v>
      </c>
      <c r="C4136" s="69">
        <f>IF(C4135="","",IF(AND(MONTH(C4135)&gt;=1,MONTH(C4135)&lt;=3),1,IF(AND(MONTH(C4135)&gt;=4,MONTH(C4135)&lt;=6),2,IF(AND(MONTH(C4135)&gt;=7,MONTH(C4135)&lt;=9),3,4))))</f>
        <v>4</v>
      </c>
      <c r="D4136" s="76"/>
      <c r="E4136" s="70" t="s">
        <v>2509</v>
      </c>
      <c r="F4136" s="71" t="s">
        <v>11612</v>
      </c>
    </row>
    <row r="4137" spans="1:10" ht="14.25" customHeight="1" x14ac:dyDescent="0.35">
      <c r="A4137" s="76"/>
      <c r="B4137" s="38" t="s">
        <v>13526</v>
      </c>
      <c r="C4137" s="68">
        <v>45657</v>
      </c>
      <c r="D4137" s="76"/>
      <c r="E4137" s="70" t="s">
        <v>3198</v>
      </c>
      <c r="F4137" s="71" t="s">
        <v>11612</v>
      </c>
    </row>
    <row r="4138" spans="1:10" ht="14.25" customHeight="1" x14ac:dyDescent="0.35">
      <c r="A4138" s="76"/>
      <c r="B4138" s="38" t="s">
        <v>1858</v>
      </c>
      <c r="C4138" s="69">
        <f>IF(C4137="","",IF(AND(MONTH(C4137)&gt;=1,MONTH(C4137)&lt;=3),1,IF(AND(MONTH(C4137)&gt;=4,MONTH(C4137)&lt;=6),2,IF(AND(MONTH(C4137)&gt;=7,MONTH(C4137)&lt;=9),3,4))))</f>
        <v>4</v>
      </c>
      <c r="D4138" s="76"/>
      <c r="E4138" s="70" t="s">
        <v>13785</v>
      </c>
      <c r="F4138" s="71"/>
    </row>
    <row r="4140" spans="1:10" ht="14.25" customHeight="1" x14ac:dyDescent="0.35">
      <c r="A4140" s="43" t="s">
        <v>16424</v>
      </c>
      <c r="B4140" s="43" t="s">
        <v>16856</v>
      </c>
      <c r="C4140" s="43" t="s">
        <v>16326</v>
      </c>
      <c r="D4140" s="43" t="s">
        <v>15925</v>
      </c>
      <c r="E4140" s="43" t="s">
        <v>7248</v>
      </c>
      <c r="F4140" s="43" t="s">
        <v>15955</v>
      </c>
    </row>
    <row r="4141" spans="1:10" ht="14.25" customHeight="1" x14ac:dyDescent="0.35">
      <c r="A4141" s="39" t="s">
        <v>15102</v>
      </c>
      <c r="B4141" s="40" t="str">
        <f ca="1">IFERROR(INDEX(UNSPSCDes,MATCH(INDIRECT(ADDRESS(ROW(),COLUMN()-1,4)),UNSPSCCode,0)),IF(INDIRECT(ADDRESS(ROW(),COLUMN()-1,4))="40101604","Ventiladores",""))</f>
        <v>Ventiladores</v>
      </c>
      <c r="C4141" s="72" t="str">
        <f>IFERROR(VLOOKUP("UD",'Informacion '!P:Q,2,FALSE),"")</f>
        <v>Unidad</v>
      </c>
      <c r="D4141" s="39">
        <v>1</v>
      </c>
      <c r="E4141" s="42">
        <v>6490</v>
      </c>
      <c r="F4141" s="41">
        <f ca="1">INDIRECT(ADDRESS(ROW(),COLUMN()-2,4))*INDIRECT(ADDRESS(ROW(),COLUMN()-1,4))</f>
        <v>6490</v>
      </c>
    </row>
    <row r="4142" spans="1:10" ht="14.25" customHeight="1" x14ac:dyDescent="0.35">
      <c r="E4142" s="44" t="s">
        <v>13122</v>
      </c>
      <c r="F4142" s="45">
        <f ca="1">SUM(Table217[MONTO TOTAL ESTIMADO])</f>
        <v>6490</v>
      </c>
      <c r="H4142" s="24" t="str">
        <f>C4134</f>
        <v>Bienes</v>
      </c>
      <c r="I4142" s="24" t="str">
        <f>E4134</f>
        <v>Sí</v>
      </c>
      <c r="J4142" s="24" t="str">
        <f>D4134</f>
        <v>Comparacion de Precios</v>
      </c>
    </row>
    <row r="4144" spans="1:10" ht="34" customHeight="1" x14ac:dyDescent="0.35">
      <c r="A4144" s="36" t="s">
        <v>17105</v>
      </c>
      <c r="B4144" s="36" t="s">
        <v>167</v>
      </c>
      <c r="C4144" s="36" t="s">
        <v>12252</v>
      </c>
      <c r="D4144" s="36" t="s">
        <v>15021</v>
      </c>
      <c r="E4144" s="36" t="s">
        <v>11455</v>
      </c>
      <c r="F4144" s="36" t="s">
        <v>11595</v>
      </c>
    </row>
    <row r="4145" spans="1:6" ht="14.25" customHeight="1" x14ac:dyDescent="0.35">
      <c r="A4145" s="37" t="s">
        <v>12033</v>
      </c>
      <c r="B4145" s="37" t="s">
        <v>12033</v>
      </c>
      <c r="C4145" s="37" t="s">
        <v>18585</v>
      </c>
      <c r="D4145" s="37" t="s">
        <v>1950</v>
      </c>
      <c r="E4145" s="37" t="s">
        <v>9261</v>
      </c>
      <c r="F4145" s="37" t="s">
        <v>7088</v>
      </c>
    </row>
    <row r="4146" spans="1:6" ht="14.25" customHeight="1" x14ac:dyDescent="0.35">
      <c r="A4146" s="75" t="s">
        <v>15490</v>
      </c>
      <c r="B4146" s="38" t="s">
        <v>8918</v>
      </c>
      <c r="C4146" s="68">
        <v>45334</v>
      </c>
      <c r="D4146" s="75" t="s">
        <v>9819</v>
      </c>
      <c r="E4146" s="70" t="s">
        <v>13683</v>
      </c>
      <c r="F4146" s="71" t="s">
        <v>3205</v>
      </c>
    </row>
    <row r="4147" spans="1:6" ht="14.25" customHeight="1" x14ac:dyDescent="0.35">
      <c r="A4147" s="76"/>
      <c r="B4147" s="38" t="s">
        <v>1858</v>
      </c>
      <c r="C4147" s="69">
        <f>IF(C4146="","",IF(AND(MONTH(C4146)&gt;=1,MONTH(C4146)&lt;=3),1,IF(AND(MONTH(C4146)&gt;=4,MONTH(C4146)&lt;=6),2,IF(AND(MONTH(C4146)&gt;=7,MONTH(C4146)&lt;=9),3,4))))</f>
        <v>1</v>
      </c>
      <c r="D4147" s="76"/>
      <c r="E4147" s="70" t="s">
        <v>2509</v>
      </c>
      <c r="F4147" s="71" t="s">
        <v>11612</v>
      </c>
    </row>
    <row r="4148" spans="1:6" ht="14.25" customHeight="1" x14ac:dyDescent="0.35">
      <c r="A4148" s="76"/>
      <c r="B4148" s="38" t="s">
        <v>13526</v>
      </c>
      <c r="C4148" s="68">
        <v>45378</v>
      </c>
      <c r="D4148" s="76"/>
      <c r="E4148" s="70" t="s">
        <v>3198</v>
      </c>
      <c r="F4148" s="71" t="s">
        <v>11612</v>
      </c>
    </row>
    <row r="4149" spans="1:6" ht="14.25" customHeight="1" x14ac:dyDescent="0.35">
      <c r="A4149" s="76"/>
      <c r="B4149" s="38" t="s">
        <v>1858</v>
      </c>
      <c r="C4149" s="69">
        <f>IF(C4148="","",IF(AND(MONTH(C4148)&gt;=1,MONTH(C4148)&lt;=3),1,IF(AND(MONTH(C4148)&gt;=4,MONTH(C4148)&lt;=6),2,IF(AND(MONTH(C4148)&gt;=7,MONTH(C4148)&lt;=9),3,4))))</f>
        <v>1</v>
      </c>
      <c r="D4149" s="76"/>
      <c r="E4149" s="70" t="s">
        <v>13785</v>
      </c>
      <c r="F4149" s="71"/>
    </row>
    <row r="4151" spans="1:6" ht="14.25" customHeight="1" x14ac:dyDescent="0.35">
      <c r="A4151" s="43" t="s">
        <v>16424</v>
      </c>
      <c r="B4151" s="43" t="s">
        <v>16856</v>
      </c>
      <c r="C4151" s="43" t="s">
        <v>16326</v>
      </c>
      <c r="D4151" s="43" t="s">
        <v>15925</v>
      </c>
      <c r="E4151" s="43" t="s">
        <v>7248</v>
      </c>
      <c r="F4151" s="43" t="s">
        <v>15955</v>
      </c>
    </row>
    <row r="4152" spans="1:6" ht="14.25" customHeight="1" x14ac:dyDescent="0.35">
      <c r="A4152" s="39" t="s">
        <v>15429</v>
      </c>
      <c r="B4152" s="40" t="str">
        <f ca="1">IFERROR(INDEX(UNSPSCDes,MATCH(INDIRECT(ADDRESS(ROW(),COLUMN()-1,4)),UNSPSCCode,0)),IF(INDIRECT(ADDRESS(ROW(),COLUMN()-1,4))="40141610","Válvulas de flotación",""))</f>
        <v>Válvulas de flotación</v>
      </c>
      <c r="C4152" s="72" t="str">
        <f>IFERROR(VLOOKUP("UD",'Informacion '!P:Q,2,FALSE),"")</f>
        <v>Unidad</v>
      </c>
      <c r="D4152" s="39">
        <v>5</v>
      </c>
      <c r="E4152" s="42">
        <v>7000</v>
      </c>
      <c r="F4152" s="41">
        <f t="shared" ref="F4152:F4183" ca="1" si="160">INDIRECT(ADDRESS(ROW(),COLUMN()-2,4))*INDIRECT(ADDRESS(ROW(),COLUMN()-1,4))</f>
        <v>35000</v>
      </c>
    </row>
    <row r="4153" spans="1:6" ht="14.25" customHeight="1" x14ac:dyDescent="0.35">
      <c r="A4153" s="39" t="s">
        <v>15429</v>
      </c>
      <c r="B4153" s="40" t="str">
        <f ca="1">IFERROR(INDEX(UNSPSCDes,MATCH(INDIRECT(ADDRESS(ROW(),COLUMN()-1,4)),UNSPSCCode,0)),IF(INDIRECT(ADDRESS(ROW(),COLUMN()-1,4))="40141610","Válvulas de flotación",""))</f>
        <v>Válvulas de flotación</v>
      </c>
      <c r="C4153" s="72" t="str">
        <f>IFERROR(VLOOKUP("UD",'Informacion '!P:Q,2,FALSE),"")</f>
        <v>Unidad</v>
      </c>
      <c r="D4153" s="39">
        <v>8</v>
      </c>
      <c r="E4153" s="42">
        <v>4616</v>
      </c>
      <c r="F4153" s="41">
        <f t="shared" ca="1" si="160"/>
        <v>36928</v>
      </c>
    </row>
    <row r="4154" spans="1:6" ht="14.25" customHeight="1" x14ac:dyDescent="0.35">
      <c r="A4154" s="39" t="s">
        <v>19553</v>
      </c>
      <c r="B4154" s="40" t="str">
        <f ca="1">IFERROR(INDEX(UNSPSCDes,MATCH(INDIRECT(ADDRESS(ROW(),COLUMN()-1,4)),UNSPSCCode,0)),IF(INDIRECT(ADDRESS(ROW(),COLUMN()-1,4))="40141702","Grifos",""))</f>
        <v>Grifos</v>
      </c>
      <c r="C4154" s="72" t="str">
        <f>IFERROR(VLOOKUP("UD",'Informacion '!P:Q,2,FALSE),"")</f>
        <v>Unidad</v>
      </c>
      <c r="D4154" s="39">
        <v>10</v>
      </c>
      <c r="E4154" s="42">
        <v>475.53199999999998</v>
      </c>
      <c r="F4154" s="41">
        <f t="shared" ca="1" si="160"/>
        <v>4755.32</v>
      </c>
    </row>
    <row r="4155" spans="1:6" ht="14.25" customHeight="1" x14ac:dyDescent="0.35">
      <c r="A4155" s="39" t="s">
        <v>19553</v>
      </c>
      <c r="B4155" s="40" t="str">
        <f ca="1">IFERROR(INDEX(UNSPSCDes,MATCH(INDIRECT(ADDRESS(ROW(),COLUMN()-1,4)),UNSPSCCode,0)),IF(INDIRECT(ADDRESS(ROW(),COLUMN()-1,4))="40141702","Grifos",""))</f>
        <v>Grifos</v>
      </c>
      <c r="C4155" s="72" t="str">
        <f>IFERROR(VLOOKUP("UD",'Informacion '!P:Q,2,FALSE),"")</f>
        <v>Unidad</v>
      </c>
      <c r="D4155" s="39">
        <v>15</v>
      </c>
      <c r="E4155" s="42">
        <v>224</v>
      </c>
      <c r="F4155" s="41">
        <f t="shared" ca="1" si="160"/>
        <v>3360</v>
      </c>
    </row>
    <row r="4156" spans="1:6" ht="14.25" customHeight="1" x14ac:dyDescent="0.35">
      <c r="A4156" s="39" t="s">
        <v>19553</v>
      </c>
      <c r="B4156" s="40" t="str">
        <f ca="1">IFERROR(INDEX(UNSPSCDes,MATCH(INDIRECT(ADDRESS(ROW(),COLUMN()-1,4)),UNSPSCCode,0)),IF(INDIRECT(ADDRESS(ROW(),COLUMN()-1,4))="40141702","Grifos",""))</f>
        <v>Grifos</v>
      </c>
      <c r="C4156" s="72" t="str">
        <f>IFERROR(VLOOKUP("UD",'Informacion '!P:Q,2,FALSE),"")</f>
        <v>Unidad</v>
      </c>
      <c r="D4156" s="39">
        <v>15</v>
      </c>
      <c r="E4156" s="42">
        <v>460.2</v>
      </c>
      <c r="F4156" s="41">
        <f t="shared" ca="1" si="160"/>
        <v>6903</v>
      </c>
    </row>
    <row r="4157" spans="1:6" ht="14.25" customHeight="1" x14ac:dyDescent="0.35">
      <c r="A4157" s="39" t="s">
        <v>8821</v>
      </c>
      <c r="B4157" s="40" t="str">
        <f ca="1">IFERROR(INDEX(UNSPSCDes,MATCH(INDIRECT(ADDRESS(ROW(),COLUMN()-1,4)),UNSPSCCode,0)),IF(INDIRECT(ADDRESS(ROW(),COLUMN()-1,4))="40141716","Sifones en P",""))</f>
        <v>Sifones en P</v>
      </c>
      <c r="C4157" s="72" t="str">
        <f>IFERROR(VLOOKUP("UD",'Informacion '!P:Q,2,FALSE),"")</f>
        <v>Unidad</v>
      </c>
      <c r="D4157" s="39">
        <v>48</v>
      </c>
      <c r="E4157" s="42">
        <v>125</v>
      </c>
      <c r="F4157" s="41">
        <f t="shared" ca="1" si="160"/>
        <v>6000</v>
      </c>
    </row>
    <row r="4158" spans="1:6" ht="14.25" customHeight="1" x14ac:dyDescent="0.35">
      <c r="A4158" s="39" t="s">
        <v>8821</v>
      </c>
      <c r="B4158" s="40" t="str">
        <f ca="1">IFERROR(INDEX(UNSPSCDes,MATCH(INDIRECT(ADDRESS(ROW(),COLUMN()-1,4)),UNSPSCCode,0)),IF(INDIRECT(ADDRESS(ROW(),COLUMN()-1,4))="40141716","Sifones en P",""))</f>
        <v>Sifones en P</v>
      </c>
      <c r="C4158" s="72" t="str">
        <f>IFERROR(VLOOKUP("UD",'Informacion '!P:Q,2,FALSE),"")</f>
        <v>Unidad</v>
      </c>
      <c r="D4158" s="39">
        <v>10</v>
      </c>
      <c r="E4158" s="42">
        <v>107.6</v>
      </c>
      <c r="F4158" s="41">
        <f t="shared" ca="1" si="160"/>
        <v>1076</v>
      </c>
    </row>
    <row r="4159" spans="1:6" ht="14.25" customHeight="1" x14ac:dyDescent="0.35">
      <c r="A4159" s="39" t="s">
        <v>8977</v>
      </c>
      <c r="B4159" s="40" t="str">
        <f ca="1">IFERROR(INDEX(UNSPSCDes,MATCH(INDIRECT(ADDRESS(ROW(),COLUMN()-1,4)),UNSPSCCode,0)),IF(INDIRECT(ADDRESS(ROW(),COLUMN()-1,4))="40141731","Boquillas",""))</f>
        <v>Boquillas</v>
      </c>
      <c r="C4159" s="72" t="str">
        <f>IFERROR(VLOOKUP("UD",'Informacion '!P:Q,2,FALSE),"")</f>
        <v>Unidad</v>
      </c>
      <c r="D4159" s="39">
        <v>12</v>
      </c>
      <c r="E4159" s="42">
        <v>206.5</v>
      </c>
      <c r="F4159" s="41">
        <f t="shared" ca="1" si="160"/>
        <v>2478</v>
      </c>
    </row>
    <row r="4160" spans="1:6" ht="14.25" customHeight="1" x14ac:dyDescent="0.35">
      <c r="A4160" s="39" t="s">
        <v>8977</v>
      </c>
      <c r="B4160" s="40" t="str">
        <f ca="1">IFERROR(INDEX(UNSPSCDes,MATCH(INDIRECT(ADDRESS(ROW(),COLUMN()-1,4)),UNSPSCCode,0)),IF(INDIRECT(ADDRESS(ROW(),COLUMN()-1,4))="40141731","Boquillas",""))</f>
        <v>Boquillas</v>
      </c>
      <c r="C4160" s="72" t="str">
        <f>IFERROR(VLOOKUP("UD",'Informacion '!P:Q,2,FALSE),"")</f>
        <v>Unidad</v>
      </c>
      <c r="D4160" s="39">
        <v>12</v>
      </c>
      <c r="E4160" s="42">
        <v>531</v>
      </c>
      <c r="F4160" s="41">
        <f t="shared" ca="1" si="160"/>
        <v>6372</v>
      </c>
    </row>
    <row r="4161" spans="1:6" ht="14.25" customHeight="1" x14ac:dyDescent="0.35">
      <c r="A4161" s="39" t="s">
        <v>8115</v>
      </c>
      <c r="B4161" s="40" t="str">
        <f ca="1">IFERROR(INDEX(UNSPSCDes,MATCH(INDIRECT(ADDRESS(ROW(),COLUMN()-1,4)),UNSPSCCode,0)),IF(INDIRECT(ADDRESS(ROW(),COLUMN()-1,4))="40141739","Tapas de desagüe",""))</f>
        <v>Tapas de desagüe</v>
      </c>
      <c r="C4161" s="72" t="str">
        <f>IFERROR(VLOOKUP("UD",'Informacion '!P:Q,2,FALSE),"")</f>
        <v>Unidad</v>
      </c>
      <c r="D4161" s="39">
        <v>24</v>
      </c>
      <c r="E4161" s="42">
        <v>260</v>
      </c>
      <c r="F4161" s="41">
        <f t="shared" ca="1" si="160"/>
        <v>6240</v>
      </c>
    </row>
    <row r="4162" spans="1:6" ht="14.25" customHeight="1" x14ac:dyDescent="0.35">
      <c r="A4162" s="39" t="s">
        <v>2886</v>
      </c>
      <c r="B4162" s="40" t="str">
        <f ca="1">IFERROR(INDEX(UNSPSCDes,MATCH(INDIRECT(ADDRESS(ROW(),COLUMN()-1,4)),UNSPSCCode,0)),IF(INDIRECT(ADDRESS(ROW(),COLUMN()-1,4))="40141901","Conductos flexibles",""))</f>
        <v>Conductos flexibles</v>
      </c>
      <c r="C4162" s="72" t="str">
        <f>IFERROR(VLOOKUP("UD",'Informacion '!P:Q,2,FALSE),"")</f>
        <v>Unidad</v>
      </c>
      <c r="D4162" s="39">
        <v>20</v>
      </c>
      <c r="E4162" s="42">
        <v>1475</v>
      </c>
      <c r="F4162" s="41">
        <f t="shared" ca="1" si="160"/>
        <v>29500</v>
      </c>
    </row>
    <row r="4163" spans="1:6" ht="14.25" customHeight="1" x14ac:dyDescent="0.35">
      <c r="A4163" s="39" t="s">
        <v>2886</v>
      </c>
      <c r="B4163" s="40" t="str">
        <f ca="1">IFERROR(INDEX(UNSPSCDes,MATCH(INDIRECT(ADDRESS(ROW(),COLUMN()-1,4)),UNSPSCCode,0)),IF(INDIRECT(ADDRESS(ROW(),COLUMN()-1,4))="40141901","Conductos flexibles",""))</f>
        <v>Conductos flexibles</v>
      </c>
      <c r="C4163" s="72" t="str">
        <f>IFERROR(VLOOKUP("UD",'Informacion '!P:Q,2,FALSE),"")</f>
        <v>Unidad</v>
      </c>
      <c r="D4163" s="39">
        <v>25</v>
      </c>
      <c r="E4163" s="42">
        <v>1156.33</v>
      </c>
      <c r="F4163" s="41">
        <f t="shared" ca="1" si="160"/>
        <v>28908.25</v>
      </c>
    </row>
    <row r="4164" spans="1:6" ht="14.25" customHeight="1" x14ac:dyDescent="0.35">
      <c r="A4164" s="39" t="s">
        <v>2886</v>
      </c>
      <c r="B4164" s="40" t="str">
        <f ca="1">IFERROR(INDEX(UNSPSCDes,MATCH(INDIRECT(ADDRESS(ROW(),COLUMN()-1,4)),UNSPSCCode,0)),IF(INDIRECT(ADDRESS(ROW(),COLUMN()-1,4))="40141901","Conductos flexibles",""))</f>
        <v>Conductos flexibles</v>
      </c>
      <c r="C4164" s="72" t="str">
        <f>IFERROR(VLOOKUP("UD",'Informacion '!P:Q,2,FALSE),"")</f>
        <v>Unidad</v>
      </c>
      <c r="D4164" s="39">
        <v>25</v>
      </c>
      <c r="E4164" s="42">
        <v>1357</v>
      </c>
      <c r="F4164" s="41">
        <f t="shared" ca="1" si="160"/>
        <v>33925</v>
      </c>
    </row>
    <row r="4165" spans="1:6" ht="14.25" customHeight="1" x14ac:dyDescent="0.35">
      <c r="A4165" s="39" t="s">
        <v>10446</v>
      </c>
      <c r="B4165" s="40" t="str">
        <f t="shared" ref="B4165:B4170" ca="1" si="161">IFERROR(INDEX(UNSPSCDes,MATCH(INDIRECT(ADDRESS(ROW(),COLUMN()-1,4)),UNSPSCCode,0)),IF(INDIRECT(ADDRESS(ROW(),COLUMN()-1,4))="40142008","Mangueras de agua",""))</f>
        <v>Mangueras de agua</v>
      </c>
      <c r="C4165" s="72" t="str">
        <f>IFERROR(VLOOKUP("UD",'Informacion '!P:Q,2,FALSE),"")</f>
        <v>Unidad</v>
      </c>
      <c r="D4165" s="39">
        <v>100</v>
      </c>
      <c r="E4165" s="42">
        <v>265</v>
      </c>
      <c r="F4165" s="41">
        <f t="shared" ca="1" si="160"/>
        <v>26500</v>
      </c>
    </row>
    <row r="4166" spans="1:6" ht="14.25" customHeight="1" x14ac:dyDescent="0.35">
      <c r="A4166" s="39" t="s">
        <v>10446</v>
      </c>
      <c r="B4166" s="40" t="str">
        <f t="shared" ca="1" si="161"/>
        <v>Mangueras de agua</v>
      </c>
      <c r="C4166" s="72" t="str">
        <f>IFERROR(VLOOKUP("UD",'Informacion '!P:Q,2,FALSE),"")</f>
        <v>Unidad</v>
      </c>
      <c r="D4166" s="39">
        <v>42</v>
      </c>
      <c r="E4166" s="42">
        <v>200</v>
      </c>
      <c r="F4166" s="41">
        <f t="shared" ca="1" si="160"/>
        <v>8400</v>
      </c>
    </row>
    <row r="4167" spans="1:6" ht="14.25" customHeight="1" x14ac:dyDescent="0.35">
      <c r="A4167" s="39" t="s">
        <v>10446</v>
      </c>
      <c r="B4167" s="40" t="str">
        <f t="shared" ca="1" si="161"/>
        <v>Mangueras de agua</v>
      </c>
      <c r="C4167" s="72" t="str">
        <f>IFERROR(VLOOKUP("UD",'Informacion '!P:Q,2,FALSE),"")</f>
        <v>Unidad</v>
      </c>
      <c r="D4167" s="39">
        <v>20</v>
      </c>
      <c r="E4167" s="42">
        <v>290</v>
      </c>
      <c r="F4167" s="41">
        <f t="shared" ca="1" si="160"/>
        <v>5800</v>
      </c>
    </row>
    <row r="4168" spans="1:6" ht="14.25" customHeight="1" x14ac:dyDescent="0.35">
      <c r="A4168" s="39" t="s">
        <v>10446</v>
      </c>
      <c r="B4168" s="40" t="str">
        <f t="shared" ca="1" si="161"/>
        <v>Mangueras de agua</v>
      </c>
      <c r="C4168" s="72" t="str">
        <f>IFERROR(VLOOKUP("UD",'Informacion '!P:Q,2,FALSE),"")</f>
        <v>Unidad</v>
      </c>
      <c r="D4168" s="39">
        <v>25</v>
      </c>
      <c r="E4168" s="42">
        <v>200</v>
      </c>
      <c r="F4168" s="41">
        <f t="shared" ca="1" si="160"/>
        <v>5000</v>
      </c>
    </row>
    <row r="4169" spans="1:6" ht="14.25" customHeight="1" x14ac:dyDescent="0.35">
      <c r="A4169" s="39" t="s">
        <v>10446</v>
      </c>
      <c r="B4169" s="40" t="str">
        <f t="shared" ca="1" si="161"/>
        <v>Mangueras de agua</v>
      </c>
      <c r="C4169" s="72" t="str">
        <f>IFERROR(VLOOKUP("UD",'Informacion '!P:Q,2,FALSE),"")</f>
        <v>Unidad</v>
      </c>
      <c r="D4169" s="39">
        <v>2</v>
      </c>
      <c r="E4169" s="42">
        <v>1262</v>
      </c>
      <c r="F4169" s="41">
        <f t="shared" ca="1" si="160"/>
        <v>2524</v>
      </c>
    </row>
    <row r="4170" spans="1:6" ht="14.25" customHeight="1" x14ac:dyDescent="0.35">
      <c r="A4170" s="39" t="s">
        <v>10446</v>
      </c>
      <c r="B4170" s="40" t="str">
        <f t="shared" ca="1" si="161"/>
        <v>Mangueras de agua</v>
      </c>
      <c r="C4170" s="72" t="str">
        <f>IFERROR(VLOOKUP("UD",'Informacion '!P:Q,2,FALSE),"")</f>
        <v>Unidad</v>
      </c>
      <c r="D4170" s="39">
        <v>2</v>
      </c>
      <c r="E4170" s="42">
        <v>3304</v>
      </c>
      <c r="F4170" s="41">
        <f t="shared" ca="1" si="160"/>
        <v>6608</v>
      </c>
    </row>
    <row r="4171" spans="1:6" ht="14.25" customHeight="1" x14ac:dyDescent="0.35">
      <c r="A4171" s="39" t="s">
        <v>12497</v>
      </c>
      <c r="B4171" s="40" t="str">
        <f t="shared" ref="B4171:B4184" ca="1" si="162">IFERROR(INDEX(UNSPSCDes,MATCH(INDIRECT(ADDRESS(ROW(),COLUMN()-1,4)),UNSPSCCode,0)),IF(INDIRECT(ADDRESS(ROW(),COLUMN()-1,4))="40142317","Codo de tubería",""))</f>
        <v>Codo de tubería</v>
      </c>
      <c r="C4171" s="72" t="str">
        <f>IFERROR(VLOOKUP("UD",'Informacion '!P:Q,2,FALSE),"")</f>
        <v>Unidad</v>
      </c>
      <c r="D4171" s="39">
        <v>36</v>
      </c>
      <c r="E4171" s="42">
        <v>248.2</v>
      </c>
      <c r="F4171" s="41">
        <f t="shared" ca="1" si="160"/>
        <v>8935.1999999999989</v>
      </c>
    </row>
    <row r="4172" spans="1:6" ht="14.25" customHeight="1" x14ac:dyDescent="0.35">
      <c r="A4172" s="39" t="s">
        <v>12497</v>
      </c>
      <c r="B4172" s="40" t="str">
        <f t="shared" ca="1" si="162"/>
        <v>Codo de tubería</v>
      </c>
      <c r="C4172" s="72" t="str">
        <f>IFERROR(VLOOKUP("UD",'Informacion '!P:Q,2,FALSE),"")</f>
        <v>Unidad</v>
      </c>
      <c r="D4172" s="39">
        <v>36</v>
      </c>
      <c r="E4172" s="42">
        <v>306.67</v>
      </c>
      <c r="F4172" s="41">
        <f t="shared" ca="1" si="160"/>
        <v>11040.12</v>
      </c>
    </row>
    <row r="4173" spans="1:6" ht="14.25" customHeight="1" x14ac:dyDescent="0.35">
      <c r="A4173" s="39" t="s">
        <v>12497</v>
      </c>
      <c r="B4173" s="40" t="str">
        <f t="shared" ca="1" si="162"/>
        <v>Codo de tubería</v>
      </c>
      <c r="C4173" s="72" t="str">
        <f>IFERROR(VLOOKUP("UD",'Informacion '!P:Q,2,FALSE),"")</f>
        <v>Unidad</v>
      </c>
      <c r="D4173" s="39">
        <v>24</v>
      </c>
      <c r="E4173" s="42">
        <v>318</v>
      </c>
      <c r="F4173" s="41">
        <f t="shared" ca="1" si="160"/>
        <v>7632</v>
      </c>
    </row>
    <row r="4174" spans="1:6" ht="14.25" customHeight="1" x14ac:dyDescent="0.35">
      <c r="A4174" s="39" t="s">
        <v>12497</v>
      </c>
      <c r="B4174" s="40" t="str">
        <f t="shared" ca="1" si="162"/>
        <v>Codo de tubería</v>
      </c>
      <c r="C4174" s="72" t="str">
        <f>IFERROR(VLOOKUP("UD",'Informacion '!P:Q,2,FALSE),"")</f>
        <v>Unidad</v>
      </c>
      <c r="D4174" s="39">
        <v>12</v>
      </c>
      <c r="E4174" s="42">
        <v>38</v>
      </c>
      <c r="F4174" s="41">
        <f t="shared" ca="1" si="160"/>
        <v>456</v>
      </c>
    </row>
    <row r="4175" spans="1:6" ht="14.25" customHeight="1" x14ac:dyDescent="0.35">
      <c r="A4175" s="39" t="s">
        <v>12497</v>
      </c>
      <c r="B4175" s="40" t="str">
        <f t="shared" ca="1" si="162"/>
        <v>Codo de tubería</v>
      </c>
      <c r="C4175" s="72" t="str">
        <f>IFERROR(VLOOKUP("UD",'Informacion '!P:Q,2,FALSE),"")</f>
        <v>Unidad</v>
      </c>
      <c r="D4175" s="39">
        <v>50</v>
      </c>
      <c r="E4175" s="42">
        <v>29.5</v>
      </c>
      <c r="F4175" s="41">
        <f t="shared" ca="1" si="160"/>
        <v>1475</v>
      </c>
    </row>
    <row r="4176" spans="1:6" ht="14.25" customHeight="1" x14ac:dyDescent="0.35">
      <c r="A4176" s="39" t="s">
        <v>12497</v>
      </c>
      <c r="B4176" s="40" t="str">
        <f t="shared" ca="1" si="162"/>
        <v>Codo de tubería</v>
      </c>
      <c r="C4176" s="72" t="str">
        <f>IFERROR(VLOOKUP("UD",'Informacion '!P:Q,2,FALSE),"")</f>
        <v>Unidad</v>
      </c>
      <c r="D4176" s="39">
        <v>50</v>
      </c>
      <c r="E4176" s="42">
        <v>12.6</v>
      </c>
      <c r="F4176" s="41">
        <f t="shared" ca="1" si="160"/>
        <v>630</v>
      </c>
    </row>
    <row r="4177" spans="1:6" ht="14.25" customHeight="1" x14ac:dyDescent="0.35">
      <c r="A4177" s="39" t="s">
        <v>12497</v>
      </c>
      <c r="B4177" s="40" t="str">
        <f t="shared" ca="1" si="162"/>
        <v>Codo de tubería</v>
      </c>
      <c r="C4177" s="72" t="str">
        <f>IFERROR(VLOOKUP("UD",'Informacion '!P:Q,2,FALSE),"")</f>
        <v>Unidad</v>
      </c>
      <c r="D4177" s="39">
        <v>30</v>
      </c>
      <c r="E4177" s="42">
        <v>3.3</v>
      </c>
      <c r="F4177" s="41">
        <f t="shared" ca="1" si="160"/>
        <v>99</v>
      </c>
    </row>
    <row r="4178" spans="1:6" ht="14.25" customHeight="1" x14ac:dyDescent="0.35">
      <c r="A4178" s="39" t="s">
        <v>12497</v>
      </c>
      <c r="B4178" s="40" t="str">
        <f t="shared" ca="1" si="162"/>
        <v>Codo de tubería</v>
      </c>
      <c r="C4178" s="72" t="str">
        <f>IFERROR(VLOOKUP("UD",'Informacion '!P:Q,2,FALSE),"")</f>
        <v>Unidad</v>
      </c>
      <c r="D4178" s="39">
        <v>50</v>
      </c>
      <c r="E4178" s="42">
        <v>4.13</v>
      </c>
      <c r="F4178" s="41">
        <f t="shared" ca="1" si="160"/>
        <v>206.5</v>
      </c>
    </row>
    <row r="4179" spans="1:6" ht="14.25" customHeight="1" x14ac:dyDescent="0.35">
      <c r="A4179" s="39" t="s">
        <v>12497</v>
      </c>
      <c r="B4179" s="40" t="str">
        <f t="shared" ca="1" si="162"/>
        <v>Codo de tubería</v>
      </c>
      <c r="C4179" s="72" t="str">
        <f>IFERROR(VLOOKUP("UD",'Informacion '!P:Q,2,FALSE),"")</f>
        <v>Unidad</v>
      </c>
      <c r="D4179" s="39">
        <v>50</v>
      </c>
      <c r="E4179" s="42">
        <v>11.2</v>
      </c>
      <c r="F4179" s="41">
        <f t="shared" ca="1" si="160"/>
        <v>560</v>
      </c>
    </row>
    <row r="4180" spans="1:6" ht="14.25" customHeight="1" x14ac:dyDescent="0.35">
      <c r="A4180" s="39" t="s">
        <v>12497</v>
      </c>
      <c r="B4180" s="40" t="str">
        <f t="shared" ca="1" si="162"/>
        <v>Codo de tubería</v>
      </c>
      <c r="C4180" s="72" t="str">
        <f>IFERROR(VLOOKUP("UD",'Informacion '!P:Q,2,FALSE),"")</f>
        <v>Unidad</v>
      </c>
      <c r="D4180" s="39">
        <v>30</v>
      </c>
      <c r="E4180" s="42">
        <v>6.5</v>
      </c>
      <c r="F4180" s="41">
        <f t="shared" ca="1" si="160"/>
        <v>195</v>
      </c>
    </row>
    <row r="4181" spans="1:6" ht="14.25" customHeight="1" x14ac:dyDescent="0.35">
      <c r="A4181" s="39" t="s">
        <v>12497</v>
      </c>
      <c r="B4181" s="40" t="str">
        <f t="shared" ca="1" si="162"/>
        <v>Codo de tubería</v>
      </c>
      <c r="C4181" s="72" t="str">
        <f>IFERROR(VLOOKUP("UD",'Informacion '!P:Q,2,FALSE),"")</f>
        <v>Unidad</v>
      </c>
      <c r="D4181" s="39">
        <v>30</v>
      </c>
      <c r="E4181" s="42">
        <v>18.75</v>
      </c>
      <c r="F4181" s="41">
        <f t="shared" ca="1" si="160"/>
        <v>562.5</v>
      </c>
    </row>
    <row r="4182" spans="1:6" ht="14.25" customHeight="1" x14ac:dyDescent="0.35">
      <c r="A4182" s="39" t="s">
        <v>12497</v>
      </c>
      <c r="B4182" s="40" t="str">
        <f t="shared" ca="1" si="162"/>
        <v>Codo de tubería</v>
      </c>
      <c r="C4182" s="72" t="str">
        <f>IFERROR(VLOOKUP("UD",'Informacion '!P:Q,2,FALSE),"")</f>
        <v>Unidad</v>
      </c>
      <c r="D4182" s="39">
        <v>36</v>
      </c>
      <c r="E4182" s="42">
        <v>16.7</v>
      </c>
      <c r="F4182" s="41">
        <f t="shared" ca="1" si="160"/>
        <v>601.19999999999993</v>
      </c>
    </row>
    <row r="4183" spans="1:6" ht="14.25" customHeight="1" x14ac:dyDescent="0.35">
      <c r="A4183" s="39" t="s">
        <v>12497</v>
      </c>
      <c r="B4183" s="40" t="str">
        <f t="shared" ca="1" si="162"/>
        <v>Codo de tubería</v>
      </c>
      <c r="C4183" s="72" t="str">
        <f>IFERROR(VLOOKUP("UD",'Informacion '!P:Q,2,FALSE),"")</f>
        <v>Unidad</v>
      </c>
      <c r="D4183" s="39">
        <v>24</v>
      </c>
      <c r="E4183" s="42">
        <v>46.79</v>
      </c>
      <c r="F4183" s="41">
        <f t="shared" ca="1" si="160"/>
        <v>1122.96</v>
      </c>
    </row>
    <row r="4184" spans="1:6" ht="14.25" customHeight="1" x14ac:dyDescent="0.35">
      <c r="A4184" s="39" t="s">
        <v>12497</v>
      </c>
      <c r="B4184" s="40" t="str">
        <f t="shared" ca="1" si="162"/>
        <v>Codo de tubería</v>
      </c>
      <c r="C4184" s="72" t="str">
        <f>IFERROR(VLOOKUP("UD",'Informacion '!P:Q,2,FALSE),"")</f>
        <v>Unidad</v>
      </c>
      <c r="D4184" s="39">
        <v>8</v>
      </c>
      <c r="E4184" s="42">
        <v>300</v>
      </c>
      <c r="F4184" s="41">
        <f t="shared" ref="F4184:F4201" ca="1" si="163">INDIRECT(ADDRESS(ROW(),COLUMN()-2,4))*INDIRECT(ADDRESS(ROW(),COLUMN()-1,4))</f>
        <v>2400</v>
      </c>
    </row>
    <row r="4185" spans="1:6" ht="14.25" customHeight="1" x14ac:dyDescent="0.35">
      <c r="A4185" s="39" t="s">
        <v>10929</v>
      </c>
      <c r="B4185" s="40" t="str">
        <f t="shared" ref="B4185:B4191" ca="1" si="164">IFERROR(INDEX(UNSPSCDes,MATCH(INDIRECT(ADDRESS(ROW(),COLUMN()-1,4)),UNSPSCCode,0)),IF(INDIRECT(ADDRESS(ROW(),COLUMN()-1,4))="40142318","Niples de tubería",""))</f>
        <v>Niples de tubería</v>
      </c>
      <c r="C4185" s="72" t="str">
        <f>IFERROR(VLOOKUP("UD",'Informacion '!P:Q,2,FALSE),"")</f>
        <v>Unidad</v>
      </c>
      <c r="D4185" s="39">
        <v>12</v>
      </c>
      <c r="E4185" s="42">
        <v>29.75</v>
      </c>
      <c r="F4185" s="41">
        <f t="shared" ca="1" si="163"/>
        <v>357</v>
      </c>
    </row>
    <row r="4186" spans="1:6" ht="14.25" customHeight="1" x14ac:dyDescent="0.35">
      <c r="A4186" s="39" t="s">
        <v>10929</v>
      </c>
      <c r="B4186" s="40" t="str">
        <f t="shared" ca="1" si="164"/>
        <v>Niples de tubería</v>
      </c>
      <c r="C4186" s="72" t="str">
        <f>IFERROR(VLOOKUP("UD",'Informacion '!P:Q,2,FALSE),"")</f>
        <v>Unidad</v>
      </c>
      <c r="D4186" s="39">
        <v>24</v>
      </c>
      <c r="E4186" s="42">
        <v>205</v>
      </c>
      <c r="F4186" s="41">
        <f t="shared" ca="1" si="163"/>
        <v>4920</v>
      </c>
    </row>
    <row r="4187" spans="1:6" ht="14.25" customHeight="1" x14ac:dyDescent="0.35">
      <c r="A4187" s="39" t="s">
        <v>10929</v>
      </c>
      <c r="B4187" s="40" t="str">
        <f t="shared" ca="1" si="164"/>
        <v>Niples de tubería</v>
      </c>
      <c r="C4187" s="72" t="str">
        <f>IFERROR(VLOOKUP("UD",'Informacion '!P:Q,2,FALSE),"")</f>
        <v>Unidad</v>
      </c>
      <c r="D4187" s="39">
        <v>20</v>
      </c>
      <c r="E4187" s="42">
        <v>60</v>
      </c>
      <c r="F4187" s="41">
        <f t="shared" ca="1" si="163"/>
        <v>1200</v>
      </c>
    </row>
    <row r="4188" spans="1:6" ht="14.25" customHeight="1" x14ac:dyDescent="0.35">
      <c r="A4188" s="39" t="s">
        <v>10929</v>
      </c>
      <c r="B4188" s="40" t="str">
        <f t="shared" ca="1" si="164"/>
        <v>Niples de tubería</v>
      </c>
      <c r="C4188" s="72" t="str">
        <f>IFERROR(VLOOKUP("UD",'Informacion '!P:Q,2,FALSE),"")</f>
        <v>Unidad</v>
      </c>
      <c r="D4188" s="39">
        <v>10</v>
      </c>
      <c r="E4188" s="42">
        <v>100</v>
      </c>
      <c r="F4188" s="41">
        <f t="shared" ca="1" si="163"/>
        <v>1000</v>
      </c>
    </row>
    <row r="4189" spans="1:6" ht="14.25" customHeight="1" x14ac:dyDescent="0.35">
      <c r="A4189" s="39" t="s">
        <v>10929</v>
      </c>
      <c r="B4189" s="40" t="str">
        <f t="shared" ca="1" si="164"/>
        <v>Niples de tubería</v>
      </c>
      <c r="C4189" s="72" t="str">
        <f>IFERROR(VLOOKUP("UD",'Informacion '!P:Q,2,FALSE),"")</f>
        <v>Unidad</v>
      </c>
      <c r="D4189" s="39">
        <v>12</v>
      </c>
      <c r="E4189" s="42">
        <v>300</v>
      </c>
      <c r="F4189" s="41">
        <f t="shared" ca="1" si="163"/>
        <v>3600</v>
      </c>
    </row>
    <row r="4190" spans="1:6" ht="14.25" customHeight="1" x14ac:dyDescent="0.35">
      <c r="A4190" s="39" t="s">
        <v>10929</v>
      </c>
      <c r="B4190" s="40" t="str">
        <f t="shared" ca="1" si="164"/>
        <v>Niples de tubería</v>
      </c>
      <c r="C4190" s="72" t="str">
        <f>IFERROR(VLOOKUP("UD",'Informacion '!P:Q,2,FALSE),"")</f>
        <v>Unidad</v>
      </c>
      <c r="D4190" s="39">
        <v>10</v>
      </c>
      <c r="E4190" s="42">
        <v>250</v>
      </c>
      <c r="F4190" s="41">
        <f t="shared" ca="1" si="163"/>
        <v>2500</v>
      </c>
    </row>
    <row r="4191" spans="1:6" ht="14.25" customHeight="1" x14ac:dyDescent="0.35">
      <c r="A4191" s="39" t="s">
        <v>10929</v>
      </c>
      <c r="B4191" s="40" t="str">
        <f t="shared" ca="1" si="164"/>
        <v>Niples de tubería</v>
      </c>
      <c r="C4191" s="72" t="str">
        <f>IFERROR(VLOOKUP("UD",'Informacion '!P:Q,2,FALSE),"")</f>
        <v>Unidad</v>
      </c>
      <c r="D4191" s="39">
        <v>10</v>
      </c>
      <c r="E4191" s="42">
        <v>400</v>
      </c>
      <c r="F4191" s="41">
        <f t="shared" ca="1" si="163"/>
        <v>4000</v>
      </c>
    </row>
    <row r="4192" spans="1:6" ht="14.25" customHeight="1" x14ac:dyDescent="0.35">
      <c r="A4192" s="39" t="s">
        <v>5616</v>
      </c>
      <c r="B4192" s="40" t="str">
        <f t="shared" ref="B4192:B4201" ca="1" si="165">IFERROR(INDEX(UNSPSCDes,MATCH(INDIRECT(ADDRESS(ROW(),COLUMN()-1,4)),UNSPSCCode,0)),IF(INDIRECT(ADDRESS(ROW(),COLUMN()-1,4))="40142613","Conectores de tubo",""))</f>
        <v>Conectores de tubo</v>
      </c>
      <c r="C4192" s="72" t="str">
        <f>IFERROR(VLOOKUP("UD",'Informacion '!P:Q,2,FALSE),"")</f>
        <v>Unidad</v>
      </c>
      <c r="D4192" s="39">
        <v>2000</v>
      </c>
      <c r="E4192" s="42">
        <v>31.86</v>
      </c>
      <c r="F4192" s="41">
        <f t="shared" ca="1" si="163"/>
        <v>63720</v>
      </c>
    </row>
    <row r="4193" spans="1:10" ht="14.25" customHeight="1" x14ac:dyDescent="0.35">
      <c r="A4193" s="39" t="s">
        <v>5616</v>
      </c>
      <c r="B4193" s="40" t="str">
        <f t="shared" ca="1" si="165"/>
        <v>Conectores de tubo</v>
      </c>
      <c r="C4193" s="72" t="str">
        <f>IFERROR(VLOOKUP("UD",'Informacion '!P:Q,2,FALSE),"")</f>
        <v>Unidad</v>
      </c>
      <c r="D4193" s="39">
        <v>2000</v>
      </c>
      <c r="E4193" s="42">
        <v>44.55</v>
      </c>
      <c r="F4193" s="41">
        <f t="shared" ca="1" si="163"/>
        <v>89100</v>
      </c>
    </row>
    <row r="4194" spans="1:10" ht="14.25" customHeight="1" x14ac:dyDescent="0.35">
      <c r="A4194" s="39" t="s">
        <v>5616</v>
      </c>
      <c r="B4194" s="40" t="str">
        <f t="shared" ca="1" si="165"/>
        <v>Conectores de tubo</v>
      </c>
      <c r="C4194" s="72" t="str">
        <f>IFERROR(VLOOKUP("UD",'Informacion '!P:Q,2,FALSE),"")</f>
        <v>Unidad</v>
      </c>
      <c r="D4194" s="39">
        <v>2000</v>
      </c>
      <c r="E4194" s="42">
        <v>31.86</v>
      </c>
      <c r="F4194" s="41">
        <f t="shared" ca="1" si="163"/>
        <v>63720</v>
      </c>
    </row>
    <row r="4195" spans="1:10" ht="14.25" customHeight="1" x14ac:dyDescent="0.35">
      <c r="A4195" s="39" t="s">
        <v>5616</v>
      </c>
      <c r="B4195" s="40" t="str">
        <f t="shared" ca="1" si="165"/>
        <v>Conectores de tubo</v>
      </c>
      <c r="C4195" s="72" t="str">
        <f>IFERROR(VLOOKUP("UD",'Informacion '!P:Q,2,FALSE),"")</f>
        <v>Unidad</v>
      </c>
      <c r="D4195" s="39">
        <v>2000</v>
      </c>
      <c r="E4195" s="42">
        <v>44.55</v>
      </c>
      <c r="F4195" s="41">
        <f t="shared" ca="1" si="163"/>
        <v>89100</v>
      </c>
    </row>
    <row r="4196" spans="1:10" ht="14.25" customHeight="1" x14ac:dyDescent="0.35">
      <c r="A4196" s="39" t="s">
        <v>5616</v>
      </c>
      <c r="B4196" s="40" t="str">
        <f t="shared" ca="1" si="165"/>
        <v>Conectores de tubo</v>
      </c>
      <c r="C4196" s="72" t="str">
        <f>IFERROR(VLOOKUP("UD",'Informacion '!P:Q,2,FALSE),"")</f>
        <v>Unidad</v>
      </c>
      <c r="D4196" s="39">
        <v>2000</v>
      </c>
      <c r="E4196" s="42">
        <v>31.86</v>
      </c>
      <c r="F4196" s="41">
        <f t="shared" ca="1" si="163"/>
        <v>63720</v>
      </c>
    </row>
    <row r="4197" spans="1:10" ht="14.25" customHeight="1" x14ac:dyDescent="0.35">
      <c r="A4197" s="39" t="s">
        <v>5616</v>
      </c>
      <c r="B4197" s="40" t="str">
        <f t="shared" ca="1" si="165"/>
        <v>Conectores de tubo</v>
      </c>
      <c r="C4197" s="72" t="str">
        <f>IFERROR(VLOOKUP("UD",'Informacion '!P:Q,2,FALSE),"")</f>
        <v>Unidad</v>
      </c>
      <c r="D4197" s="39">
        <v>2000</v>
      </c>
      <c r="E4197" s="42">
        <v>44.55</v>
      </c>
      <c r="F4197" s="41">
        <f t="shared" ca="1" si="163"/>
        <v>89100</v>
      </c>
    </row>
    <row r="4198" spans="1:10" ht="14.25" customHeight="1" x14ac:dyDescent="0.35">
      <c r="A4198" s="39" t="s">
        <v>5616</v>
      </c>
      <c r="B4198" s="40" t="str">
        <f t="shared" ca="1" si="165"/>
        <v>Conectores de tubo</v>
      </c>
      <c r="C4198" s="72" t="str">
        <f>IFERROR(VLOOKUP("UD",'Informacion '!P:Q,2,FALSE),"")</f>
        <v>Unidad</v>
      </c>
      <c r="D4198" s="39">
        <v>2900</v>
      </c>
      <c r="E4198" s="42">
        <v>31.86</v>
      </c>
      <c r="F4198" s="41">
        <f t="shared" ca="1" si="163"/>
        <v>92394</v>
      </c>
    </row>
    <row r="4199" spans="1:10" ht="14.25" customHeight="1" x14ac:dyDescent="0.35">
      <c r="A4199" s="39" t="s">
        <v>5616</v>
      </c>
      <c r="B4199" s="40" t="str">
        <f t="shared" ca="1" si="165"/>
        <v>Conectores de tubo</v>
      </c>
      <c r="C4199" s="72" t="str">
        <f>IFERROR(VLOOKUP("UD",'Informacion '!P:Q,2,FALSE),"")</f>
        <v>Unidad</v>
      </c>
      <c r="D4199" s="39">
        <v>2900</v>
      </c>
      <c r="E4199" s="42">
        <v>44.55</v>
      </c>
      <c r="F4199" s="41">
        <f t="shared" ca="1" si="163"/>
        <v>129194.99999999999</v>
      </c>
    </row>
    <row r="4200" spans="1:10" ht="14.25" customHeight="1" x14ac:dyDescent="0.35">
      <c r="A4200" s="39" t="s">
        <v>5616</v>
      </c>
      <c r="B4200" s="40" t="str">
        <f t="shared" ca="1" si="165"/>
        <v>Conectores de tubo</v>
      </c>
      <c r="C4200" s="72" t="str">
        <f>IFERROR(VLOOKUP("UD",'Informacion '!P:Q,2,FALSE),"")</f>
        <v>Unidad</v>
      </c>
      <c r="D4200" s="39">
        <v>4000</v>
      </c>
      <c r="E4200" s="42">
        <v>31.86</v>
      </c>
      <c r="F4200" s="41">
        <f t="shared" ca="1" si="163"/>
        <v>127440</v>
      </c>
    </row>
    <row r="4201" spans="1:10" ht="14.25" customHeight="1" x14ac:dyDescent="0.35">
      <c r="A4201" s="39" t="s">
        <v>5616</v>
      </c>
      <c r="B4201" s="40" t="str">
        <f t="shared" ca="1" si="165"/>
        <v>Conectores de tubo</v>
      </c>
      <c r="C4201" s="72" t="str">
        <f>IFERROR(VLOOKUP("UD",'Informacion '!P:Q,2,FALSE),"")</f>
        <v>Unidad</v>
      </c>
      <c r="D4201" s="39">
        <v>4000</v>
      </c>
      <c r="E4201" s="42">
        <v>44.55</v>
      </c>
      <c r="F4201" s="41">
        <f t="shared" ca="1" si="163"/>
        <v>178200</v>
      </c>
    </row>
    <row r="4202" spans="1:10" ht="14.25" customHeight="1" x14ac:dyDescent="0.35">
      <c r="E4202" s="44" t="s">
        <v>13122</v>
      </c>
      <c r="F4202" s="45">
        <f ca="1">SUM(Table218[MONTO TOTAL ESTIMADO])</f>
        <v>1295459.05</v>
      </c>
      <c r="H4202" s="24" t="str">
        <f>C4145</f>
        <v>Bienes</v>
      </c>
      <c r="I4202" s="24" t="str">
        <f>E4145</f>
        <v>Sí</v>
      </c>
      <c r="J4202" s="24" t="str">
        <f>D4145</f>
        <v>Comparacion de Precios</v>
      </c>
    </row>
    <row r="4204" spans="1:10" ht="34" customHeight="1" x14ac:dyDescent="0.35">
      <c r="A4204" s="36" t="s">
        <v>17105</v>
      </c>
      <c r="B4204" s="36" t="s">
        <v>167</v>
      </c>
      <c r="C4204" s="36" t="s">
        <v>12252</v>
      </c>
      <c r="D4204" s="36" t="s">
        <v>15021</v>
      </c>
      <c r="E4204" s="36" t="s">
        <v>11455</v>
      </c>
      <c r="F4204" s="36" t="s">
        <v>11595</v>
      </c>
    </row>
    <row r="4205" spans="1:10" ht="14.25" customHeight="1" x14ac:dyDescent="0.35">
      <c r="A4205" s="37" t="s">
        <v>12033</v>
      </c>
      <c r="B4205" s="37" t="s">
        <v>12033</v>
      </c>
      <c r="C4205" s="37" t="s">
        <v>18585</v>
      </c>
      <c r="D4205" s="37" t="s">
        <v>1950</v>
      </c>
      <c r="E4205" s="37" t="s">
        <v>9261</v>
      </c>
      <c r="F4205" s="37" t="s">
        <v>7088</v>
      </c>
    </row>
    <row r="4206" spans="1:10" ht="14.25" customHeight="1" x14ac:dyDescent="0.35">
      <c r="A4206" s="75" t="s">
        <v>15490</v>
      </c>
      <c r="B4206" s="38" t="s">
        <v>8918</v>
      </c>
      <c r="C4206" s="68">
        <v>45383</v>
      </c>
      <c r="D4206" s="75" t="s">
        <v>9819</v>
      </c>
      <c r="E4206" s="70" t="s">
        <v>13683</v>
      </c>
      <c r="F4206" s="71" t="s">
        <v>3205</v>
      </c>
    </row>
    <row r="4207" spans="1:10" ht="14.25" customHeight="1" x14ac:dyDescent="0.35">
      <c r="A4207" s="76"/>
      <c r="B4207" s="38" t="s">
        <v>1858</v>
      </c>
      <c r="C4207" s="69">
        <f>IF(C4206="","",IF(AND(MONTH(C4206)&gt;=1,MONTH(C4206)&lt;=3),1,IF(AND(MONTH(C4206)&gt;=4,MONTH(C4206)&lt;=6),2,IF(AND(MONTH(C4206)&gt;=7,MONTH(C4206)&lt;=9),3,4))))</f>
        <v>2</v>
      </c>
      <c r="D4207" s="76"/>
      <c r="E4207" s="70" t="s">
        <v>2509</v>
      </c>
      <c r="F4207" s="71" t="s">
        <v>11612</v>
      </c>
    </row>
    <row r="4208" spans="1:10" ht="14.25" customHeight="1" x14ac:dyDescent="0.35">
      <c r="A4208" s="76"/>
      <c r="B4208" s="38" t="s">
        <v>13526</v>
      </c>
      <c r="C4208" s="68">
        <v>45471</v>
      </c>
      <c r="D4208" s="76"/>
      <c r="E4208" s="70" t="s">
        <v>3198</v>
      </c>
      <c r="F4208" s="71" t="s">
        <v>11612</v>
      </c>
    </row>
    <row r="4209" spans="1:10" ht="14.25" customHeight="1" x14ac:dyDescent="0.35">
      <c r="A4209" s="76"/>
      <c r="B4209" s="38" t="s">
        <v>1858</v>
      </c>
      <c r="C4209" s="69">
        <f>IF(C4208="","",IF(AND(MONTH(C4208)&gt;=1,MONTH(C4208)&lt;=3),1,IF(AND(MONTH(C4208)&gt;=4,MONTH(C4208)&lt;=6),2,IF(AND(MONTH(C4208)&gt;=7,MONTH(C4208)&lt;=9),3,4))))</f>
        <v>2</v>
      </c>
      <c r="D4209" s="76"/>
      <c r="E4209" s="70" t="s">
        <v>13785</v>
      </c>
      <c r="F4209" s="71"/>
    </row>
    <row r="4211" spans="1:10" ht="14.25" customHeight="1" x14ac:dyDescent="0.35">
      <c r="A4211" s="43" t="s">
        <v>16424</v>
      </c>
      <c r="B4211" s="43" t="s">
        <v>16856</v>
      </c>
      <c r="C4211" s="43" t="s">
        <v>16326</v>
      </c>
      <c r="D4211" s="43" t="s">
        <v>15925</v>
      </c>
      <c r="E4211" s="43" t="s">
        <v>7248</v>
      </c>
      <c r="F4211" s="43" t="s">
        <v>15955</v>
      </c>
    </row>
    <row r="4212" spans="1:10" ht="14.25" customHeight="1" x14ac:dyDescent="0.35">
      <c r="A4212" s="39" t="s">
        <v>12952</v>
      </c>
      <c r="B4212" s="40" t="str">
        <f ca="1">IFERROR(INDEX(UNSPSCDes,MATCH(INDIRECT(ADDRESS(ROW(),COLUMN()-1,4)),UNSPSCCode,0)),IF(INDIRECT(ADDRESS(ROW(),COLUMN()-1,4))="40141636","Kits de válvulas",""))</f>
        <v>Kits de válvulas</v>
      </c>
      <c r="C4212" s="72" t="str">
        <f>IFERROR(VLOOKUP("UD",'Informacion '!P:Q,2,FALSE),"")</f>
        <v>Unidad</v>
      </c>
      <c r="D4212" s="39">
        <v>500</v>
      </c>
      <c r="E4212" s="42">
        <v>1000</v>
      </c>
      <c r="F4212" s="41">
        <f ca="1">INDIRECT(ADDRESS(ROW(),COLUMN()-2,4))*INDIRECT(ADDRESS(ROW(),COLUMN()-1,4))</f>
        <v>500000</v>
      </c>
    </row>
    <row r="4213" spans="1:10" ht="14.25" customHeight="1" x14ac:dyDescent="0.35">
      <c r="A4213" s="39" t="s">
        <v>950</v>
      </c>
      <c r="B4213" s="40" t="str">
        <f ca="1">IFERROR(INDEX(UNSPSCDes,MATCH(INDIRECT(ADDRESS(ROW(),COLUMN()-1,4)),UNSPSCCode,0)),IF(INDIRECT(ADDRESS(ROW(),COLUMN()-1,4))="40142323","Disco de ruptura",""))</f>
        <v>Disco de ruptura</v>
      </c>
      <c r="C4213" s="72" t="str">
        <f>IFERROR(VLOOKUP("UD",'Informacion '!P:Q,2,FALSE),"")</f>
        <v>Unidad</v>
      </c>
      <c r="D4213" s="39">
        <v>4</v>
      </c>
      <c r="E4213" s="42">
        <v>2950</v>
      </c>
      <c r="F4213" s="41">
        <f ca="1">INDIRECT(ADDRESS(ROW(),COLUMN()-2,4))*INDIRECT(ADDRESS(ROW(),COLUMN()-1,4))</f>
        <v>11800</v>
      </c>
    </row>
    <row r="4214" spans="1:10" ht="14.25" customHeight="1" x14ac:dyDescent="0.35">
      <c r="E4214" s="44" t="s">
        <v>13122</v>
      </c>
      <c r="F4214" s="45">
        <f ca="1">SUM(Table219[MONTO TOTAL ESTIMADO])</f>
        <v>511800</v>
      </c>
      <c r="H4214" s="24" t="str">
        <f>C4205</f>
        <v>Bienes</v>
      </c>
      <c r="I4214" s="24" t="str">
        <f>E4205</f>
        <v>Sí</v>
      </c>
      <c r="J4214" s="24" t="str">
        <f>D4205</f>
        <v>Comparacion de Precios</v>
      </c>
    </row>
    <row r="4216" spans="1:10" ht="34" customHeight="1" x14ac:dyDescent="0.35">
      <c r="A4216" s="36" t="s">
        <v>17105</v>
      </c>
      <c r="B4216" s="36" t="s">
        <v>167</v>
      </c>
      <c r="C4216" s="36" t="s">
        <v>12252</v>
      </c>
      <c r="D4216" s="36" t="s">
        <v>15021</v>
      </c>
      <c r="E4216" s="36" t="s">
        <v>11455</v>
      </c>
      <c r="F4216" s="36" t="s">
        <v>11595</v>
      </c>
    </row>
    <row r="4217" spans="1:10" ht="14.25" customHeight="1" x14ac:dyDescent="0.35">
      <c r="A4217" s="37" t="s">
        <v>12033</v>
      </c>
      <c r="B4217" s="37" t="s">
        <v>12033</v>
      </c>
      <c r="C4217" s="37" t="s">
        <v>18585</v>
      </c>
      <c r="D4217" s="37" t="s">
        <v>1950</v>
      </c>
      <c r="E4217" s="37" t="s">
        <v>9261</v>
      </c>
      <c r="F4217" s="37" t="s">
        <v>7088</v>
      </c>
    </row>
    <row r="4218" spans="1:10" ht="14.25" customHeight="1" x14ac:dyDescent="0.35">
      <c r="A4218" s="75" t="s">
        <v>15490</v>
      </c>
      <c r="B4218" s="38" t="s">
        <v>8918</v>
      </c>
      <c r="C4218" s="68">
        <v>45474</v>
      </c>
      <c r="D4218" s="75" t="s">
        <v>9819</v>
      </c>
      <c r="E4218" s="70" t="s">
        <v>13683</v>
      </c>
      <c r="F4218" s="71" t="s">
        <v>3205</v>
      </c>
    </row>
    <row r="4219" spans="1:10" ht="14.25" customHeight="1" x14ac:dyDescent="0.35">
      <c r="A4219" s="76"/>
      <c r="B4219" s="38" t="s">
        <v>1858</v>
      </c>
      <c r="C4219" s="69">
        <f>IF(C4218="","",IF(AND(MONTH(C4218)&gt;=1,MONTH(C4218)&lt;=3),1,IF(AND(MONTH(C4218)&gt;=4,MONTH(C4218)&lt;=6),2,IF(AND(MONTH(C4218)&gt;=7,MONTH(C4218)&lt;=9),3,4))))</f>
        <v>3</v>
      </c>
      <c r="D4219" s="76"/>
      <c r="E4219" s="70" t="s">
        <v>2509</v>
      </c>
      <c r="F4219" s="71" t="s">
        <v>11612</v>
      </c>
    </row>
    <row r="4220" spans="1:10" ht="14.25" customHeight="1" x14ac:dyDescent="0.35">
      <c r="A4220" s="76"/>
      <c r="B4220" s="38" t="s">
        <v>13526</v>
      </c>
      <c r="C4220" s="68">
        <v>45565</v>
      </c>
      <c r="D4220" s="76"/>
      <c r="E4220" s="70" t="s">
        <v>3198</v>
      </c>
      <c r="F4220" s="71" t="s">
        <v>11612</v>
      </c>
    </row>
    <row r="4221" spans="1:10" ht="14.25" customHeight="1" x14ac:dyDescent="0.35">
      <c r="A4221" s="76"/>
      <c r="B4221" s="38" t="s">
        <v>1858</v>
      </c>
      <c r="C4221" s="69">
        <f>IF(C4220="","",IF(AND(MONTH(C4220)&gt;=1,MONTH(C4220)&lt;=3),1,IF(AND(MONTH(C4220)&gt;=4,MONTH(C4220)&lt;=6),2,IF(AND(MONTH(C4220)&gt;=7,MONTH(C4220)&lt;=9),3,4))))</f>
        <v>3</v>
      </c>
      <c r="D4221" s="76"/>
      <c r="E4221" s="70" t="s">
        <v>13785</v>
      </c>
      <c r="F4221" s="71"/>
    </row>
    <row r="4223" spans="1:10" ht="14.25" customHeight="1" x14ac:dyDescent="0.35">
      <c r="A4223" s="43" t="s">
        <v>16424</v>
      </c>
      <c r="B4223" s="43" t="s">
        <v>16856</v>
      </c>
      <c r="C4223" s="43" t="s">
        <v>16326</v>
      </c>
      <c r="D4223" s="43" t="s">
        <v>15925</v>
      </c>
      <c r="E4223" s="43" t="s">
        <v>7248</v>
      </c>
      <c r="F4223" s="43" t="s">
        <v>15955</v>
      </c>
    </row>
    <row r="4224" spans="1:10" ht="14.25" customHeight="1" x14ac:dyDescent="0.35">
      <c r="A4224" s="39" t="s">
        <v>12952</v>
      </c>
      <c r="B4224" s="40" t="str">
        <f ca="1">IFERROR(INDEX(UNSPSCDes,MATCH(INDIRECT(ADDRESS(ROW(),COLUMN()-1,4)),UNSPSCCode,0)),IF(INDIRECT(ADDRESS(ROW(),COLUMN()-1,4))="40141636","Kits de válvulas",""))</f>
        <v>Kits de válvulas</v>
      </c>
      <c r="C4224" s="72" t="str">
        <f>IFERROR(VLOOKUP("UD",'Informacion '!P:Q,2,FALSE),"")</f>
        <v>Unidad</v>
      </c>
      <c r="D4224" s="39">
        <v>500</v>
      </c>
      <c r="E4224" s="42">
        <v>1000</v>
      </c>
      <c r="F4224" s="41">
        <f ca="1">INDIRECT(ADDRESS(ROW(),COLUMN()-2,4))*INDIRECT(ADDRESS(ROW(),COLUMN()-1,4))</f>
        <v>500000</v>
      </c>
    </row>
    <row r="4225" spans="1:10" ht="14.25" customHeight="1" x14ac:dyDescent="0.35">
      <c r="A4225" s="39" t="s">
        <v>5484</v>
      </c>
      <c r="B4225" s="40" t="str">
        <f ca="1">IFERROR(INDEX(UNSPSCDes,MATCH(INDIRECT(ADDRESS(ROW(),COLUMN()-1,4)),UNSPSCCode,0)),IF(INDIRECT(ADDRESS(ROW(),COLUMN()-1,4))="40142324","Cajas de conexiones de tuberías",""))</f>
        <v>Cajas de conexiones de tuberías</v>
      </c>
      <c r="C4225" s="72" t="str">
        <f>IFERROR(VLOOKUP("UD",'Informacion '!P:Q,2,FALSE),"")</f>
        <v>Unidad</v>
      </c>
      <c r="D4225" s="39">
        <v>2</v>
      </c>
      <c r="E4225" s="42">
        <v>2011.44</v>
      </c>
      <c r="F4225" s="41">
        <f ca="1">INDIRECT(ADDRESS(ROW(),COLUMN()-2,4))*INDIRECT(ADDRESS(ROW(),COLUMN()-1,4))</f>
        <v>4022.88</v>
      </c>
    </row>
    <row r="4226" spans="1:10" ht="14.25" customHeight="1" x14ac:dyDescent="0.35">
      <c r="E4226" s="44" t="s">
        <v>13122</v>
      </c>
      <c r="F4226" s="45">
        <f ca="1">SUM(Table220[MONTO TOTAL ESTIMADO])</f>
        <v>504022.88</v>
      </c>
      <c r="H4226" s="24" t="str">
        <f>C4217</f>
        <v>Bienes</v>
      </c>
      <c r="I4226" s="24" t="str">
        <f>E4217</f>
        <v>Sí</v>
      </c>
      <c r="J4226" s="24" t="str">
        <f>D4217</f>
        <v>Comparacion de Precios</v>
      </c>
    </row>
    <row r="4228" spans="1:10" ht="34" customHeight="1" x14ac:dyDescent="0.35">
      <c r="A4228" s="36" t="s">
        <v>17105</v>
      </c>
      <c r="B4228" s="36" t="s">
        <v>167</v>
      </c>
      <c r="C4228" s="36" t="s">
        <v>12252</v>
      </c>
      <c r="D4228" s="36" t="s">
        <v>15021</v>
      </c>
      <c r="E4228" s="36" t="s">
        <v>11455</v>
      </c>
      <c r="F4228" s="36" t="s">
        <v>11595</v>
      </c>
    </row>
    <row r="4229" spans="1:10" ht="14.25" customHeight="1" x14ac:dyDescent="0.35">
      <c r="A4229" s="37" t="s">
        <v>8269</v>
      </c>
      <c r="B4229" s="37" t="s">
        <v>8269</v>
      </c>
      <c r="C4229" s="37" t="s">
        <v>18585</v>
      </c>
      <c r="D4229" s="37" t="s">
        <v>10634</v>
      </c>
      <c r="E4229" s="37" t="s">
        <v>9261</v>
      </c>
      <c r="F4229" s="37" t="s">
        <v>7088</v>
      </c>
    </row>
    <row r="4230" spans="1:10" ht="14.25" customHeight="1" x14ac:dyDescent="0.35">
      <c r="A4230" s="75" t="s">
        <v>15490</v>
      </c>
      <c r="B4230" s="38" t="s">
        <v>8918</v>
      </c>
      <c r="C4230" s="68">
        <v>45334</v>
      </c>
      <c r="D4230" s="75" t="s">
        <v>9819</v>
      </c>
      <c r="E4230" s="70" t="s">
        <v>13683</v>
      </c>
      <c r="F4230" s="71" t="s">
        <v>3205</v>
      </c>
    </row>
    <row r="4231" spans="1:10" ht="14.25" customHeight="1" x14ac:dyDescent="0.35">
      <c r="A4231" s="76"/>
      <c r="B4231" s="38" t="s">
        <v>1858</v>
      </c>
      <c r="C4231" s="69">
        <f>IF(C4230="","",IF(AND(MONTH(C4230)&gt;=1,MONTH(C4230)&lt;=3),1,IF(AND(MONTH(C4230)&gt;=4,MONTH(C4230)&lt;=6),2,IF(AND(MONTH(C4230)&gt;=7,MONTH(C4230)&lt;=9),3,4))))</f>
        <v>1</v>
      </c>
      <c r="D4231" s="76"/>
      <c r="E4231" s="70" t="s">
        <v>2509</v>
      </c>
      <c r="F4231" s="71" t="s">
        <v>11612</v>
      </c>
    </row>
    <row r="4232" spans="1:10" ht="14.25" customHeight="1" x14ac:dyDescent="0.35">
      <c r="A4232" s="76"/>
      <c r="B4232" s="38" t="s">
        <v>13526</v>
      </c>
      <c r="C4232" s="68">
        <v>45378</v>
      </c>
      <c r="D4232" s="76"/>
      <c r="E4232" s="70" t="s">
        <v>3198</v>
      </c>
      <c r="F4232" s="71" t="s">
        <v>11612</v>
      </c>
    </row>
    <row r="4233" spans="1:10" ht="14.25" customHeight="1" x14ac:dyDescent="0.35">
      <c r="A4233" s="76"/>
      <c r="B4233" s="38" t="s">
        <v>1858</v>
      </c>
      <c r="C4233" s="69">
        <f>IF(C4232="","",IF(AND(MONTH(C4232)&gt;=1,MONTH(C4232)&lt;=3),1,IF(AND(MONTH(C4232)&gt;=4,MONTH(C4232)&lt;=6),2,IF(AND(MONTH(C4232)&gt;=7,MONTH(C4232)&lt;=9),3,4))))</f>
        <v>1</v>
      </c>
      <c r="D4233" s="76"/>
      <c r="E4233" s="70" t="s">
        <v>13785</v>
      </c>
      <c r="F4233" s="71"/>
    </row>
    <row r="4235" spans="1:10" ht="14.25" customHeight="1" x14ac:dyDescent="0.35">
      <c r="A4235" s="43" t="s">
        <v>16424</v>
      </c>
      <c r="B4235" s="43" t="s">
        <v>16856</v>
      </c>
      <c r="C4235" s="43" t="s">
        <v>16326</v>
      </c>
      <c r="D4235" s="43" t="s">
        <v>15925</v>
      </c>
      <c r="E4235" s="43" t="s">
        <v>7248</v>
      </c>
      <c r="F4235" s="43" t="s">
        <v>15955</v>
      </c>
    </row>
    <row r="4236" spans="1:10" ht="14.25" customHeight="1" x14ac:dyDescent="0.35">
      <c r="A4236" s="39" t="s">
        <v>14264</v>
      </c>
      <c r="B4236" s="40" t="str">
        <f ca="1">IFERROR(INDEX(UNSPSCDes,MATCH(INDIRECT(ADDRESS(ROW(),COLUMN()-1,4)),UNSPSCCode,0)),IF(INDIRECT(ADDRESS(ROW(),COLUMN()-1,4))="40151601","Compresores de aire",""))</f>
        <v>Compresores de aire</v>
      </c>
      <c r="C4236" s="72" t="str">
        <f>IFERROR(VLOOKUP("UD",'Informacion '!P:Q,2,FALSE),"")</f>
        <v>Unidad</v>
      </c>
      <c r="D4236" s="39">
        <v>1</v>
      </c>
      <c r="E4236" s="42">
        <v>12000</v>
      </c>
      <c r="F4236" s="41">
        <f ca="1">INDIRECT(ADDRESS(ROW(),COLUMN()-2,4))*INDIRECT(ADDRESS(ROW(),COLUMN()-1,4))</f>
        <v>12000</v>
      </c>
    </row>
    <row r="4237" spans="1:10" ht="14.25" customHeight="1" x14ac:dyDescent="0.35">
      <c r="E4237" s="44" t="s">
        <v>13122</v>
      </c>
      <c r="F4237" s="45">
        <f ca="1">SUM(Table221[MONTO TOTAL ESTIMADO])</f>
        <v>12000</v>
      </c>
      <c r="H4237" s="24" t="str">
        <f>C4229</f>
        <v>Bienes</v>
      </c>
      <c r="I4237" s="24" t="str">
        <f>E4229</f>
        <v>Sí</v>
      </c>
      <c r="J4237" s="24" t="str">
        <f>D4229</f>
        <v>Compras por debajo del Umbral</v>
      </c>
    </row>
    <row r="4239" spans="1:10" ht="34" customHeight="1" x14ac:dyDescent="0.35">
      <c r="A4239" s="36" t="s">
        <v>17105</v>
      </c>
      <c r="B4239" s="36" t="s">
        <v>167</v>
      </c>
      <c r="C4239" s="36" t="s">
        <v>12252</v>
      </c>
      <c r="D4239" s="36" t="s">
        <v>15021</v>
      </c>
      <c r="E4239" s="36" t="s">
        <v>11455</v>
      </c>
      <c r="F4239" s="36" t="s">
        <v>11595</v>
      </c>
    </row>
    <row r="4240" spans="1:10" ht="14.25" customHeight="1" x14ac:dyDescent="0.35">
      <c r="A4240" s="37" t="s">
        <v>9209</v>
      </c>
      <c r="B4240" s="37" t="s">
        <v>9209</v>
      </c>
      <c r="C4240" s="37" t="s">
        <v>18585</v>
      </c>
      <c r="D4240" s="37" t="s">
        <v>10634</v>
      </c>
      <c r="E4240" s="37" t="s">
        <v>9261</v>
      </c>
      <c r="F4240" s="37" t="s">
        <v>7088</v>
      </c>
    </row>
    <row r="4241" spans="1:10" ht="14.25" customHeight="1" x14ac:dyDescent="0.35">
      <c r="A4241" s="75" t="s">
        <v>15490</v>
      </c>
      <c r="B4241" s="38" t="s">
        <v>8918</v>
      </c>
      <c r="C4241" s="68">
        <v>45383</v>
      </c>
      <c r="D4241" s="75" t="s">
        <v>9819</v>
      </c>
      <c r="E4241" s="70" t="s">
        <v>13683</v>
      </c>
      <c r="F4241" s="71" t="s">
        <v>3205</v>
      </c>
    </row>
    <row r="4242" spans="1:10" ht="14.25" customHeight="1" x14ac:dyDescent="0.35">
      <c r="A4242" s="76"/>
      <c r="B4242" s="38" t="s">
        <v>1858</v>
      </c>
      <c r="C4242" s="69">
        <f>IF(C4241="","",IF(AND(MONTH(C4241)&gt;=1,MONTH(C4241)&lt;=3),1,IF(AND(MONTH(C4241)&gt;=4,MONTH(C4241)&lt;=6),2,IF(AND(MONTH(C4241)&gt;=7,MONTH(C4241)&lt;=9),3,4))))</f>
        <v>2</v>
      </c>
      <c r="D4242" s="76"/>
      <c r="E4242" s="70" t="s">
        <v>2509</v>
      </c>
      <c r="F4242" s="71" t="s">
        <v>11612</v>
      </c>
    </row>
    <row r="4243" spans="1:10" ht="14.25" customHeight="1" x14ac:dyDescent="0.35">
      <c r="A4243" s="76"/>
      <c r="B4243" s="38" t="s">
        <v>13526</v>
      </c>
      <c r="C4243" s="68">
        <v>45471</v>
      </c>
      <c r="D4243" s="76"/>
      <c r="E4243" s="70" t="s">
        <v>3198</v>
      </c>
      <c r="F4243" s="71" t="s">
        <v>11612</v>
      </c>
    </row>
    <row r="4244" spans="1:10" ht="14.25" customHeight="1" x14ac:dyDescent="0.35">
      <c r="A4244" s="76"/>
      <c r="B4244" s="38" t="s">
        <v>1858</v>
      </c>
      <c r="C4244" s="69">
        <f>IF(C4243="","",IF(AND(MONTH(C4243)&gt;=1,MONTH(C4243)&lt;=3),1,IF(AND(MONTH(C4243)&gt;=4,MONTH(C4243)&lt;=6),2,IF(AND(MONTH(C4243)&gt;=7,MONTH(C4243)&lt;=9),3,4))))</f>
        <v>2</v>
      </c>
      <c r="D4244" s="76"/>
      <c r="E4244" s="70" t="s">
        <v>13785</v>
      </c>
      <c r="F4244" s="71"/>
    </row>
    <row r="4246" spans="1:10" ht="14.25" customHeight="1" x14ac:dyDescent="0.35">
      <c r="A4246" s="43" t="s">
        <v>16424</v>
      </c>
      <c r="B4246" s="43" t="s">
        <v>16856</v>
      </c>
      <c r="C4246" s="43" t="s">
        <v>16326</v>
      </c>
      <c r="D4246" s="43" t="s">
        <v>15925</v>
      </c>
      <c r="E4246" s="43" t="s">
        <v>7248</v>
      </c>
      <c r="F4246" s="43" t="s">
        <v>15955</v>
      </c>
    </row>
    <row r="4247" spans="1:10" ht="14.25" customHeight="1" x14ac:dyDescent="0.35">
      <c r="A4247" s="39" t="s">
        <v>4029</v>
      </c>
      <c r="B4247" s="40" t="str">
        <f ca="1">IFERROR(INDEX(UNSPSCDes,MATCH(INDIRECT(ADDRESS(ROW(),COLUMN()-1,4)),UNSPSCCode,0)),IF(INDIRECT(ADDRESS(ROW(),COLUMN()-1,4))="41102702","Ensamblajes de cristales centellantes",""))</f>
        <v>Ensamblajes de cristales centellantes</v>
      </c>
      <c r="C4247" s="72" t="str">
        <f>IFERROR(VLOOKUP("UD",'Informacion '!P:Q,2,FALSE),"")</f>
        <v>Unidad</v>
      </c>
      <c r="D4247" s="39">
        <v>2</v>
      </c>
      <c r="E4247" s="42">
        <v>43070</v>
      </c>
      <c r="F4247" s="41">
        <f ca="1">INDIRECT(ADDRESS(ROW(),COLUMN()-2,4))*INDIRECT(ADDRESS(ROW(),COLUMN()-1,4))</f>
        <v>86140</v>
      </c>
    </row>
    <row r="4248" spans="1:10" ht="14.25" customHeight="1" x14ac:dyDescent="0.35">
      <c r="E4248" s="44" t="s">
        <v>13122</v>
      </c>
      <c r="F4248" s="45">
        <f ca="1">SUM(Table222[MONTO TOTAL ESTIMADO])</f>
        <v>86140</v>
      </c>
      <c r="H4248" s="24" t="str">
        <f>C4240</f>
        <v>Bienes</v>
      </c>
      <c r="I4248" s="24" t="str">
        <f>E4240</f>
        <v>Sí</v>
      </c>
      <c r="J4248" s="24" t="str">
        <f>D4240</f>
        <v>Compras por debajo del Umbral</v>
      </c>
    </row>
    <row r="4250" spans="1:10" ht="34" customHeight="1" x14ac:dyDescent="0.35">
      <c r="A4250" s="36" t="s">
        <v>17105</v>
      </c>
      <c r="B4250" s="36" t="s">
        <v>167</v>
      </c>
      <c r="C4250" s="36" t="s">
        <v>12252</v>
      </c>
      <c r="D4250" s="36" t="s">
        <v>15021</v>
      </c>
      <c r="E4250" s="36" t="s">
        <v>11455</v>
      </c>
      <c r="F4250" s="36" t="s">
        <v>11595</v>
      </c>
    </row>
    <row r="4251" spans="1:10" ht="14.25" customHeight="1" x14ac:dyDescent="0.35">
      <c r="A4251" s="37" t="s">
        <v>9209</v>
      </c>
      <c r="B4251" s="37" t="s">
        <v>9209</v>
      </c>
      <c r="C4251" s="37" t="s">
        <v>18585</v>
      </c>
      <c r="D4251" s="37" t="s">
        <v>10634</v>
      </c>
      <c r="E4251" s="37" t="s">
        <v>9261</v>
      </c>
      <c r="F4251" s="37" t="s">
        <v>7088</v>
      </c>
    </row>
    <row r="4252" spans="1:10" ht="14.25" customHeight="1" x14ac:dyDescent="0.35">
      <c r="A4252" s="75" t="s">
        <v>15490</v>
      </c>
      <c r="B4252" s="38" t="s">
        <v>8918</v>
      </c>
      <c r="C4252" s="68">
        <v>45474</v>
      </c>
      <c r="D4252" s="75" t="s">
        <v>9819</v>
      </c>
      <c r="E4252" s="70" t="s">
        <v>13683</v>
      </c>
      <c r="F4252" s="71" t="s">
        <v>3205</v>
      </c>
    </row>
    <row r="4253" spans="1:10" ht="14.25" customHeight="1" x14ac:dyDescent="0.35">
      <c r="A4253" s="76"/>
      <c r="B4253" s="38" t="s">
        <v>1858</v>
      </c>
      <c r="C4253" s="69">
        <f>IF(C4252="","",IF(AND(MONTH(C4252)&gt;=1,MONTH(C4252)&lt;=3),1,IF(AND(MONTH(C4252)&gt;=4,MONTH(C4252)&lt;=6),2,IF(AND(MONTH(C4252)&gt;=7,MONTH(C4252)&lt;=9),3,4))))</f>
        <v>3</v>
      </c>
      <c r="D4253" s="76"/>
      <c r="E4253" s="70" t="s">
        <v>2509</v>
      </c>
      <c r="F4253" s="71" t="s">
        <v>11612</v>
      </c>
    </row>
    <row r="4254" spans="1:10" ht="14.25" customHeight="1" x14ac:dyDescent="0.35">
      <c r="A4254" s="76"/>
      <c r="B4254" s="38" t="s">
        <v>13526</v>
      </c>
      <c r="C4254" s="68">
        <v>45565</v>
      </c>
      <c r="D4254" s="76"/>
      <c r="E4254" s="70" t="s">
        <v>3198</v>
      </c>
      <c r="F4254" s="71" t="s">
        <v>11612</v>
      </c>
    </row>
    <row r="4255" spans="1:10" ht="14.25" customHeight="1" x14ac:dyDescent="0.35">
      <c r="A4255" s="76"/>
      <c r="B4255" s="38" t="s">
        <v>1858</v>
      </c>
      <c r="C4255" s="69">
        <f>IF(C4254="","",IF(AND(MONTH(C4254)&gt;=1,MONTH(C4254)&lt;=3),1,IF(AND(MONTH(C4254)&gt;=4,MONTH(C4254)&lt;=6),2,IF(AND(MONTH(C4254)&gt;=7,MONTH(C4254)&lt;=9),3,4))))</f>
        <v>3</v>
      </c>
      <c r="D4255" s="76"/>
      <c r="E4255" s="70" t="s">
        <v>13785</v>
      </c>
      <c r="F4255" s="71"/>
    </row>
    <row r="4257" spans="1:10" ht="14.25" customHeight="1" x14ac:dyDescent="0.35">
      <c r="A4257" s="43" t="s">
        <v>16424</v>
      </c>
      <c r="B4257" s="43" t="s">
        <v>16856</v>
      </c>
      <c r="C4257" s="43" t="s">
        <v>16326</v>
      </c>
      <c r="D4257" s="43" t="s">
        <v>15925</v>
      </c>
      <c r="E4257" s="43" t="s">
        <v>7248</v>
      </c>
      <c r="F4257" s="43" t="s">
        <v>15955</v>
      </c>
    </row>
    <row r="4258" spans="1:10" ht="14.25" customHeight="1" x14ac:dyDescent="0.35">
      <c r="A4258" s="39" t="s">
        <v>12201</v>
      </c>
      <c r="B4258" s="40" t="str">
        <f ca="1">IFERROR(INDEX(UNSPSCDes,MATCH(INDIRECT(ADDRESS(ROW(),COLUMN()-1,4)),UNSPSCCode,0)),IF(INDIRECT(ADDRESS(ROW(),COLUMN()-1,4))="41102404","Calentadores de laboratorio",""))</f>
        <v>Calentadores de laboratorio</v>
      </c>
      <c r="C4258" s="72" t="str">
        <f>IFERROR(VLOOKUP("UD",'Informacion '!P:Q,2,FALSE),"")</f>
        <v>Unidad</v>
      </c>
      <c r="D4258" s="39">
        <v>2</v>
      </c>
      <c r="E4258" s="42">
        <v>13009.5</v>
      </c>
      <c r="F4258" s="41">
        <f ca="1">INDIRECT(ADDRESS(ROW(),COLUMN()-2,4))*INDIRECT(ADDRESS(ROW(),COLUMN()-1,4))</f>
        <v>26019</v>
      </c>
    </row>
    <row r="4259" spans="1:10" ht="14.25" customHeight="1" x14ac:dyDescent="0.35">
      <c r="A4259" s="39" t="s">
        <v>19532</v>
      </c>
      <c r="B4259" s="40" t="str">
        <f ca="1">IFERROR(INDEX(UNSPSCDes,MATCH(INDIRECT(ADDRESS(ROW(),COLUMN()-1,4)),UNSPSCCode,0)),IF(INDIRECT(ADDRESS(ROW(),COLUMN()-1,4))="41104102","Lancetas",""))</f>
        <v>Lancetas</v>
      </c>
      <c r="C4259" s="72" t="str">
        <f>IFERROR(VLOOKUP("UD",'Informacion '!P:Q,2,FALSE),"")</f>
        <v>Unidad</v>
      </c>
      <c r="D4259" s="39">
        <v>4</v>
      </c>
      <c r="E4259" s="42">
        <v>104.25</v>
      </c>
      <c r="F4259" s="41">
        <f ca="1">INDIRECT(ADDRESS(ROW(),COLUMN()-2,4))*INDIRECT(ADDRESS(ROW(),COLUMN()-1,4))</f>
        <v>417</v>
      </c>
    </row>
    <row r="4260" spans="1:10" ht="14.25" customHeight="1" x14ac:dyDescent="0.35">
      <c r="E4260" s="44" t="s">
        <v>13122</v>
      </c>
      <c r="F4260" s="45">
        <f ca="1">SUM(Table223[MONTO TOTAL ESTIMADO])</f>
        <v>26436</v>
      </c>
      <c r="H4260" s="24" t="str">
        <f>C4251</f>
        <v>Bienes</v>
      </c>
      <c r="I4260" s="24" t="str">
        <f>E4251</f>
        <v>Sí</v>
      </c>
      <c r="J4260" s="24" t="str">
        <f>D4251</f>
        <v>Compras por debajo del Umbral</v>
      </c>
    </row>
    <row r="4262" spans="1:10" ht="34" customHeight="1" x14ac:dyDescent="0.35">
      <c r="A4262" s="36" t="s">
        <v>17105</v>
      </c>
      <c r="B4262" s="36" t="s">
        <v>167</v>
      </c>
      <c r="C4262" s="36" t="s">
        <v>12252</v>
      </c>
      <c r="D4262" s="36" t="s">
        <v>15021</v>
      </c>
      <c r="E4262" s="36" t="s">
        <v>11455</v>
      </c>
      <c r="F4262" s="36" t="s">
        <v>11595</v>
      </c>
    </row>
    <row r="4263" spans="1:10" ht="14.25" customHeight="1" x14ac:dyDescent="0.35">
      <c r="A4263" s="37" t="s">
        <v>17023</v>
      </c>
      <c r="B4263" s="37" t="s">
        <v>17023</v>
      </c>
      <c r="C4263" s="37" t="s">
        <v>18585</v>
      </c>
      <c r="D4263" s="37" t="s">
        <v>10634</v>
      </c>
      <c r="E4263" s="37" t="s">
        <v>9261</v>
      </c>
      <c r="F4263" s="37" t="s">
        <v>7088</v>
      </c>
    </row>
    <row r="4264" spans="1:10" ht="14.25" customHeight="1" x14ac:dyDescent="0.35">
      <c r="A4264" s="75" t="s">
        <v>15490</v>
      </c>
      <c r="B4264" s="38" t="s">
        <v>8918</v>
      </c>
      <c r="C4264" s="68">
        <v>45334</v>
      </c>
      <c r="D4264" s="75" t="s">
        <v>9819</v>
      </c>
      <c r="E4264" s="70" t="s">
        <v>13683</v>
      </c>
      <c r="F4264" s="71" t="s">
        <v>3205</v>
      </c>
    </row>
    <row r="4265" spans="1:10" ht="14.25" customHeight="1" x14ac:dyDescent="0.35">
      <c r="A4265" s="76"/>
      <c r="B4265" s="38" t="s">
        <v>1858</v>
      </c>
      <c r="C4265" s="69">
        <f>IF(C4264="","",IF(AND(MONTH(C4264)&gt;=1,MONTH(C4264)&lt;=3),1,IF(AND(MONTH(C4264)&gt;=4,MONTH(C4264)&lt;=6),2,IF(AND(MONTH(C4264)&gt;=7,MONTH(C4264)&lt;=9),3,4))))</f>
        <v>1</v>
      </c>
      <c r="D4265" s="76"/>
      <c r="E4265" s="70" t="s">
        <v>2509</v>
      </c>
      <c r="F4265" s="71" t="s">
        <v>11612</v>
      </c>
    </row>
    <row r="4266" spans="1:10" ht="14.25" customHeight="1" x14ac:dyDescent="0.35">
      <c r="A4266" s="76"/>
      <c r="B4266" s="38" t="s">
        <v>13526</v>
      </c>
      <c r="C4266" s="68">
        <v>45378</v>
      </c>
      <c r="D4266" s="76"/>
      <c r="E4266" s="70" t="s">
        <v>3198</v>
      </c>
      <c r="F4266" s="71" t="s">
        <v>11612</v>
      </c>
    </row>
    <row r="4267" spans="1:10" ht="14.25" customHeight="1" x14ac:dyDescent="0.35">
      <c r="A4267" s="76"/>
      <c r="B4267" s="38" t="s">
        <v>1858</v>
      </c>
      <c r="C4267" s="69">
        <f>IF(C4266="","",IF(AND(MONTH(C4266)&gt;=1,MONTH(C4266)&lt;=3),1,IF(AND(MONTH(C4266)&gt;=4,MONTH(C4266)&lt;=6),2,IF(AND(MONTH(C4266)&gt;=7,MONTH(C4266)&lt;=9),3,4))))</f>
        <v>1</v>
      </c>
      <c r="D4267" s="76"/>
      <c r="E4267" s="70" t="s">
        <v>13785</v>
      </c>
      <c r="F4267" s="71"/>
    </row>
    <row r="4269" spans="1:10" ht="14.25" customHeight="1" x14ac:dyDescent="0.35">
      <c r="A4269" s="43" t="s">
        <v>16424</v>
      </c>
      <c r="B4269" s="43" t="s">
        <v>16856</v>
      </c>
      <c r="C4269" s="43" t="s">
        <v>16326</v>
      </c>
      <c r="D4269" s="43" t="s">
        <v>15925</v>
      </c>
      <c r="E4269" s="43" t="s">
        <v>7248</v>
      </c>
      <c r="F4269" s="43" t="s">
        <v>15955</v>
      </c>
    </row>
    <row r="4270" spans="1:10" ht="14.25" customHeight="1" x14ac:dyDescent="0.35">
      <c r="A4270" s="39" t="s">
        <v>14970</v>
      </c>
      <c r="B4270" s="40" t="str">
        <f ca="1">IFERROR(INDEX(UNSPSCDes,MATCH(INDIRECT(ADDRESS(ROW(),COLUMN()-1,4)),UNSPSCCode,0)),IF(INDIRECT(ADDRESS(ROW(),COLUMN()-1,4))="41104207","Sistemas de análisis de agua",""))</f>
        <v>Sistemas de análisis de agua</v>
      </c>
      <c r="C4270" s="72" t="str">
        <f>IFERROR(VLOOKUP("UD",'Informacion '!P:Q,2,FALSE),"")</f>
        <v>Unidad</v>
      </c>
      <c r="D4270" s="39">
        <v>12</v>
      </c>
      <c r="E4270" s="42">
        <v>2500</v>
      </c>
      <c r="F4270" s="41">
        <f ca="1">INDIRECT(ADDRESS(ROW(),COLUMN()-2,4))*INDIRECT(ADDRESS(ROW(),COLUMN()-1,4))</f>
        <v>30000</v>
      </c>
    </row>
    <row r="4271" spans="1:10" ht="14.25" customHeight="1" x14ac:dyDescent="0.35">
      <c r="E4271" s="44" t="s">
        <v>13122</v>
      </c>
      <c r="F4271" s="45">
        <f ca="1">SUM(Table224[MONTO TOTAL ESTIMADO])</f>
        <v>30000</v>
      </c>
      <c r="H4271" s="24" t="str">
        <f>C4263</f>
        <v>Bienes</v>
      </c>
      <c r="I4271" s="24" t="str">
        <f>E4263</f>
        <v>Sí</v>
      </c>
      <c r="J4271" s="24" t="str">
        <f>D4263</f>
        <v>Compras por debajo del Umbral</v>
      </c>
    </row>
    <row r="4273" spans="1:10" ht="34" customHeight="1" x14ac:dyDescent="0.35">
      <c r="A4273" s="36" t="s">
        <v>17105</v>
      </c>
      <c r="B4273" s="36" t="s">
        <v>167</v>
      </c>
      <c r="C4273" s="36" t="s">
        <v>12252</v>
      </c>
      <c r="D4273" s="36" t="s">
        <v>15021</v>
      </c>
      <c r="E4273" s="36" t="s">
        <v>11455</v>
      </c>
      <c r="F4273" s="36" t="s">
        <v>11595</v>
      </c>
    </row>
    <row r="4274" spans="1:10" ht="14.25" customHeight="1" x14ac:dyDescent="0.35">
      <c r="A4274" s="37" t="s">
        <v>17023</v>
      </c>
      <c r="B4274" s="37" t="s">
        <v>17023</v>
      </c>
      <c r="C4274" s="37" t="s">
        <v>18585</v>
      </c>
      <c r="D4274" s="37" t="s">
        <v>10634</v>
      </c>
      <c r="E4274" s="37" t="s">
        <v>9261</v>
      </c>
      <c r="F4274" s="37" t="s">
        <v>7088</v>
      </c>
    </row>
    <row r="4275" spans="1:10" ht="14.25" customHeight="1" x14ac:dyDescent="0.35">
      <c r="A4275" s="75" t="s">
        <v>15490</v>
      </c>
      <c r="B4275" s="38" t="s">
        <v>8918</v>
      </c>
      <c r="C4275" s="68">
        <v>45383</v>
      </c>
      <c r="D4275" s="75" t="s">
        <v>9819</v>
      </c>
      <c r="E4275" s="70" t="s">
        <v>13683</v>
      </c>
      <c r="F4275" s="71" t="s">
        <v>3205</v>
      </c>
    </row>
    <row r="4276" spans="1:10" ht="14.25" customHeight="1" x14ac:dyDescent="0.35">
      <c r="A4276" s="76"/>
      <c r="B4276" s="38" t="s">
        <v>1858</v>
      </c>
      <c r="C4276" s="69">
        <f>IF(C4275="","",IF(AND(MONTH(C4275)&gt;=1,MONTH(C4275)&lt;=3),1,IF(AND(MONTH(C4275)&gt;=4,MONTH(C4275)&lt;=6),2,IF(AND(MONTH(C4275)&gt;=7,MONTH(C4275)&lt;=9),3,4))))</f>
        <v>2</v>
      </c>
      <c r="D4276" s="76"/>
      <c r="E4276" s="70" t="s">
        <v>2509</v>
      </c>
      <c r="F4276" s="71" t="s">
        <v>11612</v>
      </c>
    </row>
    <row r="4277" spans="1:10" ht="14.25" customHeight="1" x14ac:dyDescent="0.35">
      <c r="A4277" s="76"/>
      <c r="B4277" s="38" t="s">
        <v>13526</v>
      </c>
      <c r="C4277" s="68">
        <v>45471</v>
      </c>
      <c r="D4277" s="76"/>
      <c r="E4277" s="70" t="s">
        <v>3198</v>
      </c>
      <c r="F4277" s="71" t="s">
        <v>11612</v>
      </c>
    </row>
    <row r="4278" spans="1:10" ht="14.25" customHeight="1" x14ac:dyDescent="0.35">
      <c r="A4278" s="76"/>
      <c r="B4278" s="38" t="s">
        <v>1858</v>
      </c>
      <c r="C4278" s="69">
        <f>IF(C4277="","",IF(AND(MONTH(C4277)&gt;=1,MONTH(C4277)&lt;=3),1,IF(AND(MONTH(C4277)&gt;=4,MONTH(C4277)&lt;=6),2,IF(AND(MONTH(C4277)&gt;=7,MONTH(C4277)&lt;=9),3,4))))</f>
        <v>2</v>
      </c>
      <c r="D4278" s="76"/>
      <c r="E4278" s="70" t="s">
        <v>13785</v>
      </c>
      <c r="F4278" s="71"/>
    </row>
    <row r="4280" spans="1:10" ht="14.25" customHeight="1" x14ac:dyDescent="0.35">
      <c r="A4280" s="43" t="s">
        <v>16424</v>
      </c>
      <c r="B4280" s="43" t="s">
        <v>16856</v>
      </c>
      <c r="C4280" s="43" t="s">
        <v>16326</v>
      </c>
      <c r="D4280" s="43" t="s">
        <v>15925</v>
      </c>
      <c r="E4280" s="43" t="s">
        <v>7248</v>
      </c>
      <c r="F4280" s="43" t="s">
        <v>15955</v>
      </c>
    </row>
    <row r="4281" spans="1:10" ht="14.25" customHeight="1" x14ac:dyDescent="0.35">
      <c r="A4281" s="39" t="s">
        <v>14970</v>
      </c>
      <c r="B4281" s="40" t="str">
        <f ca="1">IFERROR(INDEX(UNSPSCDes,MATCH(INDIRECT(ADDRESS(ROW(),COLUMN()-1,4)),UNSPSCCode,0)),IF(INDIRECT(ADDRESS(ROW(),COLUMN()-1,4))="41104207","Sistemas de análisis de agua",""))</f>
        <v>Sistemas de análisis de agua</v>
      </c>
      <c r="C4281" s="72" t="str">
        <f>IFERROR(VLOOKUP("UD",'Informacion '!P:Q,2,FALSE),"")</f>
        <v>Unidad</v>
      </c>
      <c r="D4281" s="39">
        <v>12</v>
      </c>
      <c r="E4281" s="42">
        <v>2500</v>
      </c>
      <c r="F4281" s="41">
        <f ca="1">INDIRECT(ADDRESS(ROW(),COLUMN()-2,4))*INDIRECT(ADDRESS(ROW(),COLUMN()-1,4))</f>
        <v>30000</v>
      </c>
    </row>
    <row r="4282" spans="1:10" ht="14.25" customHeight="1" x14ac:dyDescent="0.35">
      <c r="E4282" s="44" t="s">
        <v>13122</v>
      </c>
      <c r="F4282" s="45">
        <f ca="1">SUM(Table225[MONTO TOTAL ESTIMADO])</f>
        <v>30000</v>
      </c>
      <c r="H4282" s="24" t="str">
        <f>C4274</f>
        <v>Bienes</v>
      </c>
      <c r="I4282" s="24" t="str">
        <f>E4274</f>
        <v>Sí</v>
      </c>
      <c r="J4282" s="24" t="str">
        <f>D4274</f>
        <v>Compras por debajo del Umbral</v>
      </c>
    </row>
    <row r="4284" spans="1:10" ht="34" customHeight="1" x14ac:dyDescent="0.35">
      <c r="A4284" s="36" t="s">
        <v>17105</v>
      </c>
      <c r="B4284" s="36" t="s">
        <v>167</v>
      </c>
      <c r="C4284" s="36" t="s">
        <v>12252</v>
      </c>
      <c r="D4284" s="36" t="s">
        <v>15021</v>
      </c>
      <c r="E4284" s="36" t="s">
        <v>11455</v>
      </c>
      <c r="F4284" s="36" t="s">
        <v>11595</v>
      </c>
    </row>
    <row r="4285" spans="1:10" ht="14.25" customHeight="1" x14ac:dyDescent="0.35">
      <c r="A4285" s="37" t="s">
        <v>17023</v>
      </c>
      <c r="B4285" s="37" t="s">
        <v>17023</v>
      </c>
      <c r="C4285" s="37" t="s">
        <v>18585</v>
      </c>
      <c r="D4285" s="37" t="s">
        <v>10634</v>
      </c>
      <c r="E4285" s="37" t="s">
        <v>9261</v>
      </c>
      <c r="F4285" s="37" t="s">
        <v>7088</v>
      </c>
    </row>
    <row r="4286" spans="1:10" ht="14.25" customHeight="1" x14ac:dyDescent="0.35">
      <c r="A4286" s="75" t="s">
        <v>15490</v>
      </c>
      <c r="B4286" s="38" t="s">
        <v>8918</v>
      </c>
      <c r="C4286" s="68">
        <v>45474</v>
      </c>
      <c r="D4286" s="75" t="s">
        <v>9819</v>
      </c>
      <c r="E4286" s="70" t="s">
        <v>13683</v>
      </c>
      <c r="F4286" s="71" t="s">
        <v>3205</v>
      </c>
    </row>
    <row r="4287" spans="1:10" ht="14.25" customHeight="1" x14ac:dyDescent="0.35">
      <c r="A4287" s="76"/>
      <c r="B4287" s="38" t="s">
        <v>1858</v>
      </c>
      <c r="C4287" s="69">
        <f>IF(C4286="","",IF(AND(MONTH(C4286)&gt;=1,MONTH(C4286)&lt;=3),1,IF(AND(MONTH(C4286)&gt;=4,MONTH(C4286)&lt;=6),2,IF(AND(MONTH(C4286)&gt;=7,MONTH(C4286)&lt;=9),3,4))))</f>
        <v>3</v>
      </c>
      <c r="D4287" s="76"/>
      <c r="E4287" s="70" t="s">
        <v>2509</v>
      </c>
      <c r="F4287" s="71" t="s">
        <v>11612</v>
      </c>
    </row>
    <row r="4288" spans="1:10" ht="14.25" customHeight="1" x14ac:dyDescent="0.35">
      <c r="A4288" s="76"/>
      <c r="B4288" s="38" t="s">
        <v>13526</v>
      </c>
      <c r="C4288" s="68">
        <v>45565</v>
      </c>
      <c r="D4288" s="76"/>
      <c r="E4288" s="70" t="s">
        <v>3198</v>
      </c>
      <c r="F4288" s="71" t="s">
        <v>11612</v>
      </c>
    </row>
    <row r="4289" spans="1:10" ht="14.25" customHeight="1" x14ac:dyDescent="0.35">
      <c r="A4289" s="76"/>
      <c r="B4289" s="38" t="s">
        <v>1858</v>
      </c>
      <c r="C4289" s="69">
        <f>IF(C4288="","",IF(AND(MONTH(C4288)&gt;=1,MONTH(C4288)&lt;=3),1,IF(AND(MONTH(C4288)&gt;=4,MONTH(C4288)&lt;=6),2,IF(AND(MONTH(C4288)&gt;=7,MONTH(C4288)&lt;=9),3,4))))</f>
        <v>3</v>
      </c>
      <c r="D4289" s="76"/>
      <c r="E4289" s="70" t="s">
        <v>13785</v>
      </c>
      <c r="F4289" s="71"/>
    </row>
    <row r="4291" spans="1:10" ht="14.25" customHeight="1" x14ac:dyDescent="0.35">
      <c r="A4291" s="43" t="s">
        <v>16424</v>
      </c>
      <c r="B4291" s="43" t="s">
        <v>16856</v>
      </c>
      <c r="C4291" s="43" t="s">
        <v>16326</v>
      </c>
      <c r="D4291" s="43" t="s">
        <v>15925</v>
      </c>
      <c r="E4291" s="43" t="s">
        <v>7248</v>
      </c>
      <c r="F4291" s="43" t="s">
        <v>15955</v>
      </c>
    </row>
    <row r="4292" spans="1:10" ht="14.25" customHeight="1" x14ac:dyDescent="0.35">
      <c r="A4292" s="39" t="s">
        <v>14970</v>
      </c>
      <c r="B4292" s="40" t="str">
        <f ca="1">IFERROR(INDEX(UNSPSCDes,MATCH(INDIRECT(ADDRESS(ROW(),COLUMN()-1,4)),UNSPSCCode,0)),IF(INDIRECT(ADDRESS(ROW(),COLUMN()-1,4))="41104207","Sistemas de análisis de agua",""))</f>
        <v>Sistemas de análisis de agua</v>
      </c>
      <c r="C4292" s="72" t="str">
        <f>IFERROR(VLOOKUP("UD",'Informacion '!P:Q,2,FALSE),"")</f>
        <v>Unidad</v>
      </c>
      <c r="D4292" s="39">
        <v>12</v>
      </c>
      <c r="E4292" s="42">
        <v>2500</v>
      </c>
      <c r="F4292" s="41">
        <f ca="1">INDIRECT(ADDRESS(ROW(),COLUMN()-2,4))*INDIRECT(ADDRESS(ROW(),COLUMN()-1,4))</f>
        <v>30000</v>
      </c>
    </row>
    <row r="4293" spans="1:10" ht="14.25" customHeight="1" x14ac:dyDescent="0.35">
      <c r="E4293" s="44" t="s">
        <v>13122</v>
      </c>
      <c r="F4293" s="45">
        <f ca="1">SUM(Table226[MONTO TOTAL ESTIMADO])</f>
        <v>30000</v>
      </c>
      <c r="H4293" s="24" t="str">
        <f>C4285</f>
        <v>Bienes</v>
      </c>
      <c r="I4293" s="24" t="str">
        <f>E4285</f>
        <v>Sí</v>
      </c>
      <c r="J4293" s="24" t="str">
        <f>D4285</f>
        <v>Compras por debajo del Umbral</v>
      </c>
    </row>
    <row r="4295" spans="1:10" ht="34" customHeight="1" x14ac:dyDescent="0.35">
      <c r="A4295" s="36" t="s">
        <v>17105</v>
      </c>
      <c r="B4295" s="36" t="s">
        <v>167</v>
      </c>
      <c r="C4295" s="36" t="s">
        <v>12252</v>
      </c>
      <c r="D4295" s="36" t="s">
        <v>15021</v>
      </c>
      <c r="E4295" s="36" t="s">
        <v>11455</v>
      </c>
      <c r="F4295" s="36" t="s">
        <v>11595</v>
      </c>
    </row>
    <row r="4296" spans="1:10" ht="14.25" customHeight="1" x14ac:dyDescent="0.35">
      <c r="A4296" s="37" t="s">
        <v>17023</v>
      </c>
      <c r="B4296" s="37" t="s">
        <v>17023</v>
      </c>
      <c r="C4296" s="37" t="s">
        <v>18585</v>
      </c>
      <c r="D4296" s="37" t="s">
        <v>10634</v>
      </c>
      <c r="E4296" s="37" t="s">
        <v>9261</v>
      </c>
      <c r="F4296" s="37" t="s">
        <v>7088</v>
      </c>
    </row>
    <row r="4297" spans="1:10" ht="14.25" customHeight="1" x14ac:dyDescent="0.35">
      <c r="A4297" s="75" t="s">
        <v>15490</v>
      </c>
      <c r="B4297" s="38" t="s">
        <v>8918</v>
      </c>
      <c r="C4297" s="68">
        <v>45566</v>
      </c>
      <c r="D4297" s="75" t="s">
        <v>9819</v>
      </c>
      <c r="E4297" s="70" t="s">
        <v>13683</v>
      </c>
      <c r="F4297" s="71" t="s">
        <v>3205</v>
      </c>
    </row>
    <row r="4298" spans="1:10" ht="14.25" customHeight="1" x14ac:dyDescent="0.35">
      <c r="A4298" s="76"/>
      <c r="B4298" s="38" t="s">
        <v>1858</v>
      </c>
      <c r="C4298" s="69">
        <f>IF(C4297="","",IF(AND(MONTH(C4297)&gt;=1,MONTH(C4297)&lt;=3),1,IF(AND(MONTH(C4297)&gt;=4,MONTH(C4297)&lt;=6),2,IF(AND(MONTH(C4297)&gt;=7,MONTH(C4297)&lt;=9),3,4))))</f>
        <v>4</v>
      </c>
      <c r="D4298" s="76"/>
      <c r="E4298" s="70" t="s">
        <v>2509</v>
      </c>
      <c r="F4298" s="71" t="s">
        <v>11612</v>
      </c>
    </row>
    <row r="4299" spans="1:10" ht="14.25" customHeight="1" x14ac:dyDescent="0.35">
      <c r="A4299" s="76"/>
      <c r="B4299" s="38" t="s">
        <v>13526</v>
      </c>
      <c r="C4299" s="68">
        <v>45657</v>
      </c>
      <c r="D4299" s="76"/>
      <c r="E4299" s="70" t="s">
        <v>3198</v>
      </c>
      <c r="F4299" s="71" t="s">
        <v>11612</v>
      </c>
    </row>
    <row r="4300" spans="1:10" ht="14.25" customHeight="1" x14ac:dyDescent="0.35">
      <c r="A4300" s="76"/>
      <c r="B4300" s="38" t="s">
        <v>1858</v>
      </c>
      <c r="C4300" s="69">
        <f>IF(C4299="","",IF(AND(MONTH(C4299)&gt;=1,MONTH(C4299)&lt;=3),1,IF(AND(MONTH(C4299)&gt;=4,MONTH(C4299)&lt;=6),2,IF(AND(MONTH(C4299)&gt;=7,MONTH(C4299)&lt;=9),3,4))))</f>
        <v>4</v>
      </c>
      <c r="D4300" s="76"/>
      <c r="E4300" s="70" t="s">
        <v>13785</v>
      </c>
      <c r="F4300" s="71"/>
    </row>
    <row r="4302" spans="1:10" ht="14.25" customHeight="1" x14ac:dyDescent="0.35">
      <c r="A4302" s="43" t="s">
        <v>16424</v>
      </c>
      <c r="B4302" s="43" t="s">
        <v>16856</v>
      </c>
      <c r="C4302" s="43" t="s">
        <v>16326</v>
      </c>
      <c r="D4302" s="43" t="s">
        <v>15925</v>
      </c>
      <c r="E4302" s="43" t="s">
        <v>7248</v>
      </c>
      <c r="F4302" s="43" t="s">
        <v>15955</v>
      </c>
    </row>
    <row r="4303" spans="1:10" ht="14.25" customHeight="1" x14ac:dyDescent="0.35">
      <c r="A4303" s="39" t="s">
        <v>14970</v>
      </c>
      <c r="B4303" s="40" t="str">
        <f ca="1">IFERROR(INDEX(UNSPSCDes,MATCH(INDIRECT(ADDRESS(ROW(),COLUMN()-1,4)),UNSPSCCode,0)),IF(INDIRECT(ADDRESS(ROW(),COLUMN()-1,4))="41104207","Sistemas de análisis de agua",""))</f>
        <v>Sistemas de análisis de agua</v>
      </c>
      <c r="C4303" s="72" t="str">
        <f>IFERROR(VLOOKUP("UD",'Informacion '!P:Q,2,FALSE),"")</f>
        <v>Unidad</v>
      </c>
      <c r="D4303" s="39">
        <v>12</v>
      </c>
      <c r="E4303" s="42">
        <v>2500</v>
      </c>
      <c r="F4303" s="41">
        <f ca="1">INDIRECT(ADDRESS(ROW(),COLUMN()-2,4))*INDIRECT(ADDRESS(ROW(),COLUMN()-1,4))</f>
        <v>30000</v>
      </c>
    </row>
    <row r="4304" spans="1:10" ht="14.25" customHeight="1" x14ac:dyDescent="0.35">
      <c r="E4304" s="44" t="s">
        <v>13122</v>
      </c>
      <c r="F4304" s="45">
        <f ca="1">SUM(Table227[MONTO TOTAL ESTIMADO])</f>
        <v>30000</v>
      </c>
      <c r="H4304" s="24" t="str">
        <f>C4296</f>
        <v>Bienes</v>
      </c>
      <c r="I4304" s="24" t="str">
        <f>E4296</f>
        <v>Sí</v>
      </c>
      <c r="J4304" s="24" t="str">
        <f>D4296</f>
        <v>Compras por debajo del Umbral</v>
      </c>
    </row>
    <row r="4306" spans="1:6" ht="34" customHeight="1" x14ac:dyDescent="0.35">
      <c r="A4306" s="36" t="s">
        <v>17105</v>
      </c>
      <c r="B4306" s="36" t="s">
        <v>167</v>
      </c>
      <c r="C4306" s="36" t="s">
        <v>12252</v>
      </c>
      <c r="D4306" s="36" t="s">
        <v>15021</v>
      </c>
      <c r="E4306" s="36" t="s">
        <v>11455</v>
      </c>
      <c r="F4306" s="36" t="s">
        <v>11595</v>
      </c>
    </row>
    <row r="4307" spans="1:6" ht="14.25" customHeight="1" x14ac:dyDescent="0.35">
      <c r="A4307" s="37" t="s">
        <v>18407</v>
      </c>
      <c r="B4307" s="37" t="s">
        <v>18407</v>
      </c>
      <c r="C4307" s="37" t="s">
        <v>18585</v>
      </c>
      <c r="D4307" s="37" t="s">
        <v>1950</v>
      </c>
      <c r="E4307" s="37" t="s">
        <v>9261</v>
      </c>
      <c r="F4307" s="37" t="s">
        <v>7088</v>
      </c>
    </row>
    <row r="4308" spans="1:6" ht="14.25" customHeight="1" x14ac:dyDescent="0.35">
      <c r="A4308" s="75" t="s">
        <v>15490</v>
      </c>
      <c r="B4308" s="38" t="s">
        <v>8918</v>
      </c>
      <c r="C4308" s="68">
        <v>45334</v>
      </c>
      <c r="D4308" s="75" t="s">
        <v>9819</v>
      </c>
      <c r="E4308" s="70" t="s">
        <v>13683</v>
      </c>
      <c r="F4308" s="71" t="s">
        <v>3205</v>
      </c>
    </row>
    <row r="4309" spans="1:6" ht="14.25" customHeight="1" x14ac:dyDescent="0.35">
      <c r="A4309" s="76"/>
      <c r="B4309" s="38" t="s">
        <v>1858</v>
      </c>
      <c r="C4309" s="69">
        <f>IF(C4308="","",IF(AND(MONTH(C4308)&gt;=1,MONTH(C4308)&lt;=3),1,IF(AND(MONTH(C4308)&gt;=4,MONTH(C4308)&lt;=6),2,IF(AND(MONTH(C4308)&gt;=7,MONTH(C4308)&lt;=9),3,4))))</f>
        <v>1</v>
      </c>
      <c r="D4309" s="76"/>
      <c r="E4309" s="70" t="s">
        <v>2509</v>
      </c>
      <c r="F4309" s="71" t="s">
        <v>11612</v>
      </c>
    </row>
    <row r="4310" spans="1:6" ht="14.25" customHeight="1" x14ac:dyDescent="0.35">
      <c r="A4310" s="76"/>
      <c r="B4310" s="38" t="s">
        <v>13526</v>
      </c>
      <c r="C4310" s="68">
        <v>45378</v>
      </c>
      <c r="D4310" s="76"/>
      <c r="E4310" s="70" t="s">
        <v>3198</v>
      </c>
      <c r="F4310" s="71" t="s">
        <v>11612</v>
      </c>
    </row>
    <row r="4311" spans="1:6" ht="14.25" customHeight="1" x14ac:dyDescent="0.35">
      <c r="A4311" s="76"/>
      <c r="B4311" s="38" t="s">
        <v>1858</v>
      </c>
      <c r="C4311" s="69">
        <f>IF(C4310="","",IF(AND(MONTH(C4310)&gt;=1,MONTH(C4310)&lt;=3),1,IF(AND(MONTH(C4310)&gt;=4,MONTH(C4310)&lt;=6),2,IF(AND(MONTH(C4310)&gt;=7,MONTH(C4310)&lt;=9),3,4))))</f>
        <v>1</v>
      </c>
      <c r="D4311" s="76"/>
      <c r="E4311" s="70" t="s">
        <v>13785</v>
      </c>
      <c r="F4311" s="71"/>
    </row>
    <row r="4313" spans="1:6" ht="14.25" customHeight="1" x14ac:dyDescent="0.35">
      <c r="A4313" s="43" t="s">
        <v>16424</v>
      </c>
      <c r="B4313" s="43" t="s">
        <v>16856</v>
      </c>
      <c r="C4313" s="43" t="s">
        <v>16326</v>
      </c>
      <c r="D4313" s="43" t="s">
        <v>15925</v>
      </c>
      <c r="E4313" s="43" t="s">
        <v>7248</v>
      </c>
      <c r="F4313" s="43" t="s">
        <v>15955</v>
      </c>
    </row>
    <row r="4314" spans="1:6" ht="14.25" customHeight="1" x14ac:dyDescent="0.35">
      <c r="A4314" s="39" t="s">
        <v>17318</v>
      </c>
      <c r="B4314" s="40" t="str">
        <f ca="1">IFERROR(INDEX(UNSPSCDes,MATCH(INDIRECT(ADDRESS(ROW(),COLUMN()-1,4)),UNSPSCCode,0)),IF(INDIRECT(ADDRESS(ROW(),COLUMN()-1,4))="41111616","Ruedas medidoras para distancias",""))</f>
        <v>Ruedas medidoras para distancias</v>
      </c>
      <c r="C4314" s="72" t="str">
        <f>IFERROR(VLOOKUP("UD",'Informacion '!P:Q,2,FALSE),"")</f>
        <v>Unidad</v>
      </c>
      <c r="D4314" s="39">
        <v>4</v>
      </c>
      <c r="E4314" s="42">
        <v>8850</v>
      </c>
      <c r="F4314" s="41">
        <f t="shared" ref="F4314:F4327" ca="1" si="166">INDIRECT(ADDRESS(ROW(),COLUMN()-2,4))*INDIRECT(ADDRESS(ROW(),COLUMN()-1,4))</f>
        <v>35400</v>
      </c>
    </row>
    <row r="4315" spans="1:6" ht="14.25" customHeight="1" x14ac:dyDescent="0.35">
      <c r="A4315" s="39" t="s">
        <v>1667</v>
      </c>
      <c r="B4315" s="40" t="str">
        <f ca="1">IFERROR(INDEX(UNSPSCDes,MATCH(INDIRECT(ADDRESS(ROW(),COLUMN()-1,4)),UNSPSCCode,0)),IF(INDIRECT(ADDRESS(ROW(),COLUMN()-1,4))="41112207","Termógrafos",""))</f>
        <v>Termógrafos</v>
      </c>
      <c r="C4315" s="72" t="str">
        <f>IFERROR(VLOOKUP("UD",'Informacion '!P:Q,2,FALSE),"")</f>
        <v>Unidad</v>
      </c>
      <c r="D4315" s="39">
        <v>2</v>
      </c>
      <c r="E4315" s="42">
        <v>602549</v>
      </c>
      <c r="F4315" s="41">
        <f t="shared" ca="1" si="166"/>
        <v>1205098</v>
      </c>
    </row>
    <row r="4316" spans="1:6" ht="14.25" customHeight="1" x14ac:dyDescent="0.35">
      <c r="A4316" s="39" t="s">
        <v>4370</v>
      </c>
      <c r="B4316" s="40" t="str">
        <f ca="1">IFERROR(INDEX(UNSPSCDes,MATCH(INDIRECT(ADDRESS(ROW(),COLUMN()-1,4)),UNSPSCCode,0)),IF(INDIRECT(ADDRESS(ROW(),COLUMN()-1,4))="41113624","Medidores de aislamiento",""))</f>
        <v>Medidores de aislamiento</v>
      </c>
      <c r="C4316" s="72" t="str">
        <f>IFERROR(VLOOKUP("UD",'Informacion '!P:Q,2,FALSE),"")</f>
        <v>Unidad</v>
      </c>
      <c r="D4316" s="39">
        <v>2</v>
      </c>
      <c r="E4316" s="42">
        <v>330600</v>
      </c>
      <c r="F4316" s="41">
        <f t="shared" ca="1" si="166"/>
        <v>661200</v>
      </c>
    </row>
    <row r="4317" spans="1:6" ht="14.25" customHeight="1" x14ac:dyDescent="0.35">
      <c r="A4317" s="39" t="s">
        <v>12189</v>
      </c>
      <c r="B4317" s="40" t="str">
        <f ca="1">IFERROR(INDEX(UNSPSCDes,MATCH(INDIRECT(ADDRESS(ROW(),COLUMN()-1,4)),UNSPSCCode,0)),IF(INDIRECT(ADDRESS(ROW(),COLUMN()-1,4))="41113630","Multímetros",""))</f>
        <v>Multímetros</v>
      </c>
      <c r="C4317" s="72" t="str">
        <f>IFERROR(VLOOKUP("UD",'Informacion '!P:Q,2,FALSE),"")</f>
        <v>Unidad</v>
      </c>
      <c r="D4317" s="39">
        <v>4</v>
      </c>
      <c r="E4317" s="42">
        <v>32756</v>
      </c>
      <c r="F4317" s="41">
        <f t="shared" ca="1" si="166"/>
        <v>131024</v>
      </c>
    </row>
    <row r="4318" spans="1:6" ht="14.25" customHeight="1" x14ac:dyDescent="0.35">
      <c r="A4318" s="39" t="s">
        <v>12189</v>
      </c>
      <c r="B4318" s="40" t="str">
        <f ca="1">IFERROR(INDEX(UNSPSCDes,MATCH(INDIRECT(ADDRESS(ROW(),COLUMN()-1,4)),UNSPSCCode,0)),IF(INDIRECT(ADDRESS(ROW(),COLUMN()-1,4))="41113630","Multímetros",""))</f>
        <v>Multímetros</v>
      </c>
      <c r="C4318" s="72" t="str">
        <f>IFERROR(VLOOKUP("UD",'Informacion '!P:Q,2,FALSE),"")</f>
        <v>Unidad</v>
      </c>
      <c r="D4318" s="39">
        <v>1</v>
      </c>
      <c r="E4318" s="42">
        <v>3717</v>
      </c>
      <c r="F4318" s="41">
        <f t="shared" ca="1" si="166"/>
        <v>3717</v>
      </c>
    </row>
    <row r="4319" spans="1:6" ht="14.25" customHeight="1" x14ac:dyDescent="0.35">
      <c r="A4319" s="39" t="s">
        <v>12189</v>
      </c>
      <c r="B4319" s="40" t="str">
        <f ca="1">IFERROR(INDEX(UNSPSCDes,MATCH(INDIRECT(ADDRESS(ROW(),COLUMN()-1,4)),UNSPSCCode,0)),IF(INDIRECT(ADDRESS(ROW(),COLUMN()-1,4))="41113630","Multímetros",""))</f>
        <v>Multímetros</v>
      </c>
      <c r="C4319" s="72" t="str">
        <f>IFERROR(VLOOKUP("UD",'Informacion '!P:Q,2,FALSE),"")</f>
        <v>Unidad</v>
      </c>
      <c r="D4319" s="39">
        <v>4</v>
      </c>
      <c r="E4319" s="42">
        <v>15000</v>
      </c>
      <c r="F4319" s="41">
        <f t="shared" ca="1" si="166"/>
        <v>60000</v>
      </c>
    </row>
    <row r="4320" spans="1:6" ht="14.25" customHeight="1" x14ac:dyDescent="0.35">
      <c r="A4320" s="39" t="s">
        <v>12189</v>
      </c>
      <c r="B4320" s="40" t="str">
        <f ca="1">IFERROR(INDEX(UNSPSCDes,MATCH(INDIRECT(ADDRESS(ROW(),COLUMN()-1,4)),UNSPSCCode,0)),IF(INDIRECT(ADDRESS(ROW(),COLUMN()-1,4))="41113630","Multímetros",""))</f>
        <v>Multímetros</v>
      </c>
      <c r="C4320" s="72" t="str">
        <f>IFERROR(VLOOKUP("UD",'Informacion '!P:Q,2,FALSE),"")</f>
        <v>Unidad</v>
      </c>
      <c r="D4320" s="39">
        <v>1</v>
      </c>
      <c r="E4320" s="42">
        <v>3717</v>
      </c>
      <c r="F4320" s="41">
        <f t="shared" ca="1" si="166"/>
        <v>3717</v>
      </c>
    </row>
    <row r="4321" spans="1:10" ht="14.25" customHeight="1" x14ac:dyDescent="0.35">
      <c r="A4321" s="39" t="s">
        <v>12189</v>
      </c>
      <c r="B4321" s="40" t="str">
        <f ca="1">IFERROR(INDEX(UNSPSCDes,MATCH(INDIRECT(ADDRESS(ROW(),COLUMN()-1,4)),UNSPSCCode,0)),IF(INDIRECT(ADDRESS(ROW(),COLUMN()-1,4))="41113630","Multímetros",""))</f>
        <v>Multímetros</v>
      </c>
      <c r="C4321" s="72" t="str">
        <f>IFERROR(VLOOKUP("UD",'Informacion '!P:Q,2,FALSE),"")</f>
        <v>Unidad</v>
      </c>
      <c r="D4321" s="39">
        <v>2</v>
      </c>
      <c r="E4321" s="42">
        <v>8496</v>
      </c>
      <c r="F4321" s="41">
        <f t="shared" ca="1" si="166"/>
        <v>16992</v>
      </c>
    </row>
    <row r="4322" spans="1:10" ht="14.25" customHeight="1" x14ac:dyDescent="0.35">
      <c r="A4322" s="39" t="s">
        <v>14579</v>
      </c>
      <c r="B4322" s="40" t="str">
        <f ca="1">IFERROR(INDEX(UNSPSCDes,MATCH(INDIRECT(ADDRESS(ROW(),COLUMN()-1,4)),UNSPSCCode,0)),IF(INDIRECT(ADDRESS(ROW(),COLUMN()-1,4))="41113648","Voltiamperímetro empotrable",""))</f>
        <v>Voltiamperímetro empotrable</v>
      </c>
      <c r="C4322" s="72" t="str">
        <f>IFERROR(VLOOKUP("UD",'Informacion '!P:Q,2,FALSE),"")</f>
        <v>Unidad</v>
      </c>
      <c r="D4322" s="39">
        <v>5</v>
      </c>
      <c r="E4322" s="42">
        <v>19695</v>
      </c>
      <c r="F4322" s="41">
        <f t="shared" ca="1" si="166"/>
        <v>98475</v>
      </c>
    </row>
    <row r="4323" spans="1:10" ht="14.25" customHeight="1" x14ac:dyDescent="0.35">
      <c r="A4323" s="39" t="s">
        <v>5552</v>
      </c>
      <c r="B4323" s="40" t="str">
        <f ca="1">IFERROR(INDEX(UNSPSCDes,MATCH(INDIRECT(ADDRESS(ROW(),COLUMN()-1,4)),UNSPSCCode,0)),IF(INDIRECT(ADDRESS(ROW(),COLUMN()-1,4))="41113711","Analizadores de red",""))</f>
        <v>Analizadores de red</v>
      </c>
      <c r="C4323" s="72" t="str">
        <f>IFERROR(VLOOKUP("UD",'Informacion '!P:Q,2,FALSE),"")</f>
        <v>Unidad</v>
      </c>
      <c r="D4323" s="39">
        <v>5</v>
      </c>
      <c r="E4323" s="42">
        <v>480000</v>
      </c>
      <c r="F4323" s="41">
        <f t="shared" ca="1" si="166"/>
        <v>2400000</v>
      </c>
    </row>
    <row r="4324" spans="1:10" ht="14.25" customHeight="1" x14ac:dyDescent="0.35">
      <c r="A4324" s="39" t="s">
        <v>19479</v>
      </c>
      <c r="B4324" s="40" t="str">
        <f ca="1">IFERROR(INDEX(UNSPSCDes,MATCH(INDIRECT(ADDRESS(ROW(),COLUMN()-1,4)),UNSPSCCode,0)),IF(INDIRECT(ADDRESS(ROW(),COLUMN()-1,4))="41113801","Compases geológicos",""))</f>
        <v>Compases geológicos</v>
      </c>
      <c r="C4324" s="72" t="str">
        <f>IFERROR(VLOOKUP("UD",'Informacion '!P:Q,2,FALSE),"")</f>
        <v>Unidad</v>
      </c>
      <c r="D4324" s="39">
        <v>1</v>
      </c>
      <c r="E4324" s="42">
        <v>25000</v>
      </c>
      <c r="F4324" s="41">
        <f t="shared" ca="1" si="166"/>
        <v>25000</v>
      </c>
    </row>
    <row r="4325" spans="1:10" ht="14.25" customHeight="1" x14ac:dyDescent="0.35">
      <c r="A4325" s="39" t="s">
        <v>17011</v>
      </c>
      <c r="B4325" s="40" t="str">
        <f ca="1">IFERROR(INDEX(UNSPSCDes,MATCH(INDIRECT(ADDRESS(ROW(),COLUMN()-1,4)),UNSPSCCode,0)),IF(INDIRECT(ADDRESS(ROW(),COLUMN()-1,4))="41114201","Cintas medidoras",""))</f>
        <v>Cintas medidoras</v>
      </c>
      <c r="C4325" s="72" t="str">
        <f>IFERROR(VLOOKUP("UD",'Informacion '!P:Q,2,FALSE),"")</f>
        <v>Unidad</v>
      </c>
      <c r="D4325" s="39">
        <v>4</v>
      </c>
      <c r="E4325" s="42">
        <v>749</v>
      </c>
      <c r="F4325" s="41">
        <f t="shared" ca="1" si="166"/>
        <v>2996</v>
      </c>
    </row>
    <row r="4326" spans="1:10" ht="14.25" customHeight="1" x14ac:dyDescent="0.35">
      <c r="A4326" s="39" t="s">
        <v>17011</v>
      </c>
      <c r="B4326" s="40" t="str">
        <f ca="1">IFERROR(INDEX(UNSPSCDes,MATCH(INDIRECT(ADDRESS(ROW(),COLUMN()-1,4)),UNSPSCCode,0)),IF(INDIRECT(ADDRESS(ROW(),COLUMN()-1,4))="41114201","Cintas medidoras",""))</f>
        <v>Cintas medidoras</v>
      </c>
      <c r="C4326" s="72" t="str">
        <f>IFERROR(VLOOKUP("UD",'Informacion '!P:Q,2,FALSE),"")</f>
        <v>Unidad</v>
      </c>
      <c r="D4326" s="39">
        <v>24</v>
      </c>
      <c r="E4326" s="42">
        <v>749</v>
      </c>
      <c r="F4326" s="41">
        <f t="shared" ca="1" si="166"/>
        <v>17976</v>
      </c>
    </row>
    <row r="4327" spans="1:10" ht="14.25" customHeight="1" x14ac:dyDescent="0.35">
      <c r="A4327" s="39" t="s">
        <v>17011</v>
      </c>
      <c r="B4327" s="40" t="str">
        <f ca="1">IFERROR(INDEX(UNSPSCDes,MATCH(INDIRECT(ADDRESS(ROW(),COLUMN()-1,4)),UNSPSCCode,0)),IF(INDIRECT(ADDRESS(ROW(),COLUMN()-1,4))="41114201","Cintas medidoras",""))</f>
        <v>Cintas medidoras</v>
      </c>
      <c r="C4327" s="72" t="str">
        <f>IFERROR(VLOOKUP("UD",'Informacion '!P:Q,2,FALSE),"")</f>
        <v>Unidad</v>
      </c>
      <c r="D4327" s="39">
        <v>10</v>
      </c>
      <c r="E4327" s="42">
        <v>424</v>
      </c>
      <c r="F4327" s="41">
        <f t="shared" ca="1" si="166"/>
        <v>4240</v>
      </c>
    </row>
    <row r="4328" spans="1:10" ht="14.25" customHeight="1" x14ac:dyDescent="0.35">
      <c r="E4328" s="44" t="s">
        <v>13122</v>
      </c>
      <c r="F4328" s="45">
        <f ca="1">SUM(Table228[MONTO TOTAL ESTIMADO])</f>
        <v>4665835</v>
      </c>
      <c r="H4328" s="24" t="str">
        <f>C4307</f>
        <v>Bienes</v>
      </c>
      <c r="I4328" s="24" t="str">
        <f>E4307</f>
        <v>Sí</v>
      </c>
      <c r="J4328" s="24" t="str">
        <f>D4307</f>
        <v>Comparacion de Precios</v>
      </c>
    </row>
    <row r="4330" spans="1:10" ht="34" customHeight="1" x14ac:dyDescent="0.35">
      <c r="A4330" s="36" t="s">
        <v>17105</v>
      </c>
      <c r="B4330" s="36" t="s">
        <v>167</v>
      </c>
      <c r="C4330" s="36" t="s">
        <v>12252</v>
      </c>
      <c r="D4330" s="36" t="s">
        <v>15021</v>
      </c>
      <c r="E4330" s="36" t="s">
        <v>11455</v>
      </c>
      <c r="F4330" s="36" t="s">
        <v>11595</v>
      </c>
    </row>
    <row r="4331" spans="1:10" ht="14.25" customHeight="1" x14ac:dyDescent="0.35">
      <c r="A4331" s="37" t="s">
        <v>18407</v>
      </c>
      <c r="B4331" s="37" t="s">
        <v>18407</v>
      </c>
      <c r="C4331" s="37" t="s">
        <v>18585</v>
      </c>
      <c r="D4331" s="37" t="s">
        <v>1950</v>
      </c>
      <c r="E4331" s="37" t="s">
        <v>9261</v>
      </c>
      <c r="F4331" s="37" t="s">
        <v>7088</v>
      </c>
    </row>
    <row r="4332" spans="1:10" ht="14.25" customHeight="1" x14ac:dyDescent="0.35">
      <c r="A4332" s="75" t="s">
        <v>15490</v>
      </c>
      <c r="B4332" s="38" t="s">
        <v>8918</v>
      </c>
      <c r="C4332" s="68">
        <v>45383</v>
      </c>
      <c r="D4332" s="75" t="s">
        <v>9819</v>
      </c>
      <c r="E4332" s="70" t="s">
        <v>13683</v>
      </c>
      <c r="F4332" s="71" t="s">
        <v>3205</v>
      </c>
    </row>
    <row r="4333" spans="1:10" ht="14.25" customHeight="1" x14ac:dyDescent="0.35">
      <c r="A4333" s="76"/>
      <c r="B4333" s="38" t="s">
        <v>1858</v>
      </c>
      <c r="C4333" s="69">
        <f>IF(C4332="","",IF(AND(MONTH(C4332)&gt;=1,MONTH(C4332)&lt;=3),1,IF(AND(MONTH(C4332)&gt;=4,MONTH(C4332)&lt;=6),2,IF(AND(MONTH(C4332)&gt;=7,MONTH(C4332)&lt;=9),3,4))))</f>
        <v>2</v>
      </c>
      <c r="D4333" s="76"/>
      <c r="E4333" s="70" t="s">
        <v>2509</v>
      </c>
      <c r="F4333" s="71" t="s">
        <v>11612</v>
      </c>
    </row>
    <row r="4334" spans="1:10" ht="14.25" customHeight="1" x14ac:dyDescent="0.35">
      <c r="A4334" s="76"/>
      <c r="B4334" s="38" t="s">
        <v>13526</v>
      </c>
      <c r="C4334" s="68">
        <v>45471</v>
      </c>
      <c r="D4334" s="76"/>
      <c r="E4334" s="70" t="s">
        <v>3198</v>
      </c>
      <c r="F4334" s="71" t="s">
        <v>11612</v>
      </c>
    </row>
    <row r="4335" spans="1:10" ht="14.25" customHeight="1" x14ac:dyDescent="0.35">
      <c r="A4335" s="76"/>
      <c r="B4335" s="38" t="s">
        <v>1858</v>
      </c>
      <c r="C4335" s="69">
        <f>IF(C4334="","",IF(AND(MONTH(C4334)&gt;=1,MONTH(C4334)&lt;=3),1,IF(AND(MONTH(C4334)&gt;=4,MONTH(C4334)&lt;=6),2,IF(AND(MONTH(C4334)&gt;=7,MONTH(C4334)&lt;=9),3,4))))</f>
        <v>2</v>
      </c>
      <c r="D4335" s="76"/>
      <c r="E4335" s="70" t="s">
        <v>13785</v>
      </c>
      <c r="F4335" s="71"/>
    </row>
    <row r="4337" spans="1:10" ht="14.25" customHeight="1" x14ac:dyDescent="0.35">
      <c r="A4337" s="43" t="s">
        <v>16424</v>
      </c>
      <c r="B4337" s="43" t="s">
        <v>16856</v>
      </c>
      <c r="C4337" s="43" t="s">
        <v>16326</v>
      </c>
      <c r="D4337" s="43" t="s">
        <v>15925</v>
      </c>
      <c r="E4337" s="43" t="s">
        <v>7248</v>
      </c>
      <c r="F4337" s="43" t="s">
        <v>15955</v>
      </c>
    </row>
    <row r="4338" spans="1:10" ht="14.25" customHeight="1" x14ac:dyDescent="0.35">
      <c r="A4338" s="39" t="s">
        <v>3867</v>
      </c>
      <c r="B4338" s="40" t="str">
        <f ca="1">IFERROR(INDEX(UNSPSCDes,MATCH(INDIRECT(ADDRESS(ROW(),COLUMN()-1,4)),UNSPSCCode,0)),IF(INDIRECT(ADDRESS(ROW(),COLUMN()-1,4))="41111714","Lupas",""))</f>
        <v>Lupas</v>
      </c>
      <c r="C4338" s="72" t="str">
        <f>IFERROR(VLOOKUP("UD",'Informacion '!P:Q,2,FALSE),"")</f>
        <v>Unidad</v>
      </c>
      <c r="D4338" s="39">
        <v>2</v>
      </c>
      <c r="E4338" s="42">
        <v>1416</v>
      </c>
      <c r="F4338" s="41">
        <f t="shared" ref="F4338:F4347" ca="1" si="167">INDIRECT(ADDRESS(ROW(),COLUMN()-2,4))*INDIRECT(ADDRESS(ROW(),COLUMN()-1,4))</f>
        <v>2832</v>
      </c>
    </row>
    <row r="4339" spans="1:10" ht="14.25" customHeight="1" x14ac:dyDescent="0.35">
      <c r="A4339" s="39" t="s">
        <v>3867</v>
      </c>
      <c r="B4339" s="40" t="str">
        <f ca="1">IFERROR(INDEX(UNSPSCDes,MATCH(INDIRECT(ADDRESS(ROW(),COLUMN()-1,4)),UNSPSCCode,0)),IF(INDIRECT(ADDRESS(ROW(),COLUMN()-1,4))="41111714","Lupas",""))</f>
        <v>Lupas</v>
      </c>
      <c r="C4339" s="72" t="str">
        <f>IFERROR(VLOOKUP("UD",'Informacion '!P:Q,2,FALSE),"")</f>
        <v>Unidad</v>
      </c>
      <c r="D4339" s="39">
        <v>3</v>
      </c>
      <c r="E4339" s="42">
        <v>1416</v>
      </c>
      <c r="F4339" s="41">
        <f t="shared" ca="1" si="167"/>
        <v>4248</v>
      </c>
    </row>
    <row r="4340" spans="1:10" ht="14.25" customHeight="1" x14ac:dyDescent="0.35">
      <c r="A4340" s="39" t="s">
        <v>612</v>
      </c>
      <c r="B4340" s="40" t="str">
        <f ca="1">IFERROR(INDEX(UNSPSCDes,MATCH(INDIRECT(ADDRESS(ROW(),COLUMN()-1,4)),UNSPSCCode,0)),IF(INDIRECT(ADDRESS(ROW(),COLUMN()-1,4))="41112211","Termómetros de resistencia",""))</f>
        <v>Termómetros de resistencia</v>
      </c>
      <c r="C4340" s="72" t="str">
        <f>IFERROR(VLOOKUP("UD",'Informacion '!P:Q,2,FALSE),"")</f>
        <v>Unidad</v>
      </c>
      <c r="D4340" s="39">
        <v>5</v>
      </c>
      <c r="E4340" s="42">
        <v>17841</v>
      </c>
      <c r="F4340" s="41">
        <f t="shared" ca="1" si="167"/>
        <v>89205</v>
      </c>
    </row>
    <row r="4341" spans="1:10" ht="14.25" customHeight="1" x14ac:dyDescent="0.35">
      <c r="A4341" s="39" t="s">
        <v>8843</v>
      </c>
      <c r="B4341" s="40" t="str">
        <f ca="1">IFERROR(INDEX(UNSPSCDes,MATCH(INDIRECT(ADDRESS(ROW(),COLUMN()-1,4)),UNSPSCCode,0)),IF(INDIRECT(ADDRESS(ROW(),COLUMN()-1,4))="41113601","Amperímetros",""))</f>
        <v>Amperímetros</v>
      </c>
      <c r="C4341" s="72" t="str">
        <f>IFERROR(VLOOKUP("UD",'Informacion '!P:Q,2,FALSE),"")</f>
        <v>Unidad</v>
      </c>
      <c r="D4341" s="39">
        <v>5</v>
      </c>
      <c r="E4341" s="42">
        <v>19500</v>
      </c>
      <c r="F4341" s="41">
        <f t="shared" ca="1" si="167"/>
        <v>97500</v>
      </c>
    </row>
    <row r="4342" spans="1:10" ht="14.25" customHeight="1" x14ac:dyDescent="0.35">
      <c r="A4342" s="39" t="s">
        <v>5552</v>
      </c>
      <c r="B4342" s="40" t="str">
        <f ca="1">IFERROR(INDEX(UNSPSCDes,MATCH(INDIRECT(ADDRESS(ROW(),COLUMN()-1,4)),UNSPSCCode,0)),IF(INDIRECT(ADDRESS(ROW(),COLUMN()-1,4))="41113711","Analizadores de red",""))</f>
        <v>Analizadores de red</v>
      </c>
      <c r="C4342" s="72" t="str">
        <f>IFERROR(VLOOKUP("UD",'Informacion '!P:Q,2,FALSE),"")</f>
        <v>Unidad</v>
      </c>
      <c r="D4342" s="39">
        <v>1</v>
      </c>
      <c r="E4342" s="42">
        <v>1194720</v>
      </c>
      <c r="F4342" s="41">
        <f t="shared" ca="1" si="167"/>
        <v>1194720</v>
      </c>
    </row>
    <row r="4343" spans="1:10" ht="14.25" customHeight="1" x14ac:dyDescent="0.35">
      <c r="A4343" s="39" t="s">
        <v>19479</v>
      </c>
      <c r="B4343" s="40" t="str">
        <f ca="1">IFERROR(INDEX(UNSPSCDes,MATCH(INDIRECT(ADDRESS(ROW(),COLUMN()-1,4)),UNSPSCCode,0)),IF(INDIRECT(ADDRESS(ROW(),COLUMN()-1,4))="41113801","Compases geológicos",""))</f>
        <v>Compases geológicos</v>
      </c>
      <c r="C4343" s="72" t="str">
        <f>IFERROR(VLOOKUP("UD",'Informacion '!P:Q,2,FALSE),"")</f>
        <v>Unidad</v>
      </c>
      <c r="D4343" s="39">
        <v>2</v>
      </c>
      <c r="E4343" s="42">
        <v>22000</v>
      </c>
      <c r="F4343" s="41">
        <f t="shared" ca="1" si="167"/>
        <v>44000</v>
      </c>
    </row>
    <row r="4344" spans="1:10" ht="14.25" customHeight="1" x14ac:dyDescent="0.35">
      <c r="A4344" s="39" t="s">
        <v>19479</v>
      </c>
      <c r="B4344" s="40" t="str">
        <f ca="1">IFERROR(INDEX(UNSPSCDes,MATCH(INDIRECT(ADDRESS(ROW(),COLUMN()-1,4)),UNSPSCCode,0)),IF(INDIRECT(ADDRESS(ROW(),COLUMN()-1,4))="41113801","Compases geológicos",""))</f>
        <v>Compases geológicos</v>
      </c>
      <c r="C4344" s="72" t="str">
        <f>IFERROR(VLOOKUP("UD",'Informacion '!P:Q,2,FALSE),"")</f>
        <v>Unidad</v>
      </c>
      <c r="D4344" s="39">
        <v>3</v>
      </c>
      <c r="E4344" s="42">
        <v>3481</v>
      </c>
      <c r="F4344" s="41">
        <f t="shared" ca="1" si="167"/>
        <v>10443</v>
      </c>
    </row>
    <row r="4345" spans="1:10" ht="14.25" customHeight="1" x14ac:dyDescent="0.35">
      <c r="A4345" s="39" t="s">
        <v>843</v>
      </c>
      <c r="B4345" s="40" t="str">
        <f ca="1">IFERROR(INDEX(UNSPSCDes,MATCH(INDIRECT(ADDRESS(ROW(),COLUMN()-1,4)),UNSPSCCode,0)),IF(INDIRECT(ADDRESS(ROW(),COLUMN()-1,4))="41115309","Luxómetros",""))</f>
        <v>Luxómetros</v>
      </c>
      <c r="C4345" s="72" t="str">
        <f>IFERROR(VLOOKUP("UD",'Informacion '!P:Q,2,FALSE),"")</f>
        <v>Unidad</v>
      </c>
      <c r="D4345" s="39">
        <v>5</v>
      </c>
      <c r="E4345" s="42">
        <v>17709</v>
      </c>
      <c r="F4345" s="41">
        <f t="shared" ca="1" si="167"/>
        <v>88545</v>
      </c>
    </row>
    <row r="4346" spans="1:10" ht="14.25" customHeight="1" x14ac:dyDescent="0.35">
      <c r="A4346" s="39" t="s">
        <v>2134</v>
      </c>
      <c r="B4346" s="40" t="str">
        <f ca="1">IFERROR(INDEX(UNSPSCDes,MATCH(INDIRECT(ADDRESS(ROW(),COLUMN()-1,4)),UNSPSCCode,0)),IF(INDIRECT(ADDRESS(ROW(),COLUMN()-1,4))="41115603","Medidores de ph",""))</f>
        <v>Medidores de ph</v>
      </c>
      <c r="C4346" s="72" t="str">
        <f>IFERROR(VLOOKUP("UD",'Informacion '!P:Q,2,FALSE),"")</f>
        <v>Unidad</v>
      </c>
      <c r="D4346" s="39">
        <v>4</v>
      </c>
      <c r="E4346" s="42">
        <v>50253.4</v>
      </c>
      <c r="F4346" s="41">
        <f t="shared" ca="1" si="167"/>
        <v>201013.6</v>
      </c>
    </row>
    <row r="4347" spans="1:10" ht="14.25" customHeight="1" x14ac:dyDescent="0.35">
      <c r="A4347" s="39" t="s">
        <v>5928</v>
      </c>
      <c r="B4347" s="40" t="str">
        <f ca="1">IFERROR(INDEX(UNSPSCDes,MATCH(INDIRECT(ADDRESS(ROW(),COLUMN()-1,4)),UNSPSCCode,0)),IF(INDIRECT(ADDRESS(ROW(),COLUMN()-1,4))="41115830","Analizadores de glucosa",""))</f>
        <v>Analizadores de glucosa</v>
      </c>
      <c r="C4347" s="72" t="str">
        <f>IFERROR(VLOOKUP("UD",'Informacion '!P:Q,2,FALSE),"")</f>
        <v>Unidad</v>
      </c>
      <c r="D4347" s="39">
        <v>12</v>
      </c>
      <c r="E4347" s="42">
        <v>11024.25</v>
      </c>
      <c r="F4347" s="41">
        <f t="shared" ca="1" si="167"/>
        <v>132291</v>
      </c>
    </row>
    <row r="4348" spans="1:10" ht="14.25" customHeight="1" x14ac:dyDescent="0.35">
      <c r="E4348" s="44" t="s">
        <v>13122</v>
      </c>
      <c r="F4348" s="45">
        <f ca="1">SUM(Table229[MONTO TOTAL ESTIMADO])</f>
        <v>1864797.6</v>
      </c>
      <c r="H4348" s="24" t="str">
        <f>C4331</f>
        <v>Bienes</v>
      </c>
      <c r="I4348" s="24" t="str">
        <f>E4331</f>
        <v>Sí</v>
      </c>
      <c r="J4348" s="24" t="str">
        <f>D4331</f>
        <v>Comparacion de Precios</v>
      </c>
    </row>
    <row r="4350" spans="1:10" ht="34" customHeight="1" x14ac:dyDescent="0.35">
      <c r="A4350" s="36" t="s">
        <v>17105</v>
      </c>
      <c r="B4350" s="36" t="s">
        <v>167</v>
      </c>
      <c r="C4350" s="36" t="s">
        <v>12252</v>
      </c>
      <c r="D4350" s="36" t="s">
        <v>15021</v>
      </c>
      <c r="E4350" s="36" t="s">
        <v>11455</v>
      </c>
      <c r="F4350" s="36" t="s">
        <v>11595</v>
      </c>
    </row>
    <row r="4351" spans="1:10" ht="14.25" customHeight="1" x14ac:dyDescent="0.35">
      <c r="A4351" s="37" t="s">
        <v>18407</v>
      </c>
      <c r="B4351" s="37" t="s">
        <v>18407</v>
      </c>
      <c r="C4351" s="37" t="s">
        <v>18585</v>
      </c>
      <c r="D4351" s="37" t="s">
        <v>1950</v>
      </c>
      <c r="E4351" s="37" t="s">
        <v>9261</v>
      </c>
      <c r="F4351" s="37" t="s">
        <v>7088</v>
      </c>
    </row>
    <row r="4352" spans="1:10" ht="14.25" customHeight="1" x14ac:dyDescent="0.35">
      <c r="A4352" s="75" t="s">
        <v>15490</v>
      </c>
      <c r="B4352" s="38" t="s">
        <v>8918</v>
      </c>
      <c r="C4352" s="68">
        <v>45474</v>
      </c>
      <c r="D4352" s="75" t="s">
        <v>9819</v>
      </c>
      <c r="E4352" s="70" t="s">
        <v>13683</v>
      </c>
      <c r="F4352" s="71" t="s">
        <v>3205</v>
      </c>
    </row>
    <row r="4353" spans="1:10" ht="14.25" customHeight="1" x14ac:dyDescent="0.35">
      <c r="A4353" s="76"/>
      <c r="B4353" s="38" t="s">
        <v>1858</v>
      </c>
      <c r="C4353" s="69">
        <f>IF(C4352="","",IF(AND(MONTH(C4352)&gt;=1,MONTH(C4352)&lt;=3),1,IF(AND(MONTH(C4352)&gt;=4,MONTH(C4352)&lt;=6),2,IF(AND(MONTH(C4352)&gt;=7,MONTH(C4352)&lt;=9),3,4))))</f>
        <v>3</v>
      </c>
      <c r="D4353" s="76"/>
      <c r="E4353" s="70" t="s">
        <v>2509</v>
      </c>
      <c r="F4353" s="71" t="s">
        <v>11612</v>
      </c>
    </row>
    <row r="4354" spans="1:10" ht="14.25" customHeight="1" x14ac:dyDescent="0.35">
      <c r="A4354" s="76"/>
      <c r="B4354" s="38" t="s">
        <v>13526</v>
      </c>
      <c r="C4354" s="68">
        <v>45565</v>
      </c>
      <c r="D4354" s="76"/>
      <c r="E4354" s="70" t="s">
        <v>3198</v>
      </c>
      <c r="F4354" s="71" t="s">
        <v>11612</v>
      </c>
    </row>
    <row r="4355" spans="1:10" ht="14.25" customHeight="1" x14ac:dyDescent="0.35">
      <c r="A4355" s="76"/>
      <c r="B4355" s="38" t="s">
        <v>1858</v>
      </c>
      <c r="C4355" s="69">
        <f>IF(C4354="","",IF(AND(MONTH(C4354)&gt;=1,MONTH(C4354)&lt;=3),1,IF(AND(MONTH(C4354)&gt;=4,MONTH(C4354)&lt;=6),2,IF(AND(MONTH(C4354)&gt;=7,MONTH(C4354)&lt;=9),3,4))))</f>
        <v>3</v>
      </c>
      <c r="D4355" s="76"/>
      <c r="E4355" s="70" t="s">
        <v>13785</v>
      </c>
      <c r="F4355" s="71"/>
    </row>
    <row r="4357" spans="1:10" ht="14.25" customHeight="1" x14ac:dyDescent="0.35">
      <c r="A4357" s="43" t="s">
        <v>16424</v>
      </c>
      <c r="B4357" s="43" t="s">
        <v>16856</v>
      </c>
      <c r="C4357" s="43" t="s">
        <v>16326</v>
      </c>
      <c r="D4357" s="43" t="s">
        <v>15925</v>
      </c>
      <c r="E4357" s="43" t="s">
        <v>7248</v>
      </c>
      <c r="F4357" s="43" t="s">
        <v>15955</v>
      </c>
    </row>
    <row r="4358" spans="1:10" ht="14.25" customHeight="1" x14ac:dyDescent="0.35">
      <c r="A4358" s="39" t="s">
        <v>15208</v>
      </c>
      <c r="B4358" s="40" t="str">
        <f ca="1">IFERROR(INDEX(UNSPSCDes,MATCH(INDIRECT(ADDRESS(ROW(),COLUMN()-1,4)),UNSPSCCode,0)),IF(INDIRECT(ADDRESS(ROW(),COLUMN()-1,4))="41112213","Termómetros de mano",""))</f>
        <v>Termómetros de mano</v>
      </c>
      <c r="C4358" s="72" t="str">
        <f>IFERROR(VLOOKUP("UD",'Informacion '!P:Q,2,FALSE),"")</f>
        <v>Unidad</v>
      </c>
      <c r="D4358" s="39">
        <v>12</v>
      </c>
      <c r="E4358" s="42">
        <v>81.42</v>
      </c>
      <c r="F4358" s="41">
        <f ca="1">INDIRECT(ADDRESS(ROW(),COLUMN()-2,4))*INDIRECT(ADDRESS(ROW(),COLUMN()-1,4))</f>
        <v>977.04</v>
      </c>
    </row>
    <row r="4359" spans="1:10" ht="14.25" customHeight="1" x14ac:dyDescent="0.35">
      <c r="E4359" s="44" t="s">
        <v>13122</v>
      </c>
      <c r="F4359" s="45">
        <f ca="1">SUM(Table230[MONTO TOTAL ESTIMADO])</f>
        <v>977.04</v>
      </c>
      <c r="H4359" s="24" t="str">
        <f>C4351</f>
        <v>Bienes</v>
      </c>
      <c r="I4359" s="24" t="str">
        <f>E4351</f>
        <v>Sí</v>
      </c>
      <c r="J4359" s="24" t="str">
        <f>D4351</f>
        <v>Comparacion de Precios</v>
      </c>
    </row>
    <row r="4361" spans="1:10" ht="34" customHeight="1" x14ac:dyDescent="0.35">
      <c r="A4361" s="36" t="s">
        <v>17105</v>
      </c>
      <c r="B4361" s="36" t="s">
        <v>167</v>
      </c>
      <c r="C4361" s="36" t="s">
        <v>12252</v>
      </c>
      <c r="D4361" s="36" t="s">
        <v>15021</v>
      </c>
      <c r="E4361" s="36" t="s">
        <v>11455</v>
      </c>
      <c r="F4361" s="36" t="s">
        <v>11595</v>
      </c>
    </row>
    <row r="4362" spans="1:10" ht="14.25" customHeight="1" x14ac:dyDescent="0.35">
      <c r="A4362" s="37" t="s">
        <v>18407</v>
      </c>
      <c r="B4362" s="37" t="s">
        <v>18407</v>
      </c>
      <c r="C4362" s="37" t="s">
        <v>18585</v>
      </c>
      <c r="D4362" s="37" t="s">
        <v>1950</v>
      </c>
      <c r="E4362" s="37" t="s">
        <v>9261</v>
      </c>
      <c r="F4362" s="37" t="s">
        <v>7088</v>
      </c>
    </row>
    <row r="4363" spans="1:10" ht="14.25" customHeight="1" x14ac:dyDescent="0.35">
      <c r="A4363" s="75" t="s">
        <v>15490</v>
      </c>
      <c r="B4363" s="38" t="s">
        <v>8918</v>
      </c>
      <c r="C4363" s="68">
        <v>45334</v>
      </c>
      <c r="D4363" s="75" t="s">
        <v>9819</v>
      </c>
      <c r="E4363" s="70" t="s">
        <v>13683</v>
      </c>
      <c r="F4363" s="71" t="s">
        <v>3205</v>
      </c>
    </row>
    <row r="4364" spans="1:10" ht="14.25" customHeight="1" x14ac:dyDescent="0.35">
      <c r="A4364" s="76"/>
      <c r="B4364" s="38" t="s">
        <v>1858</v>
      </c>
      <c r="C4364" s="69">
        <f>IF(C4363="","",IF(AND(MONTH(C4363)&gt;=1,MONTH(C4363)&lt;=3),1,IF(AND(MONTH(C4363)&gt;=4,MONTH(C4363)&lt;=6),2,IF(AND(MONTH(C4363)&gt;=7,MONTH(C4363)&lt;=9),3,4))))</f>
        <v>1</v>
      </c>
      <c r="D4364" s="76"/>
      <c r="E4364" s="70" t="s">
        <v>2509</v>
      </c>
      <c r="F4364" s="71" t="s">
        <v>11612</v>
      </c>
    </row>
    <row r="4365" spans="1:10" ht="14.25" customHeight="1" x14ac:dyDescent="0.35">
      <c r="A4365" s="76"/>
      <c r="B4365" s="38" t="s">
        <v>13526</v>
      </c>
      <c r="C4365" s="68">
        <v>45378</v>
      </c>
      <c r="D4365" s="76"/>
      <c r="E4365" s="70" t="s">
        <v>3198</v>
      </c>
      <c r="F4365" s="71" t="s">
        <v>11612</v>
      </c>
    </row>
    <row r="4366" spans="1:10" ht="14.25" customHeight="1" x14ac:dyDescent="0.35">
      <c r="A4366" s="76"/>
      <c r="B4366" s="38" t="s">
        <v>1858</v>
      </c>
      <c r="C4366" s="69">
        <f>IF(C4365="","",IF(AND(MONTH(C4365)&gt;=1,MONTH(C4365)&lt;=3),1,IF(AND(MONTH(C4365)&gt;=4,MONTH(C4365)&lt;=6),2,IF(AND(MONTH(C4365)&gt;=7,MONTH(C4365)&lt;=9),3,4))))</f>
        <v>1</v>
      </c>
      <c r="D4366" s="76"/>
      <c r="E4366" s="70" t="s">
        <v>13785</v>
      </c>
      <c r="F4366" s="71"/>
    </row>
    <row r="4368" spans="1:10" ht="14.25" customHeight="1" x14ac:dyDescent="0.35">
      <c r="A4368" s="43" t="s">
        <v>16424</v>
      </c>
      <c r="B4368" s="43" t="s">
        <v>16856</v>
      </c>
      <c r="C4368" s="43" t="s">
        <v>16326</v>
      </c>
      <c r="D4368" s="43" t="s">
        <v>15925</v>
      </c>
      <c r="E4368" s="43" t="s">
        <v>7248</v>
      </c>
      <c r="F4368" s="43" t="s">
        <v>15955</v>
      </c>
    </row>
    <row r="4369" spans="1:10" ht="14.25" customHeight="1" x14ac:dyDescent="0.35">
      <c r="A4369" s="39" t="s">
        <v>365</v>
      </c>
      <c r="B4369" s="40" t="str">
        <f ca="1">IFERROR(INDEX(UNSPSCDes,MATCH(INDIRECT(ADDRESS(ROW(),COLUMN()-1,4)),UNSPSCCode,0)),IF(INDIRECT(ADDRESS(ROW(),COLUMN()-1,4))="41122411","Cronómetros o relojes para laboratorio",""))</f>
        <v>Cronómetros o relojes para laboratorio</v>
      </c>
      <c r="C4369" s="72" t="str">
        <f>IFERROR(VLOOKUP("UD",'Informacion '!P:Q,2,FALSE),"")</f>
        <v>Unidad</v>
      </c>
      <c r="D4369" s="39">
        <v>6</v>
      </c>
      <c r="E4369" s="42">
        <v>1399</v>
      </c>
      <c r="F4369" s="41">
        <f ca="1">INDIRECT(ADDRESS(ROW(),COLUMN()-2,4))*INDIRECT(ADDRESS(ROW(),COLUMN()-1,4))</f>
        <v>8394</v>
      </c>
    </row>
    <row r="4370" spans="1:10" ht="14.25" customHeight="1" x14ac:dyDescent="0.35">
      <c r="E4370" s="44" t="s">
        <v>13122</v>
      </c>
      <c r="F4370" s="45">
        <f ca="1">SUM(Table231[MONTO TOTAL ESTIMADO])</f>
        <v>8394</v>
      </c>
      <c r="H4370" s="24" t="str">
        <f>C4362</f>
        <v>Bienes</v>
      </c>
      <c r="I4370" s="24" t="str">
        <f>E4362</f>
        <v>Sí</v>
      </c>
      <c r="J4370" s="24" t="str">
        <f>D4362</f>
        <v>Comparacion de Precios</v>
      </c>
    </row>
    <row r="4372" spans="1:10" ht="34" customHeight="1" x14ac:dyDescent="0.35">
      <c r="A4372" s="36" t="s">
        <v>17105</v>
      </c>
      <c r="B4372" s="36" t="s">
        <v>167</v>
      </c>
      <c r="C4372" s="36" t="s">
        <v>12252</v>
      </c>
      <c r="D4372" s="36" t="s">
        <v>15021</v>
      </c>
      <c r="E4372" s="36" t="s">
        <v>11455</v>
      </c>
      <c r="F4372" s="36" t="s">
        <v>11595</v>
      </c>
    </row>
    <row r="4373" spans="1:10" ht="14.25" customHeight="1" x14ac:dyDescent="0.35">
      <c r="A4373" s="37" t="s">
        <v>488</v>
      </c>
      <c r="B4373" s="37" t="s">
        <v>488</v>
      </c>
      <c r="C4373" s="37" t="s">
        <v>18585</v>
      </c>
      <c r="D4373" s="37" t="s">
        <v>10634</v>
      </c>
      <c r="E4373" s="37" t="s">
        <v>9261</v>
      </c>
      <c r="F4373" s="37" t="s">
        <v>7088</v>
      </c>
    </row>
    <row r="4374" spans="1:10" ht="14.25" customHeight="1" x14ac:dyDescent="0.35">
      <c r="A4374" s="75" t="s">
        <v>15490</v>
      </c>
      <c r="B4374" s="38" t="s">
        <v>8918</v>
      </c>
      <c r="C4374" s="68">
        <v>45334</v>
      </c>
      <c r="D4374" s="75" t="s">
        <v>9819</v>
      </c>
      <c r="E4374" s="70" t="s">
        <v>13683</v>
      </c>
      <c r="F4374" s="71" t="s">
        <v>3205</v>
      </c>
    </row>
    <row r="4375" spans="1:10" ht="14.25" customHeight="1" x14ac:dyDescent="0.35">
      <c r="A4375" s="76"/>
      <c r="B4375" s="38" t="s">
        <v>1858</v>
      </c>
      <c r="C4375" s="69">
        <f>IF(C4374="","",IF(AND(MONTH(C4374)&gt;=1,MONTH(C4374)&lt;=3),1,IF(AND(MONTH(C4374)&gt;=4,MONTH(C4374)&lt;=6),2,IF(AND(MONTH(C4374)&gt;=7,MONTH(C4374)&lt;=9),3,4))))</f>
        <v>1</v>
      </c>
      <c r="D4375" s="76"/>
      <c r="E4375" s="70" t="s">
        <v>2509</v>
      </c>
      <c r="F4375" s="71" t="s">
        <v>11612</v>
      </c>
    </row>
    <row r="4376" spans="1:10" ht="14.25" customHeight="1" x14ac:dyDescent="0.35">
      <c r="A4376" s="76"/>
      <c r="B4376" s="38" t="s">
        <v>13526</v>
      </c>
      <c r="C4376" s="68">
        <v>45378</v>
      </c>
      <c r="D4376" s="76"/>
      <c r="E4376" s="70" t="s">
        <v>3198</v>
      </c>
      <c r="F4376" s="71" t="s">
        <v>11612</v>
      </c>
    </row>
    <row r="4377" spans="1:10" ht="14.25" customHeight="1" x14ac:dyDescent="0.35">
      <c r="A4377" s="76"/>
      <c r="B4377" s="38" t="s">
        <v>1858</v>
      </c>
      <c r="C4377" s="69">
        <f>IF(C4376="","",IF(AND(MONTH(C4376)&gt;=1,MONTH(C4376)&lt;=3),1,IF(AND(MONTH(C4376)&gt;=4,MONTH(C4376)&lt;=6),2,IF(AND(MONTH(C4376)&gt;=7,MONTH(C4376)&lt;=9),3,4))))</f>
        <v>1</v>
      </c>
      <c r="D4377" s="76"/>
      <c r="E4377" s="70" t="s">
        <v>13785</v>
      </c>
      <c r="F4377" s="71"/>
    </row>
    <row r="4379" spans="1:10" ht="14.25" customHeight="1" x14ac:dyDescent="0.35">
      <c r="A4379" s="43" t="s">
        <v>16424</v>
      </c>
      <c r="B4379" s="43" t="s">
        <v>16856</v>
      </c>
      <c r="C4379" s="43" t="s">
        <v>16326</v>
      </c>
      <c r="D4379" s="43" t="s">
        <v>15925</v>
      </c>
      <c r="E4379" s="43" t="s">
        <v>7248</v>
      </c>
      <c r="F4379" s="43" t="s">
        <v>15955</v>
      </c>
    </row>
    <row r="4380" spans="1:10" ht="14.25" customHeight="1" x14ac:dyDescent="0.35">
      <c r="A4380" s="39" t="s">
        <v>2178</v>
      </c>
      <c r="B4380" s="40" t="str">
        <f ca="1">IFERROR(INDEX(UNSPSCDes,MATCH(INDIRECT(ADDRESS(ROW(),COLUMN()-1,4)),UNSPSCCode,0)),IF(INDIRECT(ADDRESS(ROW(),COLUMN()-1,4))="42131606","Máscaras quirúrgicas o de aislamiento para personal médico",""))</f>
        <v>Máscaras quirúrgicas o de aislamiento para personal médico</v>
      </c>
      <c r="C4380" s="72" t="str">
        <f>IFERROR(VLOOKUP("UD",'Informacion '!P:Q,2,FALSE),"")</f>
        <v>Unidad</v>
      </c>
      <c r="D4380" s="39">
        <v>6</v>
      </c>
      <c r="E4380" s="42">
        <v>618</v>
      </c>
      <c r="F4380" s="41">
        <f ca="1">INDIRECT(ADDRESS(ROW(),COLUMN()-2,4))*INDIRECT(ADDRESS(ROW(),COLUMN()-1,4))</f>
        <v>3708</v>
      </c>
    </row>
    <row r="4381" spans="1:10" ht="14.25" customHeight="1" x14ac:dyDescent="0.35">
      <c r="A4381" s="39" t="s">
        <v>8797</v>
      </c>
      <c r="B4381" s="40" t="str">
        <f ca="1">IFERROR(INDEX(UNSPSCDes,MATCH(INDIRECT(ADDRESS(ROW(),COLUMN()-1,4)),UNSPSCCode,0)),IF(INDIRECT(ADDRESS(ROW(),COLUMN()-1,4))="42132201","Cajas o dispensadores de guantes médicos",""))</f>
        <v>Cajas o dispensadores de guantes médicos</v>
      </c>
      <c r="C4381" s="72" t="str">
        <f>IFERROR(VLOOKUP("UD",'Informacion '!P:Q,2,FALSE),"")</f>
        <v>Unidad</v>
      </c>
      <c r="D4381" s="39">
        <v>10</v>
      </c>
      <c r="E4381" s="42">
        <v>1799.83</v>
      </c>
      <c r="F4381" s="41">
        <f ca="1">INDIRECT(ADDRESS(ROW(),COLUMN()-2,4))*INDIRECT(ADDRESS(ROW(),COLUMN()-1,4))</f>
        <v>17998.3</v>
      </c>
    </row>
    <row r="4382" spans="1:10" ht="14.25" customHeight="1" x14ac:dyDescent="0.35">
      <c r="A4382" s="39" t="s">
        <v>8797</v>
      </c>
      <c r="B4382" s="40" t="str">
        <f ca="1">IFERROR(INDEX(UNSPSCDes,MATCH(INDIRECT(ADDRESS(ROW(),COLUMN()-1,4)),UNSPSCCode,0)),IF(INDIRECT(ADDRESS(ROW(),COLUMN()-1,4))="42132201","Cajas o dispensadores de guantes médicos",""))</f>
        <v>Cajas o dispensadores de guantes médicos</v>
      </c>
      <c r="C4382" s="72" t="str">
        <f>IFERROR(VLOOKUP("UD",'Informacion '!P:Q,2,FALSE),"")</f>
        <v>Unidad</v>
      </c>
      <c r="D4382" s="39">
        <v>8</v>
      </c>
      <c r="E4382" s="42">
        <v>1799.83</v>
      </c>
      <c r="F4382" s="41">
        <f ca="1">INDIRECT(ADDRESS(ROW(),COLUMN()-2,4))*INDIRECT(ADDRESS(ROW(),COLUMN()-1,4))</f>
        <v>14398.64</v>
      </c>
    </row>
    <row r="4383" spans="1:10" ht="14.25" customHeight="1" x14ac:dyDescent="0.35">
      <c r="E4383" s="44" t="s">
        <v>13122</v>
      </c>
      <c r="F4383" s="45">
        <f ca="1">SUM(Table232[MONTO TOTAL ESTIMADO])</f>
        <v>36104.94</v>
      </c>
      <c r="H4383" s="24" t="str">
        <f>C4373</f>
        <v>Bienes</v>
      </c>
      <c r="I4383" s="24" t="str">
        <f>E4373</f>
        <v>Sí</v>
      </c>
      <c r="J4383" s="24" t="str">
        <f>D4373</f>
        <v>Compras por debajo del Umbral</v>
      </c>
    </row>
    <row r="4385" spans="1:10" ht="34" customHeight="1" x14ac:dyDescent="0.35">
      <c r="A4385" s="36" t="s">
        <v>17105</v>
      </c>
      <c r="B4385" s="36" t="s">
        <v>167</v>
      </c>
      <c r="C4385" s="36" t="s">
        <v>12252</v>
      </c>
      <c r="D4385" s="36" t="s">
        <v>15021</v>
      </c>
      <c r="E4385" s="36" t="s">
        <v>11455</v>
      </c>
      <c r="F4385" s="36" t="s">
        <v>11595</v>
      </c>
    </row>
    <row r="4386" spans="1:10" ht="14.25" customHeight="1" x14ac:dyDescent="0.35">
      <c r="A4386" s="37" t="s">
        <v>488</v>
      </c>
      <c r="B4386" s="37" t="s">
        <v>488</v>
      </c>
      <c r="C4386" s="37" t="s">
        <v>18585</v>
      </c>
      <c r="D4386" s="37" t="s">
        <v>10634</v>
      </c>
      <c r="E4386" s="37" t="s">
        <v>18646</v>
      </c>
      <c r="F4386" s="37" t="s">
        <v>7088</v>
      </c>
    </row>
    <row r="4387" spans="1:10" ht="14.25" customHeight="1" x14ac:dyDescent="0.35">
      <c r="A4387" s="75" t="s">
        <v>15490</v>
      </c>
      <c r="B4387" s="38" t="s">
        <v>8918</v>
      </c>
      <c r="C4387" s="68">
        <v>45383</v>
      </c>
      <c r="D4387" s="75" t="s">
        <v>9819</v>
      </c>
      <c r="E4387" s="70" t="s">
        <v>13683</v>
      </c>
      <c r="F4387" s="71" t="s">
        <v>3205</v>
      </c>
    </row>
    <row r="4388" spans="1:10" ht="14.25" customHeight="1" x14ac:dyDescent="0.35">
      <c r="A4388" s="76"/>
      <c r="B4388" s="38" t="s">
        <v>1858</v>
      </c>
      <c r="C4388" s="69">
        <f>IF(C4387="","",IF(AND(MONTH(C4387)&gt;=1,MONTH(C4387)&lt;=3),1,IF(AND(MONTH(C4387)&gt;=4,MONTH(C4387)&lt;=6),2,IF(AND(MONTH(C4387)&gt;=7,MONTH(C4387)&lt;=9),3,4))))</f>
        <v>2</v>
      </c>
      <c r="D4388" s="76"/>
      <c r="E4388" s="70" t="s">
        <v>2509</v>
      </c>
      <c r="F4388" s="71" t="s">
        <v>11612</v>
      </c>
    </row>
    <row r="4389" spans="1:10" ht="14.25" customHeight="1" x14ac:dyDescent="0.35">
      <c r="A4389" s="76"/>
      <c r="B4389" s="38" t="s">
        <v>13526</v>
      </c>
      <c r="C4389" s="68">
        <v>45471</v>
      </c>
      <c r="D4389" s="76"/>
      <c r="E4389" s="70" t="s">
        <v>3198</v>
      </c>
      <c r="F4389" s="71" t="s">
        <v>11612</v>
      </c>
    </row>
    <row r="4390" spans="1:10" ht="14.25" customHeight="1" x14ac:dyDescent="0.35">
      <c r="A4390" s="76"/>
      <c r="B4390" s="38" t="s">
        <v>1858</v>
      </c>
      <c r="C4390" s="69">
        <f>IF(C4389="","",IF(AND(MONTH(C4389)&gt;=1,MONTH(C4389)&lt;=3),1,IF(AND(MONTH(C4389)&gt;=4,MONTH(C4389)&lt;=6),2,IF(AND(MONTH(C4389)&gt;=7,MONTH(C4389)&lt;=9),3,4))))</f>
        <v>2</v>
      </c>
      <c r="D4390" s="76"/>
      <c r="E4390" s="70" t="s">
        <v>13785</v>
      </c>
      <c r="F4390" s="71"/>
    </row>
    <row r="4392" spans="1:10" ht="14.25" customHeight="1" x14ac:dyDescent="0.35">
      <c r="A4392" s="43" t="s">
        <v>16424</v>
      </c>
      <c r="B4392" s="43" t="s">
        <v>16856</v>
      </c>
      <c r="C4392" s="43" t="s">
        <v>16326</v>
      </c>
      <c r="D4392" s="43" t="s">
        <v>15925</v>
      </c>
      <c r="E4392" s="43" t="s">
        <v>7248</v>
      </c>
      <c r="F4392" s="43" t="s">
        <v>15955</v>
      </c>
    </row>
    <row r="4393" spans="1:10" ht="14.25" customHeight="1" x14ac:dyDescent="0.35">
      <c r="A4393" s="39" t="s">
        <v>2178</v>
      </c>
      <c r="B4393" s="40" t="str">
        <f ca="1">IFERROR(INDEX(UNSPSCDes,MATCH(INDIRECT(ADDRESS(ROW(),COLUMN()-1,4)),UNSPSCCode,0)),IF(INDIRECT(ADDRESS(ROW(),COLUMN()-1,4))="42131606","Máscaras quirúrgicas o de aislamiento para personal médico",""))</f>
        <v>Máscaras quirúrgicas o de aislamiento para personal médico</v>
      </c>
      <c r="C4393" s="72" t="str">
        <f>IFERROR(VLOOKUP("UD",'Informacion '!P:Q,2,FALSE),"")</f>
        <v>Unidad</v>
      </c>
      <c r="D4393" s="39">
        <v>1</v>
      </c>
      <c r="E4393" s="42">
        <v>254.83</v>
      </c>
      <c r="F4393" s="41">
        <f ca="1">INDIRECT(ADDRESS(ROW(),COLUMN()-2,4))*INDIRECT(ADDRESS(ROW(),COLUMN()-1,4))</f>
        <v>254.83</v>
      </c>
    </row>
    <row r="4394" spans="1:10" ht="14.25" customHeight="1" x14ac:dyDescent="0.35">
      <c r="E4394" s="44" t="s">
        <v>13122</v>
      </c>
      <c r="F4394" s="45">
        <f ca="1">SUM(Table233[MONTO TOTAL ESTIMADO])</f>
        <v>254.83</v>
      </c>
      <c r="H4394" s="24" t="str">
        <f>C4386</f>
        <v>Bienes</v>
      </c>
      <c r="I4394" s="24" t="str">
        <f>E4386</f>
        <v>No</v>
      </c>
      <c r="J4394" s="24" t="str">
        <f>D4386</f>
        <v>Compras por debajo del Umbral</v>
      </c>
    </row>
    <row r="4396" spans="1:10" ht="34" customHeight="1" x14ac:dyDescent="0.35">
      <c r="A4396" s="36" t="s">
        <v>17105</v>
      </c>
      <c r="B4396" s="36" t="s">
        <v>167</v>
      </c>
      <c r="C4396" s="36" t="s">
        <v>12252</v>
      </c>
      <c r="D4396" s="36" t="s">
        <v>15021</v>
      </c>
      <c r="E4396" s="36" t="s">
        <v>11455</v>
      </c>
      <c r="F4396" s="36" t="s">
        <v>11595</v>
      </c>
    </row>
    <row r="4397" spans="1:10" ht="14.25" customHeight="1" x14ac:dyDescent="0.35">
      <c r="A4397" s="37" t="s">
        <v>5052</v>
      </c>
      <c r="B4397" s="37" t="s">
        <v>5052</v>
      </c>
      <c r="C4397" s="37" t="s">
        <v>18585</v>
      </c>
      <c r="D4397" s="37" t="s">
        <v>10634</v>
      </c>
      <c r="E4397" s="37" t="s">
        <v>18646</v>
      </c>
      <c r="F4397" s="37" t="s">
        <v>7088</v>
      </c>
    </row>
    <row r="4398" spans="1:10" ht="14.25" customHeight="1" x14ac:dyDescent="0.35">
      <c r="A4398" s="75" t="s">
        <v>15490</v>
      </c>
      <c r="B4398" s="38" t="s">
        <v>8918</v>
      </c>
      <c r="C4398" s="68">
        <v>45334</v>
      </c>
      <c r="D4398" s="75" t="s">
        <v>9819</v>
      </c>
      <c r="E4398" s="70" t="s">
        <v>13683</v>
      </c>
      <c r="F4398" s="71" t="s">
        <v>3205</v>
      </c>
    </row>
    <row r="4399" spans="1:10" ht="14.25" customHeight="1" x14ac:dyDescent="0.35">
      <c r="A4399" s="76"/>
      <c r="B4399" s="38" t="s">
        <v>1858</v>
      </c>
      <c r="C4399" s="69">
        <f>IF(C4398="","",IF(AND(MONTH(C4398)&gt;=1,MONTH(C4398)&lt;=3),1,IF(AND(MONTH(C4398)&gt;=4,MONTH(C4398)&lt;=6),2,IF(AND(MONTH(C4398)&gt;=7,MONTH(C4398)&lt;=9),3,4))))</f>
        <v>1</v>
      </c>
      <c r="D4399" s="76"/>
      <c r="E4399" s="70" t="s">
        <v>2509</v>
      </c>
      <c r="F4399" s="71" t="s">
        <v>11612</v>
      </c>
    </row>
    <row r="4400" spans="1:10" ht="14.25" customHeight="1" x14ac:dyDescent="0.35">
      <c r="A4400" s="76"/>
      <c r="B4400" s="38" t="s">
        <v>13526</v>
      </c>
      <c r="C4400" s="68">
        <v>45378</v>
      </c>
      <c r="D4400" s="76"/>
      <c r="E4400" s="70" t="s">
        <v>3198</v>
      </c>
      <c r="F4400" s="71" t="s">
        <v>11612</v>
      </c>
    </row>
    <row r="4401" spans="1:10" ht="14.25" customHeight="1" x14ac:dyDescent="0.35">
      <c r="A4401" s="76"/>
      <c r="B4401" s="38" t="s">
        <v>1858</v>
      </c>
      <c r="C4401" s="69">
        <f>IF(C4400="","",IF(AND(MONTH(C4400)&gt;=1,MONTH(C4400)&lt;=3),1,IF(AND(MONTH(C4400)&gt;=4,MONTH(C4400)&lt;=6),2,IF(AND(MONTH(C4400)&gt;=7,MONTH(C4400)&lt;=9),3,4))))</f>
        <v>1</v>
      </c>
      <c r="D4401" s="76"/>
      <c r="E4401" s="70" t="s">
        <v>13785</v>
      </c>
      <c r="F4401" s="71"/>
    </row>
    <row r="4403" spans="1:10" ht="14.25" customHeight="1" x14ac:dyDescent="0.35">
      <c r="A4403" s="43" t="s">
        <v>16424</v>
      </c>
      <c r="B4403" s="43" t="s">
        <v>16856</v>
      </c>
      <c r="C4403" s="43" t="s">
        <v>16326</v>
      </c>
      <c r="D4403" s="43" t="s">
        <v>15925</v>
      </c>
      <c r="E4403" s="43" t="s">
        <v>7248</v>
      </c>
      <c r="F4403" s="43" t="s">
        <v>15955</v>
      </c>
    </row>
    <row r="4404" spans="1:10" ht="14.25" customHeight="1" x14ac:dyDescent="0.35">
      <c r="A4404" s="39" t="s">
        <v>9388</v>
      </c>
      <c r="B4404" s="40" t="str">
        <f ca="1">IFERROR(INDEX(UNSPSCDes,MATCH(INDIRECT(ADDRESS(ROW(),COLUMN()-1,4)),UNSPSCCode,0)),IF(INDIRECT(ADDRESS(ROW(),COLUMN()-1,4))="42143608","Dispositivos o accesorios para estabilización o prevención de caídas de pacientes",""))</f>
        <v>Dispositivos o accesorios para estabilización o prevención de caídas de pacientes</v>
      </c>
      <c r="C4404" s="72" t="str">
        <f>IFERROR(VLOOKUP("UD",'Informacion '!P:Q,2,FALSE),"")</f>
        <v>Unidad</v>
      </c>
      <c r="D4404" s="39">
        <v>16</v>
      </c>
      <c r="E4404" s="42">
        <v>2832</v>
      </c>
      <c r="F4404" s="41">
        <f ca="1">INDIRECT(ADDRESS(ROW(),COLUMN()-2,4))*INDIRECT(ADDRESS(ROW(),COLUMN()-1,4))</f>
        <v>45312</v>
      </c>
    </row>
    <row r="4405" spans="1:10" ht="14.25" customHeight="1" x14ac:dyDescent="0.35">
      <c r="E4405" s="44" t="s">
        <v>13122</v>
      </c>
      <c r="F4405" s="45">
        <f ca="1">SUM(Table234[MONTO TOTAL ESTIMADO])</f>
        <v>45312</v>
      </c>
      <c r="H4405" s="24" t="str">
        <f>C4397</f>
        <v>Bienes</v>
      </c>
      <c r="I4405" s="24" t="str">
        <f>E4397</f>
        <v>No</v>
      </c>
      <c r="J4405" s="24" t="str">
        <f>D4397</f>
        <v>Compras por debajo del Umbral</v>
      </c>
    </row>
    <row r="4407" spans="1:10" ht="34" customHeight="1" x14ac:dyDescent="0.35">
      <c r="A4407" s="36" t="s">
        <v>17105</v>
      </c>
      <c r="B4407" s="36" t="s">
        <v>167</v>
      </c>
      <c r="C4407" s="36" t="s">
        <v>12252</v>
      </c>
      <c r="D4407" s="36" t="s">
        <v>15021</v>
      </c>
      <c r="E4407" s="36" t="s">
        <v>11455</v>
      </c>
      <c r="F4407" s="36" t="s">
        <v>11595</v>
      </c>
    </row>
    <row r="4408" spans="1:10" ht="14.25" customHeight="1" x14ac:dyDescent="0.35">
      <c r="A4408" s="37" t="s">
        <v>5052</v>
      </c>
      <c r="B4408" s="37" t="s">
        <v>5052</v>
      </c>
      <c r="C4408" s="37" t="s">
        <v>18585</v>
      </c>
      <c r="D4408" s="37" t="s">
        <v>10634</v>
      </c>
      <c r="E4408" s="37" t="s">
        <v>9261</v>
      </c>
      <c r="F4408" s="37" t="s">
        <v>7088</v>
      </c>
    </row>
    <row r="4409" spans="1:10" ht="14.25" customHeight="1" x14ac:dyDescent="0.35">
      <c r="A4409" s="75" t="s">
        <v>15490</v>
      </c>
      <c r="B4409" s="38" t="s">
        <v>8918</v>
      </c>
      <c r="C4409" s="68">
        <v>45383</v>
      </c>
      <c r="D4409" s="75" t="s">
        <v>9819</v>
      </c>
      <c r="E4409" s="70" t="s">
        <v>13683</v>
      </c>
      <c r="F4409" s="71" t="s">
        <v>3205</v>
      </c>
    </row>
    <row r="4410" spans="1:10" ht="14.25" customHeight="1" x14ac:dyDescent="0.35">
      <c r="A4410" s="76"/>
      <c r="B4410" s="38" t="s">
        <v>1858</v>
      </c>
      <c r="C4410" s="69">
        <f>IF(C4409="","",IF(AND(MONTH(C4409)&gt;=1,MONTH(C4409)&lt;=3),1,IF(AND(MONTH(C4409)&gt;=4,MONTH(C4409)&lt;=6),2,IF(AND(MONTH(C4409)&gt;=7,MONTH(C4409)&lt;=9),3,4))))</f>
        <v>2</v>
      </c>
      <c r="D4410" s="76"/>
      <c r="E4410" s="70" t="s">
        <v>2509</v>
      </c>
      <c r="F4410" s="71" t="s">
        <v>11612</v>
      </c>
    </row>
    <row r="4411" spans="1:10" ht="14.25" customHeight="1" x14ac:dyDescent="0.35">
      <c r="A4411" s="76"/>
      <c r="B4411" s="38" t="s">
        <v>13526</v>
      </c>
      <c r="C4411" s="68">
        <v>45471</v>
      </c>
      <c r="D4411" s="76"/>
      <c r="E4411" s="70" t="s">
        <v>3198</v>
      </c>
      <c r="F4411" s="71" t="s">
        <v>11612</v>
      </c>
    </row>
    <row r="4412" spans="1:10" ht="14.25" customHeight="1" x14ac:dyDescent="0.35">
      <c r="A4412" s="76"/>
      <c r="B4412" s="38" t="s">
        <v>1858</v>
      </c>
      <c r="C4412" s="69">
        <f>IF(C4411="","",IF(AND(MONTH(C4411)&gt;=1,MONTH(C4411)&lt;=3),1,IF(AND(MONTH(C4411)&gt;=4,MONTH(C4411)&lt;=6),2,IF(AND(MONTH(C4411)&gt;=7,MONTH(C4411)&lt;=9),3,4))))</f>
        <v>2</v>
      </c>
      <c r="D4412" s="76"/>
      <c r="E4412" s="70" t="s">
        <v>13785</v>
      </c>
      <c r="F4412" s="71"/>
    </row>
    <row r="4414" spans="1:10" ht="14.25" customHeight="1" x14ac:dyDescent="0.35">
      <c r="A4414" s="43" t="s">
        <v>16424</v>
      </c>
      <c r="B4414" s="43" t="s">
        <v>16856</v>
      </c>
      <c r="C4414" s="43" t="s">
        <v>16326</v>
      </c>
      <c r="D4414" s="43" t="s">
        <v>15925</v>
      </c>
      <c r="E4414" s="43" t="s">
        <v>7248</v>
      </c>
      <c r="F4414" s="43" t="s">
        <v>15955</v>
      </c>
    </row>
    <row r="4415" spans="1:10" ht="14.25" customHeight="1" x14ac:dyDescent="0.35">
      <c r="A4415" s="39" t="s">
        <v>17905</v>
      </c>
      <c r="B4415" s="40" t="str">
        <f ca="1">IFERROR(INDEX(UNSPSCDes,MATCH(INDIRECT(ADDRESS(ROW(),COLUMN()-1,4)),UNSPSCCode,0)),IF(INDIRECT(ADDRESS(ROW(),COLUMN()-1,4))="42141501","Bolas o fibra de algodón",""))</f>
        <v>Bolas o fibra de algodón</v>
      </c>
      <c r="C4415" s="72" t="str">
        <f>IFERROR(VLOOKUP("UD",'Informacion '!P:Q,2,FALSE),"")</f>
        <v>Unidad</v>
      </c>
      <c r="D4415" s="39">
        <v>2</v>
      </c>
      <c r="E4415" s="42">
        <v>6.83</v>
      </c>
      <c r="F4415" s="41">
        <f ca="1">INDIRECT(ADDRESS(ROW(),COLUMN()-2,4))*INDIRECT(ADDRESS(ROW(),COLUMN()-1,4))</f>
        <v>13.66</v>
      </c>
    </row>
    <row r="4416" spans="1:10" ht="14.25" customHeight="1" x14ac:dyDescent="0.35">
      <c r="A4416" s="39" t="s">
        <v>17905</v>
      </c>
      <c r="B4416" s="40" t="str">
        <f ca="1">IFERROR(INDEX(UNSPSCDes,MATCH(INDIRECT(ADDRESS(ROW(),COLUMN()-1,4)),UNSPSCCode,0)),IF(INDIRECT(ADDRESS(ROW(),COLUMN()-1,4))="42141501","Bolas o fibra de algodón",""))</f>
        <v>Bolas o fibra de algodón</v>
      </c>
      <c r="C4416" s="72" t="str">
        <f>IFERROR(VLOOKUP("UD",'Informacion '!P:Q,2,FALSE),"")</f>
        <v>Unidad</v>
      </c>
      <c r="D4416" s="39">
        <v>2</v>
      </c>
      <c r="E4416" s="42">
        <v>4838</v>
      </c>
      <c r="F4416" s="41">
        <f ca="1">INDIRECT(ADDRESS(ROW(),COLUMN()-2,4))*INDIRECT(ADDRESS(ROW(),COLUMN()-1,4))</f>
        <v>9676</v>
      </c>
    </row>
    <row r="4417" spans="1:10" ht="14.25" customHeight="1" x14ac:dyDescent="0.35">
      <c r="E4417" s="44" t="s">
        <v>13122</v>
      </c>
      <c r="F4417" s="45">
        <f ca="1">SUM(Table235[MONTO TOTAL ESTIMADO])</f>
        <v>9689.66</v>
      </c>
      <c r="H4417" s="24" t="str">
        <f>C4408</f>
        <v>Bienes</v>
      </c>
      <c r="I4417" s="24" t="str">
        <f>E4408</f>
        <v>Sí</v>
      </c>
      <c r="J4417" s="24" t="str">
        <f>D4408</f>
        <v>Compras por debajo del Umbral</v>
      </c>
    </row>
    <row r="4419" spans="1:10" ht="34" customHeight="1" x14ac:dyDescent="0.35">
      <c r="A4419" s="36" t="s">
        <v>17105</v>
      </c>
      <c r="B4419" s="36" t="s">
        <v>167</v>
      </c>
      <c r="C4419" s="36" t="s">
        <v>12252</v>
      </c>
      <c r="D4419" s="36" t="s">
        <v>15021</v>
      </c>
      <c r="E4419" s="36" t="s">
        <v>11455</v>
      </c>
      <c r="F4419" s="36" t="s">
        <v>11595</v>
      </c>
    </row>
    <row r="4420" spans="1:10" ht="14.25" customHeight="1" x14ac:dyDescent="0.35">
      <c r="A4420" s="37" t="s">
        <v>5052</v>
      </c>
      <c r="B4420" s="37" t="s">
        <v>5052</v>
      </c>
      <c r="C4420" s="37" t="s">
        <v>18585</v>
      </c>
      <c r="D4420" s="37" t="s">
        <v>10634</v>
      </c>
      <c r="E4420" s="37" t="s">
        <v>18646</v>
      </c>
      <c r="F4420" s="37" t="s">
        <v>7088</v>
      </c>
    </row>
    <row r="4421" spans="1:10" ht="14.25" customHeight="1" x14ac:dyDescent="0.35">
      <c r="A4421" s="75" t="s">
        <v>15490</v>
      </c>
      <c r="B4421" s="38" t="s">
        <v>8918</v>
      </c>
      <c r="C4421" s="68">
        <v>45474</v>
      </c>
      <c r="D4421" s="75" t="s">
        <v>9819</v>
      </c>
      <c r="E4421" s="70" t="s">
        <v>13683</v>
      </c>
      <c r="F4421" s="71" t="s">
        <v>3205</v>
      </c>
    </row>
    <row r="4422" spans="1:10" ht="14.25" customHeight="1" x14ac:dyDescent="0.35">
      <c r="A4422" s="76"/>
      <c r="B4422" s="38" t="s">
        <v>1858</v>
      </c>
      <c r="C4422" s="69">
        <f>IF(C4421="","",IF(AND(MONTH(C4421)&gt;=1,MONTH(C4421)&lt;=3),1,IF(AND(MONTH(C4421)&gt;=4,MONTH(C4421)&lt;=6),2,IF(AND(MONTH(C4421)&gt;=7,MONTH(C4421)&lt;=9),3,4))))</f>
        <v>3</v>
      </c>
      <c r="D4422" s="76"/>
      <c r="E4422" s="70" t="s">
        <v>2509</v>
      </c>
      <c r="F4422" s="71" t="s">
        <v>11612</v>
      </c>
    </row>
    <row r="4423" spans="1:10" ht="14.25" customHeight="1" x14ac:dyDescent="0.35">
      <c r="A4423" s="76"/>
      <c r="B4423" s="38" t="s">
        <v>13526</v>
      </c>
      <c r="C4423" s="68">
        <v>45565</v>
      </c>
      <c r="D4423" s="76"/>
      <c r="E4423" s="70" t="s">
        <v>3198</v>
      </c>
      <c r="F4423" s="71" t="s">
        <v>11612</v>
      </c>
    </row>
    <row r="4424" spans="1:10" ht="14.25" customHeight="1" x14ac:dyDescent="0.35">
      <c r="A4424" s="76"/>
      <c r="B4424" s="38" t="s">
        <v>1858</v>
      </c>
      <c r="C4424" s="69">
        <f>IF(C4423="","",IF(AND(MONTH(C4423)&gt;=1,MONTH(C4423)&lt;=3),1,IF(AND(MONTH(C4423)&gt;=4,MONTH(C4423)&lt;=6),2,IF(AND(MONTH(C4423)&gt;=7,MONTH(C4423)&lt;=9),3,4))))</f>
        <v>3</v>
      </c>
      <c r="D4424" s="76"/>
      <c r="E4424" s="70" t="s">
        <v>13785</v>
      </c>
      <c r="F4424" s="71"/>
    </row>
    <row r="4426" spans="1:10" ht="14.25" customHeight="1" x14ac:dyDescent="0.35">
      <c r="A4426" s="43" t="s">
        <v>16424</v>
      </c>
      <c r="B4426" s="43" t="s">
        <v>16856</v>
      </c>
      <c r="C4426" s="43" t="s">
        <v>16326</v>
      </c>
      <c r="D4426" s="43" t="s">
        <v>15925</v>
      </c>
      <c r="E4426" s="43" t="s">
        <v>7248</v>
      </c>
      <c r="F4426" s="43" t="s">
        <v>15955</v>
      </c>
    </row>
    <row r="4427" spans="1:10" ht="14.25" customHeight="1" x14ac:dyDescent="0.35">
      <c r="A4427" s="39" t="s">
        <v>1411</v>
      </c>
      <c r="B4427" s="40" t="str">
        <f ca="1">IFERROR(INDEX(UNSPSCDes,MATCH(INDIRECT(ADDRESS(ROW(),COLUMN()-1,4)),UNSPSCCode,0)),IF(INDIRECT(ADDRESS(ROW(),COLUMN()-1,4))="42141705","Almohadones o almohadillas o almohadas para la posición del paciente",""))</f>
        <v>Almohadones o almohadillas o almohadas para la posición del paciente</v>
      </c>
      <c r="C4427" s="72" t="str">
        <f>IFERROR(VLOOKUP("UD",'Informacion '!P:Q,2,FALSE),"")</f>
        <v>Unidad</v>
      </c>
      <c r="D4427" s="39">
        <v>4</v>
      </c>
      <c r="E4427" s="42">
        <v>1711</v>
      </c>
      <c r="F4427" s="41">
        <f ca="1">INDIRECT(ADDRESS(ROW(),COLUMN()-2,4))*INDIRECT(ADDRESS(ROW(),COLUMN()-1,4))</f>
        <v>6844</v>
      </c>
    </row>
    <row r="4428" spans="1:10" ht="14.25" customHeight="1" x14ac:dyDescent="0.35">
      <c r="A4428" s="39" t="s">
        <v>9388</v>
      </c>
      <c r="B4428" s="40" t="str">
        <f ca="1">IFERROR(INDEX(UNSPSCDes,MATCH(INDIRECT(ADDRESS(ROW(),COLUMN()-1,4)),UNSPSCCode,0)),IF(INDIRECT(ADDRESS(ROW(),COLUMN()-1,4))="42143608","Dispositivos o accesorios para estabilización o prevención de caídas de pacientes",""))</f>
        <v>Dispositivos o accesorios para estabilización o prevención de caídas de pacientes</v>
      </c>
      <c r="C4428" s="72" t="str">
        <f>IFERROR(VLOOKUP("UD",'Informacion '!P:Q,2,FALSE),"")</f>
        <v>Unidad</v>
      </c>
      <c r="D4428" s="39">
        <v>16</v>
      </c>
      <c r="E4428" s="42">
        <v>212.97</v>
      </c>
      <c r="F4428" s="41">
        <f ca="1">INDIRECT(ADDRESS(ROW(),COLUMN()-2,4))*INDIRECT(ADDRESS(ROW(),COLUMN()-1,4))</f>
        <v>3407.52</v>
      </c>
    </row>
    <row r="4429" spans="1:10" ht="14.25" customHeight="1" x14ac:dyDescent="0.35">
      <c r="E4429" s="44" t="s">
        <v>13122</v>
      </c>
      <c r="F4429" s="45">
        <f ca="1">SUM(Table236[MONTO TOTAL ESTIMADO])</f>
        <v>10251.52</v>
      </c>
      <c r="H4429" s="24" t="str">
        <f>C4420</f>
        <v>Bienes</v>
      </c>
      <c r="I4429" s="24" t="str">
        <f>E4420</f>
        <v>No</v>
      </c>
      <c r="J4429" s="24" t="str">
        <f>D4420</f>
        <v>Compras por debajo del Umbral</v>
      </c>
    </row>
    <row r="4431" spans="1:10" ht="34" customHeight="1" x14ac:dyDescent="0.35">
      <c r="A4431" s="36" t="s">
        <v>17105</v>
      </c>
      <c r="B4431" s="36" t="s">
        <v>167</v>
      </c>
      <c r="C4431" s="36" t="s">
        <v>12252</v>
      </c>
      <c r="D4431" s="36" t="s">
        <v>15021</v>
      </c>
      <c r="E4431" s="36" t="s">
        <v>11455</v>
      </c>
      <c r="F4431" s="36" t="s">
        <v>11595</v>
      </c>
    </row>
    <row r="4432" spans="1:10" ht="14.25" customHeight="1" x14ac:dyDescent="0.35">
      <c r="A4432" s="37" t="s">
        <v>12436</v>
      </c>
      <c r="B4432" s="37" t="s">
        <v>12436</v>
      </c>
      <c r="C4432" s="37" t="s">
        <v>18585</v>
      </c>
      <c r="D4432" s="37" t="s">
        <v>10634</v>
      </c>
      <c r="E4432" s="37" t="s">
        <v>9261</v>
      </c>
      <c r="F4432" s="37" t="s">
        <v>7088</v>
      </c>
    </row>
    <row r="4433" spans="1:10" ht="14.25" customHeight="1" x14ac:dyDescent="0.35">
      <c r="A4433" s="75" t="s">
        <v>15490</v>
      </c>
      <c r="B4433" s="38" t="s">
        <v>8918</v>
      </c>
      <c r="C4433" s="68">
        <v>45334</v>
      </c>
      <c r="D4433" s="75" t="s">
        <v>9819</v>
      </c>
      <c r="E4433" s="70" t="s">
        <v>13683</v>
      </c>
      <c r="F4433" s="71" t="s">
        <v>3205</v>
      </c>
    </row>
    <row r="4434" spans="1:10" ht="14.25" customHeight="1" x14ac:dyDescent="0.35">
      <c r="A4434" s="76"/>
      <c r="B4434" s="38" t="s">
        <v>1858</v>
      </c>
      <c r="C4434" s="69">
        <f>IF(C4433="","",IF(AND(MONTH(C4433)&gt;=1,MONTH(C4433)&lt;=3),1,IF(AND(MONTH(C4433)&gt;=4,MONTH(C4433)&lt;=6),2,IF(AND(MONTH(C4433)&gt;=7,MONTH(C4433)&lt;=9),3,4))))</f>
        <v>1</v>
      </c>
      <c r="D4434" s="76"/>
      <c r="E4434" s="70" t="s">
        <v>2509</v>
      </c>
      <c r="F4434" s="71" t="s">
        <v>11612</v>
      </c>
    </row>
    <row r="4435" spans="1:10" ht="14.25" customHeight="1" x14ac:dyDescent="0.35">
      <c r="A4435" s="76"/>
      <c r="B4435" s="38" t="s">
        <v>13526</v>
      </c>
      <c r="C4435" s="68">
        <v>45378</v>
      </c>
      <c r="D4435" s="76"/>
      <c r="E4435" s="70" t="s">
        <v>3198</v>
      </c>
      <c r="F4435" s="71" t="s">
        <v>11612</v>
      </c>
    </row>
    <row r="4436" spans="1:10" ht="14.25" customHeight="1" x14ac:dyDescent="0.35">
      <c r="A4436" s="76"/>
      <c r="B4436" s="38" t="s">
        <v>1858</v>
      </c>
      <c r="C4436" s="69">
        <f>IF(C4435="","",IF(AND(MONTH(C4435)&gt;=1,MONTH(C4435)&lt;=3),1,IF(AND(MONTH(C4435)&gt;=4,MONTH(C4435)&lt;=6),2,IF(AND(MONTH(C4435)&gt;=7,MONTH(C4435)&lt;=9),3,4))))</f>
        <v>1</v>
      </c>
      <c r="D4436" s="76"/>
      <c r="E4436" s="70" t="s">
        <v>13785</v>
      </c>
      <c r="F4436" s="71"/>
    </row>
    <row r="4438" spans="1:10" ht="14.25" customHeight="1" x14ac:dyDescent="0.35">
      <c r="A4438" s="43" t="s">
        <v>16424</v>
      </c>
      <c r="B4438" s="43" t="s">
        <v>16856</v>
      </c>
      <c r="C4438" s="43" t="s">
        <v>16326</v>
      </c>
      <c r="D4438" s="43" t="s">
        <v>15925</v>
      </c>
      <c r="E4438" s="43" t="s">
        <v>7248</v>
      </c>
      <c r="F4438" s="43" t="s">
        <v>15955</v>
      </c>
    </row>
    <row r="4439" spans="1:10" ht="14.25" customHeight="1" x14ac:dyDescent="0.35">
      <c r="A4439" s="39" t="s">
        <v>19070</v>
      </c>
      <c r="B4439" s="40" t="str">
        <f ca="1">IFERROR(INDEX(UNSPSCDes,MATCH(INDIRECT(ADDRESS(ROW(),COLUMN()-1,4)),UNSPSCCode,0)),IF(INDIRECT(ADDRESS(ROW(),COLUMN()-1,4))="42171607","Collares cervicales o de extracción de víctimas para servicios médicos de emergencia",""))</f>
        <v>Collares cervicales o de extracción de víctimas para servicios médicos de emergencia</v>
      </c>
      <c r="C4439" s="72" t="str">
        <f>IFERROR(VLOOKUP("UD",'Informacion '!P:Q,2,FALSE),"")</f>
        <v>Unidad</v>
      </c>
      <c r="D4439" s="39">
        <v>6</v>
      </c>
      <c r="E4439" s="42">
        <v>212.97</v>
      </c>
      <c r="F4439" s="41">
        <f ca="1">INDIRECT(ADDRESS(ROW(),COLUMN()-2,4))*INDIRECT(ADDRESS(ROW(),COLUMN()-1,4))</f>
        <v>1277.82</v>
      </c>
    </row>
    <row r="4440" spans="1:10" ht="14.25" customHeight="1" x14ac:dyDescent="0.35">
      <c r="E4440" s="44" t="s">
        <v>13122</v>
      </c>
      <c r="F4440" s="45">
        <f ca="1">SUM(Table237[MONTO TOTAL ESTIMADO])</f>
        <v>1277.82</v>
      </c>
      <c r="H4440" s="24" t="str">
        <f>C4432</f>
        <v>Bienes</v>
      </c>
      <c r="I4440" s="24" t="str">
        <f>E4432</f>
        <v>Sí</v>
      </c>
      <c r="J4440" s="24" t="str">
        <f>D4432</f>
        <v>Compras por debajo del Umbral</v>
      </c>
    </row>
    <row r="4442" spans="1:10" ht="34" customHeight="1" x14ac:dyDescent="0.35">
      <c r="A4442" s="36" t="s">
        <v>17105</v>
      </c>
      <c r="B4442" s="36" t="s">
        <v>167</v>
      </c>
      <c r="C4442" s="36" t="s">
        <v>12252</v>
      </c>
      <c r="D4442" s="36" t="s">
        <v>15021</v>
      </c>
      <c r="E4442" s="36" t="s">
        <v>11455</v>
      </c>
      <c r="F4442" s="36" t="s">
        <v>11595</v>
      </c>
    </row>
    <row r="4443" spans="1:10" ht="14.25" customHeight="1" x14ac:dyDescent="0.35">
      <c r="A4443" s="37" t="s">
        <v>12436</v>
      </c>
      <c r="B4443" s="37" t="s">
        <v>12436</v>
      </c>
      <c r="C4443" s="37" t="s">
        <v>18585</v>
      </c>
      <c r="D4443" s="37" t="s">
        <v>10634</v>
      </c>
      <c r="E4443" s="37" t="s">
        <v>18646</v>
      </c>
      <c r="F4443" s="37" t="s">
        <v>7088</v>
      </c>
    </row>
    <row r="4444" spans="1:10" ht="14.25" customHeight="1" x14ac:dyDescent="0.35">
      <c r="A4444" s="75" t="s">
        <v>15490</v>
      </c>
      <c r="B4444" s="38" t="s">
        <v>8918</v>
      </c>
      <c r="C4444" s="68">
        <v>45383</v>
      </c>
      <c r="D4444" s="75" t="s">
        <v>9819</v>
      </c>
      <c r="E4444" s="70" t="s">
        <v>13683</v>
      </c>
      <c r="F4444" s="71" t="s">
        <v>3205</v>
      </c>
    </row>
    <row r="4445" spans="1:10" ht="14.25" customHeight="1" x14ac:dyDescent="0.35">
      <c r="A4445" s="76"/>
      <c r="B4445" s="38" t="s">
        <v>1858</v>
      </c>
      <c r="C4445" s="69">
        <f>IF(C4444="","",IF(AND(MONTH(C4444)&gt;=1,MONTH(C4444)&lt;=3),1,IF(AND(MONTH(C4444)&gt;=4,MONTH(C4444)&lt;=6),2,IF(AND(MONTH(C4444)&gt;=7,MONTH(C4444)&lt;=9),3,4))))</f>
        <v>2</v>
      </c>
      <c r="D4445" s="76"/>
      <c r="E4445" s="70" t="s">
        <v>2509</v>
      </c>
      <c r="F4445" s="71" t="s">
        <v>11612</v>
      </c>
    </row>
    <row r="4446" spans="1:10" ht="14.25" customHeight="1" x14ac:dyDescent="0.35">
      <c r="A4446" s="76"/>
      <c r="B4446" s="38" t="s">
        <v>13526</v>
      </c>
      <c r="C4446" s="68">
        <v>45471</v>
      </c>
      <c r="D4446" s="76"/>
      <c r="E4446" s="70" t="s">
        <v>3198</v>
      </c>
      <c r="F4446" s="71" t="s">
        <v>11612</v>
      </c>
    </row>
    <row r="4447" spans="1:10" ht="14.25" customHeight="1" x14ac:dyDescent="0.35">
      <c r="A4447" s="76"/>
      <c r="B4447" s="38" t="s">
        <v>1858</v>
      </c>
      <c r="C4447" s="69">
        <f>IF(C4446="","",IF(AND(MONTH(C4446)&gt;=1,MONTH(C4446)&lt;=3),1,IF(AND(MONTH(C4446)&gt;=4,MONTH(C4446)&lt;=6),2,IF(AND(MONTH(C4446)&gt;=7,MONTH(C4446)&lt;=9),3,4))))</f>
        <v>2</v>
      </c>
      <c r="D4447" s="76"/>
      <c r="E4447" s="70" t="s">
        <v>13785</v>
      </c>
      <c r="F4447" s="71"/>
    </row>
    <row r="4449" spans="1:10" ht="14.25" customHeight="1" x14ac:dyDescent="0.35">
      <c r="A4449" s="43" t="s">
        <v>16424</v>
      </c>
      <c r="B4449" s="43" t="s">
        <v>16856</v>
      </c>
      <c r="C4449" s="43" t="s">
        <v>16326</v>
      </c>
      <c r="D4449" s="43" t="s">
        <v>15925</v>
      </c>
      <c r="E4449" s="43" t="s">
        <v>7248</v>
      </c>
      <c r="F4449" s="43" t="s">
        <v>15955</v>
      </c>
    </row>
    <row r="4450" spans="1:10" ht="14.25" customHeight="1" x14ac:dyDescent="0.35">
      <c r="A4450" s="39" t="s">
        <v>6617</v>
      </c>
      <c r="B4450" s="40" t="str">
        <f ca="1">IFERROR(INDEX(UNSPSCDes,MATCH(INDIRECT(ADDRESS(ROW(),COLUMN()-1,4)),UNSPSCCode,0)),IF(INDIRECT(ADDRESS(ROW(),COLUMN()-1,4))="42171917","Estuches o bolsas o accesorios de primeros auxilios para servicios médicos de emergencia",""))</f>
        <v>Estuches o bolsas o accesorios de primeros auxilios para servicios médicos de emergencia</v>
      </c>
      <c r="C4450" s="72" t="str">
        <f>IFERROR(VLOOKUP("UD",'Informacion '!P:Q,2,FALSE),"")</f>
        <v>Unidad</v>
      </c>
      <c r="D4450" s="39">
        <v>5</v>
      </c>
      <c r="E4450" s="42">
        <v>2991</v>
      </c>
      <c r="F4450" s="41">
        <f ca="1">INDIRECT(ADDRESS(ROW(),COLUMN()-2,4))*INDIRECT(ADDRESS(ROW(),COLUMN()-1,4))</f>
        <v>14955</v>
      </c>
    </row>
    <row r="4451" spans="1:10" ht="14.25" customHeight="1" x14ac:dyDescent="0.35">
      <c r="E4451" s="44" t="s">
        <v>13122</v>
      </c>
      <c r="F4451" s="45">
        <f ca="1">SUM(Table238[MONTO TOTAL ESTIMADO])</f>
        <v>14955</v>
      </c>
      <c r="H4451" s="24" t="str">
        <f>C4443</f>
        <v>Bienes</v>
      </c>
      <c r="I4451" s="24" t="str">
        <f>E4443</f>
        <v>No</v>
      </c>
      <c r="J4451" s="24" t="str">
        <f>D4443</f>
        <v>Compras por debajo del Umbral</v>
      </c>
    </row>
    <row r="4453" spans="1:10" ht="34" customHeight="1" x14ac:dyDescent="0.35">
      <c r="A4453" s="36" t="s">
        <v>17105</v>
      </c>
      <c r="B4453" s="36" t="s">
        <v>167</v>
      </c>
      <c r="C4453" s="36" t="s">
        <v>12252</v>
      </c>
      <c r="D4453" s="36" t="s">
        <v>15021</v>
      </c>
      <c r="E4453" s="36" t="s">
        <v>11455</v>
      </c>
      <c r="F4453" s="36" t="s">
        <v>11595</v>
      </c>
    </row>
    <row r="4454" spans="1:10" ht="14.25" customHeight="1" x14ac:dyDescent="0.35">
      <c r="A4454" s="37" t="s">
        <v>4446</v>
      </c>
      <c r="B4454" s="37" t="s">
        <v>4446</v>
      </c>
      <c r="C4454" s="37" t="s">
        <v>18585</v>
      </c>
      <c r="D4454" s="37" t="s">
        <v>18256</v>
      </c>
      <c r="E4454" s="37" t="s">
        <v>9261</v>
      </c>
      <c r="F4454" s="37" t="s">
        <v>7088</v>
      </c>
    </row>
    <row r="4455" spans="1:10" ht="14.25" customHeight="1" x14ac:dyDescent="0.35">
      <c r="A4455" s="75" t="s">
        <v>15490</v>
      </c>
      <c r="B4455" s="38" t="s">
        <v>8918</v>
      </c>
      <c r="C4455" s="68">
        <v>45334</v>
      </c>
      <c r="D4455" s="75" t="s">
        <v>9819</v>
      </c>
      <c r="E4455" s="70" t="s">
        <v>13683</v>
      </c>
      <c r="F4455" s="71" t="s">
        <v>3205</v>
      </c>
    </row>
    <row r="4456" spans="1:10" ht="14.25" customHeight="1" x14ac:dyDescent="0.35">
      <c r="A4456" s="76"/>
      <c r="B4456" s="38" t="s">
        <v>1858</v>
      </c>
      <c r="C4456" s="69">
        <f>IF(C4455="","",IF(AND(MONTH(C4455)&gt;=1,MONTH(C4455)&lt;=3),1,IF(AND(MONTH(C4455)&gt;=4,MONTH(C4455)&lt;=6),2,IF(AND(MONTH(C4455)&gt;=7,MONTH(C4455)&lt;=9),3,4))))</f>
        <v>1</v>
      </c>
      <c r="D4456" s="76"/>
      <c r="E4456" s="70" t="s">
        <v>2509</v>
      </c>
      <c r="F4456" s="71" t="s">
        <v>11612</v>
      </c>
    </row>
    <row r="4457" spans="1:10" ht="14.25" customHeight="1" x14ac:dyDescent="0.35">
      <c r="A4457" s="76"/>
      <c r="B4457" s="38" t="s">
        <v>13526</v>
      </c>
      <c r="C4457" s="68">
        <v>45378</v>
      </c>
      <c r="D4457" s="76"/>
      <c r="E4457" s="70" t="s">
        <v>3198</v>
      </c>
      <c r="F4457" s="71" t="s">
        <v>11612</v>
      </c>
    </row>
    <row r="4458" spans="1:10" ht="14.25" customHeight="1" x14ac:dyDescent="0.35">
      <c r="A4458" s="76"/>
      <c r="B4458" s="38" t="s">
        <v>1858</v>
      </c>
      <c r="C4458" s="69">
        <f>IF(C4457="","",IF(AND(MONTH(C4457)&gt;=1,MONTH(C4457)&lt;=3),1,IF(AND(MONTH(C4457)&gt;=4,MONTH(C4457)&lt;=6),2,IF(AND(MONTH(C4457)&gt;=7,MONTH(C4457)&lt;=9),3,4))))</f>
        <v>1</v>
      </c>
      <c r="D4458" s="76"/>
      <c r="E4458" s="70" t="s">
        <v>13785</v>
      </c>
      <c r="F4458" s="71"/>
    </row>
    <row r="4460" spans="1:10" ht="14.25" customHeight="1" x14ac:dyDescent="0.35">
      <c r="A4460" s="43" t="s">
        <v>16424</v>
      </c>
      <c r="B4460" s="43" t="s">
        <v>16856</v>
      </c>
      <c r="C4460" s="43" t="s">
        <v>16326</v>
      </c>
      <c r="D4460" s="43" t="s">
        <v>15925</v>
      </c>
      <c r="E4460" s="43" t="s">
        <v>7248</v>
      </c>
      <c r="F4460" s="43" t="s">
        <v>15955</v>
      </c>
    </row>
    <row r="4461" spans="1:10" ht="14.25" customHeight="1" x14ac:dyDescent="0.35">
      <c r="A4461" s="39" t="s">
        <v>12861</v>
      </c>
      <c r="B4461" s="40" t="str">
        <f ca="1">IFERROR(INDEX(UNSPSCDes,MATCH(INDIRECT(ADDRESS(ROW(),COLUMN()-1,4)),UNSPSCCode,0)),IF(INDIRECT(ADDRESS(ROW(),COLUMN()-1,4))="42181501","Depresores de lengua o cuchillos o baja lenguas",""))</f>
        <v>Depresores de lengua o cuchillos o baja lenguas</v>
      </c>
      <c r="C4461" s="72" t="str">
        <f>IFERROR(VLOOKUP("CAJ",'Informacion '!P:Q,2,FALSE),"")</f>
        <v>Caja</v>
      </c>
      <c r="D4461" s="39">
        <v>2</v>
      </c>
      <c r="E4461" s="42">
        <v>318.5</v>
      </c>
      <c r="F4461" s="41">
        <f ca="1">INDIRECT(ADDRESS(ROW(),COLUMN()-2,4))*INDIRECT(ADDRESS(ROW(),COLUMN()-1,4))</f>
        <v>637</v>
      </c>
    </row>
    <row r="4462" spans="1:10" ht="14.25" customHeight="1" x14ac:dyDescent="0.35">
      <c r="A4462" s="39" t="s">
        <v>7360</v>
      </c>
      <c r="B4462" s="40" t="str">
        <f ca="1">IFERROR(INDEX(UNSPSCDes,MATCH(INDIRECT(ADDRESS(ROW(),COLUMN()-1,4)),UNSPSCCode,0)),IF(INDIRECT(ADDRESS(ROW(),COLUMN()-1,4))="42181801","Unidades para oxímetros de pulso",""))</f>
        <v>Unidades para oxímetros de pulso</v>
      </c>
      <c r="C4462" s="72" t="str">
        <f>IFERROR(VLOOKUP("UD",'Informacion '!P:Q,2,FALSE),"")</f>
        <v>Unidad</v>
      </c>
      <c r="D4462" s="39">
        <v>6</v>
      </c>
      <c r="E4462" s="42">
        <v>7552</v>
      </c>
      <c r="F4462" s="41">
        <f ca="1">INDIRECT(ADDRESS(ROW(),COLUMN()-2,4))*INDIRECT(ADDRESS(ROW(),COLUMN()-1,4))</f>
        <v>45312</v>
      </c>
    </row>
    <row r="4463" spans="1:10" ht="14.25" customHeight="1" x14ac:dyDescent="0.35">
      <c r="A4463" s="39" t="s">
        <v>19163</v>
      </c>
      <c r="B4463" s="40" t="str">
        <f ca="1">IFERROR(INDEX(UNSPSCDes,MATCH(INDIRECT(ADDRESS(ROW(),COLUMN()-1,4)),UNSPSCCode,0)),IF(INDIRECT(ADDRESS(ROW(),COLUMN()-1,4))="42182103","Estetoscopio acústico para uso médico o accesorios",""))</f>
        <v>Estetoscopio acústico para uso médico o accesorios</v>
      </c>
      <c r="C4463" s="72" t="str">
        <f>IFERROR(VLOOKUP("UD",'Informacion '!P:Q,2,FALSE),"")</f>
        <v>Unidad</v>
      </c>
      <c r="D4463" s="39">
        <v>6</v>
      </c>
      <c r="E4463" s="42">
        <v>4699.6000000000004</v>
      </c>
      <c r="F4463" s="41">
        <f ca="1">INDIRECT(ADDRESS(ROW(),COLUMN()-2,4))*INDIRECT(ADDRESS(ROW(),COLUMN()-1,4))</f>
        <v>28197.600000000002</v>
      </c>
    </row>
    <row r="4464" spans="1:10" ht="14.25" customHeight="1" x14ac:dyDescent="0.35">
      <c r="A4464" s="39" t="s">
        <v>12000</v>
      </c>
      <c r="B4464" s="40" t="str">
        <f ca="1">IFERROR(INDEX(UNSPSCDes,MATCH(INDIRECT(ADDRESS(ROW(),COLUMN()-1,4)),UNSPSCCode,0)),IF(INDIRECT(ADDRESS(ROW(),COLUMN()-1,4))="42182105","Cubiertas para estetoscopios de cabeza",""))</f>
        <v>Cubiertas para estetoscopios de cabeza</v>
      </c>
      <c r="C4464" s="72" t="str">
        <f>IFERROR(VLOOKUP("UD",'Informacion '!P:Q,2,FALSE),"")</f>
        <v>Unidad</v>
      </c>
      <c r="D4464" s="39">
        <v>6</v>
      </c>
      <c r="E4464" s="42">
        <v>20350</v>
      </c>
      <c r="F4464" s="41">
        <f ca="1">INDIRECT(ADDRESS(ROW(),COLUMN()-2,4))*INDIRECT(ADDRESS(ROW(),COLUMN()-1,4))</f>
        <v>122100</v>
      </c>
    </row>
    <row r="4465" spans="1:10" ht="14.25" customHeight="1" x14ac:dyDescent="0.35">
      <c r="A4465" s="39" t="s">
        <v>7390</v>
      </c>
      <c r="B4465" s="40" t="str">
        <f ca="1">IFERROR(INDEX(UNSPSCDes,MATCH(INDIRECT(ADDRESS(ROW(),COLUMN()-1,4)),UNSPSCCode,0)),IF(INDIRECT(ADDRESS(ROW(),COLUMN()-1,4))="42182107","Estetoscopios auriculares",""))</f>
        <v>Estetoscopios auriculares</v>
      </c>
      <c r="C4465" s="72" t="str">
        <f>IFERROR(VLOOKUP("UD",'Informacion '!P:Q,2,FALSE),"")</f>
        <v>Unidad</v>
      </c>
      <c r="D4465" s="39">
        <v>6</v>
      </c>
      <c r="E4465" s="42">
        <v>7876</v>
      </c>
      <c r="F4465" s="41">
        <f ca="1">INDIRECT(ADDRESS(ROW(),COLUMN()-2,4))*INDIRECT(ADDRESS(ROW(),COLUMN()-1,4))</f>
        <v>47256</v>
      </c>
    </row>
    <row r="4466" spans="1:10" ht="14.25" customHeight="1" x14ac:dyDescent="0.35">
      <c r="E4466" s="44" t="s">
        <v>13122</v>
      </c>
      <c r="F4466" s="45">
        <f ca="1">SUM(Table239[MONTO TOTAL ESTIMADO])</f>
        <v>243502.6</v>
      </c>
      <c r="H4466" s="24" t="str">
        <f>C4454</f>
        <v>Bienes</v>
      </c>
      <c r="I4466" s="24" t="str">
        <f>E4454</f>
        <v>Sí</v>
      </c>
      <c r="J4466" s="24" t="str">
        <f>D4454</f>
        <v>Compras Menores</v>
      </c>
    </row>
    <row r="4468" spans="1:10" ht="34" customHeight="1" x14ac:dyDescent="0.35">
      <c r="A4468" s="36" t="s">
        <v>17105</v>
      </c>
      <c r="B4468" s="36" t="s">
        <v>167</v>
      </c>
      <c r="C4468" s="36" t="s">
        <v>12252</v>
      </c>
      <c r="D4468" s="36" t="s">
        <v>15021</v>
      </c>
      <c r="E4468" s="36" t="s">
        <v>11455</v>
      </c>
      <c r="F4468" s="36" t="s">
        <v>11595</v>
      </c>
    </row>
    <row r="4469" spans="1:10" ht="14.25" customHeight="1" x14ac:dyDescent="0.35">
      <c r="A4469" s="37" t="s">
        <v>4446</v>
      </c>
      <c r="B4469" s="37" t="s">
        <v>4446</v>
      </c>
      <c r="C4469" s="37" t="s">
        <v>18585</v>
      </c>
      <c r="D4469" s="37" t="s">
        <v>18256</v>
      </c>
      <c r="E4469" s="37" t="s">
        <v>9261</v>
      </c>
      <c r="F4469" s="37" t="s">
        <v>7088</v>
      </c>
    </row>
    <row r="4470" spans="1:10" ht="14.25" customHeight="1" x14ac:dyDescent="0.35">
      <c r="A4470" s="75" t="s">
        <v>15490</v>
      </c>
      <c r="B4470" s="38" t="s">
        <v>8918</v>
      </c>
      <c r="C4470" s="68">
        <v>45474</v>
      </c>
      <c r="D4470" s="75" t="s">
        <v>9819</v>
      </c>
      <c r="E4470" s="70" t="s">
        <v>13683</v>
      </c>
      <c r="F4470" s="71" t="s">
        <v>3205</v>
      </c>
    </row>
    <row r="4471" spans="1:10" ht="14.25" customHeight="1" x14ac:dyDescent="0.35">
      <c r="A4471" s="76"/>
      <c r="B4471" s="38" t="s">
        <v>1858</v>
      </c>
      <c r="C4471" s="69">
        <f>IF(C4470="","",IF(AND(MONTH(C4470)&gt;=1,MONTH(C4470)&lt;=3),1,IF(AND(MONTH(C4470)&gt;=4,MONTH(C4470)&lt;=6),2,IF(AND(MONTH(C4470)&gt;=7,MONTH(C4470)&lt;=9),3,4))))</f>
        <v>3</v>
      </c>
      <c r="D4471" s="76"/>
      <c r="E4471" s="70" t="s">
        <v>2509</v>
      </c>
      <c r="F4471" s="71" t="s">
        <v>11612</v>
      </c>
    </row>
    <row r="4472" spans="1:10" ht="14.25" customHeight="1" x14ac:dyDescent="0.35">
      <c r="A4472" s="76"/>
      <c r="B4472" s="38" t="s">
        <v>13526</v>
      </c>
      <c r="C4472" s="68">
        <v>45565</v>
      </c>
      <c r="D4472" s="76"/>
      <c r="E4472" s="70" t="s">
        <v>3198</v>
      </c>
      <c r="F4472" s="71" t="s">
        <v>11612</v>
      </c>
    </row>
    <row r="4473" spans="1:10" ht="14.25" customHeight="1" x14ac:dyDescent="0.35">
      <c r="A4473" s="76"/>
      <c r="B4473" s="38" t="s">
        <v>1858</v>
      </c>
      <c r="C4473" s="69">
        <f>IF(C4472="","",IF(AND(MONTH(C4472)&gt;=1,MONTH(C4472)&lt;=3),1,IF(AND(MONTH(C4472)&gt;=4,MONTH(C4472)&lt;=6),2,IF(AND(MONTH(C4472)&gt;=7,MONTH(C4472)&lt;=9),3,4))))</f>
        <v>3</v>
      </c>
      <c r="D4473" s="76"/>
      <c r="E4473" s="70" t="s">
        <v>13785</v>
      </c>
      <c r="F4473" s="71"/>
    </row>
    <row r="4475" spans="1:10" ht="14.25" customHeight="1" x14ac:dyDescent="0.35">
      <c r="A4475" s="43" t="s">
        <v>16424</v>
      </c>
      <c r="B4475" s="43" t="s">
        <v>16856</v>
      </c>
      <c r="C4475" s="43" t="s">
        <v>16326</v>
      </c>
      <c r="D4475" s="43" t="s">
        <v>15925</v>
      </c>
      <c r="E4475" s="43" t="s">
        <v>7248</v>
      </c>
      <c r="F4475" s="43" t="s">
        <v>15955</v>
      </c>
    </row>
    <row r="4476" spans="1:10" ht="14.25" customHeight="1" x14ac:dyDescent="0.35">
      <c r="A4476" s="39" t="s">
        <v>12861</v>
      </c>
      <c r="B4476" s="40" t="str">
        <f ca="1">IFERROR(INDEX(UNSPSCDes,MATCH(INDIRECT(ADDRESS(ROW(),COLUMN()-1,4)),UNSPSCCode,0)),IF(INDIRECT(ADDRESS(ROW(),COLUMN()-1,4))="42181501","Depresores de lengua o cuchillos o baja lenguas",""))</f>
        <v>Depresores de lengua o cuchillos o baja lenguas</v>
      </c>
      <c r="C4476" s="72" t="str">
        <f>IFERROR(VLOOKUP("CAJ",'Informacion '!P:Q,2,FALSE),"")</f>
        <v>Caja</v>
      </c>
      <c r="D4476" s="39">
        <v>2</v>
      </c>
      <c r="E4476" s="42">
        <v>318.5</v>
      </c>
      <c r="F4476" s="41">
        <f ca="1">INDIRECT(ADDRESS(ROW(),COLUMN()-2,4))*INDIRECT(ADDRESS(ROW(),COLUMN()-1,4))</f>
        <v>637</v>
      </c>
    </row>
    <row r="4477" spans="1:10" ht="14.25" customHeight="1" x14ac:dyDescent="0.35">
      <c r="A4477" s="39" t="s">
        <v>7360</v>
      </c>
      <c r="B4477" s="40" t="str">
        <f ca="1">IFERROR(INDEX(UNSPSCDes,MATCH(INDIRECT(ADDRESS(ROW(),COLUMN()-1,4)),UNSPSCCode,0)),IF(INDIRECT(ADDRESS(ROW(),COLUMN()-1,4))="42181801","Unidades para oxímetros de pulso",""))</f>
        <v>Unidades para oxímetros de pulso</v>
      </c>
      <c r="C4477" s="72" t="str">
        <f>IFERROR(VLOOKUP("UD",'Informacion '!P:Q,2,FALSE),"")</f>
        <v>Unidad</v>
      </c>
      <c r="D4477" s="39">
        <v>6</v>
      </c>
      <c r="E4477" s="42">
        <v>7552</v>
      </c>
      <c r="F4477" s="41">
        <f ca="1">INDIRECT(ADDRESS(ROW(),COLUMN()-2,4))*INDIRECT(ADDRESS(ROW(),COLUMN()-1,4))</f>
        <v>45312</v>
      </c>
    </row>
    <row r="4478" spans="1:10" ht="14.25" customHeight="1" x14ac:dyDescent="0.35">
      <c r="A4478" s="39" t="s">
        <v>19163</v>
      </c>
      <c r="B4478" s="40" t="str">
        <f ca="1">IFERROR(INDEX(UNSPSCDes,MATCH(INDIRECT(ADDRESS(ROW(),COLUMN()-1,4)),UNSPSCCode,0)),IF(INDIRECT(ADDRESS(ROW(),COLUMN()-1,4))="42182103","Estetoscopio acústico para uso médico o accesorios",""))</f>
        <v>Estetoscopio acústico para uso médico o accesorios</v>
      </c>
      <c r="C4478" s="72" t="str">
        <f>IFERROR(VLOOKUP("UD",'Informacion '!P:Q,2,FALSE),"")</f>
        <v>Unidad</v>
      </c>
      <c r="D4478" s="39">
        <v>6</v>
      </c>
      <c r="E4478" s="42">
        <v>4699.6000000000004</v>
      </c>
      <c r="F4478" s="41">
        <f ca="1">INDIRECT(ADDRESS(ROW(),COLUMN()-2,4))*INDIRECT(ADDRESS(ROW(),COLUMN()-1,4))</f>
        <v>28197.600000000002</v>
      </c>
    </row>
    <row r="4479" spans="1:10" ht="14.25" customHeight="1" x14ac:dyDescent="0.35">
      <c r="A4479" s="39" t="s">
        <v>12000</v>
      </c>
      <c r="B4479" s="40" t="str">
        <f ca="1">IFERROR(INDEX(UNSPSCDes,MATCH(INDIRECT(ADDRESS(ROW(),COLUMN()-1,4)),UNSPSCCode,0)),IF(INDIRECT(ADDRESS(ROW(),COLUMN()-1,4))="42182105","Cubiertas para estetoscopios de cabeza",""))</f>
        <v>Cubiertas para estetoscopios de cabeza</v>
      </c>
      <c r="C4479" s="72" t="str">
        <f>IFERROR(VLOOKUP("UD",'Informacion '!P:Q,2,FALSE),"")</f>
        <v>Unidad</v>
      </c>
      <c r="D4479" s="39">
        <v>6</v>
      </c>
      <c r="E4479" s="42">
        <v>20350</v>
      </c>
      <c r="F4479" s="41">
        <f ca="1">INDIRECT(ADDRESS(ROW(),COLUMN()-2,4))*INDIRECT(ADDRESS(ROW(),COLUMN()-1,4))</f>
        <v>122100</v>
      </c>
    </row>
    <row r="4480" spans="1:10" ht="14.25" customHeight="1" x14ac:dyDescent="0.35">
      <c r="A4480" s="39" t="s">
        <v>7390</v>
      </c>
      <c r="B4480" s="40" t="str">
        <f ca="1">IFERROR(INDEX(UNSPSCDes,MATCH(INDIRECT(ADDRESS(ROW(),COLUMN()-1,4)),UNSPSCCode,0)),IF(INDIRECT(ADDRESS(ROW(),COLUMN()-1,4))="42182107","Estetoscopios auriculares",""))</f>
        <v>Estetoscopios auriculares</v>
      </c>
      <c r="C4480" s="72" t="str">
        <f>IFERROR(VLOOKUP("UD",'Informacion '!P:Q,2,FALSE),"")</f>
        <v>Unidad</v>
      </c>
      <c r="D4480" s="39">
        <v>6</v>
      </c>
      <c r="E4480" s="42">
        <v>7876</v>
      </c>
      <c r="F4480" s="41">
        <f ca="1">INDIRECT(ADDRESS(ROW(),COLUMN()-2,4))*INDIRECT(ADDRESS(ROW(),COLUMN()-1,4))</f>
        <v>47256</v>
      </c>
    </row>
    <row r="4481" spans="1:10" ht="14.25" customHeight="1" x14ac:dyDescent="0.35">
      <c r="E4481" s="44" t="s">
        <v>13122</v>
      </c>
      <c r="F4481" s="45">
        <f ca="1">SUM(Table240[MONTO TOTAL ESTIMADO])</f>
        <v>243502.6</v>
      </c>
      <c r="H4481" s="24" t="str">
        <f>C4469</f>
        <v>Bienes</v>
      </c>
      <c r="I4481" s="24" t="str">
        <f>E4469</f>
        <v>Sí</v>
      </c>
      <c r="J4481" s="24" t="str">
        <f>D4469</f>
        <v>Compras Menores</v>
      </c>
    </row>
    <row r="4483" spans="1:10" ht="34" customHeight="1" x14ac:dyDescent="0.35">
      <c r="A4483" s="36" t="s">
        <v>17105</v>
      </c>
      <c r="B4483" s="36" t="s">
        <v>167</v>
      </c>
      <c r="C4483" s="36" t="s">
        <v>12252</v>
      </c>
      <c r="D4483" s="36" t="s">
        <v>15021</v>
      </c>
      <c r="E4483" s="36" t="s">
        <v>11455</v>
      </c>
      <c r="F4483" s="36" t="s">
        <v>11595</v>
      </c>
    </row>
    <row r="4484" spans="1:10" ht="14.25" customHeight="1" x14ac:dyDescent="0.35">
      <c r="A4484" s="37" t="s">
        <v>15896</v>
      </c>
      <c r="B4484" s="37" t="s">
        <v>15896</v>
      </c>
      <c r="C4484" s="37" t="s">
        <v>18585</v>
      </c>
      <c r="D4484" s="37" t="s">
        <v>10634</v>
      </c>
      <c r="E4484" s="37" t="s">
        <v>9261</v>
      </c>
      <c r="F4484" s="37" t="s">
        <v>7088</v>
      </c>
    </row>
    <row r="4485" spans="1:10" ht="14.25" customHeight="1" x14ac:dyDescent="0.35">
      <c r="A4485" s="75" t="s">
        <v>15490</v>
      </c>
      <c r="B4485" s="38" t="s">
        <v>8918</v>
      </c>
      <c r="C4485" s="68">
        <v>45334</v>
      </c>
      <c r="D4485" s="75" t="s">
        <v>9819</v>
      </c>
      <c r="E4485" s="70" t="s">
        <v>13683</v>
      </c>
      <c r="F4485" s="71" t="s">
        <v>3205</v>
      </c>
    </row>
    <row r="4486" spans="1:10" ht="14.25" customHeight="1" x14ac:dyDescent="0.35">
      <c r="A4486" s="76"/>
      <c r="B4486" s="38" t="s">
        <v>1858</v>
      </c>
      <c r="C4486" s="69">
        <f>IF(C4485="","",IF(AND(MONTH(C4485)&gt;=1,MONTH(C4485)&lt;=3),1,IF(AND(MONTH(C4485)&gt;=4,MONTH(C4485)&lt;=6),2,IF(AND(MONTH(C4485)&gt;=7,MONTH(C4485)&lt;=9),3,4))))</f>
        <v>1</v>
      </c>
      <c r="D4486" s="76"/>
      <c r="E4486" s="70" t="s">
        <v>2509</v>
      </c>
      <c r="F4486" s="71" t="s">
        <v>11612</v>
      </c>
    </row>
    <row r="4487" spans="1:10" ht="14.25" customHeight="1" x14ac:dyDescent="0.35">
      <c r="A4487" s="76"/>
      <c r="B4487" s="38" t="s">
        <v>13526</v>
      </c>
      <c r="C4487" s="68">
        <v>45378</v>
      </c>
      <c r="D4487" s="76"/>
      <c r="E4487" s="70" t="s">
        <v>3198</v>
      </c>
      <c r="F4487" s="71" t="s">
        <v>11612</v>
      </c>
    </row>
    <row r="4488" spans="1:10" ht="14.25" customHeight="1" x14ac:dyDescent="0.35">
      <c r="A4488" s="76"/>
      <c r="B4488" s="38" t="s">
        <v>1858</v>
      </c>
      <c r="C4488" s="69">
        <f>IF(C4487="","",IF(AND(MONTH(C4487)&gt;=1,MONTH(C4487)&lt;=3),1,IF(AND(MONTH(C4487)&gt;=4,MONTH(C4487)&lt;=6),2,IF(AND(MONTH(C4487)&gt;=7,MONTH(C4487)&lt;=9),3,4))))</f>
        <v>1</v>
      </c>
      <c r="D4488" s="76"/>
      <c r="E4488" s="70" t="s">
        <v>13785</v>
      </c>
      <c r="F4488" s="71"/>
    </row>
    <row r="4490" spans="1:10" ht="14.25" customHeight="1" x14ac:dyDescent="0.35">
      <c r="A4490" s="43" t="s">
        <v>16424</v>
      </c>
      <c r="B4490" s="43" t="s">
        <v>16856</v>
      </c>
      <c r="C4490" s="43" t="s">
        <v>16326</v>
      </c>
      <c r="D4490" s="43" t="s">
        <v>15925</v>
      </c>
      <c r="E4490" s="43" t="s">
        <v>7248</v>
      </c>
      <c r="F4490" s="43" t="s">
        <v>15955</v>
      </c>
    </row>
    <row r="4491" spans="1:10" ht="14.25" customHeight="1" x14ac:dyDescent="0.35">
      <c r="A4491" s="39" t="s">
        <v>5123</v>
      </c>
      <c r="B4491" s="40" t="str">
        <f ca="1">IFERROR(INDEX(UNSPSCDes,MATCH(INDIRECT(ADDRESS(ROW(),COLUMN()-1,4)),UNSPSCCode,0)),IF(INDIRECT(ADDRESS(ROW(),COLUMN()-1,4))="42192210","Sillas de ruedas",""))</f>
        <v>Sillas de ruedas</v>
      </c>
      <c r="C4491" s="72" t="str">
        <f>IFERROR(VLOOKUP("UD",'Informacion '!P:Q,2,FALSE),"")</f>
        <v>Unidad</v>
      </c>
      <c r="D4491" s="39">
        <v>4</v>
      </c>
      <c r="E4491" s="42">
        <v>15812</v>
      </c>
      <c r="F4491" s="41">
        <f ca="1">INDIRECT(ADDRESS(ROW(),COLUMN()-2,4))*INDIRECT(ADDRESS(ROW(),COLUMN()-1,4))</f>
        <v>63248</v>
      </c>
    </row>
    <row r="4492" spans="1:10" ht="14.25" customHeight="1" x14ac:dyDescent="0.35">
      <c r="E4492" s="44" t="s">
        <v>13122</v>
      </c>
      <c r="F4492" s="45">
        <f ca="1">SUM(Table241[MONTO TOTAL ESTIMADO])</f>
        <v>63248</v>
      </c>
      <c r="H4492" s="24" t="str">
        <f>C4484</f>
        <v>Bienes</v>
      </c>
      <c r="I4492" s="24" t="str">
        <f>E4484</f>
        <v>Sí</v>
      </c>
      <c r="J4492" s="24" t="str">
        <f>D4484</f>
        <v>Compras por debajo del Umbral</v>
      </c>
    </row>
    <row r="4494" spans="1:10" ht="34" customHeight="1" x14ac:dyDescent="0.35">
      <c r="A4494" s="36" t="s">
        <v>17105</v>
      </c>
      <c r="B4494" s="36" t="s">
        <v>167</v>
      </c>
      <c r="C4494" s="36" t="s">
        <v>12252</v>
      </c>
      <c r="D4494" s="36" t="s">
        <v>15021</v>
      </c>
      <c r="E4494" s="36" t="s">
        <v>11455</v>
      </c>
      <c r="F4494" s="36" t="s">
        <v>11595</v>
      </c>
    </row>
    <row r="4495" spans="1:10" ht="14.25" customHeight="1" x14ac:dyDescent="0.35">
      <c r="A4495" s="37" t="s">
        <v>15896</v>
      </c>
      <c r="B4495" s="37" t="s">
        <v>15896</v>
      </c>
      <c r="C4495" s="37" t="s">
        <v>18585</v>
      </c>
      <c r="D4495" s="37" t="s">
        <v>10634</v>
      </c>
      <c r="E4495" s="37" t="s">
        <v>9261</v>
      </c>
      <c r="F4495" s="37" t="s">
        <v>7088</v>
      </c>
    </row>
    <row r="4496" spans="1:10" ht="14.25" customHeight="1" x14ac:dyDescent="0.35">
      <c r="A4496" s="75" t="s">
        <v>15490</v>
      </c>
      <c r="B4496" s="38" t="s">
        <v>8918</v>
      </c>
      <c r="C4496" s="68">
        <v>45383</v>
      </c>
      <c r="D4496" s="75" t="s">
        <v>9819</v>
      </c>
      <c r="E4496" s="70" t="s">
        <v>13683</v>
      </c>
      <c r="F4496" s="71" t="s">
        <v>3205</v>
      </c>
    </row>
    <row r="4497" spans="1:10" ht="14.25" customHeight="1" x14ac:dyDescent="0.35">
      <c r="A4497" s="76"/>
      <c r="B4497" s="38" t="s">
        <v>1858</v>
      </c>
      <c r="C4497" s="69">
        <f>IF(C4496="","",IF(AND(MONTH(C4496)&gt;=1,MONTH(C4496)&lt;=3),1,IF(AND(MONTH(C4496)&gt;=4,MONTH(C4496)&lt;=6),2,IF(AND(MONTH(C4496)&gt;=7,MONTH(C4496)&lt;=9),3,4))))</f>
        <v>2</v>
      </c>
      <c r="D4497" s="76"/>
      <c r="E4497" s="70" t="s">
        <v>2509</v>
      </c>
      <c r="F4497" s="71" t="s">
        <v>11612</v>
      </c>
    </row>
    <row r="4498" spans="1:10" ht="14.25" customHeight="1" x14ac:dyDescent="0.35">
      <c r="A4498" s="76"/>
      <c r="B4498" s="38" t="s">
        <v>13526</v>
      </c>
      <c r="C4498" s="68">
        <v>45471</v>
      </c>
      <c r="D4498" s="76"/>
      <c r="E4498" s="70" t="s">
        <v>3198</v>
      </c>
      <c r="F4498" s="71" t="s">
        <v>11612</v>
      </c>
    </row>
    <row r="4499" spans="1:10" ht="14.25" customHeight="1" x14ac:dyDescent="0.35">
      <c r="A4499" s="76"/>
      <c r="B4499" s="38" t="s">
        <v>1858</v>
      </c>
      <c r="C4499" s="69">
        <f>IF(C4498="","",IF(AND(MONTH(C4498)&gt;=1,MONTH(C4498)&lt;=3),1,IF(AND(MONTH(C4498)&gt;=4,MONTH(C4498)&lt;=6),2,IF(AND(MONTH(C4498)&gt;=7,MONTH(C4498)&lt;=9),3,4))))</f>
        <v>2</v>
      </c>
      <c r="D4499" s="76"/>
      <c r="E4499" s="70" t="s">
        <v>13785</v>
      </c>
      <c r="F4499" s="71"/>
    </row>
    <row r="4501" spans="1:10" ht="14.25" customHeight="1" x14ac:dyDescent="0.35">
      <c r="A4501" s="43" t="s">
        <v>16424</v>
      </c>
      <c r="B4501" s="43" t="s">
        <v>16856</v>
      </c>
      <c r="C4501" s="43" t="s">
        <v>16326</v>
      </c>
      <c r="D4501" s="43" t="s">
        <v>15925</v>
      </c>
      <c r="E4501" s="43" t="s">
        <v>7248</v>
      </c>
      <c r="F4501" s="43" t="s">
        <v>15955</v>
      </c>
    </row>
    <row r="4502" spans="1:10" ht="14.25" customHeight="1" x14ac:dyDescent="0.35">
      <c r="A4502" s="39" t="s">
        <v>5123</v>
      </c>
      <c r="B4502" s="40" t="str">
        <f ca="1">IFERROR(INDEX(UNSPSCDes,MATCH(INDIRECT(ADDRESS(ROW(),COLUMN()-1,4)),UNSPSCCode,0)),IF(INDIRECT(ADDRESS(ROW(),COLUMN()-1,4))="42192210","Sillas de ruedas",""))</f>
        <v>Sillas de ruedas</v>
      </c>
      <c r="C4502" s="72" t="str">
        <f>IFERROR(VLOOKUP("UD",'Informacion '!P:Q,2,FALSE),"")</f>
        <v>Unidad</v>
      </c>
      <c r="D4502" s="39">
        <v>4</v>
      </c>
      <c r="E4502" s="42">
        <v>15812</v>
      </c>
      <c r="F4502" s="41">
        <f ca="1">INDIRECT(ADDRESS(ROW(),COLUMN()-2,4))*INDIRECT(ADDRESS(ROW(),COLUMN()-1,4))</f>
        <v>63248</v>
      </c>
    </row>
    <row r="4503" spans="1:10" ht="14.25" customHeight="1" x14ac:dyDescent="0.35">
      <c r="E4503" s="44" t="s">
        <v>13122</v>
      </c>
      <c r="F4503" s="45">
        <f ca="1">SUM(Table242[MONTO TOTAL ESTIMADO])</f>
        <v>63248</v>
      </c>
      <c r="H4503" s="24" t="str">
        <f>C4495</f>
        <v>Bienes</v>
      </c>
      <c r="I4503" s="24" t="str">
        <f>E4495</f>
        <v>Sí</v>
      </c>
      <c r="J4503" s="24" t="str">
        <f>D4495</f>
        <v>Compras por debajo del Umbral</v>
      </c>
    </row>
    <row r="4505" spans="1:10" ht="34" customHeight="1" x14ac:dyDescent="0.35">
      <c r="A4505" s="36" t="s">
        <v>17105</v>
      </c>
      <c r="B4505" s="36" t="s">
        <v>167</v>
      </c>
      <c r="C4505" s="36" t="s">
        <v>12252</v>
      </c>
      <c r="D4505" s="36" t="s">
        <v>15021</v>
      </c>
      <c r="E4505" s="36" t="s">
        <v>11455</v>
      </c>
      <c r="F4505" s="36" t="s">
        <v>11595</v>
      </c>
    </row>
    <row r="4506" spans="1:10" ht="14.25" customHeight="1" x14ac:dyDescent="0.35">
      <c r="A4506" s="37" t="s">
        <v>7267</v>
      </c>
      <c r="B4506" s="37" t="s">
        <v>7267</v>
      </c>
      <c r="C4506" s="37" t="s">
        <v>18585</v>
      </c>
      <c r="D4506" s="37" t="s">
        <v>10634</v>
      </c>
      <c r="E4506" s="37" t="s">
        <v>18646</v>
      </c>
      <c r="F4506" s="37" t="s">
        <v>7088</v>
      </c>
    </row>
    <row r="4507" spans="1:10" ht="14.25" customHeight="1" x14ac:dyDescent="0.35">
      <c r="A4507" s="75" t="s">
        <v>15490</v>
      </c>
      <c r="B4507" s="38" t="s">
        <v>8918</v>
      </c>
      <c r="C4507" s="68">
        <v>45334</v>
      </c>
      <c r="D4507" s="75" t="s">
        <v>9819</v>
      </c>
      <c r="E4507" s="70" t="s">
        <v>13683</v>
      </c>
      <c r="F4507" s="71" t="s">
        <v>3205</v>
      </c>
    </row>
    <row r="4508" spans="1:10" ht="14.25" customHeight="1" x14ac:dyDescent="0.35">
      <c r="A4508" s="76"/>
      <c r="B4508" s="38" t="s">
        <v>1858</v>
      </c>
      <c r="C4508" s="69">
        <f>IF(C4507="","",IF(AND(MONTH(C4507)&gt;=1,MONTH(C4507)&lt;=3),1,IF(AND(MONTH(C4507)&gt;=4,MONTH(C4507)&lt;=6),2,IF(AND(MONTH(C4507)&gt;=7,MONTH(C4507)&lt;=9),3,4))))</f>
        <v>1</v>
      </c>
      <c r="D4508" s="76"/>
      <c r="E4508" s="70" t="s">
        <v>2509</v>
      </c>
      <c r="F4508" s="71" t="s">
        <v>11612</v>
      </c>
    </row>
    <row r="4509" spans="1:10" ht="14.25" customHeight="1" x14ac:dyDescent="0.35">
      <c r="A4509" s="76"/>
      <c r="B4509" s="38" t="s">
        <v>13526</v>
      </c>
      <c r="C4509" s="68">
        <v>45378</v>
      </c>
      <c r="D4509" s="76"/>
      <c r="E4509" s="70" t="s">
        <v>3198</v>
      </c>
      <c r="F4509" s="71" t="s">
        <v>11612</v>
      </c>
    </row>
    <row r="4510" spans="1:10" ht="14.25" customHeight="1" x14ac:dyDescent="0.35">
      <c r="A4510" s="76"/>
      <c r="B4510" s="38" t="s">
        <v>1858</v>
      </c>
      <c r="C4510" s="69">
        <f>IF(C4509="","",IF(AND(MONTH(C4509)&gt;=1,MONTH(C4509)&lt;=3),1,IF(AND(MONTH(C4509)&gt;=4,MONTH(C4509)&lt;=6),2,IF(AND(MONTH(C4509)&gt;=7,MONTH(C4509)&lt;=9),3,4))))</f>
        <v>1</v>
      </c>
      <c r="D4510" s="76"/>
      <c r="E4510" s="70" t="s">
        <v>13785</v>
      </c>
      <c r="F4510" s="71"/>
    </row>
    <row r="4512" spans="1:10" ht="14.25" customHeight="1" x14ac:dyDescent="0.35">
      <c r="A4512" s="43" t="s">
        <v>16424</v>
      </c>
      <c r="B4512" s="43" t="s">
        <v>16856</v>
      </c>
      <c r="C4512" s="43" t="s">
        <v>16326</v>
      </c>
      <c r="D4512" s="43" t="s">
        <v>15925</v>
      </c>
      <c r="E4512" s="43" t="s">
        <v>7248</v>
      </c>
      <c r="F4512" s="43" t="s">
        <v>15955</v>
      </c>
    </row>
    <row r="4513" spans="1:10" ht="14.25" customHeight="1" x14ac:dyDescent="0.35">
      <c r="A4513" s="39" t="s">
        <v>5069</v>
      </c>
      <c r="B4513" s="40" t="str">
        <f ca="1">IFERROR(INDEX(UNSPSCDes,MATCH(INDIRECT(ADDRESS(ROW(),COLUMN()-1,4)),UNSPSCCode,0)),IF(INDIRECT(ADDRESS(ROW(),COLUMN()-1,4))="42241701","Fieltros de recubrimiento ortopédico para tobillo o pie",""))</f>
        <v>Fieltros de recubrimiento ortopédico para tobillo o pie</v>
      </c>
      <c r="C4513" s="72" t="str">
        <f>IFERROR(VLOOKUP("UD",'Informacion '!P:Q,2,FALSE),"")</f>
        <v>Unidad</v>
      </c>
      <c r="D4513" s="39">
        <v>50</v>
      </c>
      <c r="E4513" s="42">
        <v>1886.8009999999999</v>
      </c>
      <c r="F4513" s="41">
        <f ca="1">INDIRECT(ADDRESS(ROW(),COLUMN()-2,4))*INDIRECT(ADDRESS(ROW(),COLUMN()-1,4))</f>
        <v>94340.05</v>
      </c>
    </row>
    <row r="4514" spans="1:10" ht="14.25" customHeight="1" x14ac:dyDescent="0.35">
      <c r="E4514" s="44" t="s">
        <v>13122</v>
      </c>
      <c r="F4514" s="45">
        <f ca="1">SUM(Table243[MONTO TOTAL ESTIMADO])</f>
        <v>94340.05</v>
      </c>
      <c r="H4514" s="24" t="str">
        <f>C4506</f>
        <v>Bienes</v>
      </c>
      <c r="I4514" s="24" t="str">
        <f>E4506</f>
        <v>No</v>
      </c>
      <c r="J4514" s="24" t="str">
        <f>D4506</f>
        <v>Compras por debajo del Umbral</v>
      </c>
    </row>
    <row r="4516" spans="1:10" ht="34" customHeight="1" x14ac:dyDescent="0.35">
      <c r="A4516" s="36" t="s">
        <v>17105</v>
      </c>
      <c r="B4516" s="36" t="s">
        <v>167</v>
      </c>
      <c r="C4516" s="36" t="s">
        <v>12252</v>
      </c>
      <c r="D4516" s="36" t="s">
        <v>15021</v>
      </c>
      <c r="E4516" s="36" t="s">
        <v>11455</v>
      </c>
      <c r="F4516" s="36" t="s">
        <v>11595</v>
      </c>
    </row>
    <row r="4517" spans="1:10" ht="14.25" customHeight="1" x14ac:dyDescent="0.35">
      <c r="A4517" s="37" t="s">
        <v>478</v>
      </c>
      <c r="B4517" s="37" t="s">
        <v>478</v>
      </c>
      <c r="C4517" s="37" t="s">
        <v>18585</v>
      </c>
      <c r="D4517" s="37" t="s">
        <v>10634</v>
      </c>
      <c r="E4517" s="37" t="s">
        <v>6314</v>
      </c>
      <c r="F4517" s="37"/>
    </row>
    <row r="4518" spans="1:10" ht="14.25" customHeight="1" x14ac:dyDescent="0.35">
      <c r="A4518" s="75" t="s">
        <v>15490</v>
      </c>
      <c r="B4518" s="38" t="s">
        <v>8918</v>
      </c>
      <c r="C4518" s="68">
        <v>45334</v>
      </c>
      <c r="D4518" s="75" t="s">
        <v>9819</v>
      </c>
      <c r="E4518" s="70" t="s">
        <v>13683</v>
      </c>
      <c r="F4518" s="71" t="s">
        <v>3205</v>
      </c>
    </row>
    <row r="4519" spans="1:10" ht="14.25" customHeight="1" x14ac:dyDescent="0.35">
      <c r="A4519" s="76"/>
      <c r="B4519" s="38" t="s">
        <v>1858</v>
      </c>
      <c r="C4519" s="69">
        <f>IF(C4518="","",IF(AND(MONTH(C4518)&gt;=1,MONTH(C4518)&lt;=3),1,IF(AND(MONTH(C4518)&gt;=4,MONTH(C4518)&lt;=6),2,IF(AND(MONTH(C4518)&gt;=7,MONTH(C4518)&lt;=9),3,4))))</f>
        <v>1</v>
      </c>
      <c r="D4519" s="76"/>
      <c r="E4519" s="70" t="s">
        <v>2509</v>
      </c>
      <c r="F4519" s="71" t="s">
        <v>11612</v>
      </c>
    </row>
    <row r="4520" spans="1:10" ht="14.25" customHeight="1" x14ac:dyDescent="0.35">
      <c r="A4520" s="76"/>
      <c r="B4520" s="38" t="s">
        <v>13526</v>
      </c>
      <c r="C4520" s="68">
        <v>45377</v>
      </c>
      <c r="D4520" s="76"/>
      <c r="E4520" s="70" t="s">
        <v>3198</v>
      </c>
      <c r="F4520" s="71" t="s">
        <v>11612</v>
      </c>
    </row>
    <row r="4521" spans="1:10" ht="14.25" customHeight="1" x14ac:dyDescent="0.35">
      <c r="A4521" s="76"/>
      <c r="B4521" s="38" t="s">
        <v>1858</v>
      </c>
      <c r="C4521" s="69">
        <f>IF(C4520="","",IF(AND(MONTH(C4520)&gt;=1,MONTH(C4520)&lt;=3),1,IF(AND(MONTH(C4520)&gt;=4,MONTH(C4520)&lt;=6),2,IF(AND(MONTH(C4520)&gt;=7,MONTH(C4520)&lt;=9),3,4))))</f>
        <v>1</v>
      </c>
      <c r="D4521" s="76"/>
      <c r="E4521" s="70" t="s">
        <v>13785</v>
      </c>
      <c r="F4521" s="71"/>
    </row>
    <row r="4523" spans="1:10" ht="14.25" customHeight="1" x14ac:dyDescent="0.35">
      <c r="A4523" s="43" t="s">
        <v>16424</v>
      </c>
      <c r="B4523" s="43" t="s">
        <v>16856</v>
      </c>
      <c r="C4523" s="43" t="s">
        <v>16326</v>
      </c>
      <c r="D4523" s="43" t="s">
        <v>15925</v>
      </c>
      <c r="E4523" s="43" t="s">
        <v>7248</v>
      </c>
      <c r="F4523" s="43" t="s">
        <v>15955</v>
      </c>
    </row>
    <row r="4524" spans="1:10" ht="14.25" customHeight="1" x14ac:dyDescent="0.35">
      <c r="A4524" s="39" t="s">
        <v>10187</v>
      </c>
      <c r="B4524" s="40" t="str">
        <f ca="1">IFERROR(INDEX(UNSPSCDes,MATCH(INDIRECT(ADDRESS(ROW(),COLUMN()-1,4)),UNSPSCCode,0)),IF(INDIRECT(ADDRESS(ROW(),COLUMN()-1,4))="42271708","Máscaras de oxígeno o partes para uso médico",""))</f>
        <v>Máscaras de oxígeno o partes para uso médico</v>
      </c>
      <c r="C4524" s="72" t="str">
        <f>IFERROR(VLOOKUP("CAJ",'Informacion '!P:Q,2,FALSE),"")</f>
        <v>Caja</v>
      </c>
      <c r="D4524" s="39">
        <v>12</v>
      </c>
      <c r="E4524" s="42">
        <v>120</v>
      </c>
      <c r="F4524" s="41">
        <f ca="1">INDIRECT(ADDRESS(ROW(),COLUMN()-2,4))*INDIRECT(ADDRESS(ROW(),COLUMN()-1,4))</f>
        <v>1440</v>
      </c>
    </row>
    <row r="4525" spans="1:10" ht="14.25" customHeight="1" x14ac:dyDescent="0.35">
      <c r="E4525" s="44" t="s">
        <v>13122</v>
      </c>
      <c r="F4525" s="45">
        <f ca="1">SUM(Table244[MONTO TOTAL ESTIMADO])</f>
        <v>1440</v>
      </c>
      <c r="H4525" s="24" t="str">
        <f>C4517</f>
        <v>Bienes</v>
      </c>
      <c r="I4525" s="24" t="str">
        <f>E4517</f>
        <v>MIPYME Mujeres</v>
      </c>
      <c r="J4525" s="24" t="str">
        <f>D4517</f>
        <v>Compras por debajo del Umbral</v>
      </c>
    </row>
    <row r="4527" spans="1:10" ht="34" customHeight="1" x14ac:dyDescent="0.35">
      <c r="A4527" s="36" t="s">
        <v>17105</v>
      </c>
      <c r="B4527" s="36" t="s">
        <v>167</v>
      </c>
      <c r="C4527" s="36" t="s">
        <v>12252</v>
      </c>
      <c r="D4527" s="36" t="s">
        <v>15021</v>
      </c>
      <c r="E4527" s="36" t="s">
        <v>11455</v>
      </c>
      <c r="F4527" s="36" t="s">
        <v>11595</v>
      </c>
    </row>
    <row r="4528" spans="1:10" ht="14.25" customHeight="1" x14ac:dyDescent="0.35">
      <c r="A4528" s="37" t="s">
        <v>478</v>
      </c>
      <c r="B4528" s="37" t="s">
        <v>478</v>
      </c>
      <c r="C4528" s="37" t="s">
        <v>18585</v>
      </c>
      <c r="D4528" s="37" t="s">
        <v>10634</v>
      </c>
      <c r="E4528" s="37" t="s">
        <v>6314</v>
      </c>
      <c r="F4528" s="37" t="s">
        <v>7088</v>
      </c>
    </row>
    <row r="4529" spans="1:10" ht="14.25" customHeight="1" x14ac:dyDescent="0.35">
      <c r="A4529" s="75" t="s">
        <v>15490</v>
      </c>
      <c r="B4529" s="38" t="s">
        <v>8918</v>
      </c>
      <c r="C4529" s="68">
        <v>45383</v>
      </c>
      <c r="D4529" s="75" t="s">
        <v>9819</v>
      </c>
      <c r="E4529" s="70" t="s">
        <v>13683</v>
      </c>
      <c r="F4529" s="71" t="s">
        <v>3205</v>
      </c>
    </row>
    <row r="4530" spans="1:10" ht="14.25" customHeight="1" x14ac:dyDescent="0.35">
      <c r="A4530" s="76"/>
      <c r="B4530" s="38" t="s">
        <v>1858</v>
      </c>
      <c r="C4530" s="69">
        <f>IF(C4529="","",IF(AND(MONTH(C4529)&gt;=1,MONTH(C4529)&lt;=3),1,IF(AND(MONTH(C4529)&gt;=4,MONTH(C4529)&lt;=6),2,IF(AND(MONTH(C4529)&gt;=7,MONTH(C4529)&lt;=9),3,4))))</f>
        <v>2</v>
      </c>
      <c r="D4530" s="76"/>
      <c r="E4530" s="70" t="s">
        <v>2509</v>
      </c>
      <c r="F4530" s="71" t="s">
        <v>11612</v>
      </c>
    </row>
    <row r="4531" spans="1:10" ht="14.25" customHeight="1" x14ac:dyDescent="0.35">
      <c r="A4531" s="76"/>
      <c r="B4531" s="38" t="s">
        <v>13526</v>
      </c>
      <c r="C4531" s="68">
        <v>45471</v>
      </c>
      <c r="D4531" s="76"/>
      <c r="E4531" s="70" t="s">
        <v>3198</v>
      </c>
      <c r="F4531" s="71" t="s">
        <v>11612</v>
      </c>
    </row>
    <row r="4532" spans="1:10" ht="14.25" customHeight="1" x14ac:dyDescent="0.35">
      <c r="A4532" s="76"/>
      <c r="B4532" s="38" t="s">
        <v>1858</v>
      </c>
      <c r="C4532" s="69">
        <f>IF(C4531="","",IF(AND(MONTH(C4531)&gt;=1,MONTH(C4531)&lt;=3),1,IF(AND(MONTH(C4531)&gt;=4,MONTH(C4531)&lt;=6),2,IF(AND(MONTH(C4531)&gt;=7,MONTH(C4531)&lt;=9),3,4))))</f>
        <v>2</v>
      </c>
      <c r="D4532" s="76"/>
      <c r="E4532" s="70" t="s">
        <v>13785</v>
      </c>
      <c r="F4532" s="71"/>
    </row>
    <row r="4534" spans="1:10" ht="14.25" customHeight="1" x14ac:dyDescent="0.35">
      <c r="A4534" s="43" t="s">
        <v>16424</v>
      </c>
      <c r="B4534" s="43" t="s">
        <v>16856</v>
      </c>
      <c r="C4534" s="43" t="s">
        <v>16326</v>
      </c>
      <c r="D4534" s="43" t="s">
        <v>15925</v>
      </c>
      <c r="E4534" s="43" t="s">
        <v>7248</v>
      </c>
      <c r="F4534" s="43" t="s">
        <v>15955</v>
      </c>
    </row>
    <row r="4535" spans="1:10" ht="14.25" customHeight="1" x14ac:dyDescent="0.35">
      <c r="A4535" s="39" t="s">
        <v>10187</v>
      </c>
      <c r="B4535" s="40" t="str">
        <f ca="1">IFERROR(INDEX(UNSPSCDes,MATCH(INDIRECT(ADDRESS(ROW(),COLUMN()-1,4)),UNSPSCCode,0)),IF(INDIRECT(ADDRESS(ROW(),COLUMN()-1,4))="42271708","Máscaras de oxígeno o partes para uso médico",""))</f>
        <v>Máscaras de oxígeno o partes para uso médico</v>
      </c>
      <c r="C4535" s="72" t="str">
        <f>IFERROR(VLOOKUP("CAJ",'Informacion '!P:Q,2,FALSE),"")</f>
        <v>Caja</v>
      </c>
      <c r="D4535" s="39">
        <v>12</v>
      </c>
      <c r="E4535" s="42">
        <v>120</v>
      </c>
      <c r="F4535" s="41">
        <f ca="1">INDIRECT(ADDRESS(ROW(),COLUMN()-2,4))*INDIRECT(ADDRESS(ROW(),COLUMN()-1,4))</f>
        <v>1440</v>
      </c>
    </row>
    <row r="4536" spans="1:10" ht="14.25" customHeight="1" x14ac:dyDescent="0.35">
      <c r="E4536" s="44" t="s">
        <v>13122</v>
      </c>
      <c r="F4536" s="45">
        <f ca="1">SUM(Table245[MONTO TOTAL ESTIMADO])</f>
        <v>1440</v>
      </c>
      <c r="H4536" s="24" t="str">
        <f>C4528</f>
        <v>Bienes</v>
      </c>
      <c r="I4536" s="24" t="str">
        <f>E4528</f>
        <v>MIPYME Mujeres</v>
      </c>
      <c r="J4536" s="24" t="str">
        <f>D4528</f>
        <v>Compras por debajo del Umbral</v>
      </c>
    </row>
    <row r="4538" spans="1:10" ht="34" customHeight="1" x14ac:dyDescent="0.35">
      <c r="A4538" s="36" t="s">
        <v>17105</v>
      </c>
      <c r="B4538" s="36" t="s">
        <v>167</v>
      </c>
      <c r="C4538" s="36" t="s">
        <v>12252</v>
      </c>
      <c r="D4538" s="36" t="s">
        <v>15021</v>
      </c>
      <c r="E4538" s="36" t="s">
        <v>11455</v>
      </c>
      <c r="F4538" s="36" t="s">
        <v>11595</v>
      </c>
    </row>
    <row r="4539" spans="1:10" ht="14.25" customHeight="1" x14ac:dyDescent="0.35">
      <c r="A4539" s="37" t="s">
        <v>2895</v>
      </c>
      <c r="B4539" s="37" t="s">
        <v>2895</v>
      </c>
      <c r="C4539" s="37" t="s">
        <v>18585</v>
      </c>
      <c r="D4539" s="37" t="s">
        <v>10634</v>
      </c>
      <c r="E4539" s="37" t="s">
        <v>18646</v>
      </c>
      <c r="F4539" s="37" t="s">
        <v>7088</v>
      </c>
    </row>
    <row r="4540" spans="1:10" ht="14.25" customHeight="1" x14ac:dyDescent="0.35">
      <c r="A4540" s="75" t="s">
        <v>15490</v>
      </c>
      <c r="B4540" s="38" t="s">
        <v>8918</v>
      </c>
      <c r="C4540" s="68">
        <v>45334</v>
      </c>
      <c r="D4540" s="75" t="s">
        <v>9819</v>
      </c>
      <c r="E4540" s="70" t="s">
        <v>13683</v>
      </c>
      <c r="F4540" s="71" t="s">
        <v>3205</v>
      </c>
    </row>
    <row r="4541" spans="1:10" ht="14.25" customHeight="1" x14ac:dyDescent="0.35">
      <c r="A4541" s="76"/>
      <c r="B4541" s="38" t="s">
        <v>1858</v>
      </c>
      <c r="C4541" s="69">
        <f>IF(C4540="","",IF(AND(MONTH(C4540)&gt;=1,MONTH(C4540)&lt;=3),1,IF(AND(MONTH(C4540)&gt;=4,MONTH(C4540)&lt;=6),2,IF(AND(MONTH(C4540)&gt;=7,MONTH(C4540)&lt;=9),3,4))))</f>
        <v>1</v>
      </c>
      <c r="D4541" s="76"/>
      <c r="E4541" s="70" t="s">
        <v>2509</v>
      </c>
      <c r="F4541" s="71" t="s">
        <v>11612</v>
      </c>
    </row>
    <row r="4542" spans="1:10" ht="14.25" customHeight="1" x14ac:dyDescent="0.35">
      <c r="A4542" s="76"/>
      <c r="B4542" s="38" t="s">
        <v>13526</v>
      </c>
      <c r="C4542" s="68">
        <v>45378</v>
      </c>
      <c r="D4542" s="76"/>
      <c r="E4542" s="70" t="s">
        <v>3198</v>
      </c>
      <c r="F4542" s="71" t="s">
        <v>11612</v>
      </c>
    </row>
    <row r="4543" spans="1:10" ht="14.25" customHeight="1" x14ac:dyDescent="0.35">
      <c r="A4543" s="76"/>
      <c r="B4543" s="38" t="s">
        <v>1858</v>
      </c>
      <c r="C4543" s="69">
        <f>IF(C4542="","",IF(AND(MONTH(C4542)&gt;=1,MONTH(C4542)&lt;=3),1,IF(AND(MONTH(C4542)&gt;=4,MONTH(C4542)&lt;=6),2,IF(AND(MONTH(C4542)&gt;=7,MONTH(C4542)&lt;=9),3,4))))</f>
        <v>1</v>
      </c>
      <c r="D4543" s="76"/>
      <c r="E4543" s="70" t="s">
        <v>13785</v>
      </c>
      <c r="F4543" s="71"/>
    </row>
    <row r="4545" spans="1:10" ht="14.25" customHeight="1" x14ac:dyDescent="0.35">
      <c r="A4545" s="43" t="s">
        <v>16424</v>
      </c>
      <c r="B4545" s="43" t="s">
        <v>16856</v>
      </c>
      <c r="C4545" s="43" t="s">
        <v>16326</v>
      </c>
      <c r="D4545" s="43" t="s">
        <v>15925</v>
      </c>
      <c r="E4545" s="43" t="s">
        <v>7248</v>
      </c>
      <c r="F4545" s="43" t="s">
        <v>15955</v>
      </c>
    </row>
    <row r="4546" spans="1:10" ht="14.25" customHeight="1" x14ac:dyDescent="0.35">
      <c r="A4546" s="39" t="s">
        <v>9147</v>
      </c>
      <c r="B4546" s="40" t="str">
        <f ca="1">IFERROR(INDEX(UNSPSCDes,MATCH(INDIRECT(ADDRESS(ROW(),COLUMN()-1,4)),UNSPSCCode,0)),IF(INDIRECT(ADDRESS(ROW(),COLUMN()-1,4))="42291604","Sierras de mano o sierras de alambre o manijas para sierras para huesos para uso quirúrgico",""))</f>
        <v>Sierras de mano o sierras de alambre o manijas para sierras para huesos para uso quirúrgico</v>
      </c>
      <c r="C4546" s="72" t="str">
        <f>IFERROR(VLOOKUP("UD",'Informacion '!P:Q,2,FALSE),"")</f>
        <v>Unidad</v>
      </c>
      <c r="D4546" s="39">
        <v>12</v>
      </c>
      <c r="E4546" s="42">
        <v>584</v>
      </c>
      <c r="F4546" s="41">
        <f ca="1">INDIRECT(ADDRESS(ROW(),COLUMN()-2,4))*INDIRECT(ADDRESS(ROW(),COLUMN()-1,4))</f>
        <v>7008</v>
      </c>
    </row>
    <row r="4547" spans="1:10" ht="14.25" customHeight="1" x14ac:dyDescent="0.35">
      <c r="E4547" s="44" t="s">
        <v>13122</v>
      </c>
      <c r="F4547" s="45">
        <f ca="1">SUM(Table246[MONTO TOTAL ESTIMADO])</f>
        <v>7008</v>
      </c>
      <c r="H4547" s="24" t="str">
        <f>C4539</f>
        <v>Bienes</v>
      </c>
      <c r="I4547" s="24" t="str">
        <f>E4539</f>
        <v>No</v>
      </c>
      <c r="J4547" s="24" t="str">
        <f>D4539</f>
        <v>Compras por debajo del Umbral</v>
      </c>
    </row>
    <row r="4549" spans="1:10" ht="34" customHeight="1" x14ac:dyDescent="0.35">
      <c r="A4549" s="36" t="s">
        <v>17105</v>
      </c>
      <c r="B4549" s="36" t="s">
        <v>167</v>
      </c>
      <c r="C4549" s="36" t="s">
        <v>12252</v>
      </c>
      <c r="D4549" s="36" t="s">
        <v>15021</v>
      </c>
      <c r="E4549" s="36" t="s">
        <v>11455</v>
      </c>
      <c r="F4549" s="36" t="s">
        <v>11595</v>
      </c>
    </row>
    <row r="4550" spans="1:10" ht="14.25" customHeight="1" x14ac:dyDescent="0.35">
      <c r="A4550" s="37" t="s">
        <v>2069</v>
      </c>
      <c r="B4550" s="37" t="s">
        <v>2069</v>
      </c>
      <c r="C4550" s="37" t="s">
        <v>18585</v>
      </c>
      <c r="D4550" s="37" t="s">
        <v>10634</v>
      </c>
      <c r="E4550" s="37" t="s">
        <v>9261</v>
      </c>
      <c r="F4550" s="37" t="s">
        <v>7088</v>
      </c>
    </row>
    <row r="4551" spans="1:10" ht="14.25" customHeight="1" x14ac:dyDescent="0.35">
      <c r="A4551" s="75" t="s">
        <v>15490</v>
      </c>
      <c r="B4551" s="38" t="s">
        <v>8918</v>
      </c>
      <c r="C4551" s="68">
        <v>45334</v>
      </c>
      <c r="D4551" s="75" t="s">
        <v>9819</v>
      </c>
      <c r="E4551" s="70" t="s">
        <v>13683</v>
      </c>
      <c r="F4551" s="71" t="s">
        <v>3205</v>
      </c>
    </row>
    <row r="4552" spans="1:10" ht="14.25" customHeight="1" x14ac:dyDescent="0.35">
      <c r="A4552" s="76"/>
      <c r="B4552" s="38" t="s">
        <v>1858</v>
      </c>
      <c r="C4552" s="69">
        <f>IF(C4551="","",IF(AND(MONTH(C4551)&gt;=1,MONTH(C4551)&lt;=3),1,IF(AND(MONTH(C4551)&gt;=4,MONTH(C4551)&lt;=6),2,IF(AND(MONTH(C4551)&gt;=7,MONTH(C4551)&lt;=9),3,4))))</f>
        <v>1</v>
      </c>
      <c r="D4552" s="76"/>
      <c r="E4552" s="70" t="s">
        <v>2509</v>
      </c>
      <c r="F4552" s="71" t="s">
        <v>11612</v>
      </c>
    </row>
    <row r="4553" spans="1:10" ht="14.25" customHeight="1" x14ac:dyDescent="0.35">
      <c r="A4553" s="76"/>
      <c r="B4553" s="38" t="s">
        <v>13526</v>
      </c>
      <c r="C4553" s="68">
        <v>45378</v>
      </c>
      <c r="D4553" s="76"/>
      <c r="E4553" s="70" t="s">
        <v>3198</v>
      </c>
      <c r="F4553" s="71" t="s">
        <v>11612</v>
      </c>
    </row>
    <row r="4554" spans="1:10" ht="14.25" customHeight="1" x14ac:dyDescent="0.35">
      <c r="A4554" s="76"/>
      <c r="B4554" s="38" t="s">
        <v>1858</v>
      </c>
      <c r="C4554" s="69">
        <f>IF(C4553="","",IF(AND(MONTH(C4553)&gt;=1,MONTH(C4553)&lt;=3),1,IF(AND(MONTH(C4553)&gt;=4,MONTH(C4553)&lt;=6),2,IF(AND(MONTH(C4553)&gt;=7,MONTH(C4553)&lt;=9),3,4))))</f>
        <v>1</v>
      </c>
      <c r="D4554" s="76"/>
      <c r="E4554" s="70" t="s">
        <v>13785</v>
      </c>
      <c r="F4554" s="71"/>
    </row>
    <row r="4556" spans="1:10" ht="14.25" customHeight="1" x14ac:dyDescent="0.35">
      <c r="A4556" s="43" t="s">
        <v>16424</v>
      </c>
      <c r="B4556" s="43" t="s">
        <v>16856</v>
      </c>
      <c r="C4556" s="43" t="s">
        <v>16326</v>
      </c>
      <c r="D4556" s="43" t="s">
        <v>15925</v>
      </c>
      <c r="E4556" s="43" t="s">
        <v>7248</v>
      </c>
      <c r="F4556" s="43" t="s">
        <v>15955</v>
      </c>
    </row>
    <row r="4557" spans="1:10" ht="14.25" customHeight="1" x14ac:dyDescent="0.35">
      <c r="A4557" s="39" t="s">
        <v>7086</v>
      </c>
      <c r="B4557" s="40" t="str">
        <f ca="1">IFERROR(INDEX(UNSPSCDes,MATCH(INDIRECT(ADDRESS(ROW(),COLUMN()-1,4)),UNSPSCCode,0)),IF(INDIRECT(ADDRESS(ROW(),COLUMN()-1,4))="42311511","Vendajes de gasa",""))</f>
        <v>Vendajes de gasa</v>
      </c>
      <c r="C4557" s="72" t="str">
        <f>IFERROR(VLOOKUP("CAJ",'Informacion '!P:Q,2,FALSE),"")</f>
        <v>Caja</v>
      </c>
      <c r="D4557" s="39">
        <v>6</v>
      </c>
      <c r="E4557" s="42">
        <v>472</v>
      </c>
      <c r="F4557" s="41">
        <f ca="1">INDIRECT(ADDRESS(ROW(),COLUMN()-2,4))*INDIRECT(ADDRESS(ROW(),COLUMN()-1,4))</f>
        <v>2832</v>
      </c>
    </row>
    <row r="4558" spans="1:10" ht="14.25" customHeight="1" x14ac:dyDescent="0.35">
      <c r="A4558" s="39" t="s">
        <v>7086</v>
      </c>
      <c r="B4558" s="40" t="str">
        <f ca="1">IFERROR(INDEX(UNSPSCDes,MATCH(INDIRECT(ADDRESS(ROW(),COLUMN()-1,4)),UNSPSCCode,0)),IF(INDIRECT(ADDRESS(ROW(),COLUMN()-1,4))="42311511","Vendajes de gasa",""))</f>
        <v>Vendajes de gasa</v>
      </c>
      <c r="C4558" s="72" t="str">
        <f>IFERROR(VLOOKUP("CAJ",'Informacion '!P:Q,2,FALSE),"")</f>
        <v>Caja</v>
      </c>
      <c r="D4558" s="39">
        <v>6</v>
      </c>
      <c r="E4558" s="42">
        <v>472</v>
      </c>
      <c r="F4558" s="41">
        <f ca="1">INDIRECT(ADDRESS(ROW(),COLUMN()-2,4))*INDIRECT(ADDRESS(ROW(),COLUMN()-1,4))</f>
        <v>2832</v>
      </c>
    </row>
    <row r="4559" spans="1:10" ht="14.25" customHeight="1" x14ac:dyDescent="0.35">
      <c r="A4559" s="39" t="s">
        <v>7086</v>
      </c>
      <c r="B4559" s="40" t="str">
        <f ca="1">IFERROR(INDEX(UNSPSCDes,MATCH(INDIRECT(ADDRESS(ROW(),COLUMN()-1,4)),UNSPSCCode,0)),IF(INDIRECT(ADDRESS(ROW(),COLUMN()-1,4))="42311511","Vendajes de gasa",""))</f>
        <v>Vendajes de gasa</v>
      </c>
      <c r="C4559" s="72" t="str">
        <f>IFERROR(VLOOKUP("UD",'Informacion '!P:Q,2,FALSE),"")</f>
        <v>Unidad</v>
      </c>
      <c r="D4559" s="39">
        <v>60</v>
      </c>
      <c r="E4559" s="42">
        <v>30.68</v>
      </c>
      <c r="F4559" s="41">
        <f ca="1">INDIRECT(ADDRESS(ROW(),COLUMN()-2,4))*INDIRECT(ADDRESS(ROW(),COLUMN()-1,4))</f>
        <v>1840.8</v>
      </c>
    </row>
    <row r="4560" spans="1:10" ht="14.25" customHeight="1" x14ac:dyDescent="0.35">
      <c r="A4560" s="39" t="s">
        <v>7086</v>
      </c>
      <c r="B4560" s="40" t="str">
        <f ca="1">IFERROR(INDEX(UNSPSCDes,MATCH(INDIRECT(ADDRESS(ROW(),COLUMN()-1,4)),UNSPSCCode,0)),IF(INDIRECT(ADDRESS(ROW(),COLUMN()-1,4))="42311511","Vendajes de gasa",""))</f>
        <v>Vendajes de gasa</v>
      </c>
      <c r="C4560" s="72" t="str">
        <f>IFERROR(VLOOKUP("UD",'Informacion '!P:Q,2,FALSE),"")</f>
        <v>Unidad</v>
      </c>
      <c r="D4560" s="39">
        <v>60</v>
      </c>
      <c r="E4560" s="42">
        <v>342.5</v>
      </c>
      <c r="F4560" s="41">
        <f ca="1">INDIRECT(ADDRESS(ROW(),COLUMN()-2,4))*INDIRECT(ADDRESS(ROW(),COLUMN()-1,4))</f>
        <v>20550</v>
      </c>
    </row>
    <row r="4561" spans="1:10" ht="14.25" customHeight="1" x14ac:dyDescent="0.35">
      <c r="A4561" s="39" t="s">
        <v>9144</v>
      </c>
      <c r="B4561" s="40" t="str">
        <f ca="1">IFERROR(INDEX(UNSPSCDes,MATCH(INDIRECT(ADDRESS(ROW(),COLUMN()-1,4)),UNSPSCCode,0)),IF(INDIRECT(ADDRESS(ROW(),COLUMN()-1,4))="42312003","Tiras de cierre para la piel o para heridas",""))</f>
        <v>Tiras de cierre para la piel o para heridas</v>
      </c>
      <c r="C4561" s="72" t="str">
        <f>IFERROR(VLOOKUP("UD",'Informacion '!P:Q,2,FALSE),"")</f>
        <v>Unidad</v>
      </c>
      <c r="D4561" s="39">
        <v>4</v>
      </c>
      <c r="E4561" s="42">
        <v>118</v>
      </c>
      <c r="F4561" s="41">
        <f ca="1">INDIRECT(ADDRESS(ROW(),COLUMN()-2,4))*INDIRECT(ADDRESS(ROW(),COLUMN()-1,4))</f>
        <v>472</v>
      </c>
    </row>
    <row r="4562" spans="1:10" ht="14.25" customHeight="1" x14ac:dyDescent="0.35">
      <c r="E4562" s="44" t="s">
        <v>13122</v>
      </c>
      <c r="F4562" s="45">
        <f ca="1">SUM(Table247[MONTO TOTAL ESTIMADO])</f>
        <v>28526.799999999999</v>
      </c>
      <c r="H4562" s="24" t="str">
        <f>C4550</f>
        <v>Bienes</v>
      </c>
      <c r="I4562" s="24" t="str">
        <f>E4550</f>
        <v>Sí</v>
      </c>
      <c r="J4562" s="24" t="str">
        <f>D4550</f>
        <v>Compras por debajo del Umbral</v>
      </c>
    </row>
    <row r="4564" spans="1:10" ht="34" customHeight="1" x14ac:dyDescent="0.35">
      <c r="A4564" s="36" t="s">
        <v>17105</v>
      </c>
      <c r="B4564" s="36" t="s">
        <v>167</v>
      </c>
      <c r="C4564" s="36" t="s">
        <v>12252</v>
      </c>
      <c r="D4564" s="36" t="s">
        <v>15021</v>
      </c>
      <c r="E4564" s="36" t="s">
        <v>11455</v>
      </c>
      <c r="F4564" s="36" t="s">
        <v>11595</v>
      </c>
    </row>
    <row r="4565" spans="1:10" ht="14.25" customHeight="1" x14ac:dyDescent="0.35">
      <c r="A4565" s="37" t="s">
        <v>2069</v>
      </c>
      <c r="B4565" s="37" t="s">
        <v>2069</v>
      </c>
      <c r="C4565" s="37" t="s">
        <v>18585</v>
      </c>
      <c r="D4565" s="37" t="s">
        <v>10634</v>
      </c>
      <c r="E4565" s="37" t="s">
        <v>18646</v>
      </c>
      <c r="F4565" s="37" t="s">
        <v>7088</v>
      </c>
    </row>
    <row r="4566" spans="1:10" ht="14.25" customHeight="1" x14ac:dyDescent="0.35">
      <c r="A4566" s="75" t="s">
        <v>15490</v>
      </c>
      <c r="B4566" s="38" t="s">
        <v>8918</v>
      </c>
      <c r="C4566" s="68">
        <v>45474</v>
      </c>
      <c r="D4566" s="75" t="s">
        <v>9819</v>
      </c>
      <c r="E4566" s="70" t="s">
        <v>13683</v>
      </c>
      <c r="F4566" s="71" t="s">
        <v>3205</v>
      </c>
    </row>
    <row r="4567" spans="1:10" ht="14.25" customHeight="1" x14ac:dyDescent="0.35">
      <c r="A4567" s="76"/>
      <c r="B4567" s="38" t="s">
        <v>1858</v>
      </c>
      <c r="C4567" s="69">
        <f>IF(C4566="","",IF(AND(MONTH(C4566)&gt;=1,MONTH(C4566)&lt;=3),1,IF(AND(MONTH(C4566)&gt;=4,MONTH(C4566)&lt;=6),2,IF(AND(MONTH(C4566)&gt;=7,MONTH(C4566)&lt;=9),3,4))))</f>
        <v>3</v>
      </c>
      <c r="D4567" s="76"/>
      <c r="E4567" s="70" t="s">
        <v>2509</v>
      </c>
      <c r="F4567" s="71" t="s">
        <v>11612</v>
      </c>
    </row>
    <row r="4568" spans="1:10" ht="14.25" customHeight="1" x14ac:dyDescent="0.35">
      <c r="A4568" s="76"/>
      <c r="B4568" s="38" t="s">
        <v>13526</v>
      </c>
      <c r="C4568" s="68">
        <v>45565</v>
      </c>
      <c r="D4568" s="76"/>
      <c r="E4568" s="70" t="s">
        <v>3198</v>
      </c>
      <c r="F4568" s="71" t="s">
        <v>11612</v>
      </c>
    </row>
    <row r="4569" spans="1:10" ht="14.25" customHeight="1" x14ac:dyDescent="0.35">
      <c r="A4569" s="76"/>
      <c r="B4569" s="38" t="s">
        <v>1858</v>
      </c>
      <c r="C4569" s="69">
        <f>IF(C4568="","",IF(AND(MONTH(C4568)&gt;=1,MONTH(C4568)&lt;=3),1,IF(AND(MONTH(C4568)&gt;=4,MONTH(C4568)&lt;=6),2,IF(AND(MONTH(C4568)&gt;=7,MONTH(C4568)&lt;=9),3,4))))</f>
        <v>3</v>
      </c>
      <c r="D4569" s="76"/>
      <c r="E4569" s="70" t="s">
        <v>13785</v>
      </c>
      <c r="F4569" s="71"/>
    </row>
    <row r="4571" spans="1:10" ht="14.25" customHeight="1" x14ac:dyDescent="0.35">
      <c r="A4571" s="43" t="s">
        <v>16424</v>
      </c>
      <c r="B4571" s="43" t="s">
        <v>16856</v>
      </c>
      <c r="C4571" s="43" t="s">
        <v>16326</v>
      </c>
      <c r="D4571" s="43" t="s">
        <v>15925</v>
      </c>
      <c r="E4571" s="43" t="s">
        <v>7248</v>
      </c>
      <c r="F4571" s="43" t="s">
        <v>15955</v>
      </c>
    </row>
    <row r="4572" spans="1:10" ht="14.25" customHeight="1" x14ac:dyDescent="0.35">
      <c r="A4572" s="39" t="s">
        <v>7086</v>
      </c>
      <c r="B4572" s="40" t="str">
        <f ca="1">IFERROR(INDEX(UNSPSCDes,MATCH(INDIRECT(ADDRESS(ROW(),COLUMN()-1,4)),UNSPSCCode,0)),IF(INDIRECT(ADDRESS(ROW(),COLUMN()-1,4))="42311511","Vendajes de gasa",""))</f>
        <v>Vendajes de gasa</v>
      </c>
      <c r="C4572" s="72" t="str">
        <f>IFERROR(VLOOKUP("CAJ",'Informacion '!P:Q,2,FALSE),"")</f>
        <v>Caja</v>
      </c>
      <c r="D4572" s="39">
        <v>6</v>
      </c>
      <c r="E4572" s="42">
        <v>472</v>
      </c>
      <c r="F4572" s="41">
        <f ca="1">INDIRECT(ADDRESS(ROW(),COLUMN()-2,4))*INDIRECT(ADDRESS(ROW(),COLUMN()-1,4))</f>
        <v>2832</v>
      </c>
    </row>
    <row r="4573" spans="1:10" ht="14.25" customHeight="1" x14ac:dyDescent="0.35">
      <c r="E4573" s="44" t="s">
        <v>13122</v>
      </c>
      <c r="F4573" s="45">
        <f ca="1">SUM(Table248[MONTO TOTAL ESTIMADO])</f>
        <v>2832</v>
      </c>
      <c r="H4573" s="24" t="str">
        <f>C4565</f>
        <v>Bienes</v>
      </c>
      <c r="I4573" s="24" t="str">
        <f>E4565</f>
        <v>No</v>
      </c>
      <c r="J4573" s="24" t="str">
        <f>D4565</f>
        <v>Compras por debajo del Umbral</v>
      </c>
    </row>
    <row r="4575" spans="1:10" ht="34" customHeight="1" x14ac:dyDescent="0.35">
      <c r="A4575" s="36" t="s">
        <v>17105</v>
      </c>
      <c r="B4575" s="36" t="s">
        <v>167</v>
      </c>
      <c r="C4575" s="36" t="s">
        <v>12252</v>
      </c>
      <c r="D4575" s="36" t="s">
        <v>15021</v>
      </c>
      <c r="E4575" s="36" t="s">
        <v>11455</v>
      </c>
      <c r="F4575" s="36" t="s">
        <v>11595</v>
      </c>
    </row>
    <row r="4576" spans="1:10" ht="14.25" customHeight="1" x14ac:dyDescent="0.35">
      <c r="A4576" s="37" t="s">
        <v>18615</v>
      </c>
      <c r="B4576" s="37" t="s">
        <v>18615</v>
      </c>
      <c r="C4576" s="37" t="s">
        <v>18585</v>
      </c>
      <c r="D4576" s="37" t="s">
        <v>18256</v>
      </c>
      <c r="E4576" s="37" t="s">
        <v>9261</v>
      </c>
      <c r="F4576" s="37" t="s">
        <v>7088</v>
      </c>
    </row>
    <row r="4577" spans="1:10" ht="14.25" customHeight="1" x14ac:dyDescent="0.35">
      <c r="A4577" s="75" t="s">
        <v>15490</v>
      </c>
      <c r="B4577" s="38" t="s">
        <v>8918</v>
      </c>
      <c r="C4577" s="68">
        <v>45334</v>
      </c>
      <c r="D4577" s="75" t="s">
        <v>9819</v>
      </c>
      <c r="E4577" s="70" t="s">
        <v>13683</v>
      </c>
      <c r="F4577" s="71" t="s">
        <v>3205</v>
      </c>
    </row>
    <row r="4578" spans="1:10" ht="14.25" customHeight="1" x14ac:dyDescent="0.35">
      <c r="A4578" s="76"/>
      <c r="B4578" s="38" t="s">
        <v>1858</v>
      </c>
      <c r="C4578" s="69">
        <f>IF(C4577="","",IF(AND(MONTH(C4577)&gt;=1,MONTH(C4577)&lt;=3),1,IF(AND(MONTH(C4577)&gt;=4,MONTH(C4577)&lt;=6),2,IF(AND(MONTH(C4577)&gt;=7,MONTH(C4577)&lt;=9),3,4))))</f>
        <v>1</v>
      </c>
      <c r="D4578" s="76"/>
      <c r="E4578" s="70" t="s">
        <v>2509</v>
      </c>
      <c r="F4578" s="71" t="s">
        <v>11612</v>
      </c>
    </row>
    <row r="4579" spans="1:10" ht="14.25" customHeight="1" x14ac:dyDescent="0.35">
      <c r="A4579" s="76"/>
      <c r="B4579" s="38" t="s">
        <v>13526</v>
      </c>
      <c r="C4579" s="68">
        <v>45378</v>
      </c>
      <c r="D4579" s="76"/>
      <c r="E4579" s="70" t="s">
        <v>3198</v>
      </c>
      <c r="F4579" s="71" t="s">
        <v>11612</v>
      </c>
    </row>
    <row r="4580" spans="1:10" ht="14.25" customHeight="1" x14ac:dyDescent="0.35">
      <c r="A4580" s="76"/>
      <c r="B4580" s="38" t="s">
        <v>1858</v>
      </c>
      <c r="C4580" s="69">
        <f>IF(C4579="","",IF(AND(MONTH(C4579)&gt;=1,MONTH(C4579)&lt;=3),1,IF(AND(MONTH(C4579)&gt;=4,MONTH(C4579)&lt;=6),2,IF(AND(MONTH(C4579)&gt;=7,MONTH(C4579)&lt;=9),3,4))))</f>
        <v>1</v>
      </c>
      <c r="D4580" s="76"/>
      <c r="E4580" s="70" t="s">
        <v>13785</v>
      </c>
      <c r="F4580" s="71"/>
    </row>
    <row r="4582" spans="1:10" ht="14.25" customHeight="1" x14ac:dyDescent="0.35">
      <c r="A4582" s="43" t="s">
        <v>16424</v>
      </c>
      <c r="B4582" s="43" t="s">
        <v>16856</v>
      </c>
      <c r="C4582" s="43" t="s">
        <v>16326</v>
      </c>
      <c r="D4582" s="43" t="s">
        <v>15925</v>
      </c>
      <c r="E4582" s="43" t="s">
        <v>7248</v>
      </c>
      <c r="F4582" s="43" t="s">
        <v>15955</v>
      </c>
    </row>
    <row r="4583" spans="1:10" ht="14.25" customHeight="1" x14ac:dyDescent="0.35">
      <c r="A4583" s="39" t="s">
        <v>16665</v>
      </c>
      <c r="B4583" s="40" t="str">
        <f ca="1">IFERROR(INDEX(UNSPSCDes,MATCH(INDIRECT(ADDRESS(ROW(),COLUMN()-1,4)),UNSPSCCode,0)),IF(INDIRECT(ADDRESS(ROW(),COLUMN()-1,4))="43191501","Teléfonos móviles",""))</f>
        <v>Teléfonos móviles</v>
      </c>
      <c r="C4583" s="72" t="str">
        <f>IFERROR(VLOOKUP("UD",'Informacion '!P:Q,2,FALSE),"")</f>
        <v>Unidad</v>
      </c>
      <c r="D4583" s="39">
        <v>1</v>
      </c>
      <c r="E4583" s="42">
        <v>200000</v>
      </c>
      <c r="F4583" s="41">
        <f ca="1">INDIRECT(ADDRESS(ROW(),COLUMN()-2,4))*INDIRECT(ADDRESS(ROW(),COLUMN()-1,4))</f>
        <v>200000</v>
      </c>
    </row>
    <row r="4584" spans="1:10" ht="14.25" customHeight="1" x14ac:dyDescent="0.35">
      <c r="A4584" s="39" t="s">
        <v>4141</v>
      </c>
      <c r="B4584" s="40" t="str">
        <f ca="1">IFERROR(INDEX(UNSPSCDes,MATCH(INDIRECT(ADDRESS(ROW(),COLUMN()-1,4)),UNSPSCCode,0)),IF(INDIRECT(ADDRESS(ROW(),COLUMN()-1,4))="43191606","Auriculares de teléfonos",""))</f>
        <v>Auriculares de teléfonos</v>
      </c>
      <c r="C4584" s="72" t="str">
        <f>IFERROR(VLOOKUP("UD",'Informacion '!P:Q,2,FALSE),"")</f>
        <v>Unidad</v>
      </c>
      <c r="D4584" s="39">
        <v>4</v>
      </c>
      <c r="E4584" s="42">
        <v>5841</v>
      </c>
      <c r="F4584" s="41">
        <f ca="1">INDIRECT(ADDRESS(ROW(),COLUMN()-2,4))*INDIRECT(ADDRESS(ROW(),COLUMN()-1,4))</f>
        <v>23364</v>
      </c>
    </row>
    <row r="4585" spans="1:10" ht="14.25" customHeight="1" x14ac:dyDescent="0.35">
      <c r="E4585" s="44" t="s">
        <v>13122</v>
      </c>
      <c r="F4585" s="45">
        <f ca="1">SUM(Table249[MONTO TOTAL ESTIMADO])</f>
        <v>223364</v>
      </c>
      <c r="H4585" s="24" t="str">
        <f>C4576</f>
        <v>Bienes</v>
      </c>
      <c r="I4585" s="24" t="str">
        <f>E4576</f>
        <v>Sí</v>
      </c>
      <c r="J4585" s="24" t="str">
        <f>D4576</f>
        <v>Compras Menores</v>
      </c>
    </row>
    <row r="4587" spans="1:10" ht="34" customHeight="1" x14ac:dyDescent="0.35">
      <c r="A4587" s="36" t="s">
        <v>17105</v>
      </c>
      <c r="B4587" s="36" t="s">
        <v>167</v>
      </c>
      <c r="C4587" s="36" t="s">
        <v>12252</v>
      </c>
      <c r="D4587" s="36" t="s">
        <v>15021</v>
      </c>
      <c r="E4587" s="36" t="s">
        <v>11455</v>
      </c>
      <c r="F4587" s="36" t="s">
        <v>11595</v>
      </c>
    </row>
    <row r="4588" spans="1:10" ht="14.25" customHeight="1" x14ac:dyDescent="0.35">
      <c r="A4588" s="37" t="s">
        <v>18615</v>
      </c>
      <c r="B4588" s="37" t="s">
        <v>18615</v>
      </c>
      <c r="C4588" s="37" t="s">
        <v>18585</v>
      </c>
      <c r="D4588" s="37" t="s">
        <v>18256</v>
      </c>
      <c r="E4588" s="37" t="s">
        <v>6314</v>
      </c>
      <c r="F4588" s="37" t="s">
        <v>7088</v>
      </c>
    </row>
    <row r="4589" spans="1:10" ht="14.25" customHeight="1" x14ac:dyDescent="0.35">
      <c r="A4589" s="75" t="s">
        <v>15490</v>
      </c>
      <c r="B4589" s="38" t="s">
        <v>8918</v>
      </c>
      <c r="C4589" s="68">
        <v>45383</v>
      </c>
      <c r="D4589" s="75" t="s">
        <v>9819</v>
      </c>
      <c r="E4589" s="70" t="s">
        <v>13683</v>
      </c>
      <c r="F4589" s="71" t="s">
        <v>3205</v>
      </c>
    </row>
    <row r="4590" spans="1:10" ht="14.25" customHeight="1" x14ac:dyDescent="0.35">
      <c r="A4590" s="76"/>
      <c r="B4590" s="38" t="s">
        <v>1858</v>
      </c>
      <c r="C4590" s="69">
        <f>IF(C4589="","",IF(AND(MONTH(C4589)&gt;=1,MONTH(C4589)&lt;=3),1,IF(AND(MONTH(C4589)&gt;=4,MONTH(C4589)&lt;=6),2,IF(AND(MONTH(C4589)&gt;=7,MONTH(C4589)&lt;=9),3,4))))</f>
        <v>2</v>
      </c>
      <c r="D4590" s="76"/>
      <c r="E4590" s="70" t="s">
        <v>2509</v>
      </c>
      <c r="F4590" s="71" t="s">
        <v>11612</v>
      </c>
    </row>
    <row r="4591" spans="1:10" ht="14.25" customHeight="1" x14ac:dyDescent="0.35">
      <c r="A4591" s="76"/>
      <c r="B4591" s="38" t="s">
        <v>13526</v>
      </c>
      <c r="C4591" s="68">
        <v>45471</v>
      </c>
      <c r="D4591" s="76"/>
      <c r="E4591" s="70" t="s">
        <v>3198</v>
      </c>
      <c r="F4591" s="71" t="s">
        <v>11612</v>
      </c>
    </row>
    <row r="4592" spans="1:10" ht="14.25" customHeight="1" x14ac:dyDescent="0.35">
      <c r="A4592" s="76"/>
      <c r="B4592" s="38" t="s">
        <v>1858</v>
      </c>
      <c r="C4592" s="69">
        <f>IF(C4591="","",IF(AND(MONTH(C4591)&gt;=1,MONTH(C4591)&lt;=3),1,IF(AND(MONTH(C4591)&gt;=4,MONTH(C4591)&lt;=6),2,IF(AND(MONTH(C4591)&gt;=7,MONTH(C4591)&lt;=9),3,4))))</f>
        <v>2</v>
      </c>
      <c r="D4592" s="76"/>
      <c r="E4592" s="70" t="s">
        <v>13785</v>
      </c>
      <c r="F4592" s="71"/>
    </row>
    <row r="4594" spans="1:10" ht="14.25" customHeight="1" x14ac:dyDescent="0.35">
      <c r="A4594" s="43" t="s">
        <v>16424</v>
      </c>
      <c r="B4594" s="43" t="s">
        <v>16856</v>
      </c>
      <c r="C4594" s="43" t="s">
        <v>16326</v>
      </c>
      <c r="D4594" s="43" t="s">
        <v>15925</v>
      </c>
      <c r="E4594" s="43" t="s">
        <v>7248</v>
      </c>
      <c r="F4594" s="43" t="s">
        <v>15955</v>
      </c>
    </row>
    <row r="4595" spans="1:10" ht="14.25" customHeight="1" x14ac:dyDescent="0.35">
      <c r="A4595" s="39" t="s">
        <v>4141</v>
      </c>
      <c r="B4595" s="40" t="str">
        <f ca="1">IFERROR(INDEX(UNSPSCDes,MATCH(INDIRECT(ADDRESS(ROW(),COLUMN()-1,4)),UNSPSCCode,0)),IF(INDIRECT(ADDRESS(ROW(),COLUMN()-1,4))="43191606","Auriculares de teléfonos",""))</f>
        <v>Auriculares de teléfonos</v>
      </c>
      <c r="C4595" s="72" t="str">
        <f>IFERROR(VLOOKUP("UD",'Informacion '!P:Q,2,FALSE),"")</f>
        <v>Unidad</v>
      </c>
      <c r="D4595" s="39">
        <v>4</v>
      </c>
      <c r="E4595" s="42">
        <v>5841</v>
      </c>
      <c r="F4595" s="41">
        <f ca="1">INDIRECT(ADDRESS(ROW(),COLUMN()-2,4))*INDIRECT(ADDRESS(ROW(),COLUMN()-1,4))</f>
        <v>23364</v>
      </c>
    </row>
    <row r="4596" spans="1:10" ht="14.25" customHeight="1" x14ac:dyDescent="0.35">
      <c r="A4596" s="39" t="s">
        <v>18499</v>
      </c>
      <c r="B4596" s="40" t="str">
        <f ca="1">IFERROR(INDEX(UNSPSCDes,MATCH(INDIRECT(ADDRESS(ROW(),COLUMN()-1,4)),UNSPSCCode,0)),IF(INDIRECT(ADDRESS(ROW(),COLUMN()-1,4))="43191609","Teléfonos de diadema",""))</f>
        <v>Teléfonos de diadema</v>
      </c>
      <c r="C4596" s="72" t="str">
        <f>IFERROR(VLOOKUP("UD",'Informacion '!P:Q,2,FALSE),"")</f>
        <v>Unidad</v>
      </c>
      <c r="D4596" s="39">
        <v>20</v>
      </c>
      <c r="E4596" s="42">
        <v>3000</v>
      </c>
      <c r="F4596" s="41">
        <f ca="1">INDIRECT(ADDRESS(ROW(),COLUMN()-2,4))*INDIRECT(ADDRESS(ROW(),COLUMN()-1,4))</f>
        <v>60000</v>
      </c>
    </row>
    <row r="4597" spans="1:10" ht="14.25" customHeight="1" x14ac:dyDescent="0.35">
      <c r="E4597" s="44" t="s">
        <v>13122</v>
      </c>
      <c r="F4597" s="45">
        <f ca="1">SUM(Table250[MONTO TOTAL ESTIMADO])</f>
        <v>83364</v>
      </c>
      <c r="H4597" s="24" t="str">
        <f>C4588</f>
        <v>Bienes</v>
      </c>
      <c r="I4597" s="24" t="str">
        <f>E4588</f>
        <v>MIPYME Mujeres</v>
      </c>
      <c r="J4597" s="24" t="str">
        <f>D4588</f>
        <v>Compras Menores</v>
      </c>
    </row>
    <row r="4599" spans="1:10" ht="34" customHeight="1" x14ac:dyDescent="0.35">
      <c r="A4599" s="36" t="s">
        <v>17105</v>
      </c>
      <c r="B4599" s="36" t="s">
        <v>167</v>
      </c>
      <c r="C4599" s="36" t="s">
        <v>12252</v>
      </c>
      <c r="D4599" s="36" t="s">
        <v>15021</v>
      </c>
      <c r="E4599" s="36" t="s">
        <v>11455</v>
      </c>
      <c r="F4599" s="36" t="s">
        <v>11595</v>
      </c>
    </row>
    <row r="4600" spans="1:10" ht="14.25" customHeight="1" x14ac:dyDescent="0.35">
      <c r="A4600" s="37" t="s">
        <v>10977</v>
      </c>
      <c r="B4600" s="37" t="s">
        <v>10977</v>
      </c>
      <c r="C4600" s="37" t="s">
        <v>18585</v>
      </c>
      <c r="D4600" s="37" t="s">
        <v>10634</v>
      </c>
      <c r="E4600" s="37" t="s">
        <v>9261</v>
      </c>
      <c r="F4600" s="37" t="s">
        <v>7088</v>
      </c>
    </row>
    <row r="4601" spans="1:10" ht="14.25" customHeight="1" x14ac:dyDescent="0.35">
      <c r="A4601" s="75" t="s">
        <v>15490</v>
      </c>
      <c r="B4601" s="38" t="s">
        <v>8918</v>
      </c>
      <c r="C4601" s="68">
        <v>45334</v>
      </c>
      <c r="D4601" s="75" t="s">
        <v>9819</v>
      </c>
      <c r="E4601" s="70" t="s">
        <v>13683</v>
      </c>
      <c r="F4601" s="71" t="s">
        <v>3205</v>
      </c>
    </row>
    <row r="4602" spans="1:10" ht="14.25" customHeight="1" x14ac:dyDescent="0.35">
      <c r="A4602" s="76"/>
      <c r="B4602" s="38" t="s">
        <v>1858</v>
      </c>
      <c r="C4602" s="69">
        <f>IF(C4601="","",IF(AND(MONTH(C4601)&gt;=1,MONTH(C4601)&lt;=3),1,IF(AND(MONTH(C4601)&gt;=4,MONTH(C4601)&lt;=6),2,IF(AND(MONTH(C4601)&gt;=7,MONTH(C4601)&lt;=9),3,4))))</f>
        <v>1</v>
      </c>
      <c r="D4602" s="76"/>
      <c r="E4602" s="70" t="s">
        <v>2509</v>
      </c>
      <c r="F4602" s="71" t="s">
        <v>11612</v>
      </c>
    </row>
    <row r="4603" spans="1:10" ht="14.25" customHeight="1" x14ac:dyDescent="0.35">
      <c r="A4603" s="76"/>
      <c r="B4603" s="38" t="s">
        <v>13526</v>
      </c>
      <c r="C4603" s="68">
        <v>45378</v>
      </c>
      <c r="D4603" s="76"/>
      <c r="E4603" s="70" t="s">
        <v>3198</v>
      </c>
      <c r="F4603" s="71" t="s">
        <v>11612</v>
      </c>
    </row>
    <row r="4604" spans="1:10" ht="14.25" customHeight="1" x14ac:dyDescent="0.35">
      <c r="A4604" s="76"/>
      <c r="B4604" s="38" t="s">
        <v>1858</v>
      </c>
      <c r="C4604" s="69">
        <f>IF(C4603="","",IF(AND(MONTH(C4603)&gt;=1,MONTH(C4603)&lt;=3),1,IF(AND(MONTH(C4603)&gt;=4,MONTH(C4603)&lt;=6),2,IF(AND(MONTH(C4603)&gt;=7,MONTH(C4603)&lt;=9),3,4))))</f>
        <v>1</v>
      </c>
      <c r="D4604" s="76"/>
      <c r="E4604" s="70" t="s">
        <v>13785</v>
      </c>
      <c r="F4604" s="71"/>
    </row>
    <row r="4606" spans="1:10" ht="14.25" customHeight="1" x14ac:dyDescent="0.35">
      <c r="A4606" s="43" t="s">
        <v>16424</v>
      </c>
      <c r="B4606" s="43" t="s">
        <v>16856</v>
      </c>
      <c r="C4606" s="43" t="s">
        <v>16326</v>
      </c>
      <c r="D4606" s="43" t="s">
        <v>15925</v>
      </c>
      <c r="E4606" s="43" t="s">
        <v>7248</v>
      </c>
      <c r="F4606" s="43" t="s">
        <v>15955</v>
      </c>
    </row>
    <row r="4607" spans="1:10" ht="14.25" customHeight="1" x14ac:dyDescent="0.35">
      <c r="A4607" s="39" t="s">
        <v>11478</v>
      </c>
      <c r="B4607" s="40" t="str">
        <f ca="1">IFERROR(INDEX(UNSPSCDes,MATCH(INDIRECT(ADDRESS(ROW(),COLUMN()-1,4)),UNSPSCCode,0)),IF(INDIRECT(ADDRESS(ROW(),COLUMN()-1,4))="43201803","Unidades de disco duro",""))</f>
        <v>Unidades de disco duro</v>
      </c>
      <c r="C4607" s="72" t="str">
        <f>IFERROR(VLOOKUP("UD",'Informacion '!P:Q,2,FALSE),"")</f>
        <v>Unidad</v>
      </c>
      <c r="D4607" s="39">
        <v>4</v>
      </c>
      <c r="E4607" s="42">
        <v>12944.5</v>
      </c>
      <c r="F4607" s="41">
        <f ca="1">INDIRECT(ADDRESS(ROW(),COLUMN()-2,4))*INDIRECT(ADDRESS(ROW(),COLUMN()-1,4))</f>
        <v>51778</v>
      </c>
    </row>
    <row r="4608" spans="1:10" ht="14.25" customHeight="1" x14ac:dyDescent="0.35">
      <c r="E4608" s="44" t="s">
        <v>13122</v>
      </c>
      <c r="F4608" s="45">
        <f ca="1">SUM(Table251[MONTO TOTAL ESTIMADO])</f>
        <v>51778</v>
      </c>
      <c r="H4608" s="24" t="str">
        <f>C4600</f>
        <v>Bienes</v>
      </c>
      <c r="I4608" s="24" t="str">
        <f>E4600</f>
        <v>Sí</v>
      </c>
      <c r="J4608" s="24" t="str">
        <f>D4600</f>
        <v>Compras por debajo del Umbral</v>
      </c>
    </row>
    <row r="4610" spans="1:10" ht="34" customHeight="1" x14ac:dyDescent="0.35">
      <c r="A4610" s="36" t="s">
        <v>17105</v>
      </c>
      <c r="B4610" s="36" t="s">
        <v>167</v>
      </c>
      <c r="C4610" s="36" t="s">
        <v>12252</v>
      </c>
      <c r="D4610" s="36" t="s">
        <v>15021</v>
      </c>
      <c r="E4610" s="36" t="s">
        <v>11455</v>
      </c>
      <c r="F4610" s="36" t="s">
        <v>11595</v>
      </c>
    </row>
    <row r="4611" spans="1:10" ht="14.25" customHeight="1" x14ac:dyDescent="0.35">
      <c r="A4611" s="37" t="s">
        <v>10977</v>
      </c>
      <c r="B4611" s="37" t="s">
        <v>10977</v>
      </c>
      <c r="C4611" s="37" t="s">
        <v>18585</v>
      </c>
      <c r="D4611" s="37" t="s">
        <v>10634</v>
      </c>
      <c r="E4611" s="37" t="s">
        <v>18646</v>
      </c>
      <c r="F4611" s="37" t="s">
        <v>7088</v>
      </c>
    </row>
    <row r="4612" spans="1:10" ht="14.25" customHeight="1" x14ac:dyDescent="0.35">
      <c r="A4612" s="75" t="s">
        <v>15490</v>
      </c>
      <c r="B4612" s="38" t="s">
        <v>8918</v>
      </c>
      <c r="C4612" s="68">
        <v>45383</v>
      </c>
      <c r="D4612" s="75" t="s">
        <v>9819</v>
      </c>
      <c r="E4612" s="70" t="s">
        <v>13683</v>
      </c>
      <c r="F4612" s="71" t="s">
        <v>3205</v>
      </c>
    </row>
    <row r="4613" spans="1:10" ht="14.25" customHeight="1" x14ac:dyDescent="0.35">
      <c r="A4613" s="76"/>
      <c r="B4613" s="38" t="s">
        <v>1858</v>
      </c>
      <c r="C4613" s="69">
        <f>IF(C4612="","",IF(AND(MONTH(C4612)&gt;=1,MONTH(C4612)&lt;=3),1,IF(AND(MONTH(C4612)&gt;=4,MONTH(C4612)&lt;=6),2,IF(AND(MONTH(C4612)&gt;=7,MONTH(C4612)&lt;=9),3,4))))</f>
        <v>2</v>
      </c>
      <c r="D4613" s="76"/>
      <c r="E4613" s="70" t="s">
        <v>2509</v>
      </c>
      <c r="F4613" s="71" t="s">
        <v>11612</v>
      </c>
    </row>
    <row r="4614" spans="1:10" ht="14.25" customHeight="1" x14ac:dyDescent="0.35">
      <c r="A4614" s="76"/>
      <c r="B4614" s="38" t="s">
        <v>13526</v>
      </c>
      <c r="C4614" s="68">
        <v>45471</v>
      </c>
      <c r="D4614" s="76"/>
      <c r="E4614" s="70" t="s">
        <v>3198</v>
      </c>
      <c r="F4614" s="71" t="s">
        <v>11612</v>
      </c>
    </row>
    <row r="4615" spans="1:10" ht="14.25" customHeight="1" x14ac:dyDescent="0.35">
      <c r="A4615" s="76"/>
      <c r="B4615" s="38" t="s">
        <v>1858</v>
      </c>
      <c r="C4615" s="69">
        <f>IF(C4614="","",IF(AND(MONTH(C4614)&gt;=1,MONTH(C4614)&lt;=3),1,IF(AND(MONTH(C4614)&gt;=4,MONTH(C4614)&lt;=6),2,IF(AND(MONTH(C4614)&gt;=7,MONTH(C4614)&lt;=9),3,4))))</f>
        <v>2</v>
      </c>
      <c r="D4615" s="76"/>
      <c r="E4615" s="70" t="s">
        <v>13785</v>
      </c>
      <c r="F4615" s="71"/>
    </row>
    <row r="4617" spans="1:10" ht="14.25" customHeight="1" x14ac:dyDescent="0.35">
      <c r="A4617" s="43" t="s">
        <v>16424</v>
      </c>
      <c r="B4617" s="43" t="s">
        <v>16856</v>
      </c>
      <c r="C4617" s="43" t="s">
        <v>16326</v>
      </c>
      <c r="D4617" s="43" t="s">
        <v>15925</v>
      </c>
      <c r="E4617" s="43" t="s">
        <v>7248</v>
      </c>
      <c r="F4617" s="43" t="s">
        <v>15955</v>
      </c>
    </row>
    <row r="4618" spans="1:10" ht="14.25" customHeight="1" x14ac:dyDescent="0.35">
      <c r="A4618" s="39" t="s">
        <v>11478</v>
      </c>
      <c r="B4618" s="40" t="str">
        <f ca="1">IFERROR(INDEX(UNSPSCDes,MATCH(INDIRECT(ADDRESS(ROW(),COLUMN()-1,4)),UNSPSCCode,0)),IF(INDIRECT(ADDRESS(ROW(),COLUMN()-1,4))="43201803","Unidades de disco duro",""))</f>
        <v>Unidades de disco duro</v>
      </c>
      <c r="C4618" s="72" t="str">
        <f>IFERROR(VLOOKUP("UD",'Informacion '!P:Q,2,FALSE),"")</f>
        <v>Unidad</v>
      </c>
      <c r="D4618" s="39">
        <v>150</v>
      </c>
      <c r="E4618" s="42">
        <v>4500</v>
      </c>
      <c r="F4618" s="41">
        <f ca="1">INDIRECT(ADDRESS(ROW(),COLUMN()-2,4))*INDIRECT(ADDRESS(ROW(),COLUMN()-1,4))</f>
        <v>675000</v>
      </c>
    </row>
    <row r="4619" spans="1:10" ht="14.25" customHeight="1" x14ac:dyDescent="0.35">
      <c r="E4619" s="44" t="s">
        <v>13122</v>
      </c>
      <c r="F4619" s="45">
        <f ca="1">SUM(Table252[MONTO TOTAL ESTIMADO])</f>
        <v>675000</v>
      </c>
      <c r="H4619" s="24" t="str">
        <f>C4611</f>
        <v>Bienes</v>
      </c>
      <c r="I4619" s="24" t="str">
        <f>E4611</f>
        <v>No</v>
      </c>
      <c r="J4619" s="24" t="str">
        <f>D4611</f>
        <v>Compras por debajo del Umbral</v>
      </c>
    </row>
    <row r="4621" spans="1:10" ht="34" customHeight="1" x14ac:dyDescent="0.35">
      <c r="A4621" s="36" t="s">
        <v>17105</v>
      </c>
      <c r="B4621" s="36" t="s">
        <v>167</v>
      </c>
      <c r="C4621" s="36" t="s">
        <v>12252</v>
      </c>
      <c r="D4621" s="36" t="s">
        <v>15021</v>
      </c>
      <c r="E4621" s="36" t="s">
        <v>11455</v>
      </c>
      <c r="F4621" s="36" t="s">
        <v>11595</v>
      </c>
    </row>
    <row r="4622" spans="1:10" ht="14.25" customHeight="1" x14ac:dyDescent="0.35">
      <c r="A4622" s="37" t="s">
        <v>17690</v>
      </c>
      <c r="B4622" s="37" t="s">
        <v>17690</v>
      </c>
      <c r="C4622" s="37" t="s">
        <v>18585</v>
      </c>
      <c r="D4622" s="37" t="s">
        <v>2615</v>
      </c>
      <c r="E4622" s="37" t="s">
        <v>9261</v>
      </c>
      <c r="F4622" s="37" t="s">
        <v>7088</v>
      </c>
    </row>
    <row r="4623" spans="1:10" ht="14.25" customHeight="1" x14ac:dyDescent="0.35">
      <c r="A4623" s="75" t="s">
        <v>15490</v>
      </c>
      <c r="B4623" s="38" t="s">
        <v>8918</v>
      </c>
      <c r="C4623" s="68">
        <v>45334</v>
      </c>
      <c r="D4623" s="75" t="s">
        <v>9819</v>
      </c>
      <c r="E4623" s="70" t="s">
        <v>13683</v>
      </c>
      <c r="F4623" s="71" t="s">
        <v>3205</v>
      </c>
    </row>
    <row r="4624" spans="1:10" ht="14.25" customHeight="1" x14ac:dyDescent="0.35">
      <c r="A4624" s="76"/>
      <c r="B4624" s="38" t="s">
        <v>1858</v>
      </c>
      <c r="C4624" s="69">
        <f>IF(C4623="","",IF(AND(MONTH(C4623)&gt;=1,MONTH(C4623)&lt;=3),1,IF(AND(MONTH(C4623)&gt;=4,MONTH(C4623)&lt;=6),2,IF(AND(MONTH(C4623)&gt;=7,MONTH(C4623)&lt;=9),3,4))))</f>
        <v>1</v>
      </c>
      <c r="D4624" s="76"/>
      <c r="E4624" s="70" t="s">
        <v>2509</v>
      </c>
      <c r="F4624" s="71" t="s">
        <v>11612</v>
      </c>
    </row>
    <row r="4625" spans="1:10" ht="14.25" customHeight="1" x14ac:dyDescent="0.35">
      <c r="A4625" s="76"/>
      <c r="B4625" s="38" t="s">
        <v>13526</v>
      </c>
      <c r="C4625" s="68">
        <v>45378</v>
      </c>
      <c r="D4625" s="76"/>
      <c r="E4625" s="70" t="s">
        <v>3198</v>
      </c>
      <c r="F4625" s="71" t="s">
        <v>11612</v>
      </c>
    </row>
    <row r="4626" spans="1:10" ht="14.25" customHeight="1" x14ac:dyDescent="0.35">
      <c r="A4626" s="76"/>
      <c r="B4626" s="38" t="s">
        <v>1858</v>
      </c>
      <c r="C4626" s="69">
        <f>IF(C4625="","",IF(AND(MONTH(C4625)&gt;=1,MONTH(C4625)&lt;=3),1,IF(AND(MONTH(C4625)&gt;=4,MONTH(C4625)&lt;=6),2,IF(AND(MONTH(C4625)&gt;=7,MONTH(C4625)&lt;=9),3,4))))</f>
        <v>1</v>
      </c>
      <c r="D4626" s="76"/>
      <c r="E4626" s="70" t="s">
        <v>13785</v>
      </c>
      <c r="F4626" s="71"/>
    </row>
    <row r="4628" spans="1:10" ht="14.25" customHeight="1" x14ac:dyDescent="0.35">
      <c r="A4628" s="43" t="s">
        <v>16424</v>
      </c>
      <c r="B4628" s="43" t="s">
        <v>16856</v>
      </c>
      <c r="C4628" s="43" t="s">
        <v>16326</v>
      </c>
      <c r="D4628" s="43" t="s">
        <v>15925</v>
      </c>
      <c r="E4628" s="43" t="s">
        <v>7248</v>
      </c>
      <c r="F4628" s="43" t="s">
        <v>15955</v>
      </c>
    </row>
    <row r="4629" spans="1:10" ht="14.25" customHeight="1" x14ac:dyDescent="0.35">
      <c r="A4629" s="39" t="s">
        <v>1608</v>
      </c>
      <c r="B4629" s="40" t="str">
        <f ca="1">IFERROR(INDEX(UNSPSCDes,MATCH(INDIRECT(ADDRESS(ROW(),COLUMN()-1,4)),UNSPSCCode,0)),IF(INDIRECT(ADDRESS(ROW(),COLUMN()-1,4))="43211501","Servidores de computador",""))</f>
        <v>Servidores de computador</v>
      </c>
      <c r="C4629" s="72" t="str">
        <f>IFERROR(VLOOKUP("UD",'Informacion '!P:Q,2,FALSE),"")</f>
        <v>Unidad</v>
      </c>
      <c r="D4629" s="39">
        <v>5</v>
      </c>
      <c r="E4629" s="42">
        <v>11446</v>
      </c>
      <c r="F4629" s="41">
        <f ca="1">INDIRECT(ADDRESS(ROW(),COLUMN()-2,4))*INDIRECT(ADDRESS(ROW(),COLUMN()-1,4))</f>
        <v>57230</v>
      </c>
    </row>
    <row r="4630" spans="1:10" ht="14.25" customHeight="1" x14ac:dyDescent="0.35">
      <c r="A4630" s="39" t="s">
        <v>18809</v>
      </c>
      <c r="B4630" s="40" t="str">
        <f ca="1">IFERROR(INDEX(UNSPSCDes,MATCH(INDIRECT(ADDRESS(ROW(),COLUMN()-1,4)),UNSPSCCode,0)),IF(INDIRECT(ADDRESS(ROW(),COLUMN()-1,4))="43211503","Computadores notebook",""))</f>
        <v>Computadores notebook</v>
      </c>
      <c r="C4630" s="72" t="str">
        <f>IFERROR(VLOOKUP("UD",'Informacion '!P:Q,2,FALSE),"")</f>
        <v>Unidad</v>
      </c>
      <c r="D4630" s="39">
        <v>5</v>
      </c>
      <c r="E4630" s="42">
        <v>52274</v>
      </c>
      <c r="F4630" s="41">
        <f ca="1">INDIRECT(ADDRESS(ROW(),COLUMN()-2,4))*INDIRECT(ADDRESS(ROW(),COLUMN()-1,4))</f>
        <v>261370</v>
      </c>
    </row>
    <row r="4631" spans="1:10" ht="14.25" customHeight="1" x14ac:dyDescent="0.35">
      <c r="A4631" s="39" t="s">
        <v>11585</v>
      </c>
      <c r="B4631" s="40" t="str">
        <f ca="1">IFERROR(INDEX(UNSPSCDes,MATCH(INDIRECT(ADDRESS(ROW(),COLUMN()-1,4)),UNSPSCCode,0)),IF(INDIRECT(ADDRESS(ROW(),COLUMN()-1,4))="43211507","Computadores de escritorio",""))</f>
        <v>Computadores de escritorio</v>
      </c>
      <c r="C4631" s="72" t="str">
        <f>IFERROR(VLOOKUP("UD",'Informacion '!P:Q,2,FALSE),"")</f>
        <v>Unidad</v>
      </c>
      <c r="D4631" s="39">
        <v>3</v>
      </c>
      <c r="E4631" s="42">
        <v>52274</v>
      </c>
      <c r="F4631" s="41">
        <f ca="1">INDIRECT(ADDRESS(ROW(),COLUMN()-2,4))*INDIRECT(ADDRESS(ROW(),COLUMN()-1,4))</f>
        <v>156822</v>
      </c>
    </row>
    <row r="4632" spans="1:10" ht="14.25" customHeight="1" x14ac:dyDescent="0.35">
      <c r="E4632" s="44" t="s">
        <v>13122</v>
      </c>
      <c r="F4632" s="45">
        <f ca="1">SUM(Table253[MONTO TOTAL ESTIMADO])</f>
        <v>475422</v>
      </c>
      <c r="H4632" s="24" t="str">
        <f>C4622</f>
        <v>Bienes</v>
      </c>
      <c r="I4632" s="24" t="str">
        <f>E4622</f>
        <v>Sí</v>
      </c>
      <c r="J4632" s="24" t="str">
        <f>D4622</f>
        <v>Licitacion Publica</v>
      </c>
    </row>
    <row r="4634" spans="1:10" ht="34" customHeight="1" x14ac:dyDescent="0.35">
      <c r="A4634" s="36" t="s">
        <v>17105</v>
      </c>
      <c r="B4634" s="36" t="s">
        <v>167</v>
      </c>
      <c r="C4634" s="36" t="s">
        <v>12252</v>
      </c>
      <c r="D4634" s="36" t="s">
        <v>15021</v>
      </c>
      <c r="E4634" s="36" t="s">
        <v>11455</v>
      </c>
      <c r="F4634" s="36" t="s">
        <v>11595</v>
      </c>
    </row>
    <row r="4635" spans="1:10" ht="14.25" customHeight="1" x14ac:dyDescent="0.35">
      <c r="A4635" s="37" t="s">
        <v>17690</v>
      </c>
      <c r="B4635" s="37" t="s">
        <v>17690</v>
      </c>
      <c r="C4635" s="37" t="s">
        <v>18585</v>
      </c>
      <c r="D4635" s="37" t="s">
        <v>2615</v>
      </c>
      <c r="E4635" s="37" t="s">
        <v>6314</v>
      </c>
      <c r="F4635" s="37" t="s">
        <v>7088</v>
      </c>
    </row>
    <row r="4636" spans="1:10" ht="14.25" customHeight="1" x14ac:dyDescent="0.35">
      <c r="A4636" s="75" t="s">
        <v>15490</v>
      </c>
      <c r="B4636" s="38" t="s">
        <v>8918</v>
      </c>
      <c r="C4636" s="68">
        <v>45383</v>
      </c>
      <c r="D4636" s="75" t="s">
        <v>9819</v>
      </c>
      <c r="E4636" s="70" t="s">
        <v>13683</v>
      </c>
      <c r="F4636" s="71" t="s">
        <v>3205</v>
      </c>
    </row>
    <row r="4637" spans="1:10" ht="14.25" customHeight="1" x14ac:dyDescent="0.35">
      <c r="A4637" s="76"/>
      <c r="B4637" s="38" t="s">
        <v>1858</v>
      </c>
      <c r="C4637" s="69">
        <f>IF(C4636="","",IF(AND(MONTH(C4636)&gt;=1,MONTH(C4636)&lt;=3),1,IF(AND(MONTH(C4636)&gt;=4,MONTH(C4636)&lt;=6),2,IF(AND(MONTH(C4636)&gt;=7,MONTH(C4636)&lt;=9),3,4))))</f>
        <v>2</v>
      </c>
      <c r="D4637" s="76"/>
      <c r="E4637" s="70" t="s">
        <v>2509</v>
      </c>
      <c r="F4637" s="71" t="s">
        <v>11612</v>
      </c>
    </row>
    <row r="4638" spans="1:10" ht="14.25" customHeight="1" x14ac:dyDescent="0.35">
      <c r="A4638" s="76"/>
      <c r="B4638" s="38" t="s">
        <v>13526</v>
      </c>
      <c r="C4638" s="68">
        <v>45471</v>
      </c>
      <c r="D4638" s="76"/>
      <c r="E4638" s="70" t="s">
        <v>3198</v>
      </c>
      <c r="F4638" s="71" t="s">
        <v>11612</v>
      </c>
    </row>
    <row r="4639" spans="1:10" ht="14.25" customHeight="1" x14ac:dyDescent="0.35">
      <c r="A4639" s="76"/>
      <c r="B4639" s="38" t="s">
        <v>1858</v>
      </c>
      <c r="C4639" s="69">
        <f>IF(C4638="","",IF(AND(MONTH(C4638)&gt;=1,MONTH(C4638)&lt;=3),1,IF(AND(MONTH(C4638)&gt;=4,MONTH(C4638)&lt;=6),2,IF(AND(MONTH(C4638)&gt;=7,MONTH(C4638)&lt;=9),3,4))))</f>
        <v>2</v>
      </c>
      <c r="D4639" s="76"/>
      <c r="E4639" s="70" t="s">
        <v>13785</v>
      </c>
      <c r="F4639" s="71"/>
    </row>
    <row r="4641" spans="1:10" ht="14.25" customHeight="1" x14ac:dyDescent="0.35">
      <c r="A4641" s="43" t="s">
        <v>16424</v>
      </c>
      <c r="B4641" s="43" t="s">
        <v>16856</v>
      </c>
      <c r="C4641" s="43" t="s">
        <v>16326</v>
      </c>
      <c r="D4641" s="43" t="s">
        <v>15925</v>
      </c>
      <c r="E4641" s="43" t="s">
        <v>7248</v>
      </c>
      <c r="F4641" s="43" t="s">
        <v>15955</v>
      </c>
    </row>
    <row r="4642" spans="1:10" ht="14.25" customHeight="1" x14ac:dyDescent="0.35">
      <c r="A4642" s="39" t="s">
        <v>1608</v>
      </c>
      <c r="B4642" s="40" t="str">
        <f ca="1">IFERROR(INDEX(UNSPSCDes,MATCH(INDIRECT(ADDRESS(ROW(),COLUMN()-1,4)),UNSPSCCode,0)),IF(INDIRECT(ADDRESS(ROW(),COLUMN()-1,4))="43211501","Servidores de computador",""))</f>
        <v>Servidores de computador</v>
      </c>
      <c r="C4642" s="72" t="str">
        <f>IFERROR(VLOOKUP("UD",'Informacion '!P:Q,2,FALSE),"")</f>
        <v>Unidad</v>
      </c>
      <c r="D4642" s="39">
        <v>5</v>
      </c>
      <c r="E4642" s="42">
        <v>11446</v>
      </c>
      <c r="F4642" s="41">
        <f t="shared" ref="F4642:F4655" ca="1" si="168">INDIRECT(ADDRESS(ROW(),COLUMN()-2,4))*INDIRECT(ADDRESS(ROW(),COLUMN()-1,4))</f>
        <v>57230</v>
      </c>
    </row>
    <row r="4643" spans="1:10" ht="14.25" customHeight="1" x14ac:dyDescent="0.35">
      <c r="A4643" s="39" t="s">
        <v>5908</v>
      </c>
      <c r="B4643" s="40" t="str">
        <f ca="1">IFERROR(INDEX(UNSPSCDes,MATCH(INDIRECT(ADDRESS(ROW(),COLUMN()-1,4)),UNSPSCCode,0)),IF(INDIRECT(ADDRESS(ROW(),COLUMN()-1,4))="43211502","Servidores de computador de gama alta",""))</f>
        <v>Servidores de computador de gama alta</v>
      </c>
      <c r="C4643" s="72" t="str">
        <f>IFERROR(VLOOKUP("UD",'Informacion '!P:Q,2,FALSE),"")</f>
        <v>Unidad</v>
      </c>
      <c r="D4643" s="39">
        <v>30</v>
      </c>
      <c r="E4643" s="42">
        <v>3500</v>
      </c>
      <c r="F4643" s="41">
        <f t="shared" ca="1" si="168"/>
        <v>105000</v>
      </c>
    </row>
    <row r="4644" spans="1:10" ht="14.25" customHeight="1" x14ac:dyDescent="0.35">
      <c r="A4644" s="39" t="s">
        <v>18809</v>
      </c>
      <c r="B4644" s="40" t="str">
        <f ca="1">IFERROR(INDEX(UNSPSCDes,MATCH(INDIRECT(ADDRESS(ROW(),COLUMN()-1,4)),UNSPSCCode,0)),IF(INDIRECT(ADDRESS(ROW(),COLUMN()-1,4))="43211503","Computadores notebook",""))</f>
        <v>Computadores notebook</v>
      </c>
      <c r="C4644" s="72" t="str">
        <f>IFERROR(VLOOKUP("UD",'Informacion '!P:Q,2,FALSE),"")</f>
        <v>Unidad</v>
      </c>
      <c r="D4644" s="39">
        <v>20</v>
      </c>
      <c r="E4644" s="42">
        <v>95000</v>
      </c>
      <c r="F4644" s="41">
        <f t="shared" ca="1" si="168"/>
        <v>1900000</v>
      </c>
    </row>
    <row r="4645" spans="1:10" ht="14.25" customHeight="1" x14ac:dyDescent="0.35">
      <c r="A4645" s="39" t="s">
        <v>11585</v>
      </c>
      <c r="B4645" s="40" t="str">
        <f ca="1">IFERROR(INDEX(UNSPSCDes,MATCH(INDIRECT(ADDRESS(ROW(),COLUMN()-1,4)),UNSPSCCode,0)),IF(INDIRECT(ADDRESS(ROW(),COLUMN()-1,4))="43211507","Computadores de escritorio",""))</f>
        <v>Computadores de escritorio</v>
      </c>
      <c r="C4645" s="72" t="str">
        <f>IFERROR(VLOOKUP("UD",'Informacion '!P:Q,2,FALSE),"")</f>
        <v>Unidad</v>
      </c>
      <c r="D4645" s="39">
        <v>5</v>
      </c>
      <c r="E4645" s="42">
        <v>348100</v>
      </c>
      <c r="F4645" s="41">
        <f t="shared" ca="1" si="168"/>
        <v>1740500</v>
      </c>
    </row>
    <row r="4646" spans="1:10" ht="14.25" customHeight="1" x14ac:dyDescent="0.35">
      <c r="A4646" s="39" t="s">
        <v>11585</v>
      </c>
      <c r="B4646" s="40" t="str">
        <f ca="1">IFERROR(INDEX(UNSPSCDes,MATCH(INDIRECT(ADDRESS(ROW(),COLUMN()-1,4)),UNSPSCCode,0)),IF(INDIRECT(ADDRESS(ROW(),COLUMN()-1,4))="43211507","Computadores de escritorio",""))</f>
        <v>Computadores de escritorio</v>
      </c>
      <c r="C4646" s="72" t="str">
        <f>IFERROR(VLOOKUP("UD",'Informacion '!P:Q,2,FALSE),"")</f>
        <v>Unidad</v>
      </c>
      <c r="D4646" s="39">
        <v>30</v>
      </c>
      <c r="E4646" s="42">
        <v>80000</v>
      </c>
      <c r="F4646" s="41">
        <f t="shared" ca="1" si="168"/>
        <v>2400000</v>
      </c>
    </row>
    <row r="4647" spans="1:10" ht="14.25" customHeight="1" x14ac:dyDescent="0.35">
      <c r="A4647" s="39" t="s">
        <v>11585</v>
      </c>
      <c r="B4647" s="40" t="str">
        <f ca="1">IFERROR(INDEX(UNSPSCDes,MATCH(INDIRECT(ADDRESS(ROW(),COLUMN()-1,4)),UNSPSCCode,0)),IF(INDIRECT(ADDRESS(ROW(),COLUMN()-1,4))="43211507","Computadores de escritorio",""))</f>
        <v>Computadores de escritorio</v>
      </c>
      <c r="C4647" s="72" t="str">
        <f>IFERROR(VLOOKUP("UD",'Informacion '!P:Q,2,FALSE),"")</f>
        <v>Unidad</v>
      </c>
      <c r="D4647" s="39">
        <v>1</v>
      </c>
      <c r="E4647" s="42">
        <v>150000</v>
      </c>
      <c r="F4647" s="41">
        <f t="shared" ca="1" si="168"/>
        <v>150000</v>
      </c>
    </row>
    <row r="4648" spans="1:10" ht="14.25" customHeight="1" x14ac:dyDescent="0.35">
      <c r="A4648" s="39" t="s">
        <v>6894</v>
      </c>
      <c r="B4648" s="40" t="str">
        <f ca="1">IFERROR(INDEX(UNSPSCDes,MATCH(INDIRECT(ADDRESS(ROW(),COLUMN()-1,4)),UNSPSCCode,0)),IF(INDIRECT(ADDRESS(ROW(),COLUMN()-1,4))="43211602","Estaciones de acoplamiento",""))</f>
        <v>Estaciones de acoplamiento</v>
      </c>
      <c r="C4648" s="72" t="str">
        <f>IFERROR(VLOOKUP("UD",'Informacion '!P:Q,2,FALSE),"")</f>
        <v>Unidad</v>
      </c>
      <c r="D4648" s="39">
        <v>20</v>
      </c>
      <c r="E4648" s="42">
        <v>19000</v>
      </c>
      <c r="F4648" s="41">
        <f t="shared" ca="1" si="168"/>
        <v>380000</v>
      </c>
    </row>
    <row r="4649" spans="1:10" ht="14.25" customHeight="1" x14ac:dyDescent="0.35">
      <c r="A4649" s="39" t="s">
        <v>19305</v>
      </c>
      <c r="B4649" s="40" t="str">
        <f ca="1">IFERROR(INDEX(UNSPSCDes,MATCH(INDIRECT(ADDRESS(ROW(),COLUMN()-1,4)),UNSPSCCode,0)),IF(INDIRECT(ADDRESS(ROW(),COLUMN()-1,4))="43211706","Teclados",""))</f>
        <v>Teclados</v>
      </c>
      <c r="C4649" s="72" t="str">
        <f>IFERROR(VLOOKUP("UD",'Informacion '!P:Q,2,FALSE),"")</f>
        <v>Unidad</v>
      </c>
      <c r="D4649" s="39">
        <v>100</v>
      </c>
      <c r="E4649" s="42">
        <v>500</v>
      </c>
      <c r="F4649" s="41">
        <f t="shared" ca="1" si="168"/>
        <v>50000</v>
      </c>
    </row>
    <row r="4650" spans="1:10" ht="14.25" customHeight="1" x14ac:dyDescent="0.35">
      <c r="A4650" s="39" t="s">
        <v>19305</v>
      </c>
      <c r="B4650" s="40" t="str">
        <f ca="1">IFERROR(INDEX(UNSPSCDes,MATCH(INDIRECT(ADDRESS(ROW(),COLUMN()-1,4)),UNSPSCCode,0)),IF(INDIRECT(ADDRESS(ROW(),COLUMN()-1,4))="43211706","Teclados",""))</f>
        <v>Teclados</v>
      </c>
      <c r="C4650" s="72" t="str">
        <f>IFERROR(VLOOKUP("UD",'Informacion '!P:Q,2,FALSE),"")</f>
        <v>Unidad</v>
      </c>
      <c r="D4650" s="39">
        <v>10</v>
      </c>
      <c r="E4650" s="42">
        <v>3000</v>
      </c>
      <c r="F4650" s="41">
        <f t="shared" ca="1" si="168"/>
        <v>30000</v>
      </c>
    </row>
    <row r="4651" spans="1:10" ht="14.25" customHeight="1" x14ac:dyDescent="0.35">
      <c r="A4651" s="39" t="s">
        <v>6741</v>
      </c>
      <c r="B4651" s="40" t="str">
        <f ca="1">IFERROR(INDEX(UNSPSCDes,MATCH(INDIRECT(ADDRESS(ROW(),COLUMN()-1,4)),UNSPSCCode,0)),IF(INDIRECT(ADDRESS(ROW(),COLUMN()-1,4))="43211708","Mouse o bola de seguimiento para computador",""))</f>
        <v>Mouse o bola de seguimiento para computador</v>
      </c>
      <c r="C4651" s="72" t="str">
        <f>IFERROR(VLOOKUP("UD",'Informacion '!P:Q,2,FALSE),"")</f>
        <v>Unidad</v>
      </c>
      <c r="D4651" s="39">
        <v>100</v>
      </c>
      <c r="E4651" s="42">
        <v>550</v>
      </c>
      <c r="F4651" s="41">
        <f t="shared" ca="1" si="168"/>
        <v>55000</v>
      </c>
    </row>
    <row r="4652" spans="1:10" ht="14.25" customHeight="1" x14ac:dyDescent="0.35">
      <c r="A4652" s="39" t="s">
        <v>6227</v>
      </c>
      <c r="B4652" s="40" t="str">
        <f ca="1">IFERROR(INDEX(UNSPSCDes,MATCH(INDIRECT(ADDRESS(ROW(),COLUMN()-1,4)),UNSPSCCode,0)),IF(INDIRECT(ADDRESS(ROW(),COLUMN()-1,4))="43211802","Almohadillas (pads) para mouse",""))</f>
        <v>Almohadillas (pads) para mouse</v>
      </c>
      <c r="C4652" s="72" t="str">
        <f>IFERROR(VLOOKUP("UD",'Informacion '!P:Q,2,FALSE),"")</f>
        <v>Unidad</v>
      </c>
      <c r="D4652" s="39">
        <v>1000</v>
      </c>
      <c r="E4652" s="42">
        <v>38.35</v>
      </c>
      <c r="F4652" s="41">
        <f t="shared" ca="1" si="168"/>
        <v>38350</v>
      </c>
    </row>
    <row r="4653" spans="1:10" ht="14.25" customHeight="1" x14ac:dyDescent="0.35">
      <c r="A4653" s="39" t="s">
        <v>13747</v>
      </c>
      <c r="B4653" s="40" t="str">
        <f ca="1">IFERROR(INDEX(UNSPSCDes,MATCH(INDIRECT(ADDRESS(ROW(),COLUMN()-1,4)),UNSPSCCode,0)),IF(INDIRECT(ADDRESS(ROW(),COLUMN()-1,4))="43211903","Monitores de pantalla táctil (touch)",""))</f>
        <v>Monitores de pantalla táctil (touch)</v>
      </c>
      <c r="C4653" s="72" t="str">
        <f>IFERROR(VLOOKUP("UD",'Informacion '!P:Q,2,FALSE),"")</f>
        <v>Unidad</v>
      </c>
      <c r="D4653" s="39">
        <v>30</v>
      </c>
      <c r="E4653" s="42">
        <v>15000</v>
      </c>
      <c r="F4653" s="41">
        <f t="shared" ca="1" si="168"/>
        <v>450000</v>
      </c>
    </row>
    <row r="4654" spans="1:10" ht="14.25" customHeight="1" x14ac:dyDescent="0.35">
      <c r="A4654" s="39" t="s">
        <v>13747</v>
      </c>
      <c r="B4654" s="40" t="str">
        <f ca="1">IFERROR(INDEX(UNSPSCDes,MATCH(INDIRECT(ADDRESS(ROW(),COLUMN()-1,4)),UNSPSCCode,0)),IF(INDIRECT(ADDRESS(ROW(),COLUMN()-1,4))="43211903","Monitores de pantalla táctil (touch)",""))</f>
        <v>Monitores de pantalla táctil (touch)</v>
      </c>
      <c r="C4654" s="72" t="str">
        <f>IFERROR(VLOOKUP("UD",'Informacion '!P:Q,2,FALSE),"")</f>
        <v>Unidad</v>
      </c>
      <c r="D4654" s="39">
        <v>20</v>
      </c>
      <c r="E4654" s="42">
        <v>17000</v>
      </c>
      <c r="F4654" s="41">
        <f t="shared" ca="1" si="168"/>
        <v>340000</v>
      </c>
    </row>
    <row r="4655" spans="1:10" ht="14.25" customHeight="1" x14ac:dyDescent="0.35">
      <c r="A4655" s="39" t="s">
        <v>9759</v>
      </c>
      <c r="B4655" s="40" t="str">
        <f ca="1">IFERROR(INDEX(UNSPSCDes,MATCH(INDIRECT(ADDRESS(ROW(),COLUMN()-1,4)),UNSPSCCode,0)),IF(INDIRECT(ADDRESS(ROW(),COLUMN()-1,4))="43212110","Impresoras de múltiples funciones",""))</f>
        <v>Impresoras de múltiples funciones</v>
      </c>
      <c r="C4655" s="72" t="str">
        <f>IFERROR(VLOOKUP("UD",'Informacion '!P:Q,2,FALSE),"")</f>
        <v>Unidad</v>
      </c>
      <c r="D4655" s="39">
        <v>1</v>
      </c>
      <c r="E4655" s="42">
        <v>99120</v>
      </c>
      <c r="F4655" s="41">
        <f t="shared" ca="1" si="168"/>
        <v>99120</v>
      </c>
    </row>
    <row r="4656" spans="1:10" ht="14.25" customHeight="1" x14ac:dyDescent="0.35">
      <c r="E4656" s="44" t="s">
        <v>13122</v>
      </c>
      <c r="F4656" s="45">
        <f ca="1">SUM(Table254[MONTO TOTAL ESTIMADO])</f>
        <v>7795200</v>
      </c>
      <c r="H4656" s="24" t="str">
        <f>C4635</f>
        <v>Bienes</v>
      </c>
      <c r="I4656" s="24" t="str">
        <f>E4635</f>
        <v>MIPYME Mujeres</v>
      </c>
      <c r="J4656" s="24" t="str">
        <f>D4635</f>
        <v>Licitacion Publica</v>
      </c>
    </row>
    <row r="4658" spans="1:10" ht="34" customHeight="1" x14ac:dyDescent="0.35">
      <c r="A4658" s="36" t="s">
        <v>17105</v>
      </c>
      <c r="B4658" s="36" t="s">
        <v>167</v>
      </c>
      <c r="C4658" s="36" t="s">
        <v>12252</v>
      </c>
      <c r="D4658" s="36" t="s">
        <v>15021</v>
      </c>
      <c r="E4658" s="36" t="s">
        <v>11455</v>
      </c>
      <c r="F4658" s="36" t="s">
        <v>11595</v>
      </c>
    </row>
    <row r="4659" spans="1:10" ht="14.25" customHeight="1" x14ac:dyDescent="0.35">
      <c r="A4659" s="37" t="s">
        <v>17690</v>
      </c>
      <c r="B4659" s="37" t="s">
        <v>17690</v>
      </c>
      <c r="C4659" s="37" t="s">
        <v>18585</v>
      </c>
      <c r="D4659" s="37" t="s">
        <v>10634</v>
      </c>
      <c r="E4659" s="37" t="s">
        <v>18646</v>
      </c>
      <c r="F4659" s="37" t="s">
        <v>7088</v>
      </c>
    </row>
    <row r="4660" spans="1:10" ht="14.25" customHeight="1" x14ac:dyDescent="0.35">
      <c r="A4660" s="75" t="s">
        <v>15490</v>
      </c>
      <c r="B4660" s="38" t="s">
        <v>8918</v>
      </c>
      <c r="C4660" s="68">
        <v>45474</v>
      </c>
      <c r="D4660" s="75" t="s">
        <v>9819</v>
      </c>
      <c r="E4660" s="70" t="s">
        <v>13683</v>
      </c>
      <c r="F4660" s="71" t="s">
        <v>3205</v>
      </c>
    </row>
    <row r="4661" spans="1:10" ht="14.25" customHeight="1" x14ac:dyDescent="0.35">
      <c r="A4661" s="76"/>
      <c r="B4661" s="38" t="s">
        <v>1858</v>
      </c>
      <c r="C4661" s="69">
        <f>IF(C4660="","",IF(AND(MONTH(C4660)&gt;=1,MONTH(C4660)&lt;=3),1,IF(AND(MONTH(C4660)&gt;=4,MONTH(C4660)&lt;=6),2,IF(AND(MONTH(C4660)&gt;=7,MONTH(C4660)&lt;=9),3,4))))</f>
        <v>3</v>
      </c>
      <c r="D4661" s="76"/>
      <c r="E4661" s="70" t="s">
        <v>2509</v>
      </c>
      <c r="F4661" s="71" t="s">
        <v>11612</v>
      </c>
    </row>
    <row r="4662" spans="1:10" ht="14.25" customHeight="1" x14ac:dyDescent="0.35">
      <c r="A4662" s="76"/>
      <c r="B4662" s="38" t="s">
        <v>13526</v>
      </c>
      <c r="C4662" s="68">
        <v>45565</v>
      </c>
      <c r="D4662" s="76"/>
      <c r="E4662" s="70" t="s">
        <v>3198</v>
      </c>
      <c r="F4662" s="71" t="s">
        <v>11612</v>
      </c>
    </row>
    <row r="4663" spans="1:10" ht="14.25" customHeight="1" x14ac:dyDescent="0.35">
      <c r="A4663" s="76"/>
      <c r="B4663" s="38" t="s">
        <v>1858</v>
      </c>
      <c r="C4663" s="69">
        <f>IF(C4662="","",IF(AND(MONTH(C4662)&gt;=1,MONTH(C4662)&lt;=3),1,IF(AND(MONTH(C4662)&gt;=4,MONTH(C4662)&lt;=6),2,IF(AND(MONTH(C4662)&gt;=7,MONTH(C4662)&lt;=9),3,4))))</f>
        <v>3</v>
      </c>
      <c r="D4663" s="76"/>
      <c r="E4663" s="70" t="s">
        <v>13785</v>
      </c>
      <c r="F4663" s="71"/>
    </row>
    <row r="4665" spans="1:10" ht="14.25" customHeight="1" x14ac:dyDescent="0.35">
      <c r="A4665" s="43" t="s">
        <v>16424</v>
      </c>
      <c r="B4665" s="43" t="s">
        <v>16856</v>
      </c>
      <c r="C4665" s="43" t="s">
        <v>16326</v>
      </c>
      <c r="D4665" s="43" t="s">
        <v>15925</v>
      </c>
      <c r="E4665" s="43" t="s">
        <v>7248</v>
      </c>
      <c r="F4665" s="43" t="s">
        <v>15955</v>
      </c>
    </row>
    <row r="4666" spans="1:10" ht="14.25" customHeight="1" x14ac:dyDescent="0.35">
      <c r="A4666" s="39" t="s">
        <v>6227</v>
      </c>
      <c r="B4666" s="40" t="str">
        <f ca="1">IFERROR(INDEX(UNSPSCDes,MATCH(INDIRECT(ADDRESS(ROW(),COLUMN()-1,4)),UNSPSCCode,0)),IF(INDIRECT(ADDRESS(ROW(),COLUMN()-1,4))="43211802","Almohadillas (pads) para mouse",""))</f>
        <v>Almohadillas (pads) para mouse</v>
      </c>
      <c r="C4666" s="72" t="str">
        <f>IFERROR(VLOOKUP("UD",'Informacion '!P:Q,2,FALSE),"")</f>
        <v>Unidad</v>
      </c>
      <c r="D4666" s="39">
        <v>1000</v>
      </c>
      <c r="E4666" s="42">
        <v>35.35</v>
      </c>
      <c r="F4666" s="41">
        <f ca="1">INDIRECT(ADDRESS(ROW(),COLUMN()-2,4))*INDIRECT(ADDRESS(ROW(),COLUMN()-1,4))</f>
        <v>35350</v>
      </c>
    </row>
    <row r="4667" spans="1:10" ht="14.25" customHeight="1" x14ac:dyDescent="0.35">
      <c r="E4667" s="44" t="s">
        <v>13122</v>
      </c>
      <c r="F4667" s="45">
        <f ca="1">SUM(Table255[MONTO TOTAL ESTIMADO])</f>
        <v>35350</v>
      </c>
      <c r="H4667" s="24" t="str">
        <f>C4659</f>
        <v>Bienes</v>
      </c>
      <c r="I4667" s="24" t="str">
        <f>E4659</f>
        <v>No</v>
      </c>
      <c r="J4667" s="24" t="str">
        <f>D4659</f>
        <v>Compras por debajo del Umbral</v>
      </c>
    </row>
    <row r="4669" spans="1:10" ht="34" customHeight="1" x14ac:dyDescent="0.35">
      <c r="A4669" s="36" t="s">
        <v>17105</v>
      </c>
      <c r="B4669" s="36" t="s">
        <v>167</v>
      </c>
      <c r="C4669" s="36" t="s">
        <v>12252</v>
      </c>
      <c r="D4669" s="36" t="s">
        <v>15021</v>
      </c>
      <c r="E4669" s="36" t="s">
        <v>11455</v>
      </c>
      <c r="F4669" s="36" t="s">
        <v>11595</v>
      </c>
    </row>
    <row r="4670" spans="1:10" ht="14.25" customHeight="1" x14ac:dyDescent="0.35">
      <c r="A4670" s="37" t="s">
        <v>2675</v>
      </c>
      <c r="B4670" s="37" t="s">
        <v>2675</v>
      </c>
      <c r="C4670" s="37" t="s">
        <v>18585</v>
      </c>
      <c r="D4670" s="37" t="s">
        <v>10634</v>
      </c>
      <c r="E4670" s="37" t="s">
        <v>18646</v>
      </c>
      <c r="F4670" s="37"/>
    </row>
    <row r="4671" spans="1:10" ht="14.25" customHeight="1" x14ac:dyDescent="0.35">
      <c r="A4671" s="75" t="s">
        <v>15490</v>
      </c>
      <c r="B4671" s="38" t="s">
        <v>8918</v>
      </c>
      <c r="C4671" s="68">
        <v>45334</v>
      </c>
      <c r="D4671" s="75" t="s">
        <v>9819</v>
      </c>
      <c r="E4671" s="70" t="s">
        <v>13683</v>
      </c>
      <c r="F4671" s="71" t="s">
        <v>3205</v>
      </c>
    </row>
    <row r="4672" spans="1:10" ht="14.25" customHeight="1" x14ac:dyDescent="0.35">
      <c r="A4672" s="76"/>
      <c r="B4672" s="38" t="s">
        <v>1858</v>
      </c>
      <c r="C4672" s="69">
        <f>IF(C4671="","",IF(AND(MONTH(C4671)&gt;=1,MONTH(C4671)&lt;=3),1,IF(AND(MONTH(C4671)&gt;=4,MONTH(C4671)&lt;=6),2,IF(AND(MONTH(C4671)&gt;=7,MONTH(C4671)&lt;=9),3,4))))</f>
        <v>1</v>
      </c>
      <c r="D4672" s="76"/>
      <c r="E4672" s="70" t="s">
        <v>2509</v>
      </c>
      <c r="F4672" s="71" t="s">
        <v>11612</v>
      </c>
    </row>
    <row r="4673" spans="1:10" ht="14.25" customHeight="1" x14ac:dyDescent="0.35">
      <c r="A4673" s="76"/>
      <c r="B4673" s="38" t="s">
        <v>13526</v>
      </c>
      <c r="C4673" s="68">
        <v>45377</v>
      </c>
      <c r="D4673" s="76"/>
      <c r="E4673" s="70" t="s">
        <v>3198</v>
      </c>
      <c r="F4673" s="71" t="s">
        <v>11612</v>
      </c>
    </row>
    <row r="4674" spans="1:10" ht="14.25" customHeight="1" x14ac:dyDescent="0.35">
      <c r="A4674" s="76"/>
      <c r="B4674" s="38" t="s">
        <v>1858</v>
      </c>
      <c r="C4674" s="69">
        <f>IF(C4673="","",IF(AND(MONTH(C4673)&gt;=1,MONTH(C4673)&lt;=3),1,IF(AND(MONTH(C4673)&gt;=4,MONTH(C4673)&lt;=6),2,IF(AND(MONTH(C4673)&gt;=7,MONTH(C4673)&lt;=9),3,4))))</f>
        <v>1</v>
      </c>
      <c r="D4674" s="76"/>
      <c r="E4674" s="70" t="s">
        <v>13785</v>
      </c>
      <c r="F4674" s="71"/>
    </row>
    <row r="4676" spans="1:10" ht="14.25" customHeight="1" x14ac:dyDescent="0.35">
      <c r="A4676" s="43" t="s">
        <v>16424</v>
      </c>
      <c r="B4676" s="43" t="s">
        <v>16856</v>
      </c>
      <c r="C4676" s="43" t="s">
        <v>16326</v>
      </c>
      <c r="D4676" s="43" t="s">
        <v>15925</v>
      </c>
      <c r="E4676" s="43" t="s">
        <v>7248</v>
      </c>
      <c r="F4676" s="43" t="s">
        <v>15955</v>
      </c>
    </row>
    <row r="4677" spans="1:10" ht="14.25" customHeight="1" x14ac:dyDescent="0.35">
      <c r="A4677" s="39" t="s">
        <v>12932</v>
      </c>
      <c r="B4677" s="40" t="str">
        <f ca="1">IFERROR(INDEX(UNSPSCDes,MATCH(INDIRECT(ADDRESS(ROW(),COLUMN()-1,4)),UNSPSCCode,0)),IF(INDIRECT(ADDRESS(ROW(),COLUMN()-1,4))="81141504","Reparación o calibración de pruebas de equipo",""))</f>
        <v>Reparación o calibración de pruebas de equipo</v>
      </c>
      <c r="C4677" s="72" t="str">
        <f>IFERROR(VLOOKUP("UD",'Informacion '!P:Q,2,FALSE),"")</f>
        <v>Unidad</v>
      </c>
      <c r="D4677" s="39">
        <v>1</v>
      </c>
      <c r="E4677" s="42">
        <v>197607</v>
      </c>
      <c r="F4677" s="41">
        <f ca="1">INDIRECT(ADDRESS(ROW(),COLUMN()-2,4))*INDIRECT(ADDRESS(ROW(),COLUMN()-1,4))</f>
        <v>197607</v>
      </c>
    </row>
    <row r="4678" spans="1:10" ht="14.25" customHeight="1" x14ac:dyDescent="0.35">
      <c r="E4678" s="44" t="s">
        <v>13122</v>
      </c>
      <c r="F4678" s="45">
        <f ca="1">SUM(Table256[MONTO TOTAL ESTIMADO])</f>
        <v>197607</v>
      </c>
      <c r="H4678" s="24" t="str">
        <f>C4670</f>
        <v>Bienes</v>
      </c>
      <c r="I4678" s="24" t="str">
        <f>E4670</f>
        <v>No</v>
      </c>
      <c r="J4678" s="24" t="str">
        <f>D4670</f>
        <v>Compras por debajo del Umbral</v>
      </c>
    </row>
    <row r="4680" spans="1:10" ht="34" customHeight="1" x14ac:dyDescent="0.35">
      <c r="A4680" s="36" t="s">
        <v>17105</v>
      </c>
      <c r="B4680" s="36" t="s">
        <v>167</v>
      </c>
      <c r="C4680" s="36" t="s">
        <v>12252</v>
      </c>
      <c r="D4680" s="36" t="s">
        <v>15021</v>
      </c>
      <c r="E4680" s="36" t="s">
        <v>11455</v>
      </c>
      <c r="F4680" s="36" t="s">
        <v>11595</v>
      </c>
    </row>
    <row r="4681" spans="1:10" ht="14.25" customHeight="1" x14ac:dyDescent="0.35">
      <c r="A4681" s="37" t="s">
        <v>6969</v>
      </c>
      <c r="B4681" s="37" t="s">
        <v>6969</v>
      </c>
      <c r="C4681" s="37" t="s">
        <v>18585</v>
      </c>
      <c r="D4681" s="37" t="s">
        <v>1950</v>
      </c>
      <c r="E4681" s="37" t="s">
        <v>9261</v>
      </c>
      <c r="F4681" s="37"/>
    </row>
    <row r="4682" spans="1:10" ht="14.25" customHeight="1" x14ac:dyDescent="0.35">
      <c r="A4682" s="75" t="s">
        <v>15490</v>
      </c>
      <c r="B4682" s="38" t="s">
        <v>8918</v>
      </c>
      <c r="C4682" s="68">
        <v>45334</v>
      </c>
      <c r="D4682" s="75" t="s">
        <v>9819</v>
      </c>
      <c r="E4682" s="70" t="s">
        <v>13683</v>
      </c>
      <c r="F4682" s="71" t="s">
        <v>3205</v>
      </c>
    </row>
    <row r="4683" spans="1:10" ht="14.25" customHeight="1" x14ac:dyDescent="0.35">
      <c r="A4683" s="76"/>
      <c r="B4683" s="38" t="s">
        <v>1858</v>
      </c>
      <c r="C4683" s="69">
        <f>IF(C4682="","",IF(AND(MONTH(C4682)&gt;=1,MONTH(C4682)&lt;=3),1,IF(AND(MONTH(C4682)&gt;=4,MONTH(C4682)&lt;=6),2,IF(AND(MONTH(C4682)&gt;=7,MONTH(C4682)&lt;=9),3,4))))</f>
        <v>1</v>
      </c>
      <c r="D4683" s="76"/>
      <c r="E4683" s="70" t="s">
        <v>2509</v>
      </c>
      <c r="F4683" s="71" t="s">
        <v>11612</v>
      </c>
    </row>
    <row r="4684" spans="1:10" ht="14.25" customHeight="1" x14ac:dyDescent="0.35">
      <c r="A4684" s="76"/>
      <c r="B4684" s="38" t="s">
        <v>13526</v>
      </c>
      <c r="C4684" s="68">
        <v>45379</v>
      </c>
      <c r="D4684" s="76"/>
      <c r="E4684" s="70" t="s">
        <v>3198</v>
      </c>
      <c r="F4684" s="71" t="s">
        <v>11612</v>
      </c>
    </row>
    <row r="4685" spans="1:10" ht="14.25" customHeight="1" x14ac:dyDescent="0.35">
      <c r="A4685" s="76"/>
      <c r="B4685" s="38" t="s">
        <v>1858</v>
      </c>
      <c r="C4685" s="69">
        <f>IF(C4684="","",IF(AND(MONTH(C4684)&gt;=1,MONTH(C4684)&lt;=3),1,IF(AND(MONTH(C4684)&gt;=4,MONTH(C4684)&lt;=6),2,IF(AND(MONTH(C4684)&gt;=7,MONTH(C4684)&lt;=9),3,4))))</f>
        <v>1</v>
      </c>
      <c r="D4685" s="76"/>
      <c r="E4685" s="70" t="s">
        <v>13785</v>
      </c>
      <c r="F4685" s="71"/>
    </row>
    <row r="4687" spans="1:10" ht="14.25" customHeight="1" x14ac:dyDescent="0.35">
      <c r="A4687" s="43" t="s">
        <v>16424</v>
      </c>
      <c r="B4687" s="43" t="s">
        <v>16856</v>
      </c>
      <c r="C4687" s="43" t="s">
        <v>16326</v>
      </c>
      <c r="D4687" s="43" t="s">
        <v>15925</v>
      </c>
      <c r="E4687" s="43" t="s">
        <v>7248</v>
      </c>
      <c r="F4687" s="43" t="s">
        <v>15955</v>
      </c>
    </row>
    <row r="4688" spans="1:10" ht="14.25" customHeight="1" x14ac:dyDescent="0.35">
      <c r="A4688" s="39" t="s">
        <v>8067</v>
      </c>
      <c r="B4688" s="40" t="str">
        <f ca="1">IFERROR(INDEX(UNSPSCDes,MATCH(INDIRECT(ADDRESS(ROW(),COLUMN()-1,4)),UNSPSCCode,0)),IF(INDIRECT(ADDRESS(ROW(),COLUMN()-1,4))="82101501","Publicidad en vallas",""))</f>
        <v>Publicidad en vallas</v>
      </c>
      <c r="C4688" s="72" t="str">
        <f>IFERROR(VLOOKUP("UD",'Informacion '!P:Q,2,FALSE),"")</f>
        <v>Unidad</v>
      </c>
      <c r="D4688" s="39">
        <v>20</v>
      </c>
      <c r="E4688" s="42">
        <v>40000</v>
      </c>
      <c r="F4688" s="41">
        <f ca="1">INDIRECT(ADDRESS(ROW(),COLUMN()-2,4))*INDIRECT(ADDRESS(ROW(),COLUMN()-1,4))</f>
        <v>800000</v>
      </c>
    </row>
    <row r="4689" spans="1:10" ht="14.25" customHeight="1" x14ac:dyDescent="0.35">
      <c r="A4689" s="39" t="s">
        <v>8067</v>
      </c>
      <c r="B4689" s="40" t="str">
        <f ca="1">IFERROR(INDEX(UNSPSCDes,MATCH(INDIRECT(ADDRESS(ROW(),COLUMN()-1,4)),UNSPSCCode,0)),IF(INDIRECT(ADDRESS(ROW(),COLUMN()-1,4))="82101501","Publicidad en vallas",""))</f>
        <v>Publicidad en vallas</v>
      </c>
      <c r="C4689" s="72" t="str">
        <f>IFERROR(VLOOKUP("UD",'Informacion '!P:Q,2,FALSE),"")</f>
        <v>Unidad</v>
      </c>
      <c r="D4689" s="39">
        <v>12</v>
      </c>
      <c r="E4689" s="42">
        <v>40000</v>
      </c>
      <c r="F4689" s="41">
        <f ca="1">INDIRECT(ADDRESS(ROW(),COLUMN()-2,4))*INDIRECT(ADDRESS(ROW(),COLUMN()-1,4))</f>
        <v>480000</v>
      </c>
    </row>
    <row r="4690" spans="1:10" ht="14.25" customHeight="1" x14ac:dyDescent="0.35">
      <c r="E4690" s="44" t="s">
        <v>13122</v>
      </c>
      <c r="F4690" s="45">
        <f ca="1">SUM(Table257[MONTO TOTAL ESTIMADO])</f>
        <v>1280000</v>
      </c>
      <c r="H4690" s="24" t="str">
        <f>C4681</f>
        <v>Bienes</v>
      </c>
      <c r="I4690" s="24" t="str">
        <f>E4681</f>
        <v>Sí</v>
      </c>
      <c r="J4690" s="24" t="str">
        <f>D4681</f>
        <v>Comparacion de Precios</v>
      </c>
    </row>
    <row r="4692" spans="1:10" ht="34" customHeight="1" x14ac:dyDescent="0.35">
      <c r="A4692" s="36" t="s">
        <v>17105</v>
      </c>
      <c r="B4692" s="36" t="s">
        <v>167</v>
      </c>
      <c r="C4692" s="36" t="s">
        <v>12252</v>
      </c>
      <c r="D4692" s="36" t="s">
        <v>15021</v>
      </c>
      <c r="E4692" s="36" t="s">
        <v>11455</v>
      </c>
      <c r="F4692" s="36" t="s">
        <v>11595</v>
      </c>
    </row>
    <row r="4693" spans="1:10" ht="14.25" customHeight="1" x14ac:dyDescent="0.35">
      <c r="A4693" s="37" t="s">
        <v>6655</v>
      </c>
      <c r="B4693" s="37" t="s">
        <v>6655</v>
      </c>
      <c r="C4693" s="37" t="s">
        <v>18585</v>
      </c>
      <c r="D4693" s="37" t="s">
        <v>10634</v>
      </c>
      <c r="E4693" s="37" t="s">
        <v>9261</v>
      </c>
      <c r="F4693" s="37" t="s">
        <v>7088</v>
      </c>
    </row>
    <row r="4694" spans="1:10" ht="14.25" customHeight="1" x14ac:dyDescent="0.35">
      <c r="A4694" s="75" t="s">
        <v>15490</v>
      </c>
      <c r="B4694" s="38" t="s">
        <v>8918</v>
      </c>
      <c r="C4694" s="68">
        <v>45383</v>
      </c>
      <c r="D4694" s="75" t="s">
        <v>9819</v>
      </c>
      <c r="E4694" s="70" t="s">
        <v>13683</v>
      </c>
      <c r="F4694" s="71" t="s">
        <v>3205</v>
      </c>
    </row>
    <row r="4695" spans="1:10" ht="14.25" customHeight="1" x14ac:dyDescent="0.35">
      <c r="A4695" s="76"/>
      <c r="B4695" s="38" t="s">
        <v>1858</v>
      </c>
      <c r="C4695" s="69">
        <f>IF(C4694="","",IF(AND(MONTH(C4694)&gt;=1,MONTH(C4694)&lt;=3),1,IF(AND(MONTH(C4694)&gt;=4,MONTH(C4694)&lt;=6),2,IF(AND(MONTH(C4694)&gt;=7,MONTH(C4694)&lt;=9),3,4))))</f>
        <v>2</v>
      </c>
      <c r="D4695" s="76"/>
      <c r="E4695" s="70" t="s">
        <v>2509</v>
      </c>
      <c r="F4695" s="71" t="s">
        <v>11612</v>
      </c>
    </row>
    <row r="4696" spans="1:10" ht="14.25" customHeight="1" x14ac:dyDescent="0.35">
      <c r="A4696" s="76"/>
      <c r="B4696" s="38" t="s">
        <v>13526</v>
      </c>
      <c r="C4696" s="68">
        <v>45471</v>
      </c>
      <c r="D4696" s="76"/>
      <c r="E4696" s="70" t="s">
        <v>3198</v>
      </c>
      <c r="F4696" s="71" t="s">
        <v>11612</v>
      </c>
    </row>
    <row r="4697" spans="1:10" ht="14.25" customHeight="1" x14ac:dyDescent="0.35">
      <c r="A4697" s="76"/>
      <c r="B4697" s="38" t="s">
        <v>1858</v>
      </c>
      <c r="C4697" s="69">
        <f>IF(C4696="","",IF(AND(MONTH(C4696)&gt;=1,MONTH(C4696)&lt;=3),1,IF(AND(MONTH(C4696)&gt;=4,MONTH(C4696)&lt;=6),2,IF(AND(MONTH(C4696)&gt;=7,MONTH(C4696)&lt;=9),3,4))))</f>
        <v>2</v>
      </c>
      <c r="D4697" s="76"/>
      <c r="E4697" s="70" t="s">
        <v>13785</v>
      </c>
      <c r="F4697" s="71"/>
    </row>
    <row r="4699" spans="1:10" ht="14.25" customHeight="1" x14ac:dyDescent="0.35">
      <c r="A4699" s="43" t="s">
        <v>16424</v>
      </c>
      <c r="B4699" s="43" t="s">
        <v>16856</v>
      </c>
      <c r="C4699" s="43" t="s">
        <v>16326</v>
      </c>
      <c r="D4699" s="43" t="s">
        <v>15925</v>
      </c>
      <c r="E4699" s="43" t="s">
        <v>7248</v>
      </c>
      <c r="F4699" s="43" t="s">
        <v>15955</v>
      </c>
    </row>
    <row r="4700" spans="1:10" ht="14.25" customHeight="1" x14ac:dyDescent="0.35">
      <c r="A4700" s="39" t="s">
        <v>3549</v>
      </c>
      <c r="B4700" s="40" t="str">
        <f ca="1">IFERROR(INDEX(UNSPSCDes,MATCH(INDIRECT(ADDRESS(ROW(),COLUMN()-1,4)),UNSPSCCode,0)),IF(INDIRECT(ADDRESS(ROW(),COLUMN()-1,4))="48101904","Copas para servicio de comidas",""))</f>
        <v>Copas para servicio de comidas</v>
      </c>
      <c r="C4700" s="72" t="str">
        <f>IFERROR(VLOOKUP("UD",'Informacion '!P:Q,2,FALSE),"")</f>
        <v>Unidad</v>
      </c>
      <c r="D4700" s="39">
        <v>17</v>
      </c>
      <c r="E4700" s="42">
        <v>1693.25</v>
      </c>
      <c r="F4700" s="41">
        <f ca="1">INDIRECT(ADDRESS(ROW(),COLUMN()-2,4))*INDIRECT(ADDRESS(ROW(),COLUMN()-1,4))</f>
        <v>28785.25</v>
      </c>
    </row>
    <row r="4701" spans="1:10" ht="14.25" customHeight="1" x14ac:dyDescent="0.35">
      <c r="E4701" s="44" t="s">
        <v>13122</v>
      </c>
      <c r="F4701" s="45">
        <f ca="1">SUM(Table258[MONTO TOTAL ESTIMADO])</f>
        <v>28785.25</v>
      </c>
      <c r="H4701" s="24" t="str">
        <f>C4693</f>
        <v>Bienes</v>
      </c>
      <c r="I4701" s="24" t="str">
        <f>E4693</f>
        <v>Sí</v>
      </c>
      <c r="J4701" s="24" t="str">
        <f>D4693</f>
        <v>Compras por debajo del Umbral</v>
      </c>
    </row>
    <row r="4703" spans="1:10" ht="34" customHeight="1" x14ac:dyDescent="0.35">
      <c r="A4703" s="36" t="s">
        <v>17105</v>
      </c>
      <c r="B4703" s="36" t="s">
        <v>167</v>
      </c>
      <c r="C4703" s="36" t="s">
        <v>12252</v>
      </c>
      <c r="D4703" s="36" t="s">
        <v>15021</v>
      </c>
      <c r="E4703" s="36" t="s">
        <v>11455</v>
      </c>
      <c r="F4703" s="36" t="s">
        <v>11595</v>
      </c>
    </row>
    <row r="4704" spans="1:10" ht="14.25" customHeight="1" x14ac:dyDescent="0.35">
      <c r="A4704" s="37" t="s">
        <v>3735</v>
      </c>
      <c r="B4704" s="37" t="s">
        <v>3735</v>
      </c>
      <c r="C4704" s="37" t="s">
        <v>18585</v>
      </c>
      <c r="D4704" s="37" t="s">
        <v>18256</v>
      </c>
      <c r="E4704" s="37" t="s">
        <v>9261</v>
      </c>
      <c r="F4704" s="37" t="s">
        <v>7088</v>
      </c>
    </row>
    <row r="4705" spans="1:10" ht="14.25" customHeight="1" x14ac:dyDescent="0.35">
      <c r="A4705" s="75" t="s">
        <v>15490</v>
      </c>
      <c r="B4705" s="38" t="s">
        <v>8918</v>
      </c>
      <c r="C4705" s="68">
        <v>45383</v>
      </c>
      <c r="D4705" s="75" t="s">
        <v>9819</v>
      </c>
      <c r="E4705" s="70" t="s">
        <v>13683</v>
      </c>
      <c r="F4705" s="71" t="s">
        <v>3205</v>
      </c>
    </row>
    <row r="4706" spans="1:10" ht="14.25" customHeight="1" x14ac:dyDescent="0.35">
      <c r="A4706" s="76"/>
      <c r="B4706" s="38" t="s">
        <v>1858</v>
      </c>
      <c r="C4706" s="69">
        <f>IF(C4705="","",IF(AND(MONTH(C4705)&gt;=1,MONTH(C4705)&lt;=3),1,IF(AND(MONTH(C4705)&gt;=4,MONTH(C4705)&lt;=6),2,IF(AND(MONTH(C4705)&gt;=7,MONTH(C4705)&lt;=9),3,4))))</f>
        <v>2</v>
      </c>
      <c r="D4706" s="76"/>
      <c r="E4706" s="70" t="s">
        <v>2509</v>
      </c>
      <c r="F4706" s="71" t="s">
        <v>11612</v>
      </c>
    </row>
    <row r="4707" spans="1:10" ht="14.25" customHeight="1" x14ac:dyDescent="0.35">
      <c r="A4707" s="76"/>
      <c r="B4707" s="38" t="s">
        <v>13526</v>
      </c>
      <c r="C4707" s="68">
        <v>45471</v>
      </c>
      <c r="D4707" s="76"/>
      <c r="E4707" s="70" t="s">
        <v>3198</v>
      </c>
      <c r="F4707" s="71" t="s">
        <v>11612</v>
      </c>
    </row>
    <row r="4708" spans="1:10" ht="14.25" customHeight="1" x14ac:dyDescent="0.35">
      <c r="A4708" s="76"/>
      <c r="B4708" s="38" t="s">
        <v>1858</v>
      </c>
      <c r="C4708" s="69">
        <f>IF(C4707="","",IF(AND(MONTH(C4707)&gt;=1,MONTH(C4707)&lt;=3),1,IF(AND(MONTH(C4707)&gt;=4,MONTH(C4707)&lt;=6),2,IF(AND(MONTH(C4707)&gt;=7,MONTH(C4707)&lt;=9),3,4))))</f>
        <v>2</v>
      </c>
      <c r="D4708" s="76"/>
      <c r="E4708" s="70" t="s">
        <v>13785</v>
      </c>
      <c r="F4708" s="71"/>
    </row>
    <row r="4710" spans="1:10" ht="14.25" customHeight="1" x14ac:dyDescent="0.35">
      <c r="A4710" s="43" t="s">
        <v>16424</v>
      </c>
      <c r="B4710" s="43" t="s">
        <v>16856</v>
      </c>
      <c r="C4710" s="43" t="s">
        <v>16326</v>
      </c>
      <c r="D4710" s="43" t="s">
        <v>15925</v>
      </c>
      <c r="E4710" s="43" t="s">
        <v>7248</v>
      </c>
      <c r="F4710" s="43" t="s">
        <v>15955</v>
      </c>
    </row>
    <row r="4711" spans="1:10" ht="14.25" customHeight="1" x14ac:dyDescent="0.35">
      <c r="A4711" s="39" t="s">
        <v>1997</v>
      </c>
      <c r="B4711" s="40" t="str">
        <f ca="1">IFERROR(INDEX(UNSPSCDes,MATCH(INDIRECT(ADDRESS(ROW(),COLUMN()-1,4)),UNSPSCCode,0)),IF(INDIRECT(ADDRESS(ROW(),COLUMN()-1,4))="49101602","Recuerdos (souvenirs)",""))</f>
        <v>Recuerdos (souvenirs)</v>
      </c>
      <c r="C4711" s="72" t="str">
        <f>IFERROR(VLOOKUP("UD",'Informacion '!P:Q,2,FALSE),"")</f>
        <v>Unidad</v>
      </c>
      <c r="D4711" s="39">
        <v>100</v>
      </c>
      <c r="E4711" s="42">
        <v>4130</v>
      </c>
      <c r="F4711" s="41">
        <f ca="1">INDIRECT(ADDRESS(ROW(),COLUMN()-2,4))*INDIRECT(ADDRESS(ROW(),COLUMN()-1,4))</f>
        <v>413000</v>
      </c>
    </row>
    <row r="4712" spans="1:10" ht="14.25" customHeight="1" x14ac:dyDescent="0.35">
      <c r="A4712" s="39" t="s">
        <v>4699</v>
      </c>
      <c r="B4712" s="40" t="str">
        <f ca="1">IFERROR(INDEX(UNSPSCDes,MATCH(INDIRECT(ADDRESS(ROW(),COLUMN()-1,4)),UNSPSCCode,0)),IF(INDIRECT(ADDRESS(ROW(),COLUMN()-1,4))="49101705","Certificados",""))</f>
        <v>Certificados</v>
      </c>
      <c r="C4712" s="72" t="str">
        <f>IFERROR(VLOOKUP("UD",'Informacion '!P:Q,2,FALSE),"")</f>
        <v>Unidad</v>
      </c>
      <c r="D4712" s="39">
        <v>34</v>
      </c>
      <c r="E4712" s="42">
        <v>498.88</v>
      </c>
      <c r="F4712" s="41">
        <f ca="1">INDIRECT(ADDRESS(ROW(),COLUMN()-2,4))*INDIRECT(ADDRESS(ROW(),COLUMN()-1,4))</f>
        <v>16961.919999999998</v>
      </c>
    </row>
    <row r="4713" spans="1:10" ht="14.25" customHeight="1" x14ac:dyDescent="0.35">
      <c r="E4713" s="44" t="s">
        <v>13122</v>
      </c>
      <c r="F4713" s="45">
        <f ca="1">SUM(Table259[MONTO TOTAL ESTIMADO])</f>
        <v>429961.92</v>
      </c>
      <c r="H4713" s="24" t="str">
        <f>C4704</f>
        <v>Bienes</v>
      </c>
      <c r="I4713" s="24" t="str">
        <f>E4704</f>
        <v>Sí</v>
      </c>
      <c r="J4713" s="24" t="str">
        <f>D4704</f>
        <v>Compras Menores</v>
      </c>
    </row>
    <row r="4715" spans="1:10" ht="34" customHeight="1" x14ac:dyDescent="0.35">
      <c r="A4715" s="36" t="s">
        <v>17105</v>
      </c>
      <c r="B4715" s="36" t="s">
        <v>167</v>
      </c>
      <c r="C4715" s="36" t="s">
        <v>12252</v>
      </c>
      <c r="D4715" s="36" t="s">
        <v>15021</v>
      </c>
      <c r="E4715" s="36" t="s">
        <v>11455</v>
      </c>
      <c r="F4715" s="36" t="s">
        <v>11595</v>
      </c>
    </row>
    <row r="4716" spans="1:10" ht="14.25" customHeight="1" x14ac:dyDescent="0.35">
      <c r="A4716" s="37" t="s">
        <v>13671</v>
      </c>
      <c r="B4716" s="37" t="s">
        <v>13671</v>
      </c>
      <c r="C4716" s="37" t="s">
        <v>18585</v>
      </c>
      <c r="D4716" s="37" t="s">
        <v>10634</v>
      </c>
      <c r="E4716" s="37" t="s">
        <v>9261</v>
      </c>
      <c r="F4716" s="37"/>
    </row>
    <row r="4717" spans="1:10" ht="14.25" customHeight="1" x14ac:dyDescent="0.35">
      <c r="A4717" s="75" t="s">
        <v>15490</v>
      </c>
      <c r="B4717" s="38" t="s">
        <v>8918</v>
      </c>
      <c r="C4717" s="68">
        <v>45334</v>
      </c>
      <c r="D4717" s="75" t="s">
        <v>9819</v>
      </c>
      <c r="E4717" s="70" t="s">
        <v>13683</v>
      </c>
      <c r="F4717" s="71" t="s">
        <v>3205</v>
      </c>
    </row>
    <row r="4718" spans="1:10" ht="14.25" customHeight="1" x14ac:dyDescent="0.35">
      <c r="A4718" s="76"/>
      <c r="B4718" s="38" t="s">
        <v>1858</v>
      </c>
      <c r="C4718" s="69">
        <f>IF(C4717="","",IF(AND(MONTH(C4717)&gt;=1,MONTH(C4717)&lt;=3),1,IF(AND(MONTH(C4717)&gt;=4,MONTH(C4717)&lt;=6),2,IF(AND(MONTH(C4717)&gt;=7,MONTH(C4717)&lt;=9),3,4))))</f>
        <v>1</v>
      </c>
      <c r="D4718" s="76"/>
      <c r="E4718" s="70" t="s">
        <v>2509</v>
      </c>
      <c r="F4718" s="71" t="s">
        <v>11612</v>
      </c>
    </row>
    <row r="4719" spans="1:10" ht="14.25" customHeight="1" x14ac:dyDescent="0.35">
      <c r="A4719" s="76"/>
      <c r="B4719" s="38" t="s">
        <v>13526</v>
      </c>
      <c r="C4719" s="68">
        <v>45379</v>
      </c>
      <c r="D4719" s="76"/>
      <c r="E4719" s="70" t="s">
        <v>3198</v>
      </c>
      <c r="F4719" s="71" t="s">
        <v>11612</v>
      </c>
    </row>
    <row r="4720" spans="1:10" ht="14.25" customHeight="1" x14ac:dyDescent="0.35">
      <c r="A4720" s="76"/>
      <c r="B4720" s="38" t="s">
        <v>1858</v>
      </c>
      <c r="C4720" s="69">
        <f>IF(C4719="","",IF(AND(MONTH(C4719)&gt;=1,MONTH(C4719)&lt;=3),1,IF(AND(MONTH(C4719)&gt;=4,MONTH(C4719)&lt;=6),2,IF(AND(MONTH(C4719)&gt;=7,MONTH(C4719)&lt;=9),3,4))))</f>
        <v>1</v>
      </c>
      <c r="D4720" s="76"/>
      <c r="E4720" s="70" t="s">
        <v>13785</v>
      </c>
      <c r="F4720" s="71"/>
    </row>
    <row r="4722" spans="1:10" ht="14.25" customHeight="1" x14ac:dyDescent="0.35">
      <c r="A4722" s="43" t="s">
        <v>16424</v>
      </c>
      <c r="B4722" s="43" t="s">
        <v>16856</v>
      </c>
      <c r="C4722" s="43" t="s">
        <v>16326</v>
      </c>
      <c r="D4722" s="43" t="s">
        <v>15925</v>
      </c>
      <c r="E4722" s="43" t="s">
        <v>7248</v>
      </c>
      <c r="F4722" s="43" t="s">
        <v>15955</v>
      </c>
    </row>
    <row r="4723" spans="1:10" ht="14.25" customHeight="1" x14ac:dyDescent="0.35">
      <c r="A4723" s="39" t="s">
        <v>18450</v>
      </c>
      <c r="B4723" s="40" t="str">
        <f ca="1">IFERROR(INDEX(UNSPSCDes,MATCH(INDIRECT(ADDRESS(ROW(),COLUMN()-1,4)),UNSPSCCode,0)),IF(INDIRECT(ADDRESS(ROW(),COLUMN()-1,4))="49121505","Cajas de hielo",""))</f>
        <v>Cajas de hielo</v>
      </c>
      <c r="C4723" s="72" t="str">
        <f>IFERROR(VLOOKUP("UD",'Informacion '!P:Q,2,FALSE),"")</f>
        <v>Unidad</v>
      </c>
      <c r="D4723" s="39">
        <v>4</v>
      </c>
      <c r="E4723" s="42">
        <v>4999</v>
      </c>
      <c r="F4723" s="41">
        <f ca="1">INDIRECT(ADDRESS(ROW(),COLUMN()-2,4))*INDIRECT(ADDRESS(ROW(),COLUMN()-1,4))</f>
        <v>19996</v>
      </c>
    </row>
    <row r="4724" spans="1:10" ht="14.25" customHeight="1" x14ac:dyDescent="0.35">
      <c r="A4724" s="39" t="s">
        <v>18450</v>
      </c>
      <c r="B4724" s="40" t="str">
        <f ca="1">IFERROR(INDEX(UNSPSCDes,MATCH(INDIRECT(ADDRESS(ROW(),COLUMN()-1,4)),UNSPSCCode,0)),IF(INDIRECT(ADDRESS(ROW(),COLUMN()-1,4))="49121505","Cajas de hielo",""))</f>
        <v>Cajas de hielo</v>
      </c>
      <c r="C4724" s="72" t="str">
        <f>IFERROR(VLOOKUP("UD",'Informacion '!P:Q,2,FALSE),"")</f>
        <v>Unidad</v>
      </c>
      <c r="D4724" s="39">
        <v>1</v>
      </c>
      <c r="E4724" s="42">
        <v>3481</v>
      </c>
      <c r="F4724" s="41">
        <f ca="1">INDIRECT(ADDRESS(ROW(),COLUMN()-2,4))*INDIRECT(ADDRESS(ROW(),COLUMN()-1,4))</f>
        <v>3481</v>
      </c>
    </row>
    <row r="4725" spans="1:10" ht="14.25" customHeight="1" x14ac:dyDescent="0.35">
      <c r="A4725" s="39" t="s">
        <v>18450</v>
      </c>
      <c r="B4725" s="40" t="str">
        <f ca="1">IFERROR(INDEX(UNSPSCDes,MATCH(INDIRECT(ADDRESS(ROW(),COLUMN()-1,4)),UNSPSCCode,0)),IF(INDIRECT(ADDRESS(ROW(),COLUMN()-1,4))="49121505","Cajas de hielo",""))</f>
        <v>Cajas de hielo</v>
      </c>
      <c r="C4725" s="72" t="str">
        <f>IFERROR(VLOOKUP("UD",'Informacion '!P:Q,2,FALSE),"")</f>
        <v>Unidad</v>
      </c>
      <c r="D4725" s="39">
        <v>4</v>
      </c>
      <c r="E4725" s="42">
        <v>3481</v>
      </c>
      <c r="F4725" s="41">
        <f ca="1">INDIRECT(ADDRESS(ROW(),COLUMN()-2,4))*INDIRECT(ADDRESS(ROW(),COLUMN()-1,4))</f>
        <v>13924</v>
      </c>
    </row>
    <row r="4726" spans="1:10" ht="14.25" customHeight="1" x14ac:dyDescent="0.35">
      <c r="E4726" s="44" t="s">
        <v>13122</v>
      </c>
      <c r="F4726" s="45">
        <f ca="1">SUM(Table260[MONTO TOTAL ESTIMADO])</f>
        <v>37401</v>
      </c>
      <c r="H4726" s="24" t="str">
        <f>C4716</f>
        <v>Bienes</v>
      </c>
      <c r="I4726" s="24" t="str">
        <f>E4716</f>
        <v>Sí</v>
      </c>
      <c r="J4726" s="24" t="str">
        <f>D4716</f>
        <v>Compras por debajo del Umbral</v>
      </c>
    </row>
    <row r="4728" spans="1:10" ht="34" customHeight="1" x14ac:dyDescent="0.35">
      <c r="A4728" s="36" t="s">
        <v>17105</v>
      </c>
      <c r="B4728" s="36" t="s">
        <v>167</v>
      </c>
      <c r="C4728" s="36" t="s">
        <v>12252</v>
      </c>
      <c r="D4728" s="36" t="s">
        <v>15021</v>
      </c>
      <c r="E4728" s="36" t="s">
        <v>11455</v>
      </c>
      <c r="F4728" s="36" t="s">
        <v>11595</v>
      </c>
    </row>
    <row r="4729" spans="1:10" ht="14.25" customHeight="1" x14ac:dyDescent="0.35">
      <c r="A4729" s="37" t="s">
        <v>13671</v>
      </c>
      <c r="B4729" s="37" t="s">
        <v>13671</v>
      </c>
      <c r="C4729" s="37" t="s">
        <v>18585</v>
      </c>
      <c r="D4729" s="37" t="s">
        <v>1950</v>
      </c>
      <c r="E4729" s="37" t="s">
        <v>9261</v>
      </c>
      <c r="F4729" s="37" t="s">
        <v>7088</v>
      </c>
    </row>
    <row r="4730" spans="1:10" ht="14.25" customHeight="1" x14ac:dyDescent="0.35">
      <c r="A4730" s="75" t="s">
        <v>15490</v>
      </c>
      <c r="B4730" s="38" t="s">
        <v>8918</v>
      </c>
      <c r="C4730" s="68">
        <v>45383</v>
      </c>
      <c r="D4730" s="75" t="s">
        <v>9819</v>
      </c>
      <c r="E4730" s="70" t="s">
        <v>13683</v>
      </c>
      <c r="F4730" s="71" t="s">
        <v>3205</v>
      </c>
    </row>
    <row r="4731" spans="1:10" ht="14.25" customHeight="1" x14ac:dyDescent="0.35">
      <c r="A4731" s="76"/>
      <c r="B4731" s="38" t="s">
        <v>1858</v>
      </c>
      <c r="C4731" s="69">
        <f>IF(C4730="","",IF(AND(MONTH(C4730)&gt;=1,MONTH(C4730)&lt;=3),1,IF(AND(MONTH(C4730)&gt;=4,MONTH(C4730)&lt;=6),2,IF(AND(MONTH(C4730)&gt;=7,MONTH(C4730)&lt;=9),3,4))))</f>
        <v>2</v>
      </c>
      <c r="D4731" s="76"/>
      <c r="E4731" s="70" t="s">
        <v>2509</v>
      </c>
      <c r="F4731" s="71" t="s">
        <v>11612</v>
      </c>
    </row>
    <row r="4732" spans="1:10" ht="14.25" customHeight="1" x14ac:dyDescent="0.35">
      <c r="A4732" s="76"/>
      <c r="B4732" s="38" t="s">
        <v>13526</v>
      </c>
      <c r="C4732" s="68">
        <v>45471</v>
      </c>
      <c r="D4732" s="76"/>
      <c r="E4732" s="70" t="s">
        <v>3198</v>
      </c>
      <c r="F4732" s="71" t="s">
        <v>11612</v>
      </c>
    </row>
    <row r="4733" spans="1:10" ht="14.25" customHeight="1" x14ac:dyDescent="0.35">
      <c r="A4733" s="76"/>
      <c r="B4733" s="38" t="s">
        <v>1858</v>
      </c>
      <c r="C4733" s="69">
        <f>IF(C4732="","",IF(AND(MONTH(C4732)&gt;=1,MONTH(C4732)&lt;=3),1,IF(AND(MONTH(C4732)&gt;=4,MONTH(C4732)&lt;=6),2,IF(AND(MONTH(C4732)&gt;=7,MONTH(C4732)&lt;=9),3,4))))</f>
        <v>2</v>
      </c>
      <c r="D4733" s="76"/>
      <c r="E4733" s="70" t="s">
        <v>13785</v>
      </c>
      <c r="F4733" s="71"/>
    </row>
    <row r="4735" spans="1:10" ht="14.25" customHeight="1" x14ac:dyDescent="0.35">
      <c r="A4735" s="43" t="s">
        <v>16424</v>
      </c>
      <c r="B4735" s="43" t="s">
        <v>16856</v>
      </c>
      <c r="C4735" s="43" t="s">
        <v>16326</v>
      </c>
      <c r="D4735" s="43" t="s">
        <v>15925</v>
      </c>
      <c r="E4735" s="43" t="s">
        <v>7248</v>
      </c>
      <c r="F4735" s="43" t="s">
        <v>15955</v>
      </c>
    </row>
    <row r="4736" spans="1:10" ht="14.25" customHeight="1" x14ac:dyDescent="0.35">
      <c r="A4736" s="39" t="s">
        <v>18450</v>
      </c>
      <c r="B4736" s="40" t="str">
        <f ca="1">IFERROR(INDEX(UNSPSCDes,MATCH(INDIRECT(ADDRESS(ROW(),COLUMN()-1,4)),UNSPSCCode,0)),IF(INDIRECT(ADDRESS(ROW(),COLUMN()-1,4))="49121505","Cajas de hielo",""))</f>
        <v>Cajas de hielo</v>
      </c>
      <c r="C4736" s="72" t="str">
        <f>IFERROR(VLOOKUP("UD",'Informacion '!P:Q,2,FALSE),"")</f>
        <v>Unidad</v>
      </c>
      <c r="D4736" s="39">
        <v>1</v>
      </c>
      <c r="E4736" s="42">
        <v>2000</v>
      </c>
      <c r="F4736" s="41">
        <f ca="1">INDIRECT(ADDRESS(ROW(),COLUMN()-2,4))*INDIRECT(ADDRESS(ROW(),COLUMN()-1,4))</f>
        <v>2000</v>
      </c>
    </row>
    <row r="4737" spans="1:10" ht="14.25" customHeight="1" x14ac:dyDescent="0.35">
      <c r="A4737" s="39" t="s">
        <v>18450</v>
      </c>
      <c r="B4737" s="40" t="str">
        <f ca="1">IFERROR(INDEX(UNSPSCDes,MATCH(INDIRECT(ADDRESS(ROW(),COLUMN()-1,4)),UNSPSCCode,0)),IF(INDIRECT(ADDRESS(ROW(),COLUMN()-1,4))="49121505","Cajas de hielo",""))</f>
        <v>Cajas de hielo</v>
      </c>
      <c r="C4737" s="72" t="str">
        <f>IFERROR(VLOOKUP("UD",'Informacion '!P:Q,2,FALSE),"")</f>
        <v>Unidad</v>
      </c>
      <c r="D4737" s="39">
        <v>2</v>
      </c>
      <c r="E4737" s="42">
        <v>3481</v>
      </c>
      <c r="F4737" s="41">
        <f ca="1">INDIRECT(ADDRESS(ROW(),COLUMN()-2,4))*INDIRECT(ADDRESS(ROW(),COLUMN()-1,4))</f>
        <v>6962</v>
      </c>
    </row>
    <row r="4738" spans="1:10" ht="14.25" customHeight="1" x14ac:dyDescent="0.35">
      <c r="A4738" s="39" t="s">
        <v>18450</v>
      </c>
      <c r="B4738" s="40" t="str">
        <f ca="1">IFERROR(INDEX(UNSPSCDes,MATCH(INDIRECT(ADDRESS(ROW(),COLUMN()-1,4)),UNSPSCCode,0)),IF(INDIRECT(ADDRESS(ROW(),COLUMN()-1,4))="49121505","Cajas de hielo",""))</f>
        <v>Cajas de hielo</v>
      </c>
      <c r="C4738" s="72" t="str">
        <f>IFERROR(VLOOKUP("UD",'Informacion '!P:Q,2,FALSE),"")</f>
        <v>Unidad</v>
      </c>
      <c r="D4738" s="39">
        <v>500</v>
      </c>
      <c r="E4738" s="42">
        <v>5200</v>
      </c>
      <c r="F4738" s="41">
        <f ca="1">INDIRECT(ADDRESS(ROW(),COLUMN()-2,4))*INDIRECT(ADDRESS(ROW(),COLUMN()-1,4))</f>
        <v>2600000</v>
      </c>
    </row>
    <row r="4739" spans="1:10" ht="14.25" customHeight="1" x14ac:dyDescent="0.35">
      <c r="E4739" s="44" t="s">
        <v>13122</v>
      </c>
      <c r="F4739" s="45">
        <f ca="1">SUM(Table261[MONTO TOTAL ESTIMADO])</f>
        <v>2608962</v>
      </c>
      <c r="H4739" s="24" t="str">
        <f>C4729</f>
        <v>Bienes</v>
      </c>
      <c r="I4739" s="24" t="str">
        <f>E4729</f>
        <v>Sí</v>
      </c>
      <c r="J4739" s="24" t="str">
        <f>D4729</f>
        <v>Comparacion de Precios</v>
      </c>
    </row>
    <row r="4741" spans="1:10" ht="34" customHeight="1" x14ac:dyDescent="0.35">
      <c r="A4741" s="36" t="s">
        <v>17105</v>
      </c>
      <c r="B4741" s="36" t="s">
        <v>167</v>
      </c>
      <c r="C4741" s="36" t="s">
        <v>12252</v>
      </c>
      <c r="D4741" s="36" t="s">
        <v>15021</v>
      </c>
      <c r="E4741" s="36" t="s">
        <v>11455</v>
      </c>
      <c r="F4741" s="36" t="s">
        <v>11595</v>
      </c>
    </row>
    <row r="4742" spans="1:10" ht="14.25" customHeight="1" x14ac:dyDescent="0.35">
      <c r="A4742" s="37" t="s">
        <v>13671</v>
      </c>
      <c r="B4742" s="37" t="s">
        <v>13671</v>
      </c>
      <c r="C4742" s="37" t="s">
        <v>18585</v>
      </c>
      <c r="D4742" s="37" t="s">
        <v>1950</v>
      </c>
      <c r="E4742" s="37" t="s">
        <v>9261</v>
      </c>
      <c r="F4742" s="37" t="s">
        <v>7088</v>
      </c>
    </row>
    <row r="4743" spans="1:10" ht="14.25" customHeight="1" x14ac:dyDescent="0.35">
      <c r="A4743" s="75" t="s">
        <v>15490</v>
      </c>
      <c r="B4743" s="38" t="s">
        <v>8918</v>
      </c>
      <c r="C4743" s="68">
        <v>45474</v>
      </c>
      <c r="D4743" s="75" t="s">
        <v>9819</v>
      </c>
      <c r="E4743" s="70" t="s">
        <v>13683</v>
      </c>
      <c r="F4743" s="71" t="s">
        <v>3205</v>
      </c>
    </row>
    <row r="4744" spans="1:10" ht="14.25" customHeight="1" x14ac:dyDescent="0.35">
      <c r="A4744" s="76"/>
      <c r="B4744" s="38" t="s">
        <v>1858</v>
      </c>
      <c r="C4744" s="69">
        <f>IF(C4743="","",IF(AND(MONTH(C4743)&gt;=1,MONTH(C4743)&lt;=3),1,IF(AND(MONTH(C4743)&gt;=4,MONTH(C4743)&lt;=6),2,IF(AND(MONTH(C4743)&gt;=7,MONTH(C4743)&lt;=9),3,4))))</f>
        <v>3</v>
      </c>
      <c r="D4744" s="76"/>
      <c r="E4744" s="70" t="s">
        <v>2509</v>
      </c>
      <c r="F4744" s="71" t="s">
        <v>11612</v>
      </c>
    </row>
    <row r="4745" spans="1:10" ht="14.25" customHeight="1" x14ac:dyDescent="0.35">
      <c r="A4745" s="76"/>
      <c r="B4745" s="38" t="s">
        <v>13526</v>
      </c>
      <c r="C4745" s="68">
        <v>45565</v>
      </c>
      <c r="D4745" s="76"/>
      <c r="E4745" s="70" t="s">
        <v>3198</v>
      </c>
      <c r="F4745" s="71" t="s">
        <v>11612</v>
      </c>
    </row>
    <row r="4746" spans="1:10" ht="14.25" customHeight="1" x14ac:dyDescent="0.35">
      <c r="A4746" s="76"/>
      <c r="B4746" s="38" t="s">
        <v>1858</v>
      </c>
      <c r="C4746" s="69">
        <f>IF(C4745="","",IF(AND(MONTH(C4745)&gt;=1,MONTH(C4745)&lt;=3),1,IF(AND(MONTH(C4745)&gt;=4,MONTH(C4745)&lt;=6),2,IF(AND(MONTH(C4745)&gt;=7,MONTH(C4745)&lt;=9),3,4))))</f>
        <v>3</v>
      </c>
      <c r="D4746" s="76"/>
      <c r="E4746" s="70" t="s">
        <v>13785</v>
      </c>
      <c r="F4746" s="71"/>
    </row>
    <row r="4748" spans="1:10" ht="14.25" customHeight="1" x14ac:dyDescent="0.35">
      <c r="A4748" s="43" t="s">
        <v>16424</v>
      </c>
      <c r="B4748" s="43" t="s">
        <v>16856</v>
      </c>
      <c r="C4748" s="43" t="s">
        <v>16326</v>
      </c>
      <c r="D4748" s="43" t="s">
        <v>15925</v>
      </c>
      <c r="E4748" s="43" t="s">
        <v>7248</v>
      </c>
      <c r="F4748" s="43" t="s">
        <v>15955</v>
      </c>
    </row>
    <row r="4749" spans="1:10" ht="14.25" customHeight="1" x14ac:dyDescent="0.35">
      <c r="A4749" s="39" t="s">
        <v>18450</v>
      </c>
      <c r="B4749" s="40" t="str">
        <f ca="1">IFERROR(INDEX(UNSPSCDes,MATCH(INDIRECT(ADDRESS(ROW(),COLUMN()-1,4)),UNSPSCCode,0)),IF(INDIRECT(ADDRESS(ROW(),COLUMN()-1,4))="49121505","Cajas de hielo",""))</f>
        <v>Cajas de hielo</v>
      </c>
      <c r="C4749" s="72" t="str">
        <f>IFERROR(VLOOKUP("UD",'Informacion '!P:Q,2,FALSE),"")</f>
        <v>Unidad</v>
      </c>
      <c r="D4749" s="39">
        <v>1</v>
      </c>
      <c r="E4749" s="42">
        <v>3481</v>
      </c>
      <c r="F4749" s="41">
        <f ca="1">INDIRECT(ADDRESS(ROW(),COLUMN()-2,4))*INDIRECT(ADDRESS(ROW(),COLUMN()-1,4))</f>
        <v>3481</v>
      </c>
    </row>
    <row r="4750" spans="1:10" ht="14.25" customHeight="1" x14ac:dyDescent="0.35">
      <c r="A4750" s="39" t="s">
        <v>18450</v>
      </c>
      <c r="B4750" s="40" t="str">
        <f ca="1">IFERROR(INDEX(UNSPSCDes,MATCH(INDIRECT(ADDRESS(ROW(),COLUMN()-1,4)),UNSPSCCode,0)),IF(INDIRECT(ADDRESS(ROW(),COLUMN()-1,4))="49121505","Cajas de hielo",""))</f>
        <v>Cajas de hielo</v>
      </c>
      <c r="C4750" s="72" t="str">
        <f>IFERROR(VLOOKUP("UD",'Informacion '!P:Q,2,FALSE),"")</f>
        <v>Unidad</v>
      </c>
      <c r="D4750" s="39">
        <v>250</v>
      </c>
      <c r="E4750" s="42">
        <v>5200</v>
      </c>
      <c r="F4750" s="41">
        <f ca="1">INDIRECT(ADDRESS(ROW(),COLUMN()-2,4))*INDIRECT(ADDRESS(ROW(),COLUMN()-1,4))</f>
        <v>1300000</v>
      </c>
    </row>
    <row r="4751" spans="1:10" ht="14.25" customHeight="1" x14ac:dyDescent="0.35">
      <c r="E4751" s="44" t="s">
        <v>13122</v>
      </c>
      <c r="F4751" s="45">
        <f ca="1">SUM(Table262[MONTO TOTAL ESTIMADO])</f>
        <v>1303481</v>
      </c>
      <c r="H4751" s="24" t="str">
        <f>C4742</f>
        <v>Bienes</v>
      </c>
      <c r="I4751" s="24" t="str">
        <f>E4742</f>
        <v>Sí</v>
      </c>
      <c r="J4751" s="24" t="str">
        <f>D4742</f>
        <v>Comparacion de Precios</v>
      </c>
    </row>
    <row r="4753" spans="1:10" ht="34" customHeight="1" x14ac:dyDescent="0.35">
      <c r="A4753" s="36" t="s">
        <v>17105</v>
      </c>
      <c r="B4753" s="36" t="s">
        <v>167</v>
      </c>
      <c r="C4753" s="36" t="s">
        <v>12252</v>
      </c>
      <c r="D4753" s="36" t="s">
        <v>15021</v>
      </c>
      <c r="E4753" s="36" t="s">
        <v>11455</v>
      </c>
      <c r="F4753" s="36" t="s">
        <v>11595</v>
      </c>
    </row>
    <row r="4754" spans="1:10" ht="14.25" customHeight="1" x14ac:dyDescent="0.35">
      <c r="A4754" s="37" t="s">
        <v>13671</v>
      </c>
      <c r="B4754" s="37" t="s">
        <v>13671</v>
      </c>
      <c r="C4754" s="37" t="s">
        <v>18585</v>
      </c>
      <c r="D4754" s="37" t="s">
        <v>10634</v>
      </c>
      <c r="E4754" s="37" t="s">
        <v>9261</v>
      </c>
      <c r="F4754" s="37" t="s">
        <v>7088</v>
      </c>
    </row>
    <row r="4755" spans="1:10" ht="14.25" customHeight="1" x14ac:dyDescent="0.35">
      <c r="A4755" s="75" t="s">
        <v>15490</v>
      </c>
      <c r="B4755" s="38" t="s">
        <v>8918</v>
      </c>
      <c r="C4755" s="68">
        <v>45566</v>
      </c>
      <c r="D4755" s="75" t="s">
        <v>9819</v>
      </c>
      <c r="E4755" s="70" t="s">
        <v>13683</v>
      </c>
      <c r="F4755" s="71" t="s">
        <v>3205</v>
      </c>
    </row>
    <row r="4756" spans="1:10" ht="14.25" customHeight="1" x14ac:dyDescent="0.35">
      <c r="A4756" s="76"/>
      <c r="B4756" s="38" t="s">
        <v>1858</v>
      </c>
      <c r="C4756" s="69">
        <f>IF(C4755="","",IF(AND(MONTH(C4755)&gt;=1,MONTH(C4755)&lt;=3),1,IF(AND(MONTH(C4755)&gt;=4,MONTH(C4755)&lt;=6),2,IF(AND(MONTH(C4755)&gt;=7,MONTH(C4755)&lt;=9),3,4))))</f>
        <v>4</v>
      </c>
      <c r="D4756" s="76"/>
      <c r="E4756" s="70" t="s">
        <v>2509</v>
      </c>
      <c r="F4756" s="71" t="s">
        <v>11612</v>
      </c>
    </row>
    <row r="4757" spans="1:10" ht="14.25" customHeight="1" x14ac:dyDescent="0.35">
      <c r="A4757" s="76"/>
      <c r="B4757" s="38" t="s">
        <v>13526</v>
      </c>
      <c r="C4757" s="68">
        <v>45657</v>
      </c>
      <c r="D4757" s="76"/>
      <c r="E4757" s="70" t="s">
        <v>3198</v>
      </c>
      <c r="F4757" s="71" t="s">
        <v>11612</v>
      </c>
    </row>
    <row r="4758" spans="1:10" ht="14.25" customHeight="1" x14ac:dyDescent="0.35">
      <c r="A4758" s="76"/>
      <c r="B4758" s="38" t="s">
        <v>1858</v>
      </c>
      <c r="C4758" s="69">
        <f>IF(C4757="","",IF(AND(MONTH(C4757)&gt;=1,MONTH(C4757)&lt;=3),1,IF(AND(MONTH(C4757)&gt;=4,MONTH(C4757)&lt;=6),2,IF(AND(MONTH(C4757)&gt;=7,MONTH(C4757)&lt;=9),3,4))))</f>
        <v>4</v>
      </c>
      <c r="D4758" s="76"/>
      <c r="E4758" s="70" t="s">
        <v>13785</v>
      </c>
      <c r="F4758" s="71"/>
    </row>
    <row r="4760" spans="1:10" ht="14.25" customHeight="1" x14ac:dyDescent="0.35">
      <c r="A4760" s="43" t="s">
        <v>16424</v>
      </c>
      <c r="B4760" s="43" t="s">
        <v>16856</v>
      </c>
      <c r="C4760" s="43" t="s">
        <v>16326</v>
      </c>
      <c r="D4760" s="43" t="s">
        <v>15925</v>
      </c>
      <c r="E4760" s="43" t="s">
        <v>7248</v>
      </c>
      <c r="F4760" s="43" t="s">
        <v>15955</v>
      </c>
    </row>
    <row r="4761" spans="1:10" ht="14.25" customHeight="1" x14ac:dyDescent="0.35">
      <c r="A4761" s="39" t="s">
        <v>18450</v>
      </c>
      <c r="B4761" s="40" t="str">
        <f ca="1">IFERROR(INDEX(UNSPSCDes,MATCH(INDIRECT(ADDRESS(ROW(),COLUMN()-1,4)),UNSPSCCode,0)),IF(INDIRECT(ADDRESS(ROW(),COLUMN()-1,4))="49121505","Cajas de hielo",""))</f>
        <v>Cajas de hielo</v>
      </c>
      <c r="C4761" s="72" t="str">
        <f>IFERROR(VLOOKUP("UD",'Informacion '!P:Q,2,FALSE),"")</f>
        <v>Unidad</v>
      </c>
      <c r="D4761" s="39">
        <v>2</v>
      </c>
      <c r="E4761" s="42">
        <v>3481</v>
      </c>
      <c r="F4761" s="41">
        <f ca="1">INDIRECT(ADDRESS(ROW(),COLUMN()-2,4))*INDIRECT(ADDRESS(ROW(),COLUMN()-1,4))</f>
        <v>6962</v>
      </c>
    </row>
    <row r="4762" spans="1:10" ht="14.25" customHeight="1" x14ac:dyDescent="0.35">
      <c r="E4762" s="44" t="s">
        <v>13122</v>
      </c>
      <c r="F4762" s="45">
        <f ca="1">SUM(Table263[MONTO TOTAL ESTIMADO])</f>
        <v>6962</v>
      </c>
      <c r="H4762" s="24" t="str">
        <f>C4754</f>
        <v>Bienes</v>
      </c>
      <c r="I4762" s="24" t="str">
        <f>E4754</f>
        <v>Sí</v>
      </c>
      <c r="J4762" s="24" t="str">
        <f>D4754</f>
        <v>Compras por debajo del Umbral</v>
      </c>
    </row>
    <row r="4764" spans="1:10" ht="34" customHeight="1" x14ac:dyDescent="0.35">
      <c r="A4764" s="36" t="s">
        <v>17105</v>
      </c>
      <c r="B4764" s="36" t="s">
        <v>167</v>
      </c>
      <c r="C4764" s="36" t="s">
        <v>12252</v>
      </c>
      <c r="D4764" s="36" t="s">
        <v>15021</v>
      </c>
      <c r="E4764" s="36" t="s">
        <v>11455</v>
      </c>
      <c r="F4764" s="36" t="s">
        <v>11595</v>
      </c>
    </row>
    <row r="4765" spans="1:10" ht="14.25" customHeight="1" x14ac:dyDescent="0.35">
      <c r="A4765" s="37" t="s">
        <v>17711</v>
      </c>
      <c r="B4765" s="37" t="s">
        <v>17711</v>
      </c>
      <c r="C4765" s="37" t="s">
        <v>18585</v>
      </c>
      <c r="D4765" s="37" t="s">
        <v>18256</v>
      </c>
      <c r="E4765" s="37" t="s">
        <v>9261</v>
      </c>
      <c r="F4765" s="37"/>
    </row>
    <row r="4766" spans="1:10" ht="14.25" customHeight="1" x14ac:dyDescent="0.35">
      <c r="A4766" s="75" t="s">
        <v>15490</v>
      </c>
      <c r="B4766" s="38" t="s">
        <v>8918</v>
      </c>
      <c r="C4766" s="68">
        <v>45334</v>
      </c>
      <c r="D4766" s="75" t="s">
        <v>9819</v>
      </c>
      <c r="E4766" s="70" t="s">
        <v>13683</v>
      </c>
      <c r="F4766" s="71" t="s">
        <v>3205</v>
      </c>
    </row>
    <row r="4767" spans="1:10" ht="14.25" customHeight="1" x14ac:dyDescent="0.35">
      <c r="A4767" s="76"/>
      <c r="B4767" s="38" t="s">
        <v>1858</v>
      </c>
      <c r="C4767" s="69">
        <f>IF(C4766="","",IF(AND(MONTH(C4766)&gt;=1,MONTH(C4766)&lt;=3),1,IF(AND(MONTH(C4766)&gt;=4,MONTH(C4766)&lt;=6),2,IF(AND(MONTH(C4766)&gt;=7,MONTH(C4766)&lt;=9),3,4))))</f>
        <v>1</v>
      </c>
      <c r="D4767" s="76"/>
      <c r="E4767" s="70" t="s">
        <v>2509</v>
      </c>
      <c r="F4767" s="71" t="s">
        <v>11612</v>
      </c>
    </row>
    <row r="4768" spans="1:10" ht="14.25" customHeight="1" x14ac:dyDescent="0.35">
      <c r="A4768" s="76"/>
      <c r="B4768" s="38" t="s">
        <v>13526</v>
      </c>
      <c r="C4768" s="68">
        <v>45379</v>
      </c>
      <c r="D4768" s="76"/>
      <c r="E4768" s="70" t="s">
        <v>3198</v>
      </c>
      <c r="F4768" s="71" t="s">
        <v>11612</v>
      </c>
    </row>
    <row r="4769" spans="1:6" ht="14.25" customHeight="1" x14ac:dyDescent="0.35">
      <c r="A4769" s="76"/>
      <c r="B4769" s="38" t="s">
        <v>1858</v>
      </c>
      <c r="C4769" s="69">
        <f>IF(C4768="","",IF(AND(MONTH(C4768)&gt;=1,MONTH(C4768)&lt;=3),1,IF(AND(MONTH(C4768)&gt;=4,MONTH(C4768)&lt;=6),2,IF(AND(MONTH(C4768)&gt;=7,MONTH(C4768)&lt;=9),3,4))))</f>
        <v>1</v>
      </c>
      <c r="D4769" s="76"/>
      <c r="E4769" s="70" t="s">
        <v>13785</v>
      </c>
      <c r="F4769" s="71"/>
    </row>
    <row r="4771" spans="1:6" ht="14.25" customHeight="1" x14ac:dyDescent="0.35">
      <c r="A4771" s="43" t="s">
        <v>16424</v>
      </c>
      <c r="B4771" s="43" t="s">
        <v>16856</v>
      </c>
      <c r="C4771" s="43" t="s">
        <v>16326</v>
      </c>
      <c r="D4771" s="43" t="s">
        <v>15925</v>
      </c>
      <c r="E4771" s="43" t="s">
        <v>7248</v>
      </c>
      <c r="F4771" s="43" t="s">
        <v>15955</v>
      </c>
    </row>
    <row r="4772" spans="1:6" ht="14.25" customHeight="1" x14ac:dyDescent="0.35">
      <c r="A4772" s="39" t="s">
        <v>6602</v>
      </c>
      <c r="B4772" s="40" t="str">
        <f ca="1">IFERROR(INDEX(UNSPSCDes,MATCH(INDIRECT(ADDRESS(ROW(),COLUMN()-1,4)),UNSPSCCode,0)),IF(INDIRECT(ADDRESS(ROW(),COLUMN()-1,4))="49161503","Pelotas de beisbol",""))</f>
        <v>Pelotas de beisbol</v>
      </c>
      <c r="C4772" s="72" t="str">
        <f>IFERROR(VLOOKUP("UD",'Informacion '!P:Q,2,FALSE),"")</f>
        <v>Unidad</v>
      </c>
      <c r="D4772" s="39">
        <v>360</v>
      </c>
      <c r="E4772" s="42">
        <v>348.1</v>
      </c>
      <c r="F4772" s="41">
        <f t="shared" ref="F4772:F4784" ca="1" si="169">INDIRECT(ADDRESS(ROW(),COLUMN()-2,4))*INDIRECT(ADDRESS(ROW(),COLUMN()-1,4))</f>
        <v>125316.00000000001</v>
      </c>
    </row>
    <row r="4773" spans="1:6" ht="14.25" customHeight="1" x14ac:dyDescent="0.35">
      <c r="A4773" s="39" t="s">
        <v>3264</v>
      </c>
      <c r="B4773" s="40" t="str">
        <f ca="1">IFERROR(INDEX(UNSPSCDes,MATCH(INDIRECT(ADDRESS(ROW(),COLUMN()-1,4)),UNSPSCCode,0)),IF(INDIRECT(ADDRESS(ROW(),COLUMN()-1,4))="49161504","Balones de futbol",""))</f>
        <v>Balones de futbol</v>
      </c>
      <c r="C4773" s="72" t="str">
        <f>IFERROR(VLOOKUP("UD",'Informacion '!P:Q,2,FALSE),"")</f>
        <v>Unidad</v>
      </c>
      <c r="D4773" s="39">
        <v>5</v>
      </c>
      <c r="E4773" s="42">
        <v>1345.17</v>
      </c>
      <c r="F4773" s="41">
        <f t="shared" ca="1" si="169"/>
        <v>6725.85</v>
      </c>
    </row>
    <row r="4774" spans="1:6" ht="14.25" customHeight="1" x14ac:dyDescent="0.35">
      <c r="A4774" s="39" t="s">
        <v>4322</v>
      </c>
      <c r="B4774" s="40" t="str">
        <f ca="1">IFERROR(INDEX(UNSPSCDes,MATCH(INDIRECT(ADDRESS(ROW(),COLUMN()-1,4)),UNSPSCCode,0)),IF(INDIRECT(ADDRESS(ROW(),COLUMN()-1,4))="49161506","Bates de beisbol",""))</f>
        <v>Bates de beisbol</v>
      </c>
      <c r="C4774" s="72" t="str">
        <f>IFERROR(VLOOKUP("UD",'Informacion '!P:Q,2,FALSE),"")</f>
        <v>Unidad</v>
      </c>
      <c r="D4774" s="39">
        <v>2</v>
      </c>
      <c r="E4774" s="42">
        <v>4489.67</v>
      </c>
      <c r="F4774" s="41">
        <f t="shared" ca="1" si="169"/>
        <v>8979.34</v>
      </c>
    </row>
    <row r="4775" spans="1:6" ht="14.25" customHeight="1" x14ac:dyDescent="0.35">
      <c r="A4775" s="39" t="s">
        <v>4322</v>
      </c>
      <c r="B4775" s="40" t="str">
        <f ca="1">IFERROR(INDEX(UNSPSCDes,MATCH(INDIRECT(ADDRESS(ROW(),COLUMN()-1,4)),UNSPSCCode,0)),IF(INDIRECT(ADDRESS(ROW(),COLUMN()-1,4))="49161506","Bates de beisbol",""))</f>
        <v>Bates de beisbol</v>
      </c>
      <c r="C4775" s="72" t="str">
        <f>IFERROR(VLOOKUP("UD",'Informacion '!P:Q,2,FALSE),"")</f>
        <v>Unidad</v>
      </c>
      <c r="D4775" s="39">
        <v>2</v>
      </c>
      <c r="E4775" s="42">
        <v>14999</v>
      </c>
      <c r="F4775" s="41">
        <f t="shared" ca="1" si="169"/>
        <v>29998</v>
      </c>
    </row>
    <row r="4776" spans="1:6" ht="14.25" customHeight="1" x14ac:dyDescent="0.35">
      <c r="A4776" s="39" t="s">
        <v>14435</v>
      </c>
      <c r="B4776" s="40" t="str">
        <f ca="1">IFERROR(INDEX(UNSPSCDes,MATCH(INDIRECT(ADDRESS(ROW(),COLUMN()-1,4)),UNSPSCCode,0)),IF(INDIRECT(ADDRESS(ROW(),COLUMN()-1,4))="49161507","Bases de beisbol",""))</f>
        <v>Bases de beisbol</v>
      </c>
      <c r="C4776" s="72" t="str">
        <f>IFERROR(VLOOKUP("UD",'Informacion '!P:Q,2,FALSE),"")</f>
        <v>Unidad</v>
      </c>
      <c r="D4776" s="39">
        <v>1</v>
      </c>
      <c r="E4776" s="42">
        <v>2419</v>
      </c>
      <c r="F4776" s="41">
        <f t="shared" ca="1" si="169"/>
        <v>2419</v>
      </c>
    </row>
    <row r="4777" spans="1:6" ht="14.25" customHeight="1" x14ac:dyDescent="0.35">
      <c r="A4777" s="39" t="s">
        <v>9290</v>
      </c>
      <c r="B4777" s="40" t="str">
        <f ca="1">IFERROR(INDEX(UNSPSCDes,MATCH(INDIRECT(ADDRESS(ROW(),COLUMN()-1,4)),UNSPSCCode,0)),IF(INDIRECT(ADDRESS(ROW(),COLUMN()-1,4))="49161509","Balones de softbol",""))</f>
        <v>Balones de softbol</v>
      </c>
      <c r="C4777" s="72" t="str">
        <f>IFERROR(VLOOKUP("UD",'Informacion '!P:Q,2,FALSE),"")</f>
        <v>Unidad</v>
      </c>
      <c r="D4777" s="39">
        <v>600</v>
      </c>
      <c r="E4777" s="42">
        <v>285</v>
      </c>
      <c r="F4777" s="41">
        <f t="shared" ca="1" si="169"/>
        <v>171000</v>
      </c>
    </row>
    <row r="4778" spans="1:6" ht="14.25" customHeight="1" x14ac:dyDescent="0.35">
      <c r="A4778" s="39" t="s">
        <v>744</v>
      </c>
      <c r="B4778" s="40" t="str">
        <f ca="1">IFERROR(INDEX(UNSPSCDes,MATCH(INDIRECT(ADDRESS(ROW(),COLUMN()-1,4)),UNSPSCCode,0)),IF(INDIRECT(ADDRESS(ROW(),COLUMN()-1,4))="49161517","Equipo protector para beisbol o softbol",""))</f>
        <v>Equipo protector para beisbol o softbol</v>
      </c>
      <c r="C4778" s="72" t="str">
        <f>IFERROR(VLOOKUP("UD",'Informacion '!P:Q,2,FALSE),"")</f>
        <v>Unidad</v>
      </c>
      <c r="D4778" s="39">
        <v>2</v>
      </c>
      <c r="E4778" s="42">
        <v>22500</v>
      </c>
      <c r="F4778" s="41">
        <f t="shared" ca="1" si="169"/>
        <v>45000</v>
      </c>
    </row>
    <row r="4779" spans="1:6" ht="14.25" customHeight="1" x14ac:dyDescent="0.35">
      <c r="A4779" s="39" t="s">
        <v>17546</v>
      </c>
      <c r="B4779" s="40" t="str">
        <f ca="1">IFERROR(INDEX(UNSPSCDes,MATCH(INDIRECT(ADDRESS(ROW(),COLUMN()-1,4)),UNSPSCCode,0)),IF(INDIRECT(ADDRESS(ROW(),COLUMN()-1,4))="49161603","Pelotas de básquetbol",""))</f>
        <v>Pelotas de básquetbol</v>
      </c>
      <c r="C4779" s="72" t="str">
        <f>IFERROR(VLOOKUP("UD",'Informacion '!P:Q,2,FALSE),"")</f>
        <v>Unidad</v>
      </c>
      <c r="D4779" s="39">
        <v>10</v>
      </c>
      <c r="E4779" s="42">
        <v>2449.75</v>
      </c>
      <c r="F4779" s="41">
        <f t="shared" ca="1" si="169"/>
        <v>24497.5</v>
      </c>
    </row>
    <row r="4780" spans="1:6" ht="14.25" customHeight="1" x14ac:dyDescent="0.35">
      <c r="A4780" s="39" t="s">
        <v>17546</v>
      </c>
      <c r="B4780" s="40" t="str">
        <f ca="1">IFERROR(INDEX(UNSPSCDes,MATCH(INDIRECT(ADDRESS(ROW(),COLUMN()-1,4)),UNSPSCCode,0)),IF(INDIRECT(ADDRESS(ROW(),COLUMN()-1,4))="49161603","Pelotas de básquetbol",""))</f>
        <v>Pelotas de básquetbol</v>
      </c>
      <c r="C4780" s="72" t="str">
        <f>IFERROR(VLOOKUP("UD",'Informacion '!P:Q,2,FALSE),"")</f>
        <v>Unidad</v>
      </c>
      <c r="D4780" s="39">
        <v>10</v>
      </c>
      <c r="E4780" s="42">
        <v>781.16</v>
      </c>
      <c r="F4780" s="41">
        <f t="shared" ca="1" si="169"/>
        <v>7811.5999999999995</v>
      </c>
    </row>
    <row r="4781" spans="1:6" ht="14.25" customHeight="1" x14ac:dyDescent="0.35">
      <c r="A4781" s="39" t="s">
        <v>6515</v>
      </c>
      <c r="B4781" s="40" t="str">
        <f ca="1">IFERROR(INDEX(UNSPSCDes,MATCH(INDIRECT(ADDRESS(ROW(),COLUMN()-1,4)),UNSPSCCode,0)),IF(INDIRECT(ADDRESS(ROW(),COLUMN()-1,4))="49161604","Pelotas de tenis",""))</f>
        <v>Pelotas de tenis</v>
      </c>
      <c r="C4781" s="72" t="str">
        <f>IFERROR(VLOOKUP("UD",'Informacion '!P:Q,2,FALSE),"")</f>
        <v>Unidad</v>
      </c>
      <c r="D4781" s="39">
        <v>50</v>
      </c>
      <c r="E4781" s="42">
        <v>53.2</v>
      </c>
      <c r="F4781" s="41">
        <f t="shared" ca="1" si="169"/>
        <v>2660</v>
      </c>
    </row>
    <row r="4782" spans="1:6" ht="14.25" customHeight="1" x14ac:dyDescent="0.35">
      <c r="A4782" s="39" t="s">
        <v>8629</v>
      </c>
      <c r="B4782" s="40" t="str">
        <f ca="1">IFERROR(INDEX(UNSPSCDes,MATCH(INDIRECT(ADDRESS(ROW(),COLUMN()-1,4)),UNSPSCCode,0)),IF(INDIRECT(ADDRESS(ROW(),COLUMN()-1,4))="49161607","Raquetas de tenis",""))</f>
        <v>Raquetas de tenis</v>
      </c>
      <c r="C4782" s="72" t="str">
        <f>IFERROR(VLOOKUP("UD",'Informacion '!P:Q,2,FALSE),"")</f>
        <v>Unidad</v>
      </c>
      <c r="D4782" s="39">
        <v>2</v>
      </c>
      <c r="E4782" s="42">
        <v>525.08000000000004</v>
      </c>
      <c r="F4782" s="41">
        <f t="shared" ca="1" si="169"/>
        <v>1050.1600000000001</v>
      </c>
    </row>
    <row r="4783" spans="1:6" ht="14.25" customHeight="1" x14ac:dyDescent="0.35">
      <c r="A4783" s="39" t="s">
        <v>449</v>
      </c>
      <c r="B4783" s="40" t="str">
        <f ca="1">IFERROR(INDEX(UNSPSCDes,MATCH(INDIRECT(ADDRESS(ROW(),COLUMN()-1,4)),UNSPSCCode,0)),IF(INDIRECT(ADDRESS(ROW(),COLUMN()-1,4))="49161608","Balones de voleibol",""))</f>
        <v>Balones de voleibol</v>
      </c>
      <c r="C4783" s="72" t="str">
        <f>IFERROR(VLOOKUP("UD",'Informacion '!P:Q,2,FALSE),"")</f>
        <v>Unidad</v>
      </c>
      <c r="D4783" s="39">
        <v>10</v>
      </c>
      <c r="E4783" s="42">
        <v>1103.17</v>
      </c>
      <c r="F4783" s="41">
        <f t="shared" ca="1" si="169"/>
        <v>11031.7</v>
      </c>
    </row>
    <row r="4784" spans="1:6" ht="14.25" customHeight="1" x14ac:dyDescent="0.35">
      <c r="A4784" s="39" t="s">
        <v>17070</v>
      </c>
      <c r="B4784" s="40" t="str">
        <f ca="1">IFERROR(INDEX(UNSPSCDes,MATCH(INDIRECT(ADDRESS(ROW(),COLUMN()-1,4)),UNSPSCCode,0)),IF(INDIRECT(ADDRESS(ROW(),COLUMN()-1,4))="49161612","Equipo de cancha de tenis",""))</f>
        <v>Equipo de cancha de tenis</v>
      </c>
      <c r="C4784" s="72" t="str">
        <f>IFERROR(VLOOKUP("UD",'Informacion '!P:Q,2,FALSE),"")</f>
        <v>Unidad</v>
      </c>
      <c r="D4784" s="39">
        <v>2</v>
      </c>
      <c r="E4784" s="42">
        <v>1227.2</v>
      </c>
      <c r="F4784" s="41">
        <f t="shared" ca="1" si="169"/>
        <v>2454.4</v>
      </c>
    </row>
    <row r="4785" spans="1:10" ht="14.25" customHeight="1" x14ac:dyDescent="0.35">
      <c r="E4785" s="44" t="s">
        <v>13122</v>
      </c>
      <c r="F4785" s="45">
        <f ca="1">SUM(Table264[MONTO TOTAL ESTIMADO])</f>
        <v>438943.55</v>
      </c>
      <c r="H4785" s="24" t="str">
        <f>C4765</f>
        <v>Bienes</v>
      </c>
      <c r="I4785" s="24" t="str">
        <f>E4765</f>
        <v>Sí</v>
      </c>
      <c r="J4785" s="24" t="str">
        <f>D4765</f>
        <v>Compras Menores</v>
      </c>
    </row>
    <row r="4787" spans="1:10" ht="34" customHeight="1" x14ac:dyDescent="0.35">
      <c r="A4787" s="36" t="s">
        <v>17105</v>
      </c>
      <c r="B4787" s="36" t="s">
        <v>167</v>
      </c>
      <c r="C4787" s="36" t="s">
        <v>12252</v>
      </c>
      <c r="D4787" s="36" t="s">
        <v>15021</v>
      </c>
      <c r="E4787" s="36" t="s">
        <v>11455</v>
      </c>
      <c r="F4787" s="36" t="s">
        <v>11595</v>
      </c>
    </row>
    <row r="4788" spans="1:10" ht="14.25" customHeight="1" x14ac:dyDescent="0.35">
      <c r="A4788" s="37" t="s">
        <v>17711</v>
      </c>
      <c r="B4788" s="37" t="s">
        <v>17711</v>
      </c>
      <c r="C4788" s="37" t="s">
        <v>18585</v>
      </c>
      <c r="D4788" s="37" t="s">
        <v>10634</v>
      </c>
      <c r="E4788" s="37" t="s">
        <v>9261</v>
      </c>
      <c r="F4788" s="37" t="s">
        <v>7088</v>
      </c>
    </row>
    <row r="4789" spans="1:10" ht="14.25" customHeight="1" x14ac:dyDescent="0.35">
      <c r="A4789" s="75" t="s">
        <v>15490</v>
      </c>
      <c r="B4789" s="38" t="s">
        <v>8918</v>
      </c>
      <c r="C4789" s="68">
        <v>45474</v>
      </c>
      <c r="D4789" s="75" t="s">
        <v>9819</v>
      </c>
      <c r="E4789" s="70" t="s">
        <v>13683</v>
      </c>
      <c r="F4789" s="71" t="s">
        <v>3205</v>
      </c>
    </row>
    <row r="4790" spans="1:10" ht="14.25" customHeight="1" x14ac:dyDescent="0.35">
      <c r="A4790" s="76"/>
      <c r="B4790" s="38" t="s">
        <v>1858</v>
      </c>
      <c r="C4790" s="69">
        <f>IF(C4789="","",IF(AND(MONTH(C4789)&gt;=1,MONTH(C4789)&lt;=3),1,IF(AND(MONTH(C4789)&gt;=4,MONTH(C4789)&lt;=6),2,IF(AND(MONTH(C4789)&gt;=7,MONTH(C4789)&lt;=9),3,4))))</f>
        <v>3</v>
      </c>
      <c r="D4790" s="76"/>
      <c r="E4790" s="70" t="s">
        <v>2509</v>
      </c>
      <c r="F4790" s="71" t="s">
        <v>11612</v>
      </c>
    </row>
    <row r="4791" spans="1:10" ht="14.25" customHeight="1" x14ac:dyDescent="0.35">
      <c r="A4791" s="76"/>
      <c r="B4791" s="38" t="s">
        <v>13526</v>
      </c>
      <c r="C4791" s="68">
        <v>45565</v>
      </c>
      <c r="D4791" s="76"/>
      <c r="E4791" s="70" t="s">
        <v>3198</v>
      </c>
      <c r="F4791" s="71" t="s">
        <v>11612</v>
      </c>
    </row>
    <row r="4792" spans="1:10" ht="14.25" customHeight="1" x14ac:dyDescent="0.35">
      <c r="A4792" s="76"/>
      <c r="B4792" s="38" t="s">
        <v>1858</v>
      </c>
      <c r="C4792" s="69">
        <f>IF(C4791="","",IF(AND(MONTH(C4791)&gt;=1,MONTH(C4791)&lt;=3),1,IF(AND(MONTH(C4791)&gt;=4,MONTH(C4791)&lt;=6),2,IF(AND(MONTH(C4791)&gt;=7,MONTH(C4791)&lt;=9),3,4))))</f>
        <v>3</v>
      </c>
      <c r="D4792" s="76"/>
      <c r="E4792" s="70" t="s">
        <v>13785</v>
      </c>
      <c r="F4792" s="71"/>
    </row>
    <row r="4794" spans="1:10" ht="14.25" customHeight="1" x14ac:dyDescent="0.35">
      <c r="A4794" s="43" t="s">
        <v>16424</v>
      </c>
      <c r="B4794" s="43" t="s">
        <v>16856</v>
      </c>
      <c r="C4794" s="43" t="s">
        <v>16326</v>
      </c>
      <c r="D4794" s="43" t="s">
        <v>15925</v>
      </c>
      <c r="E4794" s="43" t="s">
        <v>7248</v>
      </c>
      <c r="F4794" s="43" t="s">
        <v>15955</v>
      </c>
    </row>
    <row r="4795" spans="1:10" ht="14.25" customHeight="1" x14ac:dyDescent="0.35">
      <c r="A4795" s="39" t="s">
        <v>3546</v>
      </c>
      <c r="B4795" s="40" t="str">
        <f ca="1">IFERROR(INDEX(UNSPSCDes,MATCH(INDIRECT(ADDRESS(ROW(),COLUMN()-1,4)),UNSPSCCode,0)),IF(INDIRECT(ADDRESS(ROW(),COLUMN()-1,4))="49161520","Bates de softbol",""))</f>
        <v>Bates de softbol</v>
      </c>
      <c r="C4795" s="72" t="str">
        <f>IFERROR(VLOOKUP("UD",'Informacion '!P:Q,2,FALSE),"")</f>
        <v>Unidad</v>
      </c>
      <c r="D4795" s="39">
        <v>24</v>
      </c>
      <c r="E4795" s="42">
        <v>205.88</v>
      </c>
      <c r="F4795" s="41">
        <f ca="1">INDIRECT(ADDRESS(ROW(),COLUMN()-2,4))*INDIRECT(ADDRESS(ROW(),COLUMN()-1,4))</f>
        <v>4941.12</v>
      </c>
    </row>
    <row r="4796" spans="1:10" ht="14.25" customHeight="1" x14ac:dyDescent="0.35">
      <c r="E4796" s="44" t="s">
        <v>13122</v>
      </c>
      <c r="F4796" s="45">
        <f ca="1">SUM(Table265[MONTO TOTAL ESTIMADO])</f>
        <v>4941.12</v>
      </c>
      <c r="H4796" s="24" t="str">
        <f>C4788</f>
        <v>Bienes</v>
      </c>
      <c r="I4796" s="24" t="str">
        <f>E4788</f>
        <v>Sí</v>
      </c>
      <c r="J4796" s="24" t="str">
        <f>D4788</f>
        <v>Compras por debajo del Umbral</v>
      </c>
    </row>
    <row r="4798" spans="1:10" ht="34" customHeight="1" x14ac:dyDescent="0.35">
      <c r="A4798" s="36" t="s">
        <v>17105</v>
      </c>
      <c r="B4798" s="36" t="s">
        <v>167</v>
      </c>
      <c r="C4798" s="36" t="s">
        <v>12252</v>
      </c>
      <c r="D4798" s="36" t="s">
        <v>15021</v>
      </c>
      <c r="E4798" s="36" t="s">
        <v>11455</v>
      </c>
      <c r="F4798" s="36" t="s">
        <v>11595</v>
      </c>
    </row>
    <row r="4799" spans="1:10" ht="14.25" customHeight="1" x14ac:dyDescent="0.35">
      <c r="A4799" s="37" t="s">
        <v>6255</v>
      </c>
      <c r="B4799" s="37" t="s">
        <v>6255</v>
      </c>
      <c r="C4799" s="37" t="s">
        <v>18585</v>
      </c>
      <c r="D4799" s="37" t="s">
        <v>10634</v>
      </c>
      <c r="E4799" s="37" t="s">
        <v>9261</v>
      </c>
      <c r="F4799" s="37"/>
    </row>
    <row r="4800" spans="1:10" ht="14.25" customHeight="1" x14ac:dyDescent="0.35">
      <c r="A4800" s="75" t="s">
        <v>15490</v>
      </c>
      <c r="B4800" s="38" t="s">
        <v>8918</v>
      </c>
      <c r="C4800" s="68">
        <v>45334</v>
      </c>
      <c r="D4800" s="75" t="s">
        <v>9819</v>
      </c>
      <c r="E4800" s="70" t="s">
        <v>13683</v>
      </c>
      <c r="F4800" s="71" t="s">
        <v>3205</v>
      </c>
    </row>
    <row r="4801" spans="1:10" ht="14.25" customHeight="1" x14ac:dyDescent="0.35">
      <c r="A4801" s="76"/>
      <c r="B4801" s="38" t="s">
        <v>1858</v>
      </c>
      <c r="C4801" s="69">
        <f>IF(C4800="","",IF(AND(MONTH(C4800)&gt;=1,MONTH(C4800)&lt;=3),1,IF(AND(MONTH(C4800)&gt;=4,MONTH(C4800)&lt;=6),2,IF(AND(MONTH(C4800)&gt;=7,MONTH(C4800)&lt;=9),3,4))))</f>
        <v>1</v>
      </c>
      <c r="D4801" s="76"/>
      <c r="E4801" s="70" t="s">
        <v>2509</v>
      </c>
      <c r="F4801" s="71" t="s">
        <v>11612</v>
      </c>
    </row>
    <row r="4802" spans="1:10" ht="14.25" customHeight="1" x14ac:dyDescent="0.35">
      <c r="A4802" s="76"/>
      <c r="B4802" s="38" t="s">
        <v>13526</v>
      </c>
      <c r="C4802" s="68">
        <v>45379</v>
      </c>
      <c r="D4802" s="76"/>
      <c r="E4802" s="70" t="s">
        <v>3198</v>
      </c>
      <c r="F4802" s="71" t="s">
        <v>11612</v>
      </c>
    </row>
    <row r="4803" spans="1:10" ht="14.25" customHeight="1" x14ac:dyDescent="0.35">
      <c r="A4803" s="76"/>
      <c r="B4803" s="38" t="s">
        <v>1858</v>
      </c>
      <c r="C4803" s="69">
        <f>IF(C4802="","",IF(AND(MONTH(C4802)&gt;=1,MONTH(C4802)&lt;=3),1,IF(AND(MONTH(C4802)&gt;=4,MONTH(C4802)&lt;=6),2,IF(AND(MONTH(C4802)&gt;=7,MONTH(C4802)&lt;=9),3,4))))</f>
        <v>1</v>
      </c>
      <c r="D4803" s="76"/>
      <c r="E4803" s="70" t="s">
        <v>13785</v>
      </c>
      <c r="F4803" s="71"/>
    </row>
    <row r="4805" spans="1:10" ht="14.25" customHeight="1" x14ac:dyDescent="0.35">
      <c r="A4805" s="43" t="s">
        <v>16424</v>
      </c>
      <c r="B4805" s="43" t="s">
        <v>16856</v>
      </c>
      <c r="C4805" s="43" t="s">
        <v>16326</v>
      </c>
      <c r="D4805" s="43" t="s">
        <v>15925</v>
      </c>
      <c r="E4805" s="43" t="s">
        <v>7248</v>
      </c>
      <c r="F4805" s="43" t="s">
        <v>15955</v>
      </c>
    </row>
    <row r="4806" spans="1:10" ht="14.25" customHeight="1" x14ac:dyDescent="0.35">
      <c r="A4806" s="39" t="s">
        <v>19024</v>
      </c>
      <c r="B4806" s="40" t="str">
        <f ca="1">IFERROR(INDEX(UNSPSCDes,MATCH(INDIRECT(ADDRESS(ROW(),COLUMN()-1,4)),UNSPSCCode,0)),IF(INDIRECT(ADDRESS(ROW(),COLUMN()-1,4))="49211802","Aros de hula o equipos de hula",""))</f>
        <v>Aros de hula o equipos de hula</v>
      </c>
      <c r="C4806" s="72" t="str">
        <f>IFERROR(VLOOKUP("UD",'Informacion '!P:Q,2,FALSE),"")</f>
        <v>Unidad</v>
      </c>
      <c r="D4806" s="39">
        <v>30</v>
      </c>
      <c r="E4806" s="42">
        <v>92.04</v>
      </c>
      <c r="F4806" s="41">
        <f ca="1">INDIRECT(ADDRESS(ROW(),COLUMN()-2,4))*INDIRECT(ADDRESS(ROW(),COLUMN()-1,4))</f>
        <v>2761.2000000000003</v>
      </c>
    </row>
    <row r="4807" spans="1:10" ht="14.25" customHeight="1" x14ac:dyDescent="0.35">
      <c r="E4807" s="44" t="s">
        <v>13122</v>
      </c>
      <c r="F4807" s="45">
        <f ca="1">SUM(Table266[MONTO TOTAL ESTIMADO])</f>
        <v>2761.2000000000003</v>
      </c>
      <c r="H4807" s="24" t="str">
        <f>C4799</f>
        <v>Bienes</v>
      </c>
      <c r="I4807" s="24" t="str">
        <f>E4799</f>
        <v>Sí</v>
      </c>
      <c r="J4807" s="24" t="str">
        <f>D4799</f>
        <v>Compras por debajo del Umbral</v>
      </c>
    </row>
    <row r="4809" spans="1:10" ht="34" customHeight="1" x14ac:dyDescent="0.35">
      <c r="A4809" s="36" t="s">
        <v>17105</v>
      </c>
      <c r="B4809" s="36" t="s">
        <v>167</v>
      </c>
      <c r="C4809" s="36" t="s">
        <v>12252</v>
      </c>
      <c r="D4809" s="36" t="s">
        <v>15021</v>
      </c>
      <c r="E4809" s="36" t="s">
        <v>11455</v>
      </c>
      <c r="F4809" s="36" t="s">
        <v>11595</v>
      </c>
    </row>
    <row r="4810" spans="1:10" ht="14.25" customHeight="1" x14ac:dyDescent="0.35">
      <c r="A4810" s="37" t="s">
        <v>15719</v>
      </c>
      <c r="B4810" s="37" t="s">
        <v>15719</v>
      </c>
      <c r="C4810" s="37" t="s">
        <v>18585</v>
      </c>
      <c r="D4810" s="37" t="s">
        <v>10634</v>
      </c>
      <c r="E4810" s="37" t="s">
        <v>9261</v>
      </c>
      <c r="F4810" s="37"/>
    </row>
    <row r="4811" spans="1:10" ht="14.25" customHeight="1" x14ac:dyDescent="0.35">
      <c r="A4811" s="75" t="s">
        <v>15490</v>
      </c>
      <c r="B4811" s="38" t="s">
        <v>8918</v>
      </c>
      <c r="C4811" s="68">
        <v>45334</v>
      </c>
      <c r="D4811" s="75" t="s">
        <v>9819</v>
      </c>
      <c r="E4811" s="70" t="s">
        <v>13683</v>
      </c>
      <c r="F4811" s="71" t="s">
        <v>3205</v>
      </c>
    </row>
    <row r="4812" spans="1:10" ht="14.25" customHeight="1" x14ac:dyDescent="0.35">
      <c r="A4812" s="76"/>
      <c r="B4812" s="38" t="s">
        <v>1858</v>
      </c>
      <c r="C4812" s="69">
        <f>IF(C4811="","",IF(AND(MONTH(C4811)&gt;=1,MONTH(C4811)&lt;=3),1,IF(AND(MONTH(C4811)&gt;=4,MONTH(C4811)&lt;=6),2,IF(AND(MONTH(C4811)&gt;=7,MONTH(C4811)&lt;=9),3,4))))</f>
        <v>1</v>
      </c>
      <c r="D4812" s="76"/>
      <c r="E4812" s="70" t="s">
        <v>2509</v>
      </c>
      <c r="F4812" s="71" t="s">
        <v>11612</v>
      </c>
    </row>
    <row r="4813" spans="1:10" ht="14.25" customHeight="1" x14ac:dyDescent="0.35">
      <c r="A4813" s="76"/>
      <c r="B4813" s="38" t="s">
        <v>13526</v>
      </c>
      <c r="C4813" s="68">
        <v>45379</v>
      </c>
      <c r="D4813" s="76"/>
      <c r="E4813" s="70" t="s">
        <v>3198</v>
      </c>
      <c r="F4813" s="71" t="s">
        <v>11612</v>
      </c>
    </row>
    <row r="4814" spans="1:10" ht="14.25" customHeight="1" x14ac:dyDescent="0.35">
      <c r="A4814" s="76"/>
      <c r="B4814" s="38" t="s">
        <v>1858</v>
      </c>
      <c r="C4814" s="69">
        <f>IF(C4813="","",IF(AND(MONTH(C4813)&gt;=1,MONTH(C4813)&lt;=3),1,IF(AND(MONTH(C4813)&gt;=4,MONTH(C4813)&lt;=6),2,IF(AND(MONTH(C4813)&gt;=7,MONTH(C4813)&lt;=9),3,4))))</f>
        <v>1</v>
      </c>
      <c r="D4814" s="76"/>
      <c r="E4814" s="70" t="s">
        <v>13785</v>
      </c>
      <c r="F4814" s="71"/>
    </row>
    <row r="4816" spans="1:10" ht="14.25" customHeight="1" x14ac:dyDescent="0.35">
      <c r="A4816" s="43" t="s">
        <v>16424</v>
      </c>
      <c r="B4816" s="43" t="s">
        <v>16856</v>
      </c>
      <c r="C4816" s="43" t="s">
        <v>16326</v>
      </c>
      <c r="D4816" s="43" t="s">
        <v>15925</v>
      </c>
      <c r="E4816" s="43" t="s">
        <v>7248</v>
      </c>
      <c r="F4816" s="43" t="s">
        <v>15955</v>
      </c>
    </row>
    <row r="4817" spans="1:10" ht="14.25" customHeight="1" x14ac:dyDescent="0.35">
      <c r="A4817" s="39" t="s">
        <v>17878</v>
      </c>
      <c r="B4817" s="40" t="str">
        <f ca="1">IFERROR(INDEX(UNSPSCDes,MATCH(INDIRECT(ADDRESS(ROW(),COLUMN()-1,4)),UNSPSCCode,0)),IF(INDIRECT(ADDRESS(ROW(),COLUMN()-1,4))="49221505","Mallas o redes para deportes",""))</f>
        <v>Mallas o redes para deportes</v>
      </c>
      <c r="C4817" s="72" t="str">
        <f>IFERROR(VLOOKUP("UD",'Informacion '!P:Q,2,FALSE),"")</f>
        <v>Unidad</v>
      </c>
      <c r="D4817" s="39">
        <v>30</v>
      </c>
      <c r="E4817" s="42">
        <v>177</v>
      </c>
      <c r="F4817" s="41">
        <f ca="1">INDIRECT(ADDRESS(ROW(),COLUMN()-2,4))*INDIRECT(ADDRESS(ROW(),COLUMN()-1,4))</f>
        <v>5310</v>
      </c>
    </row>
    <row r="4818" spans="1:10" ht="14.25" customHeight="1" x14ac:dyDescent="0.35">
      <c r="A4818" s="39" t="s">
        <v>17878</v>
      </c>
      <c r="B4818" s="40" t="str">
        <f ca="1">IFERROR(INDEX(UNSPSCDes,MATCH(INDIRECT(ADDRESS(ROW(),COLUMN()-1,4)),UNSPSCCode,0)),IF(INDIRECT(ADDRESS(ROW(),COLUMN()-1,4))="49221505","Mallas o redes para deportes",""))</f>
        <v>Mallas o redes para deportes</v>
      </c>
      <c r="C4818" s="72" t="str">
        <f>IFERROR(VLOOKUP("UD",'Informacion '!P:Q,2,FALSE),"")</f>
        <v>Unidad</v>
      </c>
      <c r="D4818" s="39">
        <v>2</v>
      </c>
      <c r="E4818" s="42">
        <v>2842.5</v>
      </c>
      <c r="F4818" s="41">
        <f ca="1">INDIRECT(ADDRESS(ROW(),COLUMN()-2,4))*INDIRECT(ADDRESS(ROW(),COLUMN()-1,4))</f>
        <v>5685</v>
      </c>
    </row>
    <row r="4819" spans="1:10" ht="14.25" customHeight="1" x14ac:dyDescent="0.35">
      <c r="E4819" s="44" t="s">
        <v>13122</v>
      </c>
      <c r="F4819" s="45">
        <f ca="1">SUM(Table267[MONTO TOTAL ESTIMADO])</f>
        <v>10995</v>
      </c>
      <c r="H4819" s="24" t="str">
        <f>C4810</f>
        <v>Bienes</v>
      </c>
      <c r="I4819" s="24" t="str">
        <f>E4810</f>
        <v>Sí</v>
      </c>
      <c r="J4819" s="24" t="str">
        <f>D4810</f>
        <v>Compras por debajo del Umbral</v>
      </c>
    </row>
    <row r="4821" spans="1:10" ht="34" customHeight="1" x14ac:dyDescent="0.35">
      <c r="A4821" s="36" t="s">
        <v>17105</v>
      </c>
      <c r="B4821" s="36" t="s">
        <v>167</v>
      </c>
      <c r="C4821" s="36" t="s">
        <v>12252</v>
      </c>
      <c r="D4821" s="36" t="s">
        <v>15021</v>
      </c>
      <c r="E4821" s="36" t="s">
        <v>11455</v>
      </c>
      <c r="F4821" s="36" t="s">
        <v>11595</v>
      </c>
    </row>
    <row r="4822" spans="1:10" ht="14.25" customHeight="1" x14ac:dyDescent="0.35">
      <c r="A4822" s="37" t="s">
        <v>1081</v>
      </c>
      <c r="B4822" s="37" t="s">
        <v>1081</v>
      </c>
      <c r="C4822" s="37" t="s">
        <v>18585</v>
      </c>
      <c r="D4822" s="37" t="s">
        <v>18256</v>
      </c>
      <c r="E4822" s="37" t="s">
        <v>9261</v>
      </c>
      <c r="F4822" s="37" t="s">
        <v>7088</v>
      </c>
    </row>
    <row r="4823" spans="1:10" ht="14.25" customHeight="1" x14ac:dyDescent="0.35">
      <c r="A4823" s="75" t="s">
        <v>15490</v>
      </c>
      <c r="B4823" s="38" t="s">
        <v>8918</v>
      </c>
      <c r="C4823" s="68">
        <v>45334</v>
      </c>
      <c r="D4823" s="75" t="s">
        <v>9819</v>
      </c>
      <c r="E4823" s="70" t="s">
        <v>13683</v>
      </c>
      <c r="F4823" s="71" t="s">
        <v>3205</v>
      </c>
    </row>
    <row r="4824" spans="1:10" ht="14.25" customHeight="1" x14ac:dyDescent="0.35">
      <c r="A4824" s="76"/>
      <c r="B4824" s="38" t="s">
        <v>1858</v>
      </c>
      <c r="C4824" s="69">
        <f>IF(C4823="","",IF(AND(MONTH(C4823)&gt;=1,MONTH(C4823)&lt;=3),1,IF(AND(MONTH(C4823)&gt;=4,MONTH(C4823)&lt;=6),2,IF(AND(MONTH(C4823)&gt;=7,MONTH(C4823)&lt;=9),3,4))))</f>
        <v>1</v>
      </c>
      <c r="D4824" s="76"/>
      <c r="E4824" s="70" t="s">
        <v>2509</v>
      </c>
      <c r="F4824" s="71" t="s">
        <v>11612</v>
      </c>
    </row>
    <row r="4825" spans="1:10" ht="14.25" customHeight="1" x14ac:dyDescent="0.35">
      <c r="A4825" s="76"/>
      <c r="B4825" s="38" t="s">
        <v>13526</v>
      </c>
      <c r="C4825" s="68">
        <v>45380</v>
      </c>
      <c r="D4825" s="76"/>
      <c r="E4825" s="70" t="s">
        <v>3198</v>
      </c>
      <c r="F4825" s="71" t="s">
        <v>11612</v>
      </c>
    </row>
    <row r="4826" spans="1:10" ht="14.25" customHeight="1" x14ac:dyDescent="0.35">
      <c r="A4826" s="76"/>
      <c r="B4826" s="38" t="s">
        <v>1858</v>
      </c>
      <c r="C4826" s="69">
        <f>IF(C4825="","",IF(AND(MONTH(C4825)&gt;=1,MONTH(C4825)&lt;=3),1,IF(AND(MONTH(C4825)&gt;=4,MONTH(C4825)&lt;=6),2,IF(AND(MONTH(C4825)&gt;=7,MONTH(C4825)&lt;=9),3,4))))</f>
        <v>1</v>
      </c>
      <c r="D4826" s="76"/>
      <c r="E4826" s="70" t="s">
        <v>13785</v>
      </c>
      <c r="F4826" s="71"/>
    </row>
    <row r="4828" spans="1:10" ht="14.25" customHeight="1" x14ac:dyDescent="0.35">
      <c r="A4828" s="43" t="s">
        <v>16424</v>
      </c>
      <c r="B4828" s="43" t="s">
        <v>16856</v>
      </c>
      <c r="C4828" s="43" t="s">
        <v>16326</v>
      </c>
      <c r="D4828" s="43" t="s">
        <v>15925</v>
      </c>
      <c r="E4828" s="43" t="s">
        <v>7248</v>
      </c>
      <c r="F4828" s="43" t="s">
        <v>15955</v>
      </c>
    </row>
    <row r="4829" spans="1:10" ht="14.25" customHeight="1" x14ac:dyDescent="0.35">
      <c r="A4829" s="39" t="s">
        <v>6841</v>
      </c>
      <c r="B4829" s="40" t="str">
        <f ca="1">IFERROR(INDEX(UNSPSCDes,MATCH(INDIRECT(ADDRESS(ROW(),COLUMN()-1,4)),UNSPSCCode,0)),IF(INDIRECT(ADDRESS(ROW(),COLUMN()-1,4))="50161509","Azucares naturales o productos endulzantes",""))</f>
        <v>Azucares naturales o productos endulzantes</v>
      </c>
      <c r="C4829" s="72" t="str">
        <f>IFERROR(VLOOKUP("UD",'Informacion '!P:Q,2,FALSE),"")</f>
        <v>Unidad</v>
      </c>
      <c r="D4829" s="39">
        <v>200</v>
      </c>
      <c r="E4829" s="42">
        <v>2790</v>
      </c>
      <c r="F4829" s="41">
        <f t="shared" ref="F4829:F4838" ca="1" si="170">INDIRECT(ADDRESS(ROW(),COLUMN()-2,4))*INDIRECT(ADDRESS(ROW(),COLUMN()-1,4))</f>
        <v>558000</v>
      </c>
    </row>
    <row r="4830" spans="1:10" ht="14.25" customHeight="1" x14ac:dyDescent="0.35">
      <c r="A4830" s="39" t="s">
        <v>6841</v>
      </c>
      <c r="B4830" s="40" t="str">
        <f ca="1">IFERROR(INDEX(UNSPSCDes,MATCH(INDIRECT(ADDRESS(ROW(),COLUMN()-1,4)),UNSPSCCode,0)),IF(INDIRECT(ADDRESS(ROW(),COLUMN()-1,4))="50161509","Azucares naturales o productos endulzantes",""))</f>
        <v>Azucares naturales o productos endulzantes</v>
      </c>
      <c r="C4830" s="72" t="str">
        <f>IFERROR(VLOOKUP("UD",'Informacion '!P:Q,2,FALSE),"")</f>
        <v>Unidad</v>
      </c>
      <c r="D4830" s="39">
        <v>50</v>
      </c>
      <c r="E4830" s="42">
        <v>590</v>
      </c>
      <c r="F4830" s="41">
        <f t="shared" ca="1" si="170"/>
        <v>29500</v>
      </c>
    </row>
    <row r="4831" spans="1:10" ht="14.25" customHeight="1" x14ac:dyDescent="0.35">
      <c r="A4831" s="39" t="s">
        <v>6841</v>
      </c>
      <c r="B4831" s="40" t="str">
        <f ca="1">IFERROR(INDEX(UNSPSCDes,MATCH(INDIRECT(ADDRESS(ROW(),COLUMN()-1,4)),UNSPSCCode,0)),IF(INDIRECT(ADDRESS(ROW(),COLUMN()-1,4))="50161509","Azucares naturales o productos endulzantes",""))</f>
        <v>Azucares naturales o productos endulzantes</v>
      </c>
      <c r="C4831" s="72" t="str">
        <f>IFERROR(VLOOKUP("PAQ",'Informacion '!P:Q,2,FALSE),"")</f>
        <v>Paquete</v>
      </c>
      <c r="D4831" s="39">
        <v>300</v>
      </c>
      <c r="E4831" s="42">
        <v>145</v>
      </c>
      <c r="F4831" s="41">
        <f t="shared" ca="1" si="170"/>
        <v>43500</v>
      </c>
    </row>
    <row r="4832" spans="1:10" ht="14.25" customHeight="1" x14ac:dyDescent="0.35">
      <c r="A4832" s="39" t="s">
        <v>18011</v>
      </c>
      <c r="B4832" s="40" t="str">
        <f ca="1">IFERROR(INDEX(UNSPSCDes,MATCH(INDIRECT(ADDRESS(ROW(),COLUMN()-1,4)),UNSPSCCode,0)),IF(INDIRECT(ADDRESS(ROW(),COLUMN()-1,4))="50171707","Vinagres",""))</f>
        <v>Vinagres</v>
      </c>
      <c r="C4832" s="72" t="str">
        <f>IFERROR(VLOOKUP("UD",'Informacion '!P:Q,2,FALSE),"")</f>
        <v>Unidad</v>
      </c>
      <c r="D4832" s="39">
        <v>2</v>
      </c>
      <c r="E4832" s="42">
        <v>112.1</v>
      </c>
      <c r="F4832" s="41">
        <f t="shared" ca="1" si="170"/>
        <v>224.2</v>
      </c>
    </row>
    <row r="4833" spans="1:10" ht="14.25" customHeight="1" x14ac:dyDescent="0.35">
      <c r="A4833" s="39" t="s">
        <v>6407</v>
      </c>
      <c r="B4833" s="40" t="str">
        <f ca="1">IFERROR(INDEX(UNSPSCDes,MATCH(INDIRECT(ADDRESS(ROW(),COLUMN()-1,4)),UNSPSCCode,0)),IF(INDIRECT(ADDRESS(ROW(),COLUMN()-1,4))="50192701","Comidas combinadas frescas",""))</f>
        <v>Comidas combinadas frescas</v>
      </c>
      <c r="C4833" s="72" t="str">
        <f>IFERROR(VLOOKUP("UD",'Informacion '!P:Q,2,FALSE),"")</f>
        <v>Unidad</v>
      </c>
      <c r="D4833" s="39">
        <v>1</v>
      </c>
      <c r="E4833" s="42">
        <v>700</v>
      </c>
      <c r="F4833" s="41">
        <f t="shared" ca="1" si="170"/>
        <v>700</v>
      </c>
    </row>
    <row r="4834" spans="1:10" ht="14.25" customHeight="1" x14ac:dyDescent="0.35">
      <c r="A4834" s="39" t="s">
        <v>10056</v>
      </c>
      <c r="B4834" s="40" t="str">
        <f ca="1">IFERROR(INDEX(UNSPSCDes,MATCH(INDIRECT(ADDRESS(ROW(),COLUMN()-1,4)),UNSPSCCode,0)),IF(INDIRECT(ADDRESS(ROW(),COLUMN()-1,4))="50201706","Café",""))</f>
        <v>Café</v>
      </c>
      <c r="C4834" s="72" t="str">
        <f>IFERROR(VLOOKUP("UD",'Informacion '!P:Q,2,FALSE),"")</f>
        <v>Unidad</v>
      </c>
      <c r="D4834" s="39">
        <v>1100</v>
      </c>
      <c r="E4834" s="42">
        <v>223.88</v>
      </c>
      <c r="F4834" s="41">
        <f t="shared" ca="1" si="170"/>
        <v>246268</v>
      </c>
    </row>
    <row r="4835" spans="1:10" ht="14.25" customHeight="1" x14ac:dyDescent="0.35">
      <c r="A4835" s="39" t="s">
        <v>10056</v>
      </c>
      <c r="B4835" s="40" t="str">
        <f ca="1">IFERROR(INDEX(UNSPSCDes,MATCH(INDIRECT(ADDRESS(ROW(),COLUMN()-1,4)),UNSPSCCode,0)),IF(INDIRECT(ADDRESS(ROW(),COLUMN()-1,4))="50201706","Café",""))</f>
        <v>Café</v>
      </c>
      <c r="C4835" s="72" t="str">
        <f>IFERROR(VLOOKUP("UD",'Informacion '!P:Q,2,FALSE),"")</f>
        <v>Unidad</v>
      </c>
      <c r="D4835" s="39">
        <v>40</v>
      </c>
      <c r="E4835" s="42">
        <v>2112</v>
      </c>
      <c r="F4835" s="41">
        <f t="shared" ca="1" si="170"/>
        <v>84480</v>
      </c>
    </row>
    <row r="4836" spans="1:10" ht="14.25" customHeight="1" x14ac:dyDescent="0.35">
      <c r="A4836" s="39" t="s">
        <v>17138</v>
      </c>
      <c r="B4836" s="40" t="str">
        <f ca="1">IFERROR(INDEX(UNSPSCDes,MATCH(INDIRECT(ADDRESS(ROW(),COLUMN()-1,4)),UNSPSCCode,0)),IF(INDIRECT(ADDRESS(ROW(),COLUMN()-1,4))="50201713","Bolsas de té",""))</f>
        <v>Bolsas de té</v>
      </c>
      <c r="C4836" s="72" t="str">
        <f>IFERROR(VLOOKUP("UD",'Informacion '!P:Q,2,FALSE),"")</f>
        <v>Unidad</v>
      </c>
      <c r="D4836" s="39">
        <v>50</v>
      </c>
      <c r="E4836" s="42">
        <v>767</v>
      </c>
      <c r="F4836" s="41">
        <f t="shared" ca="1" si="170"/>
        <v>38350</v>
      </c>
    </row>
    <row r="4837" spans="1:10" ht="14.25" customHeight="1" x14ac:dyDescent="0.35">
      <c r="A4837" s="39" t="s">
        <v>17138</v>
      </c>
      <c r="B4837" s="40" t="str">
        <f ca="1">IFERROR(INDEX(UNSPSCDes,MATCH(INDIRECT(ADDRESS(ROW(),COLUMN()-1,4)),UNSPSCCode,0)),IF(INDIRECT(ADDRESS(ROW(),COLUMN()-1,4))="50201713","Bolsas de té",""))</f>
        <v>Bolsas de té</v>
      </c>
      <c r="C4837" s="72" t="str">
        <f>IFERROR(VLOOKUP("UD",'Informacion '!P:Q,2,FALSE),"")</f>
        <v>Unidad</v>
      </c>
      <c r="D4837" s="39">
        <v>75</v>
      </c>
      <c r="E4837" s="42">
        <v>199</v>
      </c>
      <c r="F4837" s="41">
        <f t="shared" ca="1" si="170"/>
        <v>14925</v>
      </c>
    </row>
    <row r="4838" spans="1:10" ht="14.25" customHeight="1" x14ac:dyDescent="0.35">
      <c r="A4838" s="39" t="s">
        <v>8032</v>
      </c>
      <c r="B4838" s="40" t="str">
        <f ca="1">IFERROR(INDEX(UNSPSCDes,MATCH(INDIRECT(ADDRESS(ROW(),COLUMN()-1,4)),UNSPSCCode,0)),IF(INDIRECT(ADDRESS(ROW(),COLUMN()-1,4))="50201714","Cremas no lácteas",""))</f>
        <v>Cremas no lácteas</v>
      </c>
      <c r="C4838" s="72" t="str">
        <f>IFERROR(VLOOKUP("UD",'Informacion '!P:Q,2,FALSE),"")</f>
        <v>Unidad</v>
      </c>
      <c r="D4838" s="39">
        <v>75</v>
      </c>
      <c r="E4838" s="42">
        <v>227.15</v>
      </c>
      <c r="F4838" s="41">
        <f t="shared" ca="1" si="170"/>
        <v>17036.25</v>
      </c>
    </row>
    <row r="4839" spans="1:10" ht="14.25" customHeight="1" x14ac:dyDescent="0.35">
      <c r="E4839" s="44" t="s">
        <v>13122</v>
      </c>
      <c r="F4839" s="45">
        <f ca="1">SUM(Table268[MONTO TOTAL ESTIMADO])</f>
        <v>1032983.45</v>
      </c>
      <c r="H4839" s="24" t="str">
        <f>C4822</f>
        <v>Bienes</v>
      </c>
      <c r="I4839" s="24" t="str">
        <f>E4822</f>
        <v>Sí</v>
      </c>
      <c r="J4839" s="24" t="str">
        <f>D4822</f>
        <v>Compras Menores</v>
      </c>
    </row>
    <row r="4841" spans="1:10" ht="34" customHeight="1" x14ac:dyDescent="0.35">
      <c r="A4841" s="36" t="s">
        <v>17105</v>
      </c>
      <c r="B4841" s="36" t="s">
        <v>167</v>
      </c>
      <c r="C4841" s="36" t="s">
        <v>12252</v>
      </c>
      <c r="D4841" s="36" t="s">
        <v>15021</v>
      </c>
      <c r="E4841" s="36" t="s">
        <v>11455</v>
      </c>
      <c r="F4841" s="36" t="s">
        <v>11595</v>
      </c>
    </row>
    <row r="4842" spans="1:10" ht="14.25" customHeight="1" x14ac:dyDescent="0.35">
      <c r="A4842" s="37" t="s">
        <v>1081</v>
      </c>
      <c r="B4842" s="37" t="s">
        <v>1081</v>
      </c>
      <c r="C4842" s="37" t="s">
        <v>18585</v>
      </c>
      <c r="D4842" s="37" t="s">
        <v>18256</v>
      </c>
      <c r="E4842" s="37" t="s">
        <v>9261</v>
      </c>
      <c r="F4842" s="37" t="s">
        <v>7088</v>
      </c>
    </row>
    <row r="4843" spans="1:10" ht="14.25" customHeight="1" x14ac:dyDescent="0.35">
      <c r="A4843" s="75" t="s">
        <v>15490</v>
      </c>
      <c r="B4843" s="38" t="s">
        <v>8918</v>
      </c>
      <c r="C4843" s="68">
        <v>45383</v>
      </c>
      <c r="D4843" s="75" t="s">
        <v>9819</v>
      </c>
      <c r="E4843" s="70" t="s">
        <v>13683</v>
      </c>
      <c r="F4843" s="71" t="s">
        <v>3205</v>
      </c>
    </row>
    <row r="4844" spans="1:10" ht="14.25" customHeight="1" x14ac:dyDescent="0.35">
      <c r="A4844" s="76"/>
      <c r="B4844" s="38" t="s">
        <v>1858</v>
      </c>
      <c r="C4844" s="69">
        <f>IF(C4843="","",IF(AND(MONTH(C4843)&gt;=1,MONTH(C4843)&lt;=3),1,IF(AND(MONTH(C4843)&gt;=4,MONTH(C4843)&lt;=6),2,IF(AND(MONTH(C4843)&gt;=7,MONTH(C4843)&lt;=9),3,4))))</f>
        <v>2</v>
      </c>
      <c r="D4844" s="76"/>
      <c r="E4844" s="70" t="s">
        <v>2509</v>
      </c>
      <c r="F4844" s="71" t="s">
        <v>11612</v>
      </c>
    </row>
    <row r="4845" spans="1:10" ht="14.25" customHeight="1" x14ac:dyDescent="0.35">
      <c r="A4845" s="76"/>
      <c r="B4845" s="38" t="s">
        <v>13526</v>
      </c>
      <c r="C4845" s="68">
        <v>45471</v>
      </c>
      <c r="D4845" s="76"/>
      <c r="E4845" s="70" t="s">
        <v>3198</v>
      </c>
      <c r="F4845" s="71" t="s">
        <v>11612</v>
      </c>
    </row>
    <row r="4846" spans="1:10" ht="14.25" customHeight="1" x14ac:dyDescent="0.35">
      <c r="A4846" s="76"/>
      <c r="B4846" s="38" t="s">
        <v>1858</v>
      </c>
      <c r="C4846" s="69">
        <f>IF(C4845="","",IF(AND(MONTH(C4845)&gt;=1,MONTH(C4845)&lt;=3),1,IF(AND(MONTH(C4845)&gt;=4,MONTH(C4845)&lt;=6),2,IF(AND(MONTH(C4845)&gt;=7,MONTH(C4845)&lt;=9),3,4))))</f>
        <v>2</v>
      </c>
      <c r="D4846" s="76"/>
      <c r="E4846" s="70" t="s">
        <v>13785</v>
      </c>
      <c r="F4846" s="71"/>
    </row>
    <row r="4848" spans="1:10" ht="14.25" customHeight="1" x14ac:dyDescent="0.35">
      <c r="A4848" s="43" t="s">
        <v>16424</v>
      </c>
      <c r="B4848" s="43" t="s">
        <v>16856</v>
      </c>
      <c r="C4848" s="43" t="s">
        <v>16326</v>
      </c>
      <c r="D4848" s="43" t="s">
        <v>15925</v>
      </c>
      <c r="E4848" s="43" t="s">
        <v>7248</v>
      </c>
      <c r="F4848" s="43" t="s">
        <v>15955</v>
      </c>
    </row>
    <row r="4849" spans="1:6" ht="14.25" customHeight="1" x14ac:dyDescent="0.35">
      <c r="A4849" s="39" t="s">
        <v>6841</v>
      </c>
      <c r="B4849" s="40" t="str">
        <f t="shared" ref="B4849:B4854" ca="1" si="171">IFERROR(INDEX(UNSPSCDes,MATCH(INDIRECT(ADDRESS(ROW(),COLUMN()-1,4)),UNSPSCCode,0)),IF(INDIRECT(ADDRESS(ROW(),COLUMN()-1,4))="50161509","Azucares naturales o productos endulzantes",""))</f>
        <v>Azucares naturales o productos endulzantes</v>
      </c>
      <c r="C4849" s="72" t="str">
        <f>IFERROR(VLOOKUP("UD",'Informacion '!P:Q,2,FALSE),"")</f>
        <v>Unidad</v>
      </c>
      <c r="D4849" s="39">
        <v>858</v>
      </c>
      <c r="E4849" s="42">
        <v>590</v>
      </c>
      <c r="F4849" s="41">
        <f t="shared" ref="F4849:F4864" ca="1" si="172">INDIRECT(ADDRESS(ROW(),COLUMN()-2,4))*INDIRECT(ADDRESS(ROW(),COLUMN()-1,4))</f>
        <v>506220</v>
      </c>
    </row>
    <row r="4850" spans="1:6" ht="14.25" customHeight="1" x14ac:dyDescent="0.35">
      <c r="A4850" s="39" t="s">
        <v>6841</v>
      </c>
      <c r="B4850" s="40" t="str">
        <f t="shared" ca="1" si="171"/>
        <v>Azucares naturales o productos endulzantes</v>
      </c>
      <c r="C4850" s="72" t="str">
        <f>IFERROR(VLOOKUP("UD",'Informacion '!P:Q,2,FALSE),"")</f>
        <v>Unidad</v>
      </c>
      <c r="D4850" s="39">
        <v>12</v>
      </c>
      <c r="E4850" s="42">
        <v>10</v>
      </c>
      <c r="F4850" s="41">
        <f t="shared" ca="1" si="172"/>
        <v>120</v>
      </c>
    </row>
    <row r="4851" spans="1:6" ht="14.25" customHeight="1" x14ac:dyDescent="0.35">
      <c r="A4851" s="39" t="s">
        <v>6841</v>
      </c>
      <c r="B4851" s="40" t="str">
        <f t="shared" ca="1" si="171"/>
        <v>Azucares naturales o productos endulzantes</v>
      </c>
      <c r="C4851" s="72" t="str">
        <f>IFERROR(VLOOKUP("UD",'Informacion '!P:Q,2,FALSE),"")</f>
        <v>Unidad</v>
      </c>
      <c r="D4851" s="39">
        <v>50</v>
      </c>
      <c r="E4851" s="42">
        <v>590</v>
      </c>
      <c r="F4851" s="41">
        <f t="shared" ca="1" si="172"/>
        <v>29500</v>
      </c>
    </row>
    <row r="4852" spans="1:6" ht="14.25" customHeight="1" x14ac:dyDescent="0.35">
      <c r="A4852" s="39" t="s">
        <v>6841</v>
      </c>
      <c r="B4852" s="40" t="str">
        <f t="shared" ca="1" si="171"/>
        <v>Azucares naturales o productos endulzantes</v>
      </c>
      <c r="C4852" s="72" t="str">
        <f>IFERROR(VLOOKUP("PAQ",'Informacion '!P:Q,2,FALSE),"")</f>
        <v>Paquete</v>
      </c>
      <c r="D4852" s="39">
        <v>300</v>
      </c>
      <c r="E4852" s="42">
        <v>145</v>
      </c>
      <c r="F4852" s="41">
        <f t="shared" ca="1" si="172"/>
        <v>43500</v>
      </c>
    </row>
    <row r="4853" spans="1:6" ht="14.25" customHeight="1" x14ac:dyDescent="0.35">
      <c r="A4853" s="39" t="s">
        <v>6841</v>
      </c>
      <c r="B4853" s="40" t="str">
        <f t="shared" ca="1" si="171"/>
        <v>Azucares naturales o productos endulzantes</v>
      </c>
      <c r="C4853" s="72" t="str">
        <f>IFERROR(VLOOKUP("UD",'Informacion '!P:Q,2,FALSE),"")</f>
        <v>Unidad</v>
      </c>
      <c r="D4853" s="39">
        <v>1</v>
      </c>
      <c r="E4853" s="42">
        <v>138768</v>
      </c>
      <c r="F4853" s="41">
        <f t="shared" ca="1" si="172"/>
        <v>138768</v>
      </c>
    </row>
    <row r="4854" spans="1:6" ht="14.25" customHeight="1" x14ac:dyDescent="0.35">
      <c r="A4854" s="39" t="s">
        <v>6841</v>
      </c>
      <c r="B4854" s="40" t="str">
        <f t="shared" ca="1" si="171"/>
        <v>Azucares naturales o productos endulzantes</v>
      </c>
      <c r="C4854" s="72" t="str">
        <f>IFERROR(VLOOKUP("UD",'Informacion '!P:Q,2,FALSE),"")</f>
        <v>Unidad</v>
      </c>
      <c r="D4854" s="39">
        <v>2</v>
      </c>
      <c r="E4854" s="42">
        <v>700</v>
      </c>
      <c r="F4854" s="41">
        <f t="shared" ca="1" si="172"/>
        <v>1400</v>
      </c>
    </row>
    <row r="4855" spans="1:6" ht="14.25" customHeight="1" x14ac:dyDescent="0.35">
      <c r="A4855" s="39" t="s">
        <v>16251</v>
      </c>
      <c r="B4855" s="40" t="str">
        <f ca="1">IFERROR(INDEX(UNSPSCDes,MATCH(INDIRECT(ADDRESS(ROW(),COLUMN()-1,4)),UNSPSCCode,0)),IF(INDIRECT(ADDRESS(ROW(),COLUMN()-1,4))="50192801","Pasteles de sal frescos",""))</f>
        <v>Pasteles de sal frescos</v>
      </c>
      <c r="C4855" s="72" t="str">
        <f>IFERROR(VLOOKUP("UD",'Informacion '!P:Q,2,FALSE),"")</f>
        <v>Unidad</v>
      </c>
      <c r="D4855" s="39">
        <v>2</v>
      </c>
      <c r="E4855" s="42">
        <v>31860</v>
      </c>
      <c r="F4855" s="41">
        <f t="shared" ca="1" si="172"/>
        <v>63720</v>
      </c>
    </row>
    <row r="4856" spans="1:6" ht="14.25" customHeight="1" x14ac:dyDescent="0.35">
      <c r="A4856" s="39" t="s">
        <v>10056</v>
      </c>
      <c r="B4856" s="40" t="str">
        <f ca="1">IFERROR(INDEX(UNSPSCDes,MATCH(INDIRECT(ADDRESS(ROW(),COLUMN()-1,4)),UNSPSCCode,0)),IF(INDIRECT(ADDRESS(ROW(),COLUMN()-1,4))="50201706","Café",""))</f>
        <v>Café</v>
      </c>
      <c r="C4856" s="72" t="str">
        <f>IFERROR(VLOOKUP("UD",'Informacion '!P:Q,2,FALSE),"")</f>
        <v>Unidad</v>
      </c>
      <c r="D4856" s="39">
        <v>162</v>
      </c>
      <c r="E4856" s="42">
        <v>590</v>
      </c>
      <c r="F4856" s="41">
        <f t="shared" ca="1" si="172"/>
        <v>95580</v>
      </c>
    </row>
    <row r="4857" spans="1:6" ht="14.25" customHeight="1" x14ac:dyDescent="0.35">
      <c r="A4857" s="39" t="s">
        <v>10056</v>
      </c>
      <c r="B4857" s="40" t="str">
        <f ca="1">IFERROR(INDEX(UNSPSCDes,MATCH(INDIRECT(ADDRESS(ROW(),COLUMN()-1,4)),UNSPSCCode,0)),IF(INDIRECT(ADDRESS(ROW(),COLUMN()-1,4))="50201706","Café",""))</f>
        <v>Café</v>
      </c>
      <c r="C4857" s="72" t="str">
        <f>IFERROR(VLOOKUP("UD",'Informacion '!P:Q,2,FALSE),"")</f>
        <v>Unidad</v>
      </c>
      <c r="D4857" s="39">
        <v>40</v>
      </c>
      <c r="E4857" s="42">
        <v>590</v>
      </c>
      <c r="F4857" s="41">
        <f t="shared" ca="1" si="172"/>
        <v>23600</v>
      </c>
    </row>
    <row r="4858" spans="1:6" ht="14.25" customHeight="1" x14ac:dyDescent="0.35">
      <c r="A4858" s="39" t="s">
        <v>10056</v>
      </c>
      <c r="B4858" s="40" t="str">
        <f ca="1">IFERROR(INDEX(UNSPSCDes,MATCH(INDIRECT(ADDRESS(ROW(),COLUMN()-1,4)),UNSPSCCode,0)),IF(INDIRECT(ADDRESS(ROW(),COLUMN()-1,4))="50201706","Café",""))</f>
        <v>Café</v>
      </c>
      <c r="C4858" s="72" t="str">
        <f>IFERROR(VLOOKUP("UD",'Informacion '!P:Q,2,FALSE),"")</f>
        <v>Unidad</v>
      </c>
      <c r="D4858" s="39">
        <v>50</v>
      </c>
      <c r="E4858" s="42">
        <v>125</v>
      </c>
      <c r="F4858" s="41">
        <f t="shared" ca="1" si="172"/>
        <v>6250</v>
      </c>
    </row>
    <row r="4859" spans="1:6" ht="14.25" customHeight="1" x14ac:dyDescent="0.35">
      <c r="A4859" s="39" t="s">
        <v>10056</v>
      </c>
      <c r="B4859" s="40" t="str">
        <f ca="1">IFERROR(INDEX(UNSPSCDes,MATCH(INDIRECT(ADDRESS(ROW(),COLUMN()-1,4)),UNSPSCCode,0)),IF(INDIRECT(ADDRESS(ROW(),COLUMN()-1,4))="50201706","Café",""))</f>
        <v>Café</v>
      </c>
      <c r="C4859" s="72" t="str">
        <f>IFERROR(VLOOKUP("UD",'Informacion '!P:Q,2,FALSE),"")</f>
        <v>Unidad</v>
      </c>
      <c r="D4859" s="39">
        <v>1100</v>
      </c>
      <c r="E4859" s="42">
        <v>223.88</v>
      </c>
      <c r="F4859" s="41">
        <f t="shared" ca="1" si="172"/>
        <v>246268</v>
      </c>
    </row>
    <row r="4860" spans="1:6" ht="14.25" customHeight="1" x14ac:dyDescent="0.35">
      <c r="A4860" s="39" t="s">
        <v>17138</v>
      </c>
      <c r="B4860" s="40" t="str">
        <f ca="1">IFERROR(INDEX(UNSPSCDes,MATCH(INDIRECT(ADDRESS(ROW(),COLUMN()-1,4)),UNSPSCCode,0)),IF(INDIRECT(ADDRESS(ROW(),COLUMN()-1,4))="50201713","Bolsas de té",""))</f>
        <v>Bolsas de té</v>
      </c>
      <c r="C4860" s="72" t="str">
        <f>IFERROR(VLOOKUP("UD",'Informacion '!P:Q,2,FALSE),"")</f>
        <v>Unidad</v>
      </c>
      <c r="D4860" s="39">
        <v>50</v>
      </c>
      <c r="E4860" s="42">
        <v>767</v>
      </c>
      <c r="F4860" s="41">
        <f t="shared" ca="1" si="172"/>
        <v>38350</v>
      </c>
    </row>
    <row r="4861" spans="1:6" ht="14.25" customHeight="1" x14ac:dyDescent="0.35">
      <c r="A4861" s="39" t="s">
        <v>17138</v>
      </c>
      <c r="B4861" s="40" t="str">
        <f ca="1">IFERROR(INDEX(UNSPSCDes,MATCH(INDIRECT(ADDRESS(ROW(),COLUMN()-1,4)),UNSPSCCode,0)),IF(INDIRECT(ADDRESS(ROW(),COLUMN()-1,4))="50201713","Bolsas de té",""))</f>
        <v>Bolsas de té</v>
      </c>
      <c r="C4861" s="72" t="str">
        <f>IFERROR(VLOOKUP("PAQ",'Informacion '!P:Q,2,FALSE),"")</f>
        <v>Paquete</v>
      </c>
      <c r="D4861" s="39">
        <v>75</v>
      </c>
      <c r="E4861" s="42">
        <v>199</v>
      </c>
      <c r="F4861" s="41">
        <f t="shared" ca="1" si="172"/>
        <v>14925</v>
      </c>
    </row>
    <row r="4862" spans="1:6" ht="14.25" customHeight="1" x14ac:dyDescent="0.35">
      <c r="A4862" s="39" t="s">
        <v>8032</v>
      </c>
      <c r="B4862" s="40" t="str">
        <f ca="1">IFERROR(INDEX(UNSPSCDes,MATCH(INDIRECT(ADDRESS(ROW(),COLUMN()-1,4)),UNSPSCCode,0)),IF(INDIRECT(ADDRESS(ROW(),COLUMN()-1,4))="50201714","Cremas no lácteas",""))</f>
        <v>Cremas no lácteas</v>
      </c>
      <c r="C4862" s="72" t="str">
        <f>IFERROR(VLOOKUP("UD",'Informacion '!P:Q,2,FALSE),"")</f>
        <v>Unidad</v>
      </c>
      <c r="D4862" s="39">
        <v>75</v>
      </c>
      <c r="E4862" s="42">
        <v>227.15</v>
      </c>
      <c r="F4862" s="41">
        <f t="shared" ca="1" si="172"/>
        <v>17036.25</v>
      </c>
    </row>
    <row r="4863" spans="1:6" ht="14.25" customHeight="1" x14ac:dyDescent="0.35">
      <c r="A4863" s="39" t="s">
        <v>3869</v>
      </c>
      <c r="B4863" s="40" t="str">
        <f ca="1">IFERROR(INDEX(UNSPSCDes,MATCH(INDIRECT(ADDRESS(ROW(),COLUMN()-1,4)),UNSPSCCode,0)),IF(INDIRECT(ADDRESS(ROW(),COLUMN()-1,4))="50202305","Jugo fresco",""))</f>
        <v>Jugo fresco</v>
      </c>
      <c r="C4863" s="72" t="str">
        <f>IFERROR(VLOOKUP("GAL",'Informacion '!P:Q,2,FALSE),"")</f>
        <v>Galón</v>
      </c>
      <c r="D4863" s="39">
        <v>125</v>
      </c>
      <c r="E4863" s="42">
        <v>472</v>
      </c>
      <c r="F4863" s="41">
        <f t="shared" ca="1" si="172"/>
        <v>59000</v>
      </c>
    </row>
    <row r="4864" spans="1:6" ht="14.25" customHeight="1" x14ac:dyDescent="0.35">
      <c r="A4864" s="39" t="s">
        <v>3869</v>
      </c>
      <c r="B4864" s="40" t="str">
        <f ca="1">IFERROR(INDEX(UNSPSCDes,MATCH(INDIRECT(ADDRESS(ROW(),COLUMN()-1,4)),UNSPSCCode,0)),IF(INDIRECT(ADDRESS(ROW(),COLUMN()-1,4))="50202305","Jugo fresco",""))</f>
        <v>Jugo fresco</v>
      </c>
      <c r="C4864" s="72" t="str">
        <f>IFERROR(VLOOKUP("GAL",'Informacion '!P:Q,2,FALSE),"")</f>
        <v>Galón</v>
      </c>
      <c r="D4864" s="39">
        <v>1</v>
      </c>
      <c r="E4864" s="42">
        <v>472</v>
      </c>
      <c r="F4864" s="41">
        <f t="shared" ca="1" si="172"/>
        <v>472</v>
      </c>
    </row>
    <row r="4865" spans="1:10" ht="14.25" customHeight="1" x14ac:dyDescent="0.35">
      <c r="E4865" s="44" t="s">
        <v>13122</v>
      </c>
      <c r="F4865" s="45">
        <f ca="1">SUM(Table269[MONTO TOTAL ESTIMADO])</f>
        <v>1284709.25</v>
      </c>
      <c r="H4865" s="24" t="str">
        <f>C4842</f>
        <v>Bienes</v>
      </c>
      <c r="I4865" s="24" t="str">
        <f>E4842</f>
        <v>Sí</v>
      </c>
      <c r="J4865" s="24" t="str">
        <f>D4842</f>
        <v>Compras Menores</v>
      </c>
    </row>
    <row r="4867" spans="1:10" ht="34" customHeight="1" x14ac:dyDescent="0.35">
      <c r="A4867" s="36" t="s">
        <v>17105</v>
      </c>
      <c r="B4867" s="36" t="s">
        <v>167</v>
      </c>
      <c r="C4867" s="36" t="s">
        <v>12252</v>
      </c>
      <c r="D4867" s="36" t="s">
        <v>15021</v>
      </c>
      <c r="E4867" s="36" t="s">
        <v>11455</v>
      </c>
      <c r="F4867" s="36" t="s">
        <v>11595</v>
      </c>
    </row>
    <row r="4868" spans="1:10" ht="14.25" customHeight="1" x14ac:dyDescent="0.35">
      <c r="A4868" s="37" t="s">
        <v>1081</v>
      </c>
      <c r="B4868" s="37" t="s">
        <v>1081</v>
      </c>
      <c r="C4868" s="37" t="s">
        <v>18585</v>
      </c>
      <c r="D4868" s="37" t="s">
        <v>18256</v>
      </c>
      <c r="E4868" s="37" t="s">
        <v>9261</v>
      </c>
      <c r="F4868" s="37" t="s">
        <v>7088</v>
      </c>
    </row>
    <row r="4869" spans="1:10" ht="14.25" customHeight="1" x14ac:dyDescent="0.35">
      <c r="A4869" s="75" t="s">
        <v>15490</v>
      </c>
      <c r="B4869" s="38" t="s">
        <v>8918</v>
      </c>
      <c r="C4869" s="68">
        <v>45474</v>
      </c>
      <c r="D4869" s="75" t="s">
        <v>9819</v>
      </c>
      <c r="E4869" s="70" t="s">
        <v>13683</v>
      </c>
      <c r="F4869" s="71" t="s">
        <v>3205</v>
      </c>
    </row>
    <row r="4870" spans="1:10" ht="14.25" customHeight="1" x14ac:dyDescent="0.35">
      <c r="A4870" s="76"/>
      <c r="B4870" s="38" t="s">
        <v>1858</v>
      </c>
      <c r="C4870" s="69">
        <f>IF(C4869="","",IF(AND(MONTH(C4869)&gt;=1,MONTH(C4869)&lt;=3),1,IF(AND(MONTH(C4869)&gt;=4,MONTH(C4869)&lt;=6),2,IF(AND(MONTH(C4869)&gt;=7,MONTH(C4869)&lt;=9),3,4))))</f>
        <v>3</v>
      </c>
      <c r="D4870" s="76"/>
      <c r="E4870" s="70" t="s">
        <v>2509</v>
      </c>
      <c r="F4870" s="71" t="s">
        <v>11612</v>
      </c>
    </row>
    <row r="4871" spans="1:10" ht="14.25" customHeight="1" x14ac:dyDescent="0.35">
      <c r="A4871" s="76"/>
      <c r="B4871" s="38" t="s">
        <v>13526</v>
      </c>
      <c r="C4871" s="68">
        <v>45565</v>
      </c>
      <c r="D4871" s="76"/>
      <c r="E4871" s="70" t="s">
        <v>3198</v>
      </c>
      <c r="F4871" s="71" t="s">
        <v>11612</v>
      </c>
    </row>
    <row r="4872" spans="1:10" ht="14.25" customHeight="1" x14ac:dyDescent="0.35">
      <c r="A4872" s="76"/>
      <c r="B4872" s="38" t="s">
        <v>1858</v>
      </c>
      <c r="C4872" s="69">
        <f>IF(C4871="","",IF(AND(MONTH(C4871)&gt;=1,MONTH(C4871)&lt;=3),1,IF(AND(MONTH(C4871)&gt;=4,MONTH(C4871)&lt;=6),2,IF(AND(MONTH(C4871)&gt;=7,MONTH(C4871)&lt;=9),3,4))))</f>
        <v>3</v>
      </c>
      <c r="D4872" s="76"/>
      <c r="E4872" s="70" t="s">
        <v>13785</v>
      </c>
      <c r="F4872" s="71"/>
    </row>
    <row r="4874" spans="1:10" ht="14.25" customHeight="1" x14ac:dyDescent="0.35">
      <c r="A4874" s="43" t="s">
        <v>16424</v>
      </c>
      <c r="B4874" s="43" t="s">
        <v>16856</v>
      </c>
      <c r="C4874" s="43" t="s">
        <v>16326</v>
      </c>
      <c r="D4874" s="43" t="s">
        <v>15925</v>
      </c>
      <c r="E4874" s="43" t="s">
        <v>7248</v>
      </c>
      <c r="F4874" s="43" t="s">
        <v>15955</v>
      </c>
    </row>
    <row r="4875" spans="1:10" ht="14.25" customHeight="1" x14ac:dyDescent="0.35">
      <c r="A4875" s="39" t="s">
        <v>6841</v>
      </c>
      <c r="B4875" s="40" t="str">
        <f ca="1">IFERROR(INDEX(UNSPSCDes,MATCH(INDIRECT(ADDRESS(ROW(),COLUMN()-1,4)),UNSPSCCode,0)),IF(INDIRECT(ADDRESS(ROW(),COLUMN()-1,4))="50161509","Azucares naturales o productos endulzantes",""))</f>
        <v>Azucares naturales o productos endulzantes</v>
      </c>
      <c r="C4875" s="72" t="str">
        <f>IFERROR(VLOOKUP("UD",'Informacion '!P:Q,2,FALSE),"")</f>
        <v>Unidad</v>
      </c>
      <c r="D4875" s="39">
        <v>12</v>
      </c>
      <c r="E4875" s="42">
        <v>10</v>
      </c>
      <c r="F4875" s="41">
        <f t="shared" ref="F4875:F4887" ca="1" si="173">INDIRECT(ADDRESS(ROW(),COLUMN()-2,4))*INDIRECT(ADDRESS(ROW(),COLUMN()-1,4))</f>
        <v>120</v>
      </c>
    </row>
    <row r="4876" spans="1:10" ht="14.25" customHeight="1" x14ac:dyDescent="0.35">
      <c r="A4876" s="39" t="s">
        <v>6841</v>
      </c>
      <c r="B4876" s="40" t="str">
        <f ca="1">IFERROR(INDEX(UNSPSCDes,MATCH(INDIRECT(ADDRESS(ROW(),COLUMN()-1,4)),UNSPSCCode,0)),IF(INDIRECT(ADDRESS(ROW(),COLUMN()-1,4))="50161509","Azucares naturales o productos endulzantes",""))</f>
        <v>Azucares naturales o productos endulzantes</v>
      </c>
      <c r="C4876" s="72" t="str">
        <f>IFERROR(VLOOKUP("UD",'Informacion '!P:Q,2,FALSE),"")</f>
        <v>Unidad</v>
      </c>
      <c r="D4876" s="39">
        <v>50</v>
      </c>
      <c r="E4876" s="42">
        <v>590</v>
      </c>
      <c r="F4876" s="41">
        <f t="shared" ca="1" si="173"/>
        <v>29500</v>
      </c>
    </row>
    <row r="4877" spans="1:10" ht="14.25" customHeight="1" x14ac:dyDescent="0.35">
      <c r="A4877" s="39" t="s">
        <v>6841</v>
      </c>
      <c r="B4877" s="40" t="str">
        <f ca="1">IFERROR(INDEX(UNSPSCDes,MATCH(INDIRECT(ADDRESS(ROW(),COLUMN()-1,4)),UNSPSCCode,0)),IF(INDIRECT(ADDRESS(ROW(),COLUMN()-1,4))="50161509","Azucares naturales o productos endulzantes",""))</f>
        <v>Azucares naturales o productos endulzantes</v>
      </c>
      <c r="C4877" s="72" t="str">
        <f>IFERROR(VLOOKUP("PAQ",'Informacion '!P:Q,2,FALSE),"")</f>
        <v>Paquete</v>
      </c>
      <c r="D4877" s="39">
        <v>300</v>
      </c>
      <c r="E4877" s="42">
        <v>145</v>
      </c>
      <c r="F4877" s="41">
        <f t="shared" ca="1" si="173"/>
        <v>43500</v>
      </c>
    </row>
    <row r="4878" spans="1:10" ht="14.25" customHeight="1" x14ac:dyDescent="0.35">
      <c r="A4878" s="39" t="s">
        <v>6407</v>
      </c>
      <c r="B4878" s="40" t="str">
        <f ca="1">IFERROR(INDEX(UNSPSCDes,MATCH(INDIRECT(ADDRESS(ROW(),COLUMN()-1,4)),UNSPSCCode,0)),IF(INDIRECT(ADDRESS(ROW(),COLUMN()-1,4))="50192701","Comidas combinadas frescas",""))</f>
        <v>Comidas combinadas frescas</v>
      </c>
      <c r="C4878" s="72" t="str">
        <f>IFERROR(VLOOKUP("UD",'Informacion '!P:Q,2,FALSE),"")</f>
        <v>Unidad</v>
      </c>
      <c r="D4878" s="39">
        <v>3</v>
      </c>
      <c r="E4878" s="42">
        <v>700</v>
      </c>
      <c r="F4878" s="41">
        <f t="shared" ca="1" si="173"/>
        <v>2100</v>
      </c>
    </row>
    <row r="4879" spans="1:10" ht="14.25" customHeight="1" x14ac:dyDescent="0.35">
      <c r="A4879" s="39" t="s">
        <v>10056</v>
      </c>
      <c r="B4879" s="40" t="str">
        <f ca="1">IFERROR(INDEX(UNSPSCDes,MATCH(INDIRECT(ADDRESS(ROW(),COLUMN()-1,4)),UNSPSCCode,0)),IF(INDIRECT(ADDRESS(ROW(),COLUMN()-1,4))="50201706","Café",""))</f>
        <v>Café</v>
      </c>
      <c r="C4879" s="72" t="str">
        <f>IFERROR(VLOOKUP("UD",'Informacion '!P:Q,2,FALSE),"")</f>
        <v>Unidad</v>
      </c>
      <c r="D4879" s="39">
        <v>159</v>
      </c>
      <c r="E4879" s="42">
        <v>590</v>
      </c>
      <c r="F4879" s="41">
        <f t="shared" ca="1" si="173"/>
        <v>93810</v>
      </c>
    </row>
    <row r="4880" spans="1:10" ht="14.25" customHeight="1" x14ac:dyDescent="0.35">
      <c r="A4880" s="39" t="s">
        <v>10056</v>
      </c>
      <c r="B4880" s="40" t="str">
        <f ca="1">IFERROR(INDEX(UNSPSCDes,MATCH(INDIRECT(ADDRESS(ROW(),COLUMN()-1,4)),UNSPSCCode,0)),IF(INDIRECT(ADDRESS(ROW(),COLUMN()-1,4))="50201706","Café",""))</f>
        <v>Café</v>
      </c>
      <c r="C4880" s="72" t="str">
        <f>IFERROR(VLOOKUP("UD",'Informacion '!P:Q,2,FALSE),"")</f>
        <v>Unidad</v>
      </c>
      <c r="D4880" s="39">
        <v>40</v>
      </c>
      <c r="E4880" s="42">
        <v>590</v>
      </c>
      <c r="F4880" s="41">
        <f t="shared" ca="1" si="173"/>
        <v>23600</v>
      </c>
    </row>
    <row r="4881" spans="1:10" ht="14.25" customHeight="1" x14ac:dyDescent="0.35">
      <c r="A4881" s="39" t="s">
        <v>10056</v>
      </c>
      <c r="B4881" s="40" t="str">
        <f ca="1">IFERROR(INDEX(UNSPSCDes,MATCH(INDIRECT(ADDRESS(ROW(),COLUMN()-1,4)),UNSPSCCode,0)),IF(INDIRECT(ADDRESS(ROW(),COLUMN()-1,4))="50201706","Café",""))</f>
        <v>Café</v>
      </c>
      <c r="C4881" s="72" t="str">
        <f>IFERROR(VLOOKUP("UD",'Informacion '!P:Q,2,FALSE),"")</f>
        <v>Unidad</v>
      </c>
      <c r="D4881" s="39">
        <v>25</v>
      </c>
      <c r="E4881" s="42">
        <v>125</v>
      </c>
      <c r="F4881" s="41">
        <f t="shared" ca="1" si="173"/>
        <v>3125</v>
      </c>
    </row>
    <row r="4882" spans="1:10" ht="14.25" customHeight="1" x14ac:dyDescent="0.35">
      <c r="A4882" s="39" t="s">
        <v>10056</v>
      </c>
      <c r="B4882" s="40" t="str">
        <f ca="1">IFERROR(INDEX(UNSPSCDes,MATCH(INDIRECT(ADDRESS(ROW(),COLUMN()-1,4)),UNSPSCCode,0)),IF(INDIRECT(ADDRESS(ROW(),COLUMN()-1,4))="50201706","Café",""))</f>
        <v>Café</v>
      </c>
      <c r="C4882" s="72" t="str">
        <f>IFERROR(VLOOKUP("UD",'Informacion '!P:Q,2,FALSE),"")</f>
        <v>Unidad</v>
      </c>
      <c r="D4882" s="39">
        <v>1100</v>
      </c>
      <c r="E4882" s="42">
        <v>223.88</v>
      </c>
      <c r="F4882" s="41">
        <f t="shared" ca="1" si="173"/>
        <v>246268</v>
      </c>
    </row>
    <row r="4883" spans="1:10" ht="14.25" customHeight="1" x14ac:dyDescent="0.35">
      <c r="A4883" s="39" t="s">
        <v>17138</v>
      </c>
      <c r="B4883" s="40" t="str">
        <f ca="1">IFERROR(INDEX(UNSPSCDes,MATCH(INDIRECT(ADDRESS(ROW(),COLUMN()-1,4)),UNSPSCCode,0)),IF(INDIRECT(ADDRESS(ROW(),COLUMN()-1,4))="50201713","Bolsas de té",""))</f>
        <v>Bolsas de té</v>
      </c>
      <c r="C4883" s="72" t="str">
        <f>IFERROR(VLOOKUP("UD",'Informacion '!P:Q,2,FALSE),"")</f>
        <v>Unidad</v>
      </c>
      <c r="D4883" s="39">
        <v>50</v>
      </c>
      <c r="E4883" s="42">
        <v>767</v>
      </c>
      <c r="F4883" s="41">
        <f t="shared" ca="1" si="173"/>
        <v>38350</v>
      </c>
    </row>
    <row r="4884" spans="1:10" ht="14.25" customHeight="1" x14ac:dyDescent="0.35">
      <c r="A4884" s="39" t="s">
        <v>17138</v>
      </c>
      <c r="B4884" s="40" t="str">
        <f ca="1">IFERROR(INDEX(UNSPSCDes,MATCH(INDIRECT(ADDRESS(ROW(),COLUMN()-1,4)),UNSPSCCode,0)),IF(INDIRECT(ADDRESS(ROW(),COLUMN()-1,4))="50201713","Bolsas de té",""))</f>
        <v>Bolsas de té</v>
      </c>
      <c r="C4884" s="72" t="str">
        <f>IFERROR(VLOOKUP("PAQ",'Informacion '!P:Q,2,FALSE),"")</f>
        <v>Paquete</v>
      </c>
      <c r="D4884" s="39">
        <v>75</v>
      </c>
      <c r="E4884" s="42">
        <v>199</v>
      </c>
      <c r="F4884" s="41">
        <f t="shared" ca="1" si="173"/>
        <v>14925</v>
      </c>
    </row>
    <row r="4885" spans="1:10" ht="14.25" customHeight="1" x14ac:dyDescent="0.35">
      <c r="A4885" s="39" t="s">
        <v>8032</v>
      </c>
      <c r="B4885" s="40" t="str">
        <f ca="1">IFERROR(INDEX(UNSPSCDes,MATCH(INDIRECT(ADDRESS(ROW(),COLUMN()-1,4)),UNSPSCCode,0)),IF(INDIRECT(ADDRESS(ROW(),COLUMN()-1,4))="50201714","Cremas no lácteas",""))</f>
        <v>Cremas no lácteas</v>
      </c>
      <c r="C4885" s="72" t="str">
        <f>IFERROR(VLOOKUP("UD",'Informacion '!P:Q,2,FALSE),"")</f>
        <v>Unidad</v>
      </c>
      <c r="D4885" s="39">
        <v>75</v>
      </c>
      <c r="E4885" s="42">
        <v>227.15</v>
      </c>
      <c r="F4885" s="41">
        <f t="shared" ca="1" si="173"/>
        <v>17036.25</v>
      </c>
    </row>
    <row r="4886" spans="1:10" ht="14.25" customHeight="1" x14ac:dyDescent="0.35">
      <c r="A4886" s="39" t="s">
        <v>3869</v>
      </c>
      <c r="B4886" s="40" t="str">
        <f ca="1">IFERROR(INDEX(UNSPSCDes,MATCH(INDIRECT(ADDRESS(ROW(),COLUMN()-1,4)),UNSPSCCode,0)),IF(INDIRECT(ADDRESS(ROW(),COLUMN()-1,4))="50202305","Jugo fresco",""))</f>
        <v>Jugo fresco</v>
      </c>
      <c r="C4886" s="72" t="str">
        <f>IFERROR(VLOOKUP("UD",'Informacion '!P:Q,2,FALSE),"")</f>
        <v>Unidad</v>
      </c>
      <c r="D4886" s="39">
        <v>125</v>
      </c>
      <c r="E4886" s="42">
        <v>472</v>
      </c>
      <c r="F4886" s="41">
        <f t="shared" ca="1" si="173"/>
        <v>59000</v>
      </c>
    </row>
    <row r="4887" spans="1:10" ht="14.25" customHeight="1" x14ac:dyDescent="0.35">
      <c r="A4887" s="39" t="s">
        <v>3869</v>
      </c>
      <c r="B4887" s="40" t="str">
        <f ca="1">IFERROR(INDEX(UNSPSCDes,MATCH(INDIRECT(ADDRESS(ROW(),COLUMN()-1,4)),UNSPSCCode,0)),IF(INDIRECT(ADDRESS(ROW(),COLUMN()-1,4))="50202305","Jugo fresco",""))</f>
        <v>Jugo fresco</v>
      </c>
      <c r="C4887" s="72" t="str">
        <f>IFERROR(VLOOKUP("UD",'Informacion '!P:Q,2,FALSE),"")</f>
        <v>Unidad</v>
      </c>
      <c r="D4887" s="39">
        <v>1</v>
      </c>
      <c r="E4887" s="42">
        <v>472</v>
      </c>
      <c r="F4887" s="41">
        <f t="shared" ca="1" si="173"/>
        <v>472</v>
      </c>
    </row>
    <row r="4888" spans="1:10" ht="14.25" customHeight="1" x14ac:dyDescent="0.35">
      <c r="E4888" s="44" t="s">
        <v>13122</v>
      </c>
      <c r="F4888" s="45">
        <f ca="1">SUM(Table270[MONTO TOTAL ESTIMADO])</f>
        <v>571806.25</v>
      </c>
      <c r="H4888" s="24" t="str">
        <f>C4868</f>
        <v>Bienes</v>
      </c>
      <c r="I4888" s="24" t="str">
        <f>E4868</f>
        <v>Sí</v>
      </c>
      <c r="J4888" s="24" t="str">
        <f>D4868</f>
        <v>Compras Menores</v>
      </c>
    </row>
    <row r="4890" spans="1:10" ht="34" customHeight="1" x14ac:dyDescent="0.35">
      <c r="A4890" s="36" t="s">
        <v>17105</v>
      </c>
      <c r="B4890" s="36" t="s">
        <v>167</v>
      </c>
      <c r="C4890" s="36" t="s">
        <v>12252</v>
      </c>
      <c r="D4890" s="36" t="s">
        <v>15021</v>
      </c>
      <c r="E4890" s="36" t="s">
        <v>11455</v>
      </c>
      <c r="F4890" s="36" t="s">
        <v>11595</v>
      </c>
    </row>
    <row r="4891" spans="1:10" ht="14.25" customHeight="1" x14ac:dyDescent="0.35">
      <c r="A4891" s="37" t="s">
        <v>1081</v>
      </c>
      <c r="B4891" s="37" t="s">
        <v>1081</v>
      </c>
      <c r="C4891" s="37" t="s">
        <v>18585</v>
      </c>
      <c r="D4891" s="37" t="s">
        <v>18256</v>
      </c>
      <c r="E4891" s="37" t="s">
        <v>9261</v>
      </c>
      <c r="F4891" s="37" t="s">
        <v>7088</v>
      </c>
    </row>
    <row r="4892" spans="1:10" ht="14.25" customHeight="1" x14ac:dyDescent="0.35">
      <c r="A4892" s="75" t="s">
        <v>15490</v>
      </c>
      <c r="B4892" s="38" t="s">
        <v>8918</v>
      </c>
      <c r="C4892" s="68">
        <v>45566</v>
      </c>
      <c r="D4892" s="75" t="s">
        <v>9819</v>
      </c>
      <c r="E4892" s="70" t="s">
        <v>13683</v>
      </c>
      <c r="F4892" s="71" t="s">
        <v>3205</v>
      </c>
    </row>
    <row r="4893" spans="1:10" ht="14.25" customHeight="1" x14ac:dyDescent="0.35">
      <c r="A4893" s="76"/>
      <c r="B4893" s="38" t="s">
        <v>1858</v>
      </c>
      <c r="C4893" s="69">
        <f>IF(C4892="","",IF(AND(MONTH(C4892)&gt;=1,MONTH(C4892)&lt;=3),1,IF(AND(MONTH(C4892)&gt;=4,MONTH(C4892)&lt;=6),2,IF(AND(MONTH(C4892)&gt;=7,MONTH(C4892)&lt;=9),3,4))))</f>
        <v>4</v>
      </c>
      <c r="D4893" s="76"/>
      <c r="E4893" s="70" t="s">
        <v>2509</v>
      </c>
      <c r="F4893" s="71" t="s">
        <v>11612</v>
      </c>
    </row>
    <row r="4894" spans="1:10" ht="14.25" customHeight="1" x14ac:dyDescent="0.35">
      <c r="A4894" s="76"/>
      <c r="B4894" s="38" t="s">
        <v>13526</v>
      </c>
      <c r="C4894" s="68">
        <v>45657</v>
      </c>
      <c r="D4894" s="76"/>
      <c r="E4894" s="70" t="s">
        <v>3198</v>
      </c>
      <c r="F4894" s="71" t="s">
        <v>11612</v>
      </c>
    </row>
    <row r="4895" spans="1:10" ht="14.25" customHeight="1" x14ac:dyDescent="0.35">
      <c r="A4895" s="76"/>
      <c r="B4895" s="38" t="s">
        <v>1858</v>
      </c>
      <c r="C4895" s="69">
        <f>IF(C4894="","",IF(AND(MONTH(C4894)&gt;=1,MONTH(C4894)&lt;=3),1,IF(AND(MONTH(C4894)&gt;=4,MONTH(C4894)&lt;=6),2,IF(AND(MONTH(C4894)&gt;=7,MONTH(C4894)&lt;=9),3,4))))</f>
        <v>4</v>
      </c>
      <c r="D4895" s="76"/>
      <c r="E4895" s="70" t="s">
        <v>13785</v>
      </c>
      <c r="F4895" s="71"/>
    </row>
    <row r="4897" spans="1:10" ht="14.25" customHeight="1" x14ac:dyDescent="0.35">
      <c r="A4897" s="43" t="s">
        <v>16424</v>
      </c>
      <c r="B4897" s="43" t="s">
        <v>16856</v>
      </c>
      <c r="C4897" s="43" t="s">
        <v>16326</v>
      </c>
      <c r="D4897" s="43" t="s">
        <v>15925</v>
      </c>
      <c r="E4897" s="43" t="s">
        <v>7248</v>
      </c>
      <c r="F4897" s="43" t="s">
        <v>15955</v>
      </c>
    </row>
    <row r="4898" spans="1:10" ht="14.25" customHeight="1" x14ac:dyDescent="0.35">
      <c r="A4898" s="39" t="s">
        <v>6841</v>
      </c>
      <c r="B4898" s="40" t="str">
        <f ca="1">IFERROR(INDEX(UNSPSCDes,MATCH(INDIRECT(ADDRESS(ROW(),COLUMN()-1,4)),UNSPSCCode,0)),IF(INDIRECT(ADDRESS(ROW(),COLUMN()-1,4))="50161509","Azucares naturales o productos endulzantes",""))</f>
        <v>Azucares naturales o productos endulzantes</v>
      </c>
      <c r="C4898" s="72" t="str">
        <f>IFERROR(VLOOKUP("UD",'Informacion '!P:Q,2,FALSE),"")</f>
        <v>Unidad</v>
      </c>
      <c r="D4898" s="39">
        <v>858</v>
      </c>
      <c r="E4898" s="42">
        <v>590</v>
      </c>
      <c r="F4898" s="41">
        <f t="shared" ref="F4898:F4910" ca="1" si="174">INDIRECT(ADDRESS(ROW(),COLUMN()-2,4))*INDIRECT(ADDRESS(ROW(),COLUMN()-1,4))</f>
        <v>506220</v>
      </c>
    </row>
    <row r="4899" spans="1:10" ht="14.25" customHeight="1" x14ac:dyDescent="0.35">
      <c r="A4899" s="39" t="s">
        <v>6841</v>
      </c>
      <c r="B4899" s="40" t="str">
        <f ca="1">IFERROR(INDEX(UNSPSCDes,MATCH(INDIRECT(ADDRESS(ROW(),COLUMN()-1,4)),UNSPSCCode,0)),IF(INDIRECT(ADDRESS(ROW(),COLUMN()-1,4))="50161509","Azucares naturales o productos endulzantes",""))</f>
        <v>Azucares naturales o productos endulzantes</v>
      </c>
      <c r="C4899" s="72" t="str">
        <f>IFERROR(VLOOKUP("UD",'Informacion '!P:Q,2,FALSE),"")</f>
        <v>Unidad</v>
      </c>
      <c r="D4899" s="39">
        <v>13</v>
      </c>
      <c r="E4899" s="42">
        <v>10</v>
      </c>
      <c r="F4899" s="41">
        <f t="shared" ca="1" si="174"/>
        <v>130</v>
      </c>
    </row>
    <row r="4900" spans="1:10" ht="14.25" customHeight="1" x14ac:dyDescent="0.35">
      <c r="A4900" s="39" t="s">
        <v>6841</v>
      </c>
      <c r="B4900" s="40" t="str">
        <f ca="1">IFERROR(INDEX(UNSPSCDes,MATCH(INDIRECT(ADDRESS(ROW(),COLUMN()-1,4)),UNSPSCCode,0)),IF(INDIRECT(ADDRESS(ROW(),COLUMN()-1,4))="50161509","Azucares naturales o productos endulzantes",""))</f>
        <v>Azucares naturales o productos endulzantes</v>
      </c>
      <c r="C4900" s="72" t="str">
        <f>IFERROR(VLOOKUP("UD",'Informacion '!P:Q,2,FALSE),"")</f>
        <v>Unidad</v>
      </c>
      <c r="D4900" s="39">
        <v>50</v>
      </c>
      <c r="E4900" s="42">
        <v>590</v>
      </c>
      <c r="F4900" s="41">
        <f t="shared" ca="1" si="174"/>
        <v>29500</v>
      </c>
    </row>
    <row r="4901" spans="1:10" ht="14.25" customHeight="1" x14ac:dyDescent="0.35">
      <c r="A4901" s="39" t="s">
        <v>6841</v>
      </c>
      <c r="B4901" s="40" t="str">
        <f ca="1">IFERROR(INDEX(UNSPSCDes,MATCH(INDIRECT(ADDRESS(ROW(),COLUMN()-1,4)),UNSPSCCode,0)),IF(INDIRECT(ADDRESS(ROW(),COLUMN()-1,4))="50161509","Azucares naturales o productos endulzantes",""))</f>
        <v>Azucares naturales o productos endulzantes</v>
      </c>
      <c r="C4901" s="72" t="str">
        <f>IFERROR(VLOOKUP("PAQ",'Informacion '!P:Q,2,FALSE),"")</f>
        <v>Paquete</v>
      </c>
      <c r="D4901" s="39">
        <v>300</v>
      </c>
      <c r="E4901" s="42">
        <v>145</v>
      </c>
      <c r="F4901" s="41">
        <f t="shared" ca="1" si="174"/>
        <v>43500</v>
      </c>
    </row>
    <row r="4902" spans="1:10" ht="14.25" customHeight="1" x14ac:dyDescent="0.35">
      <c r="A4902" s="39" t="s">
        <v>6407</v>
      </c>
      <c r="B4902" s="40" t="str">
        <f ca="1">IFERROR(INDEX(UNSPSCDes,MATCH(INDIRECT(ADDRESS(ROW(),COLUMN()-1,4)),UNSPSCCode,0)),IF(INDIRECT(ADDRESS(ROW(),COLUMN()-1,4))="50192701","Comidas combinadas frescas",""))</f>
        <v>Comidas combinadas frescas</v>
      </c>
      <c r="C4902" s="72" t="str">
        <f>IFERROR(VLOOKUP("UD",'Informacion '!P:Q,2,FALSE),"")</f>
        <v>Unidad</v>
      </c>
      <c r="D4902" s="39">
        <v>2</v>
      </c>
      <c r="E4902" s="42">
        <v>700</v>
      </c>
      <c r="F4902" s="41">
        <f t="shared" ca="1" si="174"/>
        <v>1400</v>
      </c>
    </row>
    <row r="4903" spans="1:10" ht="14.25" customHeight="1" x14ac:dyDescent="0.35">
      <c r="A4903" s="39" t="s">
        <v>10056</v>
      </c>
      <c r="B4903" s="40" t="str">
        <f ca="1">IFERROR(INDEX(UNSPSCDes,MATCH(INDIRECT(ADDRESS(ROW(),COLUMN()-1,4)),UNSPSCCode,0)),IF(INDIRECT(ADDRESS(ROW(),COLUMN()-1,4))="50201706","Café",""))</f>
        <v>Café</v>
      </c>
      <c r="C4903" s="72" t="str">
        <f>IFERROR(VLOOKUP("UD",'Informacion '!P:Q,2,FALSE),"")</f>
        <v>Unidad</v>
      </c>
      <c r="D4903" s="39">
        <v>25</v>
      </c>
      <c r="E4903" s="42">
        <v>125</v>
      </c>
      <c r="F4903" s="41">
        <f t="shared" ca="1" si="174"/>
        <v>3125</v>
      </c>
    </row>
    <row r="4904" spans="1:10" ht="14.25" customHeight="1" x14ac:dyDescent="0.35">
      <c r="A4904" s="39" t="s">
        <v>10056</v>
      </c>
      <c r="B4904" s="40" t="str">
        <f ca="1">IFERROR(INDEX(UNSPSCDes,MATCH(INDIRECT(ADDRESS(ROW(),COLUMN()-1,4)),UNSPSCCode,0)),IF(INDIRECT(ADDRESS(ROW(),COLUMN()-1,4))="50201706","Café",""))</f>
        <v>Café</v>
      </c>
      <c r="C4904" s="72" t="str">
        <f>IFERROR(VLOOKUP("UD",'Informacion '!P:Q,2,FALSE),"")</f>
        <v>Unidad</v>
      </c>
      <c r="D4904" s="39">
        <v>1100</v>
      </c>
      <c r="E4904" s="42">
        <v>223.88</v>
      </c>
      <c r="F4904" s="41">
        <f t="shared" ca="1" si="174"/>
        <v>246268</v>
      </c>
    </row>
    <row r="4905" spans="1:10" ht="14.25" customHeight="1" x14ac:dyDescent="0.35">
      <c r="A4905" s="39" t="s">
        <v>10056</v>
      </c>
      <c r="B4905" s="40" t="str">
        <f ca="1">IFERROR(INDEX(UNSPSCDes,MATCH(INDIRECT(ADDRESS(ROW(),COLUMN()-1,4)),UNSPSCCode,0)),IF(INDIRECT(ADDRESS(ROW(),COLUMN()-1,4))="50201706","Café",""))</f>
        <v>Café</v>
      </c>
      <c r="C4905" s="72" t="str">
        <f>IFERROR(VLOOKUP("UD",'Informacion '!P:Q,2,FALSE),"")</f>
        <v>Unidad</v>
      </c>
      <c r="D4905" s="39">
        <v>159</v>
      </c>
      <c r="E4905" s="42">
        <v>590</v>
      </c>
      <c r="F4905" s="41">
        <f t="shared" ca="1" si="174"/>
        <v>93810</v>
      </c>
    </row>
    <row r="4906" spans="1:10" ht="14.25" customHeight="1" x14ac:dyDescent="0.35">
      <c r="A4906" s="39" t="s">
        <v>17138</v>
      </c>
      <c r="B4906" s="40" t="str">
        <f ca="1">IFERROR(INDEX(UNSPSCDes,MATCH(INDIRECT(ADDRESS(ROW(),COLUMN()-1,4)),UNSPSCCode,0)),IF(INDIRECT(ADDRESS(ROW(),COLUMN()-1,4))="50201713","Bolsas de té",""))</f>
        <v>Bolsas de té</v>
      </c>
      <c r="C4906" s="72" t="str">
        <f>IFERROR(VLOOKUP("UD",'Informacion '!P:Q,2,FALSE),"")</f>
        <v>Unidad</v>
      </c>
      <c r="D4906" s="39">
        <v>50</v>
      </c>
      <c r="E4906" s="42">
        <v>767</v>
      </c>
      <c r="F4906" s="41">
        <f t="shared" ca="1" si="174"/>
        <v>38350</v>
      </c>
    </row>
    <row r="4907" spans="1:10" ht="14.25" customHeight="1" x14ac:dyDescent="0.35">
      <c r="A4907" s="39" t="s">
        <v>17138</v>
      </c>
      <c r="B4907" s="40" t="str">
        <f ca="1">IFERROR(INDEX(UNSPSCDes,MATCH(INDIRECT(ADDRESS(ROW(),COLUMN()-1,4)),UNSPSCCode,0)),IF(INDIRECT(ADDRESS(ROW(),COLUMN()-1,4))="50201713","Bolsas de té",""))</f>
        <v>Bolsas de té</v>
      </c>
      <c r="C4907" s="72" t="str">
        <f>IFERROR(VLOOKUP("UD",'Informacion '!P:Q,2,FALSE),"")</f>
        <v>Unidad</v>
      </c>
      <c r="D4907" s="39">
        <v>75</v>
      </c>
      <c r="E4907" s="42">
        <v>199</v>
      </c>
      <c r="F4907" s="41">
        <f t="shared" ca="1" si="174"/>
        <v>14925</v>
      </c>
    </row>
    <row r="4908" spans="1:10" ht="14.25" customHeight="1" x14ac:dyDescent="0.35">
      <c r="A4908" s="39" t="s">
        <v>8032</v>
      </c>
      <c r="B4908" s="40" t="str">
        <f ca="1">IFERROR(INDEX(UNSPSCDes,MATCH(INDIRECT(ADDRESS(ROW(),COLUMN()-1,4)),UNSPSCCode,0)),IF(INDIRECT(ADDRESS(ROW(),COLUMN()-1,4))="50201714","Cremas no lácteas",""))</f>
        <v>Cremas no lácteas</v>
      </c>
      <c r="C4908" s="72" t="str">
        <f>IFERROR(VLOOKUP("UD",'Informacion '!P:Q,2,FALSE),"")</f>
        <v>Unidad</v>
      </c>
      <c r="D4908" s="39">
        <v>75</v>
      </c>
      <c r="E4908" s="42">
        <v>227.15</v>
      </c>
      <c r="F4908" s="41">
        <f t="shared" ca="1" si="174"/>
        <v>17036.25</v>
      </c>
    </row>
    <row r="4909" spans="1:10" ht="14.25" customHeight="1" x14ac:dyDescent="0.35">
      <c r="A4909" s="39" t="s">
        <v>3869</v>
      </c>
      <c r="B4909" s="40" t="str">
        <f ca="1">IFERROR(INDEX(UNSPSCDes,MATCH(INDIRECT(ADDRESS(ROW(),COLUMN()-1,4)),UNSPSCCode,0)),IF(INDIRECT(ADDRESS(ROW(),COLUMN()-1,4))="50202305","Jugo fresco",""))</f>
        <v>Jugo fresco</v>
      </c>
      <c r="C4909" s="72" t="str">
        <f>IFERROR(VLOOKUP("GAL",'Informacion '!P:Q,2,FALSE),"")</f>
        <v>Galón</v>
      </c>
      <c r="D4909" s="39">
        <v>50</v>
      </c>
      <c r="E4909" s="42">
        <v>472</v>
      </c>
      <c r="F4909" s="41">
        <f t="shared" ca="1" si="174"/>
        <v>23600</v>
      </c>
    </row>
    <row r="4910" spans="1:10" ht="14.25" customHeight="1" x14ac:dyDescent="0.35">
      <c r="A4910" s="39" t="s">
        <v>3869</v>
      </c>
      <c r="B4910" s="40" t="str">
        <f ca="1">IFERROR(INDEX(UNSPSCDes,MATCH(INDIRECT(ADDRESS(ROW(),COLUMN()-1,4)),UNSPSCCode,0)),IF(INDIRECT(ADDRESS(ROW(),COLUMN()-1,4))="50202305","Jugo fresco",""))</f>
        <v>Jugo fresco</v>
      </c>
      <c r="C4910" s="72" t="str">
        <f>IFERROR(VLOOKUP("GAL",'Informacion '!P:Q,2,FALSE),"")</f>
        <v>Galón</v>
      </c>
      <c r="D4910" s="39">
        <v>1</v>
      </c>
      <c r="E4910" s="42">
        <v>472</v>
      </c>
      <c r="F4910" s="41">
        <f t="shared" ca="1" si="174"/>
        <v>472</v>
      </c>
    </row>
    <row r="4911" spans="1:10" ht="14.25" customHeight="1" x14ac:dyDescent="0.35">
      <c r="E4911" s="44" t="s">
        <v>13122</v>
      </c>
      <c r="F4911" s="45">
        <f ca="1">SUM(Table271[MONTO TOTAL ESTIMADO])</f>
        <v>1018336.25</v>
      </c>
      <c r="H4911" s="24" t="str">
        <f>C4891</f>
        <v>Bienes</v>
      </c>
      <c r="I4911" s="24" t="str">
        <f>E4891</f>
        <v>Sí</v>
      </c>
      <c r="J4911" s="24" t="str">
        <f>D4891</f>
        <v>Compras Menores</v>
      </c>
    </row>
    <row r="4913" spans="1:10" ht="34" customHeight="1" x14ac:dyDescent="0.35">
      <c r="A4913" s="36" t="s">
        <v>17105</v>
      </c>
      <c r="B4913" s="36" t="s">
        <v>167</v>
      </c>
      <c r="C4913" s="36" t="s">
        <v>12252</v>
      </c>
      <c r="D4913" s="36" t="s">
        <v>15021</v>
      </c>
      <c r="E4913" s="36" t="s">
        <v>11455</v>
      </c>
      <c r="F4913" s="36" t="s">
        <v>11595</v>
      </c>
    </row>
    <row r="4914" spans="1:10" ht="14.25" customHeight="1" x14ac:dyDescent="0.35">
      <c r="A4914" s="37" t="s">
        <v>4640</v>
      </c>
      <c r="B4914" s="37" t="s">
        <v>4640</v>
      </c>
      <c r="C4914" s="37" t="s">
        <v>18585</v>
      </c>
      <c r="D4914" s="37" t="s">
        <v>18256</v>
      </c>
      <c r="E4914" s="37" t="s">
        <v>9261</v>
      </c>
      <c r="F4914" s="37" t="s">
        <v>7088</v>
      </c>
    </row>
    <row r="4915" spans="1:10" ht="14.25" customHeight="1" x14ac:dyDescent="0.35">
      <c r="A4915" s="75" t="s">
        <v>15490</v>
      </c>
      <c r="B4915" s="38" t="s">
        <v>8918</v>
      </c>
      <c r="C4915" s="68">
        <v>45566</v>
      </c>
      <c r="D4915" s="75" t="s">
        <v>9819</v>
      </c>
      <c r="E4915" s="70" t="s">
        <v>13683</v>
      </c>
      <c r="F4915" s="71" t="s">
        <v>3205</v>
      </c>
    </row>
    <row r="4916" spans="1:10" ht="14.25" customHeight="1" x14ac:dyDescent="0.35">
      <c r="A4916" s="76"/>
      <c r="B4916" s="38" t="s">
        <v>1858</v>
      </c>
      <c r="C4916" s="69">
        <f>IF(C4915="","",IF(AND(MONTH(C4915)&gt;=1,MONTH(C4915)&lt;=3),1,IF(AND(MONTH(C4915)&gt;=4,MONTH(C4915)&lt;=6),2,IF(AND(MONTH(C4915)&gt;=7,MONTH(C4915)&lt;=9),3,4))))</f>
        <v>4</v>
      </c>
      <c r="D4916" s="76"/>
      <c r="E4916" s="70" t="s">
        <v>2509</v>
      </c>
      <c r="F4916" s="71" t="s">
        <v>11612</v>
      </c>
    </row>
    <row r="4917" spans="1:10" ht="14.25" customHeight="1" x14ac:dyDescent="0.35">
      <c r="A4917" s="76"/>
      <c r="B4917" s="38" t="s">
        <v>13526</v>
      </c>
      <c r="C4917" s="68">
        <v>45657</v>
      </c>
      <c r="D4917" s="76"/>
      <c r="E4917" s="70" t="s">
        <v>3198</v>
      </c>
      <c r="F4917" s="71" t="s">
        <v>11612</v>
      </c>
    </row>
    <row r="4918" spans="1:10" ht="14.25" customHeight="1" x14ac:dyDescent="0.35">
      <c r="A4918" s="76"/>
      <c r="B4918" s="38" t="s">
        <v>1858</v>
      </c>
      <c r="C4918" s="69">
        <f>IF(C4917="","",IF(AND(MONTH(C4917)&gt;=1,MONTH(C4917)&lt;=3),1,IF(AND(MONTH(C4917)&gt;=4,MONTH(C4917)&lt;=6),2,IF(AND(MONTH(C4917)&gt;=7,MONTH(C4917)&lt;=9),3,4))))</f>
        <v>4</v>
      </c>
      <c r="D4918" s="76"/>
      <c r="E4918" s="70" t="s">
        <v>13785</v>
      </c>
      <c r="F4918" s="71"/>
    </row>
    <row r="4920" spans="1:10" ht="14.25" customHeight="1" x14ac:dyDescent="0.35">
      <c r="A4920" s="43" t="s">
        <v>16424</v>
      </c>
      <c r="B4920" s="43" t="s">
        <v>16856</v>
      </c>
      <c r="C4920" s="43" t="s">
        <v>16326</v>
      </c>
      <c r="D4920" s="43" t="s">
        <v>15925</v>
      </c>
      <c r="E4920" s="43" t="s">
        <v>7248</v>
      </c>
      <c r="F4920" s="43" t="s">
        <v>15955</v>
      </c>
    </row>
    <row r="4921" spans="1:10" ht="14.25" customHeight="1" x14ac:dyDescent="0.35">
      <c r="A4921" s="39" t="s">
        <v>15619</v>
      </c>
      <c r="B4921" s="40" t="str">
        <f ca="1">IFERROR(INDEX(UNSPSCDes,MATCH(INDIRECT(ADDRESS(ROW(),COLUMN()-1,4)),UNSPSCCode,0)),IF(INDIRECT(ADDRESS(ROW(),COLUMN()-1,4))="50202301","Agua",""))</f>
        <v>Agua</v>
      </c>
      <c r="C4921" s="72" t="str">
        <f>IFERROR(VLOOKUP("PAQ",'Informacion '!P:Q,2,FALSE),"")</f>
        <v>Paquete</v>
      </c>
      <c r="D4921" s="39">
        <v>20</v>
      </c>
      <c r="E4921" s="42">
        <v>226</v>
      </c>
      <c r="F4921" s="41">
        <f ca="1">INDIRECT(ADDRESS(ROW(),COLUMN()-2,4))*INDIRECT(ADDRESS(ROW(),COLUMN()-1,4))</f>
        <v>4520</v>
      </c>
    </row>
    <row r="4922" spans="1:10" ht="14.25" customHeight="1" x14ac:dyDescent="0.35">
      <c r="A4922" s="39" t="s">
        <v>15619</v>
      </c>
      <c r="B4922" s="40" t="str">
        <f ca="1">IFERROR(INDEX(UNSPSCDes,MATCH(INDIRECT(ADDRESS(ROW(),COLUMN()-1,4)),UNSPSCCode,0)),IF(INDIRECT(ADDRESS(ROW(),COLUMN()-1,4))="50202301","Agua",""))</f>
        <v>Agua</v>
      </c>
      <c r="C4922" s="72" t="str">
        <f>IFERROR(VLOOKUP("UD",'Informacion '!P:Q,2,FALSE),"")</f>
        <v>Unidad</v>
      </c>
      <c r="D4922" s="39">
        <v>2000</v>
      </c>
      <c r="E4922" s="42">
        <v>50</v>
      </c>
      <c r="F4922" s="41">
        <f ca="1">INDIRECT(ADDRESS(ROW(),COLUMN()-2,4))*INDIRECT(ADDRESS(ROW(),COLUMN()-1,4))</f>
        <v>100000</v>
      </c>
    </row>
    <row r="4923" spans="1:10" ht="14.25" customHeight="1" x14ac:dyDescent="0.35">
      <c r="A4923" s="39" t="s">
        <v>15619</v>
      </c>
      <c r="B4923" s="40" t="str">
        <f ca="1">IFERROR(INDEX(UNSPSCDes,MATCH(INDIRECT(ADDRESS(ROW(),COLUMN()-1,4)),UNSPSCCode,0)),IF(INDIRECT(ADDRESS(ROW(),COLUMN()-1,4))="50202301","Agua",""))</f>
        <v>Agua</v>
      </c>
      <c r="C4923" s="72" t="str">
        <f>IFERROR(VLOOKUP("UD",'Informacion '!P:Q,2,FALSE),"")</f>
        <v>Unidad</v>
      </c>
      <c r="D4923" s="39">
        <v>1125</v>
      </c>
      <c r="E4923" s="42">
        <v>220</v>
      </c>
      <c r="F4923" s="41">
        <f ca="1">INDIRECT(ADDRESS(ROW(),COLUMN()-2,4))*INDIRECT(ADDRESS(ROW(),COLUMN()-1,4))</f>
        <v>247500</v>
      </c>
    </row>
    <row r="4924" spans="1:10" ht="14.25" customHeight="1" x14ac:dyDescent="0.35">
      <c r="E4924" s="44" t="s">
        <v>13122</v>
      </c>
      <c r="F4924" s="45">
        <f ca="1">SUM(Table272[MONTO TOTAL ESTIMADO])</f>
        <v>352020</v>
      </c>
      <c r="H4924" s="24" t="str">
        <f>C4914</f>
        <v>Bienes</v>
      </c>
      <c r="I4924" s="24" t="str">
        <f>E4914</f>
        <v>Sí</v>
      </c>
      <c r="J4924" s="24" t="str">
        <f>D4914</f>
        <v>Compras Menores</v>
      </c>
    </row>
    <row r="4926" spans="1:10" ht="34" customHeight="1" x14ac:dyDescent="0.35">
      <c r="A4926" s="36" t="s">
        <v>17105</v>
      </c>
      <c r="B4926" s="36" t="s">
        <v>167</v>
      </c>
      <c r="C4926" s="36" t="s">
        <v>12252</v>
      </c>
      <c r="D4926" s="36" t="s">
        <v>15021</v>
      </c>
      <c r="E4926" s="36" t="s">
        <v>11455</v>
      </c>
      <c r="F4926" s="36" t="s">
        <v>11595</v>
      </c>
    </row>
    <row r="4927" spans="1:10" ht="14.25" customHeight="1" x14ac:dyDescent="0.35">
      <c r="A4927" s="37" t="s">
        <v>4640</v>
      </c>
      <c r="B4927" s="37" t="s">
        <v>4640</v>
      </c>
      <c r="C4927" s="37" t="s">
        <v>18585</v>
      </c>
      <c r="D4927" s="37" t="s">
        <v>18256</v>
      </c>
      <c r="E4927" s="37" t="s">
        <v>9261</v>
      </c>
      <c r="F4927" s="37" t="s">
        <v>7088</v>
      </c>
    </row>
    <row r="4928" spans="1:10" ht="14.25" customHeight="1" x14ac:dyDescent="0.35">
      <c r="A4928" s="75" t="s">
        <v>15490</v>
      </c>
      <c r="B4928" s="38" t="s">
        <v>8918</v>
      </c>
      <c r="C4928" s="68">
        <v>45334</v>
      </c>
      <c r="D4928" s="75" t="s">
        <v>9819</v>
      </c>
      <c r="E4928" s="70" t="s">
        <v>13683</v>
      </c>
      <c r="F4928" s="71" t="s">
        <v>3205</v>
      </c>
    </row>
    <row r="4929" spans="1:10" ht="14.25" customHeight="1" x14ac:dyDescent="0.35">
      <c r="A4929" s="76"/>
      <c r="B4929" s="38" t="s">
        <v>1858</v>
      </c>
      <c r="C4929" s="69">
        <f>IF(C4928="","",IF(AND(MONTH(C4928)&gt;=1,MONTH(C4928)&lt;=3),1,IF(AND(MONTH(C4928)&gt;=4,MONTH(C4928)&lt;=6),2,IF(AND(MONTH(C4928)&gt;=7,MONTH(C4928)&lt;=9),3,4))))</f>
        <v>1</v>
      </c>
      <c r="D4929" s="76"/>
      <c r="E4929" s="70" t="s">
        <v>2509</v>
      </c>
      <c r="F4929" s="71" t="s">
        <v>11612</v>
      </c>
    </row>
    <row r="4930" spans="1:10" ht="14.25" customHeight="1" x14ac:dyDescent="0.35">
      <c r="A4930" s="76"/>
      <c r="B4930" s="38" t="s">
        <v>13526</v>
      </c>
      <c r="C4930" s="68">
        <v>45379</v>
      </c>
      <c r="D4930" s="76"/>
      <c r="E4930" s="70" t="s">
        <v>3198</v>
      </c>
      <c r="F4930" s="71" t="s">
        <v>11612</v>
      </c>
    </row>
    <row r="4931" spans="1:10" ht="14.25" customHeight="1" x14ac:dyDescent="0.35">
      <c r="A4931" s="76"/>
      <c r="B4931" s="38" t="s">
        <v>1858</v>
      </c>
      <c r="C4931" s="69">
        <f>IF(C4930="","",IF(AND(MONTH(C4930)&gt;=1,MONTH(C4930)&lt;=3),1,IF(AND(MONTH(C4930)&gt;=4,MONTH(C4930)&lt;=6),2,IF(AND(MONTH(C4930)&gt;=7,MONTH(C4930)&lt;=9),3,4))))</f>
        <v>1</v>
      </c>
      <c r="D4931" s="76"/>
      <c r="E4931" s="70" t="s">
        <v>13785</v>
      </c>
      <c r="F4931" s="71"/>
    </row>
    <row r="4933" spans="1:10" ht="14.25" customHeight="1" x14ac:dyDescent="0.35">
      <c r="A4933" s="43" t="s">
        <v>16424</v>
      </c>
      <c r="B4933" s="43" t="s">
        <v>16856</v>
      </c>
      <c r="C4933" s="43" t="s">
        <v>16326</v>
      </c>
      <c r="D4933" s="43" t="s">
        <v>15925</v>
      </c>
      <c r="E4933" s="43" t="s">
        <v>7248</v>
      </c>
      <c r="F4933" s="43" t="s">
        <v>15955</v>
      </c>
    </row>
    <row r="4934" spans="1:10" ht="14.25" customHeight="1" x14ac:dyDescent="0.35">
      <c r="A4934" s="39" t="s">
        <v>15619</v>
      </c>
      <c r="B4934" s="40" t="str">
        <f ca="1">IFERROR(INDEX(UNSPSCDes,MATCH(INDIRECT(ADDRESS(ROW(),COLUMN()-1,4)),UNSPSCCode,0)),IF(INDIRECT(ADDRESS(ROW(),COLUMN()-1,4))="50202301","Agua",""))</f>
        <v>Agua</v>
      </c>
      <c r="C4934" s="72" t="str">
        <f>IFERROR(VLOOKUP("PAQ",'Informacion '!P:Q,2,FALSE),"")</f>
        <v>Paquete</v>
      </c>
      <c r="D4934" s="39">
        <v>100</v>
      </c>
      <c r="E4934" s="42">
        <v>200</v>
      </c>
      <c r="F4934" s="41">
        <f ca="1">INDIRECT(ADDRESS(ROW(),COLUMN()-2,4))*INDIRECT(ADDRESS(ROW(),COLUMN()-1,4))</f>
        <v>20000</v>
      </c>
    </row>
    <row r="4935" spans="1:10" ht="14.25" customHeight="1" x14ac:dyDescent="0.35">
      <c r="A4935" s="39" t="s">
        <v>15619</v>
      </c>
      <c r="B4935" s="40" t="str">
        <f ca="1">IFERROR(INDEX(UNSPSCDes,MATCH(INDIRECT(ADDRESS(ROW(),COLUMN()-1,4)),UNSPSCCode,0)),IF(INDIRECT(ADDRESS(ROW(),COLUMN()-1,4))="50202301","Agua",""))</f>
        <v>Agua</v>
      </c>
      <c r="C4935" s="72" t="str">
        <f>IFERROR(VLOOKUP("UD",'Informacion '!P:Q,2,FALSE),"")</f>
        <v>Unidad</v>
      </c>
      <c r="D4935" s="39">
        <v>2000</v>
      </c>
      <c r="E4935" s="42">
        <v>50</v>
      </c>
      <c r="F4935" s="41">
        <f ca="1">INDIRECT(ADDRESS(ROW(),COLUMN()-2,4))*INDIRECT(ADDRESS(ROW(),COLUMN()-1,4))</f>
        <v>100000</v>
      </c>
    </row>
    <row r="4936" spans="1:10" ht="14.25" customHeight="1" x14ac:dyDescent="0.35">
      <c r="A4936" s="39" t="s">
        <v>15619</v>
      </c>
      <c r="B4936" s="40" t="str">
        <f ca="1">IFERROR(INDEX(UNSPSCDes,MATCH(INDIRECT(ADDRESS(ROW(),COLUMN()-1,4)),UNSPSCCode,0)),IF(INDIRECT(ADDRESS(ROW(),COLUMN()-1,4))="50202301","Agua",""))</f>
        <v>Agua</v>
      </c>
      <c r="C4936" s="72" t="str">
        <f>IFERROR(VLOOKUP("UD",'Informacion '!P:Q,2,FALSE),"")</f>
        <v>Unidad</v>
      </c>
      <c r="D4936" s="39">
        <v>1125</v>
      </c>
      <c r="E4936" s="42">
        <v>220</v>
      </c>
      <c r="F4936" s="41">
        <f ca="1">INDIRECT(ADDRESS(ROW(),COLUMN()-2,4))*INDIRECT(ADDRESS(ROW(),COLUMN()-1,4))</f>
        <v>247500</v>
      </c>
    </row>
    <row r="4937" spans="1:10" ht="14.25" customHeight="1" x14ac:dyDescent="0.35">
      <c r="A4937" s="39" t="s">
        <v>12304</v>
      </c>
      <c r="B4937" s="40" t="str">
        <f ca="1">IFERROR(INDEX(UNSPSCDes,MATCH(INDIRECT(ADDRESS(ROW(),COLUMN()-1,4)),UNSPSCCode,0)),IF(INDIRECT(ADDRESS(ROW(),COLUMN()-1,4))="50202310","Agua mineral",""))</f>
        <v>Agua mineral</v>
      </c>
      <c r="C4937" s="72" t="str">
        <f>IFERROR(VLOOKUP("UD",'Informacion '!P:Q,2,FALSE),"")</f>
        <v>Unidad</v>
      </c>
      <c r="D4937" s="39">
        <v>5000</v>
      </c>
      <c r="E4937" s="42">
        <v>49</v>
      </c>
      <c r="F4937" s="41">
        <f ca="1">INDIRECT(ADDRESS(ROW(),COLUMN()-2,4))*INDIRECT(ADDRESS(ROW(),COLUMN()-1,4))</f>
        <v>245000</v>
      </c>
    </row>
    <row r="4938" spans="1:10" ht="14.25" customHeight="1" x14ac:dyDescent="0.35">
      <c r="E4938" s="44" t="s">
        <v>13122</v>
      </c>
      <c r="F4938" s="45">
        <f ca="1">SUM(Table273[MONTO TOTAL ESTIMADO])</f>
        <v>612500</v>
      </c>
      <c r="H4938" s="24" t="str">
        <f>C4927</f>
        <v>Bienes</v>
      </c>
      <c r="I4938" s="24" t="str">
        <f>E4927</f>
        <v>Sí</v>
      </c>
      <c r="J4938" s="24" t="str">
        <f>D4927</f>
        <v>Compras Menores</v>
      </c>
    </row>
    <row r="4940" spans="1:10" ht="34" customHeight="1" x14ac:dyDescent="0.35">
      <c r="A4940" s="36" t="s">
        <v>17105</v>
      </c>
      <c r="B4940" s="36" t="s">
        <v>167</v>
      </c>
      <c r="C4940" s="36" t="s">
        <v>12252</v>
      </c>
      <c r="D4940" s="36" t="s">
        <v>15021</v>
      </c>
      <c r="E4940" s="36" t="s">
        <v>11455</v>
      </c>
      <c r="F4940" s="36" t="s">
        <v>11595</v>
      </c>
    </row>
    <row r="4941" spans="1:10" ht="14.25" customHeight="1" x14ac:dyDescent="0.35">
      <c r="A4941" s="37" t="s">
        <v>4640</v>
      </c>
      <c r="B4941" s="37" t="s">
        <v>4640</v>
      </c>
      <c r="C4941" s="37" t="s">
        <v>18585</v>
      </c>
      <c r="D4941" s="37" t="s">
        <v>18256</v>
      </c>
      <c r="E4941" s="37" t="s">
        <v>9261</v>
      </c>
      <c r="F4941" s="37" t="s">
        <v>7088</v>
      </c>
    </row>
    <row r="4942" spans="1:10" ht="14.25" customHeight="1" x14ac:dyDescent="0.35">
      <c r="A4942" s="75" t="s">
        <v>15490</v>
      </c>
      <c r="B4942" s="38" t="s">
        <v>8918</v>
      </c>
      <c r="C4942" s="68">
        <v>45352</v>
      </c>
      <c r="D4942" s="75" t="s">
        <v>9819</v>
      </c>
      <c r="E4942" s="70" t="s">
        <v>13683</v>
      </c>
      <c r="F4942" s="71" t="s">
        <v>3205</v>
      </c>
    </row>
    <row r="4943" spans="1:10" ht="14.25" customHeight="1" x14ac:dyDescent="0.35">
      <c r="A4943" s="76"/>
      <c r="B4943" s="38" t="s">
        <v>1858</v>
      </c>
      <c r="C4943" s="69">
        <f>IF(C4942="","",IF(AND(MONTH(C4942)&gt;=1,MONTH(C4942)&lt;=3),1,IF(AND(MONTH(C4942)&gt;=4,MONTH(C4942)&lt;=6),2,IF(AND(MONTH(C4942)&gt;=7,MONTH(C4942)&lt;=9),3,4))))</f>
        <v>1</v>
      </c>
      <c r="D4943" s="76"/>
      <c r="E4943" s="70" t="s">
        <v>2509</v>
      </c>
      <c r="F4943" s="71" t="s">
        <v>11612</v>
      </c>
    </row>
    <row r="4944" spans="1:10" ht="14.25" customHeight="1" x14ac:dyDescent="0.35">
      <c r="A4944" s="76"/>
      <c r="B4944" s="38" t="s">
        <v>13526</v>
      </c>
      <c r="C4944" s="68">
        <v>45443</v>
      </c>
      <c r="D4944" s="76"/>
      <c r="E4944" s="70" t="s">
        <v>3198</v>
      </c>
      <c r="F4944" s="71" t="s">
        <v>11612</v>
      </c>
    </row>
    <row r="4945" spans="1:10" ht="14.25" customHeight="1" x14ac:dyDescent="0.35">
      <c r="A4945" s="76"/>
      <c r="B4945" s="38" t="s">
        <v>1858</v>
      </c>
      <c r="C4945" s="69">
        <f>IF(C4944="","",IF(AND(MONTH(C4944)&gt;=1,MONTH(C4944)&lt;=3),1,IF(AND(MONTH(C4944)&gt;=4,MONTH(C4944)&lt;=6),2,IF(AND(MONTH(C4944)&gt;=7,MONTH(C4944)&lt;=9),3,4))))</f>
        <v>2</v>
      </c>
      <c r="D4945" s="76"/>
      <c r="E4945" s="70" t="s">
        <v>13785</v>
      </c>
      <c r="F4945" s="71"/>
    </row>
    <row r="4947" spans="1:10" ht="14.25" customHeight="1" x14ac:dyDescent="0.35">
      <c r="A4947" s="43" t="s">
        <v>16424</v>
      </c>
      <c r="B4947" s="43" t="s">
        <v>16856</v>
      </c>
      <c r="C4947" s="43" t="s">
        <v>16326</v>
      </c>
      <c r="D4947" s="43" t="s">
        <v>15925</v>
      </c>
      <c r="E4947" s="43" t="s">
        <v>7248</v>
      </c>
      <c r="F4947" s="43" t="s">
        <v>15955</v>
      </c>
    </row>
    <row r="4948" spans="1:10" ht="14.25" customHeight="1" x14ac:dyDescent="0.35">
      <c r="A4948" s="39" t="s">
        <v>15619</v>
      </c>
      <c r="B4948" s="40" t="str">
        <f ca="1">IFERROR(INDEX(UNSPSCDes,MATCH(INDIRECT(ADDRESS(ROW(),COLUMN()-1,4)),UNSPSCCode,0)),IF(INDIRECT(ADDRESS(ROW(),COLUMN()-1,4))="50202301","Agua",""))</f>
        <v>Agua</v>
      </c>
      <c r="C4948" s="72" t="str">
        <f>IFERROR(VLOOKUP("UD",'Informacion '!P:Q,2,FALSE),"")</f>
        <v>Unidad</v>
      </c>
      <c r="D4948" s="39">
        <v>2000</v>
      </c>
      <c r="E4948" s="42">
        <v>50</v>
      </c>
      <c r="F4948" s="41">
        <f ca="1">INDIRECT(ADDRESS(ROW(),COLUMN()-2,4))*INDIRECT(ADDRESS(ROW(),COLUMN()-1,4))</f>
        <v>100000</v>
      </c>
    </row>
    <row r="4949" spans="1:10" ht="14.25" customHeight="1" x14ac:dyDescent="0.35">
      <c r="A4949" s="39" t="s">
        <v>15619</v>
      </c>
      <c r="B4949" s="40" t="str">
        <f ca="1">IFERROR(INDEX(UNSPSCDes,MATCH(INDIRECT(ADDRESS(ROW(),COLUMN()-1,4)),UNSPSCCode,0)),IF(INDIRECT(ADDRESS(ROW(),COLUMN()-1,4))="50202301","Agua",""))</f>
        <v>Agua</v>
      </c>
      <c r="C4949" s="72" t="str">
        <f>IFERROR(VLOOKUP("UD",'Informacion '!P:Q,2,FALSE),"")</f>
        <v>Unidad</v>
      </c>
      <c r="D4949" s="39">
        <v>1125</v>
      </c>
      <c r="E4949" s="42">
        <v>220</v>
      </c>
      <c r="F4949" s="41">
        <f ca="1">INDIRECT(ADDRESS(ROW(),COLUMN()-2,4))*INDIRECT(ADDRESS(ROW(),COLUMN()-1,4))</f>
        <v>247500</v>
      </c>
    </row>
    <row r="4950" spans="1:10" ht="14.25" customHeight="1" x14ac:dyDescent="0.35">
      <c r="E4950" s="44" t="s">
        <v>13122</v>
      </c>
      <c r="F4950" s="45">
        <f ca="1">SUM(Table274[MONTO TOTAL ESTIMADO])</f>
        <v>347500</v>
      </c>
      <c r="H4950" s="24" t="str">
        <f>C4941</f>
        <v>Bienes</v>
      </c>
      <c r="I4950" s="24" t="str">
        <f>E4941</f>
        <v>Sí</v>
      </c>
      <c r="J4950" s="24" t="str">
        <f>D4941</f>
        <v>Compras Menores</v>
      </c>
    </row>
    <row r="4952" spans="1:10" ht="34" customHeight="1" x14ac:dyDescent="0.35">
      <c r="A4952" s="36" t="s">
        <v>17105</v>
      </c>
      <c r="B4952" s="36" t="s">
        <v>167</v>
      </c>
      <c r="C4952" s="36" t="s">
        <v>12252</v>
      </c>
      <c r="D4952" s="36" t="s">
        <v>15021</v>
      </c>
      <c r="E4952" s="36" t="s">
        <v>11455</v>
      </c>
      <c r="F4952" s="36" t="s">
        <v>11595</v>
      </c>
    </row>
    <row r="4953" spans="1:10" ht="14.25" customHeight="1" x14ac:dyDescent="0.35">
      <c r="A4953" s="37" t="s">
        <v>4640</v>
      </c>
      <c r="B4953" s="37" t="s">
        <v>4640</v>
      </c>
      <c r="C4953" s="37" t="s">
        <v>18585</v>
      </c>
      <c r="D4953" s="37" t="s">
        <v>18256</v>
      </c>
      <c r="E4953" s="37" t="s">
        <v>9261</v>
      </c>
      <c r="F4953" s="37" t="s">
        <v>7088</v>
      </c>
    </row>
    <row r="4954" spans="1:10" ht="14.25" customHeight="1" x14ac:dyDescent="0.35">
      <c r="A4954" s="75" t="s">
        <v>15490</v>
      </c>
      <c r="B4954" s="38" t="s">
        <v>8918</v>
      </c>
      <c r="C4954" s="68">
        <v>45446</v>
      </c>
      <c r="D4954" s="75" t="s">
        <v>9819</v>
      </c>
      <c r="E4954" s="70" t="s">
        <v>13683</v>
      </c>
      <c r="F4954" s="71" t="s">
        <v>3205</v>
      </c>
    </row>
    <row r="4955" spans="1:10" ht="14.25" customHeight="1" x14ac:dyDescent="0.35">
      <c r="A4955" s="76"/>
      <c r="B4955" s="38" t="s">
        <v>1858</v>
      </c>
      <c r="C4955" s="69">
        <f>IF(C4954="","",IF(AND(MONTH(C4954)&gt;=1,MONTH(C4954)&lt;=3),1,IF(AND(MONTH(C4954)&gt;=4,MONTH(C4954)&lt;=6),2,IF(AND(MONTH(C4954)&gt;=7,MONTH(C4954)&lt;=9),3,4))))</f>
        <v>2</v>
      </c>
      <c r="D4955" s="76"/>
      <c r="E4955" s="70" t="s">
        <v>2509</v>
      </c>
      <c r="F4955" s="71" t="s">
        <v>11612</v>
      </c>
    </row>
    <row r="4956" spans="1:10" ht="14.25" customHeight="1" x14ac:dyDescent="0.35">
      <c r="A4956" s="76"/>
      <c r="B4956" s="38" t="s">
        <v>13526</v>
      </c>
      <c r="C4956" s="68">
        <v>45534</v>
      </c>
      <c r="D4956" s="76"/>
      <c r="E4956" s="70" t="s">
        <v>3198</v>
      </c>
      <c r="F4956" s="71" t="s">
        <v>11612</v>
      </c>
    </row>
    <row r="4957" spans="1:10" ht="14.25" customHeight="1" x14ac:dyDescent="0.35">
      <c r="A4957" s="76"/>
      <c r="B4957" s="38" t="s">
        <v>1858</v>
      </c>
      <c r="C4957" s="69">
        <f>IF(C4956="","",IF(AND(MONTH(C4956)&gt;=1,MONTH(C4956)&lt;=3),1,IF(AND(MONTH(C4956)&gt;=4,MONTH(C4956)&lt;=6),2,IF(AND(MONTH(C4956)&gt;=7,MONTH(C4956)&lt;=9),3,4))))</f>
        <v>3</v>
      </c>
      <c r="D4957" s="76"/>
      <c r="E4957" s="70" t="s">
        <v>13785</v>
      </c>
      <c r="F4957" s="71"/>
    </row>
    <row r="4959" spans="1:10" ht="14.25" customHeight="1" x14ac:dyDescent="0.35">
      <c r="A4959" s="43" t="s">
        <v>16424</v>
      </c>
      <c r="B4959" s="43" t="s">
        <v>16856</v>
      </c>
      <c r="C4959" s="43" t="s">
        <v>16326</v>
      </c>
      <c r="D4959" s="43" t="s">
        <v>15925</v>
      </c>
      <c r="E4959" s="43" t="s">
        <v>7248</v>
      </c>
      <c r="F4959" s="43" t="s">
        <v>15955</v>
      </c>
    </row>
    <row r="4960" spans="1:10" ht="14.25" customHeight="1" x14ac:dyDescent="0.35">
      <c r="A4960" s="39" t="s">
        <v>15619</v>
      </c>
      <c r="B4960" s="40" t="str">
        <f ca="1">IFERROR(INDEX(UNSPSCDes,MATCH(INDIRECT(ADDRESS(ROW(),COLUMN()-1,4)),UNSPSCCode,0)),IF(INDIRECT(ADDRESS(ROW(),COLUMN()-1,4))="50202301","Agua",""))</f>
        <v>Agua</v>
      </c>
      <c r="C4960" s="72" t="str">
        <f>IFERROR(VLOOKUP("UD",'Informacion '!P:Q,2,FALSE),"")</f>
        <v>Unidad</v>
      </c>
      <c r="D4960" s="39">
        <v>2000</v>
      </c>
      <c r="E4960" s="42">
        <v>50</v>
      </c>
      <c r="F4960" s="41">
        <f ca="1">INDIRECT(ADDRESS(ROW(),COLUMN()-2,4))*INDIRECT(ADDRESS(ROW(),COLUMN()-1,4))</f>
        <v>100000</v>
      </c>
    </row>
    <row r="4961" spans="1:10" ht="14.25" customHeight="1" x14ac:dyDescent="0.35">
      <c r="A4961" s="39" t="s">
        <v>15619</v>
      </c>
      <c r="B4961" s="40" t="str">
        <f ca="1">IFERROR(INDEX(UNSPSCDes,MATCH(INDIRECT(ADDRESS(ROW(),COLUMN()-1,4)),UNSPSCCode,0)),IF(INDIRECT(ADDRESS(ROW(),COLUMN()-1,4))="50202301","Agua",""))</f>
        <v>Agua</v>
      </c>
      <c r="C4961" s="72" t="str">
        <f>IFERROR(VLOOKUP("UD",'Informacion '!P:Q,2,FALSE),"")</f>
        <v>Unidad</v>
      </c>
      <c r="D4961" s="39">
        <v>1125</v>
      </c>
      <c r="E4961" s="42">
        <v>220</v>
      </c>
      <c r="F4961" s="41">
        <f ca="1">INDIRECT(ADDRESS(ROW(),COLUMN()-2,4))*INDIRECT(ADDRESS(ROW(),COLUMN()-1,4))</f>
        <v>247500</v>
      </c>
    </row>
    <row r="4962" spans="1:10" ht="14.25" customHeight="1" x14ac:dyDescent="0.35">
      <c r="E4962" s="44" t="s">
        <v>13122</v>
      </c>
      <c r="F4962" s="45">
        <f ca="1">SUM(Table275[MONTO TOTAL ESTIMADO])</f>
        <v>347500</v>
      </c>
      <c r="H4962" s="24" t="str">
        <f>C4953</f>
        <v>Bienes</v>
      </c>
      <c r="I4962" s="24" t="str">
        <f>E4953</f>
        <v>Sí</v>
      </c>
      <c r="J4962" s="24" t="str">
        <f>D4953</f>
        <v>Compras Menores</v>
      </c>
    </row>
    <row r="4964" spans="1:10" ht="34" customHeight="1" x14ac:dyDescent="0.35">
      <c r="A4964" s="36" t="s">
        <v>17105</v>
      </c>
      <c r="B4964" s="36" t="s">
        <v>167</v>
      </c>
      <c r="C4964" s="36" t="s">
        <v>12252</v>
      </c>
      <c r="D4964" s="36" t="s">
        <v>15021</v>
      </c>
      <c r="E4964" s="36" t="s">
        <v>11455</v>
      </c>
      <c r="F4964" s="36" t="s">
        <v>11595</v>
      </c>
    </row>
    <row r="4965" spans="1:10" ht="14.25" customHeight="1" x14ac:dyDescent="0.35">
      <c r="A4965" s="37" t="s">
        <v>17325</v>
      </c>
      <c r="B4965" s="37" t="s">
        <v>17325</v>
      </c>
      <c r="C4965" s="37" t="s">
        <v>18585</v>
      </c>
      <c r="D4965" s="37" t="s">
        <v>10634</v>
      </c>
      <c r="E4965" s="37" t="s">
        <v>9261</v>
      </c>
      <c r="F4965" s="37" t="s">
        <v>7088</v>
      </c>
    </row>
    <row r="4966" spans="1:10" ht="14.25" customHeight="1" x14ac:dyDescent="0.35">
      <c r="A4966" s="75" t="s">
        <v>15490</v>
      </c>
      <c r="B4966" s="38" t="s">
        <v>8918</v>
      </c>
      <c r="C4966" s="68">
        <v>45383</v>
      </c>
      <c r="D4966" s="75" t="s">
        <v>9819</v>
      </c>
      <c r="E4966" s="70" t="s">
        <v>13683</v>
      </c>
      <c r="F4966" s="71" t="s">
        <v>3205</v>
      </c>
    </row>
    <row r="4967" spans="1:10" ht="14.25" customHeight="1" x14ac:dyDescent="0.35">
      <c r="A4967" s="76"/>
      <c r="B4967" s="38" t="s">
        <v>1858</v>
      </c>
      <c r="C4967" s="69">
        <f>IF(C4966="","",IF(AND(MONTH(C4966)&gt;=1,MONTH(C4966)&lt;=3),1,IF(AND(MONTH(C4966)&gt;=4,MONTH(C4966)&lt;=6),2,IF(AND(MONTH(C4966)&gt;=7,MONTH(C4966)&lt;=9),3,4))))</f>
        <v>2</v>
      </c>
      <c r="D4967" s="76"/>
      <c r="E4967" s="70" t="s">
        <v>2509</v>
      </c>
      <c r="F4967" s="71" t="s">
        <v>11612</v>
      </c>
    </row>
    <row r="4968" spans="1:10" ht="14.25" customHeight="1" x14ac:dyDescent="0.35">
      <c r="A4968" s="76"/>
      <c r="B4968" s="38" t="s">
        <v>13526</v>
      </c>
      <c r="C4968" s="68">
        <v>45471</v>
      </c>
      <c r="D4968" s="76"/>
      <c r="E4968" s="70" t="s">
        <v>3198</v>
      </c>
      <c r="F4968" s="71" t="s">
        <v>11612</v>
      </c>
    </row>
    <row r="4969" spans="1:10" ht="14.25" customHeight="1" x14ac:dyDescent="0.35">
      <c r="A4969" s="76"/>
      <c r="B4969" s="38" t="s">
        <v>1858</v>
      </c>
      <c r="C4969" s="69">
        <f>IF(C4968="","",IF(AND(MONTH(C4968)&gt;=1,MONTH(C4968)&lt;=3),1,IF(AND(MONTH(C4968)&gt;=4,MONTH(C4968)&lt;=6),2,IF(AND(MONTH(C4968)&gt;=7,MONTH(C4968)&lt;=9),3,4))))</f>
        <v>2</v>
      </c>
      <c r="D4969" s="76"/>
      <c r="E4969" s="70" t="s">
        <v>13785</v>
      </c>
      <c r="F4969" s="71"/>
    </row>
    <row r="4971" spans="1:10" ht="14.25" customHeight="1" x14ac:dyDescent="0.35">
      <c r="A4971" s="43" t="s">
        <v>16424</v>
      </c>
      <c r="B4971" s="43" t="s">
        <v>16856</v>
      </c>
      <c r="C4971" s="43" t="s">
        <v>16326</v>
      </c>
      <c r="D4971" s="43" t="s">
        <v>15925</v>
      </c>
      <c r="E4971" s="43" t="s">
        <v>7248</v>
      </c>
      <c r="F4971" s="43" t="s">
        <v>15955</v>
      </c>
    </row>
    <row r="4972" spans="1:10" ht="14.25" customHeight="1" x14ac:dyDescent="0.35">
      <c r="A4972" s="39" t="s">
        <v>18935</v>
      </c>
      <c r="B4972" s="40" t="str">
        <f ca="1">IFERROR(INDEX(UNSPSCDes,MATCH(INDIRECT(ADDRESS(ROW(),COLUMN()-1,4)),UNSPSCCode,0)),IF(INDIRECT(ADDRESS(ROW(),COLUMN()-1,4))="10141608","Arneses o sus accesorios",""))</f>
        <v>Arneses o sus accesorios</v>
      </c>
      <c r="C4972" s="72" t="str">
        <f>IFERROR(VLOOKUP("UD",'Informacion '!P:Q,2,FALSE),"")</f>
        <v>Unidad</v>
      </c>
      <c r="D4972" s="39">
        <v>1</v>
      </c>
      <c r="E4972" s="42">
        <v>9440</v>
      </c>
      <c r="F4972" s="41">
        <f ca="1">INDIRECT(ADDRESS(ROW(),COLUMN()-2,4))*INDIRECT(ADDRESS(ROW(),COLUMN()-1,4))</f>
        <v>9440</v>
      </c>
    </row>
    <row r="4973" spans="1:10" ht="14.25" customHeight="1" x14ac:dyDescent="0.35">
      <c r="E4973" s="44" t="s">
        <v>13122</v>
      </c>
      <c r="F4973" s="45">
        <f ca="1">SUM(Table276[MONTO TOTAL ESTIMADO])</f>
        <v>9440</v>
      </c>
      <c r="H4973" s="24" t="str">
        <f>C4965</f>
        <v>Bienes</v>
      </c>
      <c r="I4973" s="24" t="str">
        <f>E4965</f>
        <v>Sí</v>
      </c>
      <c r="J4973" s="24" t="str">
        <f>D4965</f>
        <v>Compras por debajo del Umbral</v>
      </c>
    </row>
    <row r="4975" spans="1:10" ht="34" customHeight="1" x14ac:dyDescent="0.35">
      <c r="A4975" s="36" t="s">
        <v>17105</v>
      </c>
      <c r="B4975" s="36" t="s">
        <v>167</v>
      </c>
      <c r="C4975" s="36" t="s">
        <v>12252</v>
      </c>
      <c r="D4975" s="36" t="s">
        <v>15021</v>
      </c>
      <c r="E4975" s="36" t="s">
        <v>11455</v>
      </c>
      <c r="F4975" s="36" t="s">
        <v>11595</v>
      </c>
    </row>
    <row r="4976" spans="1:10" ht="14.25" customHeight="1" x14ac:dyDescent="0.35">
      <c r="A4976" s="37" t="s">
        <v>17126</v>
      </c>
      <c r="B4976" s="37" t="s">
        <v>17126</v>
      </c>
      <c r="C4976" s="37" t="s">
        <v>18585</v>
      </c>
      <c r="D4976" s="37" t="s">
        <v>18256</v>
      </c>
      <c r="E4976" s="37" t="s">
        <v>6314</v>
      </c>
      <c r="F4976" s="37" t="s">
        <v>7088</v>
      </c>
    </row>
    <row r="4977" spans="1:10" ht="14.25" customHeight="1" x14ac:dyDescent="0.35">
      <c r="A4977" s="75" t="s">
        <v>15490</v>
      </c>
      <c r="B4977" s="38" t="s">
        <v>8918</v>
      </c>
      <c r="C4977" s="68">
        <v>45334</v>
      </c>
      <c r="D4977" s="75" t="s">
        <v>9819</v>
      </c>
      <c r="E4977" s="70" t="s">
        <v>13683</v>
      </c>
      <c r="F4977" s="71" t="s">
        <v>3205</v>
      </c>
    </row>
    <row r="4978" spans="1:10" ht="14.25" customHeight="1" x14ac:dyDescent="0.35">
      <c r="A4978" s="76"/>
      <c r="B4978" s="38" t="s">
        <v>1858</v>
      </c>
      <c r="C4978" s="69">
        <f>IF(C4977="","",IF(AND(MONTH(C4977)&gt;=1,MONTH(C4977)&lt;=3),1,IF(AND(MONTH(C4977)&gt;=4,MONTH(C4977)&lt;=6),2,IF(AND(MONTH(C4977)&gt;=7,MONTH(C4977)&lt;=9),3,4))))</f>
        <v>1</v>
      </c>
      <c r="D4978" s="76"/>
      <c r="E4978" s="70" t="s">
        <v>2509</v>
      </c>
      <c r="F4978" s="71" t="s">
        <v>11612</v>
      </c>
    </row>
    <row r="4979" spans="1:10" ht="14.25" customHeight="1" x14ac:dyDescent="0.35">
      <c r="A4979" s="76"/>
      <c r="B4979" s="38" t="s">
        <v>13526</v>
      </c>
      <c r="C4979" s="68">
        <v>45352</v>
      </c>
      <c r="D4979" s="76"/>
      <c r="E4979" s="70" t="s">
        <v>3198</v>
      </c>
      <c r="F4979" s="71" t="s">
        <v>11612</v>
      </c>
    </row>
    <row r="4980" spans="1:10" ht="14.25" customHeight="1" x14ac:dyDescent="0.35">
      <c r="A4980" s="76"/>
      <c r="B4980" s="38" t="s">
        <v>1858</v>
      </c>
      <c r="C4980" s="69">
        <f>IF(C4979="","",IF(AND(MONTH(C4979)&gt;=1,MONTH(C4979)&lt;=3),1,IF(AND(MONTH(C4979)&gt;=4,MONTH(C4979)&lt;=6),2,IF(AND(MONTH(C4979)&gt;=7,MONTH(C4979)&lt;=9),3,4))))</f>
        <v>1</v>
      </c>
      <c r="D4980" s="76"/>
      <c r="E4980" s="70" t="s">
        <v>13785</v>
      </c>
      <c r="F4980" s="71"/>
    </row>
    <row r="4982" spans="1:10" ht="14.25" customHeight="1" x14ac:dyDescent="0.35">
      <c r="A4982" s="43" t="s">
        <v>16424</v>
      </c>
      <c r="B4982" s="43" t="s">
        <v>16856</v>
      </c>
      <c r="C4982" s="43" t="s">
        <v>16326</v>
      </c>
      <c r="D4982" s="43" t="s">
        <v>15925</v>
      </c>
      <c r="E4982" s="43" t="s">
        <v>7248</v>
      </c>
      <c r="F4982" s="43" t="s">
        <v>15955</v>
      </c>
    </row>
    <row r="4983" spans="1:10" ht="14.25" customHeight="1" x14ac:dyDescent="0.35">
      <c r="A4983" s="39" t="s">
        <v>1142</v>
      </c>
      <c r="B4983" s="40" t="str">
        <f ca="1">IFERROR(INDEX(UNSPSCDes,MATCH(INDIRECT(ADDRESS(ROW(),COLUMN()-1,4)),UNSPSCCode,0)),IF(INDIRECT(ADDRESS(ROW(),COLUMN()-1,4))="10161707","Arreglo de flores cortadas",""))</f>
        <v>Arreglo de flores cortadas</v>
      </c>
      <c r="C4983" s="72" t="str">
        <f>IFERROR(VLOOKUP("UD",'Informacion '!P:Q,2,FALSE),"")</f>
        <v>Unidad</v>
      </c>
      <c r="D4983" s="39">
        <v>6</v>
      </c>
      <c r="E4983" s="42">
        <v>13000</v>
      </c>
      <c r="F4983" s="41">
        <f t="shared" ref="F4983:F4988" ca="1" si="175">INDIRECT(ADDRESS(ROW(),COLUMN()-2,4))*INDIRECT(ADDRESS(ROW(),COLUMN()-1,4))</f>
        <v>78000</v>
      </c>
    </row>
    <row r="4984" spans="1:10" ht="14.25" customHeight="1" x14ac:dyDescent="0.35">
      <c r="A4984" s="39" t="s">
        <v>1142</v>
      </c>
      <c r="B4984" s="40" t="str">
        <f ca="1">IFERROR(INDEX(UNSPSCDes,MATCH(INDIRECT(ADDRESS(ROW(),COLUMN()-1,4)),UNSPSCCode,0)),IF(INDIRECT(ADDRESS(ROW(),COLUMN()-1,4))="10161707","Arreglo de flores cortadas",""))</f>
        <v>Arreglo de flores cortadas</v>
      </c>
      <c r="C4984" s="72" t="str">
        <f>IFERROR(VLOOKUP("UD",'Informacion '!P:Q,2,FALSE),"")</f>
        <v>Unidad</v>
      </c>
      <c r="D4984" s="39">
        <v>7</v>
      </c>
      <c r="E4984" s="42">
        <v>7000</v>
      </c>
      <c r="F4984" s="41">
        <f t="shared" ca="1" si="175"/>
        <v>49000</v>
      </c>
    </row>
    <row r="4985" spans="1:10" ht="14.25" customHeight="1" x14ac:dyDescent="0.35">
      <c r="A4985" s="39" t="s">
        <v>1142</v>
      </c>
      <c r="B4985" s="40" t="str">
        <f ca="1">IFERROR(INDEX(UNSPSCDes,MATCH(INDIRECT(ADDRESS(ROW(),COLUMN()-1,4)),UNSPSCCode,0)),IF(INDIRECT(ADDRESS(ROW(),COLUMN()-1,4))="10161707","Arreglo de flores cortadas",""))</f>
        <v>Arreglo de flores cortadas</v>
      </c>
      <c r="C4985" s="72" t="str">
        <f>IFERROR(VLOOKUP("UD",'Informacion '!P:Q,2,FALSE),"")</f>
        <v>Unidad</v>
      </c>
      <c r="D4985" s="39">
        <v>1</v>
      </c>
      <c r="E4985" s="42">
        <v>70000</v>
      </c>
      <c r="F4985" s="41">
        <f t="shared" ca="1" si="175"/>
        <v>70000</v>
      </c>
    </row>
    <row r="4986" spans="1:10" ht="14.25" customHeight="1" x14ac:dyDescent="0.35">
      <c r="A4986" s="39" t="s">
        <v>1142</v>
      </c>
      <c r="B4986" s="40" t="str">
        <f ca="1">IFERROR(INDEX(UNSPSCDes,MATCH(INDIRECT(ADDRESS(ROW(),COLUMN()-1,4)),UNSPSCCode,0)),IF(INDIRECT(ADDRESS(ROW(),COLUMN()-1,4))="10161707","Arreglo de flores cortadas",""))</f>
        <v>Arreglo de flores cortadas</v>
      </c>
      <c r="C4986" s="72" t="str">
        <f>IFERROR(VLOOKUP("UD",'Informacion '!P:Q,2,FALSE),"")</f>
        <v>Unidad</v>
      </c>
      <c r="D4986" s="39">
        <v>1</v>
      </c>
      <c r="E4986" s="42">
        <v>15340</v>
      </c>
      <c r="F4986" s="41">
        <f t="shared" ca="1" si="175"/>
        <v>15340</v>
      </c>
    </row>
    <row r="4987" spans="1:10" ht="14.25" customHeight="1" x14ac:dyDescent="0.35">
      <c r="A4987" s="39" t="s">
        <v>3788</v>
      </c>
      <c r="B4987" s="40" t="str">
        <f ca="1">IFERROR(INDEX(UNSPSCDes,MATCH(INDIRECT(ADDRESS(ROW(),COLUMN()-1,4)),UNSPSCCode,0)),IF(INDIRECT(ADDRESS(ROW(),COLUMN()-1,4))="10161801","Helechos",""))</f>
        <v>Helechos</v>
      </c>
      <c r="C4987" s="72" t="str">
        <f>IFERROR(VLOOKUP("UD",'Informacion '!P:Q,2,FALSE),"")</f>
        <v>Unidad</v>
      </c>
      <c r="D4987" s="39">
        <v>70</v>
      </c>
      <c r="E4987" s="42">
        <v>500</v>
      </c>
      <c r="F4987" s="41">
        <f t="shared" ca="1" si="175"/>
        <v>35000</v>
      </c>
    </row>
    <row r="4988" spans="1:10" ht="14.25" customHeight="1" x14ac:dyDescent="0.35">
      <c r="A4988" s="39" t="s">
        <v>3788</v>
      </c>
      <c r="B4988" s="40" t="str">
        <f ca="1">IFERROR(INDEX(UNSPSCDes,MATCH(INDIRECT(ADDRESS(ROW(),COLUMN()-1,4)),UNSPSCCode,0)),IF(INDIRECT(ADDRESS(ROW(),COLUMN()-1,4))="10161801","Helechos",""))</f>
        <v>Helechos</v>
      </c>
      <c r="C4988" s="72" t="str">
        <f>IFERROR(VLOOKUP("UD",'Informacion '!P:Q,2,FALSE),"")</f>
        <v>Unidad</v>
      </c>
      <c r="D4988" s="39">
        <v>170</v>
      </c>
      <c r="E4988" s="42">
        <v>75</v>
      </c>
      <c r="F4988" s="41">
        <f t="shared" ca="1" si="175"/>
        <v>12750</v>
      </c>
    </row>
    <row r="4989" spans="1:10" ht="14.25" customHeight="1" x14ac:dyDescent="0.35">
      <c r="E4989" s="44" t="s">
        <v>13122</v>
      </c>
      <c r="F4989" s="45">
        <f ca="1">SUM(Table277[MONTO TOTAL ESTIMADO])</f>
        <v>260090</v>
      </c>
      <c r="H4989" s="24" t="str">
        <f>C4976</f>
        <v>Bienes</v>
      </c>
      <c r="I4989" s="24" t="str">
        <f>E4976</f>
        <v>MIPYME Mujeres</v>
      </c>
      <c r="J4989" s="24" t="str">
        <f>D4976</f>
        <v>Compras Menores</v>
      </c>
    </row>
    <row r="4991" spans="1:10" ht="34" customHeight="1" x14ac:dyDescent="0.35">
      <c r="A4991" s="36" t="s">
        <v>17105</v>
      </c>
      <c r="B4991" s="36" t="s">
        <v>167</v>
      </c>
      <c r="C4991" s="36" t="s">
        <v>12252</v>
      </c>
      <c r="D4991" s="36" t="s">
        <v>15021</v>
      </c>
      <c r="E4991" s="36" t="s">
        <v>11455</v>
      </c>
      <c r="F4991" s="36" t="s">
        <v>11595</v>
      </c>
    </row>
    <row r="4992" spans="1:10" ht="14.25" customHeight="1" x14ac:dyDescent="0.35">
      <c r="A4992" s="37" t="s">
        <v>17126</v>
      </c>
      <c r="B4992" s="37" t="s">
        <v>17126</v>
      </c>
      <c r="C4992" s="37" t="s">
        <v>18585</v>
      </c>
      <c r="D4992" s="37" t="s">
        <v>18256</v>
      </c>
      <c r="E4992" s="37" t="s">
        <v>9261</v>
      </c>
      <c r="F4992" s="37" t="s">
        <v>7088</v>
      </c>
    </row>
    <row r="4993" spans="1:10" ht="14.25" customHeight="1" x14ac:dyDescent="0.35">
      <c r="A4993" s="75" t="s">
        <v>15490</v>
      </c>
      <c r="B4993" s="38" t="s">
        <v>8918</v>
      </c>
      <c r="C4993" s="68">
        <v>45383</v>
      </c>
      <c r="D4993" s="75" t="s">
        <v>9819</v>
      </c>
      <c r="E4993" s="70" t="s">
        <v>13683</v>
      </c>
      <c r="F4993" s="71" t="s">
        <v>3205</v>
      </c>
    </row>
    <row r="4994" spans="1:10" ht="14.25" customHeight="1" x14ac:dyDescent="0.35">
      <c r="A4994" s="76"/>
      <c r="B4994" s="38" t="s">
        <v>1858</v>
      </c>
      <c r="C4994" s="69">
        <f>IF(C4993="","",IF(AND(MONTH(C4993)&gt;=1,MONTH(C4993)&lt;=3),1,IF(AND(MONTH(C4993)&gt;=4,MONTH(C4993)&lt;=6),2,IF(AND(MONTH(C4993)&gt;=7,MONTH(C4993)&lt;=9),3,4))))</f>
        <v>2</v>
      </c>
      <c r="D4994" s="76"/>
      <c r="E4994" s="70" t="s">
        <v>2509</v>
      </c>
      <c r="F4994" s="71" t="s">
        <v>11612</v>
      </c>
    </row>
    <row r="4995" spans="1:10" ht="14.25" customHeight="1" x14ac:dyDescent="0.35">
      <c r="A4995" s="76"/>
      <c r="B4995" s="38" t="s">
        <v>13526</v>
      </c>
      <c r="C4995" s="68">
        <v>45471</v>
      </c>
      <c r="D4995" s="76"/>
      <c r="E4995" s="70" t="s">
        <v>3198</v>
      </c>
      <c r="F4995" s="71" t="s">
        <v>11612</v>
      </c>
    </row>
    <row r="4996" spans="1:10" ht="14.25" customHeight="1" x14ac:dyDescent="0.35">
      <c r="A4996" s="76"/>
      <c r="B4996" s="38" t="s">
        <v>1858</v>
      </c>
      <c r="C4996" s="69">
        <f>IF(C4995="","",IF(AND(MONTH(C4995)&gt;=1,MONTH(C4995)&lt;=3),1,IF(AND(MONTH(C4995)&gt;=4,MONTH(C4995)&lt;=6),2,IF(AND(MONTH(C4995)&gt;=7,MONTH(C4995)&lt;=9),3,4))))</f>
        <v>2</v>
      </c>
      <c r="D4996" s="76"/>
      <c r="E4996" s="70" t="s">
        <v>13785</v>
      </c>
      <c r="F4996" s="71"/>
    </row>
    <row r="4998" spans="1:10" ht="14.25" customHeight="1" x14ac:dyDescent="0.35">
      <c r="A4998" s="43" t="s">
        <v>16424</v>
      </c>
      <c r="B4998" s="43" t="s">
        <v>16856</v>
      </c>
      <c r="C4998" s="43" t="s">
        <v>16326</v>
      </c>
      <c r="D4998" s="43" t="s">
        <v>15925</v>
      </c>
      <c r="E4998" s="43" t="s">
        <v>7248</v>
      </c>
      <c r="F4998" s="43" t="s">
        <v>15955</v>
      </c>
    </row>
    <row r="4999" spans="1:10" ht="14.25" customHeight="1" x14ac:dyDescent="0.35">
      <c r="A4999" s="39" t="s">
        <v>1142</v>
      </c>
      <c r="B4999" s="40" t="str">
        <f ca="1">IFERROR(INDEX(UNSPSCDes,MATCH(INDIRECT(ADDRESS(ROW(),COLUMN()-1,4)),UNSPSCCode,0)),IF(INDIRECT(ADDRESS(ROW(),COLUMN()-1,4))="10161707","Arreglo de flores cortadas",""))</f>
        <v>Arreglo de flores cortadas</v>
      </c>
      <c r="C4999" s="72" t="str">
        <f>IFERROR(VLOOKUP("UD",'Informacion '!P:Q,2,FALSE),"")</f>
        <v>Unidad</v>
      </c>
      <c r="D4999" s="39">
        <v>6</v>
      </c>
      <c r="E4999" s="42">
        <v>13000</v>
      </c>
      <c r="F4999" s="41">
        <f t="shared" ref="F4999:F5004" ca="1" si="176">INDIRECT(ADDRESS(ROW(),COLUMN()-2,4))*INDIRECT(ADDRESS(ROW(),COLUMN()-1,4))</f>
        <v>78000</v>
      </c>
    </row>
    <row r="5000" spans="1:10" ht="14.25" customHeight="1" x14ac:dyDescent="0.35">
      <c r="A5000" s="39" t="s">
        <v>1142</v>
      </c>
      <c r="B5000" s="40" t="str">
        <f ca="1">IFERROR(INDEX(UNSPSCDes,MATCH(INDIRECT(ADDRESS(ROW(),COLUMN()-1,4)),UNSPSCCode,0)),IF(INDIRECT(ADDRESS(ROW(),COLUMN()-1,4))="10161707","Arreglo de flores cortadas",""))</f>
        <v>Arreglo de flores cortadas</v>
      </c>
      <c r="C5000" s="72" t="str">
        <f>IFERROR(VLOOKUP("UD",'Informacion '!P:Q,2,FALSE),"")</f>
        <v>Unidad</v>
      </c>
      <c r="D5000" s="39">
        <v>7</v>
      </c>
      <c r="E5000" s="42">
        <v>7000</v>
      </c>
      <c r="F5000" s="41">
        <f t="shared" ca="1" si="176"/>
        <v>49000</v>
      </c>
    </row>
    <row r="5001" spans="1:10" ht="14.25" customHeight="1" x14ac:dyDescent="0.35">
      <c r="A5001" s="39" t="s">
        <v>1142</v>
      </c>
      <c r="B5001" s="40" t="str">
        <f ca="1">IFERROR(INDEX(UNSPSCDes,MATCH(INDIRECT(ADDRESS(ROW(),COLUMN()-1,4)),UNSPSCCode,0)),IF(INDIRECT(ADDRESS(ROW(),COLUMN()-1,4))="10161707","Arreglo de flores cortadas",""))</f>
        <v>Arreglo de flores cortadas</v>
      </c>
      <c r="C5001" s="72" t="str">
        <f>IFERROR(VLOOKUP("UD",'Informacion '!P:Q,2,FALSE),"")</f>
        <v>Unidad</v>
      </c>
      <c r="D5001" s="39">
        <v>1</v>
      </c>
      <c r="E5001" s="42">
        <v>70000</v>
      </c>
      <c r="F5001" s="41">
        <f t="shared" ca="1" si="176"/>
        <v>70000</v>
      </c>
    </row>
    <row r="5002" spans="1:10" ht="14.25" customHeight="1" x14ac:dyDescent="0.35">
      <c r="A5002" s="39" t="s">
        <v>1142</v>
      </c>
      <c r="B5002" s="40" t="str">
        <f ca="1">IFERROR(INDEX(UNSPSCDes,MATCH(INDIRECT(ADDRESS(ROW(),COLUMN()-1,4)),UNSPSCCode,0)),IF(INDIRECT(ADDRESS(ROW(),COLUMN()-1,4))="10161707","Arreglo de flores cortadas",""))</f>
        <v>Arreglo de flores cortadas</v>
      </c>
      <c r="C5002" s="72" t="str">
        <f>IFERROR(VLOOKUP("UD",'Informacion '!P:Q,2,FALSE),"")</f>
        <v>Unidad</v>
      </c>
      <c r="D5002" s="39">
        <v>1</v>
      </c>
      <c r="E5002" s="42">
        <v>15340</v>
      </c>
      <c r="F5002" s="41">
        <f t="shared" ca="1" si="176"/>
        <v>15340</v>
      </c>
    </row>
    <row r="5003" spans="1:10" ht="14.25" customHeight="1" x14ac:dyDescent="0.35">
      <c r="A5003" s="39" t="s">
        <v>3788</v>
      </c>
      <c r="B5003" s="40" t="str">
        <f ca="1">IFERROR(INDEX(UNSPSCDes,MATCH(INDIRECT(ADDRESS(ROW(),COLUMN()-1,4)),UNSPSCCode,0)),IF(INDIRECT(ADDRESS(ROW(),COLUMN()-1,4))="10161801","Helechos",""))</f>
        <v>Helechos</v>
      </c>
      <c r="C5003" s="72" t="str">
        <f>IFERROR(VLOOKUP("UD",'Informacion '!P:Q,2,FALSE),"")</f>
        <v>Unidad</v>
      </c>
      <c r="D5003" s="39">
        <v>70</v>
      </c>
      <c r="E5003" s="42">
        <v>500</v>
      </c>
      <c r="F5003" s="41">
        <f t="shared" ca="1" si="176"/>
        <v>35000</v>
      </c>
    </row>
    <row r="5004" spans="1:10" ht="14.25" customHeight="1" x14ac:dyDescent="0.35">
      <c r="A5004" s="39" t="s">
        <v>3788</v>
      </c>
      <c r="B5004" s="40" t="str">
        <f ca="1">IFERROR(INDEX(UNSPSCDes,MATCH(INDIRECT(ADDRESS(ROW(),COLUMN()-1,4)),UNSPSCCode,0)),IF(INDIRECT(ADDRESS(ROW(),COLUMN()-1,4))="10161801","Helechos",""))</f>
        <v>Helechos</v>
      </c>
      <c r="C5004" s="72" t="str">
        <f>IFERROR(VLOOKUP("UD",'Informacion '!P:Q,2,FALSE),"")</f>
        <v>Unidad</v>
      </c>
      <c r="D5004" s="39">
        <v>170</v>
      </c>
      <c r="E5004" s="42">
        <v>75</v>
      </c>
      <c r="F5004" s="41">
        <f t="shared" ca="1" si="176"/>
        <v>12750</v>
      </c>
    </row>
    <row r="5005" spans="1:10" ht="14.25" customHeight="1" x14ac:dyDescent="0.35">
      <c r="E5005" s="44" t="s">
        <v>13122</v>
      </c>
      <c r="F5005" s="45">
        <f ca="1">SUM(Table278[MONTO TOTAL ESTIMADO])</f>
        <v>260090</v>
      </c>
      <c r="H5005" s="24" t="str">
        <f>C4992</f>
        <v>Bienes</v>
      </c>
      <c r="I5005" s="24" t="str">
        <f>E4992</f>
        <v>Sí</v>
      </c>
      <c r="J5005" s="24" t="str">
        <f>D4992</f>
        <v>Compras Menores</v>
      </c>
    </row>
    <row r="5007" spans="1:10" ht="34" customHeight="1" x14ac:dyDescent="0.35">
      <c r="A5007" s="36" t="s">
        <v>17105</v>
      </c>
      <c r="B5007" s="36" t="s">
        <v>167</v>
      </c>
      <c r="C5007" s="36" t="s">
        <v>12252</v>
      </c>
      <c r="D5007" s="36" t="s">
        <v>15021</v>
      </c>
      <c r="E5007" s="36" t="s">
        <v>11455</v>
      </c>
      <c r="F5007" s="36" t="s">
        <v>11595</v>
      </c>
    </row>
    <row r="5008" spans="1:10" ht="14.25" customHeight="1" x14ac:dyDescent="0.35">
      <c r="A5008" s="37" t="s">
        <v>17126</v>
      </c>
      <c r="B5008" s="37" t="s">
        <v>17126</v>
      </c>
      <c r="C5008" s="37" t="s">
        <v>18585</v>
      </c>
      <c r="D5008" s="37" t="s">
        <v>18256</v>
      </c>
      <c r="E5008" s="37" t="s">
        <v>9261</v>
      </c>
      <c r="F5008" s="37" t="s">
        <v>7088</v>
      </c>
    </row>
    <row r="5009" spans="1:10" ht="14.25" customHeight="1" x14ac:dyDescent="0.35">
      <c r="A5009" s="75" t="s">
        <v>15490</v>
      </c>
      <c r="B5009" s="38" t="s">
        <v>8918</v>
      </c>
      <c r="C5009" s="68">
        <v>45474</v>
      </c>
      <c r="D5009" s="75" t="s">
        <v>9819</v>
      </c>
      <c r="E5009" s="70" t="s">
        <v>13683</v>
      </c>
      <c r="F5009" s="71" t="s">
        <v>3205</v>
      </c>
    </row>
    <row r="5010" spans="1:10" ht="14.25" customHeight="1" x14ac:dyDescent="0.35">
      <c r="A5010" s="76"/>
      <c r="B5010" s="38" t="s">
        <v>1858</v>
      </c>
      <c r="C5010" s="69">
        <f>IF(C5009="","",IF(AND(MONTH(C5009)&gt;=1,MONTH(C5009)&lt;=3),1,IF(AND(MONTH(C5009)&gt;=4,MONTH(C5009)&lt;=6),2,IF(AND(MONTH(C5009)&gt;=7,MONTH(C5009)&lt;=9),3,4))))</f>
        <v>3</v>
      </c>
      <c r="D5010" s="76"/>
      <c r="E5010" s="70" t="s">
        <v>2509</v>
      </c>
      <c r="F5010" s="71" t="s">
        <v>11612</v>
      </c>
    </row>
    <row r="5011" spans="1:10" ht="14.25" customHeight="1" x14ac:dyDescent="0.35">
      <c r="A5011" s="76"/>
      <c r="B5011" s="38" t="s">
        <v>13526</v>
      </c>
      <c r="C5011" s="68">
        <v>45565</v>
      </c>
      <c r="D5011" s="76"/>
      <c r="E5011" s="70" t="s">
        <v>3198</v>
      </c>
      <c r="F5011" s="71" t="s">
        <v>11612</v>
      </c>
    </row>
    <row r="5012" spans="1:10" ht="14.25" customHeight="1" x14ac:dyDescent="0.35">
      <c r="A5012" s="76"/>
      <c r="B5012" s="38" t="s">
        <v>1858</v>
      </c>
      <c r="C5012" s="69">
        <f>IF(C5011="","",IF(AND(MONTH(C5011)&gt;=1,MONTH(C5011)&lt;=3),1,IF(AND(MONTH(C5011)&gt;=4,MONTH(C5011)&lt;=6),2,IF(AND(MONTH(C5011)&gt;=7,MONTH(C5011)&lt;=9),3,4))))</f>
        <v>3</v>
      </c>
      <c r="D5012" s="76"/>
      <c r="E5012" s="70" t="s">
        <v>13785</v>
      </c>
      <c r="F5012" s="71"/>
    </row>
    <row r="5014" spans="1:10" ht="14.25" customHeight="1" x14ac:dyDescent="0.35">
      <c r="A5014" s="43" t="s">
        <v>16424</v>
      </c>
      <c r="B5014" s="43" t="s">
        <v>16856</v>
      </c>
      <c r="C5014" s="43" t="s">
        <v>16326</v>
      </c>
      <c r="D5014" s="43" t="s">
        <v>15925</v>
      </c>
      <c r="E5014" s="43" t="s">
        <v>7248</v>
      </c>
      <c r="F5014" s="43" t="s">
        <v>15955</v>
      </c>
    </row>
    <row r="5015" spans="1:10" ht="14.25" customHeight="1" x14ac:dyDescent="0.35">
      <c r="A5015" s="39" t="s">
        <v>1142</v>
      </c>
      <c r="B5015" s="40" t="str">
        <f ca="1">IFERROR(INDEX(UNSPSCDes,MATCH(INDIRECT(ADDRESS(ROW(),COLUMN()-1,4)),UNSPSCCode,0)),IF(INDIRECT(ADDRESS(ROW(),COLUMN()-1,4))="10161707","Arreglo de flores cortadas",""))</f>
        <v>Arreglo de flores cortadas</v>
      </c>
      <c r="C5015" s="72" t="str">
        <f>IFERROR(VLOOKUP("UD",'Informacion '!P:Q,2,FALSE),"")</f>
        <v>Unidad</v>
      </c>
      <c r="D5015" s="39">
        <v>6</v>
      </c>
      <c r="E5015" s="42">
        <v>13000</v>
      </c>
      <c r="F5015" s="41">
        <f ca="1">INDIRECT(ADDRESS(ROW(),COLUMN()-2,4))*INDIRECT(ADDRESS(ROW(),COLUMN()-1,4))</f>
        <v>78000</v>
      </c>
    </row>
    <row r="5016" spans="1:10" ht="14.25" customHeight="1" x14ac:dyDescent="0.35">
      <c r="A5016" s="39" t="s">
        <v>1142</v>
      </c>
      <c r="B5016" s="40" t="str">
        <f ca="1">IFERROR(INDEX(UNSPSCDes,MATCH(INDIRECT(ADDRESS(ROW(),COLUMN()-1,4)),UNSPSCCode,0)),IF(INDIRECT(ADDRESS(ROW(),COLUMN()-1,4))="10161707","Arreglo de flores cortadas",""))</f>
        <v>Arreglo de flores cortadas</v>
      </c>
      <c r="C5016" s="72" t="str">
        <f>IFERROR(VLOOKUP("UD",'Informacion '!P:Q,2,FALSE),"")</f>
        <v>Unidad</v>
      </c>
      <c r="D5016" s="39">
        <v>7</v>
      </c>
      <c r="E5016" s="42">
        <v>7000</v>
      </c>
      <c r="F5016" s="41">
        <f ca="1">INDIRECT(ADDRESS(ROW(),COLUMN()-2,4))*INDIRECT(ADDRESS(ROW(),COLUMN()-1,4))</f>
        <v>49000</v>
      </c>
    </row>
    <row r="5017" spans="1:10" ht="14.25" customHeight="1" x14ac:dyDescent="0.35">
      <c r="A5017" s="39" t="s">
        <v>1142</v>
      </c>
      <c r="B5017" s="40" t="str">
        <f ca="1">IFERROR(INDEX(UNSPSCDes,MATCH(INDIRECT(ADDRESS(ROW(),COLUMN()-1,4)),UNSPSCCode,0)),IF(INDIRECT(ADDRESS(ROW(),COLUMN()-1,4))="10161707","Arreglo de flores cortadas",""))</f>
        <v>Arreglo de flores cortadas</v>
      </c>
      <c r="C5017" s="72" t="str">
        <f>IFERROR(VLOOKUP("UD",'Informacion '!P:Q,2,FALSE),"")</f>
        <v>Unidad</v>
      </c>
      <c r="D5017" s="39">
        <v>1</v>
      </c>
      <c r="E5017" s="42">
        <v>70000</v>
      </c>
      <c r="F5017" s="41">
        <f ca="1">INDIRECT(ADDRESS(ROW(),COLUMN()-2,4))*INDIRECT(ADDRESS(ROW(),COLUMN()-1,4))</f>
        <v>70000</v>
      </c>
    </row>
    <row r="5018" spans="1:10" ht="14.25" customHeight="1" x14ac:dyDescent="0.35">
      <c r="A5018" s="39" t="s">
        <v>3788</v>
      </c>
      <c r="B5018" s="40" t="str">
        <f ca="1">IFERROR(INDEX(UNSPSCDes,MATCH(INDIRECT(ADDRESS(ROW(),COLUMN()-1,4)),UNSPSCCode,0)),IF(INDIRECT(ADDRESS(ROW(),COLUMN()-1,4))="10161801","Helechos",""))</f>
        <v>Helechos</v>
      </c>
      <c r="C5018" s="72" t="str">
        <f>IFERROR(VLOOKUP("UD",'Informacion '!P:Q,2,FALSE),"")</f>
        <v>Unidad</v>
      </c>
      <c r="D5018" s="39">
        <v>70</v>
      </c>
      <c r="E5018" s="42">
        <v>500</v>
      </c>
      <c r="F5018" s="41">
        <f ca="1">INDIRECT(ADDRESS(ROW(),COLUMN()-2,4))*INDIRECT(ADDRESS(ROW(),COLUMN()-1,4))</f>
        <v>35000</v>
      </c>
    </row>
    <row r="5019" spans="1:10" ht="14.25" customHeight="1" x14ac:dyDescent="0.35">
      <c r="A5019" s="39" t="s">
        <v>3788</v>
      </c>
      <c r="B5019" s="40" t="str">
        <f ca="1">IFERROR(INDEX(UNSPSCDes,MATCH(INDIRECT(ADDRESS(ROW(),COLUMN()-1,4)),UNSPSCCode,0)),IF(INDIRECT(ADDRESS(ROW(),COLUMN()-1,4))="10161801","Helechos",""))</f>
        <v>Helechos</v>
      </c>
      <c r="C5019" s="72" t="str">
        <f>IFERROR(VLOOKUP("UD",'Informacion '!P:Q,2,FALSE),"")</f>
        <v>Unidad</v>
      </c>
      <c r="D5019" s="39">
        <v>170</v>
      </c>
      <c r="E5019" s="42">
        <v>75</v>
      </c>
      <c r="F5019" s="41">
        <f ca="1">INDIRECT(ADDRESS(ROW(),COLUMN()-2,4))*INDIRECT(ADDRESS(ROW(),COLUMN()-1,4))</f>
        <v>12750</v>
      </c>
    </row>
    <row r="5020" spans="1:10" ht="14.25" customHeight="1" x14ac:dyDescent="0.35">
      <c r="E5020" s="44" t="s">
        <v>13122</v>
      </c>
      <c r="F5020" s="45">
        <f ca="1">SUM(Table279[MONTO TOTAL ESTIMADO])</f>
        <v>244750</v>
      </c>
      <c r="H5020" s="24" t="str">
        <f>C5008</f>
        <v>Bienes</v>
      </c>
      <c r="I5020" s="24" t="str">
        <f>E5008</f>
        <v>Sí</v>
      </c>
      <c r="J5020" s="24" t="str">
        <f>D5008</f>
        <v>Compras Menores</v>
      </c>
    </row>
    <row r="5022" spans="1:10" ht="34" customHeight="1" x14ac:dyDescent="0.35">
      <c r="A5022" s="36" t="s">
        <v>17105</v>
      </c>
      <c r="B5022" s="36" t="s">
        <v>167</v>
      </c>
      <c r="C5022" s="36" t="s">
        <v>12252</v>
      </c>
      <c r="D5022" s="36" t="s">
        <v>15021</v>
      </c>
      <c r="E5022" s="36" t="s">
        <v>11455</v>
      </c>
      <c r="F5022" s="36" t="s">
        <v>11595</v>
      </c>
    </row>
    <row r="5023" spans="1:10" ht="14.25" customHeight="1" x14ac:dyDescent="0.35">
      <c r="A5023" s="37" t="s">
        <v>17126</v>
      </c>
      <c r="B5023" s="37" t="s">
        <v>17126</v>
      </c>
      <c r="C5023" s="37" t="s">
        <v>18585</v>
      </c>
      <c r="D5023" s="37" t="s">
        <v>10634</v>
      </c>
      <c r="E5023" s="37" t="s">
        <v>18646</v>
      </c>
      <c r="F5023" s="37" t="s">
        <v>7088</v>
      </c>
    </row>
    <row r="5024" spans="1:10" ht="14.25" customHeight="1" x14ac:dyDescent="0.35">
      <c r="A5024" s="75" t="s">
        <v>15490</v>
      </c>
      <c r="B5024" s="38" t="s">
        <v>8918</v>
      </c>
      <c r="C5024" s="68">
        <v>45566</v>
      </c>
      <c r="D5024" s="75" t="s">
        <v>9819</v>
      </c>
      <c r="E5024" s="70" t="s">
        <v>13683</v>
      </c>
      <c r="F5024" s="71" t="s">
        <v>3205</v>
      </c>
    </row>
    <row r="5025" spans="1:10" ht="14.25" customHeight="1" x14ac:dyDescent="0.35">
      <c r="A5025" s="76"/>
      <c r="B5025" s="38" t="s">
        <v>1858</v>
      </c>
      <c r="C5025" s="69">
        <f>IF(C5024="","",IF(AND(MONTH(C5024)&gt;=1,MONTH(C5024)&lt;=3),1,IF(AND(MONTH(C5024)&gt;=4,MONTH(C5024)&lt;=6),2,IF(AND(MONTH(C5024)&gt;=7,MONTH(C5024)&lt;=9),3,4))))</f>
        <v>4</v>
      </c>
      <c r="D5025" s="76"/>
      <c r="E5025" s="70" t="s">
        <v>2509</v>
      </c>
      <c r="F5025" s="71" t="s">
        <v>11612</v>
      </c>
    </row>
    <row r="5026" spans="1:10" ht="14.25" customHeight="1" x14ac:dyDescent="0.35">
      <c r="A5026" s="76"/>
      <c r="B5026" s="38" t="s">
        <v>13526</v>
      </c>
      <c r="C5026" s="68">
        <v>45657</v>
      </c>
      <c r="D5026" s="76"/>
      <c r="E5026" s="70" t="s">
        <v>3198</v>
      </c>
      <c r="F5026" s="71" t="s">
        <v>11612</v>
      </c>
    </row>
    <row r="5027" spans="1:10" ht="14.25" customHeight="1" x14ac:dyDescent="0.35">
      <c r="A5027" s="76"/>
      <c r="B5027" s="38" t="s">
        <v>1858</v>
      </c>
      <c r="C5027" s="69">
        <f>IF(C5026="","",IF(AND(MONTH(C5026)&gt;=1,MONTH(C5026)&lt;=3),1,IF(AND(MONTH(C5026)&gt;=4,MONTH(C5026)&lt;=6),2,IF(AND(MONTH(C5026)&gt;=7,MONTH(C5026)&lt;=9),3,4))))</f>
        <v>4</v>
      </c>
      <c r="D5027" s="76"/>
      <c r="E5027" s="70" t="s">
        <v>13785</v>
      </c>
      <c r="F5027" s="71"/>
    </row>
    <row r="5029" spans="1:10" ht="14.25" customHeight="1" x14ac:dyDescent="0.35">
      <c r="A5029" s="43" t="s">
        <v>16424</v>
      </c>
      <c r="B5029" s="43" t="s">
        <v>16856</v>
      </c>
      <c r="C5029" s="43" t="s">
        <v>16326</v>
      </c>
      <c r="D5029" s="43" t="s">
        <v>15925</v>
      </c>
      <c r="E5029" s="43" t="s">
        <v>7248</v>
      </c>
      <c r="F5029" s="43" t="s">
        <v>15955</v>
      </c>
    </row>
    <row r="5030" spans="1:10" ht="14.25" customHeight="1" x14ac:dyDescent="0.35">
      <c r="A5030" s="39" t="s">
        <v>1142</v>
      </c>
      <c r="B5030" s="40" t="str">
        <f ca="1">IFERROR(INDEX(UNSPSCDes,MATCH(INDIRECT(ADDRESS(ROW(),COLUMN()-1,4)),UNSPSCCode,0)),IF(INDIRECT(ADDRESS(ROW(),COLUMN()-1,4))="10161707","Arreglo de flores cortadas",""))</f>
        <v>Arreglo de flores cortadas</v>
      </c>
      <c r="C5030" s="72" t="str">
        <f>IFERROR(VLOOKUP("UD",'Informacion '!P:Q,2,FALSE),"")</f>
        <v>Unidad</v>
      </c>
      <c r="D5030" s="39">
        <v>6</v>
      </c>
      <c r="E5030" s="42">
        <v>13000</v>
      </c>
      <c r="F5030" s="41">
        <f ca="1">INDIRECT(ADDRESS(ROW(),COLUMN()-2,4))*INDIRECT(ADDRESS(ROW(),COLUMN()-1,4))</f>
        <v>78000</v>
      </c>
    </row>
    <row r="5031" spans="1:10" ht="14.25" customHeight="1" x14ac:dyDescent="0.35">
      <c r="A5031" s="39" t="s">
        <v>1142</v>
      </c>
      <c r="B5031" s="40" t="str">
        <f ca="1">IFERROR(INDEX(UNSPSCDes,MATCH(INDIRECT(ADDRESS(ROW(),COLUMN()-1,4)),UNSPSCCode,0)),IF(INDIRECT(ADDRESS(ROW(),COLUMN()-1,4))="10161707","Arreglo de flores cortadas",""))</f>
        <v>Arreglo de flores cortadas</v>
      </c>
      <c r="C5031" s="72" t="str">
        <f>IFERROR(VLOOKUP("UD",'Informacion '!P:Q,2,FALSE),"")</f>
        <v>Unidad</v>
      </c>
      <c r="D5031" s="39">
        <v>7</v>
      </c>
      <c r="E5031" s="42">
        <v>7000</v>
      </c>
      <c r="F5031" s="41">
        <f ca="1">INDIRECT(ADDRESS(ROW(),COLUMN()-2,4))*INDIRECT(ADDRESS(ROW(),COLUMN()-1,4))</f>
        <v>49000</v>
      </c>
    </row>
    <row r="5032" spans="1:10" ht="14.25" customHeight="1" x14ac:dyDescent="0.35">
      <c r="A5032" s="39" t="s">
        <v>1142</v>
      </c>
      <c r="B5032" s="40" t="str">
        <f ca="1">IFERROR(INDEX(UNSPSCDes,MATCH(INDIRECT(ADDRESS(ROW(),COLUMN()-1,4)),UNSPSCCode,0)),IF(INDIRECT(ADDRESS(ROW(),COLUMN()-1,4))="10161707","Arreglo de flores cortadas",""))</f>
        <v>Arreglo de flores cortadas</v>
      </c>
      <c r="C5032" s="72" t="str">
        <f>IFERROR(VLOOKUP("UD",'Informacion '!P:Q,2,FALSE),"")</f>
        <v>Unidad</v>
      </c>
      <c r="D5032" s="39">
        <v>1</v>
      </c>
      <c r="E5032" s="42">
        <v>70000</v>
      </c>
      <c r="F5032" s="41">
        <f ca="1">INDIRECT(ADDRESS(ROW(),COLUMN()-2,4))*INDIRECT(ADDRESS(ROW(),COLUMN()-1,4))</f>
        <v>70000</v>
      </c>
    </row>
    <row r="5033" spans="1:10" ht="14.25" customHeight="1" x14ac:dyDescent="0.35">
      <c r="E5033" s="44" t="s">
        <v>13122</v>
      </c>
      <c r="F5033" s="45">
        <f ca="1">SUM(Table280[MONTO TOTAL ESTIMADO])</f>
        <v>197000</v>
      </c>
      <c r="H5033" s="24" t="str">
        <f>C5023</f>
        <v>Bienes</v>
      </c>
      <c r="I5033" s="24" t="str">
        <f>E5023</f>
        <v>No</v>
      </c>
      <c r="J5033" s="24" t="str">
        <f>D5023</f>
        <v>Compras por debajo del Umbral</v>
      </c>
    </row>
    <row r="5035" spans="1:10" ht="34" customHeight="1" x14ac:dyDescent="0.35">
      <c r="A5035" s="36" t="s">
        <v>17105</v>
      </c>
      <c r="B5035" s="36" t="s">
        <v>167</v>
      </c>
      <c r="C5035" s="36" t="s">
        <v>12252</v>
      </c>
      <c r="D5035" s="36" t="s">
        <v>15021</v>
      </c>
      <c r="E5035" s="36" t="s">
        <v>11455</v>
      </c>
      <c r="F5035" s="36" t="s">
        <v>11595</v>
      </c>
    </row>
    <row r="5036" spans="1:10" ht="14.25" customHeight="1" x14ac:dyDescent="0.35">
      <c r="A5036" s="37" t="s">
        <v>14147</v>
      </c>
      <c r="B5036" s="37" t="s">
        <v>14147</v>
      </c>
      <c r="C5036" s="37" t="s">
        <v>18585</v>
      </c>
      <c r="D5036" s="37" t="s">
        <v>10634</v>
      </c>
      <c r="E5036" s="37" t="s">
        <v>6314</v>
      </c>
      <c r="F5036" s="37" t="s">
        <v>7088</v>
      </c>
    </row>
    <row r="5037" spans="1:10" ht="14.25" customHeight="1" x14ac:dyDescent="0.35">
      <c r="A5037" s="75" t="s">
        <v>15490</v>
      </c>
      <c r="B5037" s="38" t="s">
        <v>8918</v>
      </c>
      <c r="C5037" s="68">
        <v>45334</v>
      </c>
      <c r="D5037" s="75" t="s">
        <v>9819</v>
      </c>
      <c r="E5037" s="70" t="s">
        <v>13683</v>
      </c>
      <c r="F5037" s="71" t="s">
        <v>3205</v>
      </c>
    </row>
    <row r="5038" spans="1:10" ht="14.25" customHeight="1" x14ac:dyDescent="0.35">
      <c r="A5038" s="76"/>
      <c r="B5038" s="38" t="s">
        <v>1858</v>
      </c>
      <c r="C5038" s="69">
        <f>IF(C5037="","",IF(AND(MONTH(C5037)&gt;=1,MONTH(C5037)&lt;=3),1,IF(AND(MONTH(C5037)&gt;=4,MONTH(C5037)&lt;=6),2,IF(AND(MONTH(C5037)&gt;=7,MONTH(C5037)&lt;=9),3,4))))</f>
        <v>1</v>
      </c>
      <c r="D5038" s="76"/>
      <c r="E5038" s="70" t="s">
        <v>2509</v>
      </c>
      <c r="F5038" s="71" t="s">
        <v>11612</v>
      </c>
    </row>
    <row r="5039" spans="1:10" ht="14.25" customHeight="1" x14ac:dyDescent="0.35">
      <c r="A5039" s="76"/>
      <c r="B5039" s="38" t="s">
        <v>13526</v>
      </c>
      <c r="C5039" s="68">
        <v>45352</v>
      </c>
      <c r="D5039" s="76"/>
      <c r="E5039" s="70" t="s">
        <v>3198</v>
      </c>
      <c r="F5039" s="71" t="s">
        <v>11612</v>
      </c>
    </row>
    <row r="5040" spans="1:10" ht="14.25" customHeight="1" x14ac:dyDescent="0.35">
      <c r="A5040" s="76"/>
      <c r="B5040" s="38" t="s">
        <v>1858</v>
      </c>
      <c r="C5040" s="69">
        <f>IF(C5039="","",IF(AND(MONTH(C5039)&gt;=1,MONTH(C5039)&lt;=3),1,IF(AND(MONTH(C5039)&gt;=4,MONTH(C5039)&lt;=6),2,IF(AND(MONTH(C5039)&gt;=7,MONTH(C5039)&lt;=9),3,4))))</f>
        <v>1</v>
      </c>
      <c r="D5040" s="76"/>
      <c r="E5040" s="70" t="s">
        <v>13785</v>
      </c>
      <c r="F5040" s="71"/>
    </row>
    <row r="5042" spans="1:10" ht="14.25" customHeight="1" x14ac:dyDescent="0.35">
      <c r="A5042" s="43" t="s">
        <v>16424</v>
      </c>
      <c r="B5042" s="43" t="s">
        <v>16856</v>
      </c>
      <c r="C5042" s="43" t="s">
        <v>16326</v>
      </c>
      <c r="D5042" s="43" t="s">
        <v>15925</v>
      </c>
      <c r="E5042" s="43" t="s">
        <v>7248</v>
      </c>
      <c r="F5042" s="43" t="s">
        <v>15955</v>
      </c>
    </row>
    <row r="5043" spans="1:10" ht="14.25" customHeight="1" x14ac:dyDescent="0.35">
      <c r="A5043" s="39" t="s">
        <v>2529</v>
      </c>
      <c r="B5043" s="40" t="str">
        <f ca="1">IFERROR(INDEX(UNSPSCDes,MATCH(INDIRECT(ADDRESS(ROW(),COLUMN()-1,4)),UNSPSCCode,0)),IF(INDIRECT(ADDRESS(ROW(),COLUMN()-1,4))="10171504","Abono",""))</f>
        <v>Abono</v>
      </c>
      <c r="C5043" s="72" t="str">
        <f>IFERROR(VLOOKUP("UD",'Informacion '!P:Q,2,FALSE),"")</f>
        <v>Unidad</v>
      </c>
      <c r="D5043" s="39">
        <v>22</v>
      </c>
      <c r="E5043" s="42">
        <v>1800</v>
      </c>
      <c r="F5043" s="41">
        <f t="shared" ref="F5043:F5048" ca="1" si="177">INDIRECT(ADDRESS(ROW(),COLUMN()-2,4))*INDIRECT(ADDRESS(ROW(),COLUMN()-1,4))</f>
        <v>39600</v>
      </c>
    </row>
    <row r="5044" spans="1:10" ht="14.25" customHeight="1" x14ac:dyDescent="0.35">
      <c r="A5044" s="39" t="s">
        <v>2529</v>
      </c>
      <c r="B5044" s="40" t="str">
        <f ca="1">IFERROR(INDEX(UNSPSCDes,MATCH(INDIRECT(ADDRESS(ROW(),COLUMN()-1,4)),UNSPSCCode,0)),IF(INDIRECT(ADDRESS(ROW(),COLUMN()-1,4))="10171504","Abono",""))</f>
        <v>Abono</v>
      </c>
      <c r="C5044" s="72" t="str">
        <f>IFERROR(VLOOKUP("UD",'Informacion '!P:Q,2,FALSE),"")</f>
        <v>Unidad</v>
      </c>
      <c r="D5044" s="39">
        <v>20</v>
      </c>
      <c r="E5044" s="42">
        <v>1365</v>
      </c>
      <c r="F5044" s="41">
        <f t="shared" ca="1" si="177"/>
        <v>27300</v>
      </c>
    </row>
    <row r="5045" spans="1:10" ht="14.25" customHeight="1" x14ac:dyDescent="0.35">
      <c r="A5045" s="39" t="s">
        <v>2529</v>
      </c>
      <c r="B5045" s="40" t="str">
        <f ca="1">IFERROR(INDEX(UNSPSCDes,MATCH(INDIRECT(ADDRESS(ROW(),COLUMN()-1,4)),UNSPSCCode,0)),IF(INDIRECT(ADDRESS(ROW(),COLUMN()-1,4))="10171504","Abono",""))</f>
        <v>Abono</v>
      </c>
      <c r="C5045" s="72" t="str">
        <f>IFERROR(VLOOKUP("UD",'Informacion '!P:Q,2,FALSE),"")</f>
        <v>Unidad</v>
      </c>
      <c r="D5045" s="39">
        <v>95</v>
      </c>
      <c r="E5045" s="42">
        <v>900</v>
      </c>
      <c r="F5045" s="41">
        <f t="shared" ca="1" si="177"/>
        <v>85500</v>
      </c>
    </row>
    <row r="5046" spans="1:10" ht="14.25" customHeight="1" x14ac:dyDescent="0.35">
      <c r="A5046" s="39" t="s">
        <v>2529</v>
      </c>
      <c r="B5046" s="40" t="str">
        <f ca="1">IFERROR(INDEX(UNSPSCDes,MATCH(INDIRECT(ADDRESS(ROW(),COLUMN()-1,4)),UNSPSCCode,0)),IF(INDIRECT(ADDRESS(ROW(),COLUMN()-1,4))="10171504","Abono",""))</f>
        <v>Abono</v>
      </c>
      <c r="C5046" s="72" t="str">
        <f>IFERROR(VLOOKUP("UD",'Informacion '!P:Q,2,FALSE),"")</f>
        <v>Unidad</v>
      </c>
      <c r="D5046" s="39">
        <v>1</v>
      </c>
      <c r="E5046" s="42">
        <v>1300</v>
      </c>
      <c r="F5046" s="41">
        <f t="shared" ca="1" si="177"/>
        <v>1300</v>
      </c>
    </row>
    <row r="5047" spans="1:10" ht="14.25" customHeight="1" x14ac:dyDescent="0.35">
      <c r="A5047" s="39" t="s">
        <v>15101</v>
      </c>
      <c r="B5047" s="40" t="str">
        <f ca="1">IFERROR(INDEX(UNSPSCDes,MATCH(INDIRECT(ADDRESS(ROW(),COLUMN()-1,4)),UNSPSCCode,0)),IF(INDIRECT(ADDRESS(ROW(),COLUMN()-1,4))="10171701","Matamalezas",""))</f>
        <v>Matamalezas</v>
      </c>
      <c r="C5047" s="72" t="str">
        <f>IFERROR(VLOOKUP("UD",'Informacion '!P:Q,2,FALSE),"")</f>
        <v>Unidad</v>
      </c>
      <c r="D5047" s="39">
        <v>8</v>
      </c>
      <c r="E5047" s="42">
        <v>210</v>
      </c>
      <c r="F5047" s="41">
        <f t="shared" ca="1" si="177"/>
        <v>1680</v>
      </c>
    </row>
    <row r="5048" spans="1:10" ht="14.25" customHeight="1" x14ac:dyDescent="0.35">
      <c r="A5048" s="39" t="s">
        <v>15101</v>
      </c>
      <c r="B5048" s="40" t="str">
        <f ca="1">IFERROR(INDEX(UNSPSCDes,MATCH(INDIRECT(ADDRESS(ROW(),COLUMN()-1,4)),UNSPSCCode,0)),IF(INDIRECT(ADDRESS(ROW(),COLUMN()-1,4))="10171701","Matamalezas",""))</f>
        <v>Matamalezas</v>
      </c>
      <c r="C5048" s="72" t="str">
        <f>IFERROR(VLOOKUP("UD",'Informacion '!P:Q,2,FALSE),"")</f>
        <v>Unidad</v>
      </c>
      <c r="D5048" s="39">
        <v>4</v>
      </c>
      <c r="E5048" s="42">
        <v>1760</v>
      </c>
      <c r="F5048" s="41">
        <f t="shared" ca="1" si="177"/>
        <v>7040</v>
      </c>
    </row>
    <row r="5049" spans="1:10" ht="14.25" customHeight="1" x14ac:dyDescent="0.35">
      <c r="E5049" s="44" t="s">
        <v>13122</v>
      </c>
      <c r="F5049" s="45">
        <f ca="1">SUM(Table281[MONTO TOTAL ESTIMADO])</f>
        <v>162420</v>
      </c>
      <c r="H5049" s="24" t="str">
        <f>C5036</f>
        <v>Bienes</v>
      </c>
      <c r="I5049" s="24" t="str">
        <f>E5036</f>
        <v>MIPYME Mujeres</v>
      </c>
      <c r="J5049" s="24" t="str">
        <f>D5036</f>
        <v>Compras por debajo del Umbral</v>
      </c>
    </row>
    <row r="5051" spans="1:10" ht="34" customHeight="1" x14ac:dyDescent="0.35">
      <c r="A5051" s="36" t="s">
        <v>17105</v>
      </c>
      <c r="B5051" s="36" t="s">
        <v>167</v>
      </c>
      <c r="C5051" s="36" t="s">
        <v>12252</v>
      </c>
      <c r="D5051" s="36" t="s">
        <v>15021</v>
      </c>
      <c r="E5051" s="36" t="s">
        <v>11455</v>
      </c>
      <c r="F5051" s="36" t="s">
        <v>11595</v>
      </c>
    </row>
    <row r="5052" spans="1:10" ht="14.25" customHeight="1" x14ac:dyDescent="0.35">
      <c r="A5052" s="37" t="s">
        <v>14147</v>
      </c>
      <c r="B5052" s="37" t="s">
        <v>14147</v>
      </c>
      <c r="C5052" s="37" t="s">
        <v>18585</v>
      </c>
      <c r="D5052" s="37" t="s">
        <v>10634</v>
      </c>
      <c r="E5052" s="37" t="s">
        <v>18646</v>
      </c>
      <c r="F5052" s="37" t="s">
        <v>7088</v>
      </c>
    </row>
    <row r="5053" spans="1:10" ht="14.25" customHeight="1" x14ac:dyDescent="0.35">
      <c r="A5053" s="75" t="s">
        <v>15490</v>
      </c>
      <c r="B5053" s="38" t="s">
        <v>8918</v>
      </c>
      <c r="C5053" s="68">
        <v>45383</v>
      </c>
      <c r="D5053" s="75" t="s">
        <v>9819</v>
      </c>
      <c r="E5053" s="70" t="s">
        <v>13683</v>
      </c>
      <c r="F5053" s="71" t="s">
        <v>3205</v>
      </c>
    </row>
    <row r="5054" spans="1:10" ht="14.25" customHeight="1" x14ac:dyDescent="0.35">
      <c r="A5054" s="76"/>
      <c r="B5054" s="38" t="s">
        <v>1858</v>
      </c>
      <c r="C5054" s="69">
        <f>IF(C5053="","",IF(AND(MONTH(C5053)&gt;=1,MONTH(C5053)&lt;=3),1,IF(AND(MONTH(C5053)&gt;=4,MONTH(C5053)&lt;=6),2,IF(AND(MONTH(C5053)&gt;=7,MONTH(C5053)&lt;=9),3,4))))</f>
        <v>2</v>
      </c>
      <c r="D5054" s="76"/>
      <c r="E5054" s="70" t="s">
        <v>2509</v>
      </c>
      <c r="F5054" s="71" t="s">
        <v>11612</v>
      </c>
    </row>
    <row r="5055" spans="1:10" ht="14.25" customHeight="1" x14ac:dyDescent="0.35">
      <c r="A5055" s="76"/>
      <c r="B5055" s="38" t="s">
        <v>13526</v>
      </c>
      <c r="C5055" s="68">
        <v>45471</v>
      </c>
      <c r="D5055" s="76"/>
      <c r="E5055" s="70" t="s">
        <v>3198</v>
      </c>
      <c r="F5055" s="71" t="s">
        <v>11612</v>
      </c>
    </row>
    <row r="5056" spans="1:10" ht="14.25" customHeight="1" x14ac:dyDescent="0.35">
      <c r="A5056" s="76"/>
      <c r="B5056" s="38" t="s">
        <v>1858</v>
      </c>
      <c r="C5056" s="69">
        <f>IF(C5055="","",IF(AND(MONTH(C5055)&gt;=1,MONTH(C5055)&lt;=3),1,IF(AND(MONTH(C5055)&gt;=4,MONTH(C5055)&lt;=6),2,IF(AND(MONTH(C5055)&gt;=7,MONTH(C5055)&lt;=9),3,4))))</f>
        <v>2</v>
      </c>
      <c r="D5056" s="76"/>
      <c r="E5056" s="70" t="s">
        <v>13785</v>
      </c>
      <c r="F5056" s="71"/>
    </row>
    <row r="5058" spans="1:10" ht="14.25" customHeight="1" x14ac:dyDescent="0.35">
      <c r="A5058" s="43" t="s">
        <v>16424</v>
      </c>
      <c r="B5058" s="43" t="s">
        <v>16856</v>
      </c>
      <c r="C5058" s="43" t="s">
        <v>16326</v>
      </c>
      <c r="D5058" s="43" t="s">
        <v>15925</v>
      </c>
      <c r="E5058" s="43" t="s">
        <v>7248</v>
      </c>
      <c r="F5058" s="43" t="s">
        <v>15955</v>
      </c>
    </row>
    <row r="5059" spans="1:10" ht="14.25" customHeight="1" x14ac:dyDescent="0.35">
      <c r="A5059" s="39" t="s">
        <v>2529</v>
      </c>
      <c r="B5059" s="40" t="str">
        <f ca="1">IFERROR(INDEX(UNSPSCDes,MATCH(INDIRECT(ADDRESS(ROW(),COLUMN()-1,4)),UNSPSCCode,0)),IF(INDIRECT(ADDRESS(ROW(),COLUMN()-1,4))="10171504","Abono",""))</f>
        <v>Abono</v>
      </c>
      <c r="C5059" s="72" t="str">
        <f>IFERROR(VLOOKUP("UD",'Informacion '!P:Q,2,FALSE),"")</f>
        <v>Unidad</v>
      </c>
      <c r="D5059" s="39">
        <v>20</v>
      </c>
      <c r="E5059" s="42">
        <v>1405.8</v>
      </c>
      <c r="F5059" s="41">
        <f ca="1">INDIRECT(ADDRESS(ROW(),COLUMN()-2,4))*INDIRECT(ADDRESS(ROW(),COLUMN()-1,4))</f>
        <v>28116</v>
      </c>
    </row>
    <row r="5060" spans="1:10" ht="14.25" customHeight="1" x14ac:dyDescent="0.35">
      <c r="A5060" s="39" t="s">
        <v>2529</v>
      </c>
      <c r="B5060" s="40" t="str">
        <f ca="1">IFERROR(INDEX(UNSPSCDes,MATCH(INDIRECT(ADDRESS(ROW(),COLUMN()-1,4)),UNSPSCCode,0)),IF(INDIRECT(ADDRESS(ROW(),COLUMN()-1,4))="10171504","Abono",""))</f>
        <v>Abono</v>
      </c>
      <c r="C5060" s="72" t="str">
        <f>IFERROR(VLOOKUP("UD",'Informacion '!P:Q,2,FALSE),"")</f>
        <v>Unidad</v>
      </c>
      <c r="D5060" s="39">
        <v>95</v>
      </c>
      <c r="E5060" s="42">
        <v>900</v>
      </c>
      <c r="F5060" s="41">
        <f ca="1">INDIRECT(ADDRESS(ROW(),COLUMN()-2,4))*INDIRECT(ADDRESS(ROW(),COLUMN()-1,4))</f>
        <v>85500</v>
      </c>
    </row>
    <row r="5061" spans="1:10" ht="14.25" customHeight="1" x14ac:dyDescent="0.35">
      <c r="E5061" s="44" t="s">
        <v>13122</v>
      </c>
      <c r="F5061" s="45">
        <f ca="1">SUM(Table282[MONTO TOTAL ESTIMADO])</f>
        <v>113616</v>
      </c>
      <c r="H5061" s="24" t="str">
        <f>C5052</f>
        <v>Bienes</v>
      </c>
      <c r="I5061" s="24" t="str">
        <f>E5052</f>
        <v>No</v>
      </c>
      <c r="J5061" s="24" t="str">
        <f>D5052</f>
        <v>Compras por debajo del Umbral</v>
      </c>
    </row>
    <row r="5063" spans="1:10" ht="34" customHeight="1" x14ac:dyDescent="0.35">
      <c r="A5063" s="36" t="s">
        <v>17105</v>
      </c>
      <c r="B5063" s="36" t="s">
        <v>167</v>
      </c>
      <c r="C5063" s="36" t="s">
        <v>12252</v>
      </c>
      <c r="D5063" s="36" t="s">
        <v>15021</v>
      </c>
      <c r="E5063" s="36" t="s">
        <v>11455</v>
      </c>
      <c r="F5063" s="36" t="s">
        <v>11595</v>
      </c>
    </row>
    <row r="5064" spans="1:10" ht="14.25" customHeight="1" x14ac:dyDescent="0.35">
      <c r="A5064" s="37" t="s">
        <v>14147</v>
      </c>
      <c r="B5064" s="37" t="s">
        <v>14147</v>
      </c>
      <c r="C5064" s="37" t="s">
        <v>18585</v>
      </c>
      <c r="D5064" s="37" t="s">
        <v>10634</v>
      </c>
      <c r="E5064" s="37" t="s">
        <v>6314</v>
      </c>
      <c r="F5064" s="37" t="s">
        <v>7088</v>
      </c>
    </row>
    <row r="5065" spans="1:10" ht="14.25" customHeight="1" x14ac:dyDescent="0.35">
      <c r="A5065" s="75" t="s">
        <v>15490</v>
      </c>
      <c r="B5065" s="38" t="s">
        <v>8918</v>
      </c>
      <c r="C5065" s="68">
        <v>45474</v>
      </c>
      <c r="D5065" s="75" t="s">
        <v>9819</v>
      </c>
      <c r="E5065" s="70" t="s">
        <v>13683</v>
      </c>
      <c r="F5065" s="71" t="s">
        <v>3205</v>
      </c>
    </row>
    <row r="5066" spans="1:10" ht="14.25" customHeight="1" x14ac:dyDescent="0.35">
      <c r="A5066" s="76"/>
      <c r="B5066" s="38" t="s">
        <v>1858</v>
      </c>
      <c r="C5066" s="69">
        <f>IF(C5065="","",IF(AND(MONTH(C5065)&gt;=1,MONTH(C5065)&lt;=3),1,IF(AND(MONTH(C5065)&gt;=4,MONTH(C5065)&lt;=6),2,IF(AND(MONTH(C5065)&gt;=7,MONTH(C5065)&lt;=9),3,4))))</f>
        <v>3</v>
      </c>
      <c r="D5066" s="76"/>
      <c r="E5066" s="70" t="s">
        <v>2509</v>
      </c>
      <c r="F5066" s="71" t="s">
        <v>11612</v>
      </c>
    </row>
    <row r="5067" spans="1:10" ht="14.25" customHeight="1" x14ac:dyDescent="0.35">
      <c r="A5067" s="76"/>
      <c r="B5067" s="38" t="s">
        <v>13526</v>
      </c>
      <c r="C5067" s="68">
        <v>45565</v>
      </c>
      <c r="D5067" s="76"/>
      <c r="E5067" s="70" t="s">
        <v>3198</v>
      </c>
      <c r="F5067" s="71" t="s">
        <v>11612</v>
      </c>
    </row>
    <row r="5068" spans="1:10" ht="14.25" customHeight="1" x14ac:dyDescent="0.35">
      <c r="A5068" s="76"/>
      <c r="B5068" s="38" t="s">
        <v>1858</v>
      </c>
      <c r="C5068" s="69">
        <f>IF(C5067="","",IF(AND(MONTH(C5067)&gt;=1,MONTH(C5067)&lt;=3),1,IF(AND(MONTH(C5067)&gt;=4,MONTH(C5067)&lt;=6),2,IF(AND(MONTH(C5067)&gt;=7,MONTH(C5067)&lt;=9),3,4))))</f>
        <v>3</v>
      </c>
      <c r="D5068" s="76"/>
      <c r="E5068" s="70" t="s">
        <v>13785</v>
      </c>
      <c r="F5068" s="71"/>
    </row>
    <row r="5070" spans="1:10" ht="14.25" customHeight="1" x14ac:dyDescent="0.35">
      <c r="A5070" s="43" t="s">
        <v>16424</v>
      </c>
      <c r="B5070" s="43" t="s">
        <v>16856</v>
      </c>
      <c r="C5070" s="43" t="s">
        <v>16326</v>
      </c>
      <c r="D5070" s="43" t="s">
        <v>15925</v>
      </c>
      <c r="E5070" s="43" t="s">
        <v>7248</v>
      </c>
      <c r="F5070" s="43" t="s">
        <v>15955</v>
      </c>
    </row>
    <row r="5071" spans="1:10" ht="14.25" customHeight="1" x14ac:dyDescent="0.35">
      <c r="A5071" s="39" t="s">
        <v>2529</v>
      </c>
      <c r="B5071" s="40" t="str">
        <f ca="1">IFERROR(INDEX(UNSPSCDes,MATCH(INDIRECT(ADDRESS(ROW(),COLUMN()-1,4)),UNSPSCCode,0)),IF(INDIRECT(ADDRESS(ROW(),COLUMN()-1,4))="10171504","Abono",""))</f>
        <v>Abono</v>
      </c>
      <c r="C5071" s="72" t="str">
        <f>IFERROR(VLOOKUP("UD",'Informacion '!P:Q,2,FALSE),"")</f>
        <v>Unidad</v>
      </c>
      <c r="D5071" s="39">
        <v>95</v>
      </c>
      <c r="E5071" s="42">
        <v>900</v>
      </c>
      <c r="F5071" s="41">
        <f ca="1">INDIRECT(ADDRESS(ROW(),COLUMN()-2,4))*INDIRECT(ADDRESS(ROW(),COLUMN()-1,4))</f>
        <v>85500</v>
      </c>
    </row>
    <row r="5072" spans="1:10" ht="14.25" customHeight="1" x14ac:dyDescent="0.35">
      <c r="A5072" s="39" t="s">
        <v>2529</v>
      </c>
      <c r="B5072" s="40" t="str">
        <f ca="1">IFERROR(INDEX(UNSPSCDes,MATCH(INDIRECT(ADDRESS(ROW(),COLUMN()-1,4)),UNSPSCCode,0)),IF(INDIRECT(ADDRESS(ROW(),COLUMN()-1,4))="10171504","Abono",""))</f>
        <v>Abono</v>
      </c>
      <c r="C5072" s="72" t="str">
        <f>IFERROR(VLOOKUP("UD",'Informacion '!P:Q,2,FALSE),"")</f>
        <v>Unidad</v>
      </c>
      <c r="D5072" s="39">
        <v>20</v>
      </c>
      <c r="E5072" s="42">
        <v>900</v>
      </c>
      <c r="F5072" s="41">
        <f ca="1">INDIRECT(ADDRESS(ROW(),COLUMN()-2,4))*INDIRECT(ADDRESS(ROW(),COLUMN()-1,4))</f>
        <v>18000</v>
      </c>
    </row>
    <row r="5073" spans="1:10" ht="14.25" customHeight="1" x14ac:dyDescent="0.35">
      <c r="E5073" s="44" t="s">
        <v>13122</v>
      </c>
      <c r="F5073" s="45">
        <f ca="1">SUM(Table283[MONTO TOTAL ESTIMADO])</f>
        <v>103500</v>
      </c>
      <c r="H5073" s="24" t="str">
        <f>C5064</f>
        <v>Bienes</v>
      </c>
      <c r="I5073" s="24" t="str">
        <f>E5064</f>
        <v>MIPYME Mujeres</v>
      </c>
      <c r="J5073" s="24" t="str">
        <f>D5064</f>
        <v>Compras por debajo del Umbral</v>
      </c>
    </row>
    <row r="5075" spans="1:10" ht="34" customHeight="1" x14ac:dyDescent="0.35">
      <c r="A5075" s="36" t="s">
        <v>17105</v>
      </c>
      <c r="B5075" s="36" t="s">
        <v>167</v>
      </c>
      <c r="C5075" s="36" t="s">
        <v>12252</v>
      </c>
      <c r="D5075" s="36" t="s">
        <v>15021</v>
      </c>
      <c r="E5075" s="36" t="s">
        <v>11455</v>
      </c>
      <c r="F5075" s="36" t="s">
        <v>11595</v>
      </c>
    </row>
    <row r="5076" spans="1:10" ht="14.25" customHeight="1" x14ac:dyDescent="0.35">
      <c r="A5076" s="37" t="s">
        <v>17697</v>
      </c>
      <c r="B5076" s="37" t="s">
        <v>17697</v>
      </c>
      <c r="C5076" s="37" t="s">
        <v>18585</v>
      </c>
      <c r="D5076" s="37" t="s">
        <v>18256</v>
      </c>
      <c r="E5076" s="37" t="s">
        <v>18646</v>
      </c>
      <c r="F5076" s="37" t="s">
        <v>7088</v>
      </c>
    </row>
    <row r="5077" spans="1:10" ht="14.25" customHeight="1" x14ac:dyDescent="0.35">
      <c r="A5077" s="75" t="s">
        <v>15490</v>
      </c>
      <c r="B5077" s="38" t="s">
        <v>8918</v>
      </c>
      <c r="C5077" s="68">
        <v>45334</v>
      </c>
      <c r="D5077" s="75" t="s">
        <v>9819</v>
      </c>
      <c r="E5077" s="70" t="s">
        <v>13683</v>
      </c>
      <c r="F5077" s="71" t="s">
        <v>3205</v>
      </c>
    </row>
    <row r="5078" spans="1:10" ht="14.25" customHeight="1" x14ac:dyDescent="0.35">
      <c r="A5078" s="76"/>
      <c r="B5078" s="38" t="s">
        <v>1858</v>
      </c>
      <c r="C5078" s="69">
        <f>IF(C5077="","",IF(AND(MONTH(C5077)&gt;=1,MONTH(C5077)&lt;=3),1,IF(AND(MONTH(C5077)&gt;=4,MONTH(C5077)&lt;=6),2,IF(AND(MONTH(C5077)&gt;=7,MONTH(C5077)&lt;=9),3,4))))</f>
        <v>1</v>
      </c>
      <c r="D5078" s="76"/>
      <c r="E5078" s="70" t="s">
        <v>2509</v>
      </c>
      <c r="F5078" s="71" t="s">
        <v>11612</v>
      </c>
    </row>
    <row r="5079" spans="1:10" ht="14.25" customHeight="1" x14ac:dyDescent="0.35">
      <c r="A5079" s="76"/>
      <c r="B5079" s="38" t="s">
        <v>13526</v>
      </c>
      <c r="C5079" s="68">
        <v>45352</v>
      </c>
      <c r="D5079" s="76"/>
      <c r="E5079" s="70" t="s">
        <v>3198</v>
      </c>
      <c r="F5079" s="71" t="s">
        <v>11612</v>
      </c>
    </row>
    <row r="5080" spans="1:10" ht="14.25" customHeight="1" x14ac:dyDescent="0.35">
      <c r="A5080" s="76"/>
      <c r="B5080" s="38" t="s">
        <v>1858</v>
      </c>
      <c r="C5080" s="69">
        <f>IF(C5079="","",IF(AND(MONTH(C5079)&gt;=1,MONTH(C5079)&lt;=3),1,IF(AND(MONTH(C5079)&gt;=4,MONTH(C5079)&lt;=6),2,IF(AND(MONTH(C5079)&gt;=7,MONTH(C5079)&lt;=9),3,4))))</f>
        <v>1</v>
      </c>
      <c r="D5080" s="76"/>
      <c r="E5080" s="70" t="s">
        <v>13785</v>
      </c>
      <c r="F5080" s="71"/>
    </row>
    <row r="5082" spans="1:10" ht="14.25" customHeight="1" x14ac:dyDescent="0.35">
      <c r="A5082" s="43" t="s">
        <v>16424</v>
      </c>
      <c r="B5082" s="43" t="s">
        <v>16856</v>
      </c>
      <c r="C5082" s="43" t="s">
        <v>16326</v>
      </c>
      <c r="D5082" s="43" t="s">
        <v>15925</v>
      </c>
      <c r="E5082" s="43" t="s">
        <v>7248</v>
      </c>
      <c r="F5082" s="43" t="s">
        <v>15955</v>
      </c>
    </row>
    <row r="5083" spans="1:10" ht="14.25" customHeight="1" x14ac:dyDescent="0.35">
      <c r="A5083" s="39" t="s">
        <v>8320</v>
      </c>
      <c r="B5083" s="40" t="str">
        <f ca="1">IFERROR(INDEX(UNSPSCDes,MATCH(INDIRECT(ADDRESS(ROW(),COLUMN()-1,4)),UNSPSCCode,0)),IF(INDIRECT(ADDRESS(ROW(),COLUMN()-1,4))="10191509","Insecticidas",""))</f>
        <v>Insecticidas</v>
      </c>
      <c r="C5083" s="72" t="str">
        <f>IFERROR(VLOOKUP("L",'Informacion '!P:Q,2,FALSE),"")</f>
        <v>Litro</v>
      </c>
      <c r="D5083" s="39">
        <v>10</v>
      </c>
      <c r="E5083" s="42">
        <v>1900</v>
      </c>
      <c r="F5083" s="41">
        <f t="shared" ref="F5083:F5088" ca="1" si="178">INDIRECT(ADDRESS(ROW(),COLUMN()-2,4))*INDIRECT(ADDRESS(ROW(),COLUMN()-1,4))</f>
        <v>19000</v>
      </c>
    </row>
    <row r="5084" spans="1:10" ht="14.25" customHeight="1" x14ac:dyDescent="0.35">
      <c r="A5084" s="39" t="s">
        <v>18055</v>
      </c>
      <c r="B5084" s="40" t="str">
        <f ca="1">IFERROR(INDEX(UNSPSCDes,MATCH(INDIRECT(ADDRESS(ROW(),COLUMN()-1,4)),UNSPSCCode,0)),IF(INDIRECT(ADDRESS(ROW(),COLUMN()-1,4))="10191506","Mata – roedores",""))</f>
        <v>Mata – roedores</v>
      </c>
      <c r="C5084" s="72" t="str">
        <f>IFERROR(VLOOKUP("L",'Informacion '!P:Q,2,FALSE),"")</f>
        <v>Litro</v>
      </c>
      <c r="D5084" s="39">
        <v>30</v>
      </c>
      <c r="E5084" s="42">
        <v>900</v>
      </c>
      <c r="F5084" s="41">
        <f t="shared" ca="1" si="178"/>
        <v>27000</v>
      </c>
    </row>
    <row r="5085" spans="1:10" ht="14.25" customHeight="1" x14ac:dyDescent="0.35">
      <c r="A5085" s="39" t="s">
        <v>8320</v>
      </c>
      <c r="B5085" s="40" t="str">
        <f ca="1">IFERROR(INDEX(UNSPSCDes,MATCH(INDIRECT(ADDRESS(ROW(),COLUMN()-1,4)),UNSPSCCode,0)),IF(INDIRECT(ADDRESS(ROW(),COLUMN()-1,4))="10191509","Insecticidas",""))</f>
        <v>Insecticidas</v>
      </c>
      <c r="C5085" s="72" t="str">
        <f>IFERROR(VLOOKUP("LB",'Informacion '!P:Q,2,FALSE),"")</f>
        <v>Libra </v>
      </c>
      <c r="D5085" s="39">
        <v>170</v>
      </c>
      <c r="E5085" s="42">
        <v>995</v>
      </c>
      <c r="F5085" s="41">
        <f t="shared" ca="1" si="178"/>
        <v>169150</v>
      </c>
    </row>
    <row r="5086" spans="1:10" ht="14.25" customHeight="1" x14ac:dyDescent="0.35">
      <c r="A5086" s="39" t="s">
        <v>8320</v>
      </c>
      <c r="B5086" s="40" t="str">
        <f ca="1">IFERROR(INDEX(UNSPSCDes,MATCH(INDIRECT(ADDRESS(ROW(),COLUMN()-1,4)),UNSPSCCode,0)),IF(INDIRECT(ADDRESS(ROW(),COLUMN()-1,4))="10191509","Insecticidas",""))</f>
        <v>Insecticidas</v>
      </c>
      <c r="C5086" s="72" t="str">
        <f>IFERROR(VLOOKUP("L",'Informacion '!P:Q,2,FALSE),"")</f>
        <v>Litro</v>
      </c>
      <c r="D5086" s="39">
        <v>170</v>
      </c>
      <c r="E5086" s="42">
        <v>1050</v>
      </c>
      <c r="F5086" s="41">
        <f t="shared" ca="1" si="178"/>
        <v>178500</v>
      </c>
    </row>
    <row r="5087" spans="1:10" ht="14.25" customHeight="1" x14ac:dyDescent="0.35">
      <c r="A5087" s="39" t="s">
        <v>8320</v>
      </c>
      <c r="B5087" s="40" t="str">
        <f ca="1">IFERROR(INDEX(UNSPSCDes,MATCH(INDIRECT(ADDRESS(ROW(),COLUMN()-1,4)),UNSPSCCode,0)),IF(INDIRECT(ADDRESS(ROW(),COLUMN()-1,4))="10191509","Insecticidas",""))</f>
        <v>Insecticidas</v>
      </c>
      <c r="C5087" s="72" t="str">
        <f>IFERROR(VLOOKUP("GAL",'Informacion '!P:Q,2,FALSE),"")</f>
        <v>Galón</v>
      </c>
      <c r="D5087" s="39">
        <v>6</v>
      </c>
      <c r="E5087" s="42">
        <v>2500</v>
      </c>
      <c r="F5087" s="41">
        <f t="shared" ca="1" si="178"/>
        <v>15000</v>
      </c>
    </row>
    <row r="5088" spans="1:10" ht="14.25" customHeight="1" x14ac:dyDescent="0.35">
      <c r="A5088" s="39" t="s">
        <v>8320</v>
      </c>
      <c r="B5088" s="40" t="str">
        <f ca="1">IFERROR(INDEX(UNSPSCDes,MATCH(INDIRECT(ADDRESS(ROW(),COLUMN()-1,4)),UNSPSCCode,0)),IF(INDIRECT(ADDRESS(ROW(),COLUMN()-1,4))="10191509","Insecticidas",""))</f>
        <v>Insecticidas</v>
      </c>
      <c r="C5088" s="72" t="str">
        <f>IFERROR(VLOOKUP("UD",'Informacion '!P:Q,2,FALSE),"")</f>
        <v>Unidad</v>
      </c>
      <c r="D5088" s="39">
        <v>18</v>
      </c>
      <c r="E5088" s="42">
        <v>194.7</v>
      </c>
      <c r="F5088" s="41">
        <f t="shared" ca="1" si="178"/>
        <v>3504.6</v>
      </c>
    </row>
    <row r="5089" spans="1:10" ht="14.25" customHeight="1" x14ac:dyDescent="0.35">
      <c r="E5089" s="44" t="s">
        <v>13122</v>
      </c>
      <c r="F5089" s="45">
        <f ca="1">SUM(Table284[MONTO TOTAL ESTIMADO])</f>
        <v>412154.6</v>
      </c>
      <c r="H5089" s="24" t="str">
        <f>C5076</f>
        <v>Bienes</v>
      </c>
      <c r="I5089" s="24" t="str">
        <f>E5076</f>
        <v>No</v>
      </c>
      <c r="J5089" s="24" t="str">
        <f>D5076</f>
        <v>Compras Menores</v>
      </c>
    </row>
    <row r="5091" spans="1:10" ht="34" customHeight="1" x14ac:dyDescent="0.35">
      <c r="A5091" s="36" t="s">
        <v>17105</v>
      </c>
      <c r="B5091" s="36" t="s">
        <v>167</v>
      </c>
      <c r="C5091" s="36" t="s">
        <v>12252</v>
      </c>
      <c r="D5091" s="36" t="s">
        <v>15021</v>
      </c>
      <c r="E5091" s="36" t="s">
        <v>11455</v>
      </c>
      <c r="F5091" s="36" t="s">
        <v>11595</v>
      </c>
    </row>
    <row r="5092" spans="1:10" ht="14.25" customHeight="1" x14ac:dyDescent="0.35">
      <c r="A5092" s="37" t="s">
        <v>17697</v>
      </c>
      <c r="B5092" s="37" t="s">
        <v>17697</v>
      </c>
      <c r="C5092" s="37" t="s">
        <v>18585</v>
      </c>
      <c r="D5092" s="37" t="s">
        <v>18256</v>
      </c>
      <c r="E5092" s="37" t="s">
        <v>18646</v>
      </c>
      <c r="F5092" s="37" t="s">
        <v>7088</v>
      </c>
    </row>
    <row r="5093" spans="1:10" ht="14.25" customHeight="1" x14ac:dyDescent="0.35">
      <c r="A5093" s="75" t="s">
        <v>15490</v>
      </c>
      <c r="B5093" s="38" t="s">
        <v>8918</v>
      </c>
      <c r="C5093" s="68">
        <v>45383</v>
      </c>
      <c r="D5093" s="75" t="s">
        <v>9819</v>
      </c>
      <c r="E5093" s="70" t="s">
        <v>13683</v>
      </c>
      <c r="F5093" s="71" t="s">
        <v>3205</v>
      </c>
    </row>
    <row r="5094" spans="1:10" ht="14.25" customHeight="1" x14ac:dyDescent="0.35">
      <c r="A5094" s="76"/>
      <c r="B5094" s="38" t="s">
        <v>1858</v>
      </c>
      <c r="C5094" s="69">
        <f>IF(C5093="","",IF(AND(MONTH(C5093)&gt;=1,MONTH(C5093)&lt;=3),1,IF(AND(MONTH(C5093)&gt;=4,MONTH(C5093)&lt;=6),2,IF(AND(MONTH(C5093)&gt;=7,MONTH(C5093)&lt;=9),3,4))))</f>
        <v>2</v>
      </c>
      <c r="D5094" s="76"/>
      <c r="E5094" s="70" t="s">
        <v>2509</v>
      </c>
      <c r="F5094" s="71" t="s">
        <v>11612</v>
      </c>
    </row>
    <row r="5095" spans="1:10" ht="14.25" customHeight="1" x14ac:dyDescent="0.35">
      <c r="A5095" s="76"/>
      <c r="B5095" s="38" t="s">
        <v>13526</v>
      </c>
      <c r="C5095" s="68">
        <v>45471</v>
      </c>
      <c r="D5095" s="76"/>
      <c r="E5095" s="70" t="s">
        <v>3198</v>
      </c>
      <c r="F5095" s="71" t="s">
        <v>11612</v>
      </c>
    </row>
    <row r="5096" spans="1:10" ht="14.25" customHeight="1" x14ac:dyDescent="0.35">
      <c r="A5096" s="76"/>
      <c r="B5096" s="38" t="s">
        <v>1858</v>
      </c>
      <c r="C5096" s="69">
        <f>IF(C5095="","",IF(AND(MONTH(C5095)&gt;=1,MONTH(C5095)&lt;=3),1,IF(AND(MONTH(C5095)&gt;=4,MONTH(C5095)&lt;=6),2,IF(AND(MONTH(C5095)&gt;=7,MONTH(C5095)&lt;=9),3,4))))</f>
        <v>2</v>
      </c>
      <c r="D5096" s="76"/>
      <c r="E5096" s="70" t="s">
        <v>13785</v>
      </c>
      <c r="F5096" s="71"/>
    </row>
    <row r="5098" spans="1:10" ht="14.25" customHeight="1" x14ac:dyDescent="0.35">
      <c r="A5098" s="43" t="s">
        <v>16424</v>
      </c>
      <c r="B5098" s="43" t="s">
        <v>16856</v>
      </c>
      <c r="C5098" s="43" t="s">
        <v>16326</v>
      </c>
      <c r="D5098" s="43" t="s">
        <v>15925</v>
      </c>
      <c r="E5098" s="43" t="s">
        <v>7248</v>
      </c>
      <c r="F5098" s="43" t="s">
        <v>15955</v>
      </c>
    </row>
    <row r="5099" spans="1:10" ht="14.25" customHeight="1" x14ac:dyDescent="0.35">
      <c r="A5099" s="39" t="s">
        <v>8320</v>
      </c>
      <c r="B5099" s="40" t="str">
        <f ca="1">IFERROR(INDEX(UNSPSCDes,MATCH(INDIRECT(ADDRESS(ROW(),COLUMN()-1,4)),UNSPSCCode,0)),IF(INDIRECT(ADDRESS(ROW(),COLUMN()-1,4))="10191509","Insecticidas",""))</f>
        <v>Insecticidas</v>
      </c>
      <c r="C5099" s="72" t="str">
        <f>IFERROR(VLOOKUP("L",'Informacion '!P:Q,2,FALSE),"")</f>
        <v>Litro</v>
      </c>
      <c r="D5099" s="39">
        <v>15</v>
      </c>
      <c r="E5099" s="42">
        <v>1750</v>
      </c>
      <c r="F5099" s="41">
        <f ca="1">INDIRECT(ADDRESS(ROW(),COLUMN()-2,4))*INDIRECT(ADDRESS(ROW(),COLUMN()-1,4))</f>
        <v>26250</v>
      </c>
    </row>
    <row r="5100" spans="1:10" ht="14.25" customHeight="1" x14ac:dyDescent="0.35">
      <c r="A5100" s="39" t="s">
        <v>8320</v>
      </c>
      <c r="B5100" s="40" t="str">
        <f ca="1">IFERROR(INDEX(UNSPSCDes,MATCH(INDIRECT(ADDRESS(ROW(),COLUMN()-1,4)),UNSPSCCode,0)),IF(INDIRECT(ADDRESS(ROW(),COLUMN()-1,4))="10191509","Insecticidas",""))</f>
        <v>Insecticidas</v>
      </c>
      <c r="C5100" s="72" t="str">
        <f>IFERROR(VLOOKUP("LB",'Informacion '!P:Q,2,FALSE),"")</f>
        <v>Libra </v>
      </c>
      <c r="D5100" s="39">
        <v>170</v>
      </c>
      <c r="E5100" s="42">
        <v>995</v>
      </c>
      <c r="F5100" s="41">
        <f ca="1">INDIRECT(ADDRESS(ROW(),COLUMN()-2,4))*INDIRECT(ADDRESS(ROW(),COLUMN()-1,4))</f>
        <v>169150</v>
      </c>
    </row>
    <row r="5101" spans="1:10" ht="14.25" customHeight="1" x14ac:dyDescent="0.35">
      <c r="A5101" s="39" t="s">
        <v>8320</v>
      </c>
      <c r="B5101" s="40" t="str">
        <f ca="1">IFERROR(INDEX(UNSPSCDes,MATCH(INDIRECT(ADDRESS(ROW(),COLUMN()-1,4)),UNSPSCCode,0)),IF(INDIRECT(ADDRESS(ROW(),COLUMN()-1,4))="10191509","Insecticidas",""))</f>
        <v>Insecticidas</v>
      </c>
      <c r="C5101" s="72" t="str">
        <f>IFERROR(VLOOKUP("L",'Informacion '!P:Q,2,FALSE),"")</f>
        <v>Litro</v>
      </c>
      <c r="D5101" s="39">
        <v>170</v>
      </c>
      <c r="E5101" s="42">
        <v>1050</v>
      </c>
      <c r="F5101" s="41">
        <f ca="1">INDIRECT(ADDRESS(ROW(),COLUMN()-2,4))*INDIRECT(ADDRESS(ROW(),COLUMN()-1,4))</f>
        <v>178500</v>
      </c>
    </row>
    <row r="5102" spans="1:10" ht="14.25" customHeight="1" x14ac:dyDescent="0.35">
      <c r="A5102" s="39" t="s">
        <v>8320</v>
      </c>
      <c r="B5102" s="40" t="str">
        <f ca="1">IFERROR(INDEX(UNSPSCDes,MATCH(INDIRECT(ADDRESS(ROW(),COLUMN()-1,4)),UNSPSCCode,0)),IF(INDIRECT(ADDRESS(ROW(),COLUMN()-1,4))="10191509","Insecticidas",""))</f>
        <v>Insecticidas</v>
      </c>
      <c r="C5102" s="72" t="str">
        <f>IFERROR(VLOOKUP("UD",'Informacion '!P:Q,2,FALSE),"")</f>
        <v>Unidad</v>
      </c>
      <c r="D5102" s="39">
        <v>18</v>
      </c>
      <c r="E5102" s="42">
        <v>194.7</v>
      </c>
      <c r="F5102" s="41">
        <f ca="1">INDIRECT(ADDRESS(ROW(),COLUMN()-2,4))*INDIRECT(ADDRESS(ROW(),COLUMN()-1,4))</f>
        <v>3504.6</v>
      </c>
    </row>
    <row r="5103" spans="1:10" ht="14.25" customHeight="1" x14ac:dyDescent="0.35">
      <c r="E5103" s="44" t="s">
        <v>13122</v>
      </c>
      <c r="F5103" s="45">
        <f ca="1">SUM(Table285[MONTO TOTAL ESTIMADO])</f>
        <v>377404.6</v>
      </c>
      <c r="H5103" s="24" t="str">
        <f>C5092</f>
        <v>Bienes</v>
      </c>
      <c r="I5103" s="24" t="str">
        <f>E5092</f>
        <v>No</v>
      </c>
      <c r="J5103" s="24" t="str">
        <f>D5092</f>
        <v>Compras Menores</v>
      </c>
    </row>
    <row r="5105" spans="1:10" ht="34" customHeight="1" x14ac:dyDescent="0.35">
      <c r="A5105" s="36" t="s">
        <v>17105</v>
      </c>
      <c r="B5105" s="36" t="s">
        <v>167</v>
      </c>
      <c r="C5105" s="36" t="s">
        <v>12252</v>
      </c>
      <c r="D5105" s="36" t="s">
        <v>15021</v>
      </c>
      <c r="E5105" s="36" t="s">
        <v>11455</v>
      </c>
      <c r="F5105" s="36" t="s">
        <v>11595</v>
      </c>
    </row>
    <row r="5106" spans="1:10" ht="14.25" customHeight="1" x14ac:dyDescent="0.35">
      <c r="A5106" s="37" t="s">
        <v>17697</v>
      </c>
      <c r="B5106" s="37" t="s">
        <v>17697</v>
      </c>
      <c r="C5106" s="37" t="s">
        <v>18585</v>
      </c>
      <c r="D5106" s="37" t="s">
        <v>18256</v>
      </c>
      <c r="E5106" s="37" t="s">
        <v>18646</v>
      </c>
      <c r="F5106" s="37" t="s">
        <v>7088</v>
      </c>
    </row>
    <row r="5107" spans="1:10" ht="14.25" customHeight="1" x14ac:dyDescent="0.35">
      <c r="A5107" s="75" t="s">
        <v>15490</v>
      </c>
      <c r="B5107" s="38" t="s">
        <v>8918</v>
      </c>
      <c r="C5107" s="68">
        <v>45474</v>
      </c>
      <c r="D5107" s="75" t="s">
        <v>9819</v>
      </c>
      <c r="E5107" s="70" t="s">
        <v>13683</v>
      </c>
      <c r="F5107" s="71" t="s">
        <v>3205</v>
      </c>
    </row>
    <row r="5108" spans="1:10" ht="14.25" customHeight="1" x14ac:dyDescent="0.35">
      <c r="A5108" s="76"/>
      <c r="B5108" s="38" t="s">
        <v>1858</v>
      </c>
      <c r="C5108" s="69">
        <f>IF(C5107="","",IF(AND(MONTH(C5107)&gt;=1,MONTH(C5107)&lt;=3),1,IF(AND(MONTH(C5107)&gt;=4,MONTH(C5107)&lt;=6),2,IF(AND(MONTH(C5107)&gt;=7,MONTH(C5107)&lt;=9),3,4))))</f>
        <v>3</v>
      </c>
      <c r="D5108" s="76"/>
      <c r="E5108" s="70" t="s">
        <v>2509</v>
      </c>
      <c r="F5108" s="71" t="s">
        <v>11612</v>
      </c>
    </row>
    <row r="5109" spans="1:10" ht="14.25" customHeight="1" x14ac:dyDescent="0.35">
      <c r="A5109" s="76"/>
      <c r="B5109" s="38" t="s">
        <v>13526</v>
      </c>
      <c r="C5109" s="68">
        <v>45565</v>
      </c>
      <c r="D5109" s="76"/>
      <c r="E5109" s="70" t="s">
        <v>3198</v>
      </c>
      <c r="F5109" s="71" t="s">
        <v>11612</v>
      </c>
    </row>
    <row r="5110" spans="1:10" ht="14.25" customHeight="1" x14ac:dyDescent="0.35">
      <c r="A5110" s="76"/>
      <c r="B5110" s="38" t="s">
        <v>1858</v>
      </c>
      <c r="C5110" s="69">
        <f>IF(C5109="","",IF(AND(MONTH(C5109)&gt;=1,MONTH(C5109)&lt;=3),1,IF(AND(MONTH(C5109)&gt;=4,MONTH(C5109)&lt;=6),2,IF(AND(MONTH(C5109)&gt;=7,MONTH(C5109)&lt;=9),3,4))))</f>
        <v>3</v>
      </c>
      <c r="D5110" s="76"/>
      <c r="E5110" s="70" t="s">
        <v>13785</v>
      </c>
      <c r="F5110" s="71"/>
    </row>
    <row r="5112" spans="1:10" ht="14.25" customHeight="1" x14ac:dyDescent="0.35">
      <c r="A5112" s="43" t="s">
        <v>16424</v>
      </c>
      <c r="B5112" s="43" t="s">
        <v>16856</v>
      </c>
      <c r="C5112" s="43" t="s">
        <v>16326</v>
      </c>
      <c r="D5112" s="43" t="s">
        <v>15925</v>
      </c>
      <c r="E5112" s="43" t="s">
        <v>7248</v>
      </c>
      <c r="F5112" s="43" t="s">
        <v>15955</v>
      </c>
    </row>
    <row r="5113" spans="1:10" ht="14.25" customHeight="1" x14ac:dyDescent="0.35">
      <c r="A5113" s="39" t="s">
        <v>8320</v>
      </c>
      <c r="B5113" s="40" t="str">
        <f ca="1">IFERROR(INDEX(UNSPSCDes,MATCH(INDIRECT(ADDRESS(ROW(),COLUMN()-1,4)),UNSPSCCode,0)),IF(INDIRECT(ADDRESS(ROW(),COLUMN()-1,4))="10191509","Insecticidas",""))</f>
        <v>Insecticidas</v>
      </c>
      <c r="C5113" s="72" t="str">
        <f>IFERROR(VLOOKUP("L",'Informacion '!P:Q,2,FALSE),"")</f>
        <v>Litro</v>
      </c>
      <c r="D5113" s="39">
        <v>170</v>
      </c>
      <c r="E5113" s="42">
        <v>995</v>
      </c>
      <c r="F5113" s="41">
        <f ca="1">INDIRECT(ADDRESS(ROW(),COLUMN()-2,4))*INDIRECT(ADDRESS(ROW(),COLUMN()-1,4))</f>
        <v>169150</v>
      </c>
    </row>
    <row r="5114" spans="1:10" ht="14.25" customHeight="1" x14ac:dyDescent="0.35">
      <c r="A5114" s="39" t="s">
        <v>8320</v>
      </c>
      <c r="B5114" s="40" t="str">
        <f ca="1">IFERROR(INDEX(UNSPSCDes,MATCH(INDIRECT(ADDRESS(ROW(),COLUMN()-1,4)),UNSPSCCode,0)),IF(INDIRECT(ADDRESS(ROW(),COLUMN()-1,4))="10191509","Insecticidas",""))</f>
        <v>Insecticidas</v>
      </c>
      <c r="C5114" s="72" t="str">
        <f>IFERROR(VLOOKUP("L",'Informacion '!P:Q,2,FALSE),"")</f>
        <v>Litro</v>
      </c>
      <c r="D5114" s="39">
        <v>170</v>
      </c>
      <c r="E5114" s="42">
        <v>1050</v>
      </c>
      <c r="F5114" s="41">
        <f ca="1">INDIRECT(ADDRESS(ROW(),COLUMN()-2,4))*INDIRECT(ADDRESS(ROW(),COLUMN()-1,4))</f>
        <v>178500</v>
      </c>
    </row>
    <row r="5115" spans="1:10" ht="14.25" customHeight="1" x14ac:dyDescent="0.35">
      <c r="A5115" s="39" t="s">
        <v>8320</v>
      </c>
      <c r="B5115" s="40" t="str">
        <f ca="1">IFERROR(INDEX(UNSPSCDes,MATCH(INDIRECT(ADDRESS(ROW(),COLUMN()-1,4)),UNSPSCCode,0)),IF(INDIRECT(ADDRESS(ROW(),COLUMN()-1,4))="10191509","Insecticidas",""))</f>
        <v>Insecticidas</v>
      </c>
      <c r="C5115" s="72" t="str">
        <f>IFERROR(VLOOKUP("UD",'Informacion '!P:Q,2,FALSE),"")</f>
        <v>Unidad</v>
      </c>
      <c r="D5115" s="39">
        <v>18</v>
      </c>
      <c r="E5115" s="42">
        <v>194.7</v>
      </c>
      <c r="F5115" s="41">
        <f ca="1">INDIRECT(ADDRESS(ROW(),COLUMN()-2,4))*INDIRECT(ADDRESS(ROW(),COLUMN()-1,4))</f>
        <v>3504.6</v>
      </c>
    </row>
    <row r="5116" spans="1:10" ht="14.25" customHeight="1" x14ac:dyDescent="0.35">
      <c r="E5116" s="44" t="s">
        <v>13122</v>
      </c>
      <c r="F5116" s="45">
        <f ca="1">SUM(Table286[MONTO TOTAL ESTIMADO])</f>
        <v>351154.6</v>
      </c>
      <c r="H5116" s="24" t="str">
        <f>C5106</f>
        <v>Bienes</v>
      </c>
      <c r="I5116" s="24" t="str">
        <f>E5106</f>
        <v>No</v>
      </c>
      <c r="J5116" s="24" t="str">
        <f>D5106</f>
        <v>Compras Menores</v>
      </c>
    </row>
    <row r="5118" spans="1:10" ht="34" customHeight="1" x14ac:dyDescent="0.35">
      <c r="A5118" s="36" t="s">
        <v>17105</v>
      </c>
      <c r="B5118" s="36" t="s">
        <v>167</v>
      </c>
      <c r="C5118" s="36" t="s">
        <v>12252</v>
      </c>
      <c r="D5118" s="36" t="s">
        <v>15021</v>
      </c>
      <c r="E5118" s="36" t="s">
        <v>11455</v>
      </c>
      <c r="F5118" s="36" t="s">
        <v>11595</v>
      </c>
    </row>
    <row r="5119" spans="1:10" ht="14.25" customHeight="1" x14ac:dyDescent="0.35">
      <c r="A5119" s="37" t="s">
        <v>17697</v>
      </c>
      <c r="B5119" s="37" t="s">
        <v>17697</v>
      </c>
      <c r="C5119" s="37" t="s">
        <v>18585</v>
      </c>
      <c r="D5119" s="37" t="s">
        <v>10634</v>
      </c>
      <c r="E5119" s="37" t="s">
        <v>9261</v>
      </c>
      <c r="F5119" s="37" t="s">
        <v>7088</v>
      </c>
    </row>
    <row r="5120" spans="1:10" ht="14.25" customHeight="1" x14ac:dyDescent="0.35">
      <c r="A5120" s="75" t="s">
        <v>15490</v>
      </c>
      <c r="B5120" s="38" t="s">
        <v>8918</v>
      </c>
      <c r="C5120" s="68">
        <v>45566</v>
      </c>
      <c r="D5120" s="75" t="s">
        <v>9819</v>
      </c>
      <c r="E5120" s="70" t="s">
        <v>13683</v>
      </c>
      <c r="F5120" s="71" t="s">
        <v>3205</v>
      </c>
    </row>
    <row r="5121" spans="1:10" ht="14.25" customHeight="1" x14ac:dyDescent="0.35">
      <c r="A5121" s="76"/>
      <c r="B5121" s="38" t="s">
        <v>1858</v>
      </c>
      <c r="C5121" s="69">
        <f>IF(C5120="","",IF(AND(MONTH(C5120)&gt;=1,MONTH(C5120)&lt;=3),1,IF(AND(MONTH(C5120)&gt;=4,MONTH(C5120)&lt;=6),2,IF(AND(MONTH(C5120)&gt;=7,MONTH(C5120)&lt;=9),3,4))))</f>
        <v>4</v>
      </c>
      <c r="D5121" s="76"/>
      <c r="E5121" s="70" t="s">
        <v>2509</v>
      </c>
      <c r="F5121" s="71" t="s">
        <v>11612</v>
      </c>
    </row>
    <row r="5122" spans="1:10" ht="14.25" customHeight="1" x14ac:dyDescent="0.35">
      <c r="A5122" s="76"/>
      <c r="B5122" s="38" t="s">
        <v>13526</v>
      </c>
      <c r="C5122" s="68">
        <v>45657</v>
      </c>
      <c r="D5122" s="76"/>
      <c r="E5122" s="70" t="s">
        <v>3198</v>
      </c>
      <c r="F5122" s="71" t="s">
        <v>11612</v>
      </c>
    </row>
    <row r="5123" spans="1:10" ht="14.25" customHeight="1" x14ac:dyDescent="0.35">
      <c r="A5123" s="76"/>
      <c r="B5123" s="38" t="s">
        <v>1858</v>
      </c>
      <c r="C5123" s="69">
        <f>IF(C5122="","",IF(AND(MONTH(C5122)&gt;=1,MONTH(C5122)&lt;=3),1,IF(AND(MONTH(C5122)&gt;=4,MONTH(C5122)&lt;=6),2,IF(AND(MONTH(C5122)&gt;=7,MONTH(C5122)&lt;=9),3,4))))</f>
        <v>4</v>
      </c>
      <c r="D5123" s="76"/>
      <c r="E5123" s="70" t="s">
        <v>13785</v>
      </c>
      <c r="F5123" s="71"/>
    </row>
    <row r="5125" spans="1:10" ht="14.25" customHeight="1" x14ac:dyDescent="0.35">
      <c r="A5125" s="43" t="s">
        <v>16424</v>
      </c>
      <c r="B5125" s="43" t="s">
        <v>16856</v>
      </c>
      <c r="C5125" s="43" t="s">
        <v>16326</v>
      </c>
      <c r="D5125" s="43" t="s">
        <v>15925</v>
      </c>
      <c r="E5125" s="43" t="s">
        <v>7248</v>
      </c>
      <c r="F5125" s="43" t="s">
        <v>15955</v>
      </c>
    </row>
    <row r="5126" spans="1:10" ht="14.25" customHeight="1" x14ac:dyDescent="0.35">
      <c r="A5126" s="39" t="s">
        <v>8320</v>
      </c>
      <c r="B5126" s="40" t="str">
        <f ca="1">IFERROR(INDEX(UNSPSCDes,MATCH(INDIRECT(ADDRESS(ROW(),COLUMN()-1,4)),UNSPSCCode,0)),IF(INDIRECT(ADDRESS(ROW(),COLUMN()-1,4))="10191509","Insecticidas",""))</f>
        <v>Insecticidas</v>
      </c>
      <c r="C5126" s="72" t="str">
        <f>IFERROR(VLOOKUP("UD",'Informacion '!P:Q,2,FALSE),"")</f>
        <v>Unidad</v>
      </c>
      <c r="D5126" s="39">
        <v>18</v>
      </c>
      <c r="E5126" s="42">
        <v>194.7</v>
      </c>
      <c r="F5126" s="41">
        <f ca="1">INDIRECT(ADDRESS(ROW(),COLUMN()-2,4))*INDIRECT(ADDRESS(ROW(),COLUMN()-1,4))</f>
        <v>3504.6</v>
      </c>
    </row>
    <row r="5127" spans="1:10" ht="14.25" customHeight="1" x14ac:dyDescent="0.35">
      <c r="E5127" s="44" t="s">
        <v>13122</v>
      </c>
      <c r="F5127" s="45">
        <f ca="1">SUM(Table287[MONTO TOTAL ESTIMADO])</f>
        <v>3504.6</v>
      </c>
      <c r="H5127" s="24" t="str">
        <f>C5119</f>
        <v>Bienes</v>
      </c>
      <c r="I5127" s="24" t="str">
        <f>E5119</f>
        <v>Sí</v>
      </c>
      <c r="J5127" s="24" t="str">
        <f>D5119</f>
        <v>Compras por debajo del Umbral</v>
      </c>
    </row>
    <row r="5129" spans="1:10" ht="34" customHeight="1" x14ac:dyDescent="0.35">
      <c r="A5129" s="36" t="s">
        <v>17105</v>
      </c>
      <c r="B5129" s="36" t="s">
        <v>167</v>
      </c>
      <c r="C5129" s="36" t="s">
        <v>12252</v>
      </c>
      <c r="D5129" s="36" t="s">
        <v>15021</v>
      </c>
      <c r="E5129" s="36" t="s">
        <v>11455</v>
      </c>
      <c r="F5129" s="36" t="s">
        <v>11595</v>
      </c>
    </row>
    <row r="5130" spans="1:10" ht="14.25" customHeight="1" x14ac:dyDescent="0.35">
      <c r="A5130" s="37" t="s">
        <v>12809</v>
      </c>
      <c r="B5130" s="37" t="s">
        <v>12809</v>
      </c>
      <c r="C5130" s="37" t="s">
        <v>18585</v>
      </c>
      <c r="D5130" s="37" t="s">
        <v>10634</v>
      </c>
      <c r="E5130" s="37" t="s">
        <v>9261</v>
      </c>
      <c r="F5130" s="37" t="s">
        <v>7088</v>
      </c>
    </row>
    <row r="5131" spans="1:10" ht="14.25" customHeight="1" x14ac:dyDescent="0.35">
      <c r="A5131" s="75" t="s">
        <v>15490</v>
      </c>
      <c r="B5131" s="38" t="s">
        <v>8918</v>
      </c>
      <c r="C5131" s="68">
        <v>45334</v>
      </c>
      <c r="D5131" s="75" t="s">
        <v>9819</v>
      </c>
      <c r="E5131" s="70" t="s">
        <v>13683</v>
      </c>
      <c r="F5131" s="71" t="s">
        <v>3205</v>
      </c>
    </row>
    <row r="5132" spans="1:10" ht="14.25" customHeight="1" x14ac:dyDescent="0.35">
      <c r="A5132" s="76"/>
      <c r="B5132" s="38" t="s">
        <v>1858</v>
      </c>
      <c r="C5132" s="69">
        <f>IF(C5131="","",IF(AND(MONTH(C5131)&gt;=1,MONTH(C5131)&lt;=3),1,IF(AND(MONTH(C5131)&gt;=4,MONTH(C5131)&lt;=6),2,IF(AND(MONTH(C5131)&gt;=7,MONTH(C5131)&lt;=9),3,4))))</f>
        <v>1</v>
      </c>
      <c r="D5132" s="76"/>
      <c r="E5132" s="70" t="s">
        <v>2509</v>
      </c>
      <c r="F5132" s="71" t="s">
        <v>11612</v>
      </c>
    </row>
    <row r="5133" spans="1:10" ht="14.25" customHeight="1" x14ac:dyDescent="0.35">
      <c r="A5133" s="76"/>
      <c r="B5133" s="38" t="s">
        <v>13526</v>
      </c>
      <c r="C5133" s="68">
        <v>45352</v>
      </c>
      <c r="D5133" s="76"/>
      <c r="E5133" s="70" t="s">
        <v>3198</v>
      </c>
      <c r="F5133" s="71" t="s">
        <v>11612</v>
      </c>
    </row>
    <row r="5134" spans="1:10" ht="14.25" customHeight="1" x14ac:dyDescent="0.35">
      <c r="A5134" s="76"/>
      <c r="B5134" s="38" t="s">
        <v>1858</v>
      </c>
      <c r="C5134" s="69">
        <f>IF(C5133="","",IF(AND(MONTH(C5133)&gt;=1,MONTH(C5133)&lt;=3),1,IF(AND(MONTH(C5133)&gt;=4,MONTH(C5133)&lt;=6),2,IF(AND(MONTH(C5133)&gt;=7,MONTH(C5133)&lt;=9),3,4))))</f>
        <v>1</v>
      </c>
      <c r="D5134" s="76"/>
      <c r="E5134" s="70" t="s">
        <v>13785</v>
      </c>
      <c r="F5134" s="71"/>
    </row>
    <row r="5136" spans="1:10" ht="14.25" customHeight="1" x14ac:dyDescent="0.35">
      <c r="A5136" s="43" t="s">
        <v>16424</v>
      </c>
      <c r="B5136" s="43" t="s">
        <v>16856</v>
      </c>
      <c r="C5136" s="43" t="s">
        <v>16326</v>
      </c>
      <c r="D5136" s="43" t="s">
        <v>15925</v>
      </c>
      <c r="E5136" s="43" t="s">
        <v>7248</v>
      </c>
      <c r="F5136" s="43" t="s">
        <v>15955</v>
      </c>
    </row>
    <row r="5137" spans="1:10" ht="14.25" customHeight="1" x14ac:dyDescent="0.35">
      <c r="A5137" s="39" t="s">
        <v>3047</v>
      </c>
      <c r="B5137" s="40" t="str">
        <f ca="1">IFERROR(INDEX(UNSPSCDes,MATCH(INDIRECT(ADDRESS(ROW(),COLUMN()-1,4)),UNSPSCCode,0)),IF(INDIRECT(ADDRESS(ROW(),COLUMN()-1,4))="11101502","Lija o esmeril",""))</f>
        <v>Lija o esmeril</v>
      </c>
      <c r="C5137" s="72" t="str">
        <f>IFERROR(VLOOKUP("UD",'Informacion '!P:Q,2,FALSE),"")</f>
        <v>Unidad</v>
      </c>
      <c r="D5137" s="39">
        <v>6</v>
      </c>
      <c r="E5137" s="42">
        <v>120.36</v>
      </c>
      <c r="F5137" s="41">
        <f ca="1">INDIRECT(ADDRESS(ROW(),COLUMN()-2,4))*INDIRECT(ADDRESS(ROW(),COLUMN()-1,4))</f>
        <v>722.16</v>
      </c>
    </row>
    <row r="5138" spans="1:10" ht="14.25" customHeight="1" x14ac:dyDescent="0.35">
      <c r="E5138" s="44" t="s">
        <v>13122</v>
      </c>
      <c r="F5138" s="45">
        <f ca="1">SUM(Table288[MONTO TOTAL ESTIMADO])</f>
        <v>722.16</v>
      </c>
      <c r="H5138" s="24" t="str">
        <f>C5130</f>
        <v>Bienes</v>
      </c>
      <c r="I5138" s="24" t="str">
        <f>E5130</f>
        <v>Sí</v>
      </c>
      <c r="J5138" s="24" t="str">
        <f>D5130</f>
        <v>Compras por debajo del Umbral</v>
      </c>
    </row>
    <row r="5140" spans="1:10" ht="34" customHeight="1" x14ac:dyDescent="0.35">
      <c r="A5140" s="36" t="s">
        <v>17105</v>
      </c>
      <c r="B5140" s="36" t="s">
        <v>167</v>
      </c>
      <c r="C5140" s="36" t="s">
        <v>12252</v>
      </c>
      <c r="D5140" s="36" t="s">
        <v>15021</v>
      </c>
      <c r="E5140" s="36" t="s">
        <v>11455</v>
      </c>
      <c r="F5140" s="36" t="s">
        <v>11595</v>
      </c>
    </row>
    <row r="5141" spans="1:10" ht="14.25" customHeight="1" x14ac:dyDescent="0.35">
      <c r="A5141" s="37" t="s">
        <v>19465</v>
      </c>
      <c r="B5141" s="37" t="s">
        <v>19465</v>
      </c>
      <c r="C5141" s="37" t="s">
        <v>18585</v>
      </c>
      <c r="D5141" s="37" t="s">
        <v>10634</v>
      </c>
      <c r="E5141" s="37" t="s">
        <v>18646</v>
      </c>
      <c r="F5141" s="37" t="s">
        <v>7088</v>
      </c>
    </row>
    <row r="5142" spans="1:10" ht="14.25" customHeight="1" x14ac:dyDescent="0.35">
      <c r="A5142" s="75" t="s">
        <v>15490</v>
      </c>
      <c r="B5142" s="38" t="s">
        <v>8918</v>
      </c>
      <c r="C5142" s="68">
        <v>45334</v>
      </c>
      <c r="D5142" s="75" t="s">
        <v>9819</v>
      </c>
      <c r="E5142" s="70" t="s">
        <v>13683</v>
      </c>
      <c r="F5142" s="71" t="s">
        <v>3205</v>
      </c>
    </row>
    <row r="5143" spans="1:10" ht="14.25" customHeight="1" x14ac:dyDescent="0.35">
      <c r="A5143" s="76"/>
      <c r="B5143" s="38" t="s">
        <v>1858</v>
      </c>
      <c r="C5143" s="69">
        <f>IF(C5142="","",IF(AND(MONTH(C5142)&gt;=1,MONTH(C5142)&lt;=3),1,IF(AND(MONTH(C5142)&gt;=4,MONTH(C5142)&lt;=6),2,IF(AND(MONTH(C5142)&gt;=7,MONTH(C5142)&lt;=9),3,4))))</f>
        <v>1</v>
      </c>
      <c r="D5143" s="76"/>
      <c r="E5143" s="70" t="s">
        <v>2509</v>
      </c>
      <c r="F5143" s="71" t="s">
        <v>11612</v>
      </c>
    </row>
    <row r="5144" spans="1:10" ht="14.25" customHeight="1" x14ac:dyDescent="0.35">
      <c r="A5144" s="76"/>
      <c r="B5144" s="38" t="s">
        <v>13526</v>
      </c>
      <c r="C5144" s="68">
        <v>45352</v>
      </c>
      <c r="D5144" s="76"/>
      <c r="E5144" s="70" t="s">
        <v>3198</v>
      </c>
      <c r="F5144" s="71" t="s">
        <v>11612</v>
      </c>
    </row>
    <row r="5145" spans="1:10" ht="14.25" customHeight="1" x14ac:dyDescent="0.35">
      <c r="A5145" s="76"/>
      <c r="B5145" s="38" t="s">
        <v>1858</v>
      </c>
      <c r="C5145" s="69">
        <f>IF(C5144="","",IF(AND(MONTH(C5144)&gt;=1,MONTH(C5144)&lt;=3),1,IF(AND(MONTH(C5144)&gt;=4,MONTH(C5144)&lt;=6),2,IF(AND(MONTH(C5144)&gt;=7,MONTH(C5144)&lt;=9),3,4))))</f>
        <v>1</v>
      </c>
      <c r="D5145" s="76"/>
      <c r="E5145" s="70" t="s">
        <v>13785</v>
      </c>
      <c r="F5145" s="71"/>
    </row>
    <row r="5147" spans="1:10" ht="14.25" customHeight="1" x14ac:dyDescent="0.35">
      <c r="A5147" s="43" t="s">
        <v>16424</v>
      </c>
      <c r="B5147" s="43" t="s">
        <v>16856</v>
      </c>
      <c r="C5147" s="43" t="s">
        <v>16326</v>
      </c>
      <c r="D5147" s="43" t="s">
        <v>15925</v>
      </c>
      <c r="E5147" s="43" t="s">
        <v>7248</v>
      </c>
      <c r="F5147" s="43" t="s">
        <v>15955</v>
      </c>
    </row>
    <row r="5148" spans="1:10" ht="14.25" customHeight="1" x14ac:dyDescent="0.35">
      <c r="A5148" s="39" t="s">
        <v>17879</v>
      </c>
      <c r="B5148" s="40" t="str">
        <f ca="1">IFERROR(INDEX(UNSPSCDes,MATCH(INDIRECT(ADDRESS(ROW(),COLUMN()-1,4)),UNSPSCCode,0)),IF(INDIRECT(ADDRESS(ROW(),COLUMN()-1,4))="11121503","Laca",""))</f>
        <v>Laca</v>
      </c>
      <c r="C5148" s="72" t="str">
        <f>IFERROR(VLOOKUP("GAL",'Informacion '!P:Q,2,FALSE),"")</f>
        <v>Galón</v>
      </c>
      <c r="D5148" s="39">
        <v>4</v>
      </c>
      <c r="E5148" s="42">
        <v>1475</v>
      </c>
      <c r="F5148" s="41">
        <f ca="1">INDIRECT(ADDRESS(ROW(),COLUMN()-2,4))*INDIRECT(ADDRESS(ROW(),COLUMN()-1,4))</f>
        <v>5900</v>
      </c>
    </row>
    <row r="5149" spans="1:10" ht="14.25" customHeight="1" x14ac:dyDescent="0.35">
      <c r="A5149" s="39" t="s">
        <v>2621</v>
      </c>
      <c r="B5149" s="40" t="str">
        <f ca="1">IFERROR(INDEX(UNSPSCDes,MATCH(INDIRECT(ADDRESS(ROW(),COLUMN()-1,4)),UNSPSCCode,0)),IF(INDIRECT(ADDRESS(ROW(),COLUMN()-1,4))="11121610","Maderas duras",""))</f>
        <v>Maderas duras</v>
      </c>
      <c r="C5149" s="72" t="str">
        <f>IFERROR(VLOOKUP("UD",'Informacion '!P:Q,2,FALSE),"")</f>
        <v>Unidad</v>
      </c>
      <c r="D5149" s="39">
        <v>10</v>
      </c>
      <c r="E5149" s="42">
        <v>500</v>
      </c>
      <c r="F5149" s="41">
        <f ca="1">INDIRECT(ADDRESS(ROW(),COLUMN()-2,4))*INDIRECT(ADDRESS(ROW(),COLUMN()-1,4))</f>
        <v>5000</v>
      </c>
    </row>
    <row r="5150" spans="1:10" ht="14.25" customHeight="1" x14ac:dyDescent="0.35">
      <c r="A5150" s="39" t="s">
        <v>2621</v>
      </c>
      <c r="B5150" s="40" t="str">
        <f ca="1">IFERROR(INDEX(UNSPSCDes,MATCH(INDIRECT(ADDRESS(ROW(),COLUMN()-1,4)),UNSPSCCode,0)),IF(INDIRECT(ADDRESS(ROW(),COLUMN()-1,4))="11121610","Maderas duras",""))</f>
        <v>Maderas duras</v>
      </c>
      <c r="C5150" s="72" t="str">
        <f>IFERROR(VLOOKUP("UD",'Informacion '!P:Q,2,FALSE),"")</f>
        <v>Unidad</v>
      </c>
      <c r="D5150" s="39">
        <v>5</v>
      </c>
      <c r="E5150" s="42">
        <v>813</v>
      </c>
      <c r="F5150" s="41">
        <f ca="1">INDIRECT(ADDRESS(ROW(),COLUMN()-2,4))*INDIRECT(ADDRESS(ROW(),COLUMN()-1,4))</f>
        <v>4065</v>
      </c>
    </row>
    <row r="5151" spans="1:10" ht="14.25" customHeight="1" x14ac:dyDescent="0.35">
      <c r="E5151" s="44" t="s">
        <v>13122</v>
      </c>
      <c r="F5151" s="45">
        <f ca="1">SUM(Table289[MONTO TOTAL ESTIMADO])</f>
        <v>14965</v>
      </c>
      <c r="H5151" s="24" t="str">
        <f>C5141</f>
        <v>Bienes</v>
      </c>
      <c r="I5151" s="24" t="str">
        <f>E5141</f>
        <v>No</v>
      </c>
      <c r="J5151" s="24" t="str">
        <f>D5141</f>
        <v>Compras por debajo del Umbral</v>
      </c>
    </row>
    <row r="5153" spans="1:10" ht="34" customHeight="1" x14ac:dyDescent="0.35">
      <c r="A5153" s="36" t="s">
        <v>17105</v>
      </c>
      <c r="B5153" s="36" t="s">
        <v>167</v>
      </c>
      <c r="C5153" s="36" t="s">
        <v>12252</v>
      </c>
      <c r="D5153" s="36" t="s">
        <v>15021</v>
      </c>
      <c r="E5153" s="36" t="s">
        <v>11455</v>
      </c>
      <c r="F5153" s="36" t="s">
        <v>11595</v>
      </c>
    </row>
    <row r="5154" spans="1:10" ht="14.25" customHeight="1" x14ac:dyDescent="0.35">
      <c r="A5154" s="37" t="s">
        <v>13107</v>
      </c>
      <c r="B5154" s="37" t="s">
        <v>13107</v>
      </c>
      <c r="C5154" s="37" t="s">
        <v>18585</v>
      </c>
      <c r="D5154" s="37" t="s">
        <v>18256</v>
      </c>
      <c r="E5154" s="37" t="s">
        <v>18646</v>
      </c>
      <c r="F5154" s="37" t="s">
        <v>7088</v>
      </c>
    </row>
    <row r="5155" spans="1:10" ht="14.25" customHeight="1" x14ac:dyDescent="0.35">
      <c r="A5155" s="75" t="s">
        <v>15490</v>
      </c>
      <c r="B5155" s="38" t="s">
        <v>8918</v>
      </c>
      <c r="C5155" s="68">
        <v>45334</v>
      </c>
      <c r="D5155" s="75" t="s">
        <v>9819</v>
      </c>
      <c r="E5155" s="70" t="s">
        <v>13683</v>
      </c>
      <c r="F5155" s="71" t="s">
        <v>3205</v>
      </c>
    </row>
    <row r="5156" spans="1:10" ht="14.25" customHeight="1" x14ac:dyDescent="0.35">
      <c r="A5156" s="76"/>
      <c r="B5156" s="38" t="s">
        <v>1858</v>
      </c>
      <c r="C5156" s="69">
        <f>IF(C5155="","",IF(AND(MONTH(C5155)&gt;=1,MONTH(C5155)&lt;=3),1,IF(AND(MONTH(C5155)&gt;=4,MONTH(C5155)&lt;=6),2,IF(AND(MONTH(C5155)&gt;=7,MONTH(C5155)&lt;=9),3,4))))</f>
        <v>1</v>
      </c>
      <c r="D5156" s="76"/>
      <c r="E5156" s="70" t="s">
        <v>2509</v>
      </c>
      <c r="F5156" s="71" t="s">
        <v>11612</v>
      </c>
    </row>
    <row r="5157" spans="1:10" ht="14.25" customHeight="1" x14ac:dyDescent="0.35">
      <c r="A5157" s="76"/>
      <c r="B5157" s="38" t="s">
        <v>13526</v>
      </c>
      <c r="C5157" s="68">
        <v>45352</v>
      </c>
      <c r="D5157" s="76"/>
      <c r="E5157" s="70" t="s">
        <v>3198</v>
      </c>
      <c r="F5157" s="71" t="s">
        <v>11612</v>
      </c>
    </row>
    <row r="5158" spans="1:10" ht="14.25" customHeight="1" x14ac:dyDescent="0.35">
      <c r="A5158" s="76"/>
      <c r="B5158" s="38" t="s">
        <v>1858</v>
      </c>
      <c r="C5158" s="69">
        <f>IF(C5157="","",IF(AND(MONTH(C5157)&gt;=1,MONTH(C5157)&lt;=3),1,IF(AND(MONTH(C5157)&gt;=4,MONTH(C5157)&lt;=6),2,IF(AND(MONTH(C5157)&gt;=7,MONTH(C5157)&lt;=9),3,4))))</f>
        <v>1</v>
      </c>
      <c r="D5158" s="76"/>
      <c r="E5158" s="70" t="s">
        <v>13785</v>
      </c>
      <c r="F5158" s="71"/>
    </row>
    <row r="5160" spans="1:10" ht="14.25" customHeight="1" x14ac:dyDescent="0.35">
      <c r="A5160" s="43" t="s">
        <v>16424</v>
      </c>
      <c r="B5160" s="43" t="s">
        <v>16856</v>
      </c>
      <c r="C5160" s="43" t="s">
        <v>16326</v>
      </c>
      <c r="D5160" s="43" t="s">
        <v>15925</v>
      </c>
      <c r="E5160" s="43" t="s">
        <v>7248</v>
      </c>
      <c r="F5160" s="43" t="s">
        <v>15955</v>
      </c>
    </row>
    <row r="5161" spans="1:10" ht="14.25" customHeight="1" x14ac:dyDescent="0.35">
      <c r="A5161" s="39" t="s">
        <v>929</v>
      </c>
      <c r="B5161" s="40" t="str">
        <f ca="1">IFERROR(INDEX(UNSPSCDes,MATCH(INDIRECT(ADDRESS(ROW(),COLUMN()-1,4)),UNSPSCCode,0)),IF(INDIRECT(ADDRESS(ROW(),COLUMN()-1,4))="11131501","Plumas",""))</f>
        <v>Plumas</v>
      </c>
      <c r="C5161" s="72" t="str">
        <f>IFERROR(VLOOKUP("UD",'Informacion '!P:Q,2,FALSE),"")</f>
        <v>Unidad</v>
      </c>
      <c r="D5161" s="39">
        <v>90</v>
      </c>
      <c r="E5161" s="42">
        <v>3000</v>
      </c>
      <c r="F5161" s="41">
        <f ca="1">INDIRECT(ADDRESS(ROW(),COLUMN()-2,4))*INDIRECT(ADDRESS(ROW(),COLUMN()-1,4))</f>
        <v>270000</v>
      </c>
    </row>
    <row r="5162" spans="1:10" ht="14.25" customHeight="1" x14ac:dyDescent="0.35">
      <c r="E5162" s="44" t="s">
        <v>13122</v>
      </c>
      <c r="F5162" s="45">
        <f ca="1">SUM(Table290[MONTO TOTAL ESTIMADO])</f>
        <v>270000</v>
      </c>
      <c r="H5162" s="24" t="str">
        <f>C5154</f>
        <v>Bienes</v>
      </c>
      <c r="I5162" s="24" t="str">
        <f>E5154</f>
        <v>No</v>
      </c>
      <c r="J5162" s="24" t="str">
        <f>D5154</f>
        <v>Compras Menores</v>
      </c>
    </row>
    <row r="5164" spans="1:10" ht="34" customHeight="1" x14ac:dyDescent="0.35">
      <c r="A5164" s="36" t="s">
        <v>17105</v>
      </c>
      <c r="B5164" s="36" t="s">
        <v>167</v>
      </c>
      <c r="C5164" s="36" t="s">
        <v>12252</v>
      </c>
      <c r="D5164" s="36" t="s">
        <v>15021</v>
      </c>
      <c r="E5164" s="36" t="s">
        <v>11455</v>
      </c>
      <c r="F5164" s="36" t="s">
        <v>11595</v>
      </c>
    </row>
    <row r="5165" spans="1:10" ht="14.25" customHeight="1" x14ac:dyDescent="0.35">
      <c r="A5165" s="37" t="s">
        <v>13107</v>
      </c>
      <c r="B5165" s="37" t="s">
        <v>13107</v>
      </c>
      <c r="C5165" s="37" t="s">
        <v>18585</v>
      </c>
      <c r="D5165" s="37" t="s">
        <v>18256</v>
      </c>
      <c r="E5165" s="37" t="s">
        <v>18646</v>
      </c>
      <c r="F5165" s="37" t="s">
        <v>7088</v>
      </c>
    </row>
    <row r="5166" spans="1:10" ht="14.25" customHeight="1" x14ac:dyDescent="0.35">
      <c r="A5166" s="75" t="s">
        <v>15490</v>
      </c>
      <c r="B5166" s="38" t="s">
        <v>8918</v>
      </c>
      <c r="C5166" s="68">
        <v>45383</v>
      </c>
      <c r="D5166" s="75" t="s">
        <v>9819</v>
      </c>
      <c r="E5166" s="70" t="s">
        <v>13683</v>
      </c>
      <c r="F5166" s="71" t="s">
        <v>3205</v>
      </c>
    </row>
    <row r="5167" spans="1:10" ht="14.25" customHeight="1" x14ac:dyDescent="0.35">
      <c r="A5167" s="76"/>
      <c r="B5167" s="38" t="s">
        <v>1858</v>
      </c>
      <c r="C5167" s="69">
        <f>IF(C5166="","",IF(AND(MONTH(C5166)&gt;=1,MONTH(C5166)&lt;=3),1,IF(AND(MONTH(C5166)&gt;=4,MONTH(C5166)&lt;=6),2,IF(AND(MONTH(C5166)&gt;=7,MONTH(C5166)&lt;=9),3,4))))</f>
        <v>2</v>
      </c>
      <c r="D5167" s="76"/>
      <c r="E5167" s="70" t="s">
        <v>2509</v>
      </c>
      <c r="F5167" s="71" t="s">
        <v>11612</v>
      </c>
    </row>
    <row r="5168" spans="1:10" ht="14.25" customHeight="1" x14ac:dyDescent="0.35">
      <c r="A5168" s="76"/>
      <c r="B5168" s="38" t="s">
        <v>13526</v>
      </c>
      <c r="C5168" s="68">
        <v>45471</v>
      </c>
      <c r="D5168" s="76"/>
      <c r="E5168" s="70" t="s">
        <v>3198</v>
      </c>
      <c r="F5168" s="71" t="s">
        <v>11612</v>
      </c>
    </row>
    <row r="5169" spans="1:10" ht="14.25" customHeight="1" x14ac:dyDescent="0.35">
      <c r="A5169" s="76"/>
      <c r="B5169" s="38" t="s">
        <v>1858</v>
      </c>
      <c r="C5169" s="69">
        <f>IF(C5168="","",IF(AND(MONTH(C5168)&gt;=1,MONTH(C5168)&lt;=3),1,IF(AND(MONTH(C5168)&gt;=4,MONTH(C5168)&lt;=6),2,IF(AND(MONTH(C5168)&gt;=7,MONTH(C5168)&lt;=9),3,4))))</f>
        <v>2</v>
      </c>
      <c r="D5169" s="76"/>
      <c r="E5169" s="70" t="s">
        <v>13785</v>
      </c>
      <c r="F5169" s="71"/>
    </row>
    <row r="5171" spans="1:10" ht="14.25" customHeight="1" x14ac:dyDescent="0.35">
      <c r="A5171" s="43" t="s">
        <v>16424</v>
      </c>
      <c r="B5171" s="43" t="s">
        <v>16856</v>
      </c>
      <c r="C5171" s="43" t="s">
        <v>16326</v>
      </c>
      <c r="D5171" s="43" t="s">
        <v>15925</v>
      </c>
      <c r="E5171" s="43" t="s">
        <v>7248</v>
      </c>
      <c r="F5171" s="43" t="s">
        <v>15955</v>
      </c>
    </row>
    <row r="5172" spans="1:10" ht="14.25" customHeight="1" x14ac:dyDescent="0.35">
      <c r="A5172" s="39" t="s">
        <v>929</v>
      </c>
      <c r="B5172" s="40" t="str">
        <f ca="1">IFERROR(INDEX(UNSPSCDes,MATCH(INDIRECT(ADDRESS(ROW(),COLUMN()-1,4)),UNSPSCCode,0)),IF(INDIRECT(ADDRESS(ROW(),COLUMN()-1,4))="11131501","Plumas",""))</f>
        <v>Plumas</v>
      </c>
      <c r="C5172" s="72" t="str">
        <f>IFERROR(VLOOKUP("UD",'Informacion '!P:Q,2,FALSE),"")</f>
        <v>Unidad</v>
      </c>
      <c r="D5172" s="39">
        <v>90</v>
      </c>
      <c r="E5172" s="42">
        <v>3000</v>
      </c>
      <c r="F5172" s="41">
        <f ca="1">INDIRECT(ADDRESS(ROW(),COLUMN()-2,4))*INDIRECT(ADDRESS(ROW(),COLUMN()-1,4))</f>
        <v>270000</v>
      </c>
    </row>
    <row r="5173" spans="1:10" ht="14.25" customHeight="1" x14ac:dyDescent="0.35">
      <c r="E5173" s="44" t="s">
        <v>13122</v>
      </c>
      <c r="F5173" s="45">
        <f ca="1">SUM(Table291[MONTO TOTAL ESTIMADO])</f>
        <v>270000</v>
      </c>
      <c r="H5173" s="24" t="str">
        <f>C5165</f>
        <v>Bienes</v>
      </c>
      <c r="I5173" s="24" t="str">
        <f>E5165</f>
        <v>No</v>
      </c>
      <c r="J5173" s="24" t="str">
        <f>D5165</f>
        <v>Compras Menores</v>
      </c>
    </row>
    <row r="5175" spans="1:10" ht="34" customHeight="1" x14ac:dyDescent="0.35">
      <c r="A5175" s="36" t="s">
        <v>17105</v>
      </c>
      <c r="B5175" s="36" t="s">
        <v>167</v>
      </c>
      <c r="C5175" s="36" t="s">
        <v>12252</v>
      </c>
      <c r="D5175" s="36" t="s">
        <v>15021</v>
      </c>
      <c r="E5175" s="36" t="s">
        <v>11455</v>
      </c>
      <c r="F5175" s="36" t="s">
        <v>11595</v>
      </c>
    </row>
    <row r="5176" spans="1:10" ht="14.25" customHeight="1" x14ac:dyDescent="0.35">
      <c r="A5176" s="37" t="s">
        <v>13107</v>
      </c>
      <c r="B5176" s="37" t="s">
        <v>13107</v>
      </c>
      <c r="C5176" s="37" t="s">
        <v>18585</v>
      </c>
      <c r="D5176" s="37" t="s">
        <v>18256</v>
      </c>
      <c r="E5176" s="37" t="s">
        <v>18646</v>
      </c>
      <c r="F5176" s="37" t="s">
        <v>7088</v>
      </c>
    </row>
    <row r="5177" spans="1:10" ht="14.25" customHeight="1" x14ac:dyDescent="0.35">
      <c r="A5177" s="75" t="s">
        <v>15490</v>
      </c>
      <c r="B5177" s="38" t="s">
        <v>8918</v>
      </c>
      <c r="C5177" s="68">
        <v>45474</v>
      </c>
      <c r="D5177" s="75" t="s">
        <v>9819</v>
      </c>
      <c r="E5177" s="70" t="s">
        <v>13683</v>
      </c>
      <c r="F5177" s="71" t="s">
        <v>3205</v>
      </c>
    </row>
    <row r="5178" spans="1:10" ht="14.25" customHeight="1" x14ac:dyDescent="0.35">
      <c r="A5178" s="76"/>
      <c r="B5178" s="38" t="s">
        <v>1858</v>
      </c>
      <c r="C5178" s="69">
        <f>IF(C5177="","",IF(AND(MONTH(C5177)&gt;=1,MONTH(C5177)&lt;=3),1,IF(AND(MONTH(C5177)&gt;=4,MONTH(C5177)&lt;=6),2,IF(AND(MONTH(C5177)&gt;=7,MONTH(C5177)&lt;=9),3,4))))</f>
        <v>3</v>
      </c>
      <c r="D5178" s="76"/>
      <c r="E5178" s="70" t="s">
        <v>2509</v>
      </c>
      <c r="F5178" s="71" t="s">
        <v>11612</v>
      </c>
    </row>
    <row r="5179" spans="1:10" ht="14.25" customHeight="1" x14ac:dyDescent="0.35">
      <c r="A5179" s="76"/>
      <c r="B5179" s="38" t="s">
        <v>13526</v>
      </c>
      <c r="C5179" s="68">
        <v>45565</v>
      </c>
      <c r="D5179" s="76"/>
      <c r="E5179" s="70" t="s">
        <v>3198</v>
      </c>
      <c r="F5179" s="71" t="s">
        <v>11612</v>
      </c>
    </row>
    <row r="5180" spans="1:10" ht="14.25" customHeight="1" x14ac:dyDescent="0.35">
      <c r="A5180" s="76"/>
      <c r="B5180" s="38" t="s">
        <v>1858</v>
      </c>
      <c r="C5180" s="69">
        <f>IF(C5179="","",IF(AND(MONTH(C5179)&gt;=1,MONTH(C5179)&lt;=3),1,IF(AND(MONTH(C5179)&gt;=4,MONTH(C5179)&lt;=6),2,IF(AND(MONTH(C5179)&gt;=7,MONTH(C5179)&lt;=9),3,4))))</f>
        <v>3</v>
      </c>
      <c r="D5180" s="76"/>
      <c r="E5180" s="70" t="s">
        <v>13785</v>
      </c>
      <c r="F5180" s="71"/>
    </row>
    <row r="5182" spans="1:10" ht="14.25" customHeight="1" x14ac:dyDescent="0.35">
      <c r="A5182" s="43" t="s">
        <v>16424</v>
      </c>
      <c r="B5182" s="43" t="s">
        <v>16856</v>
      </c>
      <c r="C5182" s="43" t="s">
        <v>16326</v>
      </c>
      <c r="D5182" s="43" t="s">
        <v>15925</v>
      </c>
      <c r="E5182" s="43" t="s">
        <v>7248</v>
      </c>
      <c r="F5182" s="43" t="s">
        <v>15955</v>
      </c>
    </row>
    <row r="5183" spans="1:10" ht="14.25" customHeight="1" x14ac:dyDescent="0.35">
      <c r="A5183" s="39" t="s">
        <v>929</v>
      </c>
      <c r="B5183" s="40" t="str">
        <f ca="1">IFERROR(INDEX(UNSPSCDes,MATCH(INDIRECT(ADDRESS(ROW(),COLUMN()-1,4)),UNSPSCCode,0)),IF(INDIRECT(ADDRESS(ROW(),COLUMN()-1,4))="11131501","Plumas",""))</f>
        <v>Plumas</v>
      </c>
      <c r="C5183" s="72" t="str">
        <f>IFERROR(VLOOKUP("UD",'Informacion '!P:Q,2,FALSE),"")</f>
        <v>Unidad</v>
      </c>
      <c r="D5183" s="39">
        <v>90</v>
      </c>
      <c r="E5183" s="42">
        <v>3000</v>
      </c>
      <c r="F5183" s="41">
        <f ca="1">INDIRECT(ADDRESS(ROW(),COLUMN()-2,4))*INDIRECT(ADDRESS(ROW(),COLUMN()-1,4))</f>
        <v>270000</v>
      </c>
    </row>
    <row r="5184" spans="1:10" ht="14.25" customHeight="1" x14ac:dyDescent="0.35">
      <c r="E5184" s="44" t="s">
        <v>13122</v>
      </c>
      <c r="F5184" s="45">
        <f ca="1">SUM(Table292[MONTO TOTAL ESTIMADO])</f>
        <v>270000</v>
      </c>
      <c r="H5184" s="24" t="str">
        <f>C5176</f>
        <v>Bienes</v>
      </c>
      <c r="I5184" s="24" t="str">
        <f>E5176</f>
        <v>No</v>
      </c>
      <c r="J5184" s="24" t="str">
        <f>D5176</f>
        <v>Compras Menores</v>
      </c>
    </row>
    <row r="5186" spans="1:10" ht="34" customHeight="1" x14ac:dyDescent="0.35">
      <c r="A5186" s="36" t="s">
        <v>17105</v>
      </c>
      <c r="B5186" s="36" t="s">
        <v>167</v>
      </c>
      <c r="C5186" s="36" t="s">
        <v>12252</v>
      </c>
      <c r="D5186" s="36" t="s">
        <v>15021</v>
      </c>
      <c r="E5186" s="36" t="s">
        <v>11455</v>
      </c>
      <c r="F5186" s="36" t="s">
        <v>11595</v>
      </c>
    </row>
    <row r="5187" spans="1:10" ht="14.25" customHeight="1" x14ac:dyDescent="0.35">
      <c r="A5187" s="37" t="s">
        <v>13107</v>
      </c>
      <c r="B5187" s="37" t="s">
        <v>13107</v>
      </c>
      <c r="C5187" s="37" t="s">
        <v>18585</v>
      </c>
      <c r="D5187" s="37" t="s">
        <v>18256</v>
      </c>
      <c r="E5187" s="37" t="s">
        <v>18646</v>
      </c>
      <c r="F5187" s="37" t="s">
        <v>7088</v>
      </c>
    </row>
    <row r="5188" spans="1:10" ht="14.25" customHeight="1" x14ac:dyDescent="0.35">
      <c r="A5188" s="75" t="s">
        <v>15490</v>
      </c>
      <c r="B5188" s="38" t="s">
        <v>8918</v>
      </c>
      <c r="C5188" s="68">
        <v>45566</v>
      </c>
      <c r="D5188" s="75" t="s">
        <v>9819</v>
      </c>
      <c r="E5188" s="70" t="s">
        <v>13683</v>
      </c>
      <c r="F5188" s="71" t="s">
        <v>3205</v>
      </c>
    </row>
    <row r="5189" spans="1:10" ht="14.25" customHeight="1" x14ac:dyDescent="0.35">
      <c r="A5189" s="76"/>
      <c r="B5189" s="38" t="s">
        <v>1858</v>
      </c>
      <c r="C5189" s="69">
        <f>IF(C5188="","",IF(AND(MONTH(C5188)&gt;=1,MONTH(C5188)&lt;=3),1,IF(AND(MONTH(C5188)&gt;=4,MONTH(C5188)&lt;=6),2,IF(AND(MONTH(C5188)&gt;=7,MONTH(C5188)&lt;=9),3,4))))</f>
        <v>4</v>
      </c>
      <c r="D5189" s="76"/>
      <c r="E5189" s="70" t="s">
        <v>2509</v>
      </c>
      <c r="F5189" s="71" t="s">
        <v>11612</v>
      </c>
    </row>
    <row r="5190" spans="1:10" ht="14.25" customHeight="1" x14ac:dyDescent="0.35">
      <c r="A5190" s="76"/>
      <c r="B5190" s="38" t="s">
        <v>13526</v>
      </c>
      <c r="C5190" s="68">
        <v>45657</v>
      </c>
      <c r="D5190" s="76"/>
      <c r="E5190" s="70" t="s">
        <v>3198</v>
      </c>
      <c r="F5190" s="71" t="s">
        <v>11612</v>
      </c>
    </row>
    <row r="5191" spans="1:10" ht="14.25" customHeight="1" x14ac:dyDescent="0.35">
      <c r="A5191" s="76"/>
      <c r="B5191" s="38" t="s">
        <v>1858</v>
      </c>
      <c r="C5191" s="69">
        <f>IF(C5190="","",IF(AND(MONTH(C5190)&gt;=1,MONTH(C5190)&lt;=3),1,IF(AND(MONTH(C5190)&gt;=4,MONTH(C5190)&lt;=6),2,IF(AND(MONTH(C5190)&gt;=7,MONTH(C5190)&lt;=9),3,4))))</f>
        <v>4</v>
      </c>
      <c r="D5191" s="76"/>
      <c r="E5191" s="70" t="s">
        <v>13785</v>
      </c>
      <c r="F5191" s="71"/>
    </row>
    <row r="5193" spans="1:10" ht="14.25" customHeight="1" x14ac:dyDescent="0.35">
      <c r="A5193" s="43" t="s">
        <v>16424</v>
      </c>
      <c r="B5193" s="43" t="s">
        <v>16856</v>
      </c>
      <c r="C5193" s="43" t="s">
        <v>16326</v>
      </c>
      <c r="D5193" s="43" t="s">
        <v>15925</v>
      </c>
      <c r="E5193" s="43" t="s">
        <v>7248</v>
      </c>
      <c r="F5193" s="43" t="s">
        <v>15955</v>
      </c>
    </row>
    <row r="5194" spans="1:10" ht="14.25" customHeight="1" x14ac:dyDescent="0.35">
      <c r="A5194" s="39" t="s">
        <v>929</v>
      </c>
      <c r="B5194" s="40" t="str">
        <f ca="1">IFERROR(INDEX(UNSPSCDes,MATCH(INDIRECT(ADDRESS(ROW(),COLUMN()-1,4)),UNSPSCCode,0)),IF(INDIRECT(ADDRESS(ROW(),COLUMN()-1,4))="11131501","Plumas",""))</f>
        <v>Plumas</v>
      </c>
      <c r="C5194" s="72" t="str">
        <f>IFERROR(VLOOKUP("UD",'Informacion '!P:Q,2,FALSE),"")</f>
        <v>Unidad</v>
      </c>
      <c r="D5194" s="39">
        <v>90</v>
      </c>
      <c r="E5194" s="42">
        <v>3000</v>
      </c>
      <c r="F5194" s="41">
        <f ca="1">INDIRECT(ADDRESS(ROW(),COLUMN()-2,4))*INDIRECT(ADDRESS(ROW(),COLUMN()-1,4))</f>
        <v>270000</v>
      </c>
    </row>
    <row r="5195" spans="1:10" ht="14.25" customHeight="1" x14ac:dyDescent="0.35">
      <c r="E5195" s="44" t="s">
        <v>13122</v>
      </c>
      <c r="F5195" s="45">
        <f ca="1">SUM(Table293[MONTO TOTAL ESTIMADO])</f>
        <v>270000</v>
      </c>
      <c r="H5195" s="24" t="str">
        <f>C5187</f>
        <v>Bienes</v>
      </c>
      <c r="I5195" s="24" t="str">
        <f>E5187</f>
        <v>No</v>
      </c>
      <c r="J5195" s="24" t="str">
        <f>D5187</f>
        <v>Compras Menores</v>
      </c>
    </row>
    <row r="5197" spans="1:10" ht="34" customHeight="1" x14ac:dyDescent="0.35">
      <c r="A5197" s="36" t="s">
        <v>17105</v>
      </c>
      <c r="B5197" s="36" t="s">
        <v>167</v>
      </c>
      <c r="C5197" s="36" t="s">
        <v>12252</v>
      </c>
      <c r="D5197" s="36" t="s">
        <v>15021</v>
      </c>
      <c r="E5197" s="36" t="s">
        <v>11455</v>
      </c>
      <c r="F5197" s="36" t="s">
        <v>11595</v>
      </c>
    </row>
    <row r="5198" spans="1:10" ht="14.25" customHeight="1" x14ac:dyDescent="0.35">
      <c r="A5198" s="37" t="s">
        <v>7715</v>
      </c>
      <c r="B5198" s="37" t="s">
        <v>7715</v>
      </c>
      <c r="C5198" s="37" t="s">
        <v>18585</v>
      </c>
      <c r="D5198" s="37" t="s">
        <v>10634</v>
      </c>
      <c r="E5198" s="37" t="s">
        <v>9261</v>
      </c>
      <c r="F5198" s="37" t="s">
        <v>7088</v>
      </c>
    </row>
    <row r="5199" spans="1:10" ht="14.25" customHeight="1" x14ac:dyDescent="0.35">
      <c r="A5199" s="75" t="s">
        <v>15490</v>
      </c>
      <c r="B5199" s="38" t="s">
        <v>8918</v>
      </c>
      <c r="C5199" s="68">
        <v>45334</v>
      </c>
      <c r="D5199" s="75" t="s">
        <v>9819</v>
      </c>
      <c r="E5199" s="70" t="s">
        <v>13683</v>
      </c>
      <c r="F5199" s="71" t="s">
        <v>3205</v>
      </c>
    </row>
    <row r="5200" spans="1:10" ht="14.25" customHeight="1" x14ac:dyDescent="0.35">
      <c r="A5200" s="76"/>
      <c r="B5200" s="38" t="s">
        <v>1858</v>
      </c>
      <c r="C5200" s="69">
        <f>IF(C5199="","",IF(AND(MONTH(C5199)&gt;=1,MONTH(C5199)&lt;=3),1,IF(AND(MONTH(C5199)&gt;=4,MONTH(C5199)&lt;=6),2,IF(AND(MONTH(C5199)&gt;=7,MONTH(C5199)&lt;=9),3,4))))</f>
        <v>1</v>
      </c>
      <c r="D5200" s="76"/>
      <c r="E5200" s="70" t="s">
        <v>2509</v>
      </c>
      <c r="F5200" s="71" t="s">
        <v>11612</v>
      </c>
    </row>
    <row r="5201" spans="1:10" ht="14.25" customHeight="1" x14ac:dyDescent="0.35">
      <c r="A5201" s="76"/>
      <c r="B5201" s="38" t="s">
        <v>13526</v>
      </c>
      <c r="C5201" s="68">
        <v>45352</v>
      </c>
      <c r="D5201" s="76"/>
      <c r="E5201" s="70" t="s">
        <v>3198</v>
      </c>
      <c r="F5201" s="71" t="s">
        <v>11612</v>
      </c>
    </row>
    <row r="5202" spans="1:10" ht="14.25" customHeight="1" x14ac:dyDescent="0.35">
      <c r="A5202" s="76"/>
      <c r="B5202" s="38" t="s">
        <v>1858</v>
      </c>
      <c r="C5202" s="69">
        <f>IF(C5201="","",IF(AND(MONTH(C5201)&gt;=1,MONTH(C5201)&lt;=3),1,IF(AND(MONTH(C5201)&gt;=4,MONTH(C5201)&lt;=6),2,IF(AND(MONTH(C5201)&gt;=7,MONTH(C5201)&lt;=9),3,4))))</f>
        <v>1</v>
      </c>
      <c r="D5202" s="76"/>
      <c r="E5202" s="70" t="s">
        <v>13785</v>
      </c>
      <c r="F5202" s="71"/>
    </row>
    <row r="5204" spans="1:10" ht="14.25" customHeight="1" x14ac:dyDescent="0.35">
      <c r="A5204" s="43" t="s">
        <v>16424</v>
      </c>
      <c r="B5204" s="43" t="s">
        <v>16856</v>
      </c>
      <c r="C5204" s="43" t="s">
        <v>16326</v>
      </c>
      <c r="D5204" s="43" t="s">
        <v>15925</v>
      </c>
      <c r="E5204" s="43" t="s">
        <v>7248</v>
      </c>
      <c r="F5204" s="43" t="s">
        <v>15955</v>
      </c>
    </row>
    <row r="5205" spans="1:10" ht="14.25" customHeight="1" x14ac:dyDescent="0.35">
      <c r="A5205" s="39" t="s">
        <v>16930</v>
      </c>
      <c r="B5205" s="40" t="str">
        <f ca="1">IFERROR(INDEX(UNSPSCDes,MATCH(INDIRECT(ADDRESS(ROW(),COLUMN()-1,4)),UNSPSCCode,0)),IF(INDIRECT(ADDRESS(ROW(),COLUMN()-1,4))="11151502","Fibras de nylon",""))</f>
        <v>Fibras de nylon</v>
      </c>
      <c r="C5205" s="72" t="str">
        <f>IFERROR(VLOOKUP("UD",'Informacion '!P:Q,2,FALSE),"")</f>
        <v>Unidad</v>
      </c>
      <c r="D5205" s="39">
        <v>5</v>
      </c>
      <c r="E5205" s="42">
        <v>1949.36</v>
      </c>
      <c r="F5205" s="41">
        <f ca="1">INDIRECT(ADDRESS(ROW(),COLUMN()-2,4))*INDIRECT(ADDRESS(ROW(),COLUMN()-1,4))</f>
        <v>9746.7999999999993</v>
      </c>
    </row>
    <row r="5206" spans="1:10" ht="14.25" customHeight="1" x14ac:dyDescent="0.35">
      <c r="A5206" s="39" t="s">
        <v>16930</v>
      </c>
      <c r="B5206" s="40" t="str">
        <f ca="1">IFERROR(INDEX(UNSPSCDes,MATCH(INDIRECT(ADDRESS(ROW(),COLUMN()-1,4)),UNSPSCCode,0)),IF(INDIRECT(ADDRESS(ROW(),COLUMN()-1,4))="11151502","Fibras de nylon",""))</f>
        <v>Fibras de nylon</v>
      </c>
      <c r="C5206" s="72" t="str">
        <f>IFERROR(VLOOKUP("UD",'Informacion '!P:Q,2,FALSE),"")</f>
        <v>Unidad</v>
      </c>
      <c r="D5206" s="39">
        <v>10</v>
      </c>
      <c r="E5206" s="42">
        <v>1949.36</v>
      </c>
      <c r="F5206" s="41">
        <f ca="1">INDIRECT(ADDRESS(ROW(),COLUMN()-2,4))*INDIRECT(ADDRESS(ROW(),COLUMN()-1,4))</f>
        <v>19493.599999999999</v>
      </c>
    </row>
    <row r="5207" spans="1:10" ht="14.25" customHeight="1" x14ac:dyDescent="0.35">
      <c r="E5207" s="44" t="s">
        <v>13122</v>
      </c>
      <c r="F5207" s="45">
        <f ca="1">SUM(Table294[MONTO TOTAL ESTIMADO])</f>
        <v>29240.399999999998</v>
      </c>
      <c r="H5207" s="24" t="str">
        <f>C5198</f>
        <v>Bienes</v>
      </c>
      <c r="I5207" s="24" t="str">
        <f>E5198</f>
        <v>Sí</v>
      </c>
      <c r="J5207" s="24" t="str">
        <f>D5198</f>
        <v>Compras por debajo del Umbral</v>
      </c>
    </row>
    <row r="5209" spans="1:10" ht="34" customHeight="1" x14ac:dyDescent="0.35">
      <c r="A5209" s="36" t="s">
        <v>17105</v>
      </c>
      <c r="B5209" s="36" t="s">
        <v>167</v>
      </c>
      <c r="C5209" s="36" t="s">
        <v>12252</v>
      </c>
      <c r="D5209" s="36" t="s">
        <v>15021</v>
      </c>
      <c r="E5209" s="36" t="s">
        <v>11455</v>
      </c>
      <c r="F5209" s="36" t="s">
        <v>11595</v>
      </c>
    </row>
    <row r="5210" spans="1:10" ht="14.25" customHeight="1" x14ac:dyDescent="0.35">
      <c r="A5210" s="37" t="s">
        <v>7794</v>
      </c>
      <c r="B5210" s="37" t="s">
        <v>7794</v>
      </c>
      <c r="C5210" s="37" t="s">
        <v>18585</v>
      </c>
      <c r="D5210" s="37" t="s">
        <v>10634</v>
      </c>
      <c r="E5210" s="37" t="s">
        <v>6314</v>
      </c>
      <c r="F5210" s="37" t="s">
        <v>7088</v>
      </c>
    </row>
    <row r="5211" spans="1:10" ht="14.25" customHeight="1" x14ac:dyDescent="0.35">
      <c r="A5211" s="75" t="s">
        <v>15490</v>
      </c>
      <c r="B5211" s="38" t="s">
        <v>8918</v>
      </c>
      <c r="C5211" s="68">
        <v>45334</v>
      </c>
      <c r="D5211" s="75" t="s">
        <v>9819</v>
      </c>
      <c r="E5211" s="70" t="s">
        <v>13683</v>
      </c>
      <c r="F5211" s="71" t="s">
        <v>3205</v>
      </c>
    </row>
    <row r="5212" spans="1:10" ht="14.25" customHeight="1" x14ac:dyDescent="0.35">
      <c r="A5212" s="76"/>
      <c r="B5212" s="38" t="s">
        <v>1858</v>
      </c>
      <c r="C5212" s="69">
        <f>IF(C5211="","",IF(AND(MONTH(C5211)&gt;=1,MONTH(C5211)&lt;=3),1,IF(AND(MONTH(C5211)&gt;=4,MONTH(C5211)&lt;=6),2,IF(AND(MONTH(C5211)&gt;=7,MONTH(C5211)&lt;=9),3,4))))</f>
        <v>1</v>
      </c>
      <c r="D5212" s="76"/>
      <c r="E5212" s="70" t="s">
        <v>2509</v>
      </c>
      <c r="F5212" s="71" t="s">
        <v>11612</v>
      </c>
    </row>
    <row r="5213" spans="1:10" ht="14.25" customHeight="1" x14ac:dyDescent="0.35">
      <c r="A5213" s="76"/>
      <c r="B5213" s="38" t="s">
        <v>13526</v>
      </c>
      <c r="C5213" s="68">
        <v>45352</v>
      </c>
      <c r="D5213" s="76"/>
      <c r="E5213" s="70" t="s">
        <v>3198</v>
      </c>
      <c r="F5213" s="71" t="s">
        <v>11612</v>
      </c>
    </row>
    <row r="5214" spans="1:10" ht="14.25" customHeight="1" x14ac:dyDescent="0.35">
      <c r="A5214" s="76"/>
      <c r="B5214" s="38" t="s">
        <v>1858</v>
      </c>
      <c r="C5214" s="69">
        <f>IF(C5213="","",IF(AND(MONTH(C5213)&gt;=1,MONTH(C5213)&lt;=3),1,IF(AND(MONTH(C5213)&gt;=4,MONTH(C5213)&lt;=6),2,IF(AND(MONTH(C5213)&gt;=7,MONTH(C5213)&lt;=9),3,4))))</f>
        <v>1</v>
      </c>
      <c r="D5214" s="76"/>
      <c r="E5214" s="70" t="s">
        <v>13785</v>
      </c>
      <c r="F5214" s="71"/>
    </row>
    <row r="5216" spans="1:10" ht="14.25" customHeight="1" x14ac:dyDescent="0.35">
      <c r="A5216" s="43" t="s">
        <v>16424</v>
      </c>
      <c r="B5216" s="43" t="s">
        <v>16856</v>
      </c>
      <c r="C5216" s="43" t="s">
        <v>16326</v>
      </c>
      <c r="D5216" s="43" t="s">
        <v>15925</v>
      </c>
      <c r="E5216" s="43" t="s">
        <v>7248</v>
      </c>
      <c r="F5216" s="43" t="s">
        <v>15955</v>
      </c>
    </row>
    <row r="5217" spans="1:10" ht="14.25" customHeight="1" x14ac:dyDescent="0.35">
      <c r="A5217" s="39" t="s">
        <v>18058</v>
      </c>
      <c r="B5217" s="40" t="str">
        <f ca="1">IFERROR(INDEX(UNSPSCDes,MATCH(INDIRECT(ADDRESS(ROW(),COLUMN()-1,4)),UNSPSCCode,0)),IF(INDIRECT(ADDRESS(ROW(),COLUMN()-1,4))="11162111","Malla",""))</f>
        <v>Malla</v>
      </c>
      <c r="C5217" s="72" t="str">
        <f>IFERROR(VLOOKUP("UD",'Informacion '!P:Q,2,FALSE),"")</f>
        <v>Unidad</v>
      </c>
      <c r="D5217" s="39">
        <v>10</v>
      </c>
      <c r="E5217" s="42">
        <v>141.5</v>
      </c>
      <c r="F5217" s="41">
        <f ca="1">INDIRECT(ADDRESS(ROW(),COLUMN()-2,4))*INDIRECT(ADDRESS(ROW(),COLUMN()-1,4))</f>
        <v>1415</v>
      </c>
    </row>
    <row r="5218" spans="1:10" ht="14.25" customHeight="1" x14ac:dyDescent="0.35">
      <c r="A5218" s="39" t="s">
        <v>6908</v>
      </c>
      <c r="B5218" s="40" t="str">
        <f ca="1">IFERROR(INDEX(UNSPSCDes,MATCH(INDIRECT(ADDRESS(ROW(),COLUMN()-1,4)),UNSPSCCode,0)),IF(INDIRECT(ADDRESS(ROW(),COLUMN()-1,4))="11162116","Tela de fique o estopa",""))</f>
        <v>Tela de fique o estopa</v>
      </c>
      <c r="C5218" s="72" t="str">
        <f>IFERROR(VLOOKUP("LB",'Informacion '!P:Q,2,FALSE),"")</f>
        <v>Libra </v>
      </c>
      <c r="D5218" s="39">
        <v>20</v>
      </c>
      <c r="E5218" s="42">
        <v>88.5</v>
      </c>
      <c r="F5218" s="41">
        <f ca="1">INDIRECT(ADDRESS(ROW(),COLUMN()-2,4))*INDIRECT(ADDRESS(ROW(),COLUMN()-1,4))</f>
        <v>1770</v>
      </c>
    </row>
    <row r="5219" spans="1:10" ht="14.25" customHeight="1" x14ac:dyDescent="0.35">
      <c r="E5219" s="44" t="s">
        <v>13122</v>
      </c>
      <c r="F5219" s="45">
        <f ca="1">SUM(Table295[MONTO TOTAL ESTIMADO])</f>
        <v>3185</v>
      </c>
      <c r="H5219" s="24" t="str">
        <f>C5210</f>
        <v>Bienes</v>
      </c>
      <c r="I5219" s="24" t="str">
        <f>E5210</f>
        <v>MIPYME Mujeres</v>
      </c>
      <c r="J5219" s="24" t="str">
        <f>D5210</f>
        <v>Compras por debajo del Umbral</v>
      </c>
    </row>
    <row r="5221" spans="1:10" ht="34" customHeight="1" x14ac:dyDescent="0.35">
      <c r="A5221" s="36" t="s">
        <v>17105</v>
      </c>
      <c r="B5221" s="36" t="s">
        <v>167</v>
      </c>
      <c r="C5221" s="36" t="s">
        <v>12252</v>
      </c>
      <c r="D5221" s="36" t="s">
        <v>15021</v>
      </c>
      <c r="E5221" s="36" t="s">
        <v>11455</v>
      </c>
      <c r="F5221" s="36" t="s">
        <v>11595</v>
      </c>
    </row>
    <row r="5222" spans="1:10" ht="14.25" customHeight="1" x14ac:dyDescent="0.35">
      <c r="A5222" s="37" t="s">
        <v>12500</v>
      </c>
      <c r="B5222" s="37" t="s">
        <v>12500</v>
      </c>
      <c r="C5222" s="37" t="s">
        <v>18585</v>
      </c>
      <c r="D5222" s="37" t="s">
        <v>10634</v>
      </c>
      <c r="E5222" s="37" t="s">
        <v>6314</v>
      </c>
      <c r="F5222" s="37" t="s">
        <v>7088</v>
      </c>
    </row>
    <row r="5223" spans="1:10" ht="14.25" customHeight="1" x14ac:dyDescent="0.35">
      <c r="A5223" s="75" t="s">
        <v>15490</v>
      </c>
      <c r="B5223" s="38" t="s">
        <v>8918</v>
      </c>
      <c r="C5223" s="68">
        <v>45334</v>
      </c>
      <c r="D5223" s="75" t="s">
        <v>9819</v>
      </c>
      <c r="E5223" s="70" t="s">
        <v>13683</v>
      </c>
      <c r="F5223" s="71" t="s">
        <v>3205</v>
      </c>
    </row>
    <row r="5224" spans="1:10" ht="14.25" customHeight="1" x14ac:dyDescent="0.35">
      <c r="A5224" s="76"/>
      <c r="B5224" s="38" t="s">
        <v>1858</v>
      </c>
      <c r="C5224" s="69">
        <f>IF(C5223="","",IF(AND(MONTH(C5223)&gt;=1,MONTH(C5223)&lt;=3),1,IF(AND(MONTH(C5223)&gt;=4,MONTH(C5223)&lt;=6),2,IF(AND(MONTH(C5223)&gt;=7,MONTH(C5223)&lt;=9),3,4))))</f>
        <v>1</v>
      </c>
      <c r="D5224" s="76"/>
      <c r="E5224" s="70" t="s">
        <v>2509</v>
      </c>
      <c r="F5224" s="71" t="s">
        <v>11612</v>
      </c>
    </row>
    <row r="5225" spans="1:10" ht="14.25" customHeight="1" x14ac:dyDescent="0.35">
      <c r="A5225" s="76"/>
      <c r="B5225" s="38" t="s">
        <v>13526</v>
      </c>
      <c r="C5225" s="68">
        <v>45352</v>
      </c>
      <c r="D5225" s="76"/>
      <c r="E5225" s="70" t="s">
        <v>3198</v>
      </c>
      <c r="F5225" s="71" t="s">
        <v>11612</v>
      </c>
    </row>
    <row r="5226" spans="1:10" ht="14.25" customHeight="1" x14ac:dyDescent="0.35">
      <c r="A5226" s="76"/>
      <c r="B5226" s="38" t="s">
        <v>1858</v>
      </c>
      <c r="C5226" s="69">
        <f>IF(C5225="","",IF(AND(MONTH(C5225)&gt;=1,MONTH(C5225)&lt;=3),1,IF(AND(MONTH(C5225)&gt;=4,MONTH(C5225)&lt;=6),2,IF(AND(MONTH(C5225)&gt;=7,MONTH(C5225)&lt;=9),3,4))))</f>
        <v>1</v>
      </c>
      <c r="D5226" s="76"/>
      <c r="E5226" s="70" t="s">
        <v>13785</v>
      </c>
      <c r="F5226" s="71"/>
    </row>
    <row r="5228" spans="1:10" ht="14.25" customHeight="1" x14ac:dyDescent="0.35">
      <c r="A5228" s="43" t="s">
        <v>16424</v>
      </c>
      <c r="B5228" s="43" t="s">
        <v>16856</v>
      </c>
      <c r="C5228" s="43" t="s">
        <v>16326</v>
      </c>
      <c r="D5228" s="43" t="s">
        <v>15925</v>
      </c>
      <c r="E5228" s="43" t="s">
        <v>7248</v>
      </c>
      <c r="F5228" s="43" t="s">
        <v>15955</v>
      </c>
    </row>
    <row r="5229" spans="1:10" ht="14.25" customHeight="1" x14ac:dyDescent="0.35">
      <c r="A5229" s="39" t="s">
        <v>6009</v>
      </c>
      <c r="B5229" s="40" t="str">
        <f ca="1">IFERROR(INDEX(UNSPSCDes,MATCH(INDIRECT(ADDRESS(ROW(),COLUMN()-1,4)),UNSPSCCode,0)),IF(INDIRECT(ADDRESS(ROW(),COLUMN()-1,4))="12141901","Cloro cl",""))</f>
        <v>Cloro cl</v>
      </c>
      <c r="C5229" s="72" t="str">
        <f>IFERROR(VLOOKUP("LB",'Informacion '!P:Q,2,FALSE),"")</f>
        <v>Libra </v>
      </c>
      <c r="D5229" s="39">
        <v>500</v>
      </c>
      <c r="E5229" s="42">
        <v>98</v>
      </c>
      <c r="F5229" s="41">
        <f ca="1">INDIRECT(ADDRESS(ROW(),COLUMN()-2,4))*INDIRECT(ADDRESS(ROW(),COLUMN()-1,4))</f>
        <v>49000</v>
      </c>
    </row>
    <row r="5230" spans="1:10" ht="14.25" customHeight="1" x14ac:dyDescent="0.35">
      <c r="A5230" s="39" t="s">
        <v>1251</v>
      </c>
      <c r="B5230" s="40" t="str">
        <f ca="1">IFERROR(INDEX(UNSPSCDes,MATCH(INDIRECT(ADDRESS(ROW(),COLUMN()-1,4)),UNSPSCCode,0)),IF(INDIRECT(ADDRESS(ROW(),COLUMN()-1,4))="12141916","Yodo i",""))</f>
        <v>Yodo i</v>
      </c>
      <c r="C5230" s="72" t="str">
        <f>IFERROR(VLOOKUP("UD",'Informacion '!P:Q,2,FALSE),"")</f>
        <v>Unidad</v>
      </c>
      <c r="D5230" s="39">
        <v>6</v>
      </c>
      <c r="E5230" s="42">
        <v>1850</v>
      </c>
      <c r="F5230" s="41">
        <f ca="1">INDIRECT(ADDRESS(ROW(),COLUMN()-2,4))*INDIRECT(ADDRESS(ROW(),COLUMN()-1,4))</f>
        <v>11100</v>
      </c>
    </row>
    <row r="5231" spans="1:10" ht="14.25" customHeight="1" x14ac:dyDescent="0.35">
      <c r="E5231" s="44" t="s">
        <v>13122</v>
      </c>
      <c r="F5231" s="45">
        <f ca="1">SUM(Table296[MONTO TOTAL ESTIMADO])</f>
        <v>60100</v>
      </c>
      <c r="H5231" s="24" t="str">
        <f>C5222</f>
        <v>Bienes</v>
      </c>
      <c r="I5231" s="24" t="str">
        <f>E5222</f>
        <v>MIPYME Mujeres</v>
      </c>
      <c r="J5231" s="24" t="str">
        <f>D5222</f>
        <v>Compras por debajo del Umbral</v>
      </c>
    </row>
    <row r="5233" spans="1:10" ht="34" customHeight="1" x14ac:dyDescent="0.35">
      <c r="A5233" s="36" t="s">
        <v>17105</v>
      </c>
      <c r="B5233" s="36" t="s">
        <v>167</v>
      </c>
      <c r="C5233" s="36" t="s">
        <v>12252</v>
      </c>
      <c r="D5233" s="36" t="s">
        <v>15021</v>
      </c>
      <c r="E5233" s="36" t="s">
        <v>11455</v>
      </c>
      <c r="F5233" s="36" t="s">
        <v>11595</v>
      </c>
    </row>
    <row r="5234" spans="1:10" ht="14.25" customHeight="1" x14ac:dyDescent="0.35">
      <c r="A5234" s="37" t="s">
        <v>5798</v>
      </c>
      <c r="B5234" s="37" t="s">
        <v>5798</v>
      </c>
      <c r="C5234" s="37" t="s">
        <v>18585</v>
      </c>
      <c r="D5234" s="37" t="s">
        <v>10634</v>
      </c>
      <c r="E5234" s="37" t="s">
        <v>6314</v>
      </c>
      <c r="F5234" s="37" t="s">
        <v>7088</v>
      </c>
    </row>
    <row r="5235" spans="1:10" ht="14.25" customHeight="1" x14ac:dyDescent="0.35">
      <c r="A5235" s="75" t="s">
        <v>15490</v>
      </c>
      <c r="B5235" s="38" t="s">
        <v>8918</v>
      </c>
      <c r="C5235" s="68">
        <v>45334</v>
      </c>
      <c r="D5235" s="75" t="s">
        <v>9819</v>
      </c>
      <c r="E5235" s="70" t="s">
        <v>13683</v>
      </c>
      <c r="F5235" s="71" t="s">
        <v>3205</v>
      </c>
    </row>
    <row r="5236" spans="1:10" ht="14.25" customHeight="1" x14ac:dyDescent="0.35">
      <c r="A5236" s="76"/>
      <c r="B5236" s="38" t="s">
        <v>1858</v>
      </c>
      <c r="C5236" s="69">
        <f>IF(C5235="","",IF(AND(MONTH(C5235)&gt;=1,MONTH(C5235)&lt;=3),1,IF(AND(MONTH(C5235)&gt;=4,MONTH(C5235)&lt;=6),2,IF(AND(MONTH(C5235)&gt;=7,MONTH(C5235)&lt;=9),3,4))))</f>
        <v>1</v>
      </c>
      <c r="D5236" s="76"/>
      <c r="E5236" s="70" t="s">
        <v>2509</v>
      </c>
      <c r="F5236" s="71" t="s">
        <v>11612</v>
      </c>
    </row>
    <row r="5237" spans="1:10" ht="14.25" customHeight="1" x14ac:dyDescent="0.35">
      <c r="A5237" s="76"/>
      <c r="B5237" s="38" t="s">
        <v>13526</v>
      </c>
      <c r="C5237" s="68">
        <v>45352</v>
      </c>
      <c r="D5237" s="76"/>
      <c r="E5237" s="70" t="s">
        <v>3198</v>
      </c>
      <c r="F5237" s="71" t="s">
        <v>11612</v>
      </c>
    </row>
    <row r="5238" spans="1:10" ht="14.25" customHeight="1" x14ac:dyDescent="0.35">
      <c r="A5238" s="76"/>
      <c r="B5238" s="38" t="s">
        <v>1858</v>
      </c>
      <c r="C5238" s="69">
        <f>IF(C5237="","",IF(AND(MONTH(C5237)&gt;=1,MONTH(C5237)&lt;=3),1,IF(AND(MONTH(C5237)&gt;=4,MONTH(C5237)&lt;=6),2,IF(AND(MONTH(C5237)&gt;=7,MONTH(C5237)&lt;=9),3,4))))</f>
        <v>1</v>
      </c>
      <c r="D5238" s="76"/>
      <c r="E5238" s="70" t="s">
        <v>13785</v>
      </c>
      <c r="F5238" s="71"/>
    </row>
    <row r="5240" spans="1:10" ht="14.25" customHeight="1" x14ac:dyDescent="0.35">
      <c r="A5240" s="43" t="s">
        <v>16424</v>
      </c>
      <c r="B5240" s="43" t="s">
        <v>16856</v>
      </c>
      <c r="C5240" s="43" t="s">
        <v>16326</v>
      </c>
      <c r="D5240" s="43" t="s">
        <v>15925</v>
      </c>
      <c r="E5240" s="43" t="s">
        <v>7248</v>
      </c>
      <c r="F5240" s="43" t="s">
        <v>15955</v>
      </c>
    </row>
    <row r="5241" spans="1:10" ht="14.25" customHeight="1" x14ac:dyDescent="0.35">
      <c r="A5241" s="39" t="s">
        <v>5295</v>
      </c>
      <c r="B5241" s="40" t="str">
        <f ca="1">IFERROR(INDEX(UNSPSCDes,MATCH(INDIRECT(ADDRESS(ROW(),COLUMN()-1,4)),UNSPSCCode,0)),IF(INDIRECT(ADDRESS(ROW(),COLUMN()-1,4))="13101708","Silicona vmq y pmq y pvmq",""))</f>
        <v>Silicona vmq y pmq y pvmq</v>
      </c>
      <c r="C5241" s="72" t="str">
        <f>IFERROR(VLOOKUP("CAJ",'Informacion '!P:Q,2,FALSE),"")</f>
        <v>Caja</v>
      </c>
      <c r="D5241" s="39">
        <v>1</v>
      </c>
      <c r="E5241" s="42">
        <v>3717</v>
      </c>
      <c r="F5241" s="41">
        <f ca="1">INDIRECT(ADDRESS(ROW(),COLUMN()-2,4))*INDIRECT(ADDRESS(ROW(),COLUMN()-1,4))</f>
        <v>3717</v>
      </c>
    </row>
    <row r="5242" spans="1:10" ht="14.25" customHeight="1" x14ac:dyDescent="0.35">
      <c r="A5242" s="39" t="s">
        <v>7183</v>
      </c>
      <c r="B5242" s="40" t="str">
        <f ca="1">IFERROR(INDEX(UNSPSCDes,MATCH(INDIRECT(ADDRESS(ROW(),COLUMN()-1,4)),UNSPSCCode,0)),IF(INDIRECT(ADDRESS(ROW(),COLUMN()-1,4))="13101717","Poliéster uretano au",""))</f>
        <v>Poliéster uretano au</v>
      </c>
      <c r="C5242" s="72" t="str">
        <f>IFERROR(VLOOKUP("UD",'Informacion '!P:Q,2,FALSE),"")</f>
        <v>Unidad</v>
      </c>
      <c r="D5242" s="39">
        <v>25</v>
      </c>
      <c r="E5242" s="42">
        <v>421.79</v>
      </c>
      <c r="F5242" s="41">
        <f ca="1">INDIRECT(ADDRESS(ROW(),COLUMN()-2,4))*INDIRECT(ADDRESS(ROW(),COLUMN()-1,4))</f>
        <v>10544.75</v>
      </c>
    </row>
    <row r="5243" spans="1:10" ht="14.25" customHeight="1" x14ac:dyDescent="0.35">
      <c r="E5243" s="44" t="s">
        <v>13122</v>
      </c>
      <c r="F5243" s="45">
        <f ca="1">SUM(Table297[MONTO TOTAL ESTIMADO])</f>
        <v>14261.75</v>
      </c>
      <c r="H5243" s="24" t="str">
        <f>C5234</f>
        <v>Bienes</v>
      </c>
      <c r="I5243" s="24" t="str">
        <f>E5234</f>
        <v>MIPYME Mujeres</v>
      </c>
      <c r="J5243" s="24" t="str">
        <f>D5234</f>
        <v>Compras por debajo del Umbral</v>
      </c>
    </row>
    <row r="5245" spans="1:10" ht="34" customHeight="1" x14ac:dyDescent="0.35">
      <c r="A5245" s="36" t="s">
        <v>17105</v>
      </c>
      <c r="B5245" s="36" t="s">
        <v>167</v>
      </c>
      <c r="C5245" s="36" t="s">
        <v>12252</v>
      </c>
      <c r="D5245" s="36" t="s">
        <v>15021</v>
      </c>
      <c r="E5245" s="36" t="s">
        <v>11455</v>
      </c>
      <c r="F5245" s="36" t="s">
        <v>11595</v>
      </c>
    </row>
    <row r="5246" spans="1:10" ht="14.25" customHeight="1" x14ac:dyDescent="0.35">
      <c r="A5246" s="37" t="s">
        <v>3858</v>
      </c>
      <c r="B5246" s="37" t="s">
        <v>3858</v>
      </c>
      <c r="C5246" s="37" t="s">
        <v>18585</v>
      </c>
      <c r="D5246" s="37" t="s">
        <v>1950</v>
      </c>
      <c r="E5246" s="37" t="s">
        <v>18646</v>
      </c>
      <c r="F5246" s="37" t="s">
        <v>7088</v>
      </c>
    </row>
    <row r="5247" spans="1:10" ht="14.25" customHeight="1" x14ac:dyDescent="0.35">
      <c r="A5247" s="75" t="s">
        <v>15490</v>
      </c>
      <c r="B5247" s="38" t="s">
        <v>8918</v>
      </c>
      <c r="C5247" s="68">
        <v>45334</v>
      </c>
      <c r="D5247" s="75" t="s">
        <v>9819</v>
      </c>
      <c r="E5247" s="70" t="s">
        <v>13683</v>
      </c>
      <c r="F5247" s="71" t="s">
        <v>3205</v>
      </c>
    </row>
    <row r="5248" spans="1:10" ht="14.25" customHeight="1" x14ac:dyDescent="0.35">
      <c r="A5248" s="76"/>
      <c r="B5248" s="38" t="s">
        <v>1858</v>
      </c>
      <c r="C5248" s="69">
        <f>IF(C5247="","",IF(AND(MONTH(C5247)&gt;=1,MONTH(C5247)&lt;=3),1,IF(AND(MONTH(C5247)&gt;=4,MONTH(C5247)&lt;=6),2,IF(AND(MONTH(C5247)&gt;=7,MONTH(C5247)&lt;=9),3,4))))</f>
        <v>1</v>
      </c>
      <c r="D5248" s="76"/>
      <c r="E5248" s="70" t="s">
        <v>2509</v>
      </c>
      <c r="F5248" s="71" t="s">
        <v>11612</v>
      </c>
    </row>
    <row r="5249" spans="1:6" ht="14.25" customHeight="1" x14ac:dyDescent="0.35">
      <c r="A5249" s="76"/>
      <c r="B5249" s="38" t="s">
        <v>13526</v>
      </c>
      <c r="C5249" s="68">
        <v>45352</v>
      </c>
      <c r="D5249" s="76"/>
      <c r="E5249" s="70" t="s">
        <v>3198</v>
      </c>
      <c r="F5249" s="71" t="s">
        <v>11612</v>
      </c>
    </row>
    <row r="5250" spans="1:6" ht="14.25" customHeight="1" x14ac:dyDescent="0.35">
      <c r="A5250" s="76"/>
      <c r="B5250" s="38" t="s">
        <v>1858</v>
      </c>
      <c r="C5250" s="69">
        <f>IF(C5249="","",IF(AND(MONTH(C5249)&gt;=1,MONTH(C5249)&lt;=3),1,IF(AND(MONTH(C5249)&gt;=4,MONTH(C5249)&lt;=6),2,IF(AND(MONTH(C5249)&gt;=7,MONTH(C5249)&lt;=9),3,4))))</f>
        <v>1</v>
      </c>
      <c r="D5250" s="76"/>
      <c r="E5250" s="70" t="s">
        <v>13785</v>
      </c>
      <c r="F5250" s="71"/>
    </row>
    <row r="5252" spans="1:6" ht="14.25" customHeight="1" x14ac:dyDescent="0.35">
      <c r="A5252" s="43" t="s">
        <v>16424</v>
      </c>
      <c r="B5252" s="43" t="s">
        <v>16856</v>
      </c>
      <c r="C5252" s="43" t="s">
        <v>16326</v>
      </c>
      <c r="D5252" s="43" t="s">
        <v>15925</v>
      </c>
      <c r="E5252" s="43" t="s">
        <v>7248</v>
      </c>
      <c r="F5252" s="43" t="s">
        <v>15955</v>
      </c>
    </row>
    <row r="5253" spans="1:6" ht="14.25" customHeight="1" x14ac:dyDescent="0.35">
      <c r="A5253" s="39" t="s">
        <v>15829</v>
      </c>
      <c r="B5253" s="40" t="str">
        <f ca="1">IFERROR(INDEX(UNSPSCDes,MATCH(INDIRECT(ADDRESS(ROW(),COLUMN()-1,4)),UNSPSCCode,0)),IF(INDIRECT(ADDRESS(ROW(),COLUMN()-1,4))="14111506","Papel para impresión de computadores",""))</f>
        <v>Papel para impresión de computadores</v>
      </c>
      <c r="C5253" s="72" t="str">
        <f>IFERROR(VLOOKUP("RESMA",'Informacion '!P:Q,2,FALSE),"")</f>
        <v>Resma</v>
      </c>
      <c r="D5253" s="39">
        <v>1000</v>
      </c>
      <c r="E5253" s="42">
        <v>175.82</v>
      </c>
      <c r="F5253" s="41">
        <f t="shared" ref="F5253:F5273" ca="1" si="179">INDIRECT(ADDRESS(ROW(),COLUMN()-2,4))*INDIRECT(ADDRESS(ROW(),COLUMN()-1,4))</f>
        <v>175820</v>
      </c>
    </row>
    <row r="5254" spans="1:6" ht="14.25" customHeight="1" x14ac:dyDescent="0.35">
      <c r="A5254" s="39" t="s">
        <v>15829</v>
      </c>
      <c r="B5254" s="40" t="str">
        <f ca="1">IFERROR(INDEX(UNSPSCDes,MATCH(INDIRECT(ADDRESS(ROW(),COLUMN()-1,4)),UNSPSCCode,0)),IF(INDIRECT(ADDRESS(ROW(),COLUMN()-1,4))="14111506","Papel para impresión de computadores",""))</f>
        <v>Papel para impresión de computadores</v>
      </c>
      <c r="C5254" s="72" t="str">
        <f>IFERROR(VLOOKUP("RESMA",'Informacion '!P:Q,2,FALSE),"")</f>
        <v>Resma</v>
      </c>
      <c r="D5254" s="39">
        <v>30</v>
      </c>
      <c r="E5254" s="42">
        <v>351.65</v>
      </c>
      <c r="F5254" s="41">
        <f t="shared" ca="1" si="179"/>
        <v>10549.5</v>
      </c>
    </row>
    <row r="5255" spans="1:6" ht="14.25" customHeight="1" x14ac:dyDescent="0.35">
      <c r="A5255" s="39" t="s">
        <v>15829</v>
      </c>
      <c r="B5255" s="40" t="str">
        <f ca="1">IFERROR(INDEX(UNSPSCDes,MATCH(INDIRECT(ADDRESS(ROW(),COLUMN()-1,4)),UNSPSCCode,0)),IF(INDIRECT(ADDRESS(ROW(),COLUMN()-1,4))="14111506","Papel para impresión de computadores",""))</f>
        <v>Papel para impresión de computadores</v>
      </c>
      <c r="C5255" s="72" t="str">
        <f>IFERROR(VLOOKUP("RESMA",'Informacion '!P:Q,2,FALSE),"")</f>
        <v>Resma</v>
      </c>
      <c r="D5255" s="39">
        <v>15</v>
      </c>
      <c r="E5255" s="42">
        <v>308.8</v>
      </c>
      <c r="F5255" s="41">
        <f t="shared" ca="1" si="179"/>
        <v>4632</v>
      </c>
    </row>
    <row r="5256" spans="1:6" ht="14.25" customHeight="1" x14ac:dyDescent="0.35">
      <c r="A5256" s="39" t="s">
        <v>19062</v>
      </c>
      <c r="B5256" s="40" t="str">
        <f ca="1">IFERROR(INDEX(UNSPSCDes,MATCH(INDIRECT(ADDRESS(ROW(),COLUMN()-1,4)),UNSPSCCode,0)),IF(INDIRECT(ADDRESS(ROW(),COLUMN()-1,4))="14111508","Papel para fax",""))</f>
        <v>Papel para fax</v>
      </c>
      <c r="C5256" s="72" t="str">
        <f>IFERROR(VLOOKUP("UD",'Informacion '!P:Q,2,FALSE),"")</f>
        <v>Unidad</v>
      </c>
      <c r="D5256" s="39">
        <v>1</v>
      </c>
      <c r="E5256" s="42">
        <v>220000</v>
      </c>
      <c r="F5256" s="41">
        <f t="shared" ca="1" si="179"/>
        <v>220000</v>
      </c>
    </row>
    <row r="5257" spans="1:6" ht="14.25" customHeight="1" x14ac:dyDescent="0.35">
      <c r="A5257" s="39" t="s">
        <v>19062</v>
      </c>
      <c r="B5257" s="40" t="str">
        <f ca="1">IFERROR(INDEX(UNSPSCDes,MATCH(INDIRECT(ADDRESS(ROW(),COLUMN()-1,4)),UNSPSCCode,0)),IF(INDIRECT(ADDRESS(ROW(),COLUMN()-1,4))="14111508","Papel para fax",""))</f>
        <v>Papel para fax</v>
      </c>
      <c r="C5257" s="72" t="str">
        <f>IFERROR(VLOOKUP("UD",'Informacion '!P:Q,2,FALSE),"")</f>
        <v>Unidad</v>
      </c>
      <c r="D5257" s="39">
        <v>2</v>
      </c>
      <c r="E5257" s="42">
        <v>60000</v>
      </c>
      <c r="F5257" s="41">
        <f t="shared" ca="1" si="179"/>
        <v>120000</v>
      </c>
    </row>
    <row r="5258" spans="1:6" ht="14.25" customHeight="1" x14ac:dyDescent="0.35">
      <c r="A5258" s="39" t="s">
        <v>8011</v>
      </c>
      <c r="B5258" s="40" t="str">
        <f ca="1">IFERROR(INDEX(UNSPSCDes,MATCH(INDIRECT(ADDRESS(ROW(),COLUMN()-1,4)),UNSPSCCode,0)),IF(INDIRECT(ADDRESS(ROW(),COLUMN()-1,4))="14111512","Papel para gráficos",""))</f>
        <v>Papel para gráficos</v>
      </c>
      <c r="C5258" s="72" t="str">
        <f>IFERROR(VLOOKUP("UD",'Informacion '!P:Q,2,FALSE),"")</f>
        <v>Unidad</v>
      </c>
      <c r="D5258" s="39">
        <v>2</v>
      </c>
      <c r="E5258" s="42">
        <v>40000</v>
      </c>
      <c r="F5258" s="41">
        <f t="shared" ca="1" si="179"/>
        <v>80000</v>
      </c>
    </row>
    <row r="5259" spans="1:6" ht="14.25" customHeight="1" x14ac:dyDescent="0.35">
      <c r="A5259" s="39" t="s">
        <v>8011</v>
      </c>
      <c r="B5259" s="40" t="str">
        <f ca="1">IFERROR(INDEX(UNSPSCDes,MATCH(INDIRECT(ADDRESS(ROW(),COLUMN()-1,4)),UNSPSCCode,0)),IF(INDIRECT(ADDRESS(ROW(),COLUMN()-1,4))="14111512","Papel para gráficos",""))</f>
        <v>Papel para gráficos</v>
      </c>
      <c r="C5259" s="72" t="str">
        <f>IFERROR(VLOOKUP("UD",'Informacion '!P:Q,2,FALSE),"")</f>
        <v>Unidad</v>
      </c>
      <c r="D5259" s="39">
        <v>1</v>
      </c>
      <c r="E5259" s="42">
        <v>750000</v>
      </c>
      <c r="F5259" s="41">
        <f t="shared" ca="1" si="179"/>
        <v>750000</v>
      </c>
    </row>
    <row r="5260" spans="1:6" ht="14.25" customHeight="1" x14ac:dyDescent="0.35">
      <c r="A5260" s="39" t="s">
        <v>8011</v>
      </c>
      <c r="B5260" s="40" t="str">
        <f ca="1">IFERROR(INDEX(UNSPSCDes,MATCH(INDIRECT(ADDRESS(ROW(),COLUMN()-1,4)),UNSPSCCode,0)),IF(INDIRECT(ADDRESS(ROW(),COLUMN()-1,4))="14111512","Papel para gráficos",""))</f>
        <v>Papel para gráficos</v>
      </c>
      <c r="C5260" s="72" t="str">
        <f>IFERROR(VLOOKUP("UD",'Informacion '!P:Q,2,FALSE),"")</f>
        <v>Unidad</v>
      </c>
      <c r="D5260" s="39">
        <v>3</v>
      </c>
      <c r="E5260" s="42">
        <v>18000</v>
      </c>
      <c r="F5260" s="41">
        <f t="shared" ca="1" si="179"/>
        <v>54000</v>
      </c>
    </row>
    <row r="5261" spans="1:6" ht="14.25" customHeight="1" x14ac:dyDescent="0.35">
      <c r="A5261" s="39" t="s">
        <v>8011</v>
      </c>
      <c r="B5261" s="40" t="str">
        <f ca="1">IFERROR(INDEX(UNSPSCDes,MATCH(INDIRECT(ADDRESS(ROW(),COLUMN()-1,4)),UNSPSCCode,0)),IF(INDIRECT(ADDRESS(ROW(),COLUMN()-1,4))="14111512","Papel para gráficos",""))</f>
        <v>Papel para gráficos</v>
      </c>
      <c r="C5261" s="72" t="str">
        <f>IFERROR(VLOOKUP("UD",'Informacion '!P:Q,2,FALSE),"")</f>
        <v>Unidad</v>
      </c>
      <c r="D5261" s="39">
        <v>1</v>
      </c>
      <c r="E5261" s="42">
        <v>130000</v>
      </c>
      <c r="F5261" s="41">
        <f t="shared" ca="1" si="179"/>
        <v>130000</v>
      </c>
    </row>
    <row r="5262" spans="1:6" ht="14.25" customHeight="1" x14ac:dyDescent="0.35">
      <c r="A5262" s="39" t="s">
        <v>11984</v>
      </c>
      <c r="B5262" s="40" t="str">
        <f ca="1">IFERROR(INDEX(UNSPSCDes,MATCH(INDIRECT(ADDRESS(ROW(),COLUMN()-1,4)),UNSPSCCode,0)),IF(INDIRECT(ADDRESS(ROW(),COLUMN()-1,4))="14111515","Papel para sumadora o máquina registradora",""))</f>
        <v>Papel para sumadora o máquina registradora</v>
      </c>
      <c r="C5262" s="72" t="str">
        <f>IFERROR(VLOOKUP("UD",'Informacion '!P:Q,2,FALSE),"")</f>
        <v>Unidad</v>
      </c>
      <c r="D5262" s="39">
        <v>38</v>
      </c>
      <c r="E5262" s="42">
        <v>49.93</v>
      </c>
      <c r="F5262" s="41">
        <f t="shared" ca="1" si="179"/>
        <v>1897.34</v>
      </c>
    </row>
    <row r="5263" spans="1:6" ht="14.25" customHeight="1" x14ac:dyDescent="0.35">
      <c r="A5263" s="39" t="s">
        <v>3781</v>
      </c>
      <c r="B5263" s="40" t="str">
        <f ca="1">IFERROR(INDEX(UNSPSCDes,MATCH(INDIRECT(ADDRESS(ROW(),COLUMN()-1,4)),UNSPSCCode,0)),IF(INDIRECT(ADDRESS(ROW(),COLUMN()-1,4))="14111519","Papeles cartulina",""))</f>
        <v>Papeles cartulina</v>
      </c>
      <c r="C5263" s="72" t="str">
        <f>IFERROR(VLOOKUP("UD",'Informacion '!P:Q,2,FALSE),"")</f>
        <v>Unidad</v>
      </c>
      <c r="D5263" s="39">
        <v>4</v>
      </c>
      <c r="E5263" s="42">
        <v>1888</v>
      </c>
      <c r="F5263" s="41">
        <f t="shared" ca="1" si="179"/>
        <v>7552</v>
      </c>
    </row>
    <row r="5264" spans="1:6" ht="14.25" customHeight="1" x14ac:dyDescent="0.35">
      <c r="A5264" s="39" t="s">
        <v>14155</v>
      </c>
      <c r="B5264" s="40" t="str">
        <f ca="1">IFERROR(INDEX(UNSPSCDes,MATCH(INDIRECT(ADDRESS(ROW(),COLUMN()-1,4)),UNSPSCCode,0)),IF(INDIRECT(ADDRESS(ROW(),COLUMN()-1,4))="14111530","Papel de notas autoadhesivas",""))</f>
        <v>Papel de notas autoadhesivas</v>
      </c>
      <c r="C5264" s="72" t="str">
        <f>IFERROR(VLOOKUP("PAQ",'Informacion '!P:Q,2,FALSE),"")</f>
        <v>Paquete</v>
      </c>
      <c r="D5264" s="39">
        <v>300</v>
      </c>
      <c r="E5264" s="42">
        <v>42.45</v>
      </c>
      <c r="F5264" s="41">
        <f t="shared" ca="1" si="179"/>
        <v>12735</v>
      </c>
    </row>
    <row r="5265" spans="1:10" ht="14.25" customHeight="1" x14ac:dyDescent="0.35">
      <c r="A5265" s="39" t="s">
        <v>1612</v>
      </c>
      <c r="B5265" s="40" t="str">
        <f ca="1">IFERROR(INDEX(UNSPSCDes,MATCH(INDIRECT(ADDRESS(ROW(),COLUMN()-1,4)),UNSPSCCode,0)),IF(INDIRECT(ADDRESS(ROW(),COLUMN()-1,4))="14111604","Tarjetas de presentación",""))</f>
        <v>Tarjetas de presentación</v>
      </c>
      <c r="C5265" s="72" t="str">
        <f>IFERROR(VLOOKUP("UD",'Informacion '!P:Q,2,FALSE),"")</f>
        <v>Unidad</v>
      </c>
      <c r="D5265" s="39">
        <v>500</v>
      </c>
      <c r="E5265" s="42">
        <v>10.029999999999999</v>
      </c>
      <c r="F5265" s="41">
        <f t="shared" ca="1" si="179"/>
        <v>5015</v>
      </c>
    </row>
    <row r="5266" spans="1:10" ht="14.25" customHeight="1" x14ac:dyDescent="0.35">
      <c r="A5266" s="39" t="s">
        <v>5083</v>
      </c>
      <c r="B5266" s="40" t="str">
        <f ca="1">IFERROR(INDEX(UNSPSCDes,MATCH(INDIRECT(ADDRESS(ROW(),COLUMN()-1,4)),UNSPSCCode,0)),IF(INDIRECT(ADDRESS(ROW(),COLUMN()-1,4))="14111704","Papel higiénico",""))</f>
        <v>Papel higiénico</v>
      </c>
      <c r="C5266" s="72" t="str">
        <f>IFERROR(VLOOKUP("UD",'Informacion '!P:Q,2,FALSE),"")</f>
        <v>Unidad</v>
      </c>
      <c r="D5266" s="39">
        <v>209</v>
      </c>
      <c r="E5266" s="42">
        <v>767</v>
      </c>
      <c r="F5266" s="41">
        <f t="shared" ca="1" si="179"/>
        <v>160303</v>
      </c>
    </row>
    <row r="5267" spans="1:10" ht="14.25" customHeight="1" x14ac:dyDescent="0.35">
      <c r="A5267" s="39" t="s">
        <v>3300</v>
      </c>
      <c r="B5267" s="40" t="str">
        <f ca="1">IFERROR(INDEX(UNSPSCDes,MATCH(INDIRECT(ADDRESS(ROW(),COLUMN()-1,4)),UNSPSCCode,0)),IF(INDIRECT(ADDRESS(ROW(),COLUMN()-1,4))="14111705","Servilletas de papel",""))</f>
        <v>Servilletas de papel</v>
      </c>
      <c r="C5267" s="72" t="str">
        <f>IFERROR(VLOOKUP("UD",'Informacion '!P:Q,2,FALSE),"")</f>
        <v>Unidad</v>
      </c>
      <c r="D5267" s="39">
        <v>5</v>
      </c>
      <c r="E5267" s="42">
        <v>900</v>
      </c>
      <c r="F5267" s="41">
        <f t="shared" ca="1" si="179"/>
        <v>4500</v>
      </c>
    </row>
    <row r="5268" spans="1:10" ht="14.25" customHeight="1" x14ac:dyDescent="0.35">
      <c r="A5268" s="39" t="s">
        <v>3300</v>
      </c>
      <c r="B5268" s="40" t="str">
        <f ca="1">IFERROR(INDEX(UNSPSCDes,MATCH(INDIRECT(ADDRESS(ROW(),COLUMN()-1,4)),UNSPSCCode,0)),IF(INDIRECT(ADDRESS(ROW(),COLUMN()-1,4))="14111705","Servilletas de papel",""))</f>
        <v>Servilletas de papel</v>
      </c>
      <c r="C5268" s="72" t="str">
        <f>IFERROR(VLOOKUP("UD",'Informacion '!P:Q,2,FALSE),"")</f>
        <v>Unidad</v>
      </c>
      <c r="D5268" s="39">
        <v>50</v>
      </c>
      <c r="E5268" s="42">
        <v>800</v>
      </c>
      <c r="F5268" s="41">
        <f t="shared" ca="1" si="179"/>
        <v>40000</v>
      </c>
    </row>
    <row r="5269" spans="1:10" ht="14.25" customHeight="1" x14ac:dyDescent="0.35">
      <c r="A5269" s="39" t="s">
        <v>3300</v>
      </c>
      <c r="B5269" s="40" t="str">
        <f ca="1">IFERROR(INDEX(UNSPSCDes,MATCH(INDIRECT(ADDRESS(ROW(),COLUMN()-1,4)),UNSPSCCode,0)),IF(INDIRECT(ADDRESS(ROW(),COLUMN()-1,4))="14111705","Servilletas de papel",""))</f>
        <v>Servilletas de papel</v>
      </c>
      <c r="C5269" s="72" t="str">
        <f>IFERROR(VLOOKUP("UD",'Informacion '!P:Q,2,FALSE),"")</f>
        <v>Unidad</v>
      </c>
      <c r="D5269" s="39">
        <v>4</v>
      </c>
      <c r="E5269" s="42">
        <v>400</v>
      </c>
      <c r="F5269" s="41">
        <f t="shared" ca="1" si="179"/>
        <v>1600</v>
      </c>
    </row>
    <row r="5270" spans="1:10" ht="14.25" customHeight="1" x14ac:dyDescent="0.35">
      <c r="A5270" s="39" t="s">
        <v>3300</v>
      </c>
      <c r="B5270" s="40" t="str">
        <f ca="1">IFERROR(INDEX(UNSPSCDes,MATCH(INDIRECT(ADDRESS(ROW(),COLUMN()-1,4)),UNSPSCCode,0)),IF(INDIRECT(ADDRESS(ROW(),COLUMN()-1,4))="14111705","Servilletas de papel",""))</f>
        <v>Servilletas de papel</v>
      </c>
      <c r="C5270" s="72" t="str">
        <f>IFERROR(VLOOKUP("UD",'Informacion '!P:Q,2,FALSE),"")</f>
        <v>Unidad</v>
      </c>
      <c r="D5270" s="39">
        <v>225</v>
      </c>
      <c r="E5270" s="42">
        <v>53.1</v>
      </c>
      <c r="F5270" s="41">
        <f t="shared" ca="1" si="179"/>
        <v>11947.5</v>
      </c>
    </row>
    <row r="5271" spans="1:10" ht="14.25" customHeight="1" x14ac:dyDescent="0.35">
      <c r="A5271" s="39" t="s">
        <v>3300</v>
      </c>
      <c r="B5271" s="40" t="str">
        <f ca="1">IFERROR(INDEX(UNSPSCDes,MATCH(INDIRECT(ADDRESS(ROW(),COLUMN()-1,4)),UNSPSCCode,0)),IF(INDIRECT(ADDRESS(ROW(),COLUMN()-1,4))="14111705","Servilletas de papel",""))</f>
        <v>Servilletas de papel</v>
      </c>
      <c r="C5271" s="72" t="str">
        <f>IFERROR(VLOOKUP("UD",'Informacion '!P:Q,2,FALSE),"")</f>
        <v>Unidad</v>
      </c>
      <c r="D5271" s="39">
        <v>200</v>
      </c>
      <c r="E5271" s="42">
        <v>12</v>
      </c>
      <c r="F5271" s="41">
        <f t="shared" ca="1" si="179"/>
        <v>2400</v>
      </c>
    </row>
    <row r="5272" spans="1:10" ht="14.25" customHeight="1" x14ac:dyDescent="0.35">
      <c r="A5272" s="39" t="s">
        <v>17869</v>
      </c>
      <c r="B5272" s="40" t="str">
        <f ca="1">IFERROR(INDEX(UNSPSCDes,MATCH(INDIRECT(ADDRESS(ROW(),COLUMN()-1,4)),UNSPSCCode,0)),IF(INDIRECT(ADDRESS(ROW(),COLUMN()-1,4))="14111802","Recibos o libros de recibos",""))</f>
        <v>Recibos o libros de recibos</v>
      </c>
      <c r="C5272" s="72" t="str">
        <f>IFERROR(VLOOKUP("UD",'Informacion '!P:Q,2,FALSE),"")</f>
        <v>Unidad</v>
      </c>
      <c r="D5272" s="39">
        <v>15</v>
      </c>
      <c r="E5272" s="42">
        <v>289.08</v>
      </c>
      <c r="F5272" s="41">
        <f t="shared" ca="1" si="179"/>
        <v>4336.2</v>
      </c>
    </row>
    <row r="5273" spans="1:10" ht="14.25" customHeight="1" x14ac:dyDescent="0.35">
      <c r="A5273" s="39" t="s">
        <v>17869</v>
      </c>
      <c r="B5273" s="40" t="str">
        <f ca="1">IFERROR(INDEX(UNSPSCDes,MATCH(INDIRECT(ADDRESS(ROW(),COLUMN()-1,4)),UNSPSCCode,0)),IF(INDIRECT(ADDRESS(ROW(),COLUMN()-1,4))="14111802","Recibos o libros de recibos",""))</f>
        <v>Recibos o libros de recibos</v>
      </c>
      <c r="C5273" s="72" t="str">
        <f>IFERROR(VLOOKUP("UD",'Informacion '!P:Q,2,FALSE),"")</f>
        <v>Unidad</v>
      </c>
      <c r="D5273" s="39">
        <v>15</v>
      </c>
      <c r="E5273" s="42">
        <v>206.5</v>
      </c>
      <c r="F5273" s="41">
        <f t="shared" ca="1" si="179"/>
        <v>3097.5</v>
      </c>
    </row>
    <row r="5274" spans="1:10" ht="14.25" customHeight="1" x14ac:dyDescent="0.35">
      <c r="E5274" s="44" t="s">
        <v>13122</v>
      </c>
      <c r="F5274" s="45">
        <f ca="1">SUM(Table298[MONTO TOTAL ESTIMADO])</f>
        <v>1800385.04</v>
      </c>
      <c r="H5274" s="24" t="str">
        <f>C5246</f>
        <v>Bienes</v>
      </c>
      <c r="I5274" s="24" t="str">
        <f>E5246</f>
        <v>No</v>
      </c>
      <c r="J5274" s="24" t="str">
        <f>D5246</f>
        <v>Comparacion de Precios</v>
      </c>
    </row>
    <row r="5276" spans="1:10" ht="34" customHeight="1" x14ac:dyDescent="0.35">
      <c r="A5276" s="36" t="s">
        <v>17105</v>
      </c>
      <c r="B5276" s="36" t="s">
        <v>167</v>
      </c>
      <c r="C5276" s="36" t="s">
        <v>12252</v>
      </c>
      <c r="D5276" s="36" t="s">
        <v>15021</v>
      </c>
      <c r="E5276" s="36" t="s">
        <v>11455</v>
      </c>
      <c r="F5276" s="36" t="s">
        <v>11595</v>
      </c>
    </row>
    <row r="5277" spans="1:10" ht="14.25" customHeight="1" x14ac:dyDescent="0.35">
      <c r="A5277" s="37" t="s">
        <v>3858</v>
      </c>
      <c r="B5277" s="37" t="s">
        <v>3858</v>
      </c>
      <c r="C5277" s="37" t="s">
        <v>18585</v>
      </c>
      <c r="D5277" s="37" t="s">
        <v>18256</v>
      </c>
      <c r="E5277" s="37" t="s">
        <v>9261</v>
      </c>
      <c r="F5277" s="37" t="s">
        <v>7088</v>
      </c>
    </row>
    <row r="5278" spans="1:10" ht="14.25" customHeight="1" x14ac:dyDescent="0.35">
      <c r="A5278" s="75" t="s">
        <v>15490</v>
      </c>
      <c r="B5278" s="38" t="s">
        <v>8918</v>
      </c>
      <c r="C5278" s="68">
        <v>45383</v>
      </c>
      <c r="D5278" s="75" t="s">
        <v>9819</v>
      </c>
      <c r="E5278" s="70" t="s">
        <v>13683</v>
      </c>
      <c r="F5278" s="71" t="s">
        <v>3205</v>
      </c>
    </row>
    <row r="5279" spans="1:10" ht="14.25" customHeight="1" x14ac:dyDescent="0.35">
      <c r="A5279" s="76"/>
      <c r="B5279" s="38" t="s">
        <v>1858</v>
      </c>
      <c r="C5279" s="69">
        <f>IF(C5278="","",IF(AND(MONTH(C5278)&gt;=1,MONTH(C5278)&lt;=3),1,IF(AND(MONTH(C5278)&gt;=4,MONTH(C5278)&lt;=6),2,IF(AND(MONTH(C5278)&gt;=7,MONTH(C5278)&lt;=9),3,4))))</f>
        <v>2</v>
      </c>
      <c r="D5279" s="76"/>
      <c r="E5279" s="70" t="s">
        <v>2509</v>
      </c>
      <c r="F5279" s="71" t="s">
        <v>11612</v>
      </c>
    </row>
    <row r="5280" spans="1:10" ht="14.25" customHeight="1" x14ac:dyDescent="0.35">
      <c r="A5280" s="76"/>
      <c r="B5280" s="38" t="s">
        <v>13526</v>
      </c>
      <c r="C5280" s="68">
        <v>45471</v>
      </c>
      <c r="D5280" s="76"/>
      <c r="E5280" s="70" t="s">
        <v>3198</v>
      </c>
      <c r="F5280" s="71" t="s">
        <v>11612</v>
      </c>
    </row>
    <row r="5281" spans="1:6" ht="14.25" customHeight="1" x14ac:dyDescent="0.35">
      <c r="A5281" s="76"/>
      <c r="B5281" s="38" t="s">
        <v>1858</v>
      </c>
      <c r="C5281" s="69">
        <f>IF(C5280="","",IF(AND(MONTH(C5280)&gt;=1,MONTH(C5280)&lt;=3),1,IF(AND(MONTH(C5280)&gt;=4,MONTH(C5280)&lt;=6),2,IF(AND(MONTH(C5280)&gt;=7,MONTH(C5280)&lt;=9),3,4))))</f>
        <v>2</v>
      </c>
      <c r="D5281" s="76"/>
      <c r="E5281" s="70" t="s">
        <v>13785</v>
      </c>
      <c r="F5281" s="71"/>
    </row>
    <row r="5283" spans="1:6" ht="14.25" customHeight="1" x14ac:dyDescent="0.35">
      <c r="A5283" s="43" t="s">
        <v>16424</v>
      </c>
      <c r="B5283" s="43" t="s">
        <v>16856</v>
      </c>
      <c r="C5283" s="43" t="s">
        <v>16326</v>
      </c>
      <c r="D5283" s="43" t="s">
        <v>15925</v>
      </c>
      <c r="E5283" s="43" t="s">
        <v>7248</v>
      </c>
      <c r="F5283" s="43" t="s">
        <v>15955</v>
      </c>
    </row>
    <row r="5284" spans="1:6" ht="14.25" customHeight="1" x14ac:dyDescent="0.35">
      <c r="A5284" s="39" t="s">
        <v>15829</v>
      </c>
      <c r="B5284" s="40" t="str">
        <f ca="1">IFERROR(INDEX(UNSPSCDes,MATCH(INDIRECT(ADDRESS(ROW(),COLUMN()-1,4)),UNSPSCCode,0)),IF(INDIRECT(ADDRESS(ROW(),COLUMN()-1,4))="14111506","Papel para impresión de computadores",""))</f>
        <v>Papel para impresión de computadores</v>
      </c>
      <c r="C5284" s="72" t="str">
        <f>IFERROR(VLOOKUP("RESMA",'Informacion '!P:Q,2,FALSE),"")</f>
        <v>Resma</v>
      </c>
      <c r="D5284" s="39">
        <v>1000</v>
      </c>
      <c r="E5284" s="42">
        <v>175.82</v>
      </c>
      <c r="F5284" s="41">
        <f t="shared" ref="F5284:F5300" ca="1" si="180">INDIRECT(ADDRESS(ROW(),COLUMN()-2,4))*INDIRECT(ADDRESS(ROW(),COLUMN()-1,4))</f>
        <v>175820</v>
      </c>
    </row>
    <row r="5285" spans="1:6" ht="14.25" customHeight="1" x14ac:dyDescent="0.35">
      <c r="A5285" s="39" t="s">
        <v>15829</v>
      </c>
      <c r="B5285" s="40" t="str">
        <f ca="1">IFERROR(INDEX(UNSPSCDes,MATCH(INDIRECT(ADDRESS(ROW(),COLUMN()-1,4)),UNSPSCCode,0)),IF(INDIRECT(ADDRESS(ROW(),COLUMN()-1,4))="14111506","Papel para impresión de computadores",""))</f>
        <v>Papel para impresión de computadores</v>
      </c>
      <c r="C5285" s="72" t="str">
        <f>IFERROR(VLOOKUP("RESMA",'Informacion '!P:Q,2,FALSE),"")</f>
        <v>Resma</v>
      </c>
      <c r="D5285" s="39">
        <v>30</v>
      </c>
      <c r="E5285" s="42">
        <v>351.65</v>
      </c>
      <c r="F5285" s="41">
        <f t="shared" ca="1" si="180"/>
        <v>10549.5</v>
      </c>
    </row>
    <row r="5286" spans="1:6" ht="14.25" customHeight="1" x14ac:dyDescent="0.35">
      <c r="A5286" s="39" t="s">
        <v>15829</v>
      </c>
      <c r="B5286" s="40" t="str">
        <f ca="1">IFERROR(INDEX(UNSPSCDes,MATCH(INDIRECT(ADDRESS(ROW(),COLUMN()-1,4)),UNSPSCCode,0)),IF(INDIRECT(ADDRESS(ROW(),COLUMN()-1,4))="14111506","Papel para impresión de computadores",""))</f>
        <v>Papel para impresión de computadores</v>
      </c>
      <c r="C5286" s="72" t="str">
        <f>IFERROR(VLOOKUP("RESMA",'Informacion '!P:Q,2,FALSE),"")</f>
        <v>Resma</v>
      </c>
      <c r="D5286" s="39">
        <v>15</v>
      </c>
      <c r="E5286" s="42">
        <v>308.8</v>
      </c>
      <c r="F5286" s="41">
        <f t="shared" ca="1" si="180"/>
        <v>4632</v>
      </c>
    </row>
    <row r="5287" spans="1:6" ht="14.25" customHeight="1" x14ac:dyDescent="0.35">
      <c r="A5287" s="39" t="s">
        <v>14045</v>
      </c>
      <c r="B5287" s="40" t="str">
        <f ca="1">IFERROR(INDEX(UNSPSCDes,MATCH(INDIRECT(ADDRESS(ROW(),COLUMN()-1,4)),UNSPSCCode,0)),IF(INDIRECT(ADDRESS(ROW(),COLUMN()-1,4))="14111507","Papel para impresora o fotocopiadora",""))</f>
        <v>Papel para impresora o fotocopiadora</v>
      </c>
      <c r="C5287" s="72" t="str">
        <f>IFERROR(VLOOKUP("UD",'Informacion '!P:Q,2,FALSE),"")</f>
        <v>Unidad</v>
      </c>
      <c r="D5287" s="39">
        <v>1</v>
      </c>
      <c r="E5287" s="42">
        <v>182.9</v>
      </c>
      <c r="F5287" s="41">
        <f t="shared" ca="1" si="180"/>
        <v>182.9</v>
      </c>
    </row>
    <row r="5288" spans="1:6" ht="14.25" customHeight="1" x14ac:dyDescent="0.35">
      <c r="A5288" s="39" t="s">
        <v>14045</v>
      </c>
      <c r="B5288" s="40" t="str">
        <f ca="1">IFERROR(INDEX(UNSPSCDes,MATCH(INDIRECT(ADDRESS(ROW(),COLUMN()-1,4)),UNSPSCCode,0)),IF(INDIRECT(ADDRESS(ROW(),COLUMN()-1,4))="14111507","Papel para impresora o fotocopiadora",""))</f>
        <v>Papel para impresora o fotocopiadora</v>
      </c>
      <c r="C5288" s="72" t="str">
        <f>IFERROR(VLOOKUP("UD",'Informacion '!P:Q,2,FALSE),"")</f>
        <v>Unidad</v>
      </c>
      <c r="D5288" s="39">
        <v>4</v>
      </c>
      <c r="E5288" s="42">
        <v>188.8</v>
      </c>
      <c r="F5288" s="41">
        <f t="shared" ca="1" si="180"/>
        <v>755.2</v>
      </c>
    </row>
    <row r="5289" spans="1:6" ht="14.25" customHeight="1" x14ac:dyDescent="0.35">
      <c r="A5289" s="39" t="s">
        <v>14045</v>
      </c>
      <c r="B5289" s="40" t="str">
        <f ca="1">IFERROR(INDEX(UNSPSCDes,MATCH(INDIRECT(ADDRESS(ROW(),COLUMN()-1,4)),UNSPSCCode,0)),IF(INDIRECT(ADDRESS(ROW(),COLUMN()-1,4))="14111507","Papel para impresora o fotocopiadora",""))</f>
        <v>Papel para impresora o fotocopiadora</v>
      </c>
      <c r="C5289" s="72" t="str">
        <f>IFERROR(VLOOKUP("UD",'Informacion '!P:Q,2,FALSE),"")</f>
        <v>Unidad</v>
      </c>
      <c r="D5289" s="39">
        <v>12</v>
      </c>
      <c r="E5289" s="42">
        <v>188.8</v>
      </c>
      <c r="F5289" s="41">
        <f t="shared" ca="1" si="180"/>
        <v>2265.6000000000004</v>
      </c>
    </row>
    <row r="5290" spans="1:6" ht="14.25" customHeight="1" x14ac:dyDescent="0.35">
      <c r="A5290" s="39" t="s">
        <v>8011</v>
      </c>
      <c r="B5290" s="40" t="str">
        <f ca="1">IFERROR(INDEX(UNSPSCDes,MATCH(INDIRECT(ADDRESS(ROW(),COLUMN()-1,4)),UNSPSCCode,0)),IF(INDIRECT(ADDRESS(ROW(),COLUMN()-1,4))="14111512","Papel para gráficos",""))</f>
        <v>Papel para gráficos</v>
      </c>
      <c r="C5290" s="72" t="str">
        <f>IFERROR(VLOOKUP("UD",'Informacion '!P:Q,2,FALSE),"")</f>
        <v>Unidad</v>
      </c>
      <c r="D5290" s="39">
        <v>3</v>
      </c>
      <c r="E5290" s="42">
        <v>18000</v>
      </c>
      <c r="F5290" s="41">
        <f t="shared" ca="1" si="180"/>
        <v>54000</v>
      </c>
    </row>
    <row r="5291" spans="1:6" ht="14.25" customHeight="1" x14ac:dyDescent="0.35">
      <c r="A5291" s="39" t="s">
        <v>11984</v>
      </c>
      <c r="B5291" s="40" t="str">
        <f ca="1">IFERROR(INDEX(UNSPSCDes,MATCH(INDIRECT(ADDRESS(ROW(),COLUMN()-1,4)),UNSPSCCode,0)),IF(INDIRECT(ADDRESS(ROW(),COLUMN()-1,4))="14111515","Papel para sumadora o máquina registradora",""))</f>
        <v>Papel para sumadora o máquina registradora</v>
      </c>
      <c r="C5291" s="72" t="str">
        <f>IFERROR(VLOOKUP("UD",'Informacion '!P:Q,2,FALSE),"")</f>
        <v>Unidad</v>
      </c>
      <c r="D5291" s="39">
        <v>38</v>
      </c>
      <c r="E5291" s="42">
        <v>49.93</v>
      </c>
      <c r="F5291" s="41">
        <f t="shared" ca="1" si="180"/>
        <v>1897.34</v>
      </c>
    </row>
    <row r="5292" spans="1:6" ht="14.25" customHeight="1" x14ac:dyDescent="0.35">
      <c r="A5292" s="39" t="s">
        <v>14155</v>
      </c>
      <c r="B5292" s="40" t="str">
        <f ca="1">IFERROR(INDEX(UNSPSCDes,MATCH(INDIRECT(ADDRESS(ROW(),COLUMN()-1,4)),UNSPSCCode,0)),IF(INDIRECT(ADDRESS(ROW(),COLUMN()-1,4))="14111530","Papel de notas autoadhesivas",""))</f>
        <v>Papel de notas autoadhesivas</v>
      </c>
      <c r="C5292" s="72" t="str">
        <f>IFERROR(VLOOKUP("PAQ",'Informacion '!P:Q,2,FALSE),"")</f>
        <v>Paquete</v>
      </c>
      <c r="D5292" s="39">
        <v>300</v>
      </c>
      <c r="E5292" s="42">
        <v>42.45</v>
      </c>
      <c r="F5292" s="41">
        <f t="shared" ca="1" si="180"/>
        <v>12735</v>
      </c>
    </row>
    <row r="5293" spans="1:6" ht="14.25" customHeight="1" x14ac:dyDescent="0.35">
      <c r="A5293" s="39" t="s">
        <v>5083</v>
      </c>
      <c r="B5293" s="40" t="str">
        <f ca="1">IFERROR(INDEX(UNSPSCDes,MATCH(INDIRECT(ADDRESS(ROW(),COLUMN()-1,4)),UNSPSCCode,0)),IF(INDIRECT(ADDRESS(ROW(),COLUMN()-1,4))="14111704","Papel higiénico",""))</f>
        <v>Papel higiénico</v>
      </c>
      <c r="C5293" s="72" t="str">
        <f>IFERROR(VLOOKUP("PAQ",'Informacion '!P:Q,2,FALSE),"")</f>
        <v>Paquete</v>
      </c>
      <c r="D5293" s="39">
        <v>12</v>
      </c>
      <c r="E5293" s="42">
        <v>300</v>
      </c>
      <c r="F5293" s="41">
        <f t="shared" ca="1" si="180"/>
        <v>3600</v>
      </c>
    </row>
    <row r="5294" spans="1:6" ht="14.25" customHeight="1" x14ac:dyDescent="0.35">
      <c r="A5294" s="39" t="s">
        <v>5083</v>
      </c>
      <c r="B5294" s="40" t="str">
        <f ca="1">IFERROR(INDEX(UNSPSCDes,MATCH(INDIRECT(ADDRESS(ROW(),COLUMN()-1,4)),UNSPSCCode,0)),IF(INDIRECT(ADDRESS(ROW(),COLUMN()-1,4))="14111704","Papel higiénico",""))</f>
        <v>Papel higiénico</v>
      </c>
      <c r="C5294" s="72" t="str">
        <f>IFERROR(VLOOKUP("UD",'Informacion '!P:Q,2,FALSE),"")</f>
        <v>Unidad</v>
      </c>
      <c r="D5294" s="39">
        <v>209</v>
      </c>
      <c r="E5294" s="42">
        <v>767</v>
      </c>
      <c r="F5294" s="41">
        <f t="shared" ca="1" si="180"/>
        <v>160303</v>
      </c>
    </row>
    <row r="5295" spans="1:6" ht="14.25" customHeight="1" x14ac:dyDescent="0.35">
      <c r="A5295" s="39" t="s">
        <v>3300</v>
      </c>
      <c r="B5295" s="40" t="str">
        <f ca="1">IFERROR(INDEX(UNSPSCDes,MATCH(INDIRECT(ADDRESS(ROW(),COLUMN()-1,4)),UNSPSCCode,0)),IF(INDIRECT(ADDRESS(ROW(),COLUMN()-1,4))="14111705","Servilletas de papel",""))</f>
        <v>Servilletas de papel</v>
      </c>
      <c r="C5295" s="72" t="str">
        <f>IFERROR(VLOOKUP("UD",'Informacion '!P:Q,2,FALSE),"")</f>
        <v>Unidad</v>
      </c>
      <c r="D5295" s="39">
        <v>3</v>
      </c>
      <c r="E5295" s="42">
        <v>150</v>
      </c>
      <c r="F5295" s="41">
        <f t="shared" ca="1" si="180"/>
        <v>450</v>
      </c>
    </row>
    <row r="5296" spans="1:6" ht="14.25" customHeight="1" x14ac:dyDescent="0.35">
      <c r="A5296" s="39" t="s">
        <v>3300</v>
      </c>
      <c r="B5296" s="40" t="str">
        <f ca="1">IFERROR(INDEX(UNSPSCDes,MATCH(INDIRECT(ADDRESS(ROW(),COLUMN()-1,4)),UNSPSCCode,0)),IF(INDIRECT(ADDRESS(ROW(),COLUMN()-1,4))="14111705","Servilletas de papel",""))</f>
        <v>Servilletas de papel</v>
      </c>
      <c r="C5296" s="72" t="str">
        <f>IFERROR(VLOOKUP("UD",'Informacion '!P:Q,2,FALSE),"")</f>
        <v>Unidad</v>
      </c>
      <c r="D5296" s="39">
        <v>225</v>
      </c>
      <c r="E5296" s="42">
        <v>53.1</v>
      </c>
      <c r="F5296" s="41">
        <f t="shared" ca="1" si="180"/>
        <v>11947.5</v>
      </c>
    </row>
    <row r="5297" spans="1:10" ht="14.25" customHeight="1" x14ac:dyDescent="0.35">
      <c r="A5297" s="39" t="s">
        <v>3300</v>
      </c>
      <c r="B5297" s="40" t="str">
        <f ca="1">IFERROR(INDEX(UNSPSCDes,MATCH(INDIRECT(ADDRESS(ROW(),COLUMN()-1,4)),UNSPSCCode,0)),IF(INDIRECT(ADDRESS(ROW(),COLUMN()-1,4))="14111705","Servilletas de papel",""))</f>
        <v>Servilletas de papel</v>
      </c>
      <c r="C5297" s="72" t="str">
        <f>IFERROR(VLOOKUP("UD",'Informacion '!P:Q,2,FALSE),"")</f>
        <v>Unidad</v>
      </c>
      <c r="D5297" s="39">
        <v>200</v>
      </c>
      <c r="E5297" s="42">
        <v>12</v>
      </c>
      <c r="F5297" s="41">
        <f t="shared" ca="1" si="180"/>
        <v>2400</v>
      </c>
    </row>
    <row r="5298" spans="1:10" ht="14.25" customHeight="1" x14ac:dyDescent="0.35">
      <c r="A5298" s="39" t="s">
        <v>17869</v>
      </c>
      <c r="B5298" s="40" t="str">
        <f ca="1">IFERROR(INDEX(UNSPSCDes,MATCH(INDIRECT(ADDRESS(ROW(),COLUMN()-1,4)),UNSPSCCode,0)),IF(INDIRECT(ADDRESS(ROW(),COLUMN()-1,4))="14111802","Recibos o libros de recibos",""))</f>
        <v>Recibos o libros de recibos</v>
      </c>
      <c r="C5298" s="72" t="str">
        <f>IFERROR(VLOOKUP("UD",'Informacion '!P:Q,2,FALSE),"")</f>
        <v>Unidad</v>
      </c>
      <c r="D5298" s="39">
        <v>1000</v>
      </c>
      <c r="E5298" s="42">
        <v>348.08</v>
      </c>
      <c r="F5298" s="41">
        <f t="shared" ca="1" si="180"/>
        <v>348080</v>
      </c>
    </row>
    <row r="5299" spans="1:10" ht="14.25" customHeight="1" x14ac:dyDescent="0.35">
      <c r="A5299" s="39" t="s">
        <v>17869</v>
      </c>
      <c r="B5299" s="40" t="str">
        <f ca="1">IFERROR(INDEX(UNSPSCDes,MATCH(INDIRECT(ADDRESS(ROW(),COLUMN()-1,4)),UNSPSCCode,0)),IF(INDIRECT(ADDRESS(ROW(),COLUMN()-1,4))="14111802","Recibos o libros de recibos",""))</f>
        <v>Recibos o libros de recibos</v>
      </c>
      <c r="C5299" s="72" t="str">
        <f>IFERROR(VLOOKUP("UD",'Informacion '!P:Q,2,FALSE),"")</f>
        <v>Unidad</v>
      </c>
      <c r="D5299" s="39">
        <v>15</v>
      </c>
      <c r="E5299" s="42">
        <v>289.08</v>
      </c>
      <c r="F5299" s="41">
        <f t="shared" ca="1" si="180"/>
        <v>4336.2</v>
      </c>
    </row>
    <row r="5300" spans="1:10" ht="14.25" customHeight="1" x14ac:dyDescent="0.35">
      <c r="A5300" s="39" t="s">
        <v>17869</v>
      </c>
      <c r="B5300" s="40" t="str">
        <f ca="1">IFERROR(INDEX(UNSPSCDes,MATCH(INDIRECT(ADDRESS(ROW(),COLUMN()-1,4)),UNSPSCCode,0)),IF(INDIRECT(ADDRESS(ROW(),COLUMN()-1,4))="14111802","Recibos o libros de recibos",""))</f>
        <v>Recibos o libros de recibos</v>
      </c>
      <c r="C5300" s="72" t="str">
        <f>IFERROR(VLOOKUP("UD",'Informacion '!P:Q,2,FALSE),"")</f>
        <v>Unidad</v>
      </c>
      <c r="D5300" s="39">
        <v>15</v>
      </c>
      <c r="E5300" s="42">
        <v>206.5</v>
      </c>
      <c r="F5300" s="41">
        <f t="shared" ca="1" si="180"/>
        <v>3097.5</v>
      </c>
    </row>
    <row r="5301" spans="1:10" ht="14.25" customHeight="1" x14ac:dyDescent="0.35">
      <c r="E5301" s="44" t="s">
        <v>13122</v>
      </c>
      <c r="F5301" s="45">
        <f ca="1">SUM(Table299[MONTO TOTAL ESTIMADO])</f>
        <v>797051.74</v>
      </c>
      <c r="H5301" s="24" t="str">
        <f>C5277</f>
        <v>Bienes</v>
      </c>
      <c r="I5301" s="24" t="str">
        <f>E5277</f>
        <v>Sí</v>
      </c>
      <c r="J5301" s="24" t="str">
        <f>D5277</f>
        <v>Compras Menores</v>
      </c>
    </row>
    <row r="5303" spans="1:10" ht="34" customHeight="1" x14ac:dyDescent="0.35">
      <c r="A5303" s="36" t="s">
        <v>17105</v>
      </c>
      <c r="B5303" s="36" t="s">
        <v>167</v>
      </c>
      <c r="C5303" s="36" t="s">
        <v>12252</v>
      </c>
      <c r="D5303" s="36" t="s">
        <v>15021</v>
      </c>
      <c r="E5303" s="36" t="s">
        <v>11455</v>
      </c>
      <c r="F5303" s="36" t="s">
        <v>11595</v>
      </c>
    </row>
    <row r="5304" spans="1:10" ht="14.25" customHeight="1" x14ac:dyDescent="0.35">
      <c r="A5304" s="37" t="s">
        <v>3858</v>
      </c>
      <c r="B5304" s="37" t="s">
        <v>3858</v>
      </c>
      <c r="C5304" s="37" t="s">
        <v>18585</v>
      </c>
      <c r="D5304" s="37" t="s">
        <v>18256</v>
      </c>
      <c r="E5304" s="37" t="s">
        <v>6314</v>
      </c>
      <c r="F5304" s="37" t="s">
        <v>7088</v>
      </c>
    </row>
    <row r="5305" spans="1:10" ht="14.25" customHeight="1" x14ac:dyDescent="0.35">
      <c r="A5305" s="75" t="s">
        <v>15490</v>
      </c>
      <c r="B5305" s="38" t="s">
        <v>8918</v>
      </c>
      <c r="C5305" s="68">
        <v>45474</v>
      </c>
      <c r="D5305" s="75" t="s">
        <v>9819</v>
      </c>
      <c r="E5305" s="70" t="s">
        <v>13683</v>
      </c>
      <c r="F5305" s="71" t="s">
        <v>3205</v>
      </c>
    </row>
    <row r="5306" spans="1:10" ht="14.25" customHeight="1" x14ac:dyDescent="0.35">
      <c r="A5306" s="76"/>
      <c r="B5306" s="38" t="s">
        <v>1858</v>
      </c>
      <c r="C5306" s="69">
        <f>IF(C5305="","",IF(AND(MONTH(C5305)&gt;=1,MONTH(C5305)&lt;=3),1,IF(AND(MONTH(C5305)&gt;=4,MONTH(C5305)&lt;=6),2,IF(AND(MONTH(C5305)&gt;=7,MONTH(C5305)&lt;=9),3,4))))</f>
        <v>3</v>
      </c>
      <c r="D5306" s="76"/>
      <c r="E5306" s="70" t="s">
        <v>2509</v>
      </c>
      <c r="F5306" s="71" t="s">
        <v>11612</v>
      </c>
    </row>
    <row r="5307" spans="1:10" ht="14.25" customHeight="1" x14ac:dyDescent="0.35">
      <c r="A5307" s="76"/>
      <c r="B5307" s="38" t="s">
        <v>13526</v>
      </c>
      <c r="C5307" s="68">
        <v>45565</v>
      </c>
      <c r="D5307" s="76"/>
      <c r="E5307" s="70" t="s">
        <v>3198</v>
      </c>
      <c r="F5307" s="71" t="s">
        <v>11612</v>
      </c>
    </row>
    <row r="5308" spans="1:10" ht="14.25" customHeight="1" x14ac:dyDescent="0.35">
      <c r="A5308" s="76"/>
      <c r="B5308" s="38" t="s">
        <v>1858</v>
      </c>
      <c r="C5308" s="69">
        <f>IF(C5307="","",IF(AND(MONTH(C5307)&gt;=1,MONTH(C5307)&lt;=3),1,IF(AND(MONTH(C5307)&gt;=4,MONTH(C5307)&lt;=6),2,IF(AND(MONTH(C5307)&gt;=7,MONTH(C5307)&lt;=9),3,4))))</f>
        <v>3</v>
      </c>
      <c r="D5308" s="76"/>
      <c r="E5308" s="70" t="s">
        <v>13785</v>
      </c>
      <c r="F5308" s="71"/>
    </row>
    <row r="5310" spans="1:10" ht="14.25" customHeight="1" x14ac:dyDescent="0.35">
      <c r="A5310" s="43" t="s">
        <v>16424</v>
      </c>
      <c r="B5310" s="43" t="s">
        <v>16856</v>
      </c>
      <c r="C5310" s="43" t="s">
        <v>16326</v>
      </c>
      <c r="D5310" s="43" t="s">
        <v>15925</v>
      </c>
      <c r="E5310" s="43" t="s">
        <v>7248</v>
      </c>
      <c r="F5310" s="43" t="s">
        <v>15955</v>
      </c>
    </row>
    <row r="5311" spans="1:10" ht="14.25" customHeight="1" x14ac:dyDescent="0.35">
      <c r="A5311" s="39" t="s">
        <v>15829</v>
      </c>
      <c r="B5311" s="40" t="str">
        <f ca="1">IFERROR(INDEX(UNSPSCDes,MATCH(INDIRECT(ADDRESS(ROW(),COLUMN()-1,4)),UNSPSCCode,0)),IF(INDIRECT(ADDRESS(ROW(),COLUMN()-1,4))="14111506","Papel para impresión de computadores",""))</f>
        <v>Papel para impresión de computadores</v>
      </c>
      <c r="C5311" s="72" t="str">
        <f>IFERROR(VLOOKUP("RESMA",'Informacion '!P:Q,2,FALSE),"")</f>
        <v>Resma</v>
      </c>
      <c r="D5311" s="39">
        <v>10</v>
      </c>
      <c r="E5311" s="42">
        <v>336.29</v>
      </c>
      <c r="F5311" s="41">
        <f t="shared" ref="F5311:F5330" ca="1" si="181">INDIRECT(ADDRESS(ROW(),COLUMN()-2,4))*INDIRECT(ADDRESS(ROW(),COLUMN()-1,4))</f>
        <v>3362.9</v>
      </c>
    </row>
    <row r="5312" spans="1:10" ht="14.25" customHeight="1" x14ac:dyDescent="0.35">
      <c r="A5312" s="39" t="s">
        <v>15829</v>
      </c>
      <c r="B5312" s="40" t="str">
        <f ca="1">IFERROR(INDEX(UNSPSCDes,MATCH(INDIRECT(ADDRESS(ROW(),COLUMN()-1,4)),UNSPSCCode,0)),IF(INDIRECT(ADDRESS(ROW(),COLUMN()-1,4))="14111506","Papel para impresión de computadores",""))</f>
        <v>Papel para impresión de computadores</v>
      </c>
      <c r="C5312" s="72" t="str">
        <f>IFERROR(VLOOKUP("RESMA",'Informacion '!P:Q,2,FALSE),"")</f>
        <v>Resma</v>
      </c>
      <c r="D5312" s="39">
        <v>1000</v>
      </c>
      <c r="E5312" s="42">
        <v>175.82</v>
      </c>
      <c r="F5312" s="41">
        <f t="shared" ca="1" si="181"/>
        <v>175820</v>
      </c>
    </row>
    <row r="5313" spans="1:6" ht="14.25" customHeight="1" x14ac:dyDescent="0.35">
      <c r="A5313" s="39" t="s">
        <v>15829</v>
      </c>
      <c r="B5313" s="40" t="str">
        <f ca="1">IFERROR(INDEX(UNSPSCDes,MATCH(INDIRECT(ADDRESS(ROW(),COLUMN()-1,4)),UNSPSCCode,0)),IF(INDIRECT(ADDRESS(ROW(),COLUMN()-1,4))="14111506","Papel para impresión de computadores",""))</f>
        <v>Papel para impresión de computadores</v>
      </c>
      <c r="C5313" s="72" t="str">
        <f>IFERROR(VLOOKUP("RESMA",'Informacion '!P:Q,2,FALSE),"")</f>
        <v>Resma</v>
      </c>
      <c r="D5313" s="39">
        <v>30</v>
      </c>
      <c r="E5313" s="42">
        <v>351.65</v>
      </c>
      <c r="F5313" s="41">
        <f t="shared" ca="1" si="181"/>
        <v>10549.5</v>
      </c>
    </row>
    <row r="5314" spans="1:6" ht="14.25" customHeight="1" x14ac:dyDescent="0.35">
      <c r="A5314" s="39" t="s">
        <v>15829</v>
      </c>
      <c r="B5314" s="40" t="str">
        <f ca="1">IFERROR(INDEX(UNSPSCDes,MATCH(INDIRECT(ADDRESS(ROW(),COLUMN()-1,4)),UNSPSCCode,0)),IF(INDIRECT(ADDRESS(ROW(),COLUMN()-1,4))="14111506","Papel para impresión de computadores",""))</f>
        <v>Papel para impresión de computadores</v>
      </c>
      <c r="C5314" s="72" t="str">
        <f>IFERROR(VLOOKUP("RESMA",'Informacion '!P:Q,2,FALSE),"")</f>
        <v>Resma</v>
      </c>
      <c r="D5314" s="39">
        <v>15</v>
      </c>
      <c r="E5314" s="42">
        <v>308.8</v>
      </c>
      <c r="F5314" s="41">
        <f t="shared" ca="1" si="181"/>
        <v>4632</v>
      </c>
    </row>
    <row r="5315" spans="1:6" ht="14.25" customHeight="1" x14ac:dyDescent="0.35">
      <c r="A5315" s="39" t="s">
        <v>14045</v>
      </c>
      <c r="B5315" s="40" t="str">
        <f ca="1">IFERROR(INDEX(UNSPSCDes,MATCH(INDIRECT(ADDRESS(ROW(),COLUMN()-1,4)),UNSPSCCode,0)),IF(INDIRECT(ADDRESS(ROW(),COLUMN()-1,4))="14111507","Papel para impresora o fotocopiadora",""))</f>
        <v>Papel para impresora o fotocopiadora</v>
      </c>
      <c r="C5315" s="72" t="str">
        <f>IFERROR(VLOOKUP("UD",'Informacion '!P:Q,2,FALSE),"")</f>
        <v>Unidad</v>
      </c>
      <c r="D5315" s="39">
        <v>1</v>
      </c>
      <c r="E5315" s="42">
        <v>182.9</v>
      </c>
      <c r="F5315" s="41">
        <f t="shared" ca="1" si="181"/>
        <v>182.9</v>
      </c>
    </row>
    <row r="5316" spans="1:6" ht="14.25" customHeight="1" x14ac:dyDescent="0.35">
      <c r="A5316" s="39" t="s">
        <v>14045</v>
      </c>
      <c r="B5316" s="40" t="str">
        <f ca="1">IFERROR(INDEX(UNSPSCDes,MATCH(INDIRECT(ADDRESS(ROW(),COLUMN()-1,4)),UNSPSCCode,0)),IF(INDIRECT(ADDRESS(ROW(),COLUMN()-1,4))="14111507","Papel para impresora o fotocopiadora",""))</f>
        <v>Papel para impresora o fotocopiadora</v>
      </c>
      <c r="C5316" s="72" t="str">
        <f>IFERROR(VLOOKUP("UD",'Informacion '!P:Q,2,FALSE),"")</f>
        <v>Unidad</v>
      </c>
      <c r="D5316" s="39">
        <v>12</v>
      </c>
      <c r="E5316" s="42">
        <v>188.8</v>
      </c>
      <c r="F5316" s="41">
        <f t="shared" ca="1" si="181"/>
        <v>2265.6000000000004</v>
      </c>
    </row>
    <row r="5317" spans="1:6" ht="14.25" customHeight="1" x14ac:dyDescent="0.35">
      <c r="A5317" s="39" t="s">
        <v>8011</v>
      </c>
      <c r="B5317" s="40" t="str">
        <f ca="1">IFERROR(INDEX(UNSPSCDes,MATCH(INDIRECT(ADDRESS(ROW(),COLUMN()-1,4)),UNSPSCCode,0)),IF(INDIRECT(ADDRESS(ROW(),COLUMN()-1,4))="14111512","Papel para gráficos",""))</f>
        <v>Papel para gráficos</v>
      </c>
      <c r="C5317" s="72" t="str">
        <f>IFERROR(VLOOKUP("UD",'Informacion '!P:Q,2,FALSE),"")</f>
        <v>Unidad</v>
      </c>
      <c r="D5317" s="39">
        <v>1</v>
      </c>
      <c r="E5317" s="42">
        <v>750000</v>
      </c>
      <c r="F5317" s="41">
        <f t="shared" ca="1" si="181"/>
        <v>750000</v>
      </c>
    </row>
    <row r="5318" spans="1:6" ht="14.25" customHeight="1" x14ac:dyDescent="0.35">
      <c r="A5318" s="39" t="s">
        <v>8011</v>
      </c>
      <c r="B5318" s="40" t="str">
        <f ca="1">IFERROR(INDEX(UNSPSCDes,MATCH(INDIRECT(ADDRESS(ROW(),COLUMN()-1,4)),UNSPSCCode,0)),IF(INDIRECT(ADDRESS(ROW(),COLUMN()-1,4))="14111512","Papel para gráficos",""))</f>
        <v>Papel para gráficos</v>
      </c>
      <c r="C5318" s="72" t="str">
        <f>IFERROR(VLOOKUP("UD",'Informacion '!P:Q,2,FALSE),"")</f>
        <v>Unidad</v>
      </c>
      <c r="D5318" s="39">
        <v>3</v>
      </c>
      <c r="E5318" s="42">
        <v>18000</v>
      </c>
      <c r="F5318" s="41">
        <f t="shared" ca="1" si="181"/>
        <v>54000</v>
      </c>
    </row>
    <row r="5319" spans="1:6" ht="14.25" customHeight="1" x14ac:dyDescent="0.35">
      <c r="A5319" s="39" t="s">
        <v>8011</v>
      </c>
      <c r="B5319" s="40" t="str">
        <f ca="1">IFERROR(INDEX(UNSPSCDes,MATCH(INDIRECT(ADDRESS(ROW(),COLUMN()-1,4)),UNSPSCCode,0)),IF(INDIRECT(ADDRESS(ROW(),COLUMN()-1,4))="14111512","Papel para gráficos",""))</f>
        <v>Papel para gráficos</v>
      </c>
      <c r="C5319" s="72" t="str">
        <f>IFERROR(VLOOKUP("UD",'Informacion '!P:Q,2,FALSE),"")</f>
        <v>Unidad</v>
      </c>
      <c r="D5319" s="39">
        <v>1</v>
      </c>
      <c r="E5319" s="42">
        <v>130000</v>
      </c>
      <c r="F5319" s="41">
        <f t="shared" ca="1" si="181"/>
        <v>130000</v>
      </c>
    </row>
    <row r="5320" spans="1:6" ht="14.25" customHeight="1" x14ac:dyDescent="0.35">
      <c r="A5320" s="39" t="s">
        <v>11984</v>
      </c>
      <c r="B5320" s="40" t="str">
        <f ca="1">IFERROR(INDEX(UNSPSCDes,MATCH(INDIRECT(ADDRESS(ROW(),COLUMN()-1,4)),UNSPSCCode,0)),IF(INDIRECT(ADDRESS(ROW(),COLUMN()-1,4))="14111515","Papel para sumadora o máquina registradora",""))</f>
        <v>Papel para sumadora o máquina registradora</v>
      </c>
      <c r="C5320" s="72" t="str">
        <f>IFERROR(VLOOKUP("UD",'Informacion '!P:Q,2,FALSE),"")</f>
        <v>Unidad</v>
      </c>
      <c r="D5320" s="39">
        <v>38</v>
      </c>
      <c r="E5320" s="42">
        <v>49.93</v>
      </c>
      <c r="F5320" s="41">
        <f t="shared" ca="1" si="181"/>
        <v>1897.34</v>
      </c>
    </row>
    <row r="5321" spans="1:6" ht="14.25" customHeight="1" x14ac:dyDescent="0.35">
      <c r="A5321" s="39" t="s">
        <v>14155</v>
      </c>
      <c r="B5321" s="40" t="str">
        <f ca="1">IFERROR(INDEX(UNSPSCDes,MATCH(INDIRECT(ADDRESS(ROW(),COLUMN()-1,4)),UNSPSCCode,0)),IF(INDIRECT(ADDRESS(ROW(),COLUMN()-1,4))="14111530","Papel de notas autoadhesivas",""))</f>
        <v>Papel de notas autoadhesivas</v>
      </c>
      <c r="C5321" s="72" t="str">
        <f>IFERROR(VLOOKUP("PAQ",'Informacion '!P:Q,2,FALSE),"")</f>
        <v>Paquete</v>
      </c>
      <c r="D5321" s="39">
        <v>300</v>
      </c>
      <c r="E5321" s="42">
        <v>42.45</v>
      </c>
      <c r="F5321" s="41">
        <f t="shared" ca="1" si="181"/>
        <v>12735</v>
      </c>
    </row>
    <row r="5322" spans="1:6" ht="14.25" customHeight="1" x14ac:dyDescent="0.35">
      <c r="A5322" s="39" t="s">
        <v>5083</v>
      </c>
      <c r="B5322" s="40" t="str">
        <f ca="1">IFERROR(INDEX(UNSPSCDes,MATCH(INDIRECT(ADDRESS(ROW(),COLUMN()-1,4)),UNSPSCCode,0)),IF(INDIRECT(ADDRESS(ROW(),COLUMN()-1,4))="14111704","Papel higiénico",""))</f>
        <v>Papel higiénico</v>
      </c>
      <c r="C5322" s="72" t="str">
        <f>IFERROR(VLOOKUP("PAQ",'Informacion '!P:Q,2,FALSE),"")</f>
        <v>Paquete</v>
      </c>
      <c r="D5322" s="39">
        <v>12</v>
      </c>
      <c r="E5322" s="42">
        <v>300</v>
      </c>
      <c r="F5322" s="41">
        <f t="shared" ca="1" si="181"/>
        <v>3600</v>
      </c>
    </row>
    <row r="5323" spans="1:6" ht="14.25" customHeight="1" x14ac:dyDescent="0.35">
      <c r="A5323" s="39" t="s">
        <v>5083</v>
      </c>
      <c r="B5323" s="40" t="str">
        <f ca="1">IFERROR(INDEX(UNSPSCDes,MATCH(INDIRECT(ADDRESS(ROW(),COLUMN()-1,4)),UNSPSCCode,0)),IF(INDIRECT(ADDRESS(ROW(),COLUMN()-1,4))="14111704","Papel higiénico",""))</f>
        <v>Papel higiénico</v>
      </c>
      <c r="C5323" s="72" t="str">
        <f>IFERROR(VLOOKUP("UD",'Informacion '!P:Q,2,FALSE),"")</f>
        <v>Unidad</v>
      </c>
      <c r="D5323" s="39">
        <v>209</v>
      </c>
      <c r="E5323" s="42">
        <v>767</v>
      </c>
      <c r="F5323" s="41">
        <f t="shared" ca="1" si="181"/>
        <v>160303</v>
      </c>
    </row>
    <row r="5324" spans="1:6" ht="14.25" customHeight="1" x14ac:dyDescent="0.35">
      <c r="A5324" s="39" t="s">
        <v>3300</v>
      </c>
      <c r="B5324" s="40" t="str">
        <f ca="1">IFERROR(INDEX(UNSPSCDes,MATCH(INDIRECT(ADDRESS(ROW(),COLUMN()-1,4)),UNSPSCCode,0)),IF(INDIRECT(ADDRESS(ROW(),COLUMN()-1,4))="14111705","Servilletas de papel",""))</f>
        <v>Servilletas de papel</v>
      </c>
      <c r="C5324" s="72" t="str">
        <f>IFERROR(VLOOKUP("UD",'Informacion '!P:Q,2,FALSE),"")</f>
        <v>Unidad</v>
      </c>
      <c r="D5324" s="39">
        <v>3</v>
      </c>
      <c r="E5324" s="42">
        <v>150</v>
      </c>
      <c r="F5324" s="41">
        <f t="shared" ca="1" si="181"/>
        <v>450</v>
      </c>
    </row>
    <row r="5325" spans="1:6" ht="14.25" customHeight="1" x14ac:dyDescent="0.35">
      <c r="A5325" s="39" t="s">
        <v>3300</v>
      </c>
      <c r="B5325" s="40" t="str">
        <f ca="1">IFERROR(INDEX(UNSPSCDes,MATCH(INDIRECT(ADDRESS(ROW(),COLUMN()-1,4)),UNSPSCCode,0)),IF(INDIRECT(ADDRESS(ROW(),COLUMN()-1,4))="14111705","Servilletas de papel",""))</f>
        <v>Servilletas de papel</v>
      </c>
      <c r="C5325" s="72" t="str">
        <f>IFERROR(VLOOKUP("UD",'Informacion '!P:Q,2,FALSE),"")</f>
        <v>Unidad</v>
      </c>
      <c r="D5325" s="39">
        <v>225</v>
      </c>
      <c r="E5325" s="42">
        <v>53.1</v>
      </c>
      <c r="F5325" s="41">
        <f t="shared" ca="1" si="181"/>
        <v>11947.5</v>
      </c>
    </row>
    <row r="5326" spans="1:6" ht="14.25" customHeight="1" x14ac:dyDescent="0.35">
      <c r="A5326" s="39" t="s">
        <v>3300</v>
      </c>
      <c r="B5326" s="40" t="str">
        <f ca="1">IFERROR(INDEX(UNSPSCDes,MATCH(INDIRECT(ADDRESS(ROW(),COLUMN()-1,4)),UNSPSCCode,0)),IF(INDIRECT(ADDRESS(ROW(),COLUMN()-1,4))="14111705","Servilletas de papel",""))</f>
        <v>Servilletas de papel</v>
      </c>
      <c r="C5326" s="72" t="str">
        <f>IFERROR(VLOOKUP("UD",'Informacion '!P:Q,2,FALSE),"")</f>
        <v>Unidad</v>
      </c>
      <c r="D5326" s="39">
        <v>200</v>
      </c>
      <c r="E5326" s="42">
        <v>12</v>
      </c>
      <c r="F5326" s="41">
        <f t="shared" ca="1" si="181"/>
        <v>2400</v>
      </c>
    </row>
    <row r="5327" spans="1:6" ht="14.25" customHeight="1" x14ac:dyDescent="0.35">
      <c r="A5327" s="39" t="s">
        <v>3300</v>
      </c>
      <c r="B5327" s="40" t="str">
        <f ca="1">IFERROR(INDEX(UNSPSCDes,MATCH(INDIRECT(ADDRESS(ROW(),COLUMN()-1,4)),UNSPSCCode,0)),IF(INDIRECT(ADDRESS(ROW(),COLUMN()-1,4))="14111705","Servilletas de papel",""))</f>
        <v>Servilletas de papel</v>
      </c>
      <c r="C5327" s="72" t="str">
        <f>IFERROR(VLOOKUP("UD",'Informacion '!P:Q,2,FALSE),"")</f>
        <v>Unidad</v>
      </c>
      <c r="D5327" s="39">
        <v>100</v>
      </c>
      <c r="E5327" s="42">
        <v>63.7</v>
      </c>
      <c r="F5327" s="41">
        <f t="shared" ca="1" si="181"/>
        <v>6370</v>
      </c>
    </row>
    <row r="5328" spans="1:6" ht="14.25" customHeight="1" x14ac:dyDescent="0.35">
      <c r="A5328" s="39" t="s">
        <v>17869</v>
      </c>
      <c r="B5328" s="40" t="str">
        <f ca="1">IFERROR(INDEX(UNSPSCDes,MATCH(INDIRECT(ADDRESS(ROW(),COLUMN()-1,4)),UNSPSCCode,0)),IF(INDIRECT(ADDRESS(ROW(),COLUMN()-1,4))="14111802","Recibos o libros de recibos",""))</f>
        <v>Recibos o libros de recibos</v>
      </c>
      <c r="C5328" s="72" t="str">
        <f>IFERROR(VLOOKUP("UD",'Informacion '!P:Q,2,FALSE),"")</f>
        <v>Unidad</v>
      </c>
      <c r="D5328" s="39">
        <v>1000</v>
      </c>
      <c r="E5328" s="42">
        <v>348.08</v>
      </c>
      <c r="F5328" s="41">
        <f t="shared" ca="1" si="181"/>
        <v>348080</v>
      </c>
    </row>
    <row r="5329" spans="1:10" ht="14.25" customHeight="1" x14ac:dyDescent="0.35">
      <c r="A5329" s="39" t="s">
        <v>17869</v>
      </c>
      <c r="B5329" s="40" t="str">
        <f ca="1">IFERROR(INDEX(UNSPSCDes,MATCH(INDIRECT(ADDRESS(ROW(),COLUMN()-1,4)),UNSPSCCode,0)),IF(INDIRECT(ADDRESS(ROW(),COLUMN()-1,4))="14111802","Recibos o libros de recibos",""))</f>
        <v>Recibos o libros de recibos</v>
      </c>
      <c r="C5329" s="72" t="str">
        <f>IFERROR(VLOOKUP("UD",'Informacion '!P:Q,2,FALSE),"")</f>
        <v>Unidad</v>
      </c>
      <c r="D5329" s="39">
        <v>15</v>
      </c>
      <c r="E5329" s="42">
        <v>289.08</v>
      </c>
      <c r="F5329" s="41">
        <f t="shared" ca="1" si="181"/>
        <v>4336.2</v>
      </c>
    </row>
    <row r="5330" spans="1:10" ht="14.25" customHeight="1" x14ac:dyDescent="0.35">
      <c r="A5330" s="39" t="s">
        <v>17869</v>
      </c>
      <c r="B5330" s="40" t="str">
        <f ca="1">IFERROR(INDEX(UNSPSCDes,MATCH(INDIRECT(ADDRESS(ROW(),COLUMN()-1,4)),UNSPSCCode,0)),IF(INDIRECT(ADDRESS(ROW(),COLUMN()-1,4))="14111802","Recibos o libros de recibos",""))</f>
        <v>Recibos o libros de recibos</v>
      </c>
      <c r="C5330" s="72" t="str">
        <f>IFERROR(VLOOKUP("UD",'Informacion '!P:Q,2,FALSE),"")</f>
        <v>Unidad</v>
      </c>
      <c r="D5330" s="39">
        <v>15</v>
      </c>
      <c r="E5330" s="42">
        <v>206.5</v>
      </c>
      <c r="F5330" s="41">
        <f t="shared" ca="1" si="181"/>
        <v>3097.5</v>
      </c>
    </row>
    <row r="5331" spans="1:10" ht="14.25" customHeight="1" x14ac:dyDescent="0.35">
      <c r="E5331" s="44" t="s">
        <v>13122</v>
      </c>
      <c r="F5331" s="45">
        <f ca="1">SUM(Table300[MONTO TOTAL ESTIMADO])</f>
        <v>1686029.44</v>
      </c>
      <c r="H5331" s="24" t="str">
        <f>C5304</f>
        <v>Bienes</v>
      </c>
      <c r="I5331" s="24" t="str">
        <f>E5304</f>
        <v>MIPYME Mujeres</v>
      </c>
      <c r="J5331" s="24" t="str">
        <f>D5304</f>
        <v>Compras Menores</v>
      </c>
    </row>
    <row r="5333" spans="1:10" ht="34" customHeight="1" x14ac:dyDescent="0.35">
      <c r="A5333" s="36" t="s">
        <v>17105</v>
      </c>
      <c r="B5333" s="36" t="s">
        <v>167</v>
      </c>
      <c r="C5333" s="36" t="s">
        <v>12252</v>
      </c>
      <c r="D5333" s="36" t="s">
        <v>15021</v>
      </c>
      <c r="E5333" s="36" t="s">
        <v>11455</v>
      </c>
      <c r="F5333" s="36" t="s">
        <v>11595</v>
      </c>
    </row>
    <row r="5334" spans="1:10" ht="14.25" customHeight="1" x14ac:dyDescent="0.35">
      <c r="A5334" s="37" t="s">
        <v>3858</v>
      </c>
      <c r="B5334" s="37" t="s">
        <v>3858</v>
      </c>
      <c r="C5334" s="37" t="s">
        <v>18585</v>
      </c>
      <c r="D5334" s="37" t="s">
        <v>18256</v>
      </c>
      <c r="E5334" s="37" t="s">
        <v>9261</v>
      </c>
      <c r="F5334" s="37" t="s">
        <v>7088</v>
      </c>
    </row>
    <row r="5335" spans="1:10" ht="14.25" customHeight="1" x14ac:dyDescent="0.35">
      <c r="A5335" s="75" t="s">
        <v>15490</v>
      </c>
      <c r="B5335" s="38" t="s">
        <v>8918</v>
      </c>
      <c r="C5335" s="68">
        <v>45566</v>
      </c>
      <c r="D5335" s="75" t="s">
        <v>9819</v>
      </c>
      <c r="E5335" s="70" t="s">
        <v>13683</v>
      </c>
      <c r="F5335" s="71" t="s">
        <v>3205</v>
      </c>
    </row>
    <row r="5336" spans="1:10" ht="14.25" customHeight="1" x14ac:dyDescent="0.35">
      <c r="A5336" s="76"/>
      <c r="B5336" s="38" t="s">
        <v>1858</v>
      </c>
      <c r="C5336" s="69">
        <f>IF(C5335="","",IF(AND(MONTH(C5335)&gt;=1,MONTH(C5335)&lt;=3),1,IF(AND(MONTH(C5335)&gt;=4,MONTH(C5335)&lt;=6),2,IF(AND(MONTH(C5335)&gt;=7,MONTH(C5335)&lt;=9),3,4))))</f>
        <v>4</v>
      </c>
      <c r="D5336" s="76"/>
      <c r="E5336" s="70" t="s">
        <v>2509</v>
      </c>
      <c r="F5336" s="71" t="s">
        <v>11612</v>
      </c>
    </row>
    <row r="5337" spans="1:10" ht="14.25" customHeight="1" x14ac:dyDescent="0.35">
      <c r="A5337" s="76"/>
      <c r="B5337" s="38" t="s">
        <v>13526</v>
      </c>
      <c r="C5337" s="68">
        <v>45657</v>
      </c>
      <c r="D5337" s="76"/>
      <c r="E5337" s="70" t="s">
        <v>3198</v>
      </c>
      <c r="F5337" s="71" t="s">
        <v>11612</v>
      </c>
    </row>
    <row r="5338" spans="1:10" ht="14.25" customHeight="1" x14ac:dyDescent="0.35">
      <c r="A5338" s="76"/>
      <c r="B5338" s="38" t="s">
        <v>1858</v>
      </c>
      <c r="C5338" s="69">
        <f>IF(C5337="","",IF(AND(MONTH(C5337)&gt;=1,MONTH(C5337)&lt;=3),1,IF(AND(MONTH(C5337)&gt;=4,MONTH(C5337)&lt;=6),2,IF(AND(MONTH(C5337)&gt;=7,MONTH(C5337)&lt;=9),3,4))))</f>
        <v>4</v>
      </c>
      <c r="D5338" s="76"/>
      <c r="E5338" s="70" t="s">
        <v>13785</v>
      </c>
      <c r="F5338" s="71"/>
    </row>
    <row r="5340" spans="1:10" ht="14.25" customHeight="1" x14ac:dyDescent="0.35">
      <c r="A5340" s="43" t="s">
        <v>16424</v>
      </c>
      <c r="B5340" s="43" t="s">
        <v>16856</v>
      </c>
      <c r="C5340" s="43" t="s">
        <v>16326</v>
      </c>
      <c r="D5340" s="43" t="s">
        <v>15925</v>
      </c>
      <c r="E5340" s="43" t="s">
        <v>7248</v>
      </c>
      <c r="F5340" s="43" t="s">
        <v>15955</v>
      </c>
    </row>
    <row r="5341" spans="1:10" ht="14.25" customHeight="1" x14ac:dyDescent="0.35">
      <c r="A5341" s="39" t="s">
        <v>15829</v>
      </c>
      <c r="B5341" s="40" t="str">
        <f ca="1">IFERROR(INDEX(UNSPSCDes,MATCH(INDIRECT(ADDRESS(ROW(),COLUMN()-1,4)),UNSPSCCode,0)),IF(INDIRECT(ADDRESS(ROW(),COLUMN()-1,4))="14111506","Papel para impresión de computadores",""))</f>
        <v>Papel para impresión de computadores</v>
      </c>
      <c r="C5341" s="72" t="str">
        <f>IFERROR(VLOOKUP("RESMA",'Informacion '!P:Q,2,FALSE),"")</f>
        <v>Resma</v>
      </c>
      <c r="D5341" s="39">
        <v>10</v>
      </c>
      <c r="E5341" s="42">
        <v>336.29</v>
      </c>
      <c r="F5341" s="41">
        <f t="shared" ref="F5341:F5356" ca="1" si="182">INDIRECT(ADDRESS(ROW(),COLUMN()-2,4))*INDIRECT(ADDRESS(ROW(),COLUMN()-1,4))</f>
        <v>3362.9</v>
      </c>
    </row>
    <row r="5342" spans="1:10" ht="14.25" customHeight="1" x14ac:dyDescent="0.35">
      <c r="A5342" s="39" t="s">
        <v>15829</v>
      </c>
      <c r="B5342" s="40" t="str">
        <f ca="1">IFERROR(INDEX(UNSPSCDes,MATCH(INDIRECT(ADDRESS(ROW(),COLUMN()-1,4)),UNSPSCCode,0)),IF(INDIRECT(ADDRESS(ROW(),COLUMN()-1,4))="14111506","Papel para impresión de computadores",""))</f>
        <v>Papel para impresión de computadores</v>
      </c>
      <c r="C5342" s="72" t="str">
        <f>IFERROR(VLOOKUP("RESMA",'Informacion '!P:Q,2,FALSE),"")</f>
        <v>Resma</v>
      </c>
      <c r="D5342" s="39">
        <v>1000</v>
      </c>
      <c r="E5342" s="42">
        <v>175.82</v>
      </c>
      <c r="F5342" s="41">
        <f t="shared" ca="1" si="182"/>
        <v>175820</v>
      </c>
    </row>
    <row r="5343" spans="1:10" ht="14.25" customHeight="1" x14ac:dyDescent="0.35">
      <c r="A5343" s="39" t="s">
        <v>15829</v>
      </c>
      <c r="B5343" s="40" t="str">
        <f ca="1">IFERROR(INDEX(UNSPSCDes,MATCH(INDIRECT(ADDRESS(ROW(),COLUMN()-1,4)),UNSPSCCode,0)),IF(INDIRECT(ADDRESS(ROW(),COLUMN()-1,4))="14111506","Papel para impresión de computadores",""))</f>
        <v>Papel para impresión de computadores</v>
      </c>
      <c r="C5343" s="72" t="str">
        <f>IFERROR(VLOOKUP("RESMA",'Informacion '!P:Q,2,FALSE),"")</f>
        <v>Resma</v>
      </c>
      <c r="D5343" s="39">
        <v>30</v>
      </c>
      <c r="E5343" s="42">
        <v>351.65</v>
      </c>
      <c r="F5343" s="41">
        <f t="shared" ca="1" si="182"/>
        <v>10549.5</v>
      </c>
    </row>
    <row r="5344" spans="1:10" ht="14.25" customHeight="1" x14ac:dyDescent="0.35">
      <c r="A5344" s="39" t="s">
        <v>15829</v>
      </c>
      <c r="B5344" s="40" t="str">
        <f ca="1">IFERROR(INDEX(UNSPSCDes,MATCH(INDIRECT(ADDRESS(ROW(),COLUMN()-1,4)),UNSPSCCode,0)),IF(INDIRECT(ADDRESS(ROW(),COLUMN()-1,4))="14111506","Papel para impresión de computadores",""))</f>
        <v>Papel para impresión de computadores</v>
      </c>
      <c r="C5344" s="72" t="str">
        <f>IFERROR(VLOOKUP("RESMA",'Informacion '!P:Q,2,FALSE),"")</f>
        <v>Resma</v>
      </c>
      <c r="D5344" s="39">
        <v>15</v>
      </c>
      <c r="E5344" s="42">
        <v>308.8</v>
      </c>
      <c r="F5344" s="41">
        <f t="shared" ca="1" si="182"/>
        <v>4632</v>
      </c>
    </row>
    <row r="5345" spans="1:10" ht="14.25" customHeight="1" x14ac:dyDescent="0.35">
      <c r="A5345" s="39" t="s">
        <v>14045</v>
      </c>
      <c r="B5345" s="40" t="str">
        <f ca="1">IFERROR(INDEX(UNSPSCDes,MATCH(INDIRECT(ADDRESS(ROW(),COLUMN()-1,4)),UNSPSCCode,0)),IF(INDIRECT(ADDRESS(ROW(),COLUMN()-1,4))="14111507","Papel para impresora o fotocopiadora",""))</f>
        <v>Papel para impresora o fotocopiadora</v>
      </c>
      <c r="C5345" s="72" t="str">
        <f>IFERROR(VLOOKUP("UD",'Informacion '!P:Q,2,FALSE),"")</f>
        <v>Unidad</v>
      </c>
      <c r="D5345" s="39">
        <v>4</v>
      </c>
      <c r="E5345" s="42">
        <v>182.9</v>
      </c>
      <c r="F5345" s="41">
        <f t="shared" ca="1" si="182"/>
        <v>731.6</v>
      </c>
    </row>
    <row r="5346" spans="1:10" ht="14.25" customHeight="1" x14ac:dyDescent="0.35">
      <c r="A5346" s="39" t="s">
        <v>14045</v>
      </c>
      <c r="B5346" s="40" t="str">
        <f ca="1">IFERROR(INDEX(UNSPSCDes,MATCH(INDIRECT(ADDRESS(ROW(),COLUMN()-1,4)),UNSPSCCode,0)),IF(INDIRECT(ADDRESS(ROW(),COLUMN()-1,4))="14111507","Papel para impresora o fotocopiadora",""))</f>
        <v>Papel para impresora o fotocopiadora</v>
      </c>
      <c r="C5346" s="72" t="str">
        <f>IFERROR(VLOOKUP("UD",'Informacion '!P:Q,2,FALSE),"")</f>
        <v>Unidad</v>
      </c>
      <c r="D5346" s="39">
        <v>12</v>
      </c>
      <c r="E5346" s="42">
        <v>188.8</v>
      </c>
      <c r="F5346" s="41">
        <f t="shared" ca="1" si="182"/>
        <v>2265.6000000000004</v>
      </c>
    </row>
    <row r="5347" spans="1:10" ht="14.25" customHeight="1" x14ac:dyDescent="0.35">
      <c r="A5347" s="39" t="s">
        <v>8011</v>
      </c>
      <c r="B5347" s="40" t="str">
        <f ca="1">IFERROR(INDEX(UNSPSCDes,MATCH(INDIRECT(ADDRESS(ROW(),COLUMN()-1,4)),UNSPSCCode,0)),IF(INDIRECT(ADDRESS(ROW(),COLUMN()-1,4))="14111512","Papel para gráficos",""))</f>
        <v>Papel para gráficos</v>
      </c>
      <c r="C5347" s="72" t="str">
        <f>IFERROR(VLOOKUP("UD",'Informacion '!P:Q,2,FALSE),"")</f>
        <v>Unidad</v>
      </c>
      <c r="D5347" s="39">
        <v>3</v>
      </c>
      <c r="E5347" s="42">
        <v>18000</v>
      </c>
      <c r="F5347" s="41">
        <f t="shared" ca="1" si="182"/>
        <v>54000</v>
      </c>
    </row>
    <row r="5348" spans="1:10" ht="14.25" customHeight="1" x14ac:dyDescent="0.35">
      <c r="A5348" s="39" t="s">
        <v>11984</v>
      </c>
      <c r="B5348" s="40" t="str">
        <f ca="1">IFERROR(INDEX(UNSPSCDes,MATCH(INDIRECT(ADDRESS(ROW(),COLUMN()-1,4)),UNSPSCCode,0)),IF(INDIRECT(ADDRESS(ROW(),COLUMN()-1,4))="14111515","Papel para sumadora o máquina registradora",""))</f>
        <v>Papel para sumadora o máquina registradora</v>
      </c>
      <c r="C5348" s="72" t="str">
        <f>IFERROR(VLOOKUP("UD",'Informacion '!P:Q,2,FALSE),"")</f>
        <v>Unidad</v>
      </c>
      <c r="D5348" s="39">
        <v>38</v>
      </c>
      <c r="E5348" s="42">
        <v>49.93</v>
      </c>
      <c r="F5348" s="41">
        <f t="shared" ca="1" si="182"/>
        <v>1897.34</v>
      </c>
    </row>
    <row r="5349" spans="1:10" ht="14.25" customHeight="1" x14ac:dyDescent="0.35">
      <c r="A5349" s="39" t="s">
        <v>14155</v>
      </c>
      <c r="B5349" s="40" t="str">
        <f ca="1">IFERROR(INDEX(UNSPSCDes,MATCH(INDIRECT(ADDRESS(ROW(),COLUMN()-1,4)),UNSPSCCode,0)),IF(INDIRECT(ADDRESS(ROW(),COLUMN()-1,4))="14111530","Papel de notas autoadhesivas",""))</f>
        <v>Papel de notas autoadhesivas</v>
      </c>
      <c r="C5349" s="72" t="str">
        <f>IFERROR(VLOOKUP("PAQ",'Informacion '!P:Q,2,FALSE),"")</f>
        <v>Paquete</v>
      </c>
      <c r="D5349" s="39">
        <v>300</v>
      </c>
      <c r="E5349" s="42">
        <v>42.45</v>
      </c>
      <c r="F5349" s="41">
        <f t="shared" ca="1" si="182"/>
        <v>12735</v>
      </c>
    </row>
    <row r="5350" spans="1:10" ht="14.25" customHeight="1" x14ac:dyDescent="0.35">
      <c r="A5350" s="39" t="s">
        <v>5083</v>
      </c>
      <c r="B5350" s="40" t="str">
        <f ca="1">IFERROR(INDEX(UNSPSCDes,MATCH(INDIRECT(ADDRESS(ROW(),COLUMN()-1,4)),UNSPSCCode,0)),IF(INDIRECT(ADDRESS(ROW(),COLUMN()-1,4))="14111704","Papel higiénico",""))</f>
        <v>Papel higiénico</v>
      </c>
      <c r="C5350" s="72" t="str">
        <f>IFERROR(VLOOKUP("UD",'Informacion '!P:Q,2,FALSE),"")</f>
        <v>Unidad</v>
      </c>
      <c r="D5350" s="39">
        <v>209</v>
      </c>
      <c r="E5350" s="42">
        <v>767</v>
      </c>
      <c r="F5350" s="41">
        <f t="shared" ca="1" si="182"/>
        <v>160303</v>
      </c>
    </row>
    <row r="5351" spans="1:10" ht="14.25" customHeight="1" x14ac:dyDescent="0.35">
      <c r="A5351" s="39" t="s">
        <v>3300</v>
      </c>
      <c r="B5351" s="40" t="str">
        <f ca="1">IFERROR(INDEX(UNSPSCDes,MATCH(INDIRECT(ADDRESS(ROW(),COLUMN()-1,4)),UNSPSCCode,0)),IF(INDIRECT(ADDRESS(ROW(),COLUMN()-1,4))="14111705","Servilletas de papel",""))</f>
        <v>Servilletas de papel</v>
      </c>
      <c r="C5351" s="72" t="str">
        <f>IFERROR(VLOOKUP("UD",'Informacion '!P:Q,2,FALSE),"")</f>
        <v>Unidad</v>
      </c>
      <c r="D5351" s="39">
        <v>225</v>
      </c>
      <c r="E5351" s="42">
        <v>53.1</v>
      </c>
      <c r="F5351" s="41">
        <f t="shared" ca="1" si="182"/>
        <v>11947.5</v>
      </c>
    </row>
    <row r="5352" spans="1:10" ht="14.25" customHeight="1" x14ac:dyDescent="0.35">
      <c r="A5352" s="39" t="s">
        <v>3300</v>
      </c>
      <c r="B5352" s="40" t="str">
        <f ca="1">IFERROR(INDEX(UNSPSCDes,MATCH(INDIRECT(ADDRESS(ROW(),COLUMN()-1,4)),UNSPSCCode,0)),IF(INDIRECT(ADDRESS(ROW(),COLUMN()-1,4))="14111705","Servilletas de papel",""))</f>
        <v>Servilletas de papel</v>
      </c>
      <c r="C5352" s="72" t="str">
        <f>IFERROR(VLOOKUP("UD",'Informacion '!P:Q,2,FALSE),"")</f>
        <v>Unidad</v>
      </c>
      <c r="D5352" s="39">
        <v>200</v>
      </c>
      <c r="E5352" s="42">
        <v>12</v>
      </c>
      <c r="F5352" s="41">
        <f t="shared" ca="1" si="182"/>
        <v>2400</v>
      </c>
    </row>
    <row r="5353" spans="1:10" ht="14.25" customHeight="1" x14ac:dyDescent="0.35">
      <c r="A5353" s="39" t="s">
        <v>3300</v>
      </c>
      <c r="B5353" s="40" t="str">
        <f ca="1">IFERROR(INDEX(UNSPSCDes,MATCH(INDIRECT(ADDRESS(ROW(),COLUMN()-1,4)),UNSPSCCode,0)),IF(INDIRECT(ADDRESS(ROW(),COLUMN()-1,4))="14111705","Servilletas de papel",""))</f>
        <v>Servilletas de papel</v>
      </c>
      <c r="C5353" s="72" t="str">
        <f>IFERROR(VLOOKUP("UD",'Informacion '!P:Q,2,FALSE),"")</f>
        <v>Unidad</v>
      </c>
      <c r="D5353" s="39">
        <v>100</v>
      </c>
      <c r="E5353" s="42">
        <v>63.7</v>
      </c>
      <c r="F5353" s="41">
        <f t="shared" ca="1" si="182"/>
        <v>6370</v>
      </c>
    </row>
    <row r="5354" spans="1:10" ht="14.25" customHeight="1" x14ac:dyDescent="0.35">
      <c r="A5354" s="39" t="s">
        <v>17869</v>
      </c>
      <c r="B5354" s="40" t="str">
        <f ca="1">IFERROR(INDEX(UNSPSCDes,MATCH(INDIRECT(ADDRESS(ROW(),COLUMN()-1,4)),UNSPSCCode,0)),IF(INDIRECT(ADDRESS(ROW(),COLUMN()-1,4))="14111802","Recibos o libros de recibos",""))</f>
        <v>Recibos o libros de recibos</v>
      </c>
      <c r="C5354" s="72" t="str">
        <f>IFERROR(VLOOKUP("UD",'Informacion '!P:Q,2,FALSE),"")</f>
        <v>Unidad</v>
      </c>
      <c r="D5354" s="39">
        <v>1000</v>
      </c>
      <c r="E5354" s="42">
        <v>348.08</v>
      </c>
      <c r="F5354" s="41">
        <f t="shared" ca="1" si="182"/>
        <v>348080</v>
      </c>
    </row>
    <row r="5355" spans="1:10" ht="14.25" customHeight="1" x14ac:dyDescent="0.35">
      <c r="A5355" s="39" t="s">
        <v>17869</v>
      </c>
      <c r="B5355" s="40" t="str">
        <f ca="1">IFERROR(INDEX(UNSPSCDes,MATCH(INDIRECT(ADDRESS(ROW(),COLUMN()-1,4)),UNSPSCCode,0)),IF(INDIRECT(ADDRESS(ROW(),COLUMN()-1,4))="14111802","Recibos o libros de recibos",""))</f>
        <v>Recibos o libros de recibos</v>
      </c>
      <c r="C5355" s="72" t="str">
        <f>IFERROR(VLOOKUP("UD",'Informacion '!P:Q,2,FALSE),"")</f>
        <v>Unidad</v>
      </c>
      <c r="D5355" s="39">
        <v>15</v>
      </c>
      <c r="E5355" s="42">
        <v>289.08</v>
      </c>
      <c r="F5355" s="41">
        <f t="shared" ca="1" si="182"/>
        <v>4336.2</v>
      </c>
    </row>
    <row r="5356" spans="1:10" ht="14.25" customHeight="1" x14ac:dyDescent="0.35">
      <c r="A5356" s="39" t="s">
        <v>17869</v>
      </c>
      <c r="B5356" s="40" t="str">
        <f ca="1">IFERROR(INDEX(UNSPSCDes,MATCH(INDIRECT(ADDRESS(ROW(),COLUMN()-1,4)),UNSPSCCode,0)),IF(INDIRECT(ADDRESS(ROW(),COLUMN()-1,4))="14111802","Recibos o libros de recibos",""))</f>
        <v>Recibos o libros de recibos</v>
      </c>
      <c r="C5356" s="72" t="str">
        <f>IFERROR(VLOOKUP("UD",'Informacion '!P:Q,2,FALSE),"")</f>
        <v>Unidad</v>
      </c>
      <c r="D5356" s="39">
        <v>15</v>
      </c>
      <c r="E5356" s="42">
        <v>206.5</v>
      </c>
      <c r="F5356" s="41">
        <f t="shared" ca="1" si="182"/>
        <v>3097.5</v>
      </c>
    </row>
    <row r="5357" spans="1:10" ht="14.25" customHeight="1" x14ac:dyDescent="0.35">
      <c r="E5357" s="44" t="s">
        <v>13122</v>
      </c>
      <c r="F5357" s="45">
        <f ca="1">SUM(Table301[MONTO TOTAL ESTIMADO])</f>
        <v>802528.1399999999</v>
      </c>
      <c r="H5357" s="24" t="str">
        <f>C5334</f>
        <v>Bienes</v>
      </c>
      <c r="I5357" s="24" t="str">
        <f>E5334</f>
        <v>Sí</v>
      </c>
      <c r="J5357" s="24" t="str">
        <f>D5334</f>
        <v>Compras Menores</v>
      </c>
    </row>
    <row r="5359" spans="1:10" ht="34" customHeight="1" x14ac:dyDescent="0.35">
      <c r="A5359" s="36" t="s">
        <v>17105</v>
      </c>
      <c r="B5359" s="36" t="s">
        <v>167</v>
      </c>
      <c r="C5359" s="36" t="s">
        <v>12252</v>
      </c>
      <c r="D5359" s="36" t="s">
        <v>15021</v>
      </c>
      <c r="E5359" s="36" t="s">
        <v>11455</v>
      </c>
      <c r="F5359" s="36" t="s">
        <v>11595</v>
      </c>
    </row>
    <row r="5360" spans="1:10" ht="14.25" customHeight="1" x14ac:dyDescent="0.35">
      <c r="A5360" s="37" t="s">
        <v>367</v>
      </c>
      <c r="B5360" s="37" t="s">
        <v>367</v>
      </c>
      <c r="C5360" s="37" t="s">
        <v>18585</v>
      </c>
      <c r="D5360" s="37" t="s">
        <v>10634</v>
      </c>
      <c r="E5360" s="37" t="s">
        <v>6314</v>
      </c>
      <c r="F5360" s="37" t="s">
        <v>7088</v>
      </c>
    </row>
    <row r="5361" spans="1:10" ht="14.25" customHeight="1" x14ac:dyDescent="0.35">
      <c r="A5361" s="75" t="s">
        <v>15490</v>
      </c>
      <c r="B5361" s="38" t="s">
        <v>8918</v>
      </c>
      <c r="C5361" s="68">
        <v>45334</v>
      </c>
      <c r="D5361" s="75" t="s">
        <v>9819</v>
      </c>
      <c r="E5361" s="70" t="s">
        <v>13683</v>
      </c>
      <c r="F5361" s="71" t="s">
        <v>3205</v>
      </c>
    </row>
    <row r="5362" spans="1:10" ht="14.25" customHeight="1" x14ac:dyDescent="0.35">
      <c r="A5362" s="76"/>
      <c r="B5362" s="38" t="s">
        <v>1858</v>
      </c>
      <c r="C5362" s="69">
        <f>IF(C5361="","",IF(AND(MONTH(C5361)&gt;=1,MONTH(C5361)&lt;=3),1,IF(AND(MONTH(C5361)&gt;=4,MONTH(C5361)&lt;=6),2,IF(AND(MONTH(C5361)&gt;=7,MONTH(C5361)&lt;=9),3,4))))</f>
        <v>1</v>
      </c>
      <c r="D5362" s="76"/>
      <c r="E5362" s="70" t="s">
        <v>2509</v>
      </c>
      <c r="F5362" s="71" t="s">
        <v>11612</v>
      </c>
    </row>
    <row r="5363" spans="1:10" ht="14.25" customHeight="1" x14ac:dyDescent="0.35">
      <c r="A5363" s="76"/>
      <c r="B5363" s="38" t="s">
        <v>13526</v>
      </c>
      <c r="C5363" s="68">
        <v>45382</v>
      </c>
      <c r="D5363" s="76"/>
      <c r="E5363" s="70" t="s">
        <v>3198</v>
      </c>
      <c r="F5363" s="71" t="s">
        <v>11612</v>
      </c>
    </row>
    <row r="5364" spans="1:10" ht="14.25" customHeight="1" x14ac:dyDescent="0.35">
      <c r="A5364" s="76"/>
      <c r="B5364" s="38" t="s">
        <v>1858</v>
      </c>
      <c r="C5364" s="69">
        <f>IF(C5363="","",IF(AND(MONTH(C5363)&gt;=1,MONTH(C5363)&lt;=3),1,IF(AND(MONTH(C5363)&gt;=4,MONTH(C5363)&lt;=6),2,IF(AND(MONTH(C5363)&gt;=7,MONTH(C5363)&lt;=9),3,4))))</f>
        <v>1</v>
      </c>
      <c r="D5364" s="76"/>
      <c r="E5364" s="70" t="s">
        <v>13785</v>
      </c>
      <c r="F5364" s="71"/>
    </row>
    <row r="5366" spans="1:10" ht="14.25" customHeight="1" x14ac:dyDescent="0.35">
      <c r="A5366" s="43" t="s">
        <v>16424</v>
      </c>
      <c r="B5366" s="43" t="s">
        <v>16856</v>
      </c>
      <c r="C5366" s="43" t="s">
        <v>16326</v>
      </c>
      <c r="D5366" s="43" t="s">
        <v>15925</v>
      </c>
      <c r="E5366" s="43" t="s">
        <v>7248</v>
      </c>
      <c r="F5366" s="43" t="s">
        <v>15955</v>
      </c>
    </row>
    <row r="5367" spans="1:10" ht="14.25" customHeight="1" x14ac:dyDescent="0.35">
      <c r="A5367" s="39" t="s">
        <v>14915</v>
      </c>
      <c r="B5367" s="40" t="str">
        <f ca="1">IFERROR(INDEX(UNSPSCDes,MATCH(INDIRECT(ADDRESS(ROW(),COLUMN()-1,4)),UNSPSCCode,0)),IF(INDIRECT(ADDRESS(ROW(),COLUMN()-1,4))="14121703","Hojas de papel aluminio laminado",""))</f>
        <v>Hojas de papel aluminio laminado</v>
      </c>
      <c r="C5367" s="72" t="str">
        <f>IFERROR(VLOOKUP("UD",'Informacion '!P:Q,2,FALSE),"")</f>
        <v>Unidad</v>
      </c>
      <c r="D5367" s="39">
        <v>5</v>
      </c>
      <c r="E5367" s="42">
        <v>3894</v>
      </c>
      <c r="F5367" s="41">
        <f ca="1">INDIRECT(ADDRESS(ROW(),COLUMN()-2,4))*INDIRECT(ADDRESS(ROW(),COLUMN()-1,4))</f>
        <v>19470</v>
      </c>
    </row>
    <row r="5368" spans="1:10" ht="14.25" customHeight="1" x14ac:dyDescent="0.35">
      <c r="A5368" s="39" t="s">
        <v>14915</v>
      </c>
      <c r="B5368" s="40" t="str">
        <f ca="1">IFERROR(INDEX(UNSPSCDes,MATCH(INDIRECT(ADDRESS(ROW(),COLUMN()-1,4)),UNSPSCCode,0)),IF(INDIRECT(ADDRESS(ROW(),COLUMN()-1,4))="14121703","Hojas de papel aluminio laminado",""))</f>
        <v>Hojas de papel aluminio laminado</v>
      </c>
      <c r="C5368" s="72" t="str">
        <f>IFERROR(VLOOKUP("UD",'Informacion '!P:Q,2,FALSE),"")</f>
        <v>Unidad</v>
      </c>
      <c r="D5368" s="39">
        <v>5</v>
      </c>
      <c r="E5368" s="42">
        <v>3894</v>
      </c>
      <c r="F5368" s="41">
        <f ca="1">INDIRECT(ADDRESS(ROW(),COLUMN()-2,4))*INDIRECT(ADDRESS(ROW(),COLUMN()-1,4))</f>
        <v>19470</v>
      </c>
    </row>
    <row r="5369" spans="1:10" ht="14.25" customHeight="1" x14ac:dyDescent="0.35">
      <c r="A5369" s="39" t="s">
        <v>18783</v>
      </c>
      <c r="B5369" s="40" t="str">
        <f ca="1">IFERROR(INDEX(UNSPSCDes,MATCH(INDIRECT(ADDRESS(ROW(),COLUMN()-1,4)),UNSPSCCode,0)),IF(INDIRECT(ADDRESS(ROW(),COLUMN()-1,4))="14121904","Papel offset",""))</f>
        <v>Papel offset</v>
      </c>
      <c r="C5369" s="72" t="str">
        <f>IFERROR(VLOOKUP("UD",'Informacion '!P:Q,2,FALSE),"")</f>
        <v>Unidad</v>
      </c>
      <c r="D5369" s="39">
        <v>300</v>
      </c>
      <c r="E5369" s="42">
        <v>8.26</v>
      </c>
      <c r="F5369" s="41">
        <f ca="1">INDIRECT(ADDRESS(ROW(),COLUMN()-2,4))*INDIRECT(ADDRESS(ROW(),COLUMN()-1,4))</f>
        <v>2478</v>
      </c>
    </row>
    <row r="5370" spans="1:10" ht="14.25" customHeight="1" x14ac:dyDescent="0.35">
      <c r="E5370" s="44" t="s">
        <v>13122</v>
      </c>
      <c r="F5370" s="45">
        <f ca="1">SUM(Table302[MONTO TOTAL ESTIMADO])</f>
        <v>41418</v>
      </c>
      <c r="H5370" s="24" t="str">
        <f>C5360</f>
        <v>Bienes</v>
      </c>
      <c r="I5370" s="24" t="str">
        <f>E5360</f>
        <v>MIPYME Mujeres</v>
      </c>
      <c r="J5370" s="24" t="str">
        <f>D5360</f>
        <v>Compras por debajo del Umbral</v>
      </c>
    </row>
    <row r="5372" spans="1:10" ht="34" customHeight="1" x14ac:dyDescent="0.35">
      <c r="A5372" s="36" t="s">
        <v>17105</v>
      </c>
      <c r="B5372" s="36" t="s">
        <v>167</v>
      </c>
      <c r="C5372" s="36" t="s">
        <v>12252</v>
      </c>
      <c r="D5372" s="36" t="s">
        <v>15021</v>
      </c>
      <c r="E5372" s="36" t="s">
        <v>11455</v>
      </c>
      <c r="F5372" s="36" t="s">
        <v>11595</v>
      </c>
    </row>
    <row r="5373" spans="1:10" ht="14.25" customHeight="1" x14ac:dyDescent="0.35">
      <c r="A5373" s="37" t="s">
        <v>5572</v>
      </c>
      <c r="B5373" s="37" t="s">
        <v>5572</v>
      </c>
      <c r="C5373" s="37" t="s">
        <v>18585</v>
      </c>
      <c r="D5373" s="37" t="s">
        <v>2615</v>
      </c>
      <c r="E5373" s="37" t="s">
        <v>9261</v>
      </c>
      <c r="F5373" s="37" t="s">
        <v>7088</v>
      </c>
    </row>
    <row r="5374" spans="1:10" ht="14.25" customHeight="1" x14ac:dyDescent="0.35">
      <c r="A5374" s="75" t="s">
        <v>15490</v>
      </c>
      <c r="B5374" s="38" t="s">
        <v>8918</v>
      </c>
      <c r="C5374" s="68">
        <v>45334</v>
      </c>
      <c r="D5374" s="75" t="s">
        <v>9819</v>
      </c>
      <c r="E5374" s="70" t="s">
        <v>13683</v>
      </c>
      <c r="F5374" s="71" t="s">
        <v>3205</v>
      </c>
    </row>
    <row r="5375" spans="1:10" ht="14.25" customHeight="1" x14ac:dyDescent="0.35">
      <c r="A5375" s="76"/>
      <c r="B5375" s="38" t="s">
        <v>1858</v>
      </c>
      <c r="C5375" s="69">
        <f>IF(C5374="","",IF(AND(MONTH(C5374)&gt;=1,MONTH(C5374)&lt;=3),1,IF(AND(MONTH(C5374)&gt;=4,MONTH(C5374)&lt;=6),2,IF(AND(MONTH(C5374)&gt;=7,MONTH(C5374)&lt;=9),3,4))))</f>
        <v>1</v>
      </c>
      <c r="D5375" s="76"/>
      <c r="E5375" s="70" t="s">
        <v>2509</v>
      </c>
      <c r="F5375" s="71" t="s">
        <v>11612</v>
      </c>
    </row>
    <row r="5376" spans="1:10" ht="14.25" customHeight="1" x14ac:dyDescent="0.35">
      <c r="A5376" s="76"/>
      <c r="B5376" s="38" t="s">
        <v>13526</v>
      </c>
      <c r="C5376" s="68">
        <v>45352</v>
      </c>
      <c r="D5376" s="76"/>
      <c r="E5376" s="70" t="s">
        <v>3198</v>
      </c>
      <c r="F5376" s="71" t="s">
        <v>11612</v>
      </c>
    </row>
    <row r="5377" spans="1:10" ht="14.25" customHeight="1" x14ac:dyDescent="0.35">
      <c r="A5377" s="76"/>
      <c r="B5377" s="38" t="s">
        <v>1858</v>
      </c>
      <c r="C5377" s="69">
        <f>IF(C5376="","",IF(AND(MONTH(C5376)&gt;=1,MONTH(C5376)&lt;=3),1,IF(AND(MONTH(C5376)&gt;=4,MONTH(C5376)&lt;=6),2,IF(AND(MONTH(C5376)&gt;=7,MONTH(C5376)&lt;=9),3,4))))</f>
        <v>1</v>
      </c>
      <c r="D5377" s="76"/>
      <c r="E5377" s="70" t="s">
        <v>13785</v>
      </c>
      <c r="F5377" s="71"/>
    </row>
    <row r="5379" spans="1:10" ht="14.25" customHeight="1" x14ac:dyDescent="0.35">
      <c r="A5379" s="43" t="s">
        <v>16424</v>
      </c>
      <c r="B5379" s="43" t="s">
        <v>16856</v>
      </c>
      <c r="C5379" s="43" t="s">
        <v>16326</v>
      </c>
      <c r="D5379" s="43" t="s">
        <v>15925</v>
      </c>
      <c r="E5379" s="43" t="s">
        <v>7248</v>
      </c>
      <c r="F5379" s="43" t="s">
        <v>15955</v>
      </c>
    </row>
    <row r="5380" spans="1:10" ht="14.25" customHeight="1" x14ac:dyDescent="0.35">
      <c r="A5380" s="39" t="s">
        <v>4833</v>
      </c>
      <c r="B5380" s="40" t="str">
        <f ca="1">IFERROR(INDEX(UNSPSCDes,MATCH(INDIRECT(ADDRESS(ROW(),COLUMN()-1,4)),UNSPSCCode,0)),IF(INDIRECT(ADDRESS(ROW(),COLUMN()-1,4))="15101505","Combustible diesel",""))</f>
        <v>Combustible diesel</v>
      </c>
      <c r="C5380" s="72" t="str">
        <f>IFERROR(VLOOKUP("UD",'Informacion '!P:Q,2,FALSE),"")</f>
        <v>Unidad</v>
      </c>
      <c r="D5380" s="39">
        <v>3700</v>
      </c>
      <c r="E5380" s="42">
        <v>500</v>
      </c>
      <c r="F5380" s="41">
        <f t="shared" ref="F5380:F5387" ca="1" si="183">INDIRECT(ADDRESS(ROW(),COLUMN()-2,4))*INDIRECT(ADDRESS(ROW(),COLUMN()-1,4))</f>
        <v>1850000</v>
      </c>
    </row>
    <row r="5381" spans="1:10" ht="14.25" customHeight="1" x14ac:dyDescent="0.35">
      <c r="A5381" s="39" t="s">
        <v>4833</v>
      </c>
      <c r="B5381" s="40" t="str">
        <f ca="1">IFERROR(INDEX(UNSPSCDes,MATCH(INDIRECT(ADDRESS(ROW(),COLUMN()-1,4)),UNSPSCCode,0)),IF(INDIRECT(ADDRESS(ROW(),COLUMN()-1,4))="15101505","Combustible diesel",""))</f>
        <v>Combustible diesel</v>
      </c>
      <c r="C5381" s="72" t="str">
        <f>IFERROR(VLOOKUP("UD",'Informacion '!P:Q,2,FALSE),"")</f>
        <v>Unidad</v>
      </c>
      <c r="D5381" s="39">
        <v>2700</v>
      </c>
      <c r="E5381" s="42">
        <v>500</v>
      </c>
      <c r="F5381" s="41">
        <f t="shared" ca="1" si="183"/>
        <v>1350000</v>
      </c>
    </row>
    <row r="5382" spans="1:10" ht="14.25" customHeight="1" x14ac:dyDescent="0.35">
      <c r="A5382" s="39" t="s">
        <v>4833</v>
      </c>
      <c r="B5382" s="40" t="str">
        <f ca="1">IFERROR(INDEX(UNSPSCDes,MATCH(INDIRECT(ADDRESS(ROW(),COLUMN()-1,4)),UNSPSCCode,0)),IF(INDIRECT(ADDRESS(ROW(),COLUMN()-1,4))="15101505","Combustible diesel",""))</f>
        <v>Combustible diesel</v>
      </c>
      <c r="C5382" s="72" t="str">
        <f>IFERROR(VLOOKUP("UD",'Informacion '!P:Q,2,FALSE),"")</f>
        <v>Unidad</v>
      </c>
      <c r="D5382" s="39">
        <v>2250</v>
      </c>
      <c r="E5382" s="42">
        <v>500</v>
      </c>
      <c r="F5382" s="41">
        <f t="shared" ca="1" si="183"/>
        <v>1125000</v>
      </c>
    </row>
    <row r="5383" spans="1:10" ht="14.25" customHeight="1" x14ac:dyDescent="0.35">
      <c r="A5383" s="39" t="s">
        <v>4833</v>
      </c>
      <c r="B5383" s="40" t="str">
        <f ca="1">IFERROR(INDEX(UNSPSCDes,MATCH(INDIRECT(ADDRESS(ROW(),COLUMN()-1,4)),UNSPSCCode,0)),IF(INDIRECT(ADDRESS(ROW(),COLUMN()-1,4))="15101505","Combustible diesel",""))</f>
        <v>Combustible diesel</v>
      </c>
      <c r="C5383" s="72" t="str">
        <f>IFERROR(VLOOKUP("UD",'Informacion '!P:Q,2,FALSE),"")</f>
        <v>Unidad</v>
      </c>
      <c r="D5383" s="39">
        <v>3</v>
      </c>
      <c r="E5383" s="42">
        <v>1040554.58</v>
      </c>
      <c r="F5383" s="41">
        <f t="shared" ca="1" si="183"/>
        <v>3121663.7399999998</v>
      </c>
    </row>
    <row r="5384" spans="1:10" ht="14.25" customHeight="1" x14ac:dyDescent="0.35">
      <c r="A5384" s="39" t="s">
        <v>13251</v>
      </c>
      <c r="B5384" s="40" t="str">
        <f ca="1">IFERROR(INDEX(UNSPSCDes,MATCH(INDIRECT(ADDRESS(ROW(),COLUMN()-1,4)),UNSPSCCode,0)),IF(INDIRECT(ADDRESS(ROW(),COLUMN()-1,4))="15101506","Gasolina",""))</f>
        <v>Gasolina</v>
      </c>
      <c r="C5384" s="72" t="str">
        <f>IFERROR(VLOOKUP("UD",'Informacion '!P:Q,2,FALSE),"")</f>
        <v>Unidad</v>
      </c>
      <c r="D5384" s="39">
        <v>550</v>
      </c>
      <c r="E5384" s="42">
        <v>237.1</v>
      </c>
      <c r="F5384" s="41">
        <f t="shared" ca="1" si="183"/>
        <v>130405</v>
      </c>
    </row>
    <row r="5385" spans="1:10" ht="14.25" customHeight="1" x14ac:dyDescent="0.35">
      <c r="A5385" s="39" t="s">
        <v>13251</v>
      </c>
      <c r="B5385" s="40" t="str">
        <f ca="1">IFERROR(INDEX(UNSPSCDes,MATCH(INDIRECT(ADDRESS(ROW(),COLUMN()-1,4)),UNSPSCCode,0)),IF(INDIRECT(ADDRESS(ROW(),COLUMN()-1,4))="15101506","Gasolina",""))</f>
        <v>Gasolina</v>
      </c>
      <c r="C5385" s="72" t="str">
        <f>IFERROR(VLOOKUP("UD",'Informacion '!P:Q,2,FALSE),"")</f>
        <v>Unidad</v>
      </c>
      <c r="D5385" s="39">
        <v>10</v>
      </c>
      <c r="E5385" s="42">
        <v>700</v>
      </c>
      <c r="F5385" s="41">
        <f t="shared" ca="1" si="183"/>
        <v>7000</v>
      </c>
    </row>
    <row r="5386" spans="1:10" ht="14.25" customHeight="1" x14ac:dyDescent="0.35">
      <c r="A5386" s="39" t="s">
        <v>13251</v>
      </c>
      <c r="B5386" s="40" t="str">
        <f ca="1">IFERROR(INDEX(UNSPSCDes,MATCH(INDIRECT(ADDRESS(ROW(),COLUMN()-1,4)),UNSPSCCode,0)),IF(INDIRECT(ADDRESS(ROW(),COLUMN()-1,4))="15101506","Gasolina",""))</f>
        <v>Gasolina</v>
      </c>
      <c r="C5386" s="72" t="str">
        <f>IFERROR(VLOOKUP("UD",'Informacion '!P:Q,2,FALSE),"")</f>
        <v>Unidad</v>
      </c>
      <c r="D5386" s="39">
        <v>36</v>
      </c>
      <c r="E5386" s="42">
        <v>4260</v>
      </c>
      <c r="F5386" s="41">
        <f t="shared" ca="1" si="183"/>
        <v>153360</v>
      </c>
    </row>
    <row r="5387" spans="1:10" ht="14.25" customHeight="1" x14ac:dyDescent="0.35">
      <c r="A5387" s="39" t="s">
        <v>13251</v>
      </c>
      <c r="B5387" s="40" t="str">
        <f ca="1">IFERROR(INDEX(UNSPSCDes,MATCH(INDIRECT(ADDRESS(ROW(),COLUMN()-1,4)),UNSPSCCode,0)),IF(INDIRECT(ADDRESS(ROW(),COLUMN()-1,4))="15101506","Gasolina",""))</f>
        <v>Gasolina</v>
      </c>
      <c r="C5387" s="72" t="str">
        <f>IFERROR(VLOOKUP("UD",'Informacion '!P:Q,2,FALSE),"")</f>
        <v>Unidad</v>
      </c>
      <c r="D5387" s="39">
        <v>3</v>
      </c>
      <c r="E5387" s="42">
        <v>16666.669999999998</v>
      </c>
      <c r="F5387" s="41">
        <f t="shared" ca="1" si="183"/>
        <v>50000.009999999995</v>
      </c>
    </row>
    <row r="5388" spans="1:10" ht="14.25" customHeight="1" x14ac:dyDescent="0.35">
      <c r="E5388" s="44" t="s">
        <v>13122</v>
      </c>
      <c r="F5388" s="45">
        <f ca="1">SUM(Table303[MONTO TOTAL ESTIMADO])</f>
        <v>7787428.75</v>
      </c>
      <c r="H5388" s="24" t="str">
        <f>C5373</f>
        <v>Bienes</v>
      </c>
      <c r="I5388" s="24" t="str">
        <f>E5373</f>
        <v>Sí</v>
      </c>
      <c r="J5388" s="24" t="str">
        <f>D5373</f>
        <v>Licitacion Publica</v>
      </c>
    </row>
    <row r="5390" spans="1:10" ht="34" customHeight="1" x14ac:dyDescent="0.35">
      <c r="A5390" s="36" t="s">
        <v>17105</v>
      </c>
      <c r="B5390" s="36" t="s">
        <v>167</v>
      </c>
      <c r="C5390" s="36" t="s">
        <v>12252</v>
      </c>
      <c r="D5390" s="36" t="s">
        <v>15021</v>
      </c>
      <c r="E5390" s="36" t="s">
        <v>11455</v>
      </c>
      <c r="F5390" s="36" t="s">
        <v>11595</v>
      </c>
    </row>
    <row r="5391" spans="1:10" ht="14.25" customHeight="1" x14ac:dyDescent="0.35">
      <c r="A5391" s="37" t="s">
        <v>5572</v>
      </c>
      <c r="B5391" s="37" t="s">
        <v>5572</v>
      </c>
      <c r="C5391" s="37" t="s">
        <v>18585</v>
      </c>
      <c r="D5391" s="37" t="s">
        <v>1950</v>
      </c>
      <c r="E5391" s="37" t="s">
        <v>9261</v>
      </c>
      <c r="F5391" s="37" t="s">
        <v>7088</v>
      </c>
    </row>
    <row r="5392" spans="1:10" ht="14.25" customHeight="1" x14ac:dyDescent="0.35">
      <c r="A5392" s="75" t="s">
        <v>15490</v>
      </c>
      <c r="B5392" s="38" t="s">
        <v>8918</v>
      </c>
      <c r="C5392" s="68">
        <v>45383</v>
      </c>
      <c r="D5392" s="75" t="s">
        <v>9819</v>
      </c>
      <c r="E5392" s="70" t="s">
        <v>13683</v>
      </c>
      <c r="F5392" s="71" t="s">
        <v>3205</v>
      </c>
    </row>
    <row r="5393" spans="1:10" ht="14.25" customHeight="1" x14ac:dyDescent="0.35">
      <c r="A5393" s="76"/>
      <c r="B5393" s="38" t="s">
        <v>1858</v>
      </c>
      <c r="C5393" s="69">
        <f>IF(C5392="","",IF(AND(MONTH(C5392)&gt;=1,MONTH(C5392)&lt;=3),1,IF(AND(MONTH(C5392)&gt;=4,MONTH(C5392)&lt;=6),2,IF(AND(MONTH(C5392)&gt;=7,MONTH(C5392)&lt;=9),3,4))))</f>
        <v>2</v>
      </c>
      <c r="D5393" s="76"/>
      <c r="E5393" s="70" t="s">
        <v>2509</v>
      </c>
      <c r="F5393" s="71" t="s">
        <v>11612</v>
      </c>
    </row>
    <row r="5394" spans="1:10" ht="14.25" customHeight="1" x14ac:dyDescent="0.35">
      <c r="A5394" s="76"/>
      <c r="B5394" s="38" t="s">
        <v>13526</v>
      </c>
      <c r="C5394" s="68">
        <v>45471</v>
      </c>
      <c r="D5394" s="76"/>
      <c r="E5394" s="70" t="s">
        <v>3198</v>
      </c>
      <c r="F5394" s="71" t="s">
        <v>11612</v>
      </c>
    </row>
    <row r="5395" spans="1:10" ht="14.25" customHeight="1" x14ac:dyDescent="0.35">
      <c r="A5395" s="76"/>
      <c r="B5395" s="38" t="s">
        <v>1858</v>
      </c>
      <c r="C5395" s="69">
        <f>IF(C5394="","",IF(AND(MONTH(C5394)&gt;=1,MONTH(C5394)&lt;=3),1,IF(AND(MONTH(C5394)&gt;=4,MONTH(C5394)&lt;=6),2,IF(AND(MONTH(C5394)&gt;=7,MONTH(C5394)&lt;=9),3,4))))</f>
        <v>2</v>
      </c>
      <c r="D5395" s="76"/>
      <c r="E5395" s="70" t="s">
        <v>13785</v>
      </c>
      <c r="F5395" s="71"/>
    </row>
    <row r="5397" spans="1:10" ht="14.25" customHeight="1" x14ac:dyDescent="0.35">
      <c r="A5397" s="43" t="s">
        <v>16424</v>
      </c>
      <c r="B5397" s="43" t="s">
        <v>16856</v>
      </c>
      <c r="C5397" s="43" t="s">
        <v>16326</v>
      </c>
      <c r="D5397" s="43" t="s">
        <v>15925</v>
      </c>
      <c r="E5397" s="43" t="s">
        <v>7248</v>
      </c>
      <c r="F5397" s="43" t="s">
        <v>15955</v>
      </c>
    </row>
    <row r="5398" spans="1:10" ht="14.25" customHeight="1" x14ac:dyDescent="0.35">
      <c r="A5398" s="39" t="s">
        <v>4833</v>
      </c>
      <c r="B5398" s="40" t="str">
        <f ca="1">IFERROR(INDEX(UNSPSCDes,MATCH(INDIRECT(ADDRESS(ROW(),COLUMN()-1,4)),UNSPSCCode,0)),IF(INDIRECT(ADDRESS(ROW(),COLUMN()-1,4))="15101505","Combustible diesel",""))</f>
        <v>Combustible diesel</v>
      </c>
      <c r="C5398" s="72" t="str">
        <f>IFERROR(VLOOKUP("UD",'Informacion '!P:Q,2,FALSE),"")</f>
        <v>Unidad</v>
      </c>
      <c r="D5398" s="39">
        <v>3</v>
      </c>
      <c r="E5398" s="42">
        <v>1040554.58</v>
      </c>
      <c r="F5398" s="41">
        <f ca="1">INDIRECT(ADDRESS(ROW(),COLUMN()-2,4))*INDIRECT(ADDRESS(ROW(),COLUMN()-1,4))</f>
        <v>3121663.7399999998</v>
      </c>
    </row>
    <row r="5399" spans="1:10" ht="14.25" customHeight="1" x14ac:dyDescent="0.35">
      <c r="A5399" s="39" t="s">
        <v>4833</v>
      </c>
      <c r="B5399" s="40" t="str">
        <f ca="1">IFERROR(INDEX(UNSPSCDes,MATCH(INDIRECT(ADDRESS(ROW(),COLUMN()-1,4)),UNSPSCCode,0)),IF(INDIRECT(ADDRESS(ROW(),COLUMN()-1,4))="15101505","Combustible diesel",""))</f>
        <v>Combustible diesel</v>
      </c>
      <c r="C5399" s="72" t="str">
        <f>IFERROR(VLOOKUP("UD",'Informacion '!P:Q,2,FALSE),"")</f>
        <v>Unidad</v>
      </c>
      <c r="D5399" s="39">
        <v>550</v>
      </c>
      <c r="E5399" s="42">
        <v>237.1</v>
      </c>
      <c r="F5399" s="41">
        <f ca="1">INDIRECT(ADDRESS(ROW(),COLUMN()-2,4))*INDIRECT(ADDRESS(ROW(),COLUMN()-1,4))</f>
        <v>130405</v>
      </c>
    </row>
    <row r="5400" spans="1:10" ht="14.25" customHeight="1" x14ac:dyDescent="0.35">
      <c r="A5400" s="39" t="s">
        <v>4833</v>
      </c>
      <c r="B5400" s="40" t="str">
        <f ca="1">IFERROR(INDEX(UNSPSCDes,MATCH(INDIRECT(ADDRESS(ROW(),COLUMN()-1,4)),UNSPSCCode,0)),IF(INDIRECT(ADDRESS(ROW(),COLUMN()-1,4))="15101505","Combustible diesel",""))</f>
        <v>Combustible diesel</v>
      </c>
      <c r="C5400" s="72" t="str">
        <f>IFERROR(VLOOKUP("UD",'Informacion '!P:Q,2,FALSE),"")</f>
        <v>Unidad</v>
      </c>
      <c r="D5400" s="39">
        <v>36</v>
      </c>
      <c r="E5400" s="42">
        <v>4260</v>
      </c>
      <c r="F5400" s="41">
        <f ca="1">INDIRECT(ADDRESS(ROW(),COLUMN()-2,4))*INDIRECT(ADDRESS(ROW(),COLUMN()-1,4))</f>
        <v>153360</v>
      </c>
    </row>
    <row r="5401" spans="1:10" ht="14.25" customHeight="1" x14ac:dyDescent="0.35">
      <c r="A5401" s="39" t="s">
        <v>4833</v>
      </c>
      <c r="B5401" s="40" t="str">
        <f ca="1">IFERROR(INDEX(UNSPSCDes,MATCH(INDIRECT(ADDRESS(ROW(),COLUMN()-1,4)),UNSPSCCode,0)),IF(INDIRECT(ADDRESS(ROW(),COLUMN()-1,4))="15101505","Combustible diesel",""))</f>
        <v>Combustible diesel</v>
      </c>
      <c r="C5401" s="72" t="str">
        <f>IFERROR(VLOOKUP("UD",'Informacion '!P:Q,2,FALSE),"")</f>
        <v>Unidad</v>
      </c>
      <c r="D5401" s="39">
        <v>3</v>
      </c>
      <c r="E5401" s="42">
        <v>16666.669999999998</v>
      </c>
      <c r="F5401" s="41">
        <f ca="1">INDIRECT(ADDRESS(ROW(),COLUMN()-2,4))*INDIRECT(ADDRESS(ROW(),COLUMN()-1,4))</f>
        <v>50000.009999999995</v>
      </c>
    </row>
    <row r="5402" spans="1:10" ht="14.25" customHeight="1" x14ac:dyDescent="0.35">
      <c r="E5402" s="44" t="s">
        <v>13122</v>
      </c>
      <c r="F5402" s="45">
        <f ca="1">SUM(Table304[MONTO TOTAL ESTIMADO])</f>
        <v>3455428.7499999995</v>
      </c>
      <c r="H5402" s="24" t="str">
        <f>C5391</f>
        <v>Bienes</v>
      </c>
      <c r="I5402" s="24" t="str">
        <f>E5391</f>
        <v>Sí</v>
      </c>
      <c r="J5402" s="24" t="str">
        <f>D5391</f>
        <v>Comparacion de Precios</v>
      </c>
    </row>
    <row r="5404" spans="1:10" ht="34" customHeight="1" x14ac:dyDescent="0.35">
      <c r="A5404" s="36" t="s">
        <v>17105</v>
      </c>
      <c r="B5404" s="36" t="s">
        <v>167</v>
      </c>
      <c r="C5404" s="36" t="s">
        <v>12252</v>
      </c>
      <c r="D5404" s="36" t="s">
        <v>15021</v>
      </c>
      <c r="E5404" s="36" t="s">
        <v>11455</v>
      </c>
      <c r="F5404" s="36" t="s">
        <v>11595</v>
      </c>
    </row>
    <row r="5405" spans="1:10" ht="14.25" customHeight="1" x14ac:dyDescent="0.35">
      <c r="A5405" s="37" t="s">
        <v>5572</v>
      </c>
      <c r="B5405" s="37" t="s">
        <v>5572</v>
      </c>
      <c r="C5405" s="37" t="s">
        <v>18585</v>
      </c>
      <c r="D5405" s="37" t="s">
        <v>1950</v>
      </c>
      <c r="E5405" s="37" t="s">
        <v>9261</v>
      </c>
      <c r="F5405" s="37" t="s">
        <v>7088</v>
      </c>
    </row>
    <row r="5406" spans="1:10" ht="14.25" customHeight="1" x14ac:dyDescent="0.35">
      <c r="A5406" s="75" t="s">
        <v>15490</v>
      </c>
      <c r="B5406" s="38" t="s">
        <v>8918</v>
      </c>
      <c r="C5406" s="68">
        <v>45474</v>
      </c>
      <c r="D5406" s="75" t="s">
        <v>9819</v>
      </c>
      <c r="E5406" s="70" t="s">
        <v>13683</v>
      </c>
      <c r="F5406" s="71" t="s">
        <v>3205</v>
      </c>
    </row>
    <row r="5407" spans="1:10" ht="14.25" customHeight="1" x14ac:dyDescent="0.35">
      <c r="A5407" s="76"/>
      <c r="B5407" s="38" t="s">
        <v>1858</v>
      </c>
      <c r="C5407" s="69">
        <f>IF(C5406="","",IF(AND(MONTH(C5406)&gt;=1,MONTH(C5406)&lt;=3),1,IF(AND(MONTH(C5406)&gt;=4,MONTH(C5406)&lt;=6),2,IF(AND(MONTH(C5406)&gt;=7,MONTH(C5406)&lt;=9),3,4))))</f>
        <v>3</v>
      </c>
      <c r="D5407" s="76"/>
      <c r="E5407" s="70" t="s">
        <v>2509</v>
      </c>
      <c r="F5407" s="71" t="s">
        <v>11612</v>
      </c>
    </row>
    <row r="5408" spans="1:10" ht="14.25" customHeight="1" x14ac:dyDescent="0.35">
      <c r="A5408" s="76"/>
      <c r="B5408" s="38" t="s">
        <v>13526</v>
      </c>
      <c r="C5408" s="68">
        <v>45565</v>
      </c>
      <c r="D5408" s="76"/>
      <c r="E5408" s="70" t="s">
        <v>3198</v>
      </c>
      <c r="F5408" s="71" t="s">
        <v>11612</v>
      </c>
    </row>
    <row r="5409" spans="1:10" ht="14.25" customHeight="1" x14ac:dyDescent="0.35">
      <c r="A5409" s="76"/>
      <c r="B5409" s="38" t="s">
        <v>1858</v>
      </c>
      <c r="C5409" s="69">
        <f>IF(C5408="","",IF(AND(MONTH(C5408)&gt;=1,MONTH(C5408)&lt;=3),1,IF(AND(MONTH(C5408)&gt;=4,MONTH(C5408)&lt;=6),2,IF(AND(MONTH(C5408)&gt;=7,MONTH(C5408)&lt;=9),3,4))))</f>
        <v>3</v>
      </c>
      <c r="D5409" s="76"/>
      <c r="E5409" s="70" t="s">
        <v>13785</v>
      </c>
      <c r="F5409" s="71"/>
    </row>
    <row r="5411" spans="1:10" ht="14.25" customHeight="1" x14ac:dyDescent="0.35">
      <c r="A5411" s="43" t="s">
        <v>16424</v>
      </c>
      <c r="B5411" s="43" t="s">
        <v>16856</v>
      </c>
      <c r="C5411" s="43" t="s">
        <v>16326</v>
      </c>
      <c r="D5411" s="43" t="s">
        <v>15925</v>
      </c>
      <c r="E5411" s="43" t="s">
        <v>7248</v>
      </c>
      <c r="F5411" s="43" t="s">
        <v>15955</v>
      </c>
    </row>
    <row r="5412" spans="1:10" ht="14.25" customHeight="1" x14ac:dyDescent="0.35">
      <c r="A5412" s="39" t="s">
        <v>4833</v>
      </c>
      <c r="B5412" s="40" t="str">
        <f ca="1">IFERROR(INDEX(UNSPSCDes,MATCH(INDIRECT(ADDRESS(ROW(),COLUMN()-1,4)),UNSPSCCode,0)),IF(INDIRECT(ADDRESS(ROW(),COLUMN()-1,4))="15101505","Combustible diesel",""))</f>
        <v>Combustible diesel</v>
      </c>
      <c r="C5412" s="72" t="str">
        <f>IFERROR(VLOOKUP("UD",'Informacion '!P:Q,2,FALSE),"")</f>
        <v>Unidad</v>
      </c>
      <c r="D5412" s="39">
        <v>3</v>
      </c>
      <c r="E5412" s="42">
        <v>1040554.58</v>
      </c>
      <c r="F5412" s="41">
        <f ca="1">INDIRECT(ADDRESS(ROW(),COLUMN()-2,4))*INDIRECT(ADDRESS(ROW(),COLUMN()-1,4))</f>
        <v>3121663.7399999998</v>
      </c>
    </row>
    <row r="5413" spans="1:10" ht="14.25" customHeight="1" x14ac:dyDescent="0.35">
      <c r="A5413" s="39" t="s">
        <v>4833</v>
      </c>
      <c r="B5413" s="40" t="str">
        <f ca="1">IFERROR(INDEX(UNSPSCDes,MATCH(INDIRECT(ADDRESS(ROW(),COLUMN()-1,4)),UNSPSCCode,0)),IF(INDIRECT(ADDRESS(ROW(),COLUMN()-1,4))="15101505","Combustible diesel",""))</f>
        <v>Combustible diesel</v>
      </c>
      <c r="C5413" s="72" t="str">
        <f>IFERROR(VLOOKUP("UD",'Informacion '!P:Q,2,FALSE),"")</f>
        <v>Unidad</v>
      </c>
      <c r="D5413" s="39">
        <v>3</v>
      </c>
      <c r="E5413" s="42">
        <v>16666.669999999998</v>
      </c>
      <c r="F5413" s="41">
        <f ca="1">INDIRECT(ADDRESS(ROW(),COLUMN()-2,4))*INDIRECT(ADDRESS(ROW(),COLUMN()-1,4))</f>
        <v>50000.009999999995</v>
      </c>
    </row>
    <row r="5414" spans="1:10" ht="14.25" customHeight="1" x14ac:dyDescent="0.35">
      <c r="E5414" s="44" t="s">
        <v>13122</v>
      </c>
      <c r="F5414" s="45">
        <f ca="1">SUM(Table305[MONTO TOTAL ESTIMADO])</f>
        <v>3171663.7499999995</v>
      </c>
      <c r="H5414" s="24" t="str">
        <f>C5405</f>
        <v>Bienes</v>
      </c>
      <c r="I5414" s="24" t="str">
        <f>E5405</f>
        <v>Sí</v>
      </c>
      <c r="J5414" s="24" t="str">
        <f>D5405</f>
        <v>Comparacion de Precios</v>
      </c>
    </row>
    <row r="5416" spans="1:10" ht="34" customHeight="1" x14ac:dyDescent="0.35">
      <c r="A5416" s="36" t="s">
        <v>17105</v>
      </c>
      <c r="B5416" s="36" t="s">
        <v>167</v>
      </c>
      <c r="C5416" s="36" t="s">
        <v>12252</v>
      </c>
      <c r="D5416" s="36" t="s">
        <v>15021</v>
      </c>
      <c r="E5416" s="36" t="s">
        <v>11455</v>
      </c>
      <c r="F5416" s="36" t="s">
        <v>11595</v>
      </c>
    </row>
    <row r="5417" spans="1:10" ht="14.25" customHeight="1" x14ac:dyDescent="0.35">
      <c r="A5417" s="37" t="s">
        <v>5572</v>
      </c>
      <c r="B5417" s="37" t="s">
        <v>5572</v>
      </c>
      <c r="C5417" s="37" t="s">
        <v>18585</v>
      </c>
      <c r="D5417" s="37" t="s">
        <v>1950</v>
      </c>
      <c r="E5417" s="37" t="s">
        <v>9261</v>
      </c>
      <c r="F5417" s="37" t="s">
        <v>7088</v>
      </c>
    </row>
    <row r="5418" spans="1:10" ht="14.25" customHeight="1" x14ac:dyDescent="0.35">
      <c r="A5418" s="75" t="s">
        <v>15490</v>
      </c>
      <c r="B5418" s="38" t="s">
        <v>8918</v>
      </c>
      <c r="C5418" s="68">
        <v>45566</v>
      </c>
      <c r="D5418" s="75" t="s">
        <v>9819</v>
      </c>
      <c r="E5418" s="70" t="s">
        <v>13683</v>
      </c>
      <c r="F5418" s="71" t="s">
        <v>3205</v>
      </c>
    </row>
    <row r="5419" spans="1:10" ht="14.25" customHeight="1" x14ac:dyDescent="0.35">
      <c r="A5419" s="76"/>
      <c r="B5419" s="38" t="s">
        <v>1858</v>
      </c>
      <c r="C5419" s="69">
        <f>IF(C5418="","",IF(AND(MONTH(C5418)&gt;=1,MONTH(C5418)&lt;=3),1,IF(AND(MONTH(C5418)&gt;=4,MONTH(C5418)&lt;=6),2,IF(AND(MONTH(C5418)&gt;=7,MONTH(C5418)&lt;=9),3,4))))</f>
        <v>4</v>
      </c>
      <c r="D5419" s="76"/>
      <c r="E5419" s="70" t="s">
        <v>2509</v>
      </c>
      <c r="F5419" s="71" t="s">
        <v>11612</v>
      </c>
    </row>
    <row r="5420" spans="1:10" ht="14.25" customHeight="1" x14ac:dyDescent="0.35">
      <c r="A5420" s="76"/>
      <c r="B5420" s="38" t="s">
        <v>13526</v>
      </c>
      <c r="C5420" s="68">
        <v>45657</v>
      </c>
      <c r="D5420" s="76"/>
      <c r="E5420" s="70" t="s">
        <v>3198</v>
      </c>
      <c r="F5420" s="71" t="s">
        <v>11612</v>
      </c>
    </row>
    <row r="5421" spans="1:10" ht="14.25" customHeight="1" x14ac:dyDescent="0.35">
      <c r="A5421" s="76"/>
      <c r="B5421" s="38" t="s">
        <v>1858</v>
      </c>
      <c r="C5421" s="69">
        <f>IF(C5420="","",IF(AND(MONTH(C5420)&gt;=1,MONTH(C5420)&lt;=3),1,IF(AND(MONTH(C5420)&gt;=4,MONTH(C5420)&lt;=6),2,IF(AND(MONTH(C5420)&gt;=7,MONTH(C5420)&lt;=9),3,4))))</f>
        <v>4</v>
      </c>
      <c r="D5421" s="76"/>
      <c r="E5421" s="70" t="s">
        <v>13785</v>
      </c>
      <c r="F5421" s="71"/>
    </row>
    <row r="5423" spans="1:10" ht="14.25" customHeight="1" x14ac:dyDescent="0.35">
      <c r="A5423" s="43" t="s">
        <v>16424</v>
      </c>
      <c r="B5423" s="43" t="s">
        <v>16856</v>
      </c>
      <c r="C5423" s="43" t="s">
        <v>16326</v>
      </c>
      <c r="D5423" s="43" t="s">
        <v>15925</v>
      </c>
      <c r="E5423" s="43" t="s">
        <v>7248</v>
      </c>
      <c r="F5423" s="43" t="s">
        <v>15955</v>
      </c>
    </row>
    <row r="5424" spans="1:10" ht="14.25" customHeight="1" x14ac:dyDescent="0.35">
      <c r="A5424" s="39" t="s">
        <v>4833</v>
      </c>
      <c r="B5424" s="40" t="str">
        <f ca="1">IFERROR(INDEX(UNSPSCDes,MATCH(INDIRECT(ADDRESS(ROW(),COLUMN()-1,4)),UNSPSCCode,0)),IF(INDIRECT(ADDRESS(ROW(),COLUMN()-1,4))="15101505","Combustible diesel",""))</f>
        <v>Combustible diesel</v>
      </c>
      <c r="C5424" s="72" t="str">
        <f>IFERROR(VLOOKUP("UD",'Informacion '!P:Q,2,FALSE),"")</f>
        <v>Unidad</v>
      </c>
      <c r="D5424" s="39">
        <v>3</v>
      </c>
      <c r="E5424" s="42">
        <v>1040554.58</v>
      </c>
      <c r="F5424" s="41">
        <f ca="1">INDIRECT(ADDRESS(ROW(),COLUMN()-2,4))*INDIRECT(ADDRESS(ROW(),COLUMN()-1,4))</f>
        <v>3121663.7399999998</v>
      </c>
    </row>
    <row r="5425" spans="1:10" ht="14.25" customHeight="1" x14ac:dyDescent="0.35">
      <c r="A5425" s="39" t="s">
        <v>4833</v>
      </c>
      <c r="B5425" s="40" t="str">
        <f ca="1">IFERROR(INDEX(UNSPSCDes,MATCH(INDIRECT(ADDRESS(ROW(),COLUMN()-1,4)),UNSPSCCode,0)),IF(INDIRECT(ADDRESS(ROW(),COLUMN()-1,4))="15101505","Combustible diesel",""))</f>
        <v>Combustible diesel</v>
      </c>
      <c r="C5425" s="72" t="str">
        <f>IFERROR(VLOOKUP("UD",'Informacion '!P:Q,2,FALSE),"")</f>
        <v>Unidad</v>
      </c>
      <c r="D5425" s="39">
        <v>3</v>
      </c>
      <c r="E5425" s="42">
        <v>16666.669999999998</v>
      </c>
      <c r="F5425" s="41">
        <f ca="1">INDIRECT(ADDRESS(ROW(),COLUMN()-2,4))*INDIRECT(ADDRESS(ROW(),COLUMN()-1,4))</f>
        <v>50000.009999999995</v>
      </c>
    </row>
    <row r="5426" spans="1:10" ht="14.25" customHeight="1" x14ac:dyDescent="0.35">
      <c r="E5426" s="44" t="s">
        <v>13122</v>
      </c>
      <c r="F5426" s="45">
        <f ca="1">SUM(Table306[MONTO TOTAL ESTIMADO])</f>
        <v>3171663.7499999995</v>
      </c>
      <c r="H5426" s="24" t="str">
        <f>C5417</f>
        <v>Bienes</v>
      </c>
      <c r="I5426" s="24" t="str">
        <f>E5417</f>
        <v>Sí</v>
      </c>
      <c r="J5426" s="24" t="str">
        <f>D5417</f>
        <v>Comparacion de Precios</v>
      </c>
    </row>
    <row r="5428" spans="1:10" ht="34" customHeight="1" x14ac:dyDescent="0.35">
      <c r="A5428" s="36" t="s">
        <v>17105</v>
      </c>
      <c r="B5428" s="36" t="s">
        <v>167</v>
      </c>
      <c r="C5428" s="36" t="s">
        <v>12252</v>
      </c>
      <c r="D5428" s="36" t="s">
        <v>15021</v>
      </c>
      <c r="E5428" s="36" t="s">
        <v>11455</v>
      </c>
      <c r="F5428" s="36" t="s">
        <v>11595</v>
      </c>
    </row>
    <row r="5429" spans="1:10" ht="14.25" customHeight="1" x14ac:dyDescent="0.35">
      <c r="A5429" s="37" t="s">
        <v>938</v>
      </c>
      <c r="B5429" s="37" t="s">
        <v>938</v>
      </c>
      <c r="C5429" s="37" t="s">
        <v>18585</v>
      </c>
      <c r="D5429" s="37" t="s">
        <v>10634</v>
      </c>
      <c r="E5429" s="37" t="s">
        <v>9261</v>
      </c>
      <c r="F5429" s="37" t="s">
        <v>7088</v>
      </c>
    </row>
    <row r="5430" spans="1:10" ht="14.25" customHeight="1" x14ac:dyDescent="0.35">
      <c r="A5430" s="75" t="s">
        <v>15490</v>
      </c>
      <c r="B5430" s="38" t="s">
        <v>8918</v>
      </c>
      <c r="C5430" s="68">
        <v>45334</v>
      </c>
      <c r="D5430" s="75" t="s">
        <v>9819</v>
      </c>
      <c r="E5430" s="70" t="s">
        <v>13683</v>
      </c>
      <c r="F5430" s="71" t="s">
        <v>3205</v>
      </c>
    </row>
    <row r="5431" spans="1:10" ht="14.25" customHeight="1" x14ac:dyDescent="0.35">
      <c r="A5431" s="76"/>
      <c r="B5431" s="38" t="s">
        <v>1858</v>
      </c>
      <c r="C5431" s="69">
        <f>IF(C5430="","",IF(AND(MONTH(C5430)&gt;=1,MONTH(C5430)&lt;=3),1,IF(AND(MONTH(C5430)&gt;=4,MONTH(C5430)&lt;=6),2,IF(AND(MONTH(C5430)&gt;=7,MONTH(C5430)&lt;=9),3,4))))</f>
        <v>1</v>
      </c>
      <c r="D5431" s="76"/>
      <c r="E5431" s="70" t="s">
        <v>2509</v>
      </c>
      <c r="F5431" s="71" t="s">
        <v>11612</v>
      </c>
    </row>
    <row r="5432" spans="1:10" ht="14.25" customHeight="1" x14ac:dyDescent="0.35">
      <c r="A5432" s="76"/>
      <c r="B5432" s="38" t="s">
        <v>13526</v>
      </c>
      <c r="C5432" s="68">
        <v>45352</v>
      </c>
      <c r="D5432" s="76"/>
      <c r="E5432" s="70" t="s">
        <v>3198</v>
      </c>
      <c r="F5432" s="71" t="s">
        <v>11612</v>
      </c>
    </row>
    <row r="5433" spans="1:10" ht="14.25" customHeight="1" x14ac:dyDescent="0.35">
      <c r="A5433" s="76"/>
      <c r="B5433" s="38" t="s">
        <v>1858</v>
      </c>
      <c r="C5433" s="69">
        <f>IF(C5432="","",IF(AND(MONTH(C5432)&gt;=1,MONTH(C5432)&lt;=3),1,IF(AND(MONTH(C5432)&gt;=4,MONTH(C5432)&lt;=6),2,IF(AND(MONTH(C5432)&gt;=7,MONTH(C5432)&lt;=9),3,4))))</f>
        <v>1</v>
      </c>
      <c r="D5433" s="76"/>
      <c r="E5433" s="70" t="s">
        <v>13785</v>
      </c>
      <c r="F5433" s="71"/>
    </row>
    <row r="5435" spans="1:10" ht="14.25" customHeight="1" x14ac:dyDescent="0.35">
      <c r="A5435" s="43" t="s">
        <v>16424</v>
      </c>
      <c r="B5435" s="43" t="s">
        <v>16856</v>
      </c>
      <c r="C5435" s="43" t="s">
        <v>16326</v>
      </c>
      <c r="D5435" s="43" t="s">
        <v>15925</v>
      </c>
      <c r="E5435" s="43" t="s">
        <v>7248</v>
      </c>
      <c r="F5435" s="43" t="s">
        <v>15955</v>
      </c>
    </row>
    <row r="5436" spans="1:10" ht="14.25" customHeight="1" x14ac:dyDescent="0.35">
      <c r="A5436" s="39" t="s">
        <v>5122</v>
      </c>
      <c r="B5436" s="40" t="str">
        <f ca="1">IFERROR(INDEX(UNSPSCDes,MATCH(INDIRECT(ADDRESS(ROW(),COLUMN()-1,4)),UNSPSCCode,0)),IF(INDIRECT(ADDRESS(ROW(),COLUMN()-1,4))="15121501","Aceite motor",""))</f>
        <v>Aceite motor</v>
      </c>
      <c r="C5436" s="72" t="str">
        <f>IFERROR(VLOOKUP("UD",'Informacion '!P:Q,2,FALSE),"")</f>
        <v>Unidad</v>
      </c>
      <c r="D5436" s="39">
        <v>4</v>
      </c>
      <c r="E5436" s="42">
        <v>504.88</v>
      </c>
      <c r="F5436" s="41">
        <f ca="1">INDIRECT(ADDRESS(ROW(),COLUMN()-2,4))*INDIRECT(ADDRESS(ROW(),COLUMN()-1,4))</f>
        <v>2019.52</v>
      </c>
    </row>
    <row r="5437" spans="1:10" ht="14.25" customHeight="1" x14ac:dyDescent="0.35">
      <c r="A5437" s="39" t="s">
        <v>5122</v>
      </c>
      <c r="B5437" s="40" t="str">
        <f ca="1">IFERROR(INDEX(UNSPSCDes,MATCH(INDIRECT(ADDRESS(ROW(),COLUMN()-1,4)),UNSPSCCode,0)),IF(INDIRECT(ADDRESS(ROW(),COLUMN()-1,4))="15121501","Aceite motor",""))</f>
        <v>Aceite motor</v>
      </c>
      <c r="C5437" s="72" t="str">
        <f>IFERROR(VLOOKUP("UD",'Informacion '!P:Q,2,FALSE),"")</f>
        <v>Unidad</v>
      </c>
      <c r="D5437" s="39">
        <v>3</v>
      </c>
      <c r="E5437" s="42">
        <v>459</v>
      </c>
      <c r="F5437" s="41">
        <f ca="1">INDIRECT(ADDRESS(ROW(),COLUMN()-2,4))*INDIRECT(ADDRESS(ROW(),COLUMN()-1,4))</f>
        <v>1377</v>
      </c>
    </row>
    <row r="5438" spans="1:10" ht="14.25" customHeight="1" x14ac:dyDescent="0.35">
      <c r="A5438" s="39" t="s">
        <v>17517</v>
      </c>
      <c r="B5438" s="40" t="str">
        <f ca="1">IFERROR(INDEX(UNSPSCDes,MATCH(INDIRECT(ADDRESS(ROW(),COLUMN()-1,4)),UNSPSCCode,0)),IF(INDIRECT(ADDRESS(ROW(),COLUMN()-1,4))="15121504","Aceite hidráulico",""))</f>
        <v>Aceite hidráulico</v>
      </c>
      <c r="C5438" s="72" t="str">
        <f>IFERROR(VLOOKUP("UD",'Informacion '!P:Q,2,FALSE),"")</f>
        <v>Unidad</v>
      </c>
      <c r="D5438" s="39">
        <v>1</v>
      </c>
      <c r="E5438" s="42">
        <v>1600</v>
      </c>
      <c r="F5438" s="41">
        <f ca="1">INDIRECT(ADDRESS(ROW(),COLUMN()-2,4))*INDIRECT(ADDRESS(ROW(),COLUMN()-1,4))</f>
        <v>1600</v>
      </c>
    </row>
    <row r="5439" spans="1:10" ht="14.25" customHeight="1" x14ac:dyDescent="0.35">
      <c r="E5439" s="44" t="s">
        <v>13122</v>
      </c>
      <c r="F5439" s="45">
        <f ca="1">SUM(Table307[MONTO TOTAL ESTIMADO])</f>
        <v>4996.5200000000004</v>
      </c>
      <c r="H5439" s="24" t="str">
        <f>C5429</f>
        <v>Bienes</v>
      </c>
      <c r="I5439" s="24" t="str">
        <f>E5429</f>
        <v>Sí</v>
      </c>
      <c r="J5439" s="24" t="str">
        <f>D5429</f>
        <v>Compras por debajo del Umbral</v>
      </c>
    </row>
    <row r="5441" spans="1:6" ht="34" customHeight="1" x14ac:dyDescent="0.35">
      <c r="A5441" s="36" t="s">
        <v>17105</v>
      </c>
      <c r="B5441" s="36" t="s">
        <v>167</v>
      </c>
      <c r="C5441" s="36" t="s">
        <v>12252</v>
      </c>
      <c r="D5441" s="36" t="s">
        <v>15021</v>
      </c>
      <c r="E5441" s="36" t="s">
        <v>11455</v>
      </c>
      <c r="F5441" s="36" t="s">
        <v>11595</v>
      </c>
    </row>
    <row r="5442" spans="1:6" ht="14.25" customHeight="1" x14ac:dyDescent="0.35">
      <c r="A5442" s="37" t="s">
        <v>2635</v>
      </c>
      <c r="B5442" s="37" t="s">
        <v>2635</v>
      </c>
      <c r="C5442" s="37" t="s">
        <v>18585</v>
      </c>
      <c r="D5442" s="37" t="s">
        <v>10634</v>
      </c>
      <c r="E5442" s="37" t="s">
        <v>9261</v>
      </c>
      <c r="F5442" s="37" t="s">
        <v>7088</v>
      </c>
    </row>
    <row r="5443" spans="1:6" ht="14.25" customHeight="1" x14ac:dyDescent="0.35">
      <c r="A5443" s="75" t="s">
        <v>15490</v>
      </c>
      <c r="B5443" s="38" t="s">
        <v>8918</v>
      </c>
      <c r="C5443" s="68">
        <v>45334</v>
      </c>
      <c r="D5443" s="75" t="s">
        <v>9819</v>
      </c>
      <c r="E5443" s="70" t="s">
        <v>13683</v>
      </c>
      <c r="F5443" s="71" t="s">
        <v>3205</v>
      </c>
    </row>
    <row r="5444" spans="1:6" ht="14.25" customHeight="1" x14ac:dyDescent="0.35">
      <c r="A5444" s="76"/>
      <c r="B5444" s="38" t="s">
        <v>1858</v>
      </c>
      <c r="C5444" s="69">
        <f>IF(C5443="","",IF(AND(MONTH(C5443)&gt;=1,MONTH(C5443)&lt;=3),1,IF(AND(MONTH(C5443)&gt;=4,MONTH(C5443)&lt;=6),2,IF(AND(MONTH(C5443)&gt;=7,MONTH(C5443)&lt;=9),3,4))))</f>
        <v>1</v>
      </c>
      <c r="D5444" s="76"/>
      <c r="E5444" s="70" t="s">
        <v>2509</v>
      </c>
      <c r="F5444" s="71" t="s">
        <v>11612</v>
      </c>
    </row>
    <row r="5445" spans="1:6" ht="14.25" customHeight="1" x14ac:dyDescent="0.35">
      <c r="A5445" s="76"/>
      <c r="B5445" s="38" t="s">
        <v>13526</v>
      </c>
      <c r="C5445" s="68">
        <v>45352</v>
      </c>
      <c r="D5445" s="76"/>
      <c r="E5445" s="70" t="s">
        <v>3198</v>
      </c>
      <c r="F5445" s="71" t="s">
        <v>11612</v>
      </c>
    </row>
    <row r="5446" spans="1:6" ht="14.25" customHeight="1" x14ac:dyDescent="0.35">
      <c r="A5446" s="76"/>
      <c r="B5446" s="38" t="s">
        <v>1858</v>
      </c>
      <c r="C5446" s="69">
        <f>IF(C5445="","",IF(AND(MONTH(C5445)&gt;=1,MONTH(C5445)&lt;=3),1,IF(AND(MONTH(C5445)&gt;=4,MONTH(C5445)&lt;=6),2,IF(AND(MONTH(C5445)&gt;=7,MONTH(C5445)&lt;=9),3,4))))</f>
        <v>1</v>
      </c>
      <c r="D5446" s="76"/>
      <c r="E5446" s="70" t="s">
        <v>13785</v>
      </c>
      <c r="F5446" s="71"/>
    </row>
    <row r="5448" spans="1:6" ht="14.25" customHeight="1" x14ac:dyDescent="0.35">
      <c r="A5448" s="43" t="s">
        <v>16424</v>
      </c>
      <c r="B5448" s="43" t="s">
        <v>16856</v>
      </c>
      <c r="C5448" s="43" t="s">
        <v>16326</v>
      </c>
      <c r="D5448" s="43" t="s">
        <v>15925</v>
      </c>
      <c r="E5448" s="43" t="s">
        <v>7248</v>
      </c>
      <c r="F5448" s="43" t="s">
        <v>15955</v>
      </c>
    </row>
    <row r="5449" spans="1:6" ht="14.25" customHeight="1" x14ac:dyDescent="0.35">
      <c r="A5449" s="39" t="s">
        <v>18638</v>
      </c>
      <c r="B5449" s="40" t="str">
        <f ca="1">IFERROR(INDEX(UNSPSCDes,MATCH(INDIRECT(ADDRESS(ROW(),COLUMN()-1,4)),UNSPSCCode,0)),IF(INDIRECT(ADDRESS(ROW(),COLUMN()-1,4))="22101707","Cables de retención",""))</f>
        <v>Cables de retención</v>
      </c>
      <c r="C5449" s="72" t="str">
        <f>IFERROR(VLOOKUP("UD",'Informacion '!P:Q,2,FALSE),"")</f>
        <v>Unidad</v>
      </c>
      <c r="D5449" s="39">
        <v>75</v>
      </c>
      <c r="E5449" s="42">
        <v>23.85</v>
      </c>
      <c r="F5449" s="41">
        <f t="shared" ref="F5449:F5485" ca="1" si="184">INDIRECT(ADDRESS(ROW(),COLUMN()-2,4))*INDIRECT(ADDRESS(ROW(),COLUMN()-1,4))</f>
        <v>1788.75</v>
      </c>
    </row>
    <row r="5450" spans="1:6" ht="14.25" customHeight="1" x14ac:dyDescent="0.35">
      <c r="A5450" s="39" t="s">
        <v>18638</v>
      </c>
      <c r="B5450" s="40" t="str">
        <f ca="1">IFERROR(INDEX(UNSPSCDes,MATCH(INDIRECT(ADDRESS(ROW(),COLUMN()-1,4)),UNSPSCCode,0)),IF(INDIRECT(ADDRESS(ROW(),COLUMN()-1,4))="22101707","Cables de retención",""))</f>
        <v>Cables de retención</v>
      </c>
      <c r="C5450" s="72" t="str">
        <f>IFERROR(VLOOKUP("UD",'Informacion '!P:Q,2,FALSE),"")</f>
        <v>Unidad</v>
      </c>
      <c r="D5450" s="39">
        <v>460</v>
      </c>
      <c r="E5450" s="42">
        <v>23.85</v>
      </c>
      <c r="F5450" s="41">
        <f t="shared" ca="1" si="184"/>
        <v>10971</v>
      </c>
    </row>
    <row r="5451" spans="1:6" ht="14.25" customHeight="1" x14ac:dyDescent="0.35">
      <c r="A5451" s="39" t="s">
        <v>18638</v>
      </c>
      <c r="B5451" s="40" t="str">
        <f ca="1">IFERROR(INDEX(UNSPSCDes,MATCH(INDIRECT(ADDRESS(ROW(),COLUMN()-1,4)),UNSPSCCode,0)),IF(INDIRECT(ADDRESS(ROW(),COLUMN()-1,4))="22101707","Cables de retención",""))</f>
        <v>Cables de retención</v>
      </c>
      <c r="C5451" s="72" t="str">
        <f>IFERROR(VLOOKUP("UD",'Informacion '!P:Q,2,FALSE),"")</f>
        <v>Unidad</v>
      </c>
      <c r="D5451" s="39">
        <v>375</v>
      </c>
      <c r="E5451" s="42">
        <v>23.85</v>
      </c>
      <c r="F5451" s="41">
        <f t="shared" ca="1" si="184"/>
        <v>8943.75</v>
      </c>
    </row>
    <row r="5452" spans="1:6" ht="14.25" customHeight="1" x14ac:dyDescent="0.35">
      <c r="A5452" s="39" t="s">
        <v>11684</v>
      </c>
      <c r="B5452" s="40" t="str">
        <f ca="1">IFERROR(INDEX(UNSPSCDes,MATCH(INDIRECT(ADDRESS(ROW(),COLUMN()-1,4)),UNSPSCCode,0)),IF(INDIRECT(ADDRESS(ROW(),COLUMN()-1,4))="23101508","Cortadoras",""))</f>
        <v>Cortadoras</v>
      </c>
      <c r="C5452" s="72" t="str">
        <f>IFERROR(VLOOKUP("UD",'Informacion '!P:Q,2,FALSE),"")</f>
        <v>Unidad</v>
      </c>
      <c r="D5452" s="39">
        <v>4</v>
      </c>
      <c r="E5452" s="42">
        <v>560.5</v>
      </c>
      <c r="F5452" s="41">
        <f t="shared" ca="1" si="184"/>
        <v>2242</v>
      </c>
    </row>
    <row r="5453" spans="1:6" ht="14.25" customHeight="1" x14ac:dyDescent="0.35">
      <c r="A5453" s="39" t="s">
        <v>9075</v>
      </c>
      <c r="B5453" s="40" t="str">
        <f ca="1">IFERROR(INDEX(UNSPSCDes,MATCH(INDIRECT(ADDRESS(ROW(),COLUMN()-1,4)),UNSPSCCode,0)),IF(INDIRECT(ADDRESS(ROW(),COLUMN()-1,4))="23101512","Sierras mecánicas",""))</f>
        <v>Sierras mecánicas</v>
      </c>
      <c r="C5453" s="72" t="str">
        <f>IFERROR(VLOOKUP("UD",'Informacion '!P:Q,2,FALSE),"")</f>
        <v>Unidad</v>
      </c>
      <c r="D5453" s="39">
        <v>4</v>
      </c>
      <c r="E5453" s="42">
        <v>973.5</v>
      </c>
      <c r="F5453" s="41">
        <f t="shared" ca="1" si="184"/>
        <v>3894</v>
      </c>
    </row>
    <row r="5454" spans="1:6" ht="14.25" customHeight="1" x14ac:dyDescent="0.35">
      <c r="A5454" s="39" t="s">
        <v>9075</v>
      </c>
      <c r="B5454" s="40" t="str">
        <f ca="1">IFERROR(INDEX(UNSPSCDes,MATCH(INDIRECT(ADDRESS(ROW(),COLUMN()-1,4)),UNSPSCCode,0)),IF(INDIRECT(ADDRESS(ROW(),COLUMN()-1,4))="23101512","Sierras mecánicas",""))</f>
        <v>Sierras mecánicas</v>
      </c>
      <c r="C5454" s="72" t="str">
        <f>IFERROR(VLOOKUP("UD",'Informacion '!P:Q,2,FALSE),"")</f>
        <v>Unidad</v>
      </c>
      <c r="D5454" s="39">
        <v>48</v>
      </c>
      <c r="E5454" s="42">
        <v>59</v>
      </c>
      <c r="F5454" s="41">
        <f t="shared" ca="1" si="184"/>
        <v>2832</v>
      </c>
    </row>
    <row r="5455" spans="1:6" ht="14.25" customHeight="1" x14ac:dyDescent="0.35">
      <c r="A5455" s="39" t="s">
        <v>4608</v>
      </c>
      <c r="B5455" s="40" t="str">
        <f ca="1">IFERROR(INDEX(UNSPSCDes,MATCH(INDIRECT(ADDRESS(ROW(),COLUMN()-1,4)),UNSPSCCode,0)),IF(INDIRECT(ADDRESS(ROW(),COLUMN()-1,4))="23131507","Tela para lijar",""))</f>
        <v>Tela para lijar</v>
      </c>
      <c r="C5455" s="72" t="str">
        <f>IFERROR(VLOOKUP("UD",'Informacion '!P:Q,2,FALSE),"")</f>
        <v>Unidad</v>
      </c>
      <c r="D5455" s="39">
        <v>36</v>
      </c>
      <c r="E5455" s="42">
        <v>29.95</v>
      </c>
      <c r="F5455" s="41">
        <f t="shared" ca="1" si="184"/>
        <v>1078.2</v>
      </c>
    </row>
    <row r="5456" spans="1:6" ht="14.25" customHeight="1" x14ac:dyDescent="0.35">
      <c r="A5456" s="39" t="s">
        <v>4608</v>
      </c>
      <c r="B5456" s="40" t="str">
        <f ca="1">IFERROR(INDEX(UNSPSCDes,MATCH(INDIRECT(ADDRESS(ROW(),COLUMN()-1,4)),UNSPSCCode,0)),IF(INDIRECT(ADDRESS(ROW(),COLUMN()-1,4))="23131507","Tela para lijar",""))</f>
        <v>Tela para lijar</v>
      </c>
      <c r="C5456" s="72" t="str">
        <f>IFERROR(VLOOKUP("UD",'Informacion '!P:Q,2,FALSE),"")</f>
        <v>Unidad</v>
      </c>
      <c r="D5456" s="39">
        <v>36</v>
      </c>
      <c r="E5456" s="42">
        <v>53.07</v>
      </c>
      <c r="F5456" s="41">
        <f t="shared" ca="1" si="184"/>
        <v>1910.52</v>
      </c>
    </row>
    <row r="5457" spans="1:6" ht="14.25" customHeight="1" x14ac:dyDescent="0.35">
      <c r="A5457" s="39" t="s">
        <v>6869</v>
      </c>
      <c r="B5457" s="40" t="str">
        <f ca="1">IFERROR(INDEX(UNSPSCDes,MATCH(INDIRECT(ADDRESS(ROW(),COLUMN()-1,4)),UNSPSCCode,0)),IF(INDIRECT(ADDRESS(ROW(),COLUMN()-1,4))="21102001","Máquinas limpiadoras de semillas, grano o legumbres secas",""))</f>
        <v>Máquinas limpiadoras de semillas, grano o legumbres secas</v>
      </c>
      <c r="C5457" s="72" t="str">
        <f>IFERROR(VLOOKUP("UD",'Informacion '!P:Q,2,FALSE),"")</f>
        <v>Unidad</v>
      </c>
      <c r="D5457" s="39">
        <v>2</v>
      </c>
      <c r="E5457" s="42">
        <v>3415</v>
      </c>
      <c r="F5457" s="41">
        <f t="shared" ca="1" si="184"/>
        <v>6830</v>
      </c>
    </row>
    <row r="5458" spans="1:6" ht="14.25" customHeight="1" x14ac:dyDescent="0.35">
      <c r="A5458" s="39" t="s">
        <v>4608</v>
      </c>
      <c r="B5458" s="40" t="str">
        <f t="shared" ref="B5458:B5463" ca="1" si="185">IFERROR(INDEX(UNSPSCDes,MATCH(INDIRECT(ADDRESS(ROW(),COLUMN()-1,4)),UNSPSCCode,0)),IF(INDIRECT(ADDRESS(ROW(),COLUMN()-1,4))="23131507","Tela para lijar",""))</f>
        <v>Tela para lijar</v>
      </c>
      <c r="C5458" s="72" t="str">
        <f>IFERROR(VLOOKUP("UD",'Informacion '!P:Q,2,FALSE),"")</f>
        <v>Unidad</v>
      </c>
      <c r="D5458" s="39">
        <v>6</v>
      </c>
      <c r="E5458" s="42">
        <v>259</v>
      </c>
      <c r="F5458" s="41">
        <f t="shared" ca="1" si="184"/>
        <v>1554</v>
      </c>
    </row>
    <row r="5459" spans="1:6" ht="14.25" customHeight="1" x14ac:dyDescent="0.35">
      <c r="A5459" s="39" t="s">
        <v>4608</v>
      </c>
      <c r="B5459" s="40" t="str">
        <f t="shared" ca="1" si="185"/>
        <v>Tela para lijar</v>
      </c>
      <c r="C5459" s="72" t="str">
        <f>IFERROR(VLOOKUP("UD",'Informacion '!P:Q,2,FALSE),"")</f>
        <v>Unidad</v>
      </c>
      <c r="D5459" s="39">
        <v>60</v>
      </c>
      <c r="E5459" s="42">
        <v>21.18</v>
      </c>
      <c r="F5459" s="41">
        <f t="shared" ca="1" si="184"/>
        <v>1270.8</v>
      </c>
    </row>
    <row r="5460" spans="1:6" ht="14.25" customHeight="1" x14ac:dyDescent="0.35">
      <c r="A5460" s="39" t="s">
        <v>4608</v>
      </c>
      <c r="B5460" s="40" t="str">
        <f t="shared" ca="1" si="185"/>
        <v>Tela para lijar</v>
      </c>
      <c r="C5460" s="72" t="str">
        <f>IFERROR(VLOOKUP("UD",'Informacion '!P:Q,2,FALSE),"")</f>
        <v>Unidad</v>
      </c>
      <c r="D5460" s="39">
        <v>60</v>
      </c>
      <c r="E5460" s="42">
        <v>55.08</v>
      </c>
      <c r="F5460" s="41">
        <f t="shared" ca="1" si="184"/>
        <v>3304.7999999999997</v>
      </c>
    </row>
    <row r="5461" spans="1:6" ht="14.25" customHeight="1" x14ac:dyDescent="0.35">
      <c r="A5461" s="39" t="s">
        <v>4608</v>
      </c>
      <c r="B5461" s="40" t="str">
        <f t="shared" ca="1" si="185"/>
        <v>Tela para lijar</v>
      </c>
      <c r="C5461" s="72" t="str">
        <f>IFERROR(VLOOKUP("UD",'Informacion '!P:Q,2,FALSE),"")</f>
        <v>Unidad</v>
      </c>
      <c r="D5461" s="39">
        <v>60</v>
      </c>
      <c r="E5461" s="42">
        <v>30</v>
      </c>
      <c r="F5461" s="41">
        <f t="shared" ca="1" si="184"/>
        <v>1800</v>
      </c>
    </row>
    <row r="5462" spans="1:6" ht="14.25" customHeight="1" x14ac:dyDescent="0.35">
      <c r="A5462" s="39" t="s">
        <v>4608</v>
      </c>
      <c r="B5462" s="40" t="str">
        <f t="shared" ca="1" si="185"/>
        <v>Tela para lijar</v>
      </c>
      <c r="C5462" s="72" t="str">
        <f>IFERROR(VLOOKUP("UD",'Informacion '!P:Q,2,FALSE),"")</f>
        <v>Unidad</v>
      </c>
      <c r="D5462" s="39">
        <v>60</v>
      </c>
      <c r="E5462" s="42">
        <v>35</v>
      </c>
      <c r="F5462" s="41">
        <f t="shared" ca="1" si="184"/>
        <v>2100</v>
      </c>
    </row>
    <row r="5463" spans="1:6" ht="14.25" customHeight="1" x14ac:dyDescent="0.35">
      <c r="A5463" s="39" t="s">
        <v>4608</v>
      </c>
      <c r="B5463" s="40" t="str">
        <f t="shared" ca="1" si="185"/>
        <v>Tela para lijar</v>
      </c>
      <c r="C5463" s="72" t="str">
        <f>IFERROR(VLOOKUP("UD",'Informacion '!P:Q,2,FALSE),"")</f>
        <v>Unidad</v>
      </c>
      <c r="D5463" s="39">
        <v>60</v>
      </c>
      <c r="E5463" s="42">
        <v>50.84</v>
      </c>
      <c r="F5463" s="41">
        <f t="shared" ca="1" si="184"/>
        <v>3050.4</v>
      </c>
    </row>
    <row r="5464" spans="1:6" ht="14.25" customHeight="1" x14ac:dyDescent="0.35">
      <c r="A5464" s="39" t="s">
        <v>13082</v>
      </c>
      <c r="B5464" s="40" t="str">
        <f ca="1">IFERROR(INDEX(UNSPSCDes,MATCH(INDIRECT(ADDRESS(ROW(),COLUMN()-1,4)),UNSPSCCode,0)),IF(INDIRECT(ADDRESS(ROW(),COLUMN()-1,4))="23131703","Discos para hacer cabuchones",""))</f>
        <v>Discos para hacer cabuchones</v>
      </c>
      <c r="C5464" s="72" t="str">
        <f>IFERROR(VLOOKUP("UD",'Informacion '!P:Q,2,FALSE),"")</f>
        <v>Unidad</v>
      </c>
      <c r="D5464" s="39">
        <v>36</v>
      </c>
      <c r="E5464" s="42">
        <v>142.69999999999999</v>
      </c>
      <c r="F5464" s="41">
        <f t="shared" ca="1" si="184"/>
        <v>5137.2</v>
      </c>
    </row>
    <row r="5465" spans="1:6" ht="14.25" customHeight="1" x14ac:dyDescent="0.35">
      <c r="A5465" s="39" t="s">
        <v>13082</v>
      </c>
      <c r="B5465" s="40" t="str">
        <f ca="1">IFERROR(INDEX(UNSPSCDes,MATCH(INDIRECT(ADDRESS(ROW(),COLUMN()-1,4)),UNSPSCCode,0)),IF(INDIRECT(ADDRESS(ROW(),COLUMN()-1,4))="23131703","Discos para hacer cabuchones",""))</f>
        <v>Discos para hacer cabuchones</v>
      </c>
      <c r="C5465" s="72" t="str">
        <f>IFERROR(VLOOKUP("UD",'Informacion '!P:Q,2,FALSE),"")</f>
        <v>Unidad</v>
      </c>
      <c r="D5465" s="39">
        <v>36</v>
      </c>
      <c r="E5465" s="42">
        <v>142.69999999999999</v>
      </c>
      <c r="F5465" s="41">
        <f t="shared" ca="1" si="184"/>
        <v>5137.2</v>
      </c>
    </row>
    <row r="5466" spans="1:6" ht="14.25" customHeight="1" x14ac:dyDescent="0.35">
      <c r="A5466" s="39" t="s">
        <v>13082</v>
      </c>
      <c r="B5466" s="40" t="str">
        <f ca="1">IFERROR(INDEX(UNSPSCDes,MATCH(INDIRECT(ADDRESS(ROW(),COLUMN()-1,4)),UNSPSCCode,0)),IF(INDIRECT(ADDRESS(ROW(),COLUMN()-1,4))="23131703","Discos para hacer cabuchones",""))</f>
        <v>Discos para hacer cabuchones</v>
      </c>
      <c r="C5466" s="72" t="str">
        <f>IFERROR(VLOOKUP("UD",'Informacion '!P:Q,2,FALSE),"")</f>
        <v>Unidad</v>
      </c>
      <c r="D5466" s="39">
        <v>24</v>
      </c>
      <c r="E5466" s="42">
        <v>169</v>
      </c>
      <c r="F5466" s="41">
        <f t="shared" ca="1" si="184"/>
        <v>4056</v>
      </c>
    </row>
    <row r="5467" spans="1:6" ht="14.25" customHeight="1" x14ac:dyDescent="0.35">
      <c r="A5467" s="39" t="s">
        <v>13082</v>
      </c>
      <c r="B5467" s="40" t="str">
        <f ca="1">IFERROR(INDEX(UNSPSCDes,MATCH(INDIRECT(ADDRESS(ROW(),COLUMN()-1,4)),UNSPSCCode,0)),IF(INDIRECT(ADDRESS(ROW(),COLUMN()-1,4))="23131703","Discos para hacer cabuchones",""))</f>
        <v>Discos para hacer cabuchones</v>
      </c>
      <c r="C5467" s="72" t="str">
        <f>IFERROR(VLOOKUP("UD",'Informacion '!P:Q,2,FALSE),"")</f>
        <v>Unidad</v>
      </c>
      <c r="D5467" s="39">
        <v>6</v>
      </c>
      <c r="E5467" s="42">
        <v>250</v>
      </c>
      <c r="F5467" s="41">
        <f t="shared" ca="1" si="184"/>
        <v>1500</v>
      </c>
    </row>
    <row r="5468" spans="1:6" ht="14.25" customHeight="1" x14ac:dyDescent="0.35">
      <c r="A5468" s="39" t="s">
        <v>13082</v>
      </c>
      <c r="B5468" s="40" t="str">
        <f ca="1">IFERROR(INDEX(UNSPSCDes,MATCH(INDIRECT(ADDRESS(ROW(),COLUMN()-1,4)),UNSPSCCode,0)),IF(INDIRECT(ADDRESS(ROW(),COLUMN()-1,4))="23131703","Discos para hacer cabuchones",""))</f>
        <v>Discos para hacer cabuchones</v>
      </c>
      <c r="C5468" s="72" t="str">
        <f>IFERROR(VLOOKUP("UD",'Informacion '!P:Q,2,FALSE),"")</f>
        <v>Unidad</v>
      </c>
      <c r="D5468" s="39">
        <v>1</v>
      </c>
      <c r="E5468" s="42">
        <v>5000</v>
      </c>
      <c r="F5468" s="41">
        <f t="shared" ca="1" si="184"/>
        <v>5000</v>
      </c>
    </row>
    <row r="5469" spans="1:6" ht="14.25" customHeight="1" x14ac:dyDescent="0.35">
      <c r="A5469" s="39" t="s">
        <v>11298</v>
      </c>
      <c r="B5469" s="40" t="str">
        <f ca="1">IFERROR(INDEX(UNSPSCDes,MATCH(INDIRECT(ADDRESS(ROW(),COLUMN()-1,4)),UNSPSCCode,0)),IF(INDIRECT(ADDRESS(ROW(),COLUMN()-1,4))="23151607","Prensas",""))</f>
        <v>Prensas</v>
      </c>
      <c r="C5469" s="72" t="str">
        <f>IFERROR(VLOOKUP("UD",'Informacion '!P:Q,2,FALSE),"")</f>
        <v>Unidad</v>
      </c>
      <c r="D5469" s="39">
        <v>2</v>
      </c>
      <c r="E5469" s="42">
        <v>1857.67</v>
      </c>
      <c r="F5469" s="41">
        <f t="shared" ca="1" si="184"/>
        <v>3715.34</v>
      </c>
    </row>
    <row r="5470" spans="1:6" ht="14.25" customHeight="1" x14ac:dyDescent="0.35">
      <c r="A5470" s="39" t="s">
        <v>13515</v>
      </c>
      <c r="B5470" s="40" t="str">
        <f ca="1">IFERROR(INDEX(UNSPSCDes,MATCH(INDIRECT(ADDRESS(ROW(),COLUMN()-1,4)),UNSPSCCode,0)),IF(INDIRECT(ADDRESS(ROW(),COLUMN()-1,4))="23151820","Manómetro",""))</f>
        <v>Manómetro</v>
      </c>
      <c r="C5470" s="72" t="str">
        <f>IFERROR(VLOOKUP("UD",'Informacion '!P:Q,2,FALSE),"")</f>
        <v>Unidad</v>
      </c>
      <c r="D5470" s="39">
        <v>6</v>
      </c>
      <c r="E5470" s="42">
        <v>100</v>
      </c>
      <c r="F5470" s="41">
        <f t="shared" ca="1" si="184"/>
        <v>600</v>
      </c>
    </row>
    <row r="5471" spans="1:6" ht="14.25" customHeight="1" x14ac:dyDescent="0.35">
      <c r="A5471" s="39" t="s">
        <v>13515</v>
      </c>
      <c r="B5471" s="40" t="str">
        <f ca="1">IFERROR(INDEX(UNSPSCDes,MATCH(INDIRECT(ADDRESS(ROW(),COLUMN()-1,4)),UNSPSCCode,0)),IF(INDIRECT(ADDRESS(ROW(),COLUMN()-1,4))="23151820","Manómetro",""))</f>
        <v>Manómetro</v>
      </c>
      <c r="C5471" s="72" t="str">
        <f>IFERROR(VLOOKUP("UD",'Informacion '!P:Q,2,FALSE),"")</f>
        <v>Unidad</v>
      </c>
      <c r="D5471" s="39">
        <v>3</v>
      </c>
      <c r="E5471" s="42">
        <v>1770</v>
      </c>
      <c r="F5471" s="41">
        <f t="shared" ca="1" si="184"/>
        <v>5310</v>
      </c>
    </row>
    <row r="5472" spans="1:6" ht="14.25" customHeight="1" x14ac:dyDescent="0.35">
      <c r="A5472" s="39" t="s">
        <v>13515</v>
      </c>
      <c r="B5472" s="40" t="str">
        <f ca="1">IFERROR(INDEX(UNSPSCDes,MATCH(INDIRECT(ADDRESS(ROW(),COLUMN()-1,4)),UNSPSCCode,0)),IF(INDIRECT(ADDRESS(ROW(),COLUMN()-1,4))="23151820","Manómetro",""))</f>
        <v>Manómetro</v>
      </c>
      <c r="C5472" s="72" t="str">
        <f>IFERROR(VLOOKUP("UD",'Informacion '!P:Q,2,FALSE),"")</f>
        <v>Unidad</v>
      </c>
      <c r="D5472" s="39">
        <v>3</v>
      </c>
      <c r="E5472" s="42">
        <v>2301</v>
      </c>
      <c r="F5472" s="41">
        <f t="shared" ca="1" si="184"/>
        <v>6903</v>
      </c>
    </row>
    <row r="5473" spans="1:10" ht="14.25" customHeight="1" x14ac:dyDescent="0.35">
      <c r="A5473" s="39" t="s">
        <v>10681</v>
      </c>
      <c r="B5473" s="40" t="str">
        <f ca="1">IFERROR(INDEX(UNSPSCDes,MATCH(INDIRECT(ADDRESS(ROW(),COLUMN()-1,4)),UNSPSCCode,0)),IF(INDIRECT(ADDRESS(ROW(),COLUMN()-1,4))="23153025","Agarrador mecánico",""))</f>
        <v>Agarrador mecánico</v>
      </c>
      <c r="C5473" s="72" t="str">
        <f>IFERROR(VLOOKUP("UD",'Informacion '!P:Q,2,FALSE),"")</f>
        <v>Unidad</v>
      </c>
      <c r="D5473" s="39">
        <v>80</v>
      </c>
      <c r="E5473" s="42">
        <v>113.61</v>
      </c>
      <c r="F5473" s="41">
        <f t="shared" ca="1" si="184"/>
        <v>9088.7999999999993</v>
      </c>
    </row>
    <row r="5474" spans="1:10" ht="14.25" customHeight="1" x14ac:dyDescent="0.35">
      <c r="A5474" s="39" t="s">
        <v>10681</v>
      </c>
      <c r="B5474" s="40" t="str">
        <f ca="1">IFERROR(INDEX(UNSPSCDes,MATCH(INDIRECT(ADDRESS(ROW(),COLUMN()-1,4)),UNSPSCCode,0)),IF(INDIRECT(ADDRESS(ROW(),COLUMN()-1,4))="23153025","Agarrador mecánico",""))</f>
        <v>Agarrador mecánico</v>
      </c>
      <c r="C5474" s="72" t="str">
        <f>IFERROR(VLOOKUP("UD",'Informacion '!P:Q,2,FALSE),"")</f>
        <v>Unidad</v>
      </c>
      <c r="D5474" s="39">
        <v>12</v>
      </c>
      <c r="E5474" s="42">
        <v>113.61</v>
      </c>
      <c r="F5474" s="41">
        <f t="shared" ca="1" si="184"/>
        <v>1363.32</v>
      </c>
    </row>
    <row r="5475" spans="1:10" ht="14.25" customHeight="1" x14ac:dyDescent="0.35">
      <c r="A5475" s="39" t="s">
        <v>10681</v>
      </c>
      <c r="B5475" s="40" t="str">
        <f ca="1">IFERROR(INDEX(UNSPSCDes,MATCH(INDIRECT(ADDRESS(ROW(),COLUMN()-1,4)),UNSPSCCode,0)),IF(INDIRECT(ADDRESS(ROW(),COLUMN()-1,4))="23153025","Agarrador mecánico",""))</f>
        <v>Agarrador mecánico</v>
      </c>
      <c r="C5475" s="72" t="str">
        <f>IFERROR(VLOOKUP("UD",'Informacion '!P:Q,2,FALSE),"")</f>
        <v>Unidad</v>
      </c>
      <c r="D5475" s="39">
        <v>64</v>
      </c>
      <c r="E5475" s="42">
        <v>113.61</v>
      </c>
      <c r="F5475" s="41">
        <f t="shared" ca="1" si="184"/>
        <v>7271.04</v>
      </c>
    </row>
    <row r="5476" spans="1:10" ht="14.25" customHeight="1" x14ac:dyDescent="0.35">
      <c r="A5476" s="39" t="s">
        <v>7987</v>
      </c>
      <c r="B5476" s="40" t="str">
        <f ca="1">IFERROR(INDEX(UNSPSCDes,MATCH(INDIRECT(ADDRESS(ROW(),COLUMN()-1,4)),UNSPSCCode,0)),IF(INDIRECT(ADDRESS(ROW(),COLUMN()-1,4))="23153501","Sistemas de aplicación de pintura",""))</f>
        <v>Sistemas de aplicación de pintura</v>
      </c>
      <c r="C5476" s="72" t="str">
        <f>IFERROR(VLOOKUP("UD",'Informacion '!P:Q,2,FALSE),"")</f>
        <v>Unidad</v>
      </c>
      <c r="D5476" s="39">
        <v>1</v>
      </c>
      <c r="E5476" s="42">
        <v>40295</v>
      </c>
      <c r="F5476" s="41">
        <f t="shared" ca="1" si="184"/>
        <v>40295</v>
      </c>
    </row>
    <row r="5477" spans="1:10" ht="14.25" customHeight="1" x14ac:dyDescent="0.35">
      <c r="A5477" s="39" t="s">
        <v>7987</v>
      </c>
      <c r="B5477" s="40" t="str">
        <f ca="1">IFERROR(INDEX(UNSPSCDes,MATCH(INDIRECT(ADDRESS(ROW(),COLUMN()-1,4)),UNSPSCCode,0)),IF(INDIRECT(ADDRESS(ROW(),COLUMN()-1,4))="23153501","Sistemas de aplicación de pintura",""))</f>
        <v>Sistemas de aplicación de pintura</v>
      </c>
      <c r="C5477" s="72" t="str">
        <f>IFERROR(VLOOKUP("UD",'Informacion '!P:Q,2,FALSE),"")</f>
        <v>Unidad</v>
      </c>
      <c r="D5477" s="39">
        <v>2</v>
      </c>
      <c r="E5477" s="42">
        <v>2684</v>
      </c>
      <c r="F5477" s="41">
        <f t="shared" ca="1" si="184"/>
        <v>5368</v>
      </c>
    </row>
    <row r="5478" spans="1:10" ht="14.25" customHeight="1" x14ac:dyDescent="0.35">
      <c r="A5478" s="39" t="s">
        <v>4997</v>
      </c>
      <c r="B5478" s="40" t="str">
        <f ca="1">IFERROR(INDEX(UNSPSCDes,MATCH(INDIRECT(ADDRESS(ROW(),COLUMN()-1,4)),UNSPSCCode,0)),IF(INDIRECT(ADDRESS(ROW(),COLUMN()-1,4))="23171504","Sopletes",""))</f>
        <v>Sopletes</v>
      </c>
      <c r="C5478" s="72" t="str">
        <f>IFERROR(VLOOKUP("UD",'Informacion '!P:Q,2,FALSE),"")</f>
        <v>Unidad</v>
      </c>
      <c r="D5478" s="39">
        <v>6</v>
      </c>
      <c r="E5478" s="42">
        <v>1534</v>
      </c>
      <c r="F5478" s="41">
        <f t="shared" ca="1" si="184"/>
        <v>9204</v>
      </c>
    </row>
    <row r="5479" spans="1:10" ht="14.25" customHeight="1" x14ac:dyDescent="0.35">
      <c r="A5479" s="39" t="s">
        <v>15008</v>
      </c>
      <c r="B5479" s="40" t="str">
        <f ca="1">IFERROR(INDEX(UNSPSCDes,MATCH(INDIRECT(ADDRESS(ROW(),COLUMN()-1,4)),UNSPSCCode,0)),IF(INDIRECT(ADDRESS(ROW(),COLUMN()-1,4))="23171507","Soldadores o pistolas para sueldas",""))</f>
        <v>Soldadores o pistolas para sueldas</v>
      </c>
      <c r="C5479" s="72" t="str">
        <f>IFERROR(VLOOKUP("UD",'Informacion '!P:Q,2,FALSE),"")</f>
        <v>Unidad</v>
      </c>
      <c r="D5479" s="39">
        <v>6</v>
      </c>
      <c r="E5479" s="42">
        <v>849.5</v>
      </c>
      <c r="F5479" s="41">
        <f t="shared" ca="1" si="184"/>
        <v>5097</v>
      </c>
    </row>
    <row r="5480" spans="1:10" ht="14.25" customHeight="1" x14ac:dyDescent="0.35">
      <c r="A5480" s="39" t="s">
        <v>12507</v>
      </c>
      <c r="B5480" s="40" t="str">
        <f ca="1">IFERROR(INDEX(UNSPSCDes,MATCH(INDIRECT(ADDRESS(ROW(),COLUMN()-1,4)),UNSPSCCode,0)),IF(INDIRECT(ADDRESS(ROW(),COLUMN()-1,4))="23171512","Varillas soldadoras",""))</f>
        <v>Varillas soldadoras</v>
      </c>
      <c r="C5480" s="72" t="str">
        <f>IFERROR(VLOOKUP("UD",'Informacion '!P:Q,2,FALSE),"")</f>
        <v>Unidad</v>
      </c>
      <c r="D5480" s="39">
        <v>24</v>
      </c>
      <c r="E5480" s="42">
        <v>696</v>
      </c>
      <c r="F5480" s="41">
        <f t="shared" ca="1" si="184"/>
        <v>16704</v>
      </c>
    </row>
    <row r="5481" spans="1:10" ht="14.25" customHeight="1" x14ac:dyDescent="0.35">
      <c r="A5481" s="39" t="s">
        <v>1654</v>
      </c>
      <c r="B5481" s="40" t="str">
        <f ca="1">IFERROR(INDEX(UNSPSCDes,MATCH(INDIRECT(ADDRESS(ROW(),COLUMN()-1,4)),UNSPSCCode,0)),IF(INDIRECT(ADDRESS(ROW(),COLUMN()-1,4))="23171522","Fundentes para soldar",""))</f>
        <v>Fundentes para soldar</v>
      </c>
      <c r="C5481" s="72" t="str">
        <f>IFERROR(VLOOKUP("UD",'Informacion '!P:Q,2,FALSE),"")</f>
        <v>Unidad</v>
      </c>
      <c r="D5481" s="39">
        <v>10</v>
      </c>
      <c r="E5481" s="42">
        <v>80.5</v>
      </c>
      <c r="F5481" s="41">
        <f t="shared" ca="1" si="184"/>
        <v>805</v>
      </c>
    </row>
    <row r="5482" spans="1:10" ht="14.25" customHeight="1" x14ac:dyDescent="0.35">
      <c r="A5482" s="39" t="s">
        <v>7021</v>
      </c>
      <c r="B5482" s="40" t="str">
        <f ca="1">IFERROR(INDEX(UNSPSCDes,MATCH(INDIRECT(ADDRESS(ROW(),COLUMN()-1,4)),UNSPSCCode,0)),IF(INDIRECT(ADDRESS(ROW(),COLUMN()-1,4))="23171906","Herramientas de Montaje o Desmontaje",""))</f>
        <v>Herramientas de Montaje o Desmontaje</v>
      </c>
      <c r="C5482" s="72" t="str">
        <f>IFERROR(VLOOKUP("UD",'Informacion '!P:Q,2,FALSE),"")</f>
        <v>Unidad</v>
      </c>
      <c r="D5482" s="39">
        <v>3</v>
      </c>
      <c r="E5482" s="42">
        <v>4096</v>
      </c>
      <c r="F5482" s="41">
        <f t="shared" ca="1" si="184"/>
        <v>12288</v>
      </c>
    </row>
    <row r="5483" spans="1:10" ht="14.25" customHeight="1" x14ac:dyDescent="0.35">
      <c r="A5483" s="39" t="s">
        <v>6250</v>
      </c>
      <c r="B5483" s="40" t="str">
        <f ca="1">IFERROR(INDEX(UNSPSCDes,MATCH(INDIRECT(ADDRESS(ROW(),COLUMN()-1,4)),UNSPSCCode,0)),IF(INDIRECT(ADDRESS(ROW(),COLUMN()-1,4))="23231402","Sierra cero",""))</f>
        <v>Sierra cero</v>
      </c>
      <c r="C5483" s="72" t="str">
        <f>IFERROR(VLOOKUP("UD",'Informacion '!P:Q,2,FALSE),"")</f>
        <v>Unidad</v>
      </c>
      <c r="D5483" s="39">
        <v>6</v>
      </c>
      <c r="E5483" s="42">
        <v>740.5</v>
      </c>
      <c r="F5483" s="41">
        <f t="shared" ca="1" si="184"/>
        <v>4443</v>
      </c>
    </row>
    <row r="5484" spans="1:10" ht="14.25" customHeight="1" x14ac:dyDescent="0.35">
      <c r="A5484" s="39" t="s">
        <v>11941</v>
      </c>
      <c r="B5484" s="40" t="str">
        <f ca="1">IFERROR(INDEX(UNSPSCDes,MATCH(INDIRECT(ADDRESS(ROW(),COLUMN()-1,4)),UNSPSCCode,0)),IF(INDIRECT(ADDRESS(ROW(),COLUMN()-1,4))="23232001","Porta cuchillas",""))</f>
        <v>Porta cuchillas</v>
      </c>
      <c r="C5484" s="72" t="str">
        <f>IFERROR(VLOOKUP("UD",'Informacion '!P:Q,2,FALSE),"")</f>
        <v>Unidad</v>
      </c>
      <c r="D5484" s="39">
        <v>2</v>
      </c>
      <c r="E5484" s="42">
        <v>448</v>
      </c>
      <c r="F5484" s="41">
        <f t="shared" ca="1" si="184"/>
        <v>896</v>
      </c>
    </row>
    <row r="5485" spans="1:10" ht="14.25" customHeight="1" x14ac:dyDescent="0.35">
      <c r="A5485" s="39" t="s">
        <v>3924</v>
      </c>
      <c r="B5485" s="40" t="str">
        <f ca="1">IFERROR(INDEX(UNSPSCDes,MATCH(INDIRECT(ADDRESS(ROW(),COLUMN()-1,4)),UNSPSCCode,0)),IF(INDIRECT(ADDRESS(ROW(),COLUMN()-1,4))="24101507","Carretillas",""))</f>
        <v>Carretillas</v>
      </c>
      <c r="C5485" s="72" t="str">
        <f>IFERROR(VLOOKUP("UD",'Informacion '!P:Q,2,FALSE),"")</f>
        <v>Unidad</v>
      </c>
      <c r="D5485" s="39">
        <v>2</v>
      </c>
      <c r="E5485" s="42">
        <v>4059</v>
      </c>
      <c r="F5485" s="41">
        <f t="shared" ca="1" si="184"/>
        <v>8118</v>
      </c>
    </row>
    <row r="5486" spans="1:10" ht="14.25" customHeight="1" x14ac:dyDescent="0.35">
      <c r="E5486" s="44" t="s">
        <v>13122</v>
      </c>
      <c r="F5486" s="45">
        <f ca="1">SUM(Table308[MONTO TOTAL ESTIMADO])</f>
        <v>211870.12</v>
      </c>
      <c r="H5486" s="24" t="str">
        <f>C5442</f>
        <v>Bienes</v>
      </c>
      <c r="I5486" s="24" t="str">
        <f>E5442</f>
        <v>Sí</v>
      </c>
      <c r="J5486" s="24" t="str">
        <f>D5442</f>
        <v>Compras por debajo del Umbral</v>
      </c>
    </row>
    <row r="5488" spans="1:10" ht="34" customHeight="1" x14ac:dyDescent="0.35">
      <c r="A5488" s="36" t="s">
        <v>17105</v>
      </c>
      <c r="B5488" s="36" t="s">
        <v>167</v>
      </c>
      <c r="C5488" s="36" t="s">
        <v>12252</v>
      </c>
      <c r="D5488" s="36" t="s">
        <v>15021</v>
      </c>
      <c r="E5488" s="36" t="s">
        <v>11455</v>
      </c>
      <c r="F5488" s="36" t="s">
        <v>11595</v>
      </c>
    </row>
    <row r="5489" spans="1:10" ht="14.25" customHeight="1" x14ac:dyDescent="0.35">
      <c r="A5489" s="37" t="s">
        <v>2635</v>
      </c>
      <c r="B5489" s="37" t="s">
        <v>2635</v>
      </c>
      <c r="C5489" s="37" t="s">
        <v>18585</v>
      </c>
      <c r="D5489" s="37" t="s">
        <v>18256</v>
      </c>
      <c r="E5489" s="37" t="s">
        <v>9261</v>
      </c>
      <c r="F5489" s="37" t="s">
        <v>7088</v>
      </c>
    </row>
    <row r="5490" spans="1:10" ht="14.25" customHeight="1" x14ac:dyDescent="0.35">
      <c r="A5490" s="75" t="s">
        <v>15490</v>
      </c>
      <c r="B5490" s="38" t="s">
        <v>8918</v>
      </c>
      <c r="C5490" s="68">
        <v>45383</v>
      </c>
      <c r="D5490" s="75" t="s">
        <v>9819</v>
      </c>
      <c r="E5490" s="70" t="s">
        <v>13683</v>
      </c>
      <c r="F5490" s="71" t="s">
        <v>3205</v>
      </c>
    </row>
    <row r="5491" spans="1:10" ht="14.25" customHeight="1" x14ac:dyDescent="0.35">
      <c r="A5491" s="76"/>
      <c r="B5491" s="38" t="s">
        <v>1858</v>
      </c>
      <c r="C5491" s="69">
        <f>IF(C5490="","",IF(AND(MONTH(C5490)&gt;=1,MONTH(C5490)&lt;=3),1,IF(AND(MONTH(C5490)&gt;=4,MONTH(C5490)&lt;=6),2,IF(AND(MONTH(C5490)&gt;=7,MONTH(C5490)&lt;=9),3,4))))</f>
        <v>2</v>
      </c>
      <c r="D5491" s="76"/>
      <c r="E5491" s="70" t="s">
        <v>2509</v>
      </c>
      <c r="F5491" s="71" t="s">
        <v>11612</v>
      </c>
    </row>
    <row r="5492" spans="1:10" ht="14.25" customHeight="1" x14ac:dyDescent="0.35">
      <c r="A5492" s="76"/>
      <c r="B5492" s="38" t="s">
        <v>13526</v>
      </c>
      <c r="C5492" s="68">
        <v>45472</v>
      </c>
      <c r="D5492" s="76"/>
      <c r="E5492" s="70" t="s">
        <v>3198</v>
      </c>
      <c r="F5492" s="71" t="s">
        <v>11612</v>
      </c>
    </row>
    <row r="5493" spans="1:10" ht="14.25" customHeight="1" x14ac:dyDescent="0.35">
      <c r="A5493" s="76"/>
      <c r="B5493" s="38" t="s">
        <v>1858</v>
      </c>
      <c r="C5493" s="69">
        <f>IF(C5492="","",IF(AND(MONTH(C5492)&gt;=1,MONTH(C5492)&lt;=3),1,IF(AND(MONTH(C5492)&gt;=4,MONTH(C5492)&lt;=6),2,IF(AND(MONTH(C5492)&gt;=7,MONTH(C5492)&lt;=9),3,4))))</f>
        <v>2</v>
      </c>
      <c r="D5493" s="76"/>
      <c r="E5493" s="70" t="s">
        <v>13785</v>
      </c>
      <c r="F5493" s="71"/>
    </row>
    <row r="5495" spans="1:10" ht="14.25" customHeight="1" x14ac:dyDescent="0.35">
      <c r="A5495" s="43" t="s">
        <v>16424</v>
      </c>
      <c r="B5495" s="43" t="s">
        <v>16856</v>
      </c>
      <c r="C5495" s="43" t="s">
        <v>16326</v>
      </c>
      <c r="D5495" s="43" t="s">
        <v>15925</v>
      </c>
      <c r="E5495" s="43" t="s">
        <v>7248</v>
      </c>
      <c r="F5495" s="43" t="s">
        <v>15955</v>
      </c>
    </row>
    <row r="5496" spans="1:10" ht="14.25" customHeight="1" x14ac:dyDescent="0.35">
      <c r="A5496" s="39" t="s">
        <v>10928</v>
      </c>
      <c r="B5496" s="40" t="str">
        <f ca="1">IFERROR(INDEX(UNSPSCDes,MATCH(INDIRECT(ADDRESS(ROW(),COLUMN()-1,4)),UNSPSCCode,0)),IF(INDIRECT(ADDRESS(ROW(),COLUMN()-1,4))="21101701","Cortadoras de pasto",""))</f>
        <v>Cortadoras de pasto</v>
      </c>
      <c r="C5496" s="72" t="str">
        <f>IFERROR(VLOOKUP("UD",'Informacion '!P:Q,2,FALSE),"")</f>
        <v>Unidad</v>
      </c>
      <c r="D5496" s="39">
        <v>4</v>
      </c>
      <c r="E5496" s="42">
        <v>10000</v>
      </c>
      <c r="F5496" s="41">
        <f ca="1">INDIRECT(ADDRESS(ROW(),COLUMN()-2,4))*INDIRECT(ADDRESS(ROW(),COLUMN()-1,4))</f>
        <v>40000</v>
      </c>
    </row>
    <row r="5497" spans="1:10" ht="14.25" customHeight="1" x14ac:dyDescent="0.35">
      <c r="A5497" s="39" t="s">
        <v>3728</v>
      </c>
      <c r="B5497" s="40" t="str">
        <f ca="1">IFERROR(INDEX(UNSPSCDes,MATCH(INDIRECT(ADDRESS(ROW(),COLUMN()-1,4)),UNSPSCCode,0)),IF(INDIRECT(ADDRESS(ROW(),COLUMN()-1,4))="22101519","Máquina giratoria con cazoleta de rastrillos abiertas",""))</f>
        <v>Máquina giratoria con cazoleta de rastrillos abiertas</v>
      </c>
      <c r="C5497" s="72" t="str">
        <f>IFERROR(VLOOKUP("UD",'Informacion '!P:Q,2,FALSE),"")</f>
        <v>Unidad</v>
      </c>
      <c r="D5497" s="39">
        <v>1</v>
      </c>
      <c r="E5497" s="42">
        <v>700000</v>
      </c>
      <c r="F5497" s="41">
        <f ca="1">INDIRECT(ADDRESS(ROW(),COLUMN()-2,4))*INDIRECT(ADDRESS(ROW(),COLUMN()-1,4))</f>
        <v>700000</v>
      </c>
    </row>
    <row r="5498" spans="1:10" ht="14.25" customHeight="1" x14ac:dyDescent="0.35">
      <c r="A5498" s="39" t="s">
        <v>3728</v>
      </c>
      <c r="B5498" s="40" t="str">
        <f ca="1">IFERROR(INDEX(UNSPSCDes,MATCH(INDIRECT(ADDRESS(ROW(),COLUMN()-1,4)),UNSPSCCode,0)),IF(INDIRECT(ADDRESS(ROW(),COLUMN()-1,4))="22101519","Máquina giratoria con cazoleta de rastrillos abiertas",""))</f>
        <v>Máquina giratoria con cazoleta de rastrillos abiertas</v>
      </c>
      <c r="C5498" s="72" t="str">
        <f>IFERROR(VLOOKUP("UD",'Informacion '!P:Q,2,FALSE),"")</f>
        <v>Unidad</v>
      </c>
      <c r="D5498" s="39">
        <v>1</v>
      </c>
      <c r="E5498" s="42">
        <v>900000</v>
      </c>
      <c r="F5498" s="41">
        <f ca="1">INDIRECT(ADDRESS(ROW(),COLUMN()-2,4))*INDIRECT(ADDRESS(ROW(),COLUMN()-1,4))</f>
        <v>900000</v>
      </c>
    </row>
    <row r="5499" spans="1:10" ht="14.25" customHeight="1" x14ac:dyDescent="0.35">
      <c r="A5499" s="39" t="s">
        <v>7987</v>
      </c>
      <c r="B5499" s="40" t="str">
        <f ca="1">IFERROR(INDEX(UNSPSCDes,MATCH(INDIRECT(ADDRESS(ROW(),COLUMN()-1,4)),UNSPSCCode,0)),IF(INDIRECT(ADDRESS(ROW(),COLUMN()-1,4))="23153501","Sistemas de aplicación de pintura",""))</f>
        <v>Sistemas de aplicación de pintura</v>
      </c>
      <c r="C5499" s="72" t="str">
        <f>IFERROR(VLOOKUP("UD",'Informacion '!P:Q,2,FALSE),"")</f>
        <v>Unidad</v>
      </c>
      <c r="D5499" s="39">
        <v>4</v>
      </c>
      <c r="E5499" s="42">
        <v>3200</v>
      </c>
      <c r="F5499" s="41">
        <f ca="1">INDIRECT(ADDRESS(ROW(),COLUMN()-2,4))*INDIRECT(ADDRESS(ROW(),COLUMN()-1,4))</f>
        <v>12800</v>
      </c>
    </row>
    <row r="5500" spans="1:10" ht="14.25" customHeight="1" x14ac:dyDescent="0.35">
      <c r="E5500" s="44" t="s">
        <v>13122</v>
      </c>
      <c r="F5500" s="45">
        <f ca="1">SUM(Table309[MONTO TOTAL ESTIMADO])</f>
        <v>1652800</v>
      </c>
      <c r="H5500" s="24" t="str">
        <f>C5489</f>
        <v>Bienes</v>
      </c>
      <c r="I5500" s="24" t="str">
        <f>E5489</f>
        <v>Sí</v>
      </c>
      <c r="J5500" s="24" t="str">
        <f>D5489</f>
        <v>Compras Menores</v>
      </c>
    </row>
    <row r="5502" spans="1:10" ht="34" customHeight="1" x14ac:dyDescent="0.35">
      <c r="A5502" s="36" t="s">
        <v>17105</v>
      </c>
      <c r="B5502" s="36" t="s">
        <v>167</v>
      </c>
      <c r="C5502" s="36" t="s">
        <v>12252</v>
      </c>
      <c r="D5502" s="36" t="s">
        <v>15021</v>
      </c>
      <c r="E5502" s="36" t="s">
        <v>11455</v>
      </c>
      <c r="F5502" s="36" t="s">
        <v>11595</v>
      </c>
    </row>
    <row r="5503" spans="1:10" ht="14.25" customHeight="1" x14ac:dyDescent="0.35">
      <c r="A5503" s="37" t="s">
        <v>1191</v>
      </c>
      <c r="B5503" s="37" t="s">
        <v>1191</v>
      </c>
      <c r="C5503" s="37" t="s">
        <v>18585</v>
      </c>
      <c r="D5503" s="37" t="s">
        <v>10634</v>
      </c>
      <c r="E5503" s="37" t="s">
        <v>9261</v>
      </c>
      <c r="F5503" s="37" t="s">
        <v>7088</v>
      </c>
    </row>
    <row r="5504" spans="1:10" ht="14.25" customHeight="1" x14ac:dyDescent="0.35">
      <c r="A5504" s="75" t="s">
        <v>15490</v>
      </c>
      <c r="B5504" s="38" t="s">
        <v>8918</v>
      </c>
      <c r="C5504" s="68">
        <v>45334</v>
      </c>
      <c r="D5504" s="75" t="s">
        <v>9819</v>
      </c>
      <c r="E5504" s="70" t="s">
        <v>13683</v>
      </c>
      <c r="F5504" s="71" t="s">
        <v>3205</v>
      </c>
    </row>
    <row r="5505" spans="1:10" ht="14.25" customHeight="1" x14ac:dyDescent="0.35">
      <c r="A5505" s="76"/>
      <c r="B5505" s="38" t="s">
        <v>1858</v>
      </c>
      <c r="C5505" s="69">
        <f>IF(C5504="","",IF(AND(MONTH(C5504)&gt;=1,MONTH(C5504)&lt;=3),1,IF(AND(MONTH(C5504)&gt;=4,MONTH(C5504)&lt;=6),2,IF(AND(MONTH(C5504)&gt;=7,MONTH(C5504)&lt;=9),3,4))))</f>
        <v>1</v>
      </c>
      <c r="D5505" s="76"/>
      <c r="E5505" s="70" t="s">
        <v>2509</v>
      </c>
      <c r="F5505" s="71" t="s">
        <v>11612</v>
      </c>
    </row>
    <row r="5506" spans="1:10" ht="14.25" customHeight="1" x14ac:dyDescent="0.35">
      <c r="A5506" s="76"/>
      <c r="B5506" s="38" t="s">
        <v>13526</v>
      </c>
      <c r="C5506" s="68">
        <v>45352</v>
      </c>
      <c r="D5506" s="76"/>
      <c r="E5506" s="70" t="s">
        <v>3198</v>
      </c>
      <c r="F5506" s="71" t="s">
        <v>11612</v>
      </c>
    </row>
    <row r="5507" spans="1:10" ht="14.25" customHeight="1" x14ac:dyDescent="0.35">
      <c r="A5507" s="76"/>
      <c r="B5507" s="38" t="s">
        <v>1858</v>
      </c>
      <c r="C5507" s="69">
        <f>IF(C5506="","",IF(AND(MONTH(C5506)&gt;=1,MONTH(C5506)&lt;=3),1,IF(AND(MONTH(C5506)&gt;=4,MONTH(C5506)&lt;=6),2,IF(AND(MONTH(C5506)&gt;=7,MONTH(C5506)&lt;=9),3,4))))</f>
        <v>1</v>
      </c>
      <c r="D5507" s="76"/>
      <c r="E5507" s="70" t="s">
        <v>13785</v>
      </c>
      <c r="F5507" s="71"/>
    </row>
    <row r="5509" spans="1:10" ht="14.25" customHeight="1" x14ac:dyDescent="0.35">
      <c r="A5509" s="43" t="s">
        <v>16424</v>
      </c>
      <c r="B5509" s="43" t="s">
        <v>16856</v>
      </c>
      <c r="C5509" s="43" t="s">
        <v>16326</v>
      </c>
      <c r="D5509" s="43" t="s">
        <v>15925</v>
      </c>
      <c r="E5509" s="43" t="s">
        <v>7248</v>
      </c>
      <c r="F5509" s="43" t="s">
        <v>15955</v>
      </c>
    </row>
    <row r="5510" spans="1:10" ht="14.25" customHeight="1" x14ac:dyDescent="0.35">
      <c r="A5510" s="39" t="s">
        <v>17773</v>
      </c>
      <c r="B5510" s="40" t="str">
        <f ca="1">IFERROR(INDEX(UNSPSCDes,MATCH(INDIRECT(ADDRESS(ROW(),COLUMN()-1,4)),UNSPSCCode,0)),IF(INDIRECT(ADDRESS(ROW(),COLUMN()-1,4))="24111501","Bolsas de lona",""))</f>
        <v>Bolsas de lona</v>
      </c>
      <c r="C5510" s="72" t="str">
        <f>IFERROR(VLOOKUP("UD",'Informacion '!P:Q,2,FALSE),"")</f>
        <v>Unidad</v>
      </c>
      <c r="D5510" s="39">
        <v>9</v>
      </c>
      <c r="E5510" s="42">
        <v>3500</v>
      </c>
      <c r="F5510" s="41">
        <f t="shared" ref="F5510:F5519" ca="1" si="186">INDIRECT(ADDRESS(ROW(),COLUMN()-2,4))*INDIRECT(ADDRESS(ROW(),COLUMN()-1,4))</f>
        <v>31500</v>
      </c>
    </row>
    <row r="5511" spans="1:10" ht="14.25" customHeight="1" x14ac:dyDescent="0.35">
      <c r="A5511" s="39" t="s">
        <v>4842</v>
      </c>
      <c r="B5511" s="40" t="str">
        <f ca="1">IFERROR(INDEX(UNSPSCDes,MATCH(INDIRECT(ADDRESS(ROW(),COLUMN()-1,4)),UNSPSCCode,0)),IF(INDIRECT(ADDRESS(ROW(),COLUMN()-1,4))="24111503","Bolsas plásticas",""))</f>
        <v>Bolsas plásticas</v>
      </c>
      <c r="C5511" s="72" t="str">
        <f>IFERROR(VLOOKUP("UD",'Informacion '!P:Q,2,FALSE),"")</f>
        <v>Unidad</v>
      </c>
      <c r="D5511" s="39">
        <v>80</v>
      </c>
      <c r="E5511" s="42">
        <v>511</v>
      </c>
      <c r="F5511" s="41">
        <f t="shared" ca="1" si="186"/>
        <v>40880</v>
      </c>
    </row>
    <row r="5512" spans="1:10" ht="14.25" customHeight="1" x14ac:dyDescent="0.35">
      <c r="A5512" s="39" t="s">
        <v>4842</v>
      </c>
      <c r="B5512" s="40" t="str">
        <f ca="1">IFERROR(INDEX(UNSPSCDes,MATCH(INDIRECT(ADDRESS(ROW(),COLUMN()-1,4)),UNSPSCCode,0)),IF(INDIRECT(ADDRESS(ROW(),COLUMN()-1,4))="24111503","Bolsas plásticas",""))</f>
        <v>Bolsas plásticas</v>
      </c>
      <c r="C5512" s="72" t="str">
        <f>IFERROR(VLOOKUP("UD",'Informacion '!P:Q,2,FALSE),"")</f>
        <v>Unidad</v>
      </c>
      <c r="D5512" s="39">
        <v>5000</v>
      </c>
      <c r="E5512" s="42">
        <v>2.5</v>
      </c>
      <c r="F5512" s="41">
        <f t="shared" ca="1" si="186"/>
        <v>12500</v>
      </c>
    </row>
    <row r="5513" spans="1:10" ht="14.25" customHeight="1" x14ac:dyDescent="0.35">
      <c r="A5513" s="39" t="s">
        <v>4842</v>
      </c>
      <c r="B5513" s="40" t="str">
        <f ca="1">IFERROR(INDEX(UNSPSCDes,MATCH(INDIRECT(ADDRESS(ROW(),COLUMN()-1,4)),UNSPSCCode,0)),IF(INDIRECT(ADDRESS(ROW(),COLUMN()-1,4))="24111503","Bolsas plásticas",""))</f>
        <v>Bolsas plásticas</v>
      </c>
      <c r="C5513" s="72" t="str">
        <f>IFERROR(VLOOKUP("UD",'Informacion '!P:Q,2,FALSE),"")</f>
        <v>Unidad</v>
      </c>
      <c r="D5513" s="39">
        <v>3750</v>
      </c>
      <c r="E5513" s="42">
        <v>2.36</v>
      </c>
      <c r="F5513" s="41">
        <f t="shared" ca="1" si="186"/>
        <v>8850</v>
      </c>
    </row>
    <row r="5514" spans="1:10" ht="14.25" customHeight="1" x14ac:dyDescent="0.35">
      <c r="A5514" s="39" t="s">
        <v>4842</v>
      </c>
      <c r="B5514" s="40" t="str">
        <f ca="1">IFERROR(INDEX(UNSPSCDes,MATCH(INDIRECT(ADDRESS(ROW(),COLUMN()-1,4)),UNSPSCCode,0)),IF(INDIRECT(ADDRESS(ROW(),COLUMN()-1,4))="24111503","Bolsas plásticas",""))</f>
        <v>Bolsas plásticas</v>
      </c>
      <c r="C5514" s="72" t="str">
        <f>IFERROR(VLOOKUP("UD",'Informacion '!P:Q,2,FALSE),"")</f>
        <v>Unidad</v>
      </c>
      <c r="D5514" s="39">
        <v>2</v>
      </c>
      <c r="E5514" s="42">
        <v>147.5</v>
      </c>
      <c r="F5514" s="41">
        <f t="shared" ca="1" si="186"/>
        <v>295</v>
      </c>
    </row>
    <row r="5515" spans="1:10" ht="14.25" customHeight="1" x14ac:dyDescent="0.35">
      <c r="A5515" s="39" t="s">
        <v>11229</v>
      </c>
      <c r="B5515" s="40" t="str">
        <f ca="1">IFERROR(INDEX(UNSPSCDes,MATCH(INDIRECT(ADDRESS(ROW(),COLUMN()-1,4)),UNSPSCCode,0)),IF(INDIRECT(ADDRESS(ROW(),COLUMN()-1,4))="24111802","Tanques o cilindros de aire o gas",""))</f>
        <v>Tanques o cilindros de aire o gas</v>
      </c>
      <c r="C5515" s="72" t="str">
        <f>IFERROR(VLOOKUP("UD",'Informacion '!P:Q,2,FALSE),"")</f>
        <v>Unidad</v>
      </c>
      <c r="D5515" s="39">
        <v>25</v>
      </c>
      <c r="E5515" s="42">
        <v>5300</v>
      </c>
      <c r="F5515" s="41">
        <f t="shared" ca="1" si="186"/>
        <v>132500</v>
      </c>
    </row>
    <row r="5516" spans="1:10" ht="14.25" customHeight="1" x14ac:dyDescent="0.35">
      <c r="A5516" s="39" t="s">
        <v>11229</v>
      </c>
      <c r="B5516" s="40" t="str">
        <f ca="1">IFERROR(INDEX(UNSPSCDes,MATCH(INDIRECT(ADDRESS(ROW(),COLUMN()-1,4)),UNSPSCCode,0)),IF(INDIRECT(ADDRESS(ROW(),COLUMN()-1,4))="24111802","Tanques o cilindros de aire o gas",""))</f>
        <v>Tanques o cilindros de aire o gas</v>
      </c>
      <c r="C5516" s="72" t="str">
        <f>IFERROR(VLOOKUP("UD",'Informacion '!P:Q,2,FALSE),"")</f>
        <v>Unidad</v>
      </c>
      <c r="D5516" s="39">
        <v>25</v>
      </c>
      <c r="E5516" s="42">
        <v>6500</v>
      </c>
      <c r="F5516" s="41">
        <f t="shared" ca="1" si="186"/>
        <v>162500</v>
      </c>
    </row>
    <row r="5517" spans="1:10" ht="14.25" customHeight="1" x14ac:dyDescent="0.35">
      <c r="A5517" s="39" t="s">
        <v>4419</v>
      </c>
      <c r="B5517" s="40" t="str">
        <f ca="1">IFERROR(INDEX(UNSPSCDes,MATCH(INDIRECT(ADDRESS(ROW(),COLUMN()-1,4)),UNSPSCCode,0)),IF(INDIRECT(ADDRESS(ROW(),COLUMN()-1,4))="24112401","Cofres, cajas o armarios para herramientas",""))</f>
        <v>Cofres, cajas o armarios para herramientas</v>
      </c>
      <c r="C5517" s="72" t="str">
        <f>IFERROR(VLOOKUP("UD",'Informacion '!P:Q,2,FALSE),"")</f>
        <v>Unidad</v>
      </c>
      <c r="D5517" s="39">
        <v>4</v>
      </c>
      <c r="E5517" s="42">
        <v>674</v>
      </c>
      <c r="F5517" s="41">
        <f t="shared" ca="1" si="186"/>
        <v>2696</v>
      </c>
    </row>
    <row r="5518" spans="1:10" ht="14.25" customHeight="1" x14ac:dyDescent="0.35">
      <c r="A5518" s="39" t="s">
        <v>4419</v>
      </c>
      <c r="B5518" s="40" t="str">
        <f ca="1">IFERROR(INDEX(UNSPSCDes,MATCH(INDIRECT(ADDRESS(ROW(),COLUMN()-1,4)),UNSPSCCode,0)),IF(INDIRECT(ADDRESS(ROW(),COLUMN()-1,4))="24112401","Cofres, cajas o armarios para herramientas",""))</f>
        <v>Cofres, cajas o armarios para herramientas</v>
      </c>
      <c r="C5518" s="72" t="str">
        <f>IFERROR(VLOOKUP("UD",'Informacion '!P:Q,2,FALSE),"")</f>
        <v>Unidad</v>
      </c>
      <c r="D5518" s="39">
        <v>7</v>
      </c>
      <c r="E5518" s="42">
        <v>1441</v>
      </c>
      <c r="F5518" s="41">
        <f t="shared" ca="1" si="186"/>
        <v>10087</v>
      </c>
    </row>
    <row r="5519" spans="1:10" ht="14.25" customHeight="1" x14ac:dyDescent="0.35">
      <c r="A5519" s="39" t="s">
        <v>4422</v>
      </c>
      <c r="B5519" s="40" t="str">
        <f ca="1">IFERROR(INDEX(UNSPSCDes,MATCH(INDIRECT(ADDRESS(ROW(),COLUMN()-1,4)),UNSPSCCode,0)),IF(INDIRECT(ADDRESS(ROW(),COLUMN()-1,4))="24112405","Armarios",""))</f>
        <v>Armarios</v>
      </c>
      <c r="C5519" s="72" t="str">
        <f>IFERROR(VLOOKUP("UD",'Informacion '!P:Q,2,FALSE),"")</f>
        <v>Unidad</v>
      </c>
      <c r="D5519" s="39">
        <v>6</v>
      </c>
      <c r="E5519" s="42">
        <v>9723.5</v>
      </c>
      <c r="F5519" s="41">
        <f t="shared" ca="1" si="186"/>
        <v>58341</v>
      </c>
    </row>
    <row r="5520" spans="1:10" ht="14.25" customHeight="1" x14ac:dyDescent="0.35">
      <c r="E5520" s="44" t="s">
        <v>13122</v>
      </c>
      <c r="F5520" s="45">
        <f ca="1">SUM(Table310[MONTO TOTAL ESTIMADO])</f>
        <v>460149</v>
      </c>
      <c r="H5520" s="24" t="str">
        <f>C5503</f>
        <v>Bienes</v>
      </c>
      <c r="I5520" s="24" t="str">
        <f>E5503</f>
        <v>Sí</v>
      </c>
      <c r="J5520" s="24" t="str">
        <f>D5503</f>
        <v>Compras por debajo del Umbral</v>
      </c>
    </row>
    <row r="5522" spans="1:10" ht="34" customHeight="1" x14ac:dyDescent="0.35">
      <c r="A5522" s="36" t="s">
        <v>17105</v>
      </c>
      <c r="B5522" s="36" t="s">
        <v>167</v>
      </c>
      <c r="C5522" s="36" t="s">
        <v>12252</v>
      </c>
      <c r="D5522" s="36" t="s">
        <v>15021</v>
      </c>
      <c r="E5522" s="36" t="s">
        <v>11455</v>
      </c>
      <c r="F5522" s="36" t="s">
        <v>11595</v>
      </c>
    </row>
    <row r="5523" spans="1:10" ht="14.25" customHeight="1" x14ac:dyDescent="0.35">
      <c r="A5523" s="37" t="s">
        <v>1191</v>
      </c>
      <c r="B5523" s="37" t="s">
        <v>1191</v>
      </c>
      <c r="C5523" s="37" t="s">
        <v>18585</v>
      </c>
      <c r="D5523" s="37" t="s">
        <v>18256</v>
      </c>
      <c r="E5523" s="37" t="s">
        <v>9261</v>
      </c>
      <c r="F5523" s="37" t="s">
        <v>7088</v>
      </c>
    </row>
    <row r="5524" spans="1:10" ht="14.25" customHeight="1" x14ac:dyDescent="0.35">
      <c r="A5524" s="75" t="s">
        <v>15490</v>
      </c>
      <c r="B5524" s="38" t="s">
        <v>8918</v>
      </c>
      <c r="C5524" s="68">
        <v>45383</v>
      </c>
      <c r="D5524" s="75" t="s">
        <v>9819</v>
      </c>
      <c r="E5524" s="70" t="s">
        <v>13683</v>
      </c>
      <c r="F5524" s="71" t="s">
        <v>3205</v>
      </c>
    </row>
    <row r="5525" spans="1:10" ht="14.25" customHeight="1" x14ac:dyDescent="0.35">
      <c r="A5525" s="76"/>
      <c r="B5525" s="38" t="s">
        <v>1858</v>
      </c>
      <c r="C5525" s="69">
        <f>IF(C5524="","",IF(AND(MONTH(C5524)&gt;=1,MONTH(C5524)&lt;=3),1,IF(AND(MONTH(C5524)&gt;=4,MONTH(C5524)&lt;=6),2,IF(AND(MONTH(C5524)&gt;=7,MONTH(C5524)&lt;=9),3,4))))</f>
        <v>2</v>
      </c>
      <c r="D5525" s="76"/>
      <c r="E5525" s="70" t="s">
        <v>2509</v>
      </c>
      <c r="F5525" s="71" t="s">
        <v>11612</v>
      </c>
    </row>
    <row r="5526" spans="1:10" ht="14.25" customHeight="1" x14ac:dyDescent="0.35">
      <c r="A5526" s="76"/>
      <c r="B5526" s="38" t="s">
        <v>13526</v>
      </c>
      <c r="C5526" s="68">
        <v>45471</v>
      </c>
      <c r="D5526" s="76"/>
      <c r="E5526" s="70" t="s">
        <v>3198</v>
      </c>
      <c r="F5526" s="71" t="s">
        <v>11612</v>
      </c>
    </row>
    <row r="5527" spans="1:10" ht="14.25" customHeight="1" x14ac:dyDescent="0.35">
      <c r="A5527" s="76"/>
      <c r="B5527" s="38" t="s">
        <v>1858</v>
      </c>
      <c r="C5527" s="69">
        <f>IF(C5526="","",IF(AND(MONTH(C5526)&gt;=1,MONTH(C5526)&lt;=3),1,IF(AND(MONTH(C5526)&gt;=4,MONTH(C5526)&lt;=6),2,IF(AND(MONTH(C5526)&gt;=7,MONTH(C5526)&lt;=9),3,4))))</f>
        <v>2</v>
      </c>
      <c r="D5527" s="76"/>
      <c r="E5527" s="70" t="s">
        <v>13785</v>
      </c>
      <c r="F5527" s="71"/>
    </row>
    <row r="5529" spans="1:10" ht="14.25" customHeight="1" x14ac:dyDescent="0.35">
      <c r="A5529" s="43" t="s">
        <v>16424</v>
      </c>
      <c r="B5529" s="43" t="s">
        <v>16856</v>
      </c>
      <c r="C5529" s="43" t="s">
        <v>16326</v>
      </c>
      <c r="D5529" s="43" t="s">
        <v>15925</v>
      </c>
      <c r="E5529" s="43" t="s">
        <v>7248</v>
      </c>
      <c r="F5529" s="43" t="s">
        <v>15955</v>
      </c>
    </row>
    <row r="5530" spans="1:10" ht="14.25" customHeight="1" x14ac:dyDescent="0.35">
      <c r="A5530" s="39" t="s">
        <v>4842</v>
      </c>
      <c r="B5530" s="40" t="str">
        <f ca="1">IFERROR(INDEX(UNSPSCDes,MATCH(INDIRECT(ADDRESS(ROW(),COLUMN()-1,4)),UNSPSCCode,0)),IF(INDIRECT(ADDRESS(ROW(),COLUMN()-1,4))="24111503","Bolsas plásticas",""))</f>
        <v>Bolsas plásticas</v>
      </c>
      <c r="C5530" s="72" t="str">
        <f>IFERROR(VLOOKUP("PAQ",'Informacion '!P:Q,2,FALSE),"")</f>
        <v>Paquete</v>
      </c>
      <c r="D5530" s="39">
        <v>3</v>
      </c>
      <c r="E5530" s="42">
        <v>342.2</v>
      </c>
      <c r="F5530" s="41">
        <f ca="1">INDIRECT(ADDRESS(ROW(),COLUMN()-2,4))*INDIRECT(ADDRESS(ROW(),COLUMN()-1,4))</f>
        <v>1026.5999999999999</v>
      </c>
    </row>
    <row r="5531" spans="1:10" ht="14.25" customHeight="1" x14ac:dyDescent="0.35">
      <c r="A5531" s="39" t="s">
        <v>4842</v>
      </c>
      <c r="B5531" s="40" t="str">
        <f ca="1">IFERROR(INDEX(UNSPSCDes,MATCH(INDIRECT(ADDRESS(ROW(),COLUMN()-1,4)),UNSPSCCode,0)),IF(INDIRECT(ADDRESS(ROW(),COLUMN()-1,4))="24111503","Bolsas plásticas",""))</f>
        <v>Bolsas plásticas</v>
      </c>
      <c r="C5531" s="72" t="str">
        <f>IFERROR(VLOOKUP("UD",'Informacion '!P:Q,2,FALSE),"")</f>
        <v>Unidad</v>
      </c>
      <c r="D5531" s="39">
        <v>80</v>
      </c>
      <c r="E5531" s="42">
        <v>511</v>
      </c>
      <c r="F5531" s="41">
        <f ca="1">INDIRECT(ADDRESS(ROW(),COLUMN()-2,4))*INDIRECT(ADDRESS(ROW(),COLUMN()-1,4))</f>
        <v>40880</v>
      </c>
    </row>
    <row r="5532" spans="1:10" ht="14.25" customHeight="1" x14ac:dyDescent="0.35">
      <c r="A5532" s="39" t="s">
        <v>4842</v>
      </c>
      <c r="B5532" s="40" t="str">
        <f ca="1">IFERROR(INDEX(UNSPSCDes,MATCH(INDIRECT(ADDRESS(ROW(),COLUMN()-1,4)),UNSPSCCode,0)),IF(INDIRECT(ADDRESS(ROW(),COLUMN()-1,4))="24111503","Bolsas plásticas",""))</f>
        <v>Bolsas plásticas</v>
      </c>
      <c r="C5532" s="72" t="str">
        <f>IFERROR(VLOOKUP("UD",'Informacion '!P:Q,2,FALSE),"")</f>
        <v>Unidad</v>
      </c>
      <c r="D5532" s="39">
        <v>5000</v>
      </c>
      <c r="E5532" s="42">
        <v>2.5</v>
      </c>
      <c r="F5532" s="41">
        <f ca="1">INDIRECT(ADDRESS(ROW(),COLUMN()-2,4))*INDIRECT(ADDRESS(ROW(),COLUMN()-1,4))</f>
        <v>12500</v>
      </c>
    </row>
    <row r="5533" spans="1:10" ht="14.25" customHeight="1" x14ac:dyDescent="0.35">
      <c r="A5533" s="39" t="s">
        <v>4842</v>
      </c>
      <c r="B5533" s="40" t="str">
        <f ca="1">IFERROR(INDEX(UNSPSCDes,MATCH(INDIRECT(ADDRESS(ROW(),COLUMN()-1,4)),UNSPSCCode,0)),IF(INDIRECT(ADDRESS(ROW(),COLUMN()-1,4))="24111503","Bolsas plásticas",""))</f>
        <v>Bolsas plásticas</v>
      </c>
      <c r="C5533" s="72" t="str">
        <f>IFERROR(VLOOKUP("UD",'Informacion '!P:Q,2,FALSE),"")</f>
        <v>Unidad</v>
      </c>
      <c r="D5533" s="39">
        <v>3750</v>
      </c>
      <c r="E5533" s="42">
        <v>2.36</v>
      </c>
      <c r="F5533" s="41">
        <f ca="1">INDIRECT(ADDRESS(ROW(),COLUMN()-2,4))*INDIRECT(ADDRESS(ROW(),COLUMN()-1,4))</f>
        <v>8850</v>
      </c>
    </row>
    <row r="5534" spans="1:10" ht="14.25" customHeight="1" x14ac:dyDescent="0.35">
      <c r="A5534" s="39" t="s">
        <v>11229</v>
      </c>
      <c r="B5534" s="40" t="str">
        <f ca="1">IFERROR(INDEX(UNSPSCDes,MATCH(INDIRECT(ADDRESS(ROW(),COLUMN()-1,4)),UNSPSCCode,0)),IF(INDIRECT(ADDRESS(ROW(),COLUMN()-1,4))="24111802","Tanques o cilindros de aire o gas",""))</f>
        <v>Tanques o cilindros de aire o gas</v>
      </c>
      <c r="C5534" s="72" t="str">
        <f>IFERROR(VLOOKUP("UD",'Informacion '!P:Q,2,FALSE),"")</f>
        <v>Unidad</v>
      </c>
      <c r="D5534" s="39">
        <v>250</v>
      </c>
      <c r="E5534" s="42">
        <v>5800</v>
      </c>
      <c r="F5534" s="41">
        <f ca="1">INDIRECT(ADDRESS(ROW(),COLUMN()-2,4))*INDIRECT(ADDRESS(ROW(),COLUMN()-1,4))</f>
        <v>1450000</v>
      </c>
    </row>
    <row r="5535" spans="1:10" ht="14.25" customHeight="1" x14ac:dyDescent="0.35">
      <c r="E5535" s="44" t="s">
        <v>13122</v>
      </c>
      <c r="F5535" s="45">
        <f ca="1">SUM(Table311[MONTO TOTAL ESTIMADO])</f>
        <v>1513256.6</v>
      </c>
      <c r="H5535" s="24" t="str">
        <f>C5523</f>
        <v>Bienes</v>
      </c>
      <c r="I5535" s="24" t="str">
        <f>E5523</f>
        <v>Sí</v>
      </c>
      <c r="J5535" s="24" t="str">
        <f>D5523</f>
        <v>Compras Menores</v>
      </c>
    </row>
    <row r="5537" spans="1:10" ht="34" customHeight="1" x14ac:dyDescent="0.35">
      <c r="A5537" s="36" t="s">
        <v>17105</v>
      </c>
      <c r="B5537" s="36" t="s">
        <v>167</v>
      </c>
      <c r="C5537" s="36" t="s">
        <v>12252</v>
      </c>
      <c r="D5537" s="36" t="s">
        <v>15021</v>
      </c>
      <c r="E5537" s="36" t="s">
        <v>11455</v>
      </c>
      <c r="F5537" s="36" t="s">
        <v>11595</v>
      </c>
    </row>
    <row r="5538" spans="1:10" ht="14.25" customHeight="1" x14ac:dyDescent="0.35">
      <c r="A5538" s="37" t="s">
        <v>1191</v>
      </c>
      <c r="B5538" s="37" t="s">
        <v>1191</v>
      </c>
      <c r="C5538" s="37" t="s">
        <v>18585</v>
      </c>
      <c r="D5538" s="37" t="s">
        <v>18256</v>
      </c>
      <c r="E5538" s="37" t="s">
        <v>9261</v>
      </c>
      <c r="F5538" s="37" t="s">
        <v>7088</v>
      </c>
    </row>
    <row r="5539" spans="1:10" ht="14.25" customHeight="1" x14ac:dyDescent="0.35">
      <c r="A5539" s="75" t="s">
        <v>15490</v>
      </c>
      <c r="B5539" s="38" t="s">
        <v>8918</v>
      </c>
      <c r="C5539" s="68">
        <v>45474</v>
      </c>
      <c r="D5539" s="75" t="s">
        <v>9819</v>
      </c>
      <c r="E5539" s="70" t="s">
        <v>13683</v>
      </c>
      <c r="F5539" s="71" t="s">
        <v>3205</v>
      </c>
    </row>
    <row r="5540" spans="1:10" ht="14.25" customHeight="1" x14ac:dyDescent="0.35">
      <c r="A5540" s="76"/>
      <c r="B5540" s="38" t="s">
        <v>1858</v>
      </c>
      <c r="C5540" s="69">
        <f>IF(C5539="","",IF(AND(MONTH(C5539)&gt;=1,MONTH(C5539)&lt;=3),1,IF(AND(MONTH(C5539)&gt;=4,MONTH(C5539)&lt;=6),2,IF(AND(MONTH(C5539)&gt;=7,MONTH(C5539)&lt;=9),3,4))))</f>
        <v>3</v>
      </c>
      <c r="D5540" s="76"/>
      <c r="E5540" s="70" t="s">
        <v>2509</v>
      </c>
      <c r="F5540" s="71" t="s">
        <v>11612</v>
      </c>
    </row>
    <row r="5541" spans="1:10" ht="14.25" customHeight="1" x14ac:dyDescent="0.35">
      <c r="A5541" s="76"/>
      <c r="B5541" s="38" t="s">
        <v>13526</v>
      </c>
      <c r="C5541" s="68">
        <v>45565</v>
      </c>
      <c r="D5541" s="76"/>
      <c r="E5541" s="70" t="s">
        <v>3198</v>
      </c>
      <c r="F5541" s="71" t="s">
        <v>11612</v>
      </c>
    </row>
    <row r="5542" spans="1:10" ht="14.25" customHeight="1" x14ac:dyDescent="0.35">
      <c r="A5542" s="76"/>
      <c r="B5542" s="38" t="s">
        <v>1858</v>
      </c>
      <c r="C5542" s="69">
        <f>IF(C5541="","",IF(AND(MONTH(C5541)&gt;=1,MONTH(C5541)&lt;=3),1,IF(AND(MONTH(C5541)&gt;=4,MONTH(C5541)&lt;=6),2,IF(AND(MONTH(C5541)&gt;=7,MONTH(C5541)&lt;=9),3,4))))</f>
        <v>3</v>
      </c>
      <c r="D5542" s="76"/>
      <c r="E5542" s="70" t="s">
        <v>13785</v>
      </c>
      <c r="F5542" s="71"/>
    </row>
    <row r="5544" spans="1:10" ht="14.25" customHeight="1" x14ac:dyDescent="0.35">
      <c r="A5544" s="43" t="s">
        <v>16424</v>
      </c>
      <c r="B5544" s="43" t="s">
        <v>16856</v>
      </c>
      <c r="C5544" s="43" t="s">
        <v>16326</v>
      </c>
      <c r="D5544" s="43" t="s">
        <v>15925</v>
      </c>
      <c r="E5544" s="43" t="s">
        <v>7248</v>
      </c>
      <c r="F5544" s="43" t="s">
        <v>15955</v>
      </c>
    </row>
    <row r="5545" spans="1:10" ht="14.25" customHeight="1" x14ac:dyDescent="0.35">
      <c r="A5545" s="39" t="s">
        <v>4842</v>
      </c>
      <c r="B5545" s="40" t="str">
        <f ca="1">IFERROR(INDEX(UNSPSCDes,MATCH(INDIRECT(ADDRESS(ROW(),COLUMN()-1,4)),UNSPSCCode,0)),IF(INDIRECT(ADDRESS(ROW(),COLUMN()-1,4))="24111503","Bolsas plásticas",""))</f>
        <v>Bolsas plásticas</v>
      </c>
      <c r="C5545" s="72" t="str">
        <f>IFERROR(VLOOKUP("PAQ",'Informacion '!P:Q,2,FALSE),"")</f>
        <v>Paquete</v>
      </c>
      <c r="D5545" s="39">
        <v>3</v>
      </c>
      <c r="E5545" s="42">
        <v>342.2</v>
      </c>
      <c r="F5545" s="41">
        <f t="shared" ref="F5545:F5550" ca="1" si="187">INDIRECT(ADDRESS(ROW(),COLUMN()-2,4))*INDIRECT(ADDRESS(ROW(),COLUMN()-1,4))</f>
        <v>1026.5999999999999</v>
      </c>
    </row>
    <row r="5546" spans="1:10" ht="14.25" customHeight="1" x14ac:dyDescent="0.35">
      <c r="A5546" s="39" t="s">
        <v>4842</v>
      </c>
      <c r="B5546" s="40" t="str">
        <f ca="1">IFERROR(INDEX(UNSPSCDes,MATCH(INDIRECT(ADDRESS(ROW(),COLUMN()-1,4)),UNSPSCCode,0)),IF(INDIRECT(ADDRESS(ROW(),COLUMN()-1,4))="24111503","Bolsas plásticas",""))</f>
        <v>Bolsas plásticas</v>
      </c>
      <c r="C5546" s="72" t="str">
        <f>IFERROR(VLOOKUP("UD",'Informacion '!P:Q,2,FALSE),"")</f>
        <v>Unidad</v>
      </c>
      <c r="D5546" s="39">
        <v>80</v>
      </c>
      <c r="E5546" s="42">
        <v>511</v>
      </c>
      <c r="F5546" s="41">
        <f t="shared" ca="1" si="187"/>
        <v>40880</v>
      </c>
    </row>
    <row r="5547" spans="1:10" ht="14.25" customHeight="1" x14ac:dyDescent="0.35">
      <c r="A5547" s="39" t="s">
        <v>4842</v>
      </c>
      <c r="B5547" s="40" t="str">
        <f ca="1">IFERROR(INDEX(UNSPSCDes,MATCH(INDIRECT(ADDRESS(ROW(),COLUMN()-1,4)),UNSPSCCode,0)),IF(INDIRECT(ADDRESS(ROW(),COLUMN()-1,4))="24111503","Bolsas plásticas",""))</f>
        <v>Bolsas plásticas</v>
      </c>
      <c r="C5547" s="72" t="str">
        <f>IFERROR(VLOOKUP("UD",'Informacion '!P:Q,2,FALSE),"")</f>
        <v>Unidad</v>
      </c>
      <c r="D5547" s="39">
        <v>5000</v>
      </c>
      <c r="E5547" s="42">
        <v>2.5</v>
      </c>
      <c r="F5547" s="41">
        <f t="shared" ca="1" si="187"/>
        <v>12500</v>
      </c>
    </row>
    <row r="5548" spans="1:10" ht="14.25" customHeight="1" x14ac:dyDescent="0.35">
      <c r="A5548" s="39" t="s">
        <v>4842</v>
      </c>
      <c r="B5548" s="40" t="str">
        <f ca="1">IFERROR(INDEX(UNSPSCDes,MATCH(INDIRECT(ADDRESS(ROW(),COLUMN()-1,4)),UNSPSCCode,0)),IF(INDIRECT(ADDRESS(ROW(),COLUMN()-1,4))="24111503","Bolsas plásticas",""))</f>
        <v>Bolsas plásticas</v>
      </c>
      <c r="C5548" s="72" t="str">
        <f>IFERROR(VLOOKUP("UD",'Informacion '!P:Q,2,FALSE),"")</f>
        <v>Unidad</v>
      </c>
      <c r="D5548" s="39">
        <v>3750</v>
      </c>
      <c r="E5548" s="42">
        <v>2.36</v>
      </c>
      <c r="F5548" s="41">
        <f t="shared" ca="1" si="187"/>
        <v>8850</v>
      </c>
    </row>
    <row r="5549" spans="1:10" ht="14.25" customHeight="1" x14ac:dyDescent="0.35">
      <c r="A5549" s="39" t="s">
        <v>4842</v>
      </c>
      <c r="B5549" s="40" t="str">
        <f ca="1">IFERROR(INDEX(UNSPSCDes,MATCH(INDIRECT(ADDRESS(ROW(),COLUMN()-1,4)),UNSPSCCode,0)),IF(INDIRECT(ADDRESS(ROW(),COLUMN()-1,4))="24111503","Bolsas plásticas",""))</f>
        <v>Bolsas plásticas</v>
      </c>
      <c r="C5549" s="72" t="str">
        <f>IFERROR(VLOOKUP("UD",'Informacion '!P:Q,2,FALSE),"")</f>
        <v>Unidad</v>
      </c>
      <c r="D5549" s="39">
        <v>2</v>
      </c>
      <c r="E5549" s="42">
        <v>147.5</v>
      </c>
      <c r="F5549" s="41">
        <f t="shared" ca="1" si="187"/>
        <v>295</v>
      </c>
    </row>
    <row r="5550" spans="1:10" ht="14.25" customHeight="1" x14ac:dyDescent="0.35">
      <c r="A5550" s="39" t="s">
        <v>11229</v>
      </c>
      <c r="B5550" s="40" t="str">
        <f ca="1">IFERROR(INDEX(UNSPSCDes,MATCH(INDIRECT(ADDRESS(ROW(),COLUMN()-1,4)),UNSPSCCode,0)),IF(INDIRECT(ADDRESS(ROW(),COLUMN()-1,4))="24111802","Tanques o cilindros de aire o gas",""))</f>
        <v>Tanques o cilindros de aire o gas</v>
      </c>
      <c r="C5550" s="72" t="str">
        <f>IFERROR(VLOOKUP("UD",'Informacion '!P:Q,2,FALSE),"")</f>
        <v>Unidad</v>
      </c>
      <c r="D5550" s="39">
        <v>250</v>
      </c>
      <c r="E5550" s="42">
        <v>5800</v>
      </c>
      <c r="F5550" s="41">
        <f t="shared" ca="1" si="187"/>
        <v>1450000</v>
      </c>
    </row>
    <row r="5551" spans="1:10" ht="14.25" customHeight="1" x14ac:dyDescent="0.35">
      <c r="E5551" s="44" t="s">
        <v>13122</v>
      </c>
      <c r="F5551" s="45">
        <f ca="1">SUM(Table312[MONTO TOTAL ESTIMADO])</f>
        <v>1513551.6</v>
      </c>
      <c r="H5551" s="24" t="str">
        <f>C5538</f>
        <v>Bienes</v>
      </c>
      <c r="I5551" s="24" t="str">
        <f>E5538</f>
        <v>Sí</v>
      </c>
      <c r="J5551" s="24" t="str">
        <f>D5538</f>
        <v>Compras Menores</v>
      </c>
    </row>
    <row r="5553" spans="1:10" ht="34" customHeight="1" x14ac:dyDescent="0.35">
      <c r="A5553" s="36" t="s">
        <v>17105</v>
      </c>
      <c r="B5553" s="36" t="s">
        <v>167</v>
      </c>
      <c r="C5553" s="36" t="s">
        <v>12252</v>
      </c>
      <c r="D5553" s="36" t="s">
        <v>15021</v>
      </c>
      <c r="E5553" s="36" t="s">
        <v>11455</v>
      </c>
      <c r="F5553" s="36" t="s">
        <v>11595</v>
      </c>
    </row>
    <row r="5554" spans="1:10" ht="14.25" customHeight="1" x14ac:dyDescent="0.35">
      <c r="A5554" s="37" t="s">
        <v>1191</v>
      </c>
      <c r="B5554" s="37" t="s">
        <v>1191</v>
      </c>
      <c r="C5554" s="37" t="s">
        <v>18585</v>
      </c>
      <c r="D5554" s="37" t="s">
        <v>4013</v>
      </c>
      <c r="E5554" s="37" t="s">
        <v>9261</v>
      </c>
      <c r="F5554" s="37" t="s">
        <v>7088</v>
      </c>
    </row>
    <row r="5555" spans="1:10" ht="14.25" customHeight="1" x14ac:dyDescent="0.35">
      <c r="A5555" s="75" t="s">
        <v>15490</v>
      </c>
      <c r="B5555" s="38" t="s">
        <v>8918</v>
      </c>
      <c r="C5555" s="68">
        <v>45566</v>
      </c>
      <c r="D5555" s="75" t="s">
        <v>9819</v>
      </c>
      <c r="E5555" s="70" t="s">
        <v>13683</v>
      </c>
      <c r="F5555" s="71" t="s">
        <v>3205</v>
      </c>
    </row>
    <row r="5556" spans="1:10" ht="14.25" customHeight="1" x14ac:dyDescent="0.35">
      <c r="A5556" s="76"/>
      <c r="B5556" s="38" t="s">
        <v>1858</v>
      </c>
      <c r="C5556" s="69">
        <f>IF(C5555="","",IF(AND(MONTH(C5555)&gt;=1,MONTH(C5555)&lt;=3),1,IF(AND(MONTH(C5555)&gt;=4,MONTH(C5555)&lt;=6),2,IF(AND(MONTH(C5555)&gt;=7,MONTH(C5555)&lt;=9),3,4))))</f>
        <v>4</v>
      </c>
      <c r="D5556" s="76"/>
      <c r="E5556" s="70" t="s">
        <v>2509</v>
      </c>
      <c r="F5556" s="71" t="s">
        <v>11612</v>
      </c>
    </row>
    <row r="5557" spans="1:10" ht="14.25" customHeight="1" x14ac:dyDescent="0.35">
      <c r="A5557" s="76"/>
      <c r="B5557" s="38" t="s">
        <v>13526</v>
      </c>
      <c r="C5557" s="68">
        <v>45657</v>
      </c>
      <c r="D5557" s="76"/>
      <c r="E5557" s="70" t="s">
        <v>3198</v>
      </c>
      <c r="F5557" s="71" t="s">
        <v>11612</v>
      </c>
    </row>
    <row r="5558" spans="1:10" ht="14.25" customHeight="1" x14ac:dyDescent="0.35">
      <c r="A5558" s="76"/>
      <c r="B5558" s="38" t="s">
        <v>1858</v>
      </c>
      <c r="C5558" s="69">
        <f>IF(C5557="","",IF(AND(MONTH(C5557)&gt;=1,MONTH(C5557)&lt;=3),1,IF(AND(MONTH(C5557)&gt;=4,MONTH(C5557)&lt;=6),2,IF(AND(MONTH(C5557)&gt;=7,MONTH(C5557)&lt;=9),3,4))))</f>
        <v>4</v>
      </c>
      <c r="D5558" s="76"/>
      <c r="E5558" s="70" t="s">
        <v>13785</v>
      </c>
      <c r="F5558" s="71"/>
    </row>
    <row r="5560" spans="1:10" ht="14.25" customHeight="1" x14ac:dyDescent="0.35">
      <c r="A5560" s="43" t="s">
        <v>16424</v>
      </c>
      <c r="B5560" s="43" t="s">
        <v>16856</v>
      </c>
      <c r="C5560" s="43" t="s">
        <v>16326</v>
      </c>
      <c r="D5560" s="43" t="s">
        <v>15925</v>
      </c>
      <c r="E5560" s="43" t="s">
        <v>7248</v>
      </c>
      <c r="F5560" s="43" t="s">
        <v>15955</v>
      </c>
    </row>
    <row r="5561" spans="1:10" ht="14.25" customHeight="1" x14ac:dyDescent="0.35">
      <c r="A5561" s="39" t="s">
        <v>4842</v>
      </c>
      <c r="B5561" s="40" t="str">
        <f ca="1">IFERROR(INDEX(UNSPSCDes,MATCH(INDIRECT(ADDRESS(ROW(),COLUMN()-1,4)),UNSPSCCode,0)),IF(INDIRECT(ADDRESS(ROW(),COLUMN()-1,4))="24111503","Bolsas plásticas",""))</f>
        <v>Bolsas plásticas</v>
      </c>
      <c r="C5561" s="72" t="str">
        <f>IFERROR(VLOOKUP("UD",'Informacion '!P:Q,2,FALSE),"")</f>
        <v>Unidad</v>
      </c>
      <c r="D5561" s="39">
        <v>2</v>
      </c>
      <c r="E5561" s="42">
        <v>342.2</v>
      </c>
      <c r="F5561" s="41">
        <f ca="1">INDIRECT(ADDRESS(ROW(),COLUMN()-2,4))*INDIRECT(ADDRESS(ROW(),COLUMN()-1,4))</f>
        <v>684.4</v>
      </c>
    </row>
    <row r="5562" spans="1:10" ht="14.25" customHeight="1" x14ac:dyDescent="0.35">
      <c r="A5562" s="39" t="s">
        <v>4842</v>
      </c>
      <c r="B5562" s="40" t="str">
        <f ca="1">IFERROR(INDEX(UNSPSCDes,MATCH(INDIRECT(ADDRESS(ROW(),COLUMN()-1,4)),UNSPSCCode,0)),IF(INDIRECT(ADDRESS(ROW(),COLUMN()-1,4))="24111503","Bolsas plásticas",""))</f>
        <v>Bolsas plásticas</v>
      </c>
      <c r="C5562" s="72" t="str">
        <f>IFERROR(VLOOKUP("UD",'Informacion '!P:Q,2,FALSE),"")</f>
        <v>Unidad</v>
      </c>
      <c r="D5562" s="39">
        <v>80</v>
      </c>
      <c r="E5562" s="42">
        <v>511</v>
      </c>
      <c r="F5562" s="41">
        <f ca="1">INDIRECT(ADDRESS(ROW(),COLUMN()-2,4))*INDIRECT(ADDRESS(ROW(),COLUMN()-1,4))</f>
        <v>40880</v>
      </c>
    </row>
    <row r="5563" spans="1:10" ht="14.25" customHeight="1" x14ac:dyDescent="0.35">
      <c r="A5563" s="39" t="s">
        <v>4842</v>
      </c>
      <c r="B5563" s="40" t="str">
        <f ca="1">IFERROR(INDEX(UNSPSCDes,MATCH(INDIRECT(ADDRESS(ROW(),COLUMN()-1,4)),UNSPSCCode,0)),IF(INDIRECT(ADDRESS(ROW(),COLUMN()-1,4))="24111503","Bolsas plásticas",""))</f>
        <v>Bolsas plásticas</v>
      </c>
      <c r="C5563" s="72" t="str">
        <f>IFERROR(VLOOKUP("UD",'Informacion '!P:Q,2,FALSE),"")</f>
        <v>Unidad</v>
      </c>
      <c r="D5563" s="39">
        <v>5000</v>
      </c>
      <c r="E5563" s="42">
        <v>2.5</v>
      </c>
      <c r="F5563" s="41">
        <f ca="1">INDIRECT(ADDRESS(ROW(),COLUMN()-2,4))*INDIRECT(ADDRESS(ROW(),COLUMN()-1,4))</f>
        <v>12500</v>
      </c>
    </row>
    <row r="5564" spans="1:10" ht="14.25" customHeight="1" x14ac:dyDescent="0.35">
      <c r="A5564" s="39" t="s">
        <v>4842</v>
      </c>
      <c r="B5564" s="40" t="str">
        <f ca="1">IFERROR(INDEX(UNSPSCDes,MATCH(INDIRECT(ADDRESS(ROW(),COLUMN()-1,4)),UNSPSCCode,0)),IF(INDIRECT(ADDRESS(ROW(),COLUMN()-1,4))="24111503","Bolsas plásticas",""))</f>
        <v>Bolsas plásticas</v>
      </c>
      <c r="C5564" s="72" t="str">
        <f>IFERROR(VLOOKUP("UD",'Informacion '!P:Q,2,FALSE),"")</f>
        <v>Unidad</v>
      </c>
      <c r="D5564" s="39">
        <v>3750</v>
      </c>
      <c r="E5564" s="42">
        <v>2.36</v>
      </c>
      <c r="F5564" s="41">
        <f ca="1">INDIRECT(ADDRESS(ROW(),COLUMN()-2,4))*INDIRECT(ADDRESS(ROW(),COLUMN()-1,4))</f>
        <v>8850</v>
      </c>
    </row>
    <row r="5565" spans="1:10" ht="14.25" customHeight="1" x14ac:dyDescent="0.35">
      <c r="E5565" s="44" t="s">
        <v>13122</v>
      </c>
      <c r="F5565" s="45">
        <f ca="1">SUM(Table313[MONTO TOTAL ESTIMADO])</f>
        <v>62914.400000000001</v>
      </c>
      <c r="H5565" s="24" t="str">
        <f>C5554</f>
        <v>Bienes</v>
      </c>
      <c r="I5565" s="24" t="str">
        <f>E5554</f>
        <v>Sí</v>
      </c>
      <c r="J5565" s="24" t="str">
        <f>D5554</f>
        <v>Excepción - Bienes o servicios con exclusividad</v>
      </c>
    </row>
    <row r="5567" spans="1:10" ht="34" customHeight="1" x14ac:dyDescent="0.35">
      <c r="A5567" s="36" t="s">
        <v>17105</v>
      </c>
      <c r="B5567" s="36" t="s">
        <v>167</v>
      </c>
      <c r="C5567" s="36" t="s">
        <v>12252</v>
      </c>
      <c r="D5567" s="36" t="s">
        <v>15021</v>
      </c>
      <c r="E5567" s="36" t="s">
        <v>11455</v>
      </c>
      <c r="F5567" s="36" t="s">
        <v>11595</v>
      </c>
    </row>
    <row r="5568" spans="1:10" ht="14.25" customHeight="1" x14ac:dyDescent="0.35">
      <c r="A5568" s="37" t="s">
        <v>4447</v>
      </c>
      <c r="B5568" s="37" t="s">
        <v>4447</v>
      </c>
      <c r="C5568" s="37" t="s">
        <v>18585</v>
      </c>
      <c r="D5568" s="37" t="s">
        <v>10634</v>
      </c>
      <c r="E5568" s="37" t="s">
        <v>9261</v>
      </c>
      <c r="F5568" s="37" t="s">
        <v>7088</v>
      </c>
    </row>
    <row r="5569" spans="1:10" ht="14.25" customHeight="1" x14ac:dyDescent="0.35">
      <c r="A5569" s="75" t="s">
        <v>15490</v>
      </c>
      <c r="B5569" s="38" t="s">
        <v>8918</v>
      </c>
      <c r="C5569" s="68">
        <v>45334</v>
      </c>
      <c r="D5569" s="75" t="s">
        <v>9819</v>
      </c>
      <c r="E5569" s="70" t="s">
        <v>13683</v>
      </c>
      <c r="F5569" s="71" t="s">
        <v>3205</v>
      </c>
    </row>
    <row r="5570" spans="1:10" ht="14.25" customHeight="1" x14ac:dyDescent="0.35">
      <c r="A5570" s="76"/>
      <c r="B5570" s="38" t="s">
        <v>1858</v>
      </c>
      <c r="C5570" s="69">
        <f>IF(C5569="","",IF(AND(MONTH(C5569)&gt;=1,MONTH(C5569)&lt;=3),1,IF(AND(MONTH(C5569)&gt;=4,MONTH(C5569)&lt;=6),2,IF(AND(MONTH(C5569)&gt;=7,MONTH(C5569)&lt;=9),3,4))))</f>
        <v>1</v>
      </c>
      <c r="D5570" s="76"/>
      <c r="E5570" s="70" t="s">
        <v>2509</v>
      </c>
      <c r="F5570" s="71" t="s">
        <v>11612</v>
      </c>
    </row>
    <row r="5571" spans="1:10" ht="14.25" customHeight="1" x14ac:dyDescent="0.35">
      <c r="A5571" s="76"/>
      <c r="B5571" s="38" t="s">
        <v>13526</v>
      </c>
      <c r="C5571" s="68">
        <v>45342</v>
      </c>
      <c r="D5571" s="76"/>
      <c r="E5571" s="70" t="s">
        <v>3198</v>
      </c>
      <c r="F5571" s="71"/>
    </row>
    <row r="5572" spans="1:10" ht="14.25" customHeight="1" x14ac:dyDescent="0.35">
      <c r="A5572" s="76"/>
      <c r="B5572" s="38" t="s">
        <v>1858</v>
      </c>
      <c r="C5572" s="69">
        <f>IF(C5571="","",IF(AND(MONTH(C5571)&gt;=1,MONTH(C5571)&lt;=3),1,IF(AND(MONTH(C5571)&gt;=4,MONTH(C5571)&lt;=6),2,IF(AND(MONTH(C5571)&gt;=7,MONTH(C5571)&lt;=9),3,4))))</f>
        <v>1</v>
      </c>
      <c r="D5572" s="76"/>
      <c r="E5572" s="70" t="s">
        <v>13785</v>
      </c>
      <c r="F5572" s="71"/>
    </row>
    <row r="5574" spans="1:10" ht="14.25" customHeight="1" x14ac:dyDescent="0.35">
      <c r="A5574" s="43" t="s">
        <v>16424</v>
      </c>
      <c r="B5574" s="43" t="s">
        <v>16856</v>
      </c>
      <c r="C5574" s="43" t="s">
        <v>16326</v>
      </c>
      <c r="D5574" s="43" t="s">
        <v>15925</v>
      </c>
      <c r="E5574" s="43" t="s">
        <v>7248</v>
      </c>
      <c r="F5574" s="43" t="s">
        <v>15955</v>
      </c>
    </row>
    <row r="5575" spans="1:10" ht="14.25" customHeight="1" x14ac:dyDescent="0.35">
      <c r="A5575" s="39" t="s">
        <v>7908</v>
      </c>
      <c r="B5575" s="40" t="str">
        <f ca="1">IFERROR(INDEX(UNSPSCDes,MATCH(INDIRECT(ADDRESS(ROW(),COLUMN()-1,4)),UNSPSCCode,0)),IF(INDIRECT(ADDRESS(ROW(),COLUMN()-1,4))="46191601","Extintores",""))</f>
        <v>Extintores</v>
      </c>
      <c r="C5575" s="72" t="str">
        <f>IFERROR(VLOOKUP("UD",'Informacion '!P:Q,2,FALSE),"")</f>
        <v>Unidad</v>
      </c>
      <c r="D5575" s="39">
        <v>5</v>
      </c>
      <c r="E5575" s="42">
        <v>888.5</v>
      </c>
      <c r="F5575" s="41">
        <f ca="1">INDIRECT(ADDRESS(ROW(),COLUMN()-2,4))*INDIRECT(ADDRESS(ROW(),COLUMN()-1,4))</f>
        <v>4442.5</v>
      </c>
    </row>
    <row r="5576" spans="1:10" ht="14.25" customHeight="1" x14ac:dyDescent="0.35">
      <c r="A5576" s="39" t="s">
        <v>7908</v>
      </c>
      <c r="B5576" s="40" t="str">
        <f ca="1">IFERROR(INDEX(UNSPSCDes,MATCH(INDIRECT(ADDRESS(ROW(),COLUMN()-1,4)),UNSPSCCode,0)),IF(INDIRECT(ADDRESS(ROW(),COLUMN()-1,4))="46191601","Extintores",""))</f>
        <v>Extintores</v>
      </c>
      <c r="C5576" s="72" t="str">
        <f>IFERROR(VLOOKUP("UD",'Informacion '!P:Q,2,FALSE),"")</f>
        <v>Unidad</v>
      </c>
      <c r="D5576" s="39">
        <v>20</v>
      </c>
      <c r="E5576" s="42">
        <v>726.88</v>
      </c>
      <c r="F5576" s="41">
        <f ca="1">INDIRECT(ADDRESS(ROW(),COLUMN()-2,4))*INDIRECT(ADDRESS(ROW(),COLUMN()-1,4))</f>
        <v>14537.6</v>
      </c>
    </row>
    <row r="5577" spans="1:10" ht="14.25" customHeight="1" x14ac:dyDescent="0.35">
      <c r="A5577" s="39" t="s">
        <v>7908</v>
      </c>
      <c r="B5577" s="40" t="str">
        <f ca="1">IFERROR(INDEX(UNSPSCDes,MATCH(INDIRECT(ADDRESS(ROW(),COLUMN()-1,4)),UNSPSCCode,0)),IF(INDIRECT(ADDRESS(ROW(),COLUMN()-1,4))="46191601","Extintores",""))</f>
        <v>Extintores</v>
      </c>
      <c r="C5577" s="72" t="str">
        <f>IFERROR(VLOOKUP("UD",'Informacion '!P:Q,2,FALSE),"")</f>
        <v>Unidad</v>
      </c>
      <c r="D5577" s="39">
        <v>20</v>
      </c>
      <c r="E5577" s="42">
        <v>1888</v>
      </c>
      <c r="F5577" s="41">
        <f ca="1">INDIRECT(ADDRESS(ROW(),COLUMN()-2,4))*INDIRECT(ADDRESS(ROW(),COLUMN()-1,4))</f>
        <v>37760</v>
      </c>
    </row>
    <row r="5578" spans="1:10" ht="14.25" customHeight="1" x14ac:dyDescent="0.35">
      <c r="E5578" s="44" t="s">
        <v>13122</v>
      </c>
      <c r="F5578" s="45">
        <f ca="1">SUM(Table314[MONTO TOTAL ESTIMADO])</f>
        <v>56740.1</v>
      </c>
      <c r="H5578" s="24" t="str">
        <f>C5568</f>
        <v>Bienes</v>
      </c>
      <c r="I5578" s="24" t="str">
        <f>E5568</f>
        <v>Sí</v>
      </c>
      <c r="J5578" s="24" t="str">
        <f>D5568</f>
        <v>Compras por debajo del Umbral</v>
      </c>
    </row>
    <row r="5580" spans="1:10" ht="34" customHeight="1" x14ac:dyDescent="0.35">
      <c r="A5580" s="36" t="s">
        <v>17105</v>
      </c>
      <c r="B5580" s="36" t="s">
        <v>167</v>
      </c>
      <c r="C5580" s="36" t="s">
        <v>12252</v>
      </c>
      <c r="D5580" s="36" t="s">
        <v>15021</v>
      </c>
      <c r="E5580" s="36" t="s">
        <v>11455</v>
      </c>
      <c r="F5580" s="36" t="s">
        <v>11595</v>
      </c>
    </row>
    <row r="5581" spans="1:10" ht="14.25" customHeight="1" x14ac:dyDescent="0.35">
      <c r="A5581" s="37" t="s">
        <v>11746</v>
      </c>
      <c r="B5581" s="37" t="s">
        <v>11746</v>
      </c>
      <c r="C5581" s="37" t="s">
        <v>18585</v>
      </c>
      <c r="D5581" s="37" t="s">
        <v>10634</v>
      </c>
      <c r="E5581" s="37" t="s">
        <v>9261</v>
      </c>
      <c r="F5581" s="37" t="s">
        <v>7088</v>
      </c>
    </row>
    <row r="5582" spans="1:10" ht="14.25" customHeight="1" x14ac:dyDescent="0.35">
      <c r="A5582" s="75" t="s">
        <v>15490</v>
      </c>
      <c r="B5582" s="38" t="s">
        <v>8918</v>
      </c>
      <c r="C5582" s="68">
        <v>45334</v>
      </c>
      <c r="D5582" s="75" t="s">
        <v>9819</v>
      </c>
      <c r="E5582" s="70" t="s">
        <v>13683</v>
      </c>
      <c r="F5582" s="71" t="s">
        <v>3205</v>
      </c>
    </row>
    <row r="5583" spans="1:10" ht="14.25" customHeight="1" x14ac:dyDescent="0.35">
      <c r="A5583" s="76"/>
      <c r="B5583" s="38" t="s">
        <v>1858</v>
      </c>
      <c r="C5583" s="69">
        <f>IF(C5582="","",IF(AND(MONTH(C5582)&gt;=1,MONTH(C5582)&lt;=3),1,IF(AND(MONTH(C5582)&gt;=4,MONTH(C5582)&lt;=6),2,IF(AND(MONTH(C5582)&gt;=7,MONTH(C5582)&lt;=9),3,4))))</f>
        <v>1</v>
      </c>
      <c r="D5583" s="76"/>
      <c r="E5583" s="70" t="s">
        <v>2509</v>
      </c>
      <c r="F5583" s="71" t="s">
        <v>11612</v>
      </c>
    </row>
    <row r="5584" spans="1:10" ht="14.25" customHeight="1" x14ac:dyDescent="0.35">
      <c r="A5584" s="76"/>
      <c r="B5584" s="38" t="s">
        <v>13526</v>
      </c>
      <c r="C5584" s="68">
        <v>45350</v>
      </c>
      <c r="D5584" s="76"/>
      <c r="E5584" s="70" t="s">
        <v>3198</v>
      </c>
      <c r="F5584" s="71"/>
    </row>
    <row r="5585" spans="1:10" ht="14.25" customHeight="1" x14ac:dyDescent="0.35">
      <c r="A5585" s="76"/>
      <c r="B5585" s="38" t="s">
        <v>1858</v>
      </c>
      <c r="C5585" s="69">
        <f>IF(C5584="","",IF(AND(MONTH(C5584)&gt;=1,MONTH(C5584)&lt;=3),1,IF(AND(MONTH(C5584)&gt;=4,MONTH(C5584)&lt;=6),2,IF(AND(MONTH(C5584)&gt;=7,MONTH(C5584)&lt;=9),3,4))))</f>
        <v>1</v>
      </c>
      <c r="D5585" s="76"/>
      <c r="E5585" s="70" t="s">
        <v>13785</v>
      </c>
      <c r="F5585" s="71"/>
    </row>
    <row r="5587" spans="1:10" ht="14.25" customHeight="1" x14ac:dyDescent="0.35">
      <c r="A5587" s="43" t="s">
        <v>16424</v>
      </c>
      <c r="B5587" s="43" t="s">
        <v>16856</v>
      </c>
      <c r="C5587" s="43" t="s">
        <v>16326</v>
      </c>
      <c r="D5587" s="43" t="s">
        <v>15925</v>
      </c>
      <c r="E5587" s="43" t="s">
        <v>7248</v>
      </c>
      <c r="F5587" s="43" t="s">
        <v>15955</v>
      </c>
    </row>
    <row r="5588" spans="1:10" ht="14.25" customHeight="1" x14ac:dyDescent="0.35">
      <c r="A5588" s="39" t="s">
        <v>10369</v>
      </c>
      <c r="B5588" s="40" t="str">
        <f ca="1">IFERROR(INDEX(UNSPSCDes,MATCH(INDIRECT(ADDRESS(ROW(),COLUMN()-1,4)),UNSPSCCode,0)),IF(INDIRECT(ADDRESS(ROW(),COLUMN()-1,4))="47101601","Alguicidas",""))</f>
        <v>Alguicidas</v>
      </c>
      <c r="C5588" s="72" t="str">
        <f>IFERROR(VLOOKUP("UD",'Informacion '!P:Q,2,FALSE),"")</f>
        <v>Unidad</v>
      </c>
      <c r="D5588" s="39">
        <v>15</v>
      </c>
      <c r="E5588" s="42">
        <v>560.49</v>
      </c>
      <c r="F5588" s="41">
        <f ca="1">INDIRECT(ADDRESS(ROW(),COLUMN()-2,4))*INDIRECT(ADDRESS(ROW(),COLUMN()-1,4))</f>
        <v>8407.35</v>
      </c>
    </row>
    <row r="5589" spans="1:10" ht="14.25" customHeight="1" x14ac:dyDescent="0.35">
      <c r="A5589" s="39" t="s">
        <v>10369</v>
      </c>
      <c r="B5589" s="40" t="str">
        <f ca="1">IFERROR(INDEX(UNSPSCDes,MATCH(INDIRECT(ADDRESS(ROW(),COLUMN()-1,4)),UNSPSCCode,0)),IF(INDIRECT(ADDRESS(ROW(),COLUMN()-1,4))="47101601","Alguicidas",""))</f>
        <v>Alguicidas</v>
      </c>
      <c r="C5589" s="72" t="str">
        <f>IFERROR(VLOOKUP("UD",'Informacion '!P:Q,2,FALSE),"")</f>
        <v>Unidad</v>
      </c>
      <c r="D5589" s="39">
        <v>250</v>
      </c>
      <c r="E5589" s="42">
        <v>265</v>
      </c>
      <c r="F5589" s="41">
        <f ca="1">INDIRECT(ADDRESS(ROW(),COLUMN()-2,4))*INDIRECT(ADDRESS(ROW(),COLUMN()-1,4))</f>
        <v>66250</v>
      </c>
    </row>
    <row r="5590" spans="1:10" ht="14.25" customHeight="1" x14ac:dyDescent="0.35">
      <c r="E5590" s="44" t="s">
        <v>13122</v>
      </c>
      <c r="F5590" s="45">
        <f ca="1">SUM(Table315[MONTO TOTAL ESTIMADO])</f>
        <v>74657.350000000006</v>
      </c>
      <c r="H5590" s="24" t="str">
        <f>C5581</f>
        <v>Bienes</v>
      </c>
      <c r="I5590" s="24" t="str">
        <f>E5581</f>
        <v>Sí</v>
      </c>
      <c r="J5590" s="24" t="str">
        <f>D5581</f>
        <v>Compras por debajo del Umbral</v>
      </c>
    </row>
    <row r="5592" spans="1:10" ht="34" customHeight="1" x14ac:dyDescent="0.35">
      <c r="A5592" s="36" t="s">
        <v>17105</v>
      </c>
      <c r="B5592" s="36" t="s">
        <v>167</v>
      </c>
      <c r="C5592" s="36" t="s">
        <v>12252</v>
      </c>
      <c r="D5592" s="36" t="s">
        <v>15021</v>
      </c>
      <c r="E5592" s="36" t="s">
        <v>11455</v>
      </c>
      <c r="F5592" s="36" t="s">
        <v>11595</v>
      </c>
    </row>
    <row r="5593" spans="1:10" ht="14.25" customHeight="1" x14ac:dyDescent="0.35">
      <c r="A5593" s="37" t="s">
        <v>11746</v>
      </c>
      <c r="B5593" s="37" t="s">
        <v>11746</v>
      </c>
      <c r="C5593" s="37" t="s">
        <v>18585</v>
      </c>
      <c r="D5593" s="37" t="s">
        <v>10634</v>
      </c>
      <c r="E5593" s="37" t="s">
        <v>9261</v>
      </c>
      <c r="F5593" s="37" t="s">
        <v>7088</v>
      </c>
    </row>
    <row r="5594" spans="1:10" ht="14.25" customHeight="1" x14ac:dyDescent="0.35">
      <c r="A5594" s="75" t="s">
        <v>15490</v>
      </c>
      <c r="B5594" s="38" t="s">
        <v>8918</v>
      </c>
      <c r="C5594" s="68">
        <v>45488</v>
      </c>
      <c r="D5594" s="75" t="s">
        <v>9819</v>
      </c>
      <c r="E5594" s="70" t="s">
        <v>13683</v>
      </c>
      <c r="F5594" s="71" t="s">
        <v>3205</v>
      </c>
    </row>
    <row r="5595" spans="1:10" ht="14.25" customHeight="1" x14ac:dyDescent="0.35">
      <c r="A5595" s="76"/>
      <c r="B5595" s="38" t="s">
        <v>1858</v>
      </c>
      <c r="C5595" s="69">
        <f>IF(C5594="","",IF(AND(MONTH(C5594)&gt;=1,MONTH(C5594)&lt;=3),1,IF(AND(MONTH(C5594)&gt;=4,MONTH(C5594)&lt;=6),2,IF(AND(MONTH(C5594)&gt;=7,MONTH(C5594)&lt;=9),3,4))))</f>
        <v>3</v>
      </c>
      <c r="D5595" s="76"/>
      <c r="E5595" s="70" t="s">
        <v>2509</v>
      </c>
      <c r="F5595" s="71" t="s">
        <v>11612</v>
      </c>
    </row>
    <row r="5596" spans="1:10" ht="14.25" customHeight="1" x14ac:dyDescent="0.35">
      <c r="A5596" s="76"/>
      <c r="B5596" s="38" t="s">
        <v>13526</v>
      </c>
      <c r="C5596" s="68">
        <v>45503</v>
      </c>
      <c r="D5596" s="76"/>
      <c r="E5596" s="70" t="s">
        <v>3198</v>
      </c>
      <c r="F5596" s="71"/>
    </row>
    <row r="5597" spans="1:10" ht="14.25" customHeight="1" x14ac:dyDescent="0.35">
      <c r="A5597" s="76"/>
      <c r="B5597" s="38" t="s">
        <v>1858</v>
      </c>
      <c r="C5597" s="69">
        <f>IF(C5596="","",IF(AND(MONTH(C5596)&gt;=1,MONTH(C5596)&lt;=3),1,IF(AND(MONTH(C5596)&gt;=4,MONTH(C5596)&lt;=6),2,IF(AND(MONTH(C5596)&gt;=7,MONTH(C5596)&lt;=9),3,4))))</f>
        <v>3</v>
      </c>
      <c r="D5597" s="76"/>
      <c r="E5597" s="70" t="s">
        <v>13785</v>
      </c>
      <c r="F5597" s="71"/>
    </row>
    <row r="5599" spans="1:10" ht="14.25" customHeight="1" x14ac:dyDescent="0.35">
      <c r="A5599" s="43" t="s">
        <v>16424</v>
      </c>
      <c r="B5599" s="43" t="s">
        <v>16856</v>
      </c>
      <c r="C5599" s="43" t="s">
        <v>16326</v>
      </c>
      <c r="D5599" s="43" t="s">
        <v>15925</v>
      </c>
      <c r="E5599" s="43" t="s">
        <v>7248</v>
      </c>
      <c r="F5599" s="43" t="s">
        <v>15955</v>
      </c>
    </row>
    <row r="5600" spans="1:10" ht="14.25" customHeight="1" x14ac:dyDescent="0.35">
      <c r="A5600" s="39" t="s">
        <v>10369</v>
      </c>
      <c r="B5600" s="40" t="str">
        <f ca="1">IFERROR(INDEX(UNSPSCDes,MATCH(INDIRECT(ADDRESS(ROW(),COLUMN()-1,4)),UNSPSCCode,0)),IF(INDIRECT(ADDRESS(ROW(),COLUMN()-1,4))="47101601","Alguicidas",""))</f>
        <v>Alguicidas</v>
      </c>
      <c r="C5600" s="72" t="str">
        <f>IFERROR(VLOOKUP("UD",'Informacion '!P:Q,2,FALSE),"")</f>
        <v>Unidad</v>
      </c>
      <c r="D5600" s="39">
        <v>250</v>
      </c>
      <c r="E5600" s="42">
        <v>265</v>
      </c>
      <c r="F5600" s="41">
        <f ca="1">INDIRECT(ADDRESS(ROW(),COLUMN()-2,4))*INDIRECT(ADDRESS(ROW(),COLUMN()-1,4))</f>
        <v>66250</v>
      </c>
    </row>
    <row r="5601" spans="1:10" ht="14.25" customHeight="1" x14ac:dyDescent="0.35">
      <c r="E5601" s="44" t="s">
        <v>13122</v>
      </c>
      <c r="F5601" s="45">
        <f ca="1">SUM(Table316[MONTO TOTAL ESTIMADO])</f>
        <v>66250</v>
      </c>
      <c r="H5601" s="24" t="str">
        <f>C5593</f>
        <v>Bienes</v>
      </c>
      <c r="I5601" s="24" t="str">
        <f>E5593</f>
        <v>Sí</v>
      </c>
      <c r="J5601" s="24" t="str">
        <f>D5593</f>
        <v>Compras por debajo del Umbral</v>
      </c>
    </row>
    <row r="5603" spans="1:10" ht="34" customHeight="1" x14ac:dyDescent="0.35">
      <c r="A5603" s="36" t="s">
        <v>17105</v>
      </c>
      <c r="B5603" s="36" t="s">
        <v>167</v>
      </c>
      <c r="C5603" s="36" t="s">
        <v>12252</v>
      </c>
      <c r="D5603" s="36" t="s">
        <v>15021</v>
      </c>
      <c r="E5603" s="36" t="s">
        <v>11455</v>
      </c>
      <c r="F5603" s="36" t="s">
        <v>11595</v>
      </c>
    </row>
    <row r="5604" spans="1:10" ht="14.25" customHeight="1" x14ac:dyDescent="0.35">
      <c r="A5604" s="37" t="s">
        <v>18004</v>
      </c>
      <c r="B5604" s="37" t="s">
        <v>18004</v>
      </c>
      <c r="C5604" s="37" t="s">
        <v>7109</v>
      </c>
      <c r="D5604" s="37" t="s">
        <v>10634</v>
      </c>
      <c r="E5604" s="37" t="s">
        <v>18646</v>
      </c>
      <c r="F5604" s="37" t="s">
        <v>7088</v>
      </c>
    </row>
    <row r="5605" spans="1:10" ht="14.25" customHeight="1" x14ac:dyDescent="0.35">
      <c r="A5605" s="75" t="s">
        <v>15490</v>
      </c>
      <c r="B5605" s="38" t="s">
        <v>8918</v>
      </c>
      <c r="C5605" s="68">
        <v>45334</v>
      </c>
      <c r="D5605" s="75" t="s">
        <v>9819</v>
      </c>
      <c r="E5605" s="70" t="s">
        <v>13683</v>
      </c>
      <c r="F5605" s="71" t="s">
        <v>3205</v>
      </c>
    </row>
    <row r="5606" spans="1:10" ht="14.25" customHeight="1" x14ac:dyDescent="0.35">
      <c r="A5606" s="76"/>
      <c r="B5606" s="38" t="s">
        <v>1858</v>
      </c>
      <c r="C5606" s="69">
        <f>IF(C5605="","",IF(AND(MONTH(C5605)&gt;=1,MONTH(C5605)&lt;=3),1,IF(AND(MONTH(C5605)&gt;=4,MONTH(C5605)&lt;=6),2,IF(AND(MONTH(C5605)&gt;=7,MONTH(C5605)&lt;=9),3,4))))</f>
        <v>1</v>
      </c>
      <c r="D5606" s="76"/>
      <c r="E5606" s="70" t="s">
        <v>2509</v>
      </c>
      <c r="F5606" s="71" t="s">
        <v>11612</v>
      </c>
    </row>
    <row r="5607" spans="1:10" ht="14.25" customHeight="1" x14ac:dyDescent="0.35">
      <c r="A5607" s="76"/>
      <c r="B5607" s="38" t="s">
        <v>13526</v>
      </c>
      <c r="C5607" s="68">
        <v>45341</v>
      </c>
      <c r="D5607" s="76"/>
      <c r="E5607" s="70" t="s">
        <v>3198</v>
      </c>
      <c r="F5607" s="71"/>
    </row>
    <row r="5608" spans="1:10" ht="14.25" customHeight="1" x14ac:dyDescent="0.35">
      <c r="A5608" s="76"/>
      <c r="B5608" s="38" t="s">
        <v>1858</v>
      </c>
      <c r="C5608" s="69">
        <f>IF(C5607="","",IF(AND(MONTH(C5607)&gt;=1,MONTH(C5607)&lt;=3),1,IF(AND(MONTH(C5607)&gt;=4,MONTH(C5607)&lt;=6),2,IF(AND(MONTH(C5607)&gt;=7,MONTH(C5607)&lt;=9),3,4))))</f>
        <v>1</v>
      </c>
      <c r="D5608" s="76"/>
      <c r="E5608" s="70" t="s">
        <v>13785</v>
      </c>
      <c r="F5608" s="71"/>
    </row>
    <row r="5610" spans="1:10" ht="14.25" customHeight="1" x14ac:dyDescent="0.35">
      <c r="A5610" s="43" t="s">
        <v>16424</v>
      </c>
      <c r="B5610" s="43" t="s">
        <v>16856</v>
      </c>
      <c r="C5610" s="43" t="s">
        <v>16326</v>
      </c>
      <c r="D5610" s="43" t="s">
        <v>15925</v>
      </c>
      <c r="E5610" s="43" t="s">
        <v>7248</v>
      </c>
      <c r="F5610" s="43" t="s">
        <v>15955</v>
      </c>
    </row>
    <row r="5611" spans="1:10" ht="14.25" customHeight="1" x14ac:dyDescent="0.35">
      <c r="A5611" s="39" t="s">
        <v>15077</v>
      </c>
      <c r="B5611" s="40" t="str">
        <f ca="1">IFERROR(INDEX(UNSPSCDes,MATCH(INDIRECT(ADDRESS(ROW(),COLUMN()-1,4)),UNSPSCCode,0)),IF(INDIRECT(ADDRESS(ROW(),COLUMN()-1,4))="47101613","Soluciones de neutralización",""))</f>
        <v>Soluciones de neutralización</v>
      </c>
      <c r="C5611" s="72" t="str">
        <f>IFERROR(VLOOKUP("UD",'Informacion '!P:Q,2,FALSE),"")</f>
        <v>Unidad</v>
      </c>
      <c r="D5611" s="39">
        <v>15</v>
      </c>
      <c r="E5611" s="42">
        <v>1646</v>
      </c>
      <c r="F5611" s="41">
        <f ca="1">INDIRECT(ADDRESS(ROW(),COLUMN()-2,4))*INDIRECT(ADDRESS(ROW(),COLUMN()-1,4))</f>
        <v>24690</v>
      </c>
    </row>
    <row r="5612" spans="1:10" ht="14.25" customHeight="1" x14ac:dyDescent="0.35">
      <c r="E5612" s="44" t="s">
        <v>13122</v>
      </c>
      <c r="F5612" s="45">
        <f ca="1">SUM(Table317[MONTO TOTAL ESTIMADO])</f>
        <v>24690</v>
      </c>
      <c r="H5612" s="24" t="str">
        <f>C5604</f>
        <v>Servicios</v>
      </c>
      <c r="I5612" s="24" t="str">
        <f>E5604</f>
        <v>No</v>
      </c>
      <c r="J5612" s="24" t="str">
        <f>D5604</f>
        <v>Compras por debajo del Umbral</v>
      </c>
    </row>
    <row r="5614" spans="1:10" ht="34" customHeight="1" x14ac:dyDescent="0.35">
      <c r="A5614" s="36" t="s">
        <v>17105</v>
      </c>
      <c r="B5614" s="36" t="s">
        <v>167</v>
      </c>
      <c r="C5614" s="36" t="s">
        <v>12252</v>
      </c>
      <c r="D5614" s="36" t="s">
        <v>15021</v>
      </c>
      <c r="E5614" s="36" t="s">
        <v>11455</v>
      </c>
      <c r="F5614" s="36" t="s">
        <v>11595</v>
      </c>
    </row>
    <row r="5615" spans="1:10" ht="14.25" customHeight="1" x14ac:dyDescent="0.35">
      <c r="A5615" s="37" t="s">
        <v>14884</v>
      </c>
      <c r="B5615" s="37" t="s">
        <v>14884</v>
      </c>
      <c r="C5615" s="37" t="s">
        <v>18585</v>
      </c>
      <c r="D5615" s="37" t="s">
        <v>10634</v>
      </c>
      <c r="E5615" s="37" t="s">
        <v>9261</v>
      </c>
      <c r="F5615" s="37" t="s">
        <v>7088</v>
      </c>
    </row>
    <row r="5616" spans="1:10" ht="14.25" customHeight="1" x14ac:dyDescent="0.35">
      <c r="A5616" s="75" t="s">
        <v>15490</v>
      </c>
      <c r="B5616" s="38" t="s">
        <v>8918</v>
      </c>
      <c r="C5616" s="68">
        <v>45334</v>
      </c>
      <c r="D5616" s="75" t="s">
        <v>9819</v>
      </c>
      <c r="E5616" s="70" t="s">
        <v>13683</v>
      </c>
      <c r="F5616" s="71" t="s">
        <v>3205</v>
      </c>
    </row>
    <row r="5617" spans="1:10" ht="14.25" customHeight="1" x14ac:dyDescent="0.35">
      <c r="A5617" s="76"/>
      <c r="B5617" s="38" t="s">
        <v>1858</v>
      </c>
      <c r="C5617" s="69">
        <f>IF(C5616="","",IF(AND(MONTH(C5616)&gt;=1,MONTH(C5616)&lt;=3),1,IF(AND(MONTH(C5616)&gt;=4,MONTH(C5616)&lt;=6),2,IF(AND(MONTH(C5616)&gt;=7,MONTH(C5616)&lt;=9),3,4))))</f>
        <v>1</v>
      </c>
      <c r="D5617" s="76"/>
      <c r="E5617" s="70" t="s">
        <v>2509</v>
      </c>
      <c r="F5617" s="71" t="s">
        <v>11612</v>
      </c>
    </row>
    <row r="5618" spans="1:10" ht="14.25" customHeight="1" x14ac:dyDescent="0.35">
      <c r="A5618" s="76"/>
      <c r="B5618" s="38" t="s">
        <v>13526</v>
      </c>
      <c r="C5618" s="68">
        <v>45350</v>
      </c>
      <c r="D5618" s="76"/>
      <c r="E5618" s="70" t="s">
        <v>3198</v>
      </c>
      <c r="F5618" s="71"/>
    </row>
    <row r="5619" spans="1:10" ht="14.25" customHeight="1" x14ac:dyDescent="0.35">
      <c r="A5619" s="76"/>
      <c r="B5619" s="38" t="s">
        <v>1858</v>
      </c>
      <c r="C5619" s="69">
        <f>IF(C5618="","",IF(AND(MONTH(C5618)&gt;=1,MONTH(C5618)&lt;=3),1,IF(AND(MONTH(C5618)&gt;=4,MONTH(C5618)&lt;=6),2,IF(AND(MONTH(C5618)&gt;=7,MONTH(C5618)&lt;=9),3,4))))</f>
        <v>1</v>
      </c>
      <c r="D5619" s="76"/>
      <c r="E5619" s="70" t="s">
        <v>13785</v>
      </c>
      <c r="F5619" s="71"/>
    </row>
    <row r="5621" spans="1:10" ht="14.25" customHeight="1" x14ac:dyDescent="0.35">
      <c r="A5621" s="43" t="s">
        <v>16424</v>
      </c>
      <c r="B5621" s="43" t="s">
        <v>16856</v>
      </c>
      <c r="C5621" s="43" t="s">
        <v>16326</v>
      </c>
      <c r="D5621" s="43" t="s">
        <v>15925</v>
      </c>
      <c r="E5621" s="43" t="s">
        <v>7248</v>
      </c>
      <c r="F5621" s="43" t="s">
        <v>15955</v>
      </c>
    </row>
    <row r="5622" spans="1:10" ht="14.25" customHeight="1" x14ac:dyDescent="0.35">
      <c r="A5622" s="39" t="s">
        <v>10879</v>
      </c>
      <c r="B5622" s="40" t="str">
        <f ca="1">IFERROR(INDEX(UNSPSCDes,MATCH(INDIRECT(ADDRESS(ROW(),COLUMN()-1,4)),UNSPSCCode,0)),IF(INDIRECT(ADDRESS(ROW(),COLUMN()-1,4))="47121702","Contenedores de desperdicios o revestimientos rígidos",""))</f>
        <v>Contenedores de desperdicios o revestimientos rígidos</v>
      </c>
      <c r="C5622" s="72" t="str">
        <f>IFERROR(VLOOKUP("UD",'Informacion '!P:Q,2,FALSE),"")</f>
        <v>Unidad</v>
      </c>
      <c r="D5622" s="39">
        <v>5</v>
      </c>
      <c r="E5622" s="42">
        <v>4425</v>
      </c>
      <c r="F5622" s="41">
        <f ca="1">INDIRECT(ADDRESS(ROW(),COLUMN()-2,4))*INDIRECT(ADDRESS(ROW(),COLUMN()-1,4))</f>
        <v>22125</v>
      </c>
    </row>
    <row r="5623" spans="1:10" ht="14.25" customHeight="1" x14ac:dyDescent="0.35">
      <c r="A5623" s="39" t="s">
        <v>10879</v>
      </c>
      <c r="B5623" s="40" t="str">
        <f ca="1">IFERROR(INDEX(UNSPSCDes,MATCH(INDIRECT(ADDRESS(ROW(),COLUMN()-1,4)),UNSPSCCode,0)),IF(INDIRECT(ADDRESS(ROW(),COLUMN()-1,4))="47121702","Contenedores de desperdicios o revestimientos rígidos",""))</f>
        <v>Contenedores de desperdicios o revestimientos rígidos</v>
      </c>
      <c r="C5623" s="72" t="str">
        <f>IFERROR(VLOOKUP("UD",'Informacion '!P:Q,2,FALSE),"")</f>
        <v>Unidad</v>
      </c>
      <c r="D5623" s="39">
        <v>5</v>
      </c>
      <c r="E5623" s="42">
        <v>2301</v>
      </c>
      <c r="F5623" s="41">
        <f ca="1">INDIRECT(ADDRESS(ROW(),COLUMN()-2,4))*INDIRECT(ADDRESS(ROW(),COLUMN()-1,4))</f>
        <v>11505</v>
      </c>
    </row>
    <row r="5624" spans="1:10" ht="14.25" customHeight="1" x14ac:dyDescent="0.35">
      <c r="A5624" s="39" t="s">
        <v>4869</v>
      </c>
      <c r="B5624" s="40" t="str">
        <f ca="1">IFERROR(INDEX(UNSPSCDes,MATCH(INDIRECT(ADDRESS(ROW(),COLUMN()-1,4)),UNSPSCCode,0)),IF(INDIRECT(ADDRESS(ROW(),COLUMN()-1,4))="47121807","Émbolo del lavaplatos o inodoro",""))</f>
        <v>Émbolo del lavaplatos o inodoro</v>
      </c>
      <c r="C5624" s="72" t="str">
        <f>IFERROR(VLOOKUP("UD",'Informacion '!P:Q,2,FALSE),"")</f>
        <v>Unidad</v>
      </c>
      <c r="D5624" s="39">
        <v>20</v>
      </c>
      <c r="E5624" s="42">
        <v>123.9</v>
      </c>
      <c r="F5624" s="41">
        <f ca="1">INDIRECT(ADDRESS(ROW(),COLUMN()-2,4))*INDIRECT(ADDRESS(ROW(),COLUMN()-1,4))</f>
        <v>2478</v>
      </c>
    </row>
    <row r="5625" spans="1:10" ht="14.25" customHeight="1" x14ac:dyDescent="0.35">
      <c r="E5625" s="44" t="s">
        <v>13122</v>
      </c>
      <c r="F5625" s="45">
        <f ca="1">SUM(Table318[MONTO TOTAL ESTIMADO])</f>
        <v>36108</v>
      </c>
      <c r="H5625" s="24" t="str">
        <f>C5615</f>
        <v>Bienes</v>
      </c>
      <c r="I5625" s="24" t="str">
        <f>E5615</f>
        <v>Sí</v>
      </c>
      <c r="J5625" s="24" t="str">
        <f>D5615</f>
        <v>Compras por debajo del Umbral</v>
      </c>
    </row>
    <row r="5627" spans="1:10" ht="34" customHeight="1" x14ac:dyDescent="0.35">
      <c r="A5627" s="36" t="s">
        <v>17105</v>
      </c>
      <c r="B5627" s="36" t="s">
        <v>167</v>
      </c>
      <c r="C5627" s="36" t="s">
        <v>12252</v>
      </c>
      <c r="D5627" s="36" t="s">
        <v>15021</v>
      </c>
      <c r="E5627" s="36" t="s">
        <v>11455</v>
      </c>
      <c r="F5627" s="36" t="s">
        <v>11595</v>
      </c>
    </row>
    <row r="5628" spans="1:10" ht="14.25" customHeight="1" x14ac:dyDescent="0.35">
      <c r="A5628" s="37" t="s">
        <v>4413</v>
      </c>
      <c r="B5628" s="37" t="s">
        <v>4413</v>
      </c>
      <c r="C5628" s="37" t="s">
        <v>18585</v>
      </c>
      <c r="D5628" s="37" t="s">
        <v>10634</v>
      </c>
      <c r="E5628" s="37" t="s">
        <v>9261</v>
      </c>
      <c r="F5628" s="37" t="s">
        <v>7088</v>
      </c>
    </row>
    <row r="5629" spans="1:10" ht="14.25" customHeight="1" x14ac:dyDescent="0.35">
      <c r="A5629" s="75" t="s">
        <v>15490</v>
      </c>
      <c r="B5629" s="38" t="s">
        <v>8918</v>
      </c>
      <c r="C5629" s="68">
        <v>45397</v>
      </c>
      <c r="D5629" s="75" t="s">
        <v>9819</v>
      </c>
      <c r="E5629" s="70" t="s">
        <v>13683</v>
      </c>
      <c r="F5629" s="71" t="s">
        <v>3205</v>
      </c>
    </row>
    <row r="5630" spans="1:10" ht="14.25" customHeight="1" x14ac:dyDescent="0.35">
      <c r="A5630" s="76"/>
      <c r="B5630" s="38" t="s">
        <v>1858</v>
      </c>
      <c r="C5630" s="69">
        <f>IF(C5629="","",IF(AND(MONTH(C5629)&gt;=1,MONTH(C5629)&lt;=3),1,IF(AND(MONTH(C5629)&gt;=4,MONTH(C5629)&lt;=6),2,IF(AND(MONTH(C5629)&gt;=7,MONTH(C5629)&lt;=9),3,4))))</f>
        <v>2</v>
      </c>
      <c r="D5630" s="76"/>
      <c r="E5630" s="70" t="s">
        <v>2509</v>
      </c>
      <c r="F5630" s="71" t="s">
        <v>11612</v>
      </c>
    </row>
    <row r="5631" spans="1:10" ht="14.25" customHeight="1" x14ac:dyDescent="0.35">
      <c r="A5631" s="76"/>
      <c r="B5631" s="38" t="s">
        <v>13526</v>
      </c>
      <c r="C5631" s="68">
        <v>45407</v>
      </c>
      <c r="D5631" s="76"/>
      <c r="E5631" s="70" t="s">
        <v>3198</v>
      </c>
      <c r="F5631" s="71"/>
    </row>
    <row r="5632" spans="1:10" ht="14.25" customHeight="1" x14ac:dyDescent="0.35">
      <c r="A5632" s="76"/>
      <c r="B5632" s="38" t="s">
        <v>1858</v>
      </c>
      <c r="C5632" s="69">
        <f>IF(C5631="","",IF(AND(MONTH(C5631)&gt;=1,MONTH(C5631)&lt;=3),1,IF(AND(MONTH(C5631)&gt;=4,MONTH(C5631)&lt;=6),2,IF(AND(MONTH(C5631)&gt;=7,MONTH(C5631)&lt;=9),3,4))))</f>
        <v>2</v>
      </c>
      <c r="D5632" s="76"/>
      <c r="E5632" s="70" t="s">
        <v>13785</v>
      </c>
      <c r="F5632" s="71"/>
    </row>
    <row r="5634" spans="1:10" ht="14.25" customHeight="1" x14ac:dyDescent="0.35">
      <c r="A5634" s="43" t="s">
        <v>16424</v>
      </c>
      <c r="B5634" s="43" t="s">
        <v>16856</v>
      </c>
      <c r="C5634" s="43" t="s">
        <v>16326</v>
      </c>
      <c r="D5634" s="43" t="s">
        <v>15925</v>
      </c>
      <c r="E5634" s="43" t="s">
        <v>7248</v>
      </c>
      <c r="F5634" s="43" t="s">
        <v>15955</v>
      </c>
    </row>
    <row r="5635" spans="1:10" ht="14.25" customHeight="1" x14ac:dyDescent="0.35">
      <c r="A5635" s="39" t="s">
        <v>10879</v>
      </c>
      <c r="B5635" s="40" t="str">
        <f ca="1">IFERROR(INDEX(UNSPSCDes,MATCH(INDIRECT(ADDRESS(ROW(),COLUMN()-1,4)),UNSPSCCode,0)),IF(INDIRECT(ADDRESS(ROW(),COLUMN()-1,4))="47121702","Contenedores de desperdicios o revestimientos rígidos",""))</f>
        <v>Contenedores de desperdicios o revestimientos rígidos</v>
      </c>
      <c r="C5635" s="72" t="str">
        <f>IFERROR(VLOOKUP("UD",'Informacion '!P:Q,2,FALSE),"")</f>
        <v>Unidad</v>
      </c>
      <c r="D5635" s="39">
        <v>2</v>
      </c>
      <c r="E5635" s="42">
        <v>2301</v>
      </c>
      <c r="F5635" s="41">
        <f ca="1">INDIRECT(ADDRESS(ROW(),COLUMN()-2,4))*INDIRECT(ADDRESS(ROW(),COLUMN()-1,4))</f>
        <v>4602</v>
      </c>
    </row>
    <row r="5636" spans="1:10" ht="14.25" customHeight="1" x14ac:dyDescent="0.35">
      <c r="E5636" s="44" t="s">
        <v>13122</v>
      </c>
      <c r="F5636" s="45">
        <f ca="1">SUM(Table319[MONTO TOTAL ESTIMADO])</f>
        <v>4602</v>
      </c>
      <c r="H5636" s="24" t="str">
        <f>C5628</f>
        <v>Bienes</v>
      </c>
      <c r="I5636" s="24" t="str">
        <f>E5628</f>
        <v>Sí</v>
      </c>
      <c r="J5636" s="24" t="str">
        <f>D5628</f>
        <v>Compras por debajo del Umbral</v>
      </c>
    </row>
    <row r="5638" spans="1:10" ht="34" customHeight="1" x14ac:dyDescent="0.35">
      <c r="A5638" s="36" t="s">
        <v>17105</v>
      </c>
      <c r="B5638" s="36" t="s">
        <v>167</v>
      </c>
      <c r="C5638" s="36" t="s">
        <v>12252</v>
      </c>
      <c r="D5638" s="36" t="s">
        <v>15021</v>
      </c>
      <c r="E5638" s="36" t="s">
        <v>11455</v>
      </c>
      <c r="F5638" s="36" t="s">
        <v>11595</v>
      </c>
    </row>
    <row r="5639" spans="1:10" ht="14.25" customHeight="1" x14ac:dyDescent="0.35">
      <c r="A5639" s="37" t="s">
        <v>4413</v>
      </c>
      <c r="B5639" s="37" t="s">
        <v>4413</v>
      </c>
      <c r="C5639" s="37" t="s">
        <v>18585</v>
      </c>
      <c r="D5639" s="37" t="s">
        <v>10634</v>
      </c>
      <c r="E5639" s="37" t="s">
        <v>9261</v>
      </c>
      <c r="F5639" s="37" t="s">
        <v>7088</v>
      </c>
    </row>
    <row r="5640" spans="1:10" ht="14.25" customHeight="1" x14ac:dyDescent="0.35">
      <c r="A5640" s="75" t="s">
        <v>15490</v>
      </c>
      <c r="B5640" s="38" t="s">
        <v>8918</v>
      </c>
      <c r="C5640" s="68">
        <v>45488</v>
      </c>
      <c r="D5640" s="75" t="s">
        <v>9819</v>
      </c>
      <c r="E5640" s="70" t="s">
        <v>13683</v>
      </c>
      <c r="F5640" s="71" t="s">
        <v>3205</v>
      </c>
    </row>
    <row r="5641" spans="1:10" ht="14.25" customHeight="1" x14ac:dyDescent="0.35">
      <c r="A5641" s="76"/>
      <c r="B5641" s="38" t="s">
        <v>1858</v>
      </c>
      <c r="C5641" s="69">
        <f>IF(C5640="","",IF(AND(MONTH(C5640)&gt;=1,MONTH(C5640)&lt;=3),1,IF(AND(MONTH(C5640)&gt;=4,MONTH(C5640)&lt;=6),2,IF(AND(MONTH(C5640)&gt;=7,MONTH(C5640)&lt;=9),3,4))))</f>
        <v>3</v>
      </c>
      <c r="D5641" s="76"/>
      <c r="E5641" s="70" t="s">
        <v>2509</v>
      </c>
      <c r="F5641" s="71" t="s">
        <v>11612</v>
      </c>
    </row>
    <row r="5642" spans="1:10" ht="14.25" customHeight="1" x14ac:dyDescent="0.35">
      <c r="A5642" s="76"/>
      <c r="B5642" s="38" t="s">
        <v>13526</v>
      </c>
      <c r="C5642" s="68">
        <v>45498</v>
      </c>
      <c r="D5642" s="76"/>
      <c r="E5642" s="70" t="s">
        <v>3198</v>
      </c>
      <c r="F5642" s="71"/>
    </row>
    <row r="5643" spans="1:10" ht="14.25" customHeight="1" x14ac:dyDescent="0.35">
      <c r="A5643" s="76"/>
      <c r="B5643" s="38" t="s">
        <v>1858</v>
      </c>
      <c r="C5643" s="69">
        <f>IF(C5642="","",IF(AND(MONTH(C5642)&gt;=1,MONTH(C5642)&lt;=3),1,IF(AND(MONTH(C5642)&gt;=4,MONTH(C5642)&lt;=6),2,IF(AND(MONTH(C5642)&gt;=7,MONTH(C5642)&lt;=9),3,4))))</f>
        <v>3</v>
      </c>
      <c r="D5643" s="76"/>
      <c r="E5643" s="70" t="s">
        <v>13785</v>
      </c>
      <c r="F5643" s="71"/>
    </row>
    <row r="5645" spans="1:10" ht="14.25" customHeight="1" x14ac:dyDescent="0.35">
      <c r="A5645" s="43" t="s">
        <v>16424</v>
      </c>
      <c r="B5645" s="43" t="s">
        <v>16856</v>
      </c>
      <c r="C5645" s="43" t="s">
        <v>16326</v>
      </c>
      <c r="D5645" s="43" t="s">
        <v>15925</v>
      </c>
      <c r="E5645" s="43" t="s">
        <v>7248</v>
      </c>
      <c r="F5645" s="43" t="s">
        <v>15955</v>
      </c>
    </row>
    <row r="5646" spans="1:10" ht="14.25" customHeight="1" x14ac:dyDescent="0.35">
      <c r="A5646" s="39" t="s">
        <v>10879</v>
      </c>
      <c r="B5646" s="40" t="str">
        <f ca="1">IFERROR(INDEX(UNSPSCDes,MATCH(INDIRECT(ADDRESS(ROW(),COLUMN()-1,4)),UNSPSCCode,0)),IF(INDIRECT(ADDRESS(ROW(),COLUMN()-1,4))="47121702","Contenedores de desperdicios o revestimientos rígidos",""))</f>
        <v>Contenedores de desperdicios o revestimientos rígidos</v>
      </c>
      <c r="C5646" s="72" t="str">
        <f>IFERROR(VLOOKUP("UD",'Informacion '!P:Q,2,FALSE),"")</f>
        <v>Unidad</v>
      </c>
      <c r="D5646" s="39">
        <v>2</v>
      </c>
      <c r="E5646" s="42">
        <v>2301</v>
      </c>
      <c r="F5646" s="41">
        <f ca="1">INDIRECT(ADDRESS(ROW(),COLUMN()-2,4))*INDIRECT(ADDRESS(ROW(),COLUMN()-1,4))</f>
        <v>4602</v>
      </c>
    </row>
    <row r="5647" spans="1:10" ht="14.25" customHeight="1" x14ac:dyDescent="0.35">
      <c r="E5647" s="44" t="s">
        <v>13122</v>
      </c>
      <c r="F5647" s="45">
        <f ca="1">SUM(Table320[MONTO TOTAL ESTIMADO])</f>
        <v>4602</v>
      </c>
      <c r="H5647" s="24" t="str">
        <f>C5639</f>
        <v>Bienes</v>
      </c>
      <c r="I5647" s="24" t="str">
        <f>E5639</f>
        <v>Sí</v>
      </c>
      <c r="J5647" s="24" t="str">
        <f>D5639</f>
        <v>Compras por debajo del Umbral</v>
      </c>
    </row>
    <row r="5649" spans="1:10" ht="34" customHeight="1" x14ac:dyDescent="0.35">
      <c r="A5649" s="36" t="s">
        <v>17105</v>
      </c>
      <c r="B5649" s="36" t="s">
        <v>167</v>
      </c>
      <c r="C5649" s="36" t="s">
        <v>12252</v>
      </c>
      <c r="D5649" s="36" t="s">
        <v>15021</v>
      </c>
      <c r="E5649" s="36" t="s">
        <v>11455</v>
      </c>
      <c r="F5649" s="36" t="s">
        <v>11595</v>
      </c>
    </row>
    <row r="5650" spans="1:10" ht="14.25" customHeight="1" x14ac:dyDescent="0.35">
      <c r="A5650" s="37" t="s">
        <v>4413</v>
      </c>
      <c r="B5650" s="37" t="s">
        <v>4413</v>
      </c>
      <c r="C5650" s="37" t="s">
        <v>18585</v>
      </c>
      <c r="D5650" s="37" t="s">
        <v>10634</v>
      </c>
      <c r="E5650" s="37" t="s">
        <v>9261</v>
      </c>
      <c r="F5650" s="37" t="s">
        <v>7088</v>
      </c>
    </row>
    <row r="5651" spans="1:10" ht="14.25" customHeight="1" x14ac:dyDescent="0.35">
      <c r="A5651" s="75" t="s">
        <v>15490</v>
      </c>
      <c r="B5651" s="38" t="s">
        <v>8918</v>
      </c>
      <c r="C5651" s="68">
        <v>45580</v>
      </c>
      <c r="D5651" s="75" t="s">
        <v>9819</v>
      </c>
      <c r="E5651" s="70" t="s">
        <v>13683</v>
      </c>
      <c r="F5651" s="71" t="s">
        <v>3205</v>
      </c>
    </row>
    <row r="5652" spans="1:10" ht="14.25" customHeight="1" x14ac:dyDescent="0.35">
      <c r="A5652" s="76"/>
      <c r="B5652" s="38" t="s">
        <v>1858</v>
      </c>
      <c r="C5652" s="69">
        <f>IF(C5651="","",IF(AND(MONTH(C5651)&gt;=1,MONTH(C5651)&lt;=3),1,IF(AND(MONTH(C5651)&gt;=4,MONTH(C5651)&lt;=6),2,IF(AND(MONTH(C5651)&gt;=7,MONTH(C5651)&lt;=9),3,4))))</f>
        <v>4</v>
      </c>
      <c r="D5652" s="76"/>
      <c r="E5652" s="70" t="s">
        <v>2509</v>
      </c>
      <c r="F5652" s="71" t="s">
        <v>11612</v>
      </c>
    </row>
    <row r="5653" spans="1:10" ht="14.25" customHeight="1" x14ac:dyDescent="0.35">
      <c r="A5653" s="76"/>
      <c r="B5653" s="38" t="s">
        <v>13526</v>
      </c>
      <c r="C5653" s="68">
        <v>45590</v>
      </c>
      <c r="D5653" s="76"/>
      <c r="E5653" s="70" t="s">
        <v>3198</v>
      </c>
      <c r="F5653" s="71"/>
    </row>
    <row r="5654" spans="1:10" ht="14.25" customHeight="1" x14ac:dyDescent="0.35">
      <c r="A5654" s="76"/>
      <c r="B5654" s="38" t="s">
        <v>1858</v>
      </c>
      <c r="C5654" s="69">
        <f>IF(C5653="","",IF(AND(MONTH(C5653)&gt;=1,MONTH(C5653)&lt;=3),1,IF(AND(MONTH(C5653)&gt;=4,MONTH(C5653)&lt;=6),2,IF(AND(MONTH(C5653)&gt;=7,MONTH(C5653)&lt;=9),3,4))))</f>
        <v>4</v>
      </c>
      <c r="D5654" s="76"/>
      <c r="E5654" s="70" t="s">
        <v>13785</v>
      </c>
      <c r="F5654" s="71"/>
    </row>
    <row r="5656" spans="1:10" ht="14.25" customHeight="1" x14ac:dyDescent="0.35">
      <c r="A5656" s="43" t="s">
        <v>16424</v>
      </c>
      <c r="B5656" s="43" t="s">
        <v>16856</v>
      </c>
      <c r="C5656" s="43" t="s">
        <v>16326</v>
      </c>
      <c r="D5656" s="43" t="s">
        <v>15925</v>
      </c>
      <c r="E5656" s="43" t="s">
        <v>7248</v>
      </c>
      <c r="F5656" s="43" t="s">
        <v>15955</v>
      </c>
    </row>
    <row r="5657" spans="1:10" ht="14.25" customHeight="1" x14ac:dyDescent="0.35">
      <c r="A5657" s="39" t="s">
        <v>10879</v>
      </c>
      <c r="B5657" s="40" t="str">
        <f ca="1">IFERROR(INDEX(UNSPSCDes,MATCH(INDIRECT(ADDRESS(ROW(),COLUMN()-1,4)),UNSPSCCode,0)),IF(INDIRECT(ADDRESS(ROW(),COLUMN()-1,4))="47121702","Contenedores de desperdicios o revestimientos rígidos",""))</f>
        <v>Contenedores de desperdicios o revestimientos rígidos</v>
      </c>
      <c r="C5657" s="72" t="str">
        <f>IFERROR(VLOOKUP("UD",'Informacion '!P:Q,2,FALSE),"")</f>
        <v>Unidad</v>
      </c>
      <c r="D5657" s="39">
        <v>2</v>
      </c>
      <c r="E5657" s="42">
        <v>2301</v>
      </c>
      <c r="F5657" s="41">
        <f ca="1">INDIRECT(ADDRESS(ROW(),COLUMN()-2,4))*INDIRECT(ADDRESS(ROW(),COLUMN()-1,4))</f>
        <v>4602</v>
      </c>
    </row>
    <row r="5658" spans="1:10" ht="14.25" customHeight="1" x14ac:dyDescent="0.35">
      <c r="E5658" s="44" t="s">
        <v>13122</v>
      </c>
      <c r="F5658" s="45">
        <f ca="1">SUM(Table321[MONTO TOTAL ESTIMADO])</f>
        <v>4602</v>
      </c>
      <c r="H5658" s="24" t="str">
        <f>C5650</f>
        <v>Bienes</v>
      </c>
      <c r="I5658" s="24" t="str">
        <f>E5650</f>
        <v>Sí</v>
      </c>
      <c r="J5658" s="24" t="str">
        <f>D5650</f>
        <v>Compras por debajo del Umbral</v>
      </c>
    </row>
    <row r="5660" spans="1:10" ht="34" customHeight="1" x14ac:dyDescent="0.35">
      <c r="A5660" s="36" t="s">
        <v>17105</v>
      </c>
      <c r="B5660" s="36" t="s">
        <v>167</v>
      </c>
      <c r="C5660" s="36" t="s">
        <v>12252</v>
      </c>
      <c r="D5660" s="36" t="s">
        <v>15021</v>
      </c>
      <c r="E5660" s="36" t="s">
        <v>11455</v>
      </c>
      <c r="F5660" s="36" t="s">
        <v>11595</v>
      </c>
    </row>
    <row r="5661" spans="1:10" ht="14.25" customHeight="1" x14ac:dyDescent="0.35">
      <c r="A5661" s="37" t="s">
        <v>15467</v>
      </c>
      <c r="B5661" s="37" t="s">
        <v>15467</v>
      </c>
      <c r="C5661" s="37" t="s">
        <v>18585</v>
      </c>
      <c r="D5661" s="37" t="s">
        <v>18256</v>
      </c>
      <c r="E5661" s="37" t="s">
        <v>9261</v>
      </c>
      <c r="F5661" s="37" t="s">
        <v>7088</v>
      </c>
    </row>
    <row r="5662" spans="1:10" ht="14.25" customHeight="1" x14ac:dyDescent="0.35">
      <c r="A5662" s="75" t="s">
        <v>15490</v>
      </c>
      <c r="B5662" s="38" t="s">
        <v>8918</v>
      </c>
      <c r="C5662" s="68">
        <v>45337</v>
      </c>
      <c r="D5662" s="75" t="s">
        <v>9819</v>
      </c>
      <c r="E5662" s="70" t="s">
        <v>13683</v>
      </c>
      <c r="F5662" s="71" t="s">
        <v>3205</v>
      </c>
    </row>
    <row r="5663" spans="1:10" ht="14.25" customHeight="1" x14ac:dyDescent="0.35">
      <c r="A5663" s="76"/>
      <c r="B5663" s="38" t="s">
        <v>1858</v>
      </c>
      <c r="C5663" s="69">
        <f>IF(C5662="","",IF(AND(MONTH(C5662)&gt;=1,MONTH(C5662)&lt;=3),1,IF(AND(MONTH(C5662)&gt;=4,MONTH(C5662)&lt;=6),2,IF(AND(MONTH(C5662)&gt;=7,MONTH(C5662)&lt;=9),3,4))))</f>
        <v>1</v>
      </c>
      <c r="D5663" s="76"/>
      <c r="E5663" s="70" t="s">
        <v>2509</v>
      </c>
      <c r="F5663" s="71" t="s">
        <v>11612</v>
      </c>
    </row>
    <row r="5664" spans="1:10" ht="14.25" customHeight="1" x14ac:dyDescent="0.35">
      <c r="A5664" s="76"/>
      <c r="B5664" s="38" t="s">
        <v>13526</v>
      </c>
      <c r="C5664" s="68">
        <v>45354</v>
      </c>
      <c r="D5664" s="76"/>
      <c r="E5664" s="70" t="s">
        <v>3198</v>
      </c>
      <c r="F5664" s="71"/>
    </row>
    <row r="5665" spans="1:6" ht="14.25" customHeight="1" x14ac:dyDescent="0.35">
      <c r="A5665" s="76"/>
      <c r="B5665" s="38" t="s">
        <v>1858</v>
      </c>
      <c r="C5665" s="69">
        <f>IF(C5664="","",IF(AND(MONTH(C5664)&gt;=1,MONTH(C5664)&lt;=3),1,IF(AND(MONTH(C5664)&gt;=4,MONTH(C5664)&lt;=6),2,IF(AND(MONTH(C5664)&gt;=7,MONTH(C5664)&lt;=9),3,4))))</f>
        <v>1</v>
      </c>
      <c r="D5665" s="76"/>
      <c r="E5665" s="70" t="s">
        <v>13785</v>
      </c>
      <c r="F5665" s="71"/>
    </row>
    <row r="5667" spans="1:6" ht="14.25" customHeight="1" x14ac:dyDescent="0.35">
      <c r="A5667" s="43" t="s">
        <v>16424</v>
      </c>
      <c r="B5667" s="43" t="s">
        <v>16856</v>
      </c>
      <c r="C5667" s="43" t="s">
        <v>16326</v>
      </c>
      <c r="D5667" s="43" t="s">
        <v>15925</v>
      </c>
      <c r="E5667" s="43" t="s">
        <v>7248</v>
      </c>
      <c r="F5667" s="43" t="s">
        <v>15955</v>
      </c>
    </row>
    <row r="5668" spans="1:6" ht="14.25" customHeight="1" x14ac:dyDescent="0.35">
      <c r="A5668" s="39" t="s">
        <v>6931</v>
      </c>
      <c r="B5668" s="40" t="str">
        <f ca="1">IFERROR(INDEX(UNSPSCDes,MATCH(INDIRECT(ADDRESS(ROW(),COLUMN()-1,4)),UNSPSCCode,0)),IF(INDIRECT(ADDRESS(ROW(),COLUMN()-1,4))="47131502","Pañitos o toallas para limpiar",""))</f>
        <v>Pañitos o toallas para limpiar</v>
      </c>
      <c r="C5668" s="72" t="str">
        <f>IFERROR(VLOOKUP("UD",'Informacion '!P:Q,2,FALSE),"")</f>
        <v>Unidad</v>
      </c>
      <c r="D5668" s="39">
        <v>75</v>
      </c>
      <c r="E5668" s="42">
        <v>265.5</v>
      </c>
      <c r="F5668" s="41">
        <f t="shared" ref="F5668:F5686" ca="1" si="188">INDIRECT(ADDRESS(ROW(),COLUMN()-2,4))*INDIRECT(ADDRESS(ROW(),COLUMN()-1,4))</f>
        <v>19912.5</v>
      </c>
    </row>
    <row r="5669" spans="1:6" ht="14.25" customHeight="1" x14ac:dyDescent="0.35">
      <c r="A5669" s="39" t="s">
        <v>6931</v>
      </c>
      <c r="B5669" s="40" t="str">
        <f ca="1">IFERROR(INDEX(UNSPSCDes,MATCH(INDIRECT(ADDRESS(ROW(),COLUMN()-1,4)),UNSPSCCode,0)),IF(INDIRECT(ADDRESS(ROW(),COLUMN()-1,4))="47131502","Pañitos o toallas para limpiar",""))</f>
        <v>Pañitos o toallas para limpiar</v>
      </c>
      <c r="C5669" s="72" t="str">
        <f>IFERROR(VLOOKUP("PAQ",'Informacion '!P:Q,2,FALSE),"")</f>
        <v>Paquete</v>
      </c>
      <c r="D5669" s="39">
        <v>2</v>
      </c>
      <c r="E5669" s="42">
        <v>1056</v>
      </c>
      <c r="F5669" s="41">
        <f t="shared" ca="1" si="188"/>
        <v>2112</v>
      </c>
    </row>
    <row r="5670" spans="1:6" ht="14.25" customHeight="1" x14ac:dyDescent="0.35">
      <c r="A5670" s="39" t="s">
        <v>6390</v>
      </c>
      <c r="B5670" s="40" t="str">
        <f ca="1">IFERROR(INDEX(UNSPSCDes,MATCH(INDIRECT(ADDRESS(ROW(),COLUMN()-1,4)),UNSPSCCode,0)),IF(INDIRECT(ADDRESS(ROW(),COLUMN()-1,4))="47131603","Esponjas",""))</f>
        <v>Esponjas</v>
      </c>
      <c r="C5670" s="72" t="str">
        <f>IFERROR(VLOOKUP("UD",'Informacion '!P:Q,2,FALSE),"")</f>
        <v>Unidad</v>
      </c>
      <c r="D5670" s="39">
        <v>100</v>
      </c>
      <c r="E5670" s="42">
        <v>13.73</v>
      </c>
      <c r="F5670" s="41">
        <f t="shared" ca="1" si="188"/>
        <v>1373</v>
      </c>
    </row>
    <row r="5671" spans="1:6" ht="14.25" customHeight="1" x14ac:dyDescent="0.35">
      <c r="A5671" s="39" t="s">
        <v>4621</v>
      </c>
      <c r="B5671" s="40" t="str">
        <f ca="1">IFERROR(INDEX(UNSPSCDes,MATCH(INDIRECT(ADDRESS(ROW(),COLUMN()-1,4)),UNSPSCCode,0)),IF(INDIRECT(ADDRESS(ROW(),COLUMN()-1,4))="47131604","Escobas",""))</f>
        <v>Escobas</v>
      </c>
      <c r="C5671" s="72" t="str">
        <f>IFERROR(VLOOKUP("UD",'Informacion '!P:Q,2,FALSE),"")</f>
        <v>Unidad</v>
      </c>
      <c r="D5671" s="39">
        <v>150</v>
      </c>
      <c r="E5671" s="42">
        <v>120.33</v>
      </c>
      <c r="F5671" s="41">
        <f t="shared" ca="1" si="188"/>
        <v>18049.5</v>
      </c>
    </row>
    <row r="5672" spans="1:6" ht="14.25" customHeight="1" x14ac:dyDescent="0.35">
      <c r="A5672" s="39" t="s">
        <v>4621</v>
      </c>
      <c r="B5672" s="40" t="str">
        <f ca="1">IFERROR(INDEX(UNSPSCDes,MATCH(INDIRECT(ADDRESS(ROW(),COLUMN()-1,4)),UNSPSCCode,0)),IF(INDIRECT(ADDRESS(ROW(),COLUMN()-1,4))="47131604","Escobas",""))</f>
        <v>Escobas</v>
      </c>
      <c r="C5672" s="72" t="str">
        <f>IFERROR(VLOOKUP("UD",'Informacion '!P:Q,2,FALSE),"")</f>
        <v>Unidad</v>
      </c>
      <c r="D5672" s="39">
        <v>12</v>
      </c>
      <c r="E5672" s="42">
        <v>578.17999999999995</v>
      </c>
      <c r="F5672" s="41">
        <f t="shared" ca="1" si="188"/>
        <v>6938.16</v>
      </c>
    </row>
    <row r="5673" spans="1:6" ht="14.25" customHeight="1" x14ac:dyDescent="0.35">
      <c r="A5673" s="39" t="s">
        <v>4621</v>
      </c>
      <c r="B5673" s="40" t="str">
        <f ca="1">IFERROR(INDEX(UNSPSCDes,MATCH(INDIRECT(ADDRESS(ROW(),COLUMN()-1,4)),UNSPSCCode,0)),IF(INDIRECT(ADDRESS(ROW(),COLUMN()-1,4))="47131604","Escobas",""))</f>
        <v>Escobas</v>
      </c>
      <c r="C5673" s="72" t="str">
        <f>IFERROR(VLOOKUP("UD",'Informacion '!P:Q,2,FALSE),"")</f>
        <v>Unidad</v>
      </c>
      <c r="D5673" s="39">
        <v>25</v>
      </c>
      <c r="E5673" s="42">
        <v>92</v>
      </c>
      <c r="F5673" s="41">
        <f t="shared" ca="1" si="188"/>
        <v>2300</v>
      </c>
    </row>
    <row r="5674" spans="1:6" ht="14.25" customHeight="1" x14ac:dyDescent="0.35">
      <c r="A5674" s="39" t="s">
        <v>2418</v>
      </c>
      <c r="B5674" s="40" t="str">
        <f ca="1">IFERROR(INDEX(UNSPSCDes,MATCH(INDIRECT(ADDRESS(ROW(),COLUMN()-1,4)),UNSPSCCode,0)),IF(INDIRECT(ADDRESS(ROW(),COLUMN()-1,4))="47131605","Cepillos de limpieza",""))</f>
        <v>Cepillos de limpieza</v>
      </c>
      <c r="C5674" s="72" t="str">
        <f>IFERROR(VLOOKUP("UD",'Informacion '!P:Q,2,FALSE),"")</f>
        <v>Unidad</v>
      </c>
      <c r="D5674" s="39">
        <v>25</v>
      </c>
      <c r="E5674" s="42">
        <v>41.29</v>
      </c>
      <c r="F5674" s="41">
        <f t="shared" ca="1" si="188"/>
        <v>1032.25</v>
      </c>
    </row>
    <row r="5675" spans="1:6" ht="14.25" customHeight="1" x14ac:dyDescent="0.35">
      <c r="A5675" s="39" t="s">
        <v>13036</v>
      </c>
      <c r="B5675" s="40" t="str">
        <f ca="1">IFERROR(INDEX(UNSPSCDes,MATCH(INDIRECT(ADDRESS(ROW(),COLUMN()-1,4)),UNSPSCCode,0)),IF(INDIRECT(ADDRESS(ROW(),COLUMN()-1,4))="47131611","Recogedor de basura",""))</f>
        <v>Recogedor de basura</v>
      </c>
      <c r="C5675" s="72" t="str">
        <f>IFERROR(VLOOKUP("UD",'Informacion '!P:Q,2,FALSE),"")</f>
        <v>Unidad</v>
      </c>
      <c r="D5675" s="39">
        <v>150</v>
      </c>
      <c r="E5675" s="42">
        <v>877</v>
      </c>
      <c r="F5675" s="41">
        <f t="shared" ca="1" si="188"/>
        <v>131550</v>
      </c>
    </row>
    <row r="5676" spans="1:6" ht="14.25" customHeight="1" x14ac:dyDescent="0.35">
      <c r="A5676" s="39" t="s">
        <v>12607</v>
      </c>
      <c r="B5676" s="40" t="str">
        <f ca="1">IFERROR(INDEX(UNSPSCDes,MATCH(INDIRECT(ADDRESS(ROW(),COLUMN()-1,4)),UNSPSCCode,0)),IF(INDIRECT(ADDRESS(ROW(),COLUMN()-1,4))="47131618","Traperos húmedos",""))</f>
        <v>Traperos húmedos</v>
      </c>
      <c r="C5676" s="72" t="str">
        <f>IFERROR(VLOOKUP("UD",'Informacion '!P:Q,2,FALSE),"")</f>
        <v>Unidad</v>
      </c>
      <c r="D5676" s="39">
        <v>36</v>
      </c>
      <c r="E5676" s="42">
        <v>151</v>
      </c>
      <c r="F5676" s="41">
        <f t="shared" ca="1" si="188"/>
        <v>5436</v>
      </c>
    </row>
    <row r="5677" spans="1:6" ht="14.25" customHeight="1" x14ac:dyDescent="0.35">
      <c r="A5677" s="39" t="s">
        <v>9771</v>
      </c>
      <c r="B5677" s="40" t="str">
        <f ca="1">IFERROR(INDEX(UNSPSCDes,MATCH(INDIRECT(ADDRESS(ROW(),COLUMN()-1,4)),UNSPSCCode,0)),IF(INDIRECT(ADDRESS(ROW(),COLUMN()-1,4))="47131701","Dispensadores de toallas de papel",""))</f>
        <v>Dispensadores de toallas de papel</v>
      </c>
      <c r="C5677" s="72" t="str">
        <f>IFERROR(VLOOKUP("UD",'Informacion '!P:Q,2,FALSE),"")</f>
        <v>Unidad</v>
      </c>
      <c r="D5677" s="39">
        <v>24</v>
      </c>
      <c r="E5677" s="42">
        <v>2065</v>
      </c>
      <c r="F5677" s="41">
        <f t="shared" ca="1" si="188"/>
        <v>49560</v>
      </c>
    </row>
    <row r="5678" spans="1:6" ht="14.25" customHeight="1" x14ac:dyDescent="0.35">
      <c r="A5678" s="39" t="s">
        <v>17012</v>
      </c>
      <c r="B5678" s="40" t="str">
        <f ca="1">IFERROR(INDEX(UNSPSCDes,MATCH(INDIRECT(ADDRESS(ROW(),COLUMN()-1,4)),UNSPSCCode,0)),IF(INDIRECT(ADDRESS(ROW(),COLUMN()-1,4))="47131706","Dispensadores de ambientadores",""))</f>
        <v>Dispensadores de ambientadores</v>
      </c>
      <c r="C5678" s="72" t="str">
        <f>IFERROR(VLOOKUP("UD",'Informacion '!P:Q,2,FALSE),"")</f>
        <v>Unidad</v>
      </c>
      <c r="D5678" s="39">
        <v>6</v>
      </c>
      <c r="E5678" s="42">
        <v>46</v>
      </c>
      <c r="F5678" s="41">
        <f t="shared" ca="1" si="188"/>
        <v>276</v>
      </c>
    </row>
    <row r="5679" spans="1:6" ht="14.25" customHeight="1" x14ac:dyDescent="0.35">
      <c r="A5679" s="39" t="s">
        <v>16418</v>
      </c>
      <c r="B5679" s="40" t="str">
        <f ca="1">IFERROR(INDEX(UNSPSCDes,MATCH(INDIRECT(ADDRESS(ROW(),COLUMN()-1,4)),UNSPSCCode,0)),IF(INDIRECT(ADDRESS(ROW(),COLUMN()-1,4))="47131710","Dispensadores de papel higiénico",""))</f>
        <v>Dispensadores de papel higiénico</v>
      </c>
      <c r="C5679" s="72" t="str">
        <f>IFERROR(VLOOKUP("UD",'Informacion '!P:Q,2,FALSE),"")</f>
        <v>Unidad</v>
      </c>
      <c r="D5679" s="39">
        <v>1</v>
      </c>
      <c r="E5679" s="42">
        <v>1534</v>
      </c>
      <c r="F5679" s="41">
        <f t="shared" ca="1" si="188"/>
        <v>1534</v>
      </c>
    </row>
    <row r="5680" spans="1:6" ht="14.25" customHeight="1" x14ac:dyDescent="0.35">
      <c r="A5680" s="39" t="s">
        <v>11371</v>
      </c>
      <c r="B5680" s="40" t="str">
        <f ca="1">IFERROR(INDEX(UNSPSCDes,MATCH(INDIRECT(ADDRESS(ROW(),COLUMN()-1,4)),UNSPSCCode,0)),IF(INDIRECT(ADDRESS(ROW(),COLUMN()-1,4))="47131711","Dispensadores de limpiador",""))</f>
        <v>Dispensadores de limpiador</v>
      </c>
      <c r="C5680" s="72" t="str">
        <f>IFERROR(VLOOKUP("UD",'Informacion '!P:Q,2,FALSE),"")</f>
        <v>Unidad</v>
      </c>
      <c r="D5680" s="39">
        <v>2</v>
      </c>
      <c r="E5680" s="42">
        <v>650</v>
      </c>
      <c r="F5680" s="41">
        <f t="shared" ca="1" si="188"/>
        <v>1300</v>
      </c>
    </row>
    <row r="5681" spans="1:10" ht="14.25" customHeight="1" x14ac:dyDescent="0.35">
      <c r="A5681" s="39" t="s">
        <v>13227</v>
      </c>
      <c r="B5681" s="40" t="str">
        <f ca="1">IFERROR(INDEX(UNSPSCDes,MATCH(INDIRECT(ADDRESS(ROW(),COLUMN()-1,4)),UNSPSCCode,0)),IF(INDIRECT(ADDRESS(ROW(),COLUMN()-1,4))="47131803","Desinfectantes para uso doméstico",""))</f>
        <v>Desinfectantes para uso doméstico</v>
      </c>
      <c r="C5681" s="72" t="str">
        <f>IFERROR(VLOOKUP("GAL",'Informacion '!P:Q,2,FALSE),"")</f>
        <v>Galón</v>
      </c>
      <c r="D5681" s="39">
        <v>38</v>
      </c>
      <c r="E5681" s="42">
        <v>212.4</v>
      </c>
      <c r="F5681" s="41">
        <f t="shared" ca="1" si="188"/>
        <v>8071.2</v>
      </c>
    </row>
    <row r="5682" spans="1:10" ht="14.25" customHeight="1" x14ac:dyDescent="0.35">
      <c r="A5682" s="39" t="s">
        <v>13227</v>
      </c>
      <c r="B5682" s="40" t="str">
        <f ca="1">IFERROR(INDEX(UNSPSCDes,MATCH(INDIRECT(ADDRESS(ROW(),COLUMN()-1,4)),UNSPSCCode,0)),IF(INDIRECT(ADDRESS(ROW(),COLUMN()-1,4))="47131803","Desinfectantes para uso doméstico",""))</f>
        <v>Desinfectantes para uso doméstico</v>
      </c>
      <c r="C5682" s="72" t="str">
        <f>IFERROR(VLOOKUP("GAL",'Informacion '!P:Q,2,FALSE),"")</f>
        <v>Galón</v>
      </c>
      <c r="D5682" s="39">
        <v>3</v>
      </c>
      <c r="E5682" s="42">
        <v>807.1</v>
      </c>
      <c r="F5682" s="41">
        <f t="shared" ca="1" si="188"/>
        <v>2421.3000000000002</v>
      </c>
    </row>
    <row r="5683" spans="1:10" ht="14.25" customHeight="1" x14ac:dyDescent="0.35">
      <c r="A5683" s="39" t="s">
        <v>10359</v>
      </c>
      <c r="B5683" s="40" t="str">
        <f ca="1">IFERROR(INDEX(UNSPSCDes,MATCH(INDIRECT(ADDRESS(ROW(),COLUMN()-1,4)),UNSPSCCode,0)),IF(INDIRECT(ADDRESS(ROW(),COLUMN()-1,4))="47131805","Limpiadores de propósito general",""))</f>
        <v>Limpiadores de propósito general</v>
      </c>
      <c r="C5683" s="72" t="str">
        <f>IFERROR(VLOOKUP("GAL",'Informacion '!P:Q,2,FALSE),"")</f>
        <v>Galón</v>
      </c>
      <c r="D5683" s="39">
        <v>3</v>
      </c>
      <c r="E5683" s="42">
        <v>38.94</v>
      </c>
      <c r="F5683" s="41">
        <f t="shared" ca="1" si="188"/>
        <v>116.82</v>
      </c>
    </row>
    <row r="5684" spans="1:10" ht="14.25" customHeight="1" x14ac:dyDescent="0.35">
      <c r="A5684" s="39" t="s">
        <v>2037</v>
      </c>
      <c r="B5684" s="40" t="str">
        <f ca="1">IFERROR(INDEX(UNSPSCDes,MATCH(INDIRECT(ADDRESS(ROW(),COLUMN()-1,4)),UNSPSCCode,0)),IF(INDIRECT(ADDRESS(ROW(),COLUMN()-1,4))="47131807","Blanqueadores",""))</f>
        <v>Blanqueadores</v>
      </c>
      <c r="C5684" s="72" t="str">
        <f>IFERROR(VLOOKUP("GAL",'Informacion '!P:Q,2,FALSE),"")</f>
        <v>Galón</v>
      </c>
      <c r="D5684" s="39">
        <v>80</v>
      </c>
      <c r="E5684" s="42">
        <v>177</v>
      </c>
      <c r="F5684" s="41">
        <f t="shared" ca="1" si="188"/>
        <v>14160</v>
      </c>
    </row>
    <row r="5685" spans="1:10" ht="14.25" customHeight="1" x14ac:dyDescent="0.35">
      <c r="A5685" s="39" t="s">
        <v>17362</v>
      </c>
      <c r="B5685" s="40" t="str">
        <f ca="1">IFERROR(INDEX(UNSPSCDes,MATCH(INDIRECT(ADDRESS(ROW(),COLUMN()-1,4)),UNSPSCCode,0)),IF(INDIRECT(ADDRESS(ROW(),COLUMN()-1,4))="47131812","Refrescador de aire",""))</f>
        <v>Refrescador de aire</v>
      </c>
      <c r="C5685" s="72" t="str">
        <f>IFERROR(VLOOKUP("UD",'Informacion '!P:Q,2,FALSE),"")</f>
        <v>Unidad</v>
      </c>
      <c r="D5685" s="39">
        <v>12</v>
      </c>
      <c r="E5685" s="42">
        <v>82.6</v>
      </c>
      <c r="F5685" s="41">
        <f t="shared" ca="1" si="188"/>
        <v>991.19999999999993</v>
      </c>
    </row>
    <row r="5686" spans="1:10" ht="14.25" customHeight="1" x14ac:dyDescent="0.35">
      <c r="A5686" s="39" t="s">
        <v>8927</v>
      </c>
      <c r="B5686" s="40" t="str">
        <f ca="1">IFERROR(INDEX(UNSPSCDes,MATCH(INDIRECT(ADDRESS(ROW(),COLUMN()-1,4)),UNSPSCCode,0)),IF(INDIRECT(ADDRESS(ROW(),COLUMN()-1,4))="47131831","Ácido muriático",""))</f>
        <v>Ácido muriático</v>
      </c>
      <c r="C5686" s="72" t="str">
        <f>IFERROR(VLOOKUP("GAL",'Informacion '!P:Q,2,FALSE),"")</f>
        <v>Galón</v>
      </c>
      <c r="D5686" s="39">
        <v>64</v>
      </c>
      <c r="E5686" s="42">
        <v>413</v>
      </c>
      <c r="F5686" s="41">
        <f t="shared" ca="1" si="188"/>
        <v>26432</v>
      </c>
    </row>
    <row r="5687" spans="1:10" ht="14.25" customHeight="1" x14ac:dyDescent="0.35">
      <c r="E5687" s="44" t="s">
        <v>13122</v>
      </c>
      <c r="F5687" s="45">
        <f ca="1">SUM(Table322[MONTO TOTAL ESTIMADO])</f>
        <v>293565.93</v>
      </c>
      <c r="H5687" s="24" t="str">
        <f>C5661</f>
        <v>Bienes</v>
      </c>
      <c r="I5687" s="24" t="str">
        <f>E5661</f>
        <v>Sí</v>
      </c>
      <c r="J5687" s="24" t="str">
        <f>D5661</f>
        <v>Compras Menores</v>
      </c>
    </row>
    <row r="5689" spans="1:10" ht="34" customHeight="1" x14ac:dyDescent="0.35">
      <c r="A5689" s="36" t="s">
        <v>17105</v>
      </c>
      <c r="B5689" s="36" t="s">
        <v>167</v>
      </c>
      <c r="C5689" s="36" t="s">
        <v>12252</v>
      </c>
      <c r="D5689" s="36" t="s">
        <v>15021</v>
      </c>
      <c r="E5689" s="36" t="s">
        <v>11455</v>
      </c>
      <c r="F5689" s="36" t="s">
        <v>11595</v>
      </c>
    </row>
    <row r="5690" spans="1:10" ht="14.25" customHeight="1" x14ac:dyDescent="0.35">
      <c r="A5690" s="37" t="s">
        <v>15467</v>
      </c>
      <c r="B5690" s="37" t="s">
        <v>15467</v>
      </c>
      <c r="C5690" s="37" t="s">
        <v>18585</v>
      </c>
      <c r="D5690" s="37" t="s">
        <v>10634</v>
      </c>
      <c r="E5690" s="37" t="s">
        <v>9261</v>
      </c>
      <c r="F5690" s="37" t="s">
        <v>7088</v>
      </c>
    </row>
    <row r="5691" spans="1:10" ht="14.25" customHeight="1" x14ac:dyDescent="0.35">
      <c r="A5691" s="75" t="s">
        <v>15490</v>
      </c>
      <c r="B5691" s="38" t="s">
        <v>8918</v>
      </c>
      <c r="C5691" s="68">
        <v>45387</v>
      </c>
      <c r="D5691" s="75" t="s">
        <v>9819</v>
      </c>
      <c r="E5691" s="70" t="s">
        <v>13683</v>
      </c>
      <c r="F5691" s="71" t="s">
        <v>3205</v>
      </c>
    </row>
    <row r="5692" spans="1:10" ht="14.25" customHeight="1" x14ac:dyDescent="0.35">
      <c r="A5692" s="76"/>
      <c r="B5692" s="38" t="s">
        <v>1858</v>
      </c>
      <c r="C5692" s="69">
        <f>IF(C5691="","",IF(AND(MONTH(C5691)&gt;=1,MONTH(C5691)&lt;=3),1,IF(AND(MONTH(C5691)&gt;=4,MONTH(C5691)&lt;=6),2,IF(AND(MONTH(C5691)&gt;=7,MONTH(C5691)&lt;=9),3,4))))</f>
        <v>2</v>
      </c>
      <c r="D5692" s="76"/>
      <c r="E5692" s="70" t="s">
        <v>2509</v>
      </c>
      <c r="F5692" s="71" t="s">
        <v>11612</v>
      </c>
    </row>
    <row r="5693" spans="1:10" ht="14.25" customHeight="1" x14ac:dyDescent="0.35">
      <c r="A5693" s="76"/>
      <c r="B5693" s="38" t="s">
        <v>13526</v>
      </c>
      <c r="C5693" s="68">
        <v>45407</v>
      </c>
      <c r="D5693" s="76"/>
      <c r="E5693" s="70" t="s">
        <v>3198</v>
      </c>
      <c r="F5693" s="71"/>
    </row>
    <row r="5694" spans="1:10" ht="14.25" customHeight="1" x14ac:dyDescent="0.35">
      <c r="A5694" s="76"/>
      <c r="B5694" s="38" t="s">
        <v>1858</v>
      </c>
      <c r="C5694" s="69">
        <f>IF(C5693="","",IF(AND(MONTH(C5693)&gt;=1,MONTH(C5693)&lt;=3),1,IF(AND(MONTH(C5693)&gt;=4,MONTH(C5693)&lt;=6),2,IF(AND(MONTH(C5693)&gt;=7,MONTH(C5693)&lt;=9),3,4))))</f>
        <v>2</v>
      </c>
      <c r="D5694" s="76"/>
      <c r="E5694" s="70" t="s">
        <v>13785</v>
      </c>
      <c r="F5694" s="71"/>
    </row>
    <row r="5696" spans="1:10" ht="14.25" customHeight="1" x14ac:dyDescent="0.35">
      <c r="A5696" s="43" t="s">
        <v>16424</v>
      </c>
      <c r="B5696" s="43" t="s">
        <v>16856</v>
      </c>
      <c r="C5696" s="43" t="s">
        <v>16326</v>
      </c>
      <c r="D5696" s="43" t="s">
        <v>15925</v>
      </c>
      <c r="E5696" s="43" t="s">
        <v>7248</v>
      </c>
      <c r="F5696" s="43" t="s">
        <v>15955</v>
      </c>
    </row>
    <row r="5697" spans="1:6" ht="14.25" customHeight="1" x14ac:dyDescent="0.35">
      <c r="A5697" s="39" t="s">
        <v>6931</v>
      </c>
      <c r="B5697" s="40" t="str">
        <f ca="1">IFERROR(INDEX(UNSPSCDes,MATCH(INDIRECT(ADDRESS(ROW(),COLUMN()-1,4)),UNSPSCCode,0)),IF(INDIRECT(ADDRESS(ROW(),COLUMN()-1,4))="47131502","Pañitos o toallas para limpiar",""))</f>
        <v>Pañitos o toallas para limpiar</v>
      </c>
      <c r="C5697" s="72" t="str">
        <f>IFERROR(VLOOKUP("PAQ",'Informacion '!P:Q,2,FALSE),"")</f>
        <v>Paquete</v>
      </c>
      <c r="D5697" s="39">
        <v>12</v>
      </c>
      <c r="E5697" s="42">
        <v>75</v>
      </c>
      <c r="F5697" s="41">
        <f t="shared" ref="F5697:F5717" ca="1" si="189">INDIRECT(ADDRESS(ROW(),COLUMN()-2,4))*INDIRECT(ADDRESS(ROW(),COLUMN()-1,4))</f>
        <v>900</v>
      </c>
    </row>
    <row r="5698" spans="1:6" ht="14.25" customHeight="1" x14ac:dyDescent="0.35">
      <c r="A5698" s="39" t="s">
        <v>6931</v>
      </c>
      <c r="B5698" s="40" t="str">
        <f ca="1">IFERROR(INDEX(UNSPSCDes,MATCH(INDIRECT(ADDRESS(ROW(),COLUMN()-1,4)),UNSPSCCode,0)),IF(INDIRECT(ADDRESS(ROW(),COLUMN()-1,4))="47131502","Pañitos o toallas para limpiar",""))</f>
        <v>Pañitos o toallas para limpiar</v>
      </c>
      <c r="C5698" s="72" t="str">
        <f>IFERROR(VLOOKUP("PAQ",'Informacion '!P:Q,2,FALSE),"")</f>
        <v>Paquete</v>
      </c>
      <c r="D5698" s="39">
        <v>75</v>
      </c>
      <c r="E5698" s="42">
        <v>265.5</v>
      </c>
      <c r="F5698" s="41">
        <f t="shared" ca="1" si="189"/>
        <v>19912.5</v>
      </c>
    </row>
    <row r="5699" spans="1:6" ht="14.25" customHeight="1" x14ac:dyDescent="0.35">
      <c r="A5699" s="39" t="s">
        <v>6931</v>
      </c>
      <c r="B5699" s="40" t="str">
        <f ca="1">IFERROR(INDEX(UNSPSCDes,MATCH(INDIRECT(ADDRESS(ROW(),COLUMN()-1,4)),UNSPSCCode,0)),IF(INDIRECT(ADDRESS(ROW(),COLUMN()-1,4))="47131502","Pañitos o toallas para limpiar",""))</f>
        <v>Pañitos o toallas para limpiar</v>
      </c>
      <c r="C5699" s="72" t="str">
        <f>IFERROR(VLOOKUP("PAQ",'Informacion '!P:Q,2,FALSE),"")</f>
        <v>Paquete</v>
      </c>
      <c r="D5699" s="39">
        <v>2</v>
      </c>
      <c r="E5699" s="42">
        <v>1056</v>
      </c>
      <c r="F5699" s="41">
        <f t="shared" ca="1" si="189"/>
        <v>2112</v>
      </c>
    </row>
    <row r="5700" spans="1:6" ht="14.25" customHeight="1" x14ac:dyDescent="0.35">
      <c r="A5700" s="39" t="s">
        <v>6390</v>
      </c>
      <c r="B5700" s="40" t="str">
        <f ca="1">IFERROR(INDEX(UNSPSCDes,MATCH(INDIRECT(ADDRESS(ROW(),COLUMN()-1,4)),UNSPSCCode,0)),IF(INDIRECT(ADDRESS(ROW(),COLUMN()-1,4))="47131603","Esponjas",""))</f>
        <v>Esponjas</v>
      </c>
      <c r="C5700" s="72" t="str">
        <f>IFERROR(VLOOKUP("UD",'Informacion '!P:Q,2,FALSE),"")</f>
        <v>Unidad</v>
      </c>
      <c r="D5700" s="39">
        <v>60</v>
      </c>
      <c r="E5700" s="42">
        <v>250</v>
      </c>
      <c r="F5700" s="41">
        <f t="shared" ca="1" si="189"/>
        <v>15000</v>
      </c>
    </row>
    <row r="5701" spans="1:6" ht="14.25" customHeight="1" x14ac:dyDescent="0.35">
      <c r="A5701" s="39" t="s">
        <v>6390</v>
      </c>
      <c r="B5701" s="40" t="str">
        <f ca="1">IFERROR(INDEX(UNSPSCDes,MATCH(INDIRECT(ADDRESS(ROW(),COLUMN()-1,4)),UNSPSCCode,0)),IF(INDIRECT(ADDRESS(ROW(),COLUMN()-1,4))="47131603","Esponjas",""))</f>
        <v>Esponjas</v>
      </c>
      <c r="C5701" s="72" t="str">
        <f>IFERROR(VLOOKUP("UD",'Informacion '!P:Q,2,FALSE),"")</f>
        <v>Unidad</v>
      </c>
      <c r="D5701" s="39">
        <v>60</v>
      </c>
      <c r="E5701" s="42">
        <v>40</v>
      </c>
      <c r="F5701" s="41">
        <f t="shared" ca="1" si="189"/>
        <v>2400</v>
      </c>
    </row>
    <row r="5702" spans="1:6" ht="14.25" customHeight="1" x14ac:dyDescent="0.35">
      <c r="A5702" s="39" t="s">
        <v>6390</v>
      </c>
      <c r="B5702" s="40" t="str">
        <f ca="1">IFERROR(INDEX(UNSPSCDes,MATCH(INDIRECT(ADDRESS(ROW(),COLUMN()-1,4)),UNSPSCCode,0)),IF(INDIRECT(ADDRESS(ROW(),COLUMN()-1,4))="47131603","Esponjas",""))</f>
        <v>Esponjas</v>
      </c>
      <c r="C5702" s="72" t="str">
        <f>IFERROR(VLOOKUP("UD",'Informacion '!P:Q,2,FALSE),"")</f>
        <v>Unidad</v>
      </c>
      <c r="D5702" s="39">
        <v>100</v>
      </c>
      <c r="E5702" s="42">
        <v>13.73</v>
      </c>
      <c r="F5702" s="41">
        <f t="shared" ca="1" si="189"/>
        <v>1373</v>
      </c>
    </row>
    <row r="5703" spans="1:6" ht="14.25" customHeight="1" x14ac:dyDescent="0.35">
      <c r="A5703" s="39" t="s">
        <v>4621</v>
      </c>
      <c r="B5703" s="40" t="str">
        <f ca="1">IFERROR(INDEX(UNSPSCDes,MATCH(INDIRECT(ADDRESS(ROW(),COLUMN()-1,4)),UNSPSCCode,0)),IF(INDIRECT(ADDRESS(ROW(),COLUMN()-1,4))="47131604","Escobas",""))</f>
        <v>Escobas</v>
      </c>
      <c r="C5703" s="72" t="str">
        <f>IFERROR(VLOOKUP("UD",'Informacion '!P:Q,2,FALSE),"")</f>
        <v>Unidad</v>
      </c>
      <c r="D5703" s="39">
        <v>12</v>
      </c>
      <c r="E5703" s="42">
        <v>120</v>
      </c>
      <c r="F5703" s="41">
        <f t="shared" ca="1" si="189"/>
        <v>1440</v>
      </c>
    </row>
    <row r="5704" spans="1:6" ht="14.25" customHeight="1" x14ac:dyDescent="0.35">
      <c r="A5704" s="39" t="s">
        <v>4621</v>
      </c>
      <c r="B5704" s="40" t="str">
        <f ca="1">IFERROR(INDEX(UNSPSCDes,MATCH(INDIRECT(ADDRESS(ROW(),COLUMN()-1,4)),UNSPSCCode,0)),IF(INDIRECT(ADDRESS(ROW(),COLUMN()-1,4))="47131604","Escobas",""))</f>
        <v>Escobas</v>
      </c>
      <c r="C5704" s="72" t="str">
        <f>IFERROR(VLOOKUP("UD",'Informacion '!P:Q,2,FALSE),"")</f>
        <v>Unidad</v>
      </c>
      <c r="D5704" s="39">
        <v>38</v>
      </c>
      <c r="E5704" s="42">
        <v>120.33</v>
      </c>
      <c r="F5704" s="41">
        <f t="shared" ca="1" si="189"/>
        <v>4572.54</v>
      </c>
    </row>
    <row r="5705" spans="1:6" ht="14.25" customHeight="1" x14ac:dyDescent="0.35">
      <c r="A5705" s="39" t="s">
        <v>4621</v>
      </c>
      <c r="B5705" s="40" t="str">
        <f ca="1">IFERROR(INDEX(UNSPSCDes,MATCH(INDIRECT(ADDRESS(ROW(),COLUMN()-1,4)),UNSPSCCode,0)),IF(INDIRECT(ADDRESS(ROW(),COLUMN()-1,4))="47131604","Escobas",""))</f>
        <v>Escobas</v>
      </c>
      <c r="C5705" s="72" t="str">
        <f>IFERROR(VLOOKUP("UD",'Informacion '!P:Q,2,FALSE),"")</f>
        <v>Unidad</v>
      </c>
      <c r="D5705" s="39">
        <v>3</v>
      </c>
      <c r="E5705" s="42">
        <v>578.17999999999995</v>
      </c>
      <c r="F5705" s="41">
        <f t="shared" ca="1" si="189"/>
        <v>1734.54</v>
      </c>
    </row>
    <row r="5706" spans="1:6" ht="14.25" customHeight="1" x14ac:dyDescent="0.35">
      <c r="A5706" s="39" t="s">
        <v>4621</v>
      </c>
      <c r="B5706" s="40" t="str">
        <f ca="1">IFERROR(INDEX(UNSPSCDes,MATCH(INDIRECT(ADDRESS(ROW(),COLUMN()-1,4)),UNSPSCCode,0)),IF(INDIRECT(ADDRESS(ROW(),COLUMN()-1,4))="47131604","Escobas",""))</f>
        <v>Escobas</v>
      </c>
      <c r="C5706" s="72" t="str">
        <f>IFERROR(VLOOKUP("UD",'Informacion '!P:Q,2,FALSE),"")</f>
        <v>Unidad</v>
      </c>
      <c r="D5706" s="39">
        <v>7</v>
      </c>
      <c r="E5706" s="42">
        <v>92</v>
      </c>
      <c r="F5706" s="41">
        <f t="shared" ca="1" si="189"/>
        <v>644</v>
      </c>
    </row>
    <row r="5707" spans="1:6" ht="14.25" customHeight="1" x14ac:dyDescent="0.35">
      <c r="A5707" s="39" t="s">
        <v>2418</v>
      </c>
      <c r="B5707" s="40" t="str">
        <f ca="1">IFERROR(INDEX(UNSPSCDes,MATCH(INDIRECT(ADDRESS(ROW(),COLUMN()-1,4)),UNSPSCCode,0)),IF(INDIRECT(ADDRESS(ROW(),COLUMN()-1,4))="47131605","Cepillos de limpieza",""))</f>
        <v>Cepillos de limpieza</v>
      </c>
      <c r="C5707" s="72" t="str">
        <f>IFERROR(VLOOKUP("UD",'Informacion '!P:Q,2,FALSE),"")</f>
        <v>Unidad</v>
      </c>
      <c r="D5707" s="39">
        <v>7</v>
      </c>
      <c r="E5707" s="42">
        <v>41.29</v>
      </c>
      <c r="F5707" s="41">
        <f t="shared" ca="1" si="189"/>
        <v>289.02999999999997</v>
      </c>
    </row>
    <row r="5708" spans="1:6" ht="14.25" customHeight="1" x14ac:dyDescent="0.35">
      <c r="A5708" s="39" t="s">
        <v>12607</v>
      </c>
      <c r="B5708" s="40" t="str">
        <f ca="1">IFERROR(INDEX(UNSPSCDes,MATCH(INDIRECT(ADDRESS(ROW(),COLUMN()-1,4)),UNSPSCCode,0)),IF(INDIRECT(ADDRESS(ROW(),COLUMN()-1,4))="47131618","Traperos húmedos",""))</f>
        <v>Traperos húmedos</v>
      </c>
      <c r="C5708" s="72" t="str">
        <f>IFERROR(VLOOKUP("UD",'Informacion '!P:Q,2,FALSE),"")</f>
        <v>Unidad</v>
      </c>
      <c r="D5708" s="39">
        <v>12</v>
      </c>
      <c r="E5708" s="42">
        <v>150</v>
      </c>
      <c r="F5708" s="41">
        <f t="shared" ca="1" si="189"/>
        <v>1800</v>
      </c>
    </row>
    <row r="5709" spans="1:6" ht="14.25" customHeight="1" x14ac:dyDescent="0.35">
      <c r="A5709" s="39" t="s">
        <v>12607</v>
      </c>
      <c r="B5709" s="40" t="str">
        <f ca="1">IFERROR(INDEX(UNSPSCDes,MATCH(INDIRECT(ADDRESS(ROW(),COLUMN()-1,4)),UNSPSCCode,0)),IF(INDIRECT(ADDRESS(ROW(),COLUMN()-1,4))="47131618","Traperos húmedos",""))</f>
        <v>Traperos húmedos</v>
      </c>
      <c r="C5709" s="72" t="str">
        <f>IFERROR(VLOOKUP("UD",'Informacion '!P:Q,2,FALSE),"")</f>
        <v>Unidad</v>
      </c>
      <c r="D5709" s="39">
        <v>40</v>
      </c>
      <c r="E5709" s="42">
        <v>151</v>
      </c>
      <c r="F5709" s="41">
        <f t="shared" ca="1" si="189"/>
        <v>6040</v>
      </c>
    </row>
    <row r="5710" spans="1:6" ht="14.25" customHeight="1" x14ac:dyDescent="0.35">
      <c r="A5710" s="39" t="s">
        <v>13227</v>
      </c>
      <c r="B5710" s="40" t="str">
        <f ca="1">IFERROR(INDEX(UNSPSCDes,MATCH(INDIRECT(ADDRESS(ROW(),COLUMN()-1,4)),UNSPSCCode,0)),IF(INDIRECT(ADDRESS(ROW(),COLUMN()-1,4))="47131803","Desinfectantes para uso doméstico",""))</f>
        <v>Desinfectantes para uso doméstico</v>
      </c>
      <c r="C5710" s="72" t="str">
        <f>IFERROR(VLOOKUP("GAL",'Informacion '!P:Q,2,FALSE),"")</f>
        <v>Galón</v>
      </c>
      <c r="D5710" s="39">
        <v>8</v>
      </c>
      <c r="E5710" s="42">
        <v>1200</v>
      </c>
      <c r="F5710" s="41">
        <f t="shared" ca="1" si="189"/>
        <v>9600</v>
      </c>
    </row>
    <row r="5711" spans="1:6" ht="14.25" customHeight="1" x14ac:dyDescent="0.35">
      <c r="A5711" s="39" t="s">
        <v>13227</v>
      </c>
      <c r="B5711" s="40" t="str">
        <f ca="1">IFERROR(INDEX(UNSPSCDes,MATCH(INDIRECT(ADDRESS(ROW(),COLUMN()-1,4)),UNSPSCCode,0)),IF(INDIRECT(ADDRESS(ROW(),COLUMN()-1,4))="47131803","Desinfectantes para uso doméstico",""))</f>
        <v>Desinfectantes para uso doméstico</v>
      </c>
      <c r="C5711" s="72" t="str">
        <f>IFERROR(VLOOKUP("GAL",'Informacion '!P:Q,2,FALSE),"")</f>
        <v>Galón</v>
      </c>
      <c r="D5711" s="39">
        <v>20</v>
      </c>
      <c r="E5711" s="42">
        <v>200</v>
      </c>
      <c r="F5711" s="41">
        <f t="shared" ca="1" si="189"/>
        <v>4000</v>
      </c>
    </row>
    <row r="5712" spans="1:6" ht="14.25" customHeight="1" x14ac:dyDescent="0.35">
      <c r="A5712" s="39" t="s">
        <v>13227</v>
      </c>
      <c r="B5712" s="40" t="str">
        <f ca="1">IFERROR(INDEX(UNSPSCDes,MATCH(INDIRECT(ADDRESS(ROW(),COLUMN()-1,4)),UNSPSCCode,0)),IF(INDIRECT(ADDRESS(ROW(),COLUMN()-1,4))="47131803","Desinfectantes para uso doméstico",""))</f>
        <v>Desinfectantes para uso doméstico</v>
      </c>
      <c r="C5712" s="72" t="str">
        <f>IFERROR(VLOOKUP("GAL",'Informacion '!P:Q,2,FALSE),"")</f>
        <v>Galón</v>
      </c>
      <c r="D5712" s="39">
        <v>20</v>
      </c>
      <c r="E5712" s="42">
        <v>150</v>
      </c>
      <c r="F5712" s="41">
        <f t="shared" ca="1" si="189"/>
        <v>3000</v>
      </c>
    </row>
    <row r="5713" spans="1:10" ht="14.25" customHeight="1" x14ac:dyDescent="0.35">
      <c r="A5713" s="39" t="s">
        <v>13227</v>
      </c>
      <c r="B5713" s="40" t="str">
        <f ca="1">IFERROR(INDEX(UNSPSCDes,MATCH(INDIRECT(ADDRESS(ROW(),COLUMN()-1,4)),UNSPSCCode,0)),IF(INDIRECT(ADDRESS(ROW(),COLUMN()-1,4))="47131803","Desinfectantes para uso doméstico",""))</f>
        <v>Desinfectantes para uso doméstico</v>
      </c>
      <c r="C5713" s="72" t="str">
        <f>IFERROR(VLOOKUP("GAL",'Informacion '!P:Q,2,FALSE),"")</f>
        <v>Galón</v>
      </c>
      <c r="D5713" s="39">
        <v>80</v>
      </c>
      <c r="E5713" s="42">
        <v>120</v>
      </c>
      <c r="F5713" s="41">
        <f t="shared" ca="1" si="189"/>
        <v>9600</v>
      </c>
    </row>
    <row r="5714" spans="1:10" ht="14.25" customHeight="1" x14ac:dyDescent="0.35">
      <c r="A5714" s="39" t="s">
        <v>13227</v>
      </c>
      <c r="B5714" s="40" t="str">
        <f ca="1">IFERROR(INDEX(UNSPSCDes,MATCH(INDIRECT(ADDRESS(ROW(),COLUMN()-1,4)),UNSPSCCode,0)),IF(INDIRECT(ADDRESS(ROW(),COLUMN()-1,4))="47131803","Desinfectantes para uso doméstico",""))</f>
        <v>Desinfectantes para uso doméstico</v>
      </c>
      <c r="C5714" s="72" t="str">
        <f>IFERROR(VLOOKUP("GAL",'Informacion '!P:Q,2,FALSE),"")</f>
        <v>Galón</v>
      </c>
      <c r="D5714" s="39">
        <v>38</v>
      </c>
      <c r="E5714" s="42">
        <v>212.4</v>
      </c>
      <c r="F5714" s="41">
        <f t="shared" ca="1" si="189"/>
        <v>8071.2</v>
      </c>
    </row>
    <row r="5715" spans="1:10" ht="14.25" customHeight="1" x14ac:dyDescent="0.35">
      <c r="A5715" s="39" t="s">
        <v>10359</v>
      </c>
      <c r="B5715" s="40" t="str">
        <f ca="1">IFERROR(INDEX(UNSPSCDes,MATCH(INDIRECT(ADDRESS(ROW(),COLUMN()-1,4)),UNSPSCCode,0)),IF(INDIRECT(ADDRESS(ROW(),COLUMN()-1,4))="47131805","Limpiadores de propósito general",""))</f>
        <v>Limpiadores de propósito general</v>
      </c>
      <c r="C5715" s="72" t="str">
        <f>IFERROR(VLOOKUP("GAL",'Informacion '!P:Q,2,FALSE),"")</f>
        <v>Galón</v>
      </c>
      <c r="D5715" s="39">
        <v>300</v>
      </c>
      <c r="E5715" s="42">
        <v>38.94</v>
      </c>
      <c r="F5715" s="41">
        <f t="shared" ca="1" si="189"/>
        <v>11682</v>
      </c>
    </row>
    <row r="5716" spans="1:10" ht="14.25" customHeight="1" x14ac:dyDescent="0.35">
      <c r="A5716" s="39" t="s">
        <v>2037</v>
      </c>
      <c r="B5716" s="40" t="str">
        <f ca="1">IFERROR(INDEX(UNSPSCDes,MATCH(INDIRECT(ADDRESS(ROW(),COLUMN()-1,4)),UNSPSCCode,0)),IF(INDIRECT(ADDRESS(ROW(),COLUMN()-1,4))="47131807","Blanqueadores",""))</f>
        <v>Blanqueadores</v>
      </c>
      <c r="C5716" s="72" t="str">
        <f>IFERROR(VLOOKUP("GAL",'Informacion '!P:Q,2,FALSE),"")</f>
        <v>Galón</v>
      </c>
      <c r="D5716" s="39">
        <v>125</v>
      </c>
      <c r="E5716" s="42">
        <v>177</v>
      </c>
      <c r="F5716" s="41">
        <f t="shared" ca="1" si="189"/>
        <v>22125</v>
      </c>
    </row>
    <row r="5717" spans="1:10" ht="14.25" customHeight="1" x14ac:dyDescent="0.35">
      <c r="A5717" s="39" t="s">
        <v>17362</v>
      </c>
      <c r="B5717" s="40" t="str">
        <f ca="1">IFERROR(INDEX(UNSPSCDes,MATCH(INDIRECT(ADDRESS(ROW(),COLUMN()-1,4)),UNSPSCCode,0)),IF(INDIRECT(ADDRESS(ROW(),COLUMN()-1,4))="47131812","Refrescador de aire",""))</f>
        <v>Refrescador de aire</v>
      </c>
      <c r="C5717" s="72" t="str">
        <f>IFERROR(VLOOKUP("UD",'Informacion '!P:Q,2,FALSE),"")</f>
        <v>Unidad</v>
      </c>
      <c r="D5717" s="39">
        <v>65</v>
      </c>
      <c r="E5717" s="42">
        <v>82.6</v>
      </c>
      <c r="F5717" s="41">
        <f t="shared" ca="1" si="189"/>
        <v>5369</v>
      </c>
    </row>
    <row r="5718" spans="1:10" ht="14.25" customHeight="1" x14ac:dyDescent="0.35">
      <c r="E5718" s="44" t="s">
        <v>13122</v>
      </c>
      <c r="F5718" s="45">
        <f ca="1">SUM(Table323[MONTO TOTAL ESTIMADO])</f>
        <v>131664.81</v>
      </c>
      <c r="H5718" s="24" t="str">
        <f>C5690</f>
        <v>Bienes</v>
      </c>
      <c r="I5718" s="24" t="str">
        <f>E5690</f>
        <v>Sí</v>
      </c>
      <c r="J5718" s="24" t="str">
        <f>D5690</f>
        <v>Compras por debajo del Umbral</v>
      </c>
    </row>
    <row r="5720" spans="1:10" ht="34" customHeight="1" x14ac:dyDescent="0.35">
      <c r="A5720" s="36" t="s">
        <v>17105</v>
      </c>
      <c r="B5720" s="36" t="s">
        <v>167</v>
      </c>
      <c r="C5720" s="36" t="s">
        <v>12252</v>
      </c>
      <c r="D5720" s="36" t="s">
        <v>15021</v>
      </c>
      <c r="E5720" s="36" t="s">
        <v>11455</v>
      </c>
      <c r="F5720" s="36" t="s">
        <v>11595</v>
      </c>
    </row>
    <row r="5721" spans="1:10" ht="14.25" customHeight="1" x14ac:dyDescent="0.35">
      <c r="A5721" s="37" t="s">
        <v>15467</v>
      </c>
      <c r="B5721" s="37" t="s">
        <v>15467</v>
      </c>
      <c r="C5721" s="37" t="s">
        <v>18585</v>
      </c>
      <c r="D5721" s="37" t="s">
        <v>10634</v>
      </c>
      <c r="E5721" s="37" t="s">
        <v>9261</v>
      </c>
      <c r="F5721" s="37" t="s">
        <v>7088</v>
      </c>
    </row>
    <row r="5722" spans="1:10" ht="14.25" customHeight="1" x14ac:dyDescent="0.35">
      <c r="A5722" s="75" t="s">
        <v>15490</v>
      </c>
      <c r="B5722" s="38" t="s">
        <v>8918</v>
      </c>
      <c r="C5722" s="68">
        <v>45488</v>
      </c>
      <c r="D5722" s="75" t="s">
        <v>9819</v>
      </c>
      <c r="E5722" s="70" t="s">
        <v>13683</v>
      </c>
      <c r="F5722" s="71" t="s">
        <v>3205</v>
      </c>
    </row>
    <row r="5723" spans="1:10" ht="14.25" customHeight="1" x14ac:dyDescent="0.35">
      <c r="A5723" s="76"/>
      <c r="B5723" s="38" t="s">
        <v>1858</v>
      </c>
      <c r="C5723" s="69">
        <f>IF(C5722="","",IF(AND(MONTH(C5722)&gt;=1,MONTH(C5722)&lt;=3),1,IF(AND(MONTH(C5722)&gt;=4,MONTH(C5722)&lt;=6),2,IF(AND(MONTH(C5722)&gt;=7,MONTH(C5722)&lt;=9),3,4))))</f>
        <v>3</v>
      </c>
      <c r="D5723" s="76"/>
      <c r="E5723" s="70" t="s">
        <v>2509</v>
      </c>
      <c r="F5723" s="71" t="s">
        <v>11612</v>
      </c>
    </row>
    <row r="5724" spans="1:10" ht="14.25" customHeight="1" x14ac:dyDescent="0.35">
      <c r="A5724" s="76"/>
      <c r="B5724" s="38" t="s">
        <v>13526</v>
      </c>
      <c r="C5724" s="68">
        <v>45503</v>
      </c>
      <c r="D5724" s="76"/>
      <c r="E5724" s="70" t="s">
        <v>3198</v>
      </c>
      <c r="F5724" s="71"/>
    </row>
    <row r="5725" spans="1:10" ht="14.25" customHeight="1" x14ac:dyDescent="0.35">
      <c r="A5725" s="76"/>
      <c r="B5725" s="38" t="s">
        <v>1858</v>
      </c>
      <c r="C5725" s="69">
        <f>IF(C5724="","",IF(AND(MONTH(C5724)&gt;=1,MONTH(C5724)&lt;=3),1,IF(AND(MONTH(C5724)&gt;=4,MONTH(C5724)&lt;=6),2,IF(AND(MONTH(C5724)&gt;=7,MONTH(C5724)&lt;=9),3,4))))</f>
        <v>3</v>
      </c>
      <c r="D5725" s="76"/>
      <c r="E5725" s="70" t="s">
        <v>13785</v>
      </c>
      <c r="F5725" s="71"/>
    </row>
    <row r="5727" spans="1:10" ht="14.25" customHeight="1" x14ac:dyDescent="0.35">
      <c r="A5727" s="43" t="s">
        <v>16424</v>
      </c>
      <c r="B5727" s="43" t="s">
        <v>16856</v>
      </c>
      <c r="C5727" s="43" t="s">
        <v>16326</v>
      </c>
      <c r="D5727" s="43" t="s">
        <v>15925</v>
      </c>
      <c r="E5727" s="43" t="s">
        <v>7248</v>
      </c>
      <c r="F5727" s="43" t="s">
        <v>15955</v>
      </c>
    </row>
    <row r="5728" spans="1:10" ht="14.25" customHeight="1" x14ac:dyDescent="0.35">
      <c r="A5728" s="39" t="s">
        <v>6931</v>
      </c>
      <c r="B5728" s="40" t="str">
        <f ca="1">IFERROR(INDEX(UNSPSCDes,MATCH(INDIRECT(ADDRESS(ROW(),COLUMN()-1,4)),UNSPSCCode,0)),IF(INDIRECT(ADDRESS(ROW(),COLUMN()-1,4))="47131502","Pañitos o toallas para limpiar",""))</f>
        <v>Pañitos o toallas para limpiar</v>
      </c>
      <c r="C5728" s="72" t="str">
        <f>IFERROR(VLOOKUP("PAQ",'Informacion '!P:Q,2,FALSE),"")</f>
        <v>Paquete</v>
      </c>
      <c r="D5728" s="39">
        <v>12</v>
      </c>
      <c r="E5728" s="42">
        <v>75</v>
      </c>
      <c r="F5728" s="41">
        <f t="shared" ref="F5728:F5751" ca="1" si="190">INDIRECT(ADDRESS(ROW(),COLUMN()-2,4))*INDIRECT(ADDRESS(ROW(),COLUMN()-1,4))</f>
        <v>900</v>
      </c>
    </row>
    <row r="5729" spans="1:6" ht="14.25" customHeight="1" x14ac:dyDescent="0.35">
      <c r="A5729" s="39" t="s">
        <v>6931</v>
      </c>
      <c r="B5729" s="40" t="str">
        <f ca="1">IFERROR(INDEX(UNSPSCDes,MATCH(INDIRECT(ADDRESS(ROW(),COLUMN()-1,4)),UNSPSCCode,0)),IF(INDIRECT(ADDRESS(ROW(),COLUMN()-1,4))="47131502","Pañitos o toallas para limpiar",""))</f>
        <v>Pañitos o toallas para limpiar</v>
      </c>
      <c r="C5729" s="72" t="str">
        <f>IFERROR(VLOOKUP("PAQ",'Informacion '!P:Q,2,FALSE),"")</f>
        <v>Paquete</v>
      </c>
      <c r="D5729" s="39">
        <v>75</v>
      </c>
      <c r="E5729" s="42">
        <v>265.5</v>
      </c>
      <c r="F5729" s="41">
        <f t="shared" ca="1" si="190"/>
        <v>19912.5</v>
      </c>
    </row>
    <row r="5730" spans="1:6" ht="14.25" customHeight="1" x14ac:dyDescent="0.35">
      <c r="A5730" s="39" t="s">
        <v>6931</v>
      </c>
      <c r="B5730" s="40" t="str">
        <f ca="1">IFERROR(INDEX(UNSPSCDes,MATCH(INDIRECT(ADDRESS(ROW(),COLUMN()-1,4)),UNSPSCCode,0)),IF(INDIRECT(ADDRESS(ROW(),COLUMN()-1,4))="47131502","Pañitos o toallas para limpiar",""))</f>
        <v>Pañitos o toallas para limpiar</v>
      </c>
      <c r="C5730" s="72" t="str">
        <f>IFERROR(VLOOKUP("PAQ",'Informacion '!P:Q,2,FALSE),"")</f>
        <v>Paquete</v>
      </c>
      <c r="D5730" s="39">
        <v>2</v>
      </c>
      <c r="E5730" s="42">
        <v>1056</v>
      </c>
      <c r="F5730" s="41">
        <f t="shared" ca="1" si="190"/>
        <v>2112</v>
      </c>
    </row>
    <row r="5731" spans="1:6" ht="14.25" customHeight="1" x14ac:dyDescent="0.35">
      <c r="A5731" s="39" t="s">
        <v>6390</v>
      </c>
      <c r="B5731" s="40" t="str">
        <f ca="1">IFERROR(INDEX(UNSPSCDes,MATCH(INDIRECT(ADDRESS(ROW(),COLUMN()-1,4)),UNSPSCCode,0)),IF(INDIRECT(ADDRESS(ROW(),COLUMN()-1,4))="47131603","Esponjas",""))</f>
        <v>Esponjas</v>
      </c>
      <c r="C5731" s="72" t="str">
        <f>IFERROR(VLOOKUP("UD",'Informacion '!P:Q,2,FALSE),"")</f>
        <v>Unidad</v>
      </c>
      <c r="D5731" s="39">
        <v>60</v>
      </c>
      <c r="E5731" s="42">
        <v>250</v>
      </c>
      <c r="F5731" s="41">
        <f t="shared" ca="1" si="190"/>
        <v>15000</v>
      </c>
    </row>
    <row r="5732" spans="1:6" ht="14.25" customHeight="1" x14ac:dyDescent="0.35">
      <c r="A5732" s="39" t="s">
        <v>6390</v>
      </c>
      <c r="B5732" s="40" t="str">
        <f ca="1">IFERROR(INDEX(UNSPSCDes,MATCH(INDIRECT(ADDRESS(ROW(),COLUMN()-1,4)),UNSPSCCode,0)),IF(INDIRECT(ADDRESS(ROW(),COLUMN()-1,4))="47131603","Esponjas",""))</f>
        <v>Esponjas</v>
      </c>
      <c r="C5732" s="72" t="str">
        <f>IFERROR(VLOOKUP("UD",'Informacion '!P:Q,2,FALSE),"")</f>
        <v>Unidad</v>
      </c>
      <c r="D5732" s="39">
        <v>60</v>
      </c>
      <c r="E5732" s="42">
        <v>40</v>
      </c>
      <c r="F5732" s="41">
        <f t="shared" ca="1" si="190"/>
        <v>2400</v>
      </c>
    </row>
    <row r="5733" spans="1:6" ht="14.25" customHeight="1" x14ac:dyDescent="0.35">
      <c r="A5733" s="39" t="s">
        <v>6390</v>
      </c>
      <c r="B5733" s="40" t="str">
        <f ca="1">IFERROR(INDEX(UNSPSCDes,MATCH(INDIRECT(ADDRESS(ROW(),COLUMN()-1,4)),UNSPSCCode,0)),IF(INDIRECT(ADDRESS(ROW(),COLUMN()-1,4))="47131603","Esponjas",""))</f>
        <v>Esponjas</v>
      </c>
      <c r="C5733" s="72" t="str">
        <f>IFERROR(VLOOKUP("UD",'Informacion '!P:Q,2,FALSE),"")</f>
        <v>Unidad</v>
      </c>
      <c r="D5733" s="39">
        <v>100</v>
      </c>
      <c r="E5733" s="42">
        <v>13.73</v>
      </c>
      <c r="F5733" s="41">
        <f t="shared" ca="1" si="190"/>
        <v>1373</v>
      </c>
    </row>
    <row r="5734" spans="1:6" ht="14.25" customHeight="1" x14ac:dyDescent="0.35">
      <c r="A5734" s="39" t="s">
        <v>4621</v>
      </c>
      <c r="B5734" s="40" t="str">
        <f ca="1">IFERROR(INDEX(UNSPSCDes,MATCH(INDIRECT(ADDRESS(ROW(),COLUMN()-1,4)),UNSPSCCode,0)),IF(INDIRECT(ADDRESS(ROW(),COLUMN()-1,4))="47131604","Escobas",""))</f>
        <v>Escobas</v>
      </c>
      <c r="C5734" s="72" t="str">
        <f>IFERROR(VLOOKUP("UD",'Informacion '!P:Q,2,FALSE),"")</f>
        <v>Unidad</v>
      </c>
      <c r="D5734" s="39">
        <v>12</v>
      </c>
      <c r="E5734" s="42">
        <v>120</v>
      </c>
      <c r="F5734" s="41">
        <f t="shared" ca="1" si="190"/>
        <v>1440</v>
      </c>
    </row>
    <row r="5735" spans="1:6" ht="14.25" customHeight="1" x14ac:dyDescent="0.35">
      <c r="A5735" s="39" t="s">
        <v>4621</v>
      </c>
      <c r="B5735" s="40" t="str">
        <f ca="1">IFERROR(INDEX(UNSPSCDes,MATCH(INDIRECT(ADDRESS(ROW(),COLUMN()-1,4)),UNSPSCCode,0)),IF(INDIRECT(ADDRESS(ROW(),COLUMN()-1,4))="47131604","Escobas",""))</f>
        <v>Escobas</v>
      </c>
      <c r="C5735" s="72" t="str">
        <f>IFERROR(VLOOKUP("UD",'Informacion '!P:Q,2,FALSE),"")</f>
        <v>Unidad</v>
      </c>
      <c r="D5735" s="39">
        <v>38</v>
      </c>
      <c r="E5735" s="42">
        <v>120.33</v>
      </c>
      <c r="F5735" s="41">
        <f t="shared" ca="1" si="190"/>
        <v>4572.54</v>
      </c>
    </row>
    <row r="5736" spans="1:6" ht="14.25" customHeight="1" x14ac:dyDescent="0.35">
      <c r="A5736" s="39" t="s">
        <v>4621</v>
      </c>
      <c r="B5736" s="40" t="str">
        <f ca="1">IFERROR(INDEX(UNSPSCDes,MATCH(INDIRECT(ADDRESS(ROW(),COLUMN()-1,4)),UNSPSCCode,0)),IF(INDIRECT(ADDRESS(ROW(),COLUMN()-1,4))="47131604","Escobas",""))</f>
        <v>Escobas</v>
      </c>
      <c r="C5736" s="72" t="str">
        <f>IFERROR(VLOOKUP("UD",'Informacion '!P:Q,2,FALSE),"")</f>
        <v>Unidad</v>
      </c>
      <c r="D5736" s="39">
        <v>3</v>
      </c>
      <c r="E5736" s="42">
        <v>578.17999999999995</v>
      </c>
      <c r="F5736" s="41">
        <f t="shared" ca="1" si="190"/>
        <v>1734.54</v>
      </c>
    </row>
    <row r="5737" spans="1:6" ht="14.25" customHeight="1" x14ac:dyDescent="0.35">
      <c r="A5737" s="39" t="s">
        <v>4621</v>
      </c>
      <c r="B5737" s="40" t="str">
        <f ca="1">IFERROR(INDEX(UNSPSCDes,MATCH(INDIRECT(ADDRESS(ROW(),COLUMN()-1,4)),UNSPSCCode,0)),IF(INDIRECT(ADDRESS(ROW(),COLUMN()-1,4))="47131604","Escobas",""))</f>
        <v>Escobas</v>
      </c>
      <c r="C5737" s="72" t="str">
        <f>IFERROR(VLOOKUP("UD",'Informacion '!P:Q,2,FALSE),"")</f>
        <v>Unidad</v>
      </c>
      <c r="D5737" s="39">
        <v>7</v>
      </c>
      <c r="E5737" s="42">
        <v>92</v>
      </c>
      <c r="F5737" s="41">
        <f t="shared" ca="1" si="190"/>
        <v>644</v>
      </c>
    </row>
    <row r="5738" spans="1:6" ht="14.25" customHeight="1" x14ac:dyDescent="0.35">
      <c r="A5738" s="39" t="s">
        <v>2418</v>
      </c>
      <c r="B5738" s="40" t="str">
        <f ca="1">IFERROR(INDEX(UNSPSCDes,MATCH(INDIRECT(ADDRESS(ROW(),COLUMN()-1,4)),UNSPSCCode,0)),IF(INDIRECT(ADDRESS(ROW(),COLUMN()-1,4))="47131605","Cepillos de limpieza",""))</f>
        <v>Cepillos de limpieza</v>
      </c>
      <c r="C5738" s="72" t="str">
        <f>IFERROR(VLOOKUP("UD",'Informacion '!P:Q,2,FALSE),"")</f>
        <v>Unidad</v>
      </c>
      <c r="D5738" s="39">
        <v>7</v>
      </c>
      <c r="E5738" s="42">
        <v>41.29</v>
      </c>
      <c r="F5738" s="41">
        <f t="shared" ca="1" si="190"/>
        <v>289.02999999999997</v>
      </c>
    </row>
    <row r="5739" spans="1:6" ht="14.25" customHeight="1" x14ac:dyDescent="0.35">
      <c r="A5739" s="39" t="s">
        <v>12607</v>
      </c>
      <c r="B5739" s="40" t="str">
        <f ca="1">IFERROR(INDEX(UNSPSCDes,MATCH(INDIRECT(ADDRESS(ROW(),COLUMN()-1,4)),UNSPSCCode,0)),IF(INDIRECT(ADDRESS(ROW(),COLUMN()-1,4))="47131618","Traperos húmedos",""))</f>
        <v>Traperos húmedos</v>
      </c>
      <c r="C5739" s="72" t="str">
        <f>IFERROR(VLOOKUP("PAQ",'Informacion '!P:Q,2,FALSE),"")</f>
        <v>Paquete</v>
      </c>
      <c r="D5739" s="39">
        <v>12</v>
      </c>
      <c r="E5739" s="42">
        <v>150</v>
      </c>
      <c r="F5739" s="41">
        <f t="shared" ca="1" si="190"/>
        <v>1800</v>
      </c>
    </row>
    <row r="5740" spans="1:6" ht="14.25" customHeight="1" x14ac:dyDescent="0.35">
      <c r="A5740" s="39" t="s">
        <v>12607</v>
      </c>
      <c r="B5740" s="40" t="str">
        <f ca="1">IFERROR(INDEX(UNSPSCDes,MATCH(INDIRECT(ADDRESS(ROW(),COLUMN()-1,4)),UNSPSCCode,0)),IF(INDIRECT(ADDRESS(ROW(),COLUMN()-1,4))="47131618","Traperos húmedos",""))</f>
        <v>Traperos húmedos</v>
      </c>
      <c r="C5740" s="72" t="str">
        <f>IFERROR(VLOOKUP("PAQ",'Informacion '!P:Q,2,FALSE),"")</f>
        <v>Paquete</v>
      </c>
      <c r="D5740" s="39">
        <v>40</v>
      </c>
      <c r="E5740" s="42">
        <v>151</v>
      </c>
      <c r="F5740" s="41">
        <f t="shared" ca="1" si="190"/>
        <v>6040</v>
      </c>
    </row>
    <row r="5741" spans="1:6" ht="14.25" customHeight="1" x14ac:dyDescent="0.35">
      <c r="A5741" s="39" t="s">
        <v>17012</v>
      </c>
      <c r="B5741" s="40" t="str">
        <f ca="1">IFERROR(INDEX(UNSPSCDes,MATCH(INDIRECT(ADDRESS(ROW(),COLUMN()-1,4)),UNSPSCCode,0)),IF(INDIRECT(ADDRESS(ROW(),COLUMN()-1,4))="47131706","Dispensadores de ambientadores",""))</f>
        <v>Dispensadores de ambientadores</v>
      </c>
      <c r="C5741" s="72" t="str">
        <f>IFERROR(VLOOKUP("UD",'Informacion '!P:Q,2,FALSE),"")</f>
        <v>Unidad</v>
      </c>
      <c r="D5741" s="39">
        <v>50</v>
      </c>
      <c r="E5741" s="42">
        <v>46</v>
      </c>
      <c r="F5741" s="41">
        <f t="shared" ca="1" si="190"/>
        <v>2300</v>
      </c>
    </row>
    <row r="5742" spans="1:6" ht="14.25" customHeight="1" x14ac:dyDescent="0.35">
      <c r="A5742" s="39" t="s">
        <v>13227</v>
      </c>
      <c r="B5742" s="40" t="str">
        <f t="shared" ref="B5742:B5747" ca="1" si="191">IFERROR(INDEX(UNSPSCDes,MATCH(INDIRECT(ADDRESS(ROW(),COLUMN()-1,4)),UNSPSCCode,0)),IF(INDIRECT(ADDRESS(ROW(),COLUMN()-1,4))="47131803","Desinfectantes para uso doméstico",""))</f>
        <v>Desinfectantes para uso doméstico</v>
      </c>
      <c r="C5742" s="72" t="str">
        <f>IFERROR(VLOOKUP("GAL",'Informacion '!P:Q,2,FALSE),"")</f>
        <v>Galón</v>
      </c>
      <c r="D5742" s="39">
        <v>8</v>
      </c>
      <c r="E5742" s="42">
        <v>1200</v>
      </c>
      <c r="F5742" s="41">
        <f t="shared" ca="1" si="190"/>
        <v>9600</v>
      </c>
    </row>
    <row r="5743" spans="1:6" ht="14.25" customHeight="1" x14ac:dyDescent="0.35">
      <c r="A5743" s="39" t="s">
        <v>13227</v>
      </c>
      <c r="B5743" s="40" t="str">
        <f t="shared" ca="1" si="191"/>
        <v>Desinfectantes para uso doméstico</v>
      </c>
      <c r="C5743" s="72" t="str">
        <f>IFERROR(VLOOKUP("GAL",'Informacion '!P:Q,2,FALSE),"")</f>
        <v>Galón</v>
      </c>
      <c r="D5743" s="39">
        <v>20</v>
      </c>
      <c r="E5743" s="42">
        <v>200</v>
      </c>
      <c r="F5743" s="41">
        <f t="shared" ca="1" si="190"/>
        <v>4000</v>
      </c>
    </row>
    <row r="5744" spans="1:6" ht="14.25" customHeight="1" x14ac:dyDescent="0.35">
      <c r="A5744" s="39" t="s">
        <v>13227</v>
      </c>
      <c r="B5744" s="40" t="str">
        <f t="shared" ca="1" si="191"/>
        <v>Desinfectantes para uso doméstico</v>
      </c>
      <c r="C5744" s="72" t="str">
        <f>IFERROR(VLOOKUP("GAL",'Informacion '!P:Q,2,FALSE),"")</f>
        <v>Galón</v>
      </c>
      <c r="D5744" s="39">
        <v>20</v>
      </c>
      <c r="E5744" s="42">
        <v>150</v>
      </c>
      <c r="F5744" s="41">
        <f t="shared" ca="1" si="190"/>
        <v>3000</v>
      </c>
    </row>
    <row r="5745" spans="1:10" ht="14.25" customHeight="1" x14ac:dyDescent="0.35">
      <c r="A5745" s="39" t="s">
        <v>13227</v>
      </c>
      <c r="B5745" s="40" t="str">
        <f t="shared" ca="1" si="191"/>
        <v>Desinfectantes para uso doméstico</v>
      </c>
      <c r="C5745" s="72" t="str">
        <f>IFERROR(VLOOKUP("GAL",'Informacion '!P:Q,2,FALSE),"")</f>
        <v>Galón</v>
      </c>
      <c r="D5745" s="39">
        <v>80</v>
      </c>
      <c r="E5745" s="42">
        <v>120</v>
      </c>
      <c r="F5745" s="41">
        <f t="shared" ca="1" si="190"/>
        <v>9600</v>
      </c>
    </row>
    <row r="5746" spans="1:10" ht="14.25" customHeight="1" x14ac:dyDescent="0.35">
      <c r="A5746" s="39" t="s">
        <v>13227</v>
      </c>
      <c r="B5746" s="40" t="str">
        <f t="shared" ca="1" si="191"/>
        <v>Desinfectantes para uso doméstico</v>
      </c>
      <c r="C5746" s="72" t="str">
        <f>IFERROR(VLOOKUP("GAL",'Informacion '!P:Q,2,FALSE),"")</f>
        <v>Galón</v>
      </c>
      <c r="D5746" s="39">
        <v>38</v>
      </c>
      <c r="E5746" s="42">
        <v>212.4</v>
      </c>
      <c r="F5746" s="41">
        <f t="shared" ca="1" si="190"/>
        <v>8071.2</v>
      </c>
    </row>
    <row r="5747" spans="1:10" ht="14.25" customHeight="1" x14ac:dyDescent="0.35">
      <c r="A5747" s="39" t="s">
        <v>13227</v>
      </c>
      <c r="B5747" s="40" t="str">
        <f t="shared" ca="1" si="191"/>
        <v>Desinfectantes para uso doméstico</v>
      </c>
      <c r="C5747" s="72" t="str">
        <f>IFERROR(VLOOKUP("GAL",'Informacion '!P:Q,2,FALSE),"")</f>
        <v>Galón</v>
      </c>
      <c r="D5747" s="39">
        <v>35</v>
      </c>
      <c r="E5747" s="42">
        <v>807.1</v>
      </c>
      <c r="F5747" s="41">
        <f t="shared" ca="1" si="190"/>
        <v>28248.5</v>
      </c>
    </row>
    <row r="5748" spans="1:10" ht="14.25" customHeight="1" x14ac:dyDescent="0.35">
      <c r="A5748" s="39" t="s">
        <v>10359</v>
      </c>
      <c r="B5748" s="40" t="str">
        <f ca="1">IFERROR(INDEX(UNSPSCDes,MATCH(INDIRECT(ADDRESS(ROW(),COLUMN()-1,4)),UNSPSCCode,0)),IF(INDIRECT(ADDRESS(ROW(),COLUMN()-1,4))="47131805","Limpiadores de propósito general",""))</f>
        <v>Limpiadores de propósito general</v>
      </c>
      <c r="C5748" s="72" t="str">
        <f>IFERROR(VLOOKUP("GAL",'Informacion '!P:Q,2,FALSE),"")</f>
        <v>Galón</v>
      </c>
      <c r="D5748" s="39">
        <v>300</v>
      </c>
      <c r="E5748" s="42">
        <v>38.94</v>
      </c>
      <c r="F5748" s="41">
        <f t="shared" ca="1" si="190"/>
        <v>11682</v>
      </c>
    </row>
    <row r="5749" spans="1:10" ht="14.25" customHeight="1" x14ac:dyDescent="0.35">
      <c r="A5749" s="39" t="s">
        <v>2037</v>
      </c>
      <c r="B5749" s="40" t="str">
        <f ca="1">IFERROR(INDEX(UNSPSCDes,MATCH(INDIRECT(ADDRESS(ROW(),COLUMN()-1,4)),UNSPSCCode,0)),IF(INDIRECT(ADDRESS(ROW(),COLUMN()-1,4))="47131807","Blanqueadores",""))</f>
        <v>Blanqueadores</v>
      </c>
      <c r="C5749" s="72" t="str">
        <f>IFERROR(VLOOKUP("GAL",'Informacion '!P:Q,2,FALSE),"")</f>
        <v>Galón</v>
      </c>
      <c r="D5749" s="39">
        <v>125</v>
      </c>
      <c r="E5749" s="42">
        <v>177</v>
      </c>
      <c r="F5749" s="41">
        <f t="shared" ca="1" si="190"/>
        <v>22125</v>
      </c>
    </row>
    <row r="5750" spans="1:10" ht="14.25" customHeight="1" x14ac:dyDescent="0.35">
      <c r="A5750" s="39" t="s">
        <v>17362</v>
      </c>
      <c r="B5750" s="40" t="str">
        <f ca="1">IFERROR(INDEX(UNSPSCDes,MATCH(INDIRECT(ADDRESS(ROW(),COLUMN()-1,4)),UNSPSCCode,0)),IF(INDIRECT(ADDRESS(ROW(),COLUMN()-1,4))="47131812","Refrescador de aire",""))</f>
        <v>Refrescador de aire</v>
      </c>
      <c r="C5750" s="72" t="str">
        <f>IFERROR(VLOOKUP("UD",'Informacion '!P:Q,2,FALSE),"")</f>
        <v>Unidad</v>
      </c>
      <c r="D5750" s="39">
        <v>65</v>
      </c>
      <c r="E5750" s="42">
        <v>82.6</v>
      </c>
      <c r="F5750" s="41">
        <f t="shared" ca="1" si="190"/>
        <v>5369</v>
      </c>
    </row>
    <row r="5751" spans="1:10" ht="14.25" customHeight="1" x14ac:dyDescent="0.35">
      <c r="A5751" s="39" t="s">
        <v>8927</v>
      </c>
      <c r="B5751" s="40" t="str">
        <f ca="1">IFERROR(INDEX(UNSPSCDes,MATCH(INDIRECT(ADDRESS(ROW(),COLUMN()-1,4)),UNSPSCCode,0)),IF(INDIRECT(ADDRESS(ROW(),COLUMN()-1,4))="47131831","Ácido muriático",""))</f>
        <v>Ácido muriático</v>
      </c>
      <c r="C5751" s="72" t="str">
        <f>IFERROR(VLOOKUP("GAL",'Informacion '!P:Q,2,FALSE),"")</f>
        <v>Galón</v>
      </c>
      <c r="D5751" s="39">
        <v>25</v>
      </c>
      <c r="E5751" s="42">
        <v>413</v>
      </c>
      <c r="F5751" s="41">
        <f t="shared" ca="1" si="190"/>
        <v>10325</v>
      </c>
    </row>
    <row r="5752" spans="1:10" ht="14.25" customHeight="1" x14ac:dyDescent="0.35">
      <c r="E5752" s="44" t="s">
        <v>13122</v>
      </c>
      <c r="F5752" s="45">
        <f ca="1">SUM(Table324[MONTO TOTAL ESTIMADO])</f>
        <v>172538.31</v>
      </c>
      <c r="H5752" s="24" t="str">
        <f>C5721</f>
        <v>Bienes</v>
      </c>
      <c r="I5752" s="24" t="str">
        <f>E5721</f>
        <v>Sí</v>
      </c>
      <c r="J5752" s="24" t="str">
        <f>D5721</f>
        <v>Compras por debajo del Umbral</v>
      </c>
    </row>
    <row r="5754" spans="1:10" ht="34" customHeight="1" x14ac:dyDescent="0.35">
      <c r="A5754" s="36" t="s">
        <v>17105</v>
      </c>
      <c r="B5754" s="36" t="s">
        <v>167</v>
      </c>
      <c r="C5754" s="36" t="s">
        <v>12252</v>
      </c>
      <c r="D5754" s="36" t="s">
        <v>15021</v>
      </c>
      <c r="E5754" s="36" t="s">
        <v>11455</v>
      </c>
      <c r="F5754" s="36" t="s">
        <v>11595</v>
      </c>
    </row>
    <row r="5755" spans="1:10" ht="14.25" customHeight="1" x14ac:dyDescent="0.35">
      <c r="A5755" s="37" t="s">
        <v>15467</v>
      </c>
      <c r="B5755" s="37" t="s">
        <v>15467</v>
      </c>
      <c r="C5755" s="37" t="s">
        <v>18585</v>
      </c>
      <c r="D5755" s="37" t="s">
        <v>10634</v>
      </c>
      <c r="E5755" s="37" t="s">
        <v>9261</v>
      </c>
      <c r="F5755" s="37" t="s">
        <v>7088</v>
      </c>
    </row>
    <row r="5756" spans="1:10" ht="14.25" customHeight="1" x14ac:dyDescent="0.35">
      <c r="A5756" s="75" t="s">
        <v>15490</v>
      </c>
      <c r="B5756" s="38" t="s">
        <v>8918</v>
      </c>
      <c r="C5756" s="68">
        <v>45585</v>
      </c>
      <c r="D5756" s="75" t="s">
        <v>9819</v>
      </c>
      <c r="E5756" s="70" t="s">
        <v>13683</v>
      </c>
      <c r="F5756" s="71" t="s">
        <v>3205</v>
      </c>
    </row>
    <row r="5757" spans="1:10" ht="14.25" customHeight="1" x14ac:dyDescent="0.35">
      <c r="A5757" s="76"/>
      <c r="B5757" s="38" t="s">
        <v>1858</v>
      </c>
      <c r="C5757" s="69">
        <f>IF(C5756="","",IF(AND(MONTH(C5756)&gt;=1,MONTH(C5756)&lt;=3),1,IF(AND(MONTH(C5756)&gt;=4,MONTH(C5756)&lt;=6),2,IF(AND(MONTH(C5756)&gt;=7,MONTH(C5756)&lt;=9),3,4))))</f>
        <v>4</v>
      </c>
      <c r="D5757" s="76"/>
      <c r="E5757" s="70" t="s">
        <v>2509</v>
      </c>
      <c r="F5757" s="71" t="s">
        <v>11612</v>
      </c>
    </row>
    <row r="5758" spans="1:10" ht="14.25" customHeight="1" x14ac:dyDescent="0.35">
      <c r="A5758" s="76"/>
      <c r="B5758" s="38" t="s">
        <v>13526</v>
      </c>
      <c r="C5758" s="68">
        <v>45611</v>
      </c>
      <c r="D5758" s="76"/>
      <c r="E5758" s="70" t="s">
        <v>3198</v>
      </c>
      <c r="F5758" s="71"/>
    </row>
    <row r="5759" spans="1:10" ht="14.25" customHeight="1" x14ac:dyDescent="0.35">
      <c r="A5759" s="76"/>
      <c r="B5759" s="38" t="s">
        <v>1858</v>
      </c>
      <c r="C5759" s="69">
        <f>IF(C5758="","",IF(AND(MONTH(C5758)&gt;=1,MONTH(C5758)&lt;=3),1,IF(AND(MONTH(C5758)&gt;=4,MONTH(C5758)&lt;=6),2,IF(AND(MONTH(C5758)&gt;=7,MONTH(C5758)&lt;=9),3,4))))</f>
        <v>4</v>
      </c>
      <c r="D5759" s="76"/>
      <c r="E5759" s="70" t="s">
        <v>13785</v>
      </c>
      <c r="F5759" s="71"/>
    </row>
    <row r="5761" spans="1:10" ht="14.25" customHeight="1" x14ac:dyDescent="0.35">
      <c r="A5761" s="43" t="s">
        <v>16424</v>
      </c>
      <c r="B5761" s="43" t="s">
        <v>16856</v>
      </c>
      <c r="C5761" s="43" t="s">
        <v>16326</v>
      </c>
      <c r="D5761" s="43" t="s">
        <v>15925</v>
      </c>
      <c r="E5761" s="43" t="s">
        <v>7248</v>
      </c>
      <c r="F5761" s="43" t="s">
        <v>15955</v>
      </c>
    </row>
    <row r="5762" spans="1:10" ht="14.25" customHeight="1" x14ac:dyDescent="0.35">
      <c r="A5762" s="39" t="s">
        <v>6931</v>
      </c>
      <c r="B5762" s="40" t="str">
        <f ca="1">IFERROR(INDEX(UNSPSCDes,MATCH(INDIRECT(ADDRESS(ROW(),COLUMN()-1,4)),UNSPSCCode,0)),IF(INDIRECT(ADDRESS(ROW(),COLUMN()-1,4))="47131502","Pañitos o toallas para limpiar",""))</f>
        <v>Pañitos o toallas para limpiar</v>
      </c>
      <c r="C5762" s="72" t="str">
        <f>IFERROR(VLOOKUP("PAQ",'Informacion '!P:Q,2,FALSE),"")</f>
        <v>Paquete</v>
      </c>
      <c r="D5762" s="39">
        <v>75</v>
      </c>
      <c r="E5762" s="42">
        <v>265.5</v>
      </c>
      <c r="F5762" s="41">
        <f t="shared" ref="F5762:F5774" ca="1" si="192">INDIRECT(ADDRESS(ROW(),COLUMN()-2,4))*INDIRECT(ADDRESS(ROW(),COLUMN()-1,4))</f>
        <v>19912.5</v>
      </c>
    </row>
    <row r="5763" spans="1:10" ht="14.25" customHeight="1" x14ac:dyDescent="0.35">
      <c r="A5763" s="39" t="s">
        <v>6931</v>
      </c>
      <c r="B5763" s="40" t="str">
        <f ca="1">IFERROR(INDEX(UNSPSCDes,MATCH(INDIRECT(ADDRESS(ROW(),COLUMN()-1,4)),UNSPSCCode,0)),IF(INDIRECT(ADDRESS(ROW(),COLUMN()-1,4))="47131502","Pañitos o toallas para limpiar",""))</f>
        <v>Pañitos o toallas para limpiar</v>
      </c>
      <c r="C5763" s="72" t="str">
        <f>IFERROR(VLOOKUP("PAQ",'Informacion '!P:Q,2,FALSE),"")</f>
        <v>Paquete</v>
      </c>
      <c r="D5763" s="39">
        <v>2</v>
      </c>
      <c r="E5763" s="42">
        <v>1056</v>
      </c>
      <c r="F5763" s="41">
        <f t="shared" ca="1" si="192"/>
        <v>2112</v>
      </c>
    </row>
    <row r="5764" spans="1:10" ht="14.25" customHeight="1" x14ac:dyDescent="0.35">
      <c r="A5764" s="39" t="s">
        <v>6390</v>
      </c>
      <c r="B5764" s="40" t="str">
        <f ca="1">IFERROR(INDEX(UNSPSCDes,MATCH(INDIRECT(ADDRESS(ROW(),COLUMN()-1,4)),UNSPSCCode,0)),IF(INDIRECT(ADDRESS(ROW(),COLUMN()-1,4))="47131603","Esponjas",""))</f>
        <v>Esponjas</v>
      </c>
      <c r="C5764" s="72" t="str">
        <f>IFERROR(VLOOKUP("UD",'Informacion '!P:Q,2,FALSE),"")</f>
        <v>Unidad</v>
      </c>
      <c r="D5764" s="39">
        <v>100</v>
      </c>
      <c r="E5764" s="42">
        <v>13.73</v>
      </c>
      <c r="F5764" s="41">
        <f t="shared" ca="1" si="192"/>
        <v>1373</v>
      </c>
    </row>
    <row r="5765" spans="1:10" ht="14.25" customHeight="1" x14ac:dyDescent="0.35">
      <c r="A5765" s="39" t="s">
        <v>4621</v>
      </c>
      <c r="B5765" s="40" t="str">
        <f ca="1">IFERROR(INDEX(UNSPSCDes,MATCH(INDIRECT(ADDRESS(ROW(),COLUMN()-1,4)),UNSPSCCode,0)),IF(INDIRECT(ADDRESS(ROW(),COLUMN()-1,4))="47131604","Escobas",""))</f>
        <v>Escobas</v>
      </c>
      <c r="C5765" s="72" t="str">
        <f>IFERROR(VLOOKUP("UD",'Informacion '!P:Q,2,FALSE),"")</f>
        <v>Unidad</v>
      </c>
      <c r="D5765" s="39">
        <v>38</v>
      </c>
      <c r="E5765" s="42">
        <v>120.33</v>
      </c>
      <c r="F5765" s="41">
        <f t="shared" ca="1" si="192"/>
        <v>4572.54</v>
      </c>
    </row>
    <row r="5766" spans="1:10" ht="14.25" customHeight="1" x14ac:dyDescent="0.35">
      <c r="A5766" s="39" t="s">
        <v>4621</v>
      </c>
      <c r="B5766" s="40" t="str">
        <f ca="1">IFERROR(INDEX(UNSPSCDes,MATCH(INDIRECT(ADDRESS(ROW(),COLUMN()-1,4)),UNSPSCCode,0)),IF(INDIRECT(ADDRESS(ROW(),COLUMN()-1,4))="47131604","Escobas",""))</f>
        <v>Escobas</v>
      </c>
      <c r="C5766" s="72" t="str">
        <f>IFERROR(VLOOKUP("UD",'Informacion '!P:Q,2,FALSE),"")</f>
        <v>Unidad</v>
      </c>
      <c r="D5766" s="39">
        <v>3</v>
      </c>
      <c r="E5766" s="42">
        <v>578.17999999999995</v>
      </c>
      <c r="F5766" s="41">
        <f t="shared" ca="1" si="192"/>
        <v>1734.54</v>
      </c>
    </row>
    <row r="5767" spans="1:10" ht="14.25" customHeight="1" x14ac:dyDescent="0.35">
      <c r="A5767" s="39" t="s">
        <v>4621</v>
      </c>
      <c r="B5767" s="40" t="str">
        <f ca="1">IFERROR(INDEX(UNSPSCDes,MATCH(INDIRECT(ADDRESS(ROW(),COLUMN()-1,4)),UNSPSCCode,0)),IF(INDIRECT(ADDRESS(ROW(),COLUMN()-1,4))="47131604","Escobas",""))</f>
        <v>Escobas</v>
      </c>
      <c r="C5767" s="72" t="str">
        <f>IFERROR(VLOOKUP("UD",'Informacion '!P:Q,2,FALSE),"")</f>
        <v>Unidad</v>
      </c>
      <c r="D5767" s="39">
        <v>7</v>
      </c>
      <c r="E5767" s="42">
        <v>92</v>
      </c>
      <c r="F5767" s="41">
        <f t="shared" ca="1" si="192"/>
        <v>644</v>
      </c>
    </row>
    <row r="5768" spans="1:10" ht="14.25" customHeight="1" x14ac:dyDescent="0.35">
      <c r="A5768" s="39" t="s">
        <v>2418</v>
      </c>
      <c r="B5768" s="40" t="str">
        <f ca="1">IFERROR(INDEX(UNSPSCDes,MATCH(INDIRECT(ADDRESS(ROW(),COLUMN()-1,4)),UNSPSCCode,0)),IF(INDIRECT(ADDRESS(ROW(),COLUMN()-1,4))="47131605","Cepillos de limpieza",""))</f>
        <v>Cepillos de limpieza</v>
      </c>
      <c r="C5768" s="72" t="str">
        <f>IFERROR(VLOOKUP("UD",'Informacion '!P:Q,2,FALSE),"")</f>
        <v>Unidad</v>
      </c>
      <c r="D5768" s="39">
        <v>7</v>
      </c>
      <c r="E5768" s="42">
        <v>41.29</v>
      </c>
      <c r="F5768" s="41">
        <f t="shared" ca="1" si="192"/>
        <v>289.02999999999997</v>
      </c>
    </row>
    <row r="5769" spans="1:10" ht="14.25" customHeight="1" x14ac:dyDescent="0.35">
      <c r="A5769" s="39" t="s">
        <v>12607</v>
      </c>
      <c r="B5769" s="40" t="str">
        <f ca="1">IFERROR(INDEX(UNSPSCDes,MATCH(INDIRECT(ADDRESS(ROW(),COLUMN()-1,4)),UNSPSCCode,0)),IF(INDIRECT(ADDRESS(ROW(),COLUMN()-1,4))="47131618","Traperos húmedos",""))</f>
        <v>Traperos húmedos</v>
      </c>
      <c r="C5769" s="72" t="str">
        <f>IFERROR(VLOOKUP("UD",'Informacion '!P:Q,2,FALSE),"")</f>
        <v>Unidad</v>
      </c>
      <c r="D5769" s="39">
        <v>40</v>
      </c>
      <c r="E5769" s="42">
        <v>151</v>
      </c>
      <c r="F5769" s="41">
        <f t="shared" ca="1" si="192"/>
        <v>6040</v>
      </c>
    </row>
    <row r="5770" spans="1:10" ht="14.25" customHeight="1" x14ac:dyDescent="0.35">
      <c r="A5770" s="39" t="s">
        <v>17012</v>
      </c>
      <c r="B5770" s="40" t="str">
        <f ca="1">IFERROR(INDEX(UNSPSCDes,MATCH(INDIRECT(ADDRESS(ROW(),COLUMN()-1,4)),UNSPSCCode,0)),IF(INDIRECT(ADDRESS(ROW(),COLUMN()-1,4))="47131706","Dispensadores de ambientadores",""))</f>
        <v>Dispensadores de ambientadores</v>
      </c>
      <c r="C5770" s="72" t="str">
        <f>IFERROR(VLOOKUP("UD",'Informacion '!P:Q,2,FALSE),"")</f>
        <v>Unidad</v>
      </c>
      <c r="D5770" s="39">
        <v>50</v>
      </c>
      <c r="E5770" s="42">
        <v>46</v>
      </c>
      <c r="F5770" s="41">
        <f t="shared" ca="1" si="192"/>
        <v>2300</v>
      </c>
    </row>
    <row r="5771" spans="1:10" ht="14.25" customHeight="1" x14ac:dyDescent="0.35">
      <c r="A5771" s="39" t="s">
        <v>13227</v>
      </c>
      <c r="B5771" s="40" t="str">
        <f ca="1">IFERROR(INDEX(UNSPSCDes,MATCH(INDIRECT(ADDRESS(ROW(),COLUMN()-1,4)),UNSPSCCode,0)),IF(INDIRECT(ADDRESS(ROW(),COLUMN()-1,4))="47131803","Desinfectantes para uso doméstico",""))</f>
        <v>Desinfectantes para uso doméstico</v>
      </c>
      <c r="C5771" s="72" t="str">
        <f>IFERROR(VLOOKUP("GAL",'Informacion '!P:Q,2,FALSE),"")</f>
        <v>Galón</v>
      </c>
      <c r="D5771" s="39">
        <v>38</v>
      </c>
      <c r="E5771" s="42">
        <v>212.4</v>
      </c>
      <c r="F5771" s="41">
        <f t="shared" ca="1" si="192"/>
        <v>8071.2</v>
      </c>
    </row>
    <row r="5772" spans="1:10" ht="14.25" customHeight="1" x14ac:dyDescent="0.35">
      <c r="A5772" s="39" t="s">
        <v>10359</v>
      </c>
      <c r="B5772" s="40" t="str">
        <f ca="1">IFERROR(INDEX(UNSPSCDes,MATCH(INDIRECT(ADDRESS(ROW(),COLUMN()-1,4)),UNSPSCCode,0)),IF(INDIRECT(ADDRESS(ROW(),COLUMN()-1,4))="47131805","Limpiadores de propósito general",""))</f>
        <v>Limpiadores de propósito general</v>
      </c>
      <c r="C5772" s="72" t="str">
        <f>IFERROR(VLOOKUP("GAL",'Informacion '!P:Q,2,FALSE),"")</f>
        <v>Galón</v>
      </c>
      <c r="D5772" s="39">
        <v>300</v>
      </c>
      <c r="E5772" s="42">
        <v>38.94</v>
      </c>
      <c r="F5772" s="41">
        <f t="shared" ca="1" si="192"/>
        <v>11682</v>
      </c>
    </row>
    <row r="5773" spans="1:10" ht="14.25" customHeight="1" x14ac:dyDescent="0.35">
      <c r="A5773" s="39" t="s">
        <v>2037</v>
      </c>
      <c r="B5773" s="40" t="str">
        <f ca="1">IFERROR(INDEX(UNSPSCDes,MATCH(INDIRECT(ADDRESS(ROW(),COLUMN()-1,4)),UNSPSCCode,0)),IF(INDIRECT(ADDRESS(ROW(),COLUMN()-1,4))="47131807","Blanqueadores",""))</f>
        <v>Blanqueadores</v>
      </c>
      <c r="C5773" s="72" t="str">
        <f>IFERROR(VLOOKUP("GAL",'Informacion '!P:Q,2,FALSE),"")</f>
        <v>Galón</v>
      </c>
      <c r="D5773" s="39">
        <v>125</v>
      </c>
      <c r="E5773" s="42">
        <v>177</v>
      </c>
      <c r="F5773" s="41">
        <f t="shared" ca="1" si="192"/>
        <v>22125</v>
      </c>
    </row>
    <row r="5774" spans="1:10" ht="14.25" customHeight="1" x14ac:dyDescent="0.35">
      <c r="A5774" s="39" t="s">
        <v>17362</v>
      </c>
      <c r="B5774" s="40" t="str">
        <f ca="1">IFERROR(INDEX(UNSPSCDes,MATCH(INDIRECT(ADDRESS(ROW(),COLUMN()-1,4)),UNSPSCCode,0)),IF(INDIRECT(ADDRESS(ROW(),COLUMN()-1,4))="47131812","Refrescador de aire",""))</f>
        <v>Refrescador de aire</v>
      </c>
      <c r="C5774" s="72" t="str">
        <f>IFERROR(VLOOKUP("UD",'Informacion '!P:Q,2,FALSE),"")</f>
        <v>Unidad</v>
      </c>
      <c r="D5774" s="39">
        <v>65</v>
      </c>
      <c r="E5774" s="42">
        <v>82.6</v>
      </c>
      <c r="F5774" s="41">
        <f t="shared" ca="1" si="192"/>
        <v>5369</v>
      </c>
    </row>
    <row r="5775" spans="1:10" ht="14.25" customHeight="1" x14ac:dyDescent="0.35">
      <c r="E5775" s="44" t="s">
        <v>13122</v>
      </c>
      <c r="F5775" s="45">
        <f ca="1">SUM(Table325[MONTO TOTAL ESTIMADO])</f>
        <v>86224.81</v>
      </c>
      <c r="H5775" s="24" t="str">
        <f>C5755</f>
        <v>Bienes</v>
      </c>
      <c r="I5775" s="24" t="str">
        <f>E5755</f>
        <v>Sí</v>
      </c>
      <c r="J5775" s="24" t="str">
        <f>D5755</f>
        <v>Compras por debajo del Umbral</v>
      </c>
    </row>
  </sheetData>
  <sheetProtection sheet="1" formatCells="0" insertColumns="0" insertRows="0" insertHyperlinks="0" deleteColumns="0" deleteRows="0" sort="0" autoFilter="0" pivotTables="0"/>
  <protectedRanges>
    <protectedRange sqref="F5:G5" name="Rango3"/>
    <protectedRange sqref="E11:E12" name="Rango2"/>
  </protectedRanges>
  <mergeCells count="654">
    <mergeCell ref="E9:F9"/>
    <mergeCell ref="E8:F8"/>
    <mergeCell ref="E10:F10"/>
    <mergeCell ref="E11:F11"/>
    <mergeCell ref="E12:F12"/>
    <mergeCell ref="A1:A4"/>
    <mergeCell ref="E6:F6"/>
    <mergeCell ref="E7:F7"/>
    <mergeCell ref="B2:E2"/>
    <mergeCell ref="B3:E3"/>
    <mergeCell ref="A17:A20"/>
    <mergeCell ref="D17:D20"/>
    <mergeCell ref="A194:A197"/>
    <mergeCell ref="D194:D197"/>
    <mergeCell ref="A205:A208"/>
    <mergeCell ref="D205:D208"/>
    <mergeCell ref="A218:A221"/>
    <mergeCell ref="D218:D221"/>
    <mergeCell ref="A231:A234"/>
    <mergeCell ref="D231:D234"/>
    <mergeCell ref="A244:A247"/>
    <mergeCell ref="D244:D247"/>
    <mergeCell ref="A255:A258"/>
    <mergeCell ref="D255:D258"/>
    <mergeCell ref="A267:A270"/>
    <mergeCell ref="D267:D270"/>
    <mergeCell ref="A279:A282"/>
    <mergeCell ref="D279:D282"/>
    <mergeCell ref="A291:A294"/>
    <mergeCell ref="D291:D294"/>
    <mergeCell ref="A302:A305"/>
    <mergeCell ref="D302:D305"/>
    <mergeCell ref="A313:A316"/>
    <mergeCell ref="D313:D316"/>
    <mergeCell ref="A325:A328"/>
    <mergeCell ref="D325:D328"/>
    <mergeCell ref="A336:A339"/>
    <mergeCell ref="D336:D339"/>
    <mergeCell ref="A348:A351"/>
    <mergeCell ref="D348:D351"/>
    <mergeCell ref="A359:A362"/>
    <mergeCell ref="D359:D362"/>
    <mergeCell ref="A370:A373"/>
    <mergeCell ref="D370:D373"/>
    <mergeCell ref="A381:A384"/>
    <mergeCell ref="D381:D384"/>
    <mergeCell ref="A392:A395"/>
    <mergeCell ref="D392:D395"/>
    <mergeCell ref="A403:A406"/>
    <mergeCell ref="D403:D406"/>
    <mergeCell ref="A416:A419"/>
    <mergeCell ref="D416:D419"/>
    <mergeCell ref="A432:A435"/>
    <mergeCell ref="D432:D435"/>
    <mergeCell ref="A443:A446"/>
    <mergeCell ref="D443:D446"/>
    <mergeCell ref="A455:A458"/>
    <mergeCell ref="D455:D458"/>
    <mergeCell ref="A466:A469"/>
    <mergeCell ref="D466:D469"/>
    <mergeCell ref="A486:A489"/>
    <mergeCell ref="D486:D489"/>
    <mergeCell ref="A503:A506"/>
    <mergeCell ref="D503:D506"/>
    <mergeCell ref="A517:A520"/>
    <mergeCell ref="D517:D520"/>
    <mergeCell ref="A533:A536"/>
    <mergeCell ref="D533:D536"/>
    <mergeCell ref="A544:A547"/>
    <mergeCell ref="D544:D547"/>
    <mergeCell ref="A555:A558"/>
    <mergeCell ref="D555:D558"/>
    <mergeCell ref="A571:A574"/>
    <mergeCell ref="D571:D574"/>
    <mergeCell ref="A593:A596"/>
    <mergeCell ref="D593:D596"/>
    <mergeCell ref="A617:A620"/>
    <mergeCell ref="D617:D620"/>
    <mergeCell ref="A639:A642"/>
    <mergeCell ref="D639:D642"/>
    <mergeCell ref="A657:A660"/>
    <mergeCell ref="D657:D660"/>
    <mergeCell ref="A668:A671"/>
    <mergeCell ref="D668:D671"/>
    <mergeCell ref="A679:A682"/>
    <mergeCell ref="D679:D682"/>
    <mergeCell ref="A691:A694"/>
    <mergeCell ref="D691:D694"/>
    <mergeCell ref="A703:A706"/>
    <mergeCell ref="D703:D706"/>
    <mergeCell ref="A716:A719"/>
    <mergeCell ref="D716:D719"/>
    <mergeCell ref="A728:A731"/>
    <mergeCell ref="D728:D731"/>
    <mergeCell ref="A739:A742"/>
    <mergeCell ref="D739:D742"/>
    <mergeCell ref="A751:A754"/>
    <mergeCell ref="D751:D754"/>
    <mergeCell ref="A762:A765"/>
    <mergeCell ref="D762:D765"/>
    <mergeCell ref="A774:A777"/>
    <mergeCell ref="D774:D777"/>
    <mergeCell ref="A787:A790"/>
    <mergeCell ref="D787:D790"/>
    <mergeCell ref="A800:A803"/>
    <mergeCell ref="D800:D803"/>
    <mergeCell ref="A811:A814"/>
    <mergeCell ref="D811:D814"/>
    <mergeCell ref="A822:A825"/>
    <mergeCell ref="D822:D825"/>
    <mergeCell ref="A835:A838"/>
    <mergeCell ref="D835:D838"/>
    <mergeCell ref="A846:A849"/>
    <mergeCell ref="D846:D849"/>
    <mergeCell ref="A869:A872"/>
    <mergeCell ref="D869:D872"/>
    <mergeCell ref="A881:A884"/>
    <mergeCell ref="D881:D884"/>
    <mergeCell ref="A897:A900"/>
    <mergeCell ref="D897:D900"/>
    <mergeCell ref="A909:A912"/>
    <mergeCell ref="D909:D912"/>
    <mergeCell ref="A920:A923"/>
    <mergeCell ref="D920:D923"/>
    <mergeCell ref="A933:A936"/>
    <mergeCell ref="D933:D936"/>
    <mergeCell ref="A944:A947"/>
    <mergeCell ref="D944:D947"/>
    <mergeCell ref="A956:A959"/>
    <mergeCell ref="D956:D959"/>
    <mergeCell ref="A978:A981"/>
    <mergeCell ref="D978:D981"/>
    <mergeCell ref="A990:A993"/>
    <mergeCell ref="D990:D993"/>
    <mergeCell ref="A1002:A1005"/>
    <mergeCell ref="D1002:D1005"/>
    <mergeCell ref="A1014:A1017"/>
    <mergeCell ref="D1014:D1017"/>
    <mergeCell ref="A1113:A1116"/>
    <mergeCell ref="D1113:D1116"/>
    <mergeCell ref="A1146:A1149"/>
    <mergeCell ref="D1146:D1149"/>
    <mergeCell ref="A1171:A1174"/>
    <mergeCell ref="D1171:D1174"/>
    <mergeCell ref="A1182:A1185"/>
    <mergeCell ref="D1182:D1185"/>
    <mergeCell ref="A1201:A1204"/>
    <mergeCell ref="D1201:D1204"/>
    <mergeCell ref="A1214:A1217"/>
    <mergeCell ref="D1214:D1217"/>
    <mergeCell ref="A1227:A1230"/>
    <mergeCell ref="D1227:D1230"/>
    <mergeCell ref="A1240:A1243"/>
    <mergeCell ref="D1240:D1243"/>
    <mergeCell ref="A1252:A1255"/>
    <mergeCell ref="D1252:D1255"/>
    <mergeCell ref="A1264:A1267"/>
    <mergeCell ref="D1264:D1267"/>
    <mergeCell ref="A1275:A1278"/>
    <mergeCell ref="D1275:D1278"/>
    <mergeCell ref="A1286:A1289"/>
    <mergeCell ref="D1286:D1289"/>
    <mergeCell ref="A1299:A1302"/>
    <mergeCell ref="D1299:D1302"/>
    <mergeCell ref="A1313:A1316"/>
    <mergeCell ref="D1313:D1316"/>
    <mergeCell ref="A1332:A1335"/>
    <mergeCell ref="D1332:D1335"/>
    <mergeCell ref="A1353:A1356"/>
    <mergeCell ref="D1353:D1356"/>
    <mergeCell ref="A1366:A1369"/>
    <mergeCell ref="D1366:D1369"/>
    <mergeCell ref="A1381:A1384"/>
    <mergeCell ref="D1381:D1384"/>
    <mergeCell ref="A1393:A1396"/>
    <mergeCell ref="D1393:D1396"/>
    <mergeCell ref="A1404:A1407"/>
    <mergeCell ref="D1404:D1407"/>
    <mergeCell ref="A1430:A1433"/>
    <mergeCell ref="D1430:D1433"/>
    <mergeCell ref="A1451:A1454"/>
    <mergeCell ref="D1451:D1454"/>
    <mergeCell ref="A1462:A1465"/>
    <mergeCell ref="D1462:D1465"/>
    <mergeCell ref="A1473:A1476"/>
    <mergeCell ref="D1473:D1476"/>
    <mergeCell ref="A1486:A1489"/>
    <mergeCell ref="D1486:D1489"/>
    <mergeCell ref="A1499:A1502"/>
    <mergeCell ref="D1499:D1502"/>
    <mergeCell ref="A1572:A1575"/>
    <mergeCell ref="D1572:D1575"/>
    <mergeCell ref="A1634:A1637"/>
    <mergeCell ref="D1634:D1637"/>
    <mergeCell ref="A1692:A1695"/>
    <mergeCell ref="D1692:D1695"/>
    <mergeCell ref="A1750:A1753"/>
    <mergeCell ref="D1750:D1753"/>
    <mergeCell ref="A1764:A1767"/>
    <mergeCell ref="D1764:D1767"/>
    <mergeCell ref="A1776:A1779"/>
    <mergeCell ref="D1776:D1779"/>
    <mergeCell ref="A1830:A1833"/>
    <mergeCell ref="D1830:D1833"/>
    <mergeCell ref="A1877:A1880"/>
    <mergeCell ref="D1877:D1880"/>
    <mergeCell ref="A1891:A1894"/>
    <mergeCell ref="D1891:D1894"/>
    <mergeCell ref="A1902:A1905"/>
    <mergeCell ref="D1902:D1905"/>
    <mergeCell ref="A1916:A1919"/>
    <mergeCell ref="D1916:D1919"/>
    <mergeCell ref="A1927:A1930"/>
    <mergeCell ref="D1927:D1930"/>
    <mergeCell ref="A1957:A1960"/>
    <mergeCell ref="D1957:D1960"/>
    <mergeCell ref="A1973:A1976"/>
    <mergeCell ref="D1973:D1976"/>
    <mergeCell ref="A1989:A1992"/>
    <mergeCell ref="D1989:D1992"/>
    <mergeCell ref="A2004:A2007"/>
    <mergeCell ref="D2004:D2007"/>
    <mergeCell ref="A2040:A2043"/>
    <mergeCell ref="D2040:D2043"/>
    <mergeCell ref="A2056:A2059"/>
    <mergeCell ref="D2056:D2059"/>
    <mergeCell ref="A2068:A2071"/>
    <mergeCell ref="D2068:D2071"/>
    <mergeCell ref="A2082:A2085"/>
    <mergeCell ref="D2082:D2085"/>
    <mergeCell ref="A2097:A2100"/>
    <mergeCell ref="D2097:D2100"/>
    <mergeCell ref="A2111:A2114"/>
    <mergeCell ref="D2111:D2114"/>
    <mergeCell ref="A2125:A2128"/>
    <mergeCell ref="D2125:D2128"/>
    <mergeCell ref="A2145:A2148"/>
    <mergeCell ref="D2145:D2148"/>
    <mergeCell ref="A2158:A2161"/>
    <mergeCell ref="D2158:D2161"/>
    <mergeCell ref="A2169:A2172"/>
    <mergeCell ref="D2169:D2172"/>
    <mergeCell ref="A2180:A2183"/>
    <mergeCell ref="D2180:D2183"/>
    <mergeCell ref="A2191:A2194"/>
    <mergeCell ref="D2191:D2194"/>
    <mergeCell ref="A2211:A2214"/>
    <mergeCell ref="D2211:D2214"/>
    <mergeCell ref="A2224:A2227"/>
    <mergeCell ref="D2224:D2227"/>
    <mergeCell ref="A2236:A2239"/>
    <mergeCell ref="D2236:D2239"/>
    <mergeCell ref="A2247:A2250"/>
    <mergeCell ref="D2247:D2250"/>
    <mergeCell ref="A2259:A2262"/>
    <mergeCell ref="D2259:D2262"/>
    <mergeCell ref="A2274:A2277"/>
    <mergeCell ref="D2274:D2277"/>
    <mergeCell ref="A2301:A2304"/>
    <mergeCell ref="D2301:D2304"/>
    <mergeCell ref="A2316:A2319"/>
    <mergeCell ref="D2316:D2319"/>
    <mergeCell ref="A2333:A2336"/>
    <mergeCell ref="D2333:D2336"/>
    <mergeCell ref="A2636:A2639"/>
    <mergeCell ref="D2636:D2639"/>
    <mergeCell ref="A2648:A2651"/>
    <mergeCell ref="D2648:D2651"/>
    <mergeCell ref="A2670:A2673"/>
    <mergeCell ref="D2670:D2673"/>
    <mergeCell ref="A2724:A2727"/>
    <mergeCell ref="D2724:D2727"/>
    <mergeCell ref="A2802:A2805"/>
    <mergeCell ref="D2802:D2805"/>
    <mergeCell ref="A2868:A2871"/>
    <mergeCell ref="D2868:D2871"/>
    <mergeCell ref="A2924:A2927"/>
    <mergeCell ref="D2924:D2927"/>
    <mergeCell ref="A2938:A2941"/>
    <mergeCell ref="D2938:D2941"/>
    <mergeCell ref="A2951:A2954"/>
    <mergeCell ref="D2951:D2954"/>
    <mergeCell ref="A2964:A2967"/>
    <mergeCell ref="D2964:D2967"/>
    <mergeCell ref="A2976:A2979"/>
    <mergeCell ref="D2976:D2979"/>
    <mergeCell ref="A2987:A2990"/>
    <mergeCell ref="D2987:D2990"/>
    <mergeCell ref="A2998:A3001"/>
    <mergeCell ref="D2998:D3001"/>
    <mergeCell ref="A3009:A3012"/>
    <mergeCell ref="D3009:D3012"/>
    <mergeCell ref="A3020:A3023"/>
    <mergeCell ref="D3020:D3023"/>
    <mergeCell ref="A3031:A3034"/>
    <mergeCell ref="D3031:D3034"/>
    <mergeCell ref="A3042:A3045"/>
    <mergeCell ref="D3042:D3045"/>
    <mergeCell ref="A3053:A3056"/>
    <mergeCell ref="D3053:D3056"/>
    <mergeCell ref="A3064:A3067"/>
    <mergeCell ref="D3064:D3067"/>
    <mergeCell ref="A3075:A3078"/>
    <mergeCell ref="D3075:D3078"/>
    <mergeCell ref="A3086:A3089"/>
    <mergeCell ref="D3086:D3089"/>
    <mergeCell ref="A3099:A3102"/>
    <mergeCell ref="D3099:D3102"/>
    <mergeCell ref="A3110:A3113"/>
    <mergeCell ref="D3110:D3113"/>
    <mergeCell ref="A3123:A3126"/>
    <mergeCell ref="D3123:D3126"/>
    <mergeCell ref="A3134:A3137"/>
    <mergeCell ref="D3134:D3137"/>
    <mergeCell ref="A3145:A3148"/>
    <mergeCell ref="D3145:D3148"/>
    <mergeCell ref="A3156:A3159"/>
    <mergeCell ref="D3156:D3159"/>
    <mergeCell ref="A3167:A3170"/>
    <mergeCell ref="D3167:D3170"/>
    <mergeCell ref="A3178:A3181"/>
    <mergeCell ref="D3178:D3181"/>
    <mergeCell ref="A3189:A3192"/>
    <mergeCell ref="D3189:D3192"/>
    <mergeCell ref="A3200:A3203"/>
    <mergeCell ref="D3200:D3203"/>
    <mergeCell ref="A3211:A3214"/>
    <mergeCell ref="D3211:D3214"/>
    <mergeCell ref="A3222:A3225"/>
    <mergeCell ref="D3222:D3225"/>
    <mergeCell ref="A3233:A3236"/>
    <mergeCell ref="D3233:D3236"/>
    <mergeCell ref="A3244:A3247"/>
    <mergeCell ref="D3244:D3247"/>
    <mergeCell ref="A3255:A3258"/>
    <mergeCell ref="D3255:D3258"/>
    <mergeCell ref="A3280:A3283"/>
    <mergeCell ref="D3280:D3283"/>
    <mergeCell ref="A3291:A3294"/>
    <mergeCell ref="D3291:D3294"/>
    <mergeCell ref="A3376:A3379"/>
    <mergeCell ref="D3376:D3379"/>
    <mergeCell ref="A3397:A3400"/>
    <mergeCell ref="D3397:D3400"/>
    <mergeCell ref="A3408:A3411"/>
    <mergeCell ref="D3408:D3411"/>
    <mergeCell ref="A3419:A3422"/>
    <mergeCell ref="D3419:D3422"/>
    <mergeCell ref="A3430:A3433"/>
    <mergeCell ref="D3430:D3433"/>
    <mergeCell ref="A3441:A3444"/>
    <mergeCell ref="D3441:D3444"/>
    <mergeCell ref="A3452:A3455"/>
    <mergeCell ref="D3452:D3455"/>
    <mergeCell ref="A3463:A3466"/>
    <mergeCell ref="D3463:D3466"/>
    <mergeCell ref="A3474:A3477"/>
    <mergeCell ref="D3474:D3477"/>
    <mergeCell ref="A3486:A3489"/>
    <mergeCell ref="D3486:D3489"/>
    <mergeCell ref="A3501:A3504"/>
    <mergeCell ref="D3501:D3504"/>
    <mergeCell ref="A3512:A3515"/>
    <mergeCell ref="D3512:D3515"/>
    <mergeCell ref="A3523:A3526"/>
    <mergeCell ref="D3523:D3526"/>
    <mergeCell ref="A3536:A3539"/>
    <mergeCell ref="D3536:D3539"/>
    <mergeCell ref="A3548:A3551"/>
    <mergeCell ref="D3548:D3551"/>
    <mergeCell ref="A3559:A3562"/>
    <mergeCell ref="D3559:D3562"/>
    <mergeCell ref="A3570:A3573"/>
    <mergeCell ref="D3570:D3573"/>
    <mergeCell ref="A3581:A3584"/>
    <mergeCell ref="D3581:D3584"/>
    <mergeCell ref="A3592:A3595"/>
    <mergeCell ref="D3592:D3595"/>
    <mergeCell ref="A3604:A3607"/>
    <mergeCell ref="D3604:D3607"/>
    <mergeCell ref="A3615:A3618"/>
    <mergeCell ref="D3615:D3618"/>
    <mergeCell ref="A3631:A3634"/>
    <mergeCell ref="D3631:D3634"/>
    <mergeCell ref="A3643:A3646"/>
    <mergeCell ref="D3643:D3646"/>
    <mergeCell ref="A3654:A3657"/>
    <mergeCell ref="D3654:D3657"/>
    <mergeCell ref="A3666:A3669"/>
    <mergeCell ref="D3666:D3669"/>
    <mergeCell ref="A3677:A3680"/>
    <mergeCell ref="D3677:D3680"/>
    <mergeCell ref="A3689:A3692"/>
    <mergeCell ref="D3689:D3692"/>
    <mergeCell ref="A3703:A3706"/>
    <mergeCell ref="D3703:D3706"/>
    <mergeCell ref="A3714:A3717"/>
    <mergeCell ref="D3714:D3717"/>
    <mergeCell ref="A3725:A3728"/>
    <mergeCell ref="D3725:D3728"/>
    <mergeCell ref="A3736:A3739"/>
    <mergeCell ref="D3736:D3739"/>
    <mergeCell ref="A3755:A3758"/>
    <mergeCell ref="D3755:D3758"/>
    <mergeCell ref="A3779:A3782"/>
    <mergeCell ref="D3779:D3782"/>
    <mergeCell ref="A3800:A3803"/>
    <mergeCell ref="D3800:D3803"/>
    <mergeCell ref="A3816:A3819"/>
    <mergeCell ref="D3816:D3819"/>
    <mergeCell ref="A3828:A3831"/>
    <mergeCell ref="D3828:D3831"/>
    <mergeCell ref="A3841:A3844"/>
    <mergeCell ref="D3841:D3844"/>
    <mergeCell ref="A3864:A3867"/>
    <mergeCell ref="D3864:D3867"/>
    <mergeCell ref="A3895:A3898"/>
    <mergeCell ref="D3895:D3898"/>
    <mergeCell ref="A3917:A3920"/>
    <mergeCell ref="D3917:D3920"/>
    <mergeCell ref="A3936:A3939"/>
    <mergeCell ref="D3936:D3939"/>
    <mergeCell ref="A3949:A3952"/>
    <mergeCell ref="D3949:D3952"/>
    <mergeCell ref="A4005:A4008"/>
    <mergeCell ref="D4005:D4008"/>
    <mergeCell ref="A4044:A4047"/>
    <mergeCell ref="D4044:D4047"/>
    <mergeCell ref="A4072:A4075"/>
    <mergeCell ref="D4072:D4075"/>
    <mergeCell ref="A4097:A4100"/>
    <mergeCell ref="D4097:D4100"/>
    <mergeCell ref="A4111:A4114"/>
    <mergeCell ref="D4111:D4114"/>
    <mergeCell ref="A4124:A4127"/>
    <mergeCell ref="D4124:D4127"/>
    <mergeCell ref="A4135:A4138"/>
    <mergeCell ref="D4135:D4138"/>
    <mergeCell ref="A4146:A4149"/>
    <mergeCell ref="D4146:D4149"/>
    <mergeCell ref="A4206:A4209"/>
    <mergeCell ref="D4206:D4209"/>
    <mergeCell ref="A4218:A4221"/>
    <mergeCell ref="D4218:D4221"/>
    <mergeCell ref="A4230:A4233"/>
    <mergeCell ref="D4230:D4233"/>
    <mergeCell ref="A4241:A4244"/>
    <mergeCell ref="D4241:D4244"/>
    <mergeCell ref="A4252:A4255"/>
    <mergeCell ref="D4252:D4255"/>
    <mergeCell ref="A4264:A4267"/>
    <mergeCell ref="D4264:D4267"/>
    <mergeCell ref="A4275:A4278"/>
    <mergeCell ref="D4275:D4278"/>
    <mergeCell ref="A4286:A4289"/>
    <mergeCell ref="D4286:D4289"/>
    <mergeCell ref="A4297:A4300"/>
    <mergeCell ref="D4297:D4300"/>
    <mergeCell ref="A4308:A4311"/>
    <mergeCell ref="D4308:D4311"/>
    <mergeCell ref="A4332:A4335"/>
    <mergeCell ref="D4332:D4335"/>
    <mergeCell ref="A4352:A4355"/>
    <mergeCell ref="D4352:D4355"/>
    <mergeCell ref="A4363:A4366"/>
    <mergeCell ref="D4363:D4366"/>
    <mergeCell ref="A4374:A4377"/>
    <mergeCell ref="D4374:D4377"/>
    <mergeCell ref="A4387:A4390"/>
    <mergeCell ref="D4387:D4390"/>
    <mergeCell ref="A4398:A4401"/>
    <mergeCell ref="D4398:D4401"/>
    <mergeCell ref="A4409:A4412"/>
    <mergeCell ref="D4409:D4412"/>
    <mergeCell ref="A4421:A4424"/>
    <mergeCell ref="D4421:D4424"/>
    <mergeCell ref="A4433:A4436"/>
    <mergeCell ref="D4433:D4436"/>
    <mergeCell ref="A4444:A4447"/>
    <mergeCell ref="D4444:D4447"/>
    <mergeCell ref="A4455:A4458"/>
    <mergeCell ref="D4455:D4458"/>
    <mergeCell ref="A4470:A4473"/>
    <mergeCell ref="D4470:D4473"/>
    <mergeCell ref="A4485:A4488"/>
    <mergeCell ref="D4485:D4488"/>
    <mergeCell ref="A4496:A4499"/>
    <mergeCell ref="D4496:D4499"/>
    <mergeCell ref="A4507:A4510"/>
    <mergeCell ref="D4507:D4510"/>
    <mergeCell ref="A4518:A4521"/>
    <mergeCell ref="D4518:D4521"/>
    <mergeCell ref="A4529:A4532"/>
    <mergeCell ref="D4529:D4532"/>
    <mergeCell ref="A4540:A4543"/>
    <mergeCell ref="D4540:D4543"/>
    <mergeCell ref="A4551:A4554"/>
    <mergeCell ref="D4551:D4554"/>
    <mergeCell ref="A4566:A4569"/>
    <mergeCell ref="D4566:D4569"/>
    <mergeCell ref="A4577:A4580"/>
    <mergeCell ref="D4577:D4580"/>
    <mergeCell ref="A4589:A4592"/>
    <mergeCell ref="D4589:D4592"/>
    <mergeCell ref="A4601:A4604"/>
    <mergeCell ref="D4601:D4604"/>
    <mergeCell ref="A4612:A4615"/>
    <mergeCell ref="D4612:D4615"/>
    <mergeCell ref="A4623:A4626"/>
    <mergeCell ref="D4623:D4626"/>
    <mergeCell ref="A4636:A4639"/>
    <mergeCell ref="D4636:D4639"/>
    <mergeCell ref="A4660:A4663"/>
    <mergeCell ref="D4660:D4663"/>
    <mergeCell ref="A4671:A4674"/>
    <mergeCell ref="D4671:D4674"/>
    <mergeCell ref="A4682:A4685"/>
    <mergeCell ref="D4682:D4685"/>
    <mergeCell ref="A4694:A4697"/>
    <mergeCell ref="D4694:D4697"/>
    <mergeCell ref="A4705:A4708"/>
    <mergeCell ref="D4705:D4708"/>
    <mergeCell ref="A4717:A4720"/>
    <mergeCell ref="D4717:D4720"/>
    <mergeCell ref="A4730:A4733"/>
    <mergeCell ref="D4730:D4733"/>
    <mergeCell ref="A4743:A4746"/>
    <mergeCell ref="D4743:D4746"/>
    <mergeCell ref="A4755:A4758"/>
    <mergeCell ref="D4755:D4758"/>
    <mergeCell ref="A4766:A4769"/>
    <mergeCell ref="D4766:D4769"/>
    <mergeCell ref="A4789:A4792"/>
    <mergeCell ref="D4789:D4792"/>
    <mergeCell ref="A4800:A4803"/>
    <mergeCell ref="D4800:D4803"/>
    <mergeCell ref="A4811:A4814"/>
    <mergeCell ref="D4811:D4814"/>
    <mergeCell ref="A4823:A4826"/>
    <mergeCell ref="D4823:D4826"/>
    <mergeCell ref="A4843:A4846"/>
    <mergeCell ref="D4843:D4846"/>
    <mergeCell ref="A4869:A4872"/>
    <mergeCell ref="D4869:D4872"/>
    <mergeCell ref="A4892:A4895"/>
    <mergeCell ref="D4892:D4895"/>
    <mergeCell ref="A4915:A4918"/>
    <mergeCell ref="D4915:D4918"/>
    <mergeCell ref="A4928:A4931"/>
    <mergeCell ref="D4928:D4931"/>
    <mergeCell ref="A4942:A4945"/>
    <mergeCell ref="D4942:D4945"/>
    <mergeCell ref="A4954:A4957"/>
    <mergeCell ref="D4954:D4957"/>
    <mergeCell ref="A4966:A4969"/>
    <mergeCell ref="D4966:D4969"/>
    <mergeCell ref="A4977:A4980"/>
    <mergeCell ref="D4977:D4980"/>
    <mergeCell ref="A4993:A4996"/>
    <mergeCell ref="D4993:D4996"/>
    <mergeCell ref="A5009:A5012"/>
    <mergeCell ref="D5009:D5012"/>
    <mergeCell ref="A5024:A5027"/>
    <mergeCell ref="D5024:D5027"/>
    <mergeCell ref="A5037:A5040"/>
    <mergeCell ref="D5037:D5040"/>
    <mergeCell ref="A5053:A5056"/>
    <mergeCell ref="D5053:D5056"/>
    <mergeCell ref="A5065:A5068"/>
    <mergeCell ref="D5065:D5068"/>
    <mergeCell ref="A5077:A5080"/>
    <mergeCell ref="D5077:D5080"/>
    <mergeCell ref="A5093:A5096"/>
    <mergeCell ref="D5093:D5096"/>
    <mergeCell ref="A5107:A5110"/>
    <mergeCell ref="D5107:D5110"/>
    <mergeCell ref="A5120:A5123"/>
    <mergeCell ref="D5120:D5123"/>
    <mergeCell ref="A5131:A5134"/>
    <mergeCell ref="D5131:D5134"/>
    <mergeCell ref="A5142:A5145"/>
    <mergeCell ref="D5142:D5145"/>
    <mergeCell ref="A5155:A5158"/>
    <mergeCell ref="D5155:D5158"/>
    <mergeCell ref="A5166:A5169"/>
    <mergeCell ref="D5166:D5169"/>
    <mergeCell ref="A5177:A5180"/>
    <mergeCell ref="D5177:D5180"/>
    <mergeCell ref="A5188:A5191"/>
    <mergeCell ref="D5188:D5191"/>
    <mergeCell ref="A5199:A5202"/>
    <mergeCell ref="D5199:D5202"/>
    <mergeCell ref="A5211:A5214"/>
    <mergeCell ref="D5211:D5214"/>
    <mergeCell ref="A5223:A5226"/>
    <mergeCell ref="D5223:D5226"/>
    <mergeCell ref="A5235:A5238"/>
    <mergeCell ref="D5235:D5238"/>
    <mergeCell ref="A5247:A5250"/>
    <mergeCell ref="D5247:D5250"/>
    <mergeCell ref="A5278:A5281"/>
    <mergeCell ref="D5278:D5281"/>
    <mergeCell ref="A5305:A5308"/>
    <mergeCell ref="D5305:D5308"/>
    <mergeCell ref="A5335:A5338"/>
    <mergeCell ref="D5335:D5338"/>
    <mergeCell ref="A5361:A5364"/>
    <mergeCell ref="D5361:D5364"/>
    <mergeCell ref="A5374:A5377"/>
    <mergeCell ref="D5374:D5377"/>
    <mergeCell ref="A5392:A5395"/>
    <mergeCell ref="D5392:D5395"/>
    <mergeCell ref="A5406:A5409"/>
    <mergeCell ref="D5406:D5409"/>
    <mergeCell ref="A5418:A5421"/>
    <mergeCell ref="D5418:D5421"/>
    <mergeCell ref="A5430:A5433"/>
    <mergeCell ref="D5430:D5433"/>
    <mergeCell ref="A5443:A5446"/>
    <mergeCell ref="D5443:D5446"/>
    <mergeCell ref="A5490:A5493"/>
    <mergeCell ref="D5490:D5493"/>
    <mergeCell ref="A5504:A5507"/>
    <mergeCell ref="D5504:D5507"/>
    <mergeCell ref="A5524:A5527"/>
    <mergeCell ref="D5524:D5527"/>
    <mergeCell ref="A5539:A5542"/>
    <mergeCell ref="D5539:D5542"/>
    <mergeCell ref="A5555:A5558"/>
    <mergeCell ref="D5555:D5558"/>
    <mergeCell ref="A5569:A5572"/>
    <mergeCell ref="D5569:D5572"/>
    <mergeCell ref="A5582:A5585"/>
    <mergeCell ref="D5582:D5585"/>
    <mergeCell ref="A5594:A5597"/>
    <mergeCell ref="D5594:D5597"/>
    <mergeCell ref="A5605:A5608"/>
    <mergeCell ref="D5605:D5608"/>
    <mergeCell ref="A5616:A5619"/>
    <mergeCell ref="D5616:D5619"/>
    <mergeCell ref="A5722:A5725"/>
    <mergeCell ref="D5722:D5725"/>
    <mergeCell ref="A5756:A5759"/>
    <mergeCell ref="D5756:D5759"/>
    <mergeCell ref="A5629:A5632"/>
    <mergeCell ref="D5629:D5632"/>
    <mergeCell ref="A5640:A5643"/>
    <mergeCell ref="D5640:D5643"/>
    <mergeCell ref="A5651:A5654"/>
    <mergeCell ref="D5651:D5654"/>
    <mergeCell ref="A5662:A5665"/>
    <mergeCell ref="D5662:D5665"/>
    <mergeCell ref="A5691:A5694"/>
    <mergeCell ref="D5691:D5694"/>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5756 C5722 C5691 C5662 C5651 C5640 C5629 C5616 C5605 C5594 C5582 C5569 C5555 C5539 C5524 C5504 C5490 C5443 C5430 C5418 C5406 C5392 C5374 C5361 C5335 C5305 C5278 C5247 C5235 C5223 C5211 C5199 C5188 C5177 C5166 C5155 C5142 C5131 C5120 C5107 C5093 C5077 C5065 C5053 C5037 C5024 C5009 C4993 C4977 C4966 C4954 C4942 C4928 C4915 C4892 C4869 C4843 C4823 C4811 C4800 C4789 C4766 C4755 C4743 C4730 C4717 C4705 C4694 C4682 C4671 C4660 C4636 C4623 C4612 C4601 C4589 C4577 C4566 C4551 C4540 C4529 C4518 C4507 C4496 C4485 C4470 C4455 C4444 C4433 C4421 C4409 C4398 C4387 C4374 C4363 C4352 C4332 C4308 C4297 C4286 C4275 C4264 C4252 C4241 C4230 C4218 C4206 C4146 C4135 C4124 C4111 C4097 C4072 C4044 C4005 C3949 C3936 C3917 C3895 C3864 C3841 C3828 C3816 C3800 C3779 C3755 C3736 C3725 C3714 C3703 C3689 C3677 C3666 C3654 C3643 C3631 C3615 C3604 C3592 C3581 C3570 C3559 C3548 C3536 C3523 C3512 C3501 C3486 C3474 C3463 C3452 C3441 C3430 C3419 C3408 C3397 C3376 C3291 C3280 C3255 C3244 C3233 C3222 C3211 C3200 C3189 C3178 C3167 C3156 C3145 C3134 C3123 C3110 C3099 C3086 C3075 C3064 C3053 C3042 C3031 C3020 C3009 C2998 C2987 C2976 C2964 C2951 C2938 C2924 C2868 C2802 C2724 C2670 C2648 C2636 C2333 C2316 C2301 C2274 C2259 C2247 C2236 C2224 C2211 C2191 C2180 C2169 C2158 C2145 C2125 C2111 C2097 C2082 C2068 C2056 C2040 C2004 C1989 C1973 C1957 C1927 C1916 C1902 C1891 C1877 C1830 C1776 C1764 C1750 C1692 C1634 C1572 C1499 C1486 C1473 C1462 C1451 C1430 C1404 C1393 C1381 C1366 C1353 C1332 C1313 C1299 C1286 C1275 C1264 C1252 C1240 C1227 C1214 C1201 C1182 C1171 C1146 C1113 C1014 C1002 C990 C978 C956 C944 C933 C920 C909 C897 C881 C869 C846 C835 C822 C811 C800 C787 C774 C762 C751 C739 C728 C716 C703 C691 C679 C668 C657 C639 C617 C593 C571 C555 C544 C533 C517 C503 C486 C466 C455 C443 C432 C416 C403 C392 C381 C370 C359 C348 C336 C325 C313 C302 C291 C279 C267 C255 C244 C231 C218 C205 C194" xr:uid="{00000000-0002-0000-0100-000006000000}">
      <formula1>C19</formula1>
    </dataValidation>
    <dataValidation type="date" operator="greaterThanOrEqual" allowBlank="1" showInputMessage="1" showErrorMessage="1" sqref="C19 C5758 C5724 C5693 C5664 C5653 C5642 C5631 C5618 C5607 C5596 C5584 C5571 C5557 C5541 C5526 C5506 C5492 C5445 C5432 C5420 C5408 C5394 C5376 C5363 C5337 C5307 C5280 C5249 C5237 C5225 C5213 C5201 C5190 C5179 C5168 C5157 C5144 C5133 C5122 C5109 C5095 C5079 C5067 C5055 C5039 C5026 C5011 C4995 C4979 C4968 C4956 C4944 C4930 C4917 C4894 C4871 C4845 C4825 C4813 C4802 C4791 C4768 C4757 C4745 C4732 C4719 C4707 C4696 C4684 C4673 C4662 C4638 C4625 C4614 C4603 C4591 C4579 C4568 C4553 C4542 C4531 C4520 C4509 C4498 C4487 C4472 C4457 C4446 C4435 C4423 C4411 C4400 C4389 C4376 C4365 C4354 C4334 C4310 C4299 C4288 C4277 C4266 C4254 C4243 C4232 C4220 C4208 C4148 C4137 C4126 C4113 C4099 C4074 C4046 C4007 C3951 C3938 C3919 C3897 C3866 C3843 C3830 C3818 C3802 C3781 C3757 C3738 C3727 C3716 C3705 C3691 C3679 C3668 C3656 C3645 C3633 C3617 C3606 C3594 C3583 C3572 C3561 C3550 C3538 C3525 C3514 C3503 C3488 C3476 C3465 C3454 C3443 C3432 C3421 C3410 C3399 C3378 C3293 C3282 C3257 C3246 C3235 C3224 C3213 C3202 C3191 C3180 C3169 C3158 C3147 C3136 C3125 C3112 C3101 C3088 C3077 C3066 C3055 C3044 C3033 C3022 C3011 C3000 C2989 C2978 C2966 C2953 C2940 C2926 C2870 C2804 C2726 C2672 C2650 C2638 C2335 C2318 C2303 C2276 C2261 C2249 C2238 C2226 C2213 C2193 C2182 C2171 C2160 C2147 C2127 C2113 C2099 C2084 C2070 C2058 C2042 C2006 C1991 C1975 C1959 C1929 C1918 C1904 C1893 C1879 C1832 C1778 C1766 C1752 C1694 C1636 C1574 C1501 C1488 C1475 C1464 C1453 C1432 C1406 C1395 C1383 C1368 C1355 C1334 C1315 C1301 C1288 C1277 C1266 C1254 C1242 C1229 C1216 C1203 C1184 C1173 C1148 C1115 C1016 C1004 C992 C980 C958 C946 C935 C922 C911 C899 C883 C871 C848 C837 C824 C813 C802 C789 C776 C764 C753 C741 C730 C718 C705 C693 C681 C670 C659 C641 C619 C595 C573 C557 C546 C535 C519 C505 C488 C468 C457 C445 C434 C418 C405 C394 C383 C372 C361 C350 C338 C327 C315 C304 C293 C281 C269 C257 C246 C233 C220 C207 C196" xr:uid="{00000000-0002-0000-0100-000007000000}">
      <formula1>C17</formula1>
    </dataValidation>
    <dataValidation type="list" allowBlank="1" showInputMessage="1" showErrorMessage="1" sqref="F17 F5756 F5722 F5691 F5662 F5651 F5640 F5629 F5616 F5605 F5594 F5582 F5569 F5555 F5539 F5524 F5504 F5490 F5443 F5430 F5418 F5406 F5392 F5374 F5361 F5335 F5305 F5278 F5247 F5235 F5223 F5211 F5199 F5188 F5177 F5166 F5155 F5142 F5131 F5120 F5107 F5093 F5077 F5065 F5053 F5037 F5024 F5009 F4993 F4977 F4966 F4954 F4942 F4928 F4915 F4892 F4869 F4843 F4823 F4811 F4800 F4789 F4766 F4755 F4743 F4730 F4717 F4705 F4694 F4682 F4671 F4660 F4636 F4623 F4612 F4601 F4589 F4577 F4566 F4551 F4540 F4529 F4518 F4507 F4496 F4485 F4470 F4455 F4444 F4433 F4421 F4409 F4398 F4387 F4374 F4363 F4352 F4332 F4308 F4297 F4286 F4275 F4264 F4252 F4241 F4230 F4218 F4206 F4146 F4135 F4124 F4111 F4097 F4072 F4044 F4005 F3949 F3936 F3917 F3895 F3864 F3841 F3828 F3816 F3800 F3779 F3755 F3736 F3725 F3714 F3703 F3689 F3677 F3666 F3654 F3643 F3631 F3615 F3604 F3592 F3581 F3570 F3559 F3548 F3536 F3523 F3512 F3501 F3486 F3474 F3463 F3452 F3441 F3430 F3419 F3408 F3397 F3376 F3291 F3280 F3255 F3244 F3233 F3222 F3211 F3200 F3189 F3178 F3167 F3156 F3145 F3134 F3123 F3110 F3099 F3086 F3075 F3064 F3053 F3042 F3031 F3020 F3009 F2998 F2987 F2976 F2964 F2951 F2938 F2924 F2868 F2802 F2724 F2670 F2648 F2636 F2333 F2316 F2301 F2274 F2259 F2247 F2236 F2224 F2211 F2191 F2180 F2169 F2158 F2145 F2125 F2111 F2097 F2082 F2068 F2056 F2040 F2004 F1989 F1973 F1957 F1927 F1916 F1902 F1891 F1877 F1830 F1776 F1764 F1750 F1692 F1634 F1572 F1499 F1486 F1473 F1462 F1451 F1430 F1404 F1393 F1381 F1366 F1353 F1332 F1313 F1299 F1286 F1275 F1264 F1252 F1240 F1227 F1214 F1201 F1182 F1171 F1146 F1113 F1014 F1002 F990 F978 F956 F944 F933 F920 F909 F897 F881 F869 F846 F835 F822 F811 F800 F787 F774 F762 F751 F739 F728 F716 F703 F691 F679 F668 F657 F639 F617 F593 F571 F555 F544 F533 F517 F503 F486 F466 F455 F443 F432 F416 F403 F392 F381 F370 F359 F348 F336 F325 F313 F302 F291 F279 F267 F255 F244 F231 F218 F205 F194" xr:uid="{00000000-0002-0000-0100-000008000000}">
      <formula1>IF(INDIRECT(ADDRESS(ROW()+1,COLUMN(),4))="",RegionList,INDEX(RegionColumn,MATCH(INDIRECT(ADDRESS(ROW()+1,COLUMN(),4)),ProvinciaList,0)))</formula1>
    </dataValidation>
    <dataValidation type="list" allowBlank="1" showInputMessage="1" showErrorMessage="1" sqref="F18 F5757 F5723 F5692 F5663 F5652 F5641 F5630 F5617 F5606 F5595 F5583 F5570 F5556 F5540 F5525 F5505 F5491 F5444 F5431 F5419 F5407 F5393 F5375 F5362 F5336 F5306 F5279 F5248 F5236 F5224 F5212 F5200 F5189 F5178 F5167 F5156 F5143 F5132 F5121 F5108 F5094 F5078 F5066 F5054 F5038 F5025 F5010 F4994 F4978 F4967 F4955 F4943 F4929 F4916 F4893 F4870 F4844 F4824 F4812 F4801 F4790 F4767 F4756 F4744 F4731 F4718 F4706 F4695 F4683 F4672 F4661 F4637 F4624 F4613 F4602 F4590 F4578 F4567 F4552 F4541 F4530 F4519 F4508 F4497 F4486 F4471 F4456 F4445 F4434 F4422 F4410 F4399 F4388 F4375 F4364 F4353 F4333 F4309 F4298 F4287 F4276 F4265 F4253 F4242 F4231 F4219 F4207 F4147 F4136 F4125 F4112 F4098 F4073 F4045 F4006 F3950 F3937 F3918 F3896 F3865 F3842 F3829 F3817 F3801 F3780 F3756 F3737 F3726 F3715 F3704 F3690 F3678 F3667 F3655 F3644 F3632 F3616 F3605 F3593 F3582 F3571 F3560 F3549 F3537 F3524 F3513 F3502 F3487 F3475 F3464 F3453 F3442 F3431 F3420 F3409 F3398 F3377 F3292 F3281 F3256 F3245 F3234 F3223 F3212 F3201 F3190 F3179 F3168 F3157 F3146 F3135 F3124 F3111 F3100 F3087 F3076 F3065 F3054 F3043 F3032 F3021 F3010 F2999 F2988 F2977 F2965 F2952 F2939 F2925 F2869 F2803 F2725 F2671 F2649 F2637 F2334 F2317 F2302 F2275 F2260 F2248 F2237 F2225 F2212 F2192 F2181 F2170 F2159 F2146 F2126 F2112 F2098 F2083 F2069 F2057 F2041 F2005 F1990 F1974 F1958 F1928 F1917 F1903 F1892 F1878 F1831 F1777 F1765 F1751 F1693 F1635 F1573 F1500 F1487 F1474 F1463 F1452 F1431 F1405 F1394 F1382 F1367 F1354 F1333 F1314 F1300 F1287 F1276 F1265 F1253 F1241 F1228 F1215 F1202 F1183 F1172 F1147 F1114 F1015 F1003 F991 F979 F957 F945 F934 F921 F910 F898 F882 F870 F847 F836 F823 F812 F801 F788 F775 F763 F752 F740 F729 F717 F704 F692 F680 F669 F658 F640 F618 F594 F572 F556 F545 F534 F518 F504 F487 F467 F456 F444 F433 F417 F404 F393 F382 F371 F360 F349 F337 F326 F314 F303 F292 F280 F268 F256 F245 F232 F219 F206 F195" xr:uid="{00000000-0002-0000-0100-000009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5758 F5724 F5693 F5664 F5653 F5642 F5631 F5618 F5607 F5596 F5584 F5571 F5557 F5541 F5526 F5506 F5492 F5445 F5432 F5420 F5408 F5394 F5376 F5363 F5337 F5307 F5280 F5249 F5237 F5225 F5213 F5201 F5190 F5179 F5168 F5157 F5144 F5133 F5122 F5109 F5095 F5079 F5067 F5055 F5039 F5026 F5011 F4995 F4979 F4968 F4956 F4944 F4930 F4917 F4894 F4871 F4845 F4825 F4813 F4802 F4791 F4768 F4757 F4745 F4732 F4719 F4707 F4696 F4684 F4673 F4662 F4638 F4625 F4614 F4603 F4591 F4579 F4568 F4553 F4542 F4531 F4520 F4509 F4498 F4487 F4472 F4457 F4446 F4435 F4423 F4411 F4400 F4389 F4376 F4365 F4354 F4334 F4310 F4299 F4288 F4277 F4266 F4254 F4243 F4232 F4220 F4208 F4148 F4137 F4126 F4113 F4099 F4074 F4046 F4007 F3951 F3938 F3919 F3897 F3866 F3843 F3830 F3818 F3802 F3781 F3757 F3738 F3727 F3716 F3705 F3691 F3679 F3668 F3656 F3645 F3633 F3617 F3606 F3594 F3583 F3572 F3561 F3550 F3538 F3525 F3514 F3503 F3488 F3476 F3465 F3454 F3443 F3432 F3421 F3410 F3399 F3378 F3293 F3282 F3257 F3246 F3235 F3224 F3213 F3202 F3191 F3180 F3169 F3158 F3147 F3136 F3125 F3112 F3101 F3088 F3077 F3066 F3055 F3044 F3033 F3022 F3011 F3000 F2989 F2978 F2966 F2953 F2940 F2926 F2870 F2804 F2726 F2672 F2650 F2638 F2335 F2318 F2303 F2276 F2261 F2249 F2238 F2226 F2213 F2193 F2182 F2171 F2160 F2147 F2127 F2113 F2099 F2084 F2070 F2058 F2042 F2006 F1991 F1975 F1959 F1929 F1918 F1904 F1893 F1879 F1832 F1778 F1766 F1752 F1694 F1636 F1574 F1501 F1488 F1475 F1464 F1453 F1432 F1406 F1395 F1383 F1368 F1355 F1334 F1315 F1301 F1288 F1277 F1266 F1254 F1242 F1229 F1216 F1203 F1184 F1173 F1148 F1115 F1016 F1004 F992 F980 F958 F946 F935 F922 F911 F899 F883 F871 F848 F837 F824 F813 F802 F789 F776 F764 F753 F741 F730 F718 F705 F693 F681 F670 F659 F641 F619 F595 F573 F557 F546 F535 F519 F505 F488 F468 F457 F445 F434 F418 F405 F394 F383 F372 F361 F350 F338 F327 F315 F304 F293 F281 F269 F257 F246 F233 F220 F207 F196" xr:uid="{00000000-0002-0000-0100-00000A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5759 F5725 F5694 F5665 F5654 F5643 F5632 F5619 F5608 F5597 F5585 F5572 F5558 F5542 F5527 F5507 F5493 F5446 F5433 F5421 F5409 F5395 F5377 F5364 F5338 F5308 F5281 F5250 F5238 F5226 F5214 F5202 F5191 F5180 F5169 F5158 F5145 F5134 F5123 F5110 F5096 F5080 F5068 F5056 F5040 F5027 F5012 F4996 F4980 F4969 F4957 F4945 F4931 F4918 F4895 F4872 F4846 F4826 F4814 F4803 F4792 F4769 F4758 F4746 F4733 F4720 F4708 F4697 F4685 F4674 F4663 F4639 F4626 F4615 F4604 F4592 F4580 F4569 F4554 F4543 F4532 F4521 F4510 F4499 F4488 F4473 F4458 F4447 F4436 F4424 F4412 F4401 F4390 F4377 F4366 F4355 F4335 F4311 F4300 F4289 F4278 F4267 F4255 F4244 F4233 F4221 F4209 F4149 F4138 F4127 F4114 F4100 F4075 F4047 F4008 F3952 F3939 F3920 F3898 F3867 F3844 F3831 F3819 F3803 F3782 F3758 F3739 F3728 F3717 F3706 F3692 F3680 F3669 F3657 F3646 F3634 F3618 F3607 F3595 F3584 F3573 F3562 F3551 F3539 F3526 F3515 F3504 F3489 F3477 F3466 F3455 F3444 F3433 F3422 F3411 F3400 F3379 F3294 F3283 F3258 F3247 F3236 F3225 F3214 F3203 F3192 F3181 F3170 F3159 F3148 F3137 F3126 F3113 F3102 F3089 F3078 F3067 F3056 F3045 F3034 F3023 F3012 F3001 F2990 F2979 F2967 F2954 F2941 F2927 F2871 F2805 F2727 F2673 F2651 F2639 F2336 F2319 F2304 F2277 F2262 F2250 F2239 F2227 F2214 F2194 F2183 F2172 F2161 F2148 F2128 F2114 F2100 F2085 F2071 F2059 F2043 F2007 F1992 F1976 F1960 F1930 F1919 F1905 F1894 F1880 F1833 F1779 F1767 F1753 F1695 F1637 F1575 F1502 F1489 F1476 F1465 F1454 F1433 F1407 F1396 F1384 F1369 F1356 F1335 F1316 F1302 F1289 F1278 F1267 F1255 F1243 F1230 F1217 F1204 F1185 F1174 F1149 F1116 F1017 F1005 F993 F981 F959 F947 F936 F923 F912 F900 F884 F872 F849 F838 F825 F814 F803 F790 F777 F765 F754 F742 F731 F719 F706 F694 F682 F671 F660 F642 F620 F596 F574 F558 F547 F536 F520 F506 F489 F469 F458 F446 F435 F419 F406 F395 F384 F373 F362 F351 F339 F328 F316 F305 F294 F282 F270 F258 F247 F234 F221 F208 F197" xr:uid="{00000000-0002-0000-0100-00000B000000}">
      <formula1>OFFSET(MunicipioStart,MATCH(INDIRECT(ADDRESS(ROW()-1,COLUMN(),4)),MunicipioColumn,0)-1,1,COUNTIF(MunicipioColumn,INDIRECT(ADDRESS(ROW()-1,COLUMN(),4))),1)</formula1>
    </dataValidation>
    <dataValidation type="whole" operator="greaterThan" allowBlank="1" showInputMessage="1" showErrorMessage="1" sqref="A5762:A5774 A5728:A5751 A5697:A5717 A5668:A5686 A5657 A5646 A5635 A5622:A5624 A5611 A5600 A5588:A5589 A5575:A5577 A5561:A5564 A5545:A5550 A5530:A5534 A5510:A5519 A5496:A5499 A5449:A5485 A5436:A5438 A5424:A5425 A5412:A5413 A5398:A5401 A5380:A5387 A5367:A5369 A5341:A5356 A5311:A5330 A5284:A5300 A5253:A5273 A5241:A5242 A5229:A5230 A5217:A5218 A5205:A5206 A5194 A5183 A5172 A5161 A5148:A5150 A5137 A5126 A5113:A5115 A5099:A5102 A5083:A5088 A5071:A5072 A5059:A5060 A5043:A5048 A5030:A5032 A5015:A5019 A4999:A5004 A4983:A4988 A4972 A4960:A4961 A4948:A4949 A4934:A4937 A4921:A4923 A4898:A4910 A4875:A4887 A4849:A4864 A4829:A4838 A4817:A4818 A4806 A4795 A4772:A4784 A4761 A4749:A4750 A4736:A4738 A4723:A4725 A4711:A4712 A4700 A4688:A4689 A4677 A4666 A4642:A4655 A4629:A4631 A4618 A4607 A4595:A4596 A4583:A4584 A4572 A4557:A4561 A4546 A4535 A4524 A4513 A4502 A4491 A4476:A4480 A4461:A4465 A4450 A4439 A4427:A4428 A4415:A4416 A4404 A4393 A4380:A4382 A4369 A4358 A4338:A4347 A4314:A4327 A4303 A4292 A4281 A4270 A4258:A4259 A4247 A4236 A4224:A4225 A4212:A4213 A4152:A4201 A4141 A4130 A4117:A4119 A4103:A4106 A4078:A4092 A4050:A4067 A4011:A4039 A3955:A4000 A3942:A3944 A3923:A3931 A3901:A3912 A3870:A3890 A3847:A3859 A3834:A3836 A3822:A3823 A3806:A3811 A3785:A3795 A3761:A3774 A3742:A3750 A3731 A3720 A3709 A3695:A3698 A3683:A3684 A3672 A3660:A3661 A3649 A3637:A3638 A3621:A3626 A3610 A3598:A3599 A3587 A3576 A3565 A3554 A3542:A3543 A3529:A3531 A3518 A3507 A3492:A3496 A3480:A3481 A3469 A3458 A3447 A3436 A3425 A3414 A3403 A3382:A3392 A3297:A3371 A3286 A3261:A3275 A3250 A3239 A3228 A3217 A3206 A3195 A3184 A3173 A3162 A3151 A3140 A3129 A3116:A3118 A3105 A3092:A3094 A3081 A3070 A3059 A3048 A3037 A3026 A3015 A3004 A2993 A2982 A2970:A2971 A2957:A2959 A2944:A2946 A2930:A2933 A2874:A2919 A2808:A2863 A2730:A2797 A2676:A2719 A2654:A2665 A2642:A2643 A2339:A2631 A2322:A2328 A2307:A2311 A2280:A2296 A2265:A2269 A2253:A2254 A2242 A2230:A2231 A2217:A2219 A2197:A2206 A2186 A2175 A2164 A2151:A2153 A2131:A2140 A2117:A2120 A2103:A2106 A2088:A2092 A2074:A2077 A2062:A2063 A2046:A2051 A2010:A2035 A1995:A1999 A1979:A1984 A1963:A1968 A1933:A1952 A1922 A1908:A1911 A1897 A1883:A1886 A1836:A1872 A1782:A1825 A1770:A1771 A1756:A1759 A1698:A1745 A1640:A1687 A1578:A1629 A1505:A1567 A1492:A1494 A1479:A1481 A1468 A1457 A1436:A1446 A1410:A1425 A1399 A1387:A1388 A1372:A1376 A1359:A1361 A1338:A1348 A1319:A1327 A1305:A1308 A1292:A1294 A1281 A1270 A1258:A1259 A1246:A1247 A1233:A1235 A1220:A1222 A1207:A1209 A1188:A1196 A1177 A1152:A1166 A1119:A1141 A1020:A1108 A1008:A1009 A996:A997 A984:A985 A962:A973 A950:A951 A939 A926:A928 A915 A903:A904 A887:A892 A875:A876 A852:A864 A841 A828:A830 A817 A806 A793:A795 A780:A782 A768:A769 A757 A745:A746 A734 A722:A723 A709:A711 A697:A698 A685:A686 A674 A663 A645:A652 A623:A634 A599:A612 A577:A588 A561:A566 A550 A539 A523:A528 A509:A512 A492:A498 A472:A481 A461 A449:A450 A438 A422:A427 A409:A411 A398 A387 A376 A365 A354 A342:A343 A331 A319:A320 A308 A297 A285:A286 A273:A274 A261:A262 A250 A237:A239 A224:A226 A211:A213 A200 A23:A189" xr:uid="{00000000-0002-0000-0100-00000C000000}">
      <formula1>0</formula1>
    </dataValidation>
    <dataValidation type="list" allowBlank="1" showInputMessage="1" showErrorMessage="1" sqref="C5762:C5774 C5728:C5751 C5697:C5717 C5668:C5686 C5657 C5646 C5635 C5622:C5624 C5611 C5600 C5588:C5589 C5575:C5577 C5561:C5564 C5545:C5550 C5530:C5534 C5510:C5519 C5496:C5499 C5449:C5485 C5436:C5438 C5424:C5425 C5412:C5413 C5398:C5401 C5380:C5387 C5367:C5369 C5341:C5356 C5311:C5330 C5284:C5300 C5253:C5273 C5241:C5242 C5229:C5230 C5217:C5218 C5205:C5206 C5194 C5183 C5172 C5161 C5148:C5150 C5137 C5126 C5113:C5115 C5099:C5102 C5083:C5088 C5071:C5072 C5059:C5060 C5043:C5048 C5030:C5032 C5015:C5019 C4999:C5004 C4983:C4988 C4972 C4960:C4961 C4948:C4949 C4934:C4937 C4921:C4923 C4898:C4910 C4875:C4887 C4849:C4864 C4829:C4838 C4817:C4818 C4806 C4795 C4772:C4784 C4761 C4749:C4750 C4736:C4738 C4723:C4725 C4711:C4712 C4700 C4688:C4689 C4677 C4666 C4642:C4655 C4629:C4631 C4618 C4607 C4595:C4596 C4583:C4584 C4572 C4557:C4561 C4546 C4535 C4524 C4513 C4502 C4491 C4476:C4480 C4461:C4465 C4450 C4439 C4427:C4428 C4415:C4416 C4404 C4393 C4380:C4382 C4369 C4358 C4338:C4347 C4314:C4327 C4303 C4292 C4281 C4270 C4258:C4259 C4247 C4236 C4224:C4225 C4212:C4213 C4152:C4201 C4141 C4130 C4117:C4119 C4103:C4106 C4078:C4092 C4050:C4067 C4011:C4039 C3955:C4000 C3942:C3944 C3923:C3931 C3901:C3912 C3870:C3890 C3847:C3859 C3834:C3836 C3822:C3823 C3806:C3811 C3785:C3795 C3761:C3774 C3742:C3750 C3731 C3720 C3709 C3695:C3698 C3683:C3684 C3672 C3660:C3661 C3649 C3637:C3638 C3621:C3626 C3610 C3598:C3599 C3587 C3576 C3565 C3554 C3542:C3543 C3529:C3531 C3518 C3507 C3492:C3496 C3480:C3481 C3469 C3458 C3447 C3436 C3425 C3414 C3403 C3382:C3392 C3297:C3371 C3286 C3261:C3275 C3250 C3239 C3228 C3217 C3206 C3195 C3184 C3173 C3162 C3151 C3140 C3129 C3116:C3118 C3105 C3092:C3094 C3081 C3070 C3059 C3048 C3037 C3026 C3015 C3004 C2993 C2982 C2970:C2971 C2957:C2959 C2944:C2946 C2930:C2933 C2874:C2919 C2808:C2863 C2730:C2797 C2676:C2719 C2654:C2665 C2642:C2643 C2339:C2631 C2322:C2328 C2307:C2311 C2280:C2296 C2265:C2269 C2253:C2254 C2242 C2230:C2231 C2217:C2219 C2197:C2206 C2186 C2175 C2164 C2151:C2153 C2131:C2140 C2117:C2120 C2103:C2106 C2088:C2092 C2074:C2077 C2062:C2063 C2046:C2051 C2010:C2035 C1995:C1999 C1979:C1984 C1963:C1968 C1933:C1952 C1922 C1908:C1911 C1897 C1883:C1886 C1836:C1872 C1782:C1825 C1770:C1771 C1756:C1759 C1698:C1745 C1640:C1687 C1578:C1629 C1505:C1567 C1492:C1494 C1479:C1481 C1468 C1457 C1436:C1446 C1410:C1425 C1399 C1387:C1388 C1372:C1376 C1359:C1361 C1338:C1348 C1319:C1327 C1305:C1308 C1292:C1294 C1281 C1270 C1258:C1259 C1246:C1247 C1233:C1235 C1220:C1222 C1207:C1209 C1188:C1196 C1177 C1152:C1166 C1119:C1141 C1020:C1108 C1008:C1009 C996:C997 C984:C985 C962:C973 C950:C951 C939 C926:C928 C915 C903:C904 C887:C892 C875:C876 C852:C864 C841 C828:C830 C817 C806 C793:C795 C780:C782 C768:C769 C757 C745:C746 C734 C722:C723 C709:C711 C697:C698 C685:C686 C674 C663 C645:C652 C623:C634 C599:C612 C577:C588 C561:C566 C550 C539 C523:C528 C509:C512 C492:C498 C472:C481 C461 C449:C450 C438 C422:C427 C409:C411 C398 C387 C376 C365 C354 C342:C343 C331 C319:C320 C308 C297 C285:C286 C273:C274 C261:C262 C250 C237:C239 C224:C226 C211:C213 C200 C23:C189" xr:uid="{00000000-0002-0000-0100-00000D000000}">
      <formula1>UnidadesList</formula1>
    </dataValidation>
    <dataValidation type="decimal" operator="greaterThan" allowBlank="1" showInputMessage="1" showErrorMessage="1" sqref="D5762:E5774 D5728:E5751 D5697:E5717 D5668:E5686 D5657:E5657 D5646:E5646 D5635:E5635 D5622:E5624 D5611:E5611 D5600:E5600 D5588:E5589 D5575:E5577 D5561:E5564 D5545:E5550 D5530:E5534 D5510:E5519 D5496:E5499 D5449:E5485 D5436:E5438 D5424:E5425 D5412:E5413 D5398:E5401 D5380:E5387 D5367:E5369 D5341:E5356 D5311:E5330 D5284:E5300 D5253:E5273 D5241:E5242 D5229:E5230 D5217:E5218 D5205:E5206 D5194:E5194 D5183:E5183 D5172:E5172 D5161:E5161 D5148:E5150 D5137:E5137 D5126:E5126 D5113:E5115 D5099:E5102 D5083:E5088 D5071:E5072 D5059:E5060 D5043:E5048 D5030:E5032 D5015:E5019 D4999:E5004 D4983:E4988 D4972:E4972 D4960:E4961 D4948:E4949 D4934:E4937 D4921:E4923 D4898:E4910 D4875:E4887 D4849:E4864 D4829:E4838 D4817:E4818 D4806:E4806 D4795:E4795 D4772:E4784 D4761:E4761 D4749:E4750 D4736:E4738 D4723:E4725 D4711:E4712 D4700:E4700 D4688:E4689 D4677:E4677 D4666:E4666 D4642:E4655 D4629:E4631 D4618:E4618 D4607:E4607 D4595:E4596 D4583:E4584 D4572:E4572 D4557:E4561 D4546:E4546 D4535:E4535 D4524:E4524 D4513:E4513 D4502:E4502 D4491:E4491 D4476:E4480 D4461:E4465 D4450:E4450 D4439:E4439 D4427:E4428 D4415:E4416 D4404:E4404 D4393:E4393 D4380:E4382 D4369:E4369 D4358:E4358 D4338:E4347 D4314:E4327 D4303:E4303 D4292:E4292 D4281:E4281 D4270:E4270 D4258:E4259 D4247:E4247 D4236:E4236 D4224:E4225 D4212:E4213 D4152:E4201 D4141:E4141 D4130:E4130 D4117:E4119 D4103:E4106 D4078:E4092 D4050:E4067 D4011:E4039 D3955:E4000 D3942:E3944 D3923:E3931 D3901:E3912 D3870:E3890 D3847:E3859 D3834:E3836 D3822:E3823 D3806:E3811 D3785:E3795 D3761:E3774 D3742:E3750 D3731:E3731 D3720:E3720 D3709:E3709 D3695:E3698 D3683:E3684 D3672:E3672 D3660:E3661 D3649:E3649 D3637:E3638 D3621:E3626 D3610:E3610 D3598:E3599 D3587:E3587 D3576:E3576 D3565:E3565 D3554:E3554 D3542:E3543 D3529:E3531 D3518:E3518 D3507:E3507 D3492:E3496 D3480:E3481 D3469:E3469 D3458:E3458 D3447:E3447 D3436:E3436 D3425:E3425 D3414:E3414 D3403:E3403 D3382:E3392 D3297:E3371 D3286:E3286 D3261:E3275 D3250:E3250 D3239:E3239 D3228:E3228 D3217:E3217 D3206:E3206 D3195:E3195 D3184:E3184 D3173:E3173 D3162:E3162 D3151:E3151 D3140:E3140 D3129:E3129 D3116:E3118 D3105:E3105 D3092:E3094 D3081:E3081 D3070:E3070 D3059:E3059 D3048:E3048 D3037:E3037 D3026:E3026 D3015:E3015 D3004:E3004 D2993:E2993 D2982:E2982 D2970:E2971 D2957:E2959 D2944:E2946 D2930:E2933 D2874:E2919 D2808:E2863 D2730:E2797 D2676:E2719 D2654:E2665 D2642:E2643 D2339:E2631 D2322:E2328 D2307:E2311 D2280:E2296 D2265:E2269 D2253:E2254 D2242:E2242 D2230:E2231 D2217:E2219 D2197:E2206 D2186:E2186 D2175:E2175 D2164:E2164 D2151:E2153 D2131:E2140 D2117:E2120 D2103:E2106 D2088:E2092 D2074:E2077 D2062:E2063 D2046:E2051 D2010:E2035 D1995:E1999 D1979:E1984 D1963:E1968 D1933:E1952 D1922:E1922 D1908:E1911 D1897:E1897 D1883:E1886 D1836:E1872 D1782:E1825 D1770:E1771 D1756:E1759 D1698:E1745 D1640:E1687 D1578:E1629 D1505:E1567 D1492:E1494 D1479:E1481 D1468:E1468 D1457:E1457 D1436:E1446 D1410:E1425 D1399:E1399 D1387:E1388 D1372:E1376 D1359:E1361 D1338:E1348 D1319:E1327 D1305:E1308 D1292:E1294 D1281:E1281 D1270:E1270 D1258:E1259 D1246:E1247 D1233:E1235 D1220:E1222 D1207:E1209 D1188:E1196 D1177:E1177 D1152:E1166 D1119:E1141 D1020:E1108 D1008:E1009 D996:E997 D984:E985 D962:E973 D950:E951 D939:E939 D926:E928 D915:E915 D903:E904 D887:E892 D875:E876 D852:E864 D841:E841 D828:E830 D817:E817 D806:E806 D793:E795 D780:E782 D768:E769 D757:E757 D745:E746 D734:E734 D722:E723 D709:E711 D697:E698 D685:E686 D674:E674 D663:E663 D645:E652 D623:E634 D599:E612 D577:E588 D561:E566 D550:E550 D539:E539 D523:E528 D509:E512 D492:E498 D472:E481 D461:E461 D449:E450 D438:E438 D422:E427 D409:E411 D398:E398 D387:E387 D376:E376 D365:E365 D354:E354 D342:E343 D331:E331 D319:E320 D308:E308 D297:E297 D285:E286 D273:E274 D261:E262 D250:E250 D237:E239 D224:E226 D211:E213 D200:E200 D23:E189" xr:uid="{00000000-0002-0000-0100-00000E000000}">
      <formula1>0</formula1>
    </dataValidation>
  </dataValidations>
  <pageMargins left="0.7" right="0.7" top="0.75" bottom="0.75" header="0.3" footer="0.3"/>
  <pageSetup scale="31"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2289" r:id="rId3"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4" name="Button 1028">
              <controlPr defaultSize="0" autoFill="0" autoLine="0" autoPict="0" macro="[0]!Sheet1.InsertNewTableRow">
                <anchor moveWithCells="1" sizeWithCells="1">
                  <from>
                    <xdr:col>6</xdr:col>
                    <xdr:colOff>0</xdr:colOff>
                    <xdr:row>21</xdr:row>
                    <xdr:rowOff>0</xdr:rowOff>
                  </from>
                  <to>
                    <xdr:col>7</xdr:col>
                    <xdr:colOff>0</xdr:colOff>
                    <xdr:row>21</xdr:row>
                    <xdr:rowOff>171450</xdr:rowOff>
                  </to>
                </anchor>
              </controlPr>
            </control>
          </mc:Choice>
        </mc:AlternateContent>
        <mc:AlternateContent xmlns:mc="http://schemas.openxmlformats.org/markup-compatibility/2006">
          <mc:Choice Requires="x14">
            <control shapeId="12291" r:id="rId5" name="Button 1027">
              <controlPr defaultSize="0" autoFill="0" autoLine="0" autoPict="0" macro="[0]!Sheet1.deleteRow">
                <anchor moveWithCells="1" sizeWithCells="1">
                  <from>
                    <xdr:col>6</xdr:col>
                    <xdr:colOff>0</xdr:colOff>
                    <xdr:row>22</xdr:row>
                    <xdr:rowOff>0</xdr:rowOff>
                  </from>
                  <to>
                    <xdr:col>7</xdr:col>
                    <xdr:colOff>0</xdr:colOff>
                    <xdr:row>22</xdr:row>
                    <xdr:rowOff>165100</xdr:rowOff>
                  </to>
                </anchor>
              </controlPr>
            </control>
          </mc:Choice>
        </mc:AlternateContent>
        <mc:AlternateContent xmlns:mc="http://schemas.openxmlformats.org/markup-compatibility/2006">
          <mc:Choice Requires="x14">
            <control shapeId="14659" r:id="rId6" name="Button 3395">
              <controlPr defaultSize="0" autoFill="0" autoLine="0" autoPict="0" macro="[0]!Sheet1.deleteRow">
                <anchor moveWithCells="1" sizeWithCells="1">
                  <from>
                    <xdr:col>6</xdr:col>
                    <xdr:colOff>0</xdr:colOff>
                    <xdr:row>23</xdr:row>
                    <xdr:rowOff>0</xdr:rowOff>
                  </from>
                  <to>
                    <xdr:col>7</xdr:col>
                    <xdr:colOff>0</xdr:colOff>
                    <xdr:row>23</xdr:row>
                    <xdr:rowOff>165100</xdr:rowOff>
                  </to>
                </anchor>
              </controlPr>
            </control>
          </mc:Choice>
        </mc:AlternateContent>
        <mc:AlternateContent xmlns:mc="http://schemas.openxmlformats.org/markup-compatibility/2006">
          <mc:Choice Requires="x14">
            <control shapeId="14658" r:id="rId7" name="Button 3394">
              <controlPr defaultSize="0" autoFill="0" autoLine="0" autoPict="0" macro="[0]!Sheet1.deleteRow">
                <anchor moveWithCells="1" sizeWithCells="1">
                  <from>
                    <xdr:col>6</xdr:col>
                    <xdr:colOff>0</xdr:colOff>
                    <xdr:row>24</xdr:row>
                    <xdr:rowOff>0</xdr:rowOff>
                  </from>
                  <to>
                    <xdr:col>7</xdr:col>
                    <xdr:colOff>0</xdr:colOff>
                    <xdr:row>24</xdr:row>
                    <xdr:rowOff>165100</xdr:rowOff>
                  </to>
                </anchor>
              </controlPr>
            </control>
          </mc:Choice>
        </mc:AlternateContent>
        <mc:AlternateContent xmlns:mc="http://schemas.openxmlformats.org/markup-compatibility/2006">
          <mc:Choice Requires="x14">
            <control shapeId="14657" r:id="rId8" name="Button 3393">
              <controlPr defaultSize="0" autoFill="0" autoLine="0" autoPict="0" macro="[0]!Sheet1.deleteRow">
                <anchor moveWithCells="1" sizeWithCells="1">
                  <from>
                    <xdr:col>6</xdr:col>
                    <xdr:colOff>0</xdr:colOff>
                    <xdr:row>25</xdr:row>
                    <xdr:rowOff>0</xdr:rowOff>
                  </from>
                  <to>
                    <xdr:col>7</xdr:col>
                    <xdr:colOff>0</xdr:colOff>
                    <xdr:row>25</xdr:row>
                    <xdr:rowOff>165100</xdr:rowOff>
                  </to>
                </anchor>
              </controlPr>
            </control>
          </mc:Choice>
        </mc:AlternateContent>
        <mc:AlternateContent xmlns:mc="http://schemas.openxmlformats.org/markup-compatibility/2006">
          <mc:Choice Requires="x14">
            <control shapeId="14656" r:id="rId9" name="Button 3392">
              <controlPr defaultSize="0" autoFill="0" autoLine="0" autoPict="0" macro="[0]!Sheet1.deleteRow">
                <anchor moveWithCells="1" sizeWithCells="1">
                  <from>
                    <xdr:col>6</xdr:col>
                    <xdr:colOff>0</xdr:colOff>
                    <xdr:row>26</xdr:row>
                    <xdr:rowOff>0</xdr:rowOff>
                  </from>
                  <to>
                    <xdr:col>7</xdr:col>
                    <xdr:colOff>0</xdr:colOff>
                    <xdr:row>26</xdr:row>
                    <xdr:rowOff>165100</xdr:rowOff>
                  </to>
                </anchor>
              </controlPr>
            </control>
          </mc:Choice>
        </mc:AlternateContent>
        <mc:AlternateContent xmlns:mc="http://schemas.openxmlformats.org/markup-compatibility/2006">
          <mc:Choice Requires="x14">
            <control shapeId="14655" r:id="rId10" name="Button 3391">
              <controlPr defaultSize="0" autoFill="0" autoLine="0" autoPict="0" macro="[0]!Sheet1.deleteRow">
                <anchor moveWithCells="1" sizeWithCells="1">
                  <from>
                    <xdr:col>6</xdr:col>
                    <xdr:colOff>0</xdr:colOff>
                    <xdr:row>27</xdr:row>
                    <xdr:rowOff>0</xdr:rowOff>
                  </from>
                  <to>
                    <xdr:col>7</xdr:col>
                    <xdr:colOff>0</xdr:colOff>
                    <xdr:row>27</xdr:row>
                    <xdr:rowOff>165100</xdr:rowOff>
                  </to>
                </anchor>
              </controlPr>
            </control>
          </mc:Choice>
        </mc:AlternateContent>
        <mc:AlternateContent xmlns:mc="http://schemas.openxmlformats.org/markup-compatibility/2006">
          <mc:Choice Requires="x14">
            <control shapeId="14654" r:id="rId11" name="Button 3390">
              <controlPr defaultSize="0" autoFill="0" autoLine="0" autoPict="0" macro="[0]!Sheet1.deleteRow">
                <anchor moveWithCells="1" sizeWithCells="1">
                  <from>
                    <xdr:col>6</xdr:col>
                    <xdr:colOff>0</xdr:colOff>
                    <xdr:row>28</xdr:row>
                    <xdr:rowOff>0</xdr:rowOff>
                  </from>
                  <to>
                    <xdr:col>7</xdr:col>
                    <xdr:colOff>0</xdr:colOff>
                    <xdr:row>28</xdr:row>
                    <xdr:rowOff>165100</xdr:rowOff>
                  </to>
                </anchor>
              </controlPr>
            </control>
          </mc:Choice>
        </mc:AlternateContent>
        <mc:AlternateContent xmlns:mc="http://schemas.openxmlformats.org/markup-compatibility/2006">
          <mc:Choice Requires="x14">
            <control shapeId="14653" r:id="rId12" name="Button 3389">
              <controlPr defaultSize="0" autoFill="0" autoLine="0" autoPict="0" macro="[0]!Sheet1.deleteRow">
                <anchor moveWithCells="1" sizeWithCells="1">
                  <from>
                    <xdr:col>6</xdr:col>
                    <xdr:colOff>0</xdr:colOff>
                    <xdr:row>29</xdr:row>
                    <xdr:rowOff>0</xdr:rowOff>
                  </from>
                  <to>
                    <xdr:col>7</xdr:col>
                    <xdr:colOff>0</xdr:colOff>
                    <xdr:row>29</xdr:row>
                    <xdr:rowOff>165100</xdr:rowOff>
                  </to>
                </anchor>
              </controlPr>
            </control>
          </mc:Choice>
        </mc:AlternateContent>
        <mc:AlternateContent xmlns:mc="http://schemas.openxmlformats.org/markup-compatibility/2006">
          <mc:Choice Requires="x14">
            <control shapeId="14652" r:id="rId13" name="Button 3388">
              <controlPr defaultSize="0" autoFill="0" autoLine="0" autoPict="0" macro="[0]!Sheet1.deleteRow">
                <anchor moveWithCells="1" sizeWithCells="1">
                  <from>
                    <xdr:col>6</xdr:col>
                    <xdr:colOff>0</xdr:colOff>
                    <xdr:row>30</xdr:row>
                    <xdr:rowOff>0</xdr:rowOff>
                  </from>
                  <to>
                    <xdr:col>7</xdr:col>
                    <xdr:colOff>0</xdr:colOff>
                    <xdr:row>30</xdr:row>
                    <xdr:rowOff>165100</xdr:rowOff>
                  </to>
                </anchor>
              </controlPr>
            </control>
          </mc:Choice>
        </mc:AlternateContent>
        <mc:AlternateContent xmlns:mc="http://schemas.openxmlformats.org/markup-compatibility/2006">
          <mc:Choice Requires="x14">
            <control shapeId="14651" r:id="rId14" name="Button 3387">
              <controlPr defaultSize="0" autoFill="0" autoLine="0" autoPict="0" macro="[0]!Sheet1.deleteRow">
                <anchor moveWithCells="1" sizeWithCells="1">
                  <from>
                    <xdr:col>6</xdr:col>
                    <xdr:colOff>0</xdr:colOff>
                    <xdr:row>31</xdr:row>
                    <xdr:rowOff>0</xdr:rowOff>
                  </from>
                  <to>
                    <xdr:col>7</xdr:col>
                    <xdr:colOff>0</xdr:colOff>
                    <xdr:row>31</xdr:row>
                    <xdr:rowOff>165100</xdr:rowOff>
                  </to>
                </anchor>
              </controlPr>
            </control>
          </mc:Choice>
        </mc:AlternateContent>
        <mc:AlternateContent xmlns:mc="http://schemas.openxmlformats.org/markup-compatibility/2006">
          <mc:Choice Requires="x14">
            <control shapeId="14650" r:id="rId15" name="Button 3386">
              <controlPr defaultSize="0" autoFill="0" autoLine="0" autoPict="0" macro="[0]!Sheet1.deleteRow">
                <anchor moveWithCells="1" sizeWithCells="1">
                  <from>
                    <xdr:col>6</xdr:col>
                    <xdr:colOff>0</xdr:colOff>
                    <xdr:row>32</xdr:row>
                    <xdr:rowOff>0</xdr:rowOff>
                  </from>
                  <to>
                    <xdr:col>7</xdr:col>
                    <xdr:colOff>0</xdr:colOff>
                    <xdr:row>32</xdr:row>
                    <xdr:rowOff>165100</xdr:rowOff>
                  </to>
                </anchor>
              </controlPr>
            </control>
          </mc:Choice>
        </mc:AlternateContent>
        <mc:AlternateContent xmlns:mc="http://schemas.openxmlformats.org/markup-compatibility/2006">
          <mc:Choice Requires="x14">
            <control shapeId="14649" r:id="rId16" name="Button 3385">
              <controlPr defaultSize="0" autoFill="0" autoLine="0" autoPict="0" macro="[0]!Sheet1.deleteRow">
                <anchor moveWithCells="1" sizeWithCells="1">
                  <from>
                    <xdr:col>6</xdr:col>
                    <xdr:colOff>0</xdr:colOff>
                    <xdr:row>33</xdr:row>
                    <xdr:rowOff>0</xdr:rowOff>
                  </from>
                  <to>
                    <xdr:col>7</xdr:col>
                    <xdr:colOff>0</xdr:colOff>
                    <xdr:row>33</xdr:row>
                    <xdr:rowOff>165100</xdr:rowOff>
                  </to>
                </anchor>
              </controlPr>
            </control>
          </mc:Choice>
        </mc:AlternateContent>
        <mc:AlternateContent xmlns:mc="http://schemas.openxmlformats.org/markup-compatibility/2006">
          <mc:Choice Requires="x14">
            <control shapeId="14648" r:id="rId17" name="Button 3384">
              <controlPr defaultSize="0" autoFill="0" autoLine="0" autoPict="0" macro="[0]!Sheet1.deleteRow">
                <anchor moveWithCells="1" sizeWithCells="1">
                  <from>
                    <xdr:col>6</xdr:col>
                    <xdr:colOff>0</xdr:colOff>
                    <xdr:row>34</xdr:row>
                    <xdr:rowOff>0</xdr:rowOff>
                  </from>
                  <to>
                    <xdr:col>7</xdr:col>
                    <xdr:colOff>0</xdr:colOff>
                    <xdr:row>34</xdr:row>
                    <xdr:rowOff>165100</xdr:rowOff>
                  </to>
                </anchor>
              </controlPr>
            </control>
          </mc:Choice>
        </mc:AlternateContent>
        <mc:AlternateContent xmlns:mc="http://schemas.openxmlformats.org/markup-compatibility/2006">
          <mc:Choice Requires="x14">
            <control shapeId="14647" r:id="rId18" name="Button 3383">
              <controlPr defaultSize="0" autoFill="0" autoLine="0" autoPict="0" macro="[0]!Sheet1.deleteRow">
                <anchor moveWithCells="1" sizeWithCells="1">
                  <from>
                    <xdr:col>6</xdr:col>
                    <xdr:colOff>0</xdr:colOff>
                    <xdr:row>35</xdr:row>
                    <xdr:rowOff>0</xdr:rowOff>
                  </from>
                  <to>
                    <xdr:col>7</xdr:col>
                    <xdr:colOff>0</xdr:colOff>
                    <xdr:row>35</xdr:row>
                    <xdr:rowOff>165100</xdr:rowOff>
                  </to>
                </anchor>
              </controlPr>
            </control>
          </mc:Choice>
        </mc:AlternateContent>
        <mc:AlternateContent xmlns:mc="http://schemas.openxmlformats.org/markup-compatibility/2006">
          <mc:Choice Requires="x14">
            <control shapeId="14646" r:id="rId19" name="Button 3382">
              <controlPr defaultSize="0" autoFill="0" autoLine="0" autoPict="0" macro="[0]!Sheet1.deleteRow">
                <anchor moveWithCells="1" sizeWithCells="1">
                  <from>
                    <xdr:col>6</xdr:col>
                    <xdr:colOff>0</xdr:colOff>
                    <xdr:row>36</xdr:row>
                    <xdr:rowOff>0</xdr:rowOff>
                  </from>
                  <to>
                    <xdr:col>7</xdr:col>
                    <xdr:colOff>0</xdr:colOff>
                    <xdr:row>36</xdr:row>
                    <xdr:rowOff>165100</xdr:rowOff>
                  </to>
                </anchor>
              </controlPr>
            </control>
          </mc:Choice>
        </mc:AlternateContent>
        <mc:AlternateContent xmlns:mc="http://schemas.openxmlformats.org/markup-compatibility/2006">
          <mc:Choice Requires="x14">
            <control shapeId="14645" r:id="rId20" name="Button 3381">
              <controlPr defaultSize="0" autoFill="0" autoLine="0" autoPict="0" macro="[0]!Sheet1.deleteRow">
                <anchor moveWithCells="1" sizeWithCells="1">
                  <from>
                    <xdr:col>6</xdr:col>
                    <xdr:colOff>0</xdr:colOff>
                    <xdr:row>37</xdr:row>
                    <xdr:rowOff>0</xdr:rowOff>
                  </from>
                  <to>
                    <xdr:col>7</xdr:col>
                    <xdr:colOff>0</xdr:colOff>
                    <xdr:row>37</xdr:row>
                    <xdr:rowOff>165100</xdr:rowOff>
                  </to>
                </anchor>
              </controlPr>
            </control>
          </mc:Choice>
        </mc:AlternateContent>
        <mc:AlternateContent xmlns:mc="http://schemas.openxmlformats.org/markup-compatibility/2006">
          <mc:Choice Requires="x14">
            <control shapeId="14644" r:id="rId21" name="Button 3380">
              <controlPr defaultSize="0" autoFill="0" autoLine="0" autoPict="0" macro="[0]!Sheet1.deleteRow">
                <anchor moveWithCells="1" sizeWithCells="1">
                  <from>
                    <xdr:col>6</xdr:col>
                    <xdr:colOff>0</xdr:colOff>
                    <xdr:row>38</xdr:row>
                    <xdr:rowOff>0</xdr:rowOff>
                  </from>
                  <to>
                    <xdr:col>7</xdr:col>
                    <xdr:colOff>0</xdr:colOff>
                    <xdr:row>38</xdr:row>
                    <xdr:rowOff>165100</xdr:rowOff>
                  </to>
                </anchor>
              </controlPr>
            </control>
          </mc:Choice>
        </mc:AlternateContent>
        <mc:AlternateContent xmlns:mc="http://schemas.openxmlformats.org/markup-compatibility/2006">
          <mc:Choice Requires="x14">
            <control shapeId="14643" r:id="rId22" name="Button 3379">
              <controlPr defaultSize="0" autoFill="0" autoLine="0" autoPict="0" macro="[0]!Sheet1.deleteRow">
                <anchor moveWithCells="1" sizeWithCells="1">
                  <from>
                    <xdr:col>6</xdr:col>
                    <xdr:colOff>0</xdr:colOff>
                    <xdr:row>39</xdr:row>
                    <xdr:rowOff>0</xdr:rowOff>
                  </from>
                  <to>
                    <xdr:col>7</xdr:col>
                    <xdr:colOff>0</xdr:colOff>
                    <xdr:row>39</xdr:row>
                    <xdr:rowOff>165100</xdr:rowOff>
                  </to>
                </anchor>
              </controlPr>
            </control>
          </mc:Choice>
        </mc:AlternateContent>
        <mc:AlternateContent xmlns:mc="http://schemas.openxmlformats.org/markup-compatibility/2006">
          <mc:Choice Requires="x14">
            <control shapeId="14642" r:id="rId23" name="Button 3378">
              <controlPr defaultSize="0" autoFill="0" autoLine="0" autoPict="0" macro="[0]!Sheet1.deleteRow">
                <anchor moveWithCells="1" sizeWithCells="1">
                  <from>
                    <xdr:col>6</xdr:col>
                    <xdr:colOff>0</xdr:colOff>
                    <xdr:row>40</xdr:row>
                    <xdr:rowOff>0</xdr:rowOff>
                  </from>
                  <to>
                    <xdr:col>7</xdr:col>
                    <xdr:colOff>0</xdr:colOff>
                    <xdr:row>40</xdr:row>
                    <xdr:rowOff>165100</xdr:rowOff>
                  </to>
                </anchor>
              </controlPr>
            </control>
          </mc:Choice>
        </mc:AlternateContent>
        <mc:AlternateContent xmlns:mc="http://schemas.openxmlformats.org/markup-compatibility/2006">
          <mc:Choice Requires="x14">
            <control shapeId="14641" r:id="rId24" name="Button 3377">
              <controlPr defaultSize="0" autoFill="0" autoLine="0" autoPict="0" macro="[0]!Sheet1.deleteRow">
                <anchor moveWithCells="1" sizeWithCells="1">
                  <from>
                    <xdr:col>6</xdr:col>
                    <xdr:colOff>0</xdr:colOff>
                    <xdr:row>41</xdr:row>
                    <xdr:rowOff>0</xdr:rowOff>
                  </from>
                  <to>
                    <xdr:col>7</xdr:col>
                    <xdr:colOff>0</xdr:colOff>
                    <xdr:row>41</xdr:row>
                    <xdr:rowOff>165100</xdr:rowOff>
                  </to>
                </anchor>
              </controlPr>
            </control>
          </mc:Choice>
        </mc:AlternateContent>
        <mc:AlternateContent xmlns:mc="http://schemas.openxmlformats.org/markup-compatibility/2006">
          <mc:Choice Requires="x14">
            <control shapeId="14640" r:id="rId25" name="Button 3376">
              <controlPr defaultSize="0" autoFill="0" autoLine="0" autoPict="0" macro="[0]!Sheet1.deleteRow">
                <anchor moveWithCells="1" sizeWithCells="1">
                  <from>
                    <xdr:col>6</xdr:col>
                    <xdr:colOff>0</xdr:colOff>
                    <xdr:row>42</xdr:row>
                    <xdr:rowOff>0</xdr:rowOff>
                  </from>
                  <to>
                    <xdr:col>7</xdr:col>
                    <xdr:colOff>0</xdr:colOff>
                    <xdr:row>42</xdr:row>
                    <xdr:rowOff>165100</xdr:rowOff>
                  </to>
                </anchor>
              </controlPr>
            </control>
          </mc:Choice>
        </mc:AlternateContent>
        <mc:AlternateContent xmlns:mc="http://schemas.openxmlformats.org/markup-compatibility/2006">
          <mc:Choice Requires="x14">
            <control shapeId="14639" r:id="rId26" name="Button 3375">
              <controlPr defaultSize="0" autoFill="0" autoLine="0" autoPict="0" macro="[0]!Sheet1.deleteRow">
                <anchor moveWithCells="1" sizeWithCells="1">
                  <from>
                    <xdr:col>6</xdr:col>
                    <xdr:colOff>0</xdr:colOff>
                    <xdr:row>43</xdr:row>
                    <xdr:rowOff>0</xdr:rowOff>
                  </from>
                  <to>
                    <xdr:col>7</xdr:col>
                    <xdr:colOff>0</xdr:colOff>
                    <xdr:row>43</xdr:row>
                    <xdr:rowOff>165100</xdr:rowOff>
                  </to>
                </anchor>
              </controlPr>
            </control>
          </mc:Choice>
        </mc:AlternateContent>
        <mc:AlternateContent xmlns:mc="http://schemas.openxmlformats.org/markup-compatibility/2006">
          <mc:Choice Requires="x14">
            <control shapeId="14638" r:id="rId27" name="Button 3374">
              <controlPr defaultSize="0" autoFill="0" autoLine="0" autoPict="0" macro="[0]!Sheet1.deleteRow">
                <anchor moveWithCells="1" sizeWithCells="1">
                  <from>
                    <xdr:col>6</xdr:col>
                    <xdr:colOff>0</xdr:colOff>
                    <xdr:row>44</xdr:row>
                    <xdr:rowOff>0</xdr:rowOff>
                  </from>
                  <to>
                    <xdr:col>7</xdr:col>
                    <xdr:colOff>0</xdr:colOff>
                    <xdr:row>44</xdr:row>
                    <xdr:rowOff>165100</xdr:rowOff>
                  </to>
                </anchor>
              </controlPr>
            </control>
          </mc:Choice>
        </mc:AlternateContent>
        <mc:AlternateContent xmlns:mc="http://schemas.openxmlformats.org/markup-compatibility/2006">
          <mc:Choice Requires="x14">
            <control shapeId="14637" r:id="rId28" name="Button 3373">
              <controlPr defaultSize="0" autoFill="0" autoLine="0" autoPict="0" macro="[0]!Sheet1.deleteRow">
                <anchor moveWithCells="1" sizeWithCells="1">
                  <from>
                    <xdr:col>6</xdr:col>
                    <xdr:colOff>0</xdr:colOff>
                    <xdr:row>45</xdr:row>
                    <xdr:rowOff>0</xdr:rowOff>
                  </from>
                  <to>
                    <xdr:col>7</xdr:col>
                    <xdr:colOff>0</xdr:colOff>
                    <xdr:row>45</xdr:row>
                    <xdr:rowOff>165100</xdr:rowOff>
                  </to>
                </anchor>
              </controlPr>
            </control>
          </mc:Choice>
        </mc:AlternateContent>
        <mc:AlternateContent xmlns:mc="http://schemas.openxmlformats.org/markup-compatibility/2006">
          <mc:Choice Requires="x14">
            <control shapeId="14636" r:id="rId29" name="Button 3372">
              <controlPr defaultSize="0" autoFill="0" autoLine="0" autoPict="0" macro="[0]!Sheet1.deleteRow">
                <anchor moveWithCells="1" sizeWithCells="1">
                  <from>
                    <xdr:col>6</xdr:col>
                    <xdr:colOff>0</xdr:colOff>
                    <xdr:row>46</xdr:row>
                    <xdr:rowOff>0</xdr:rowOff>
                  </from>
                  <to>
                    <xdr:col>7</xdr:col>
                    <xdr:colOff>0</xdr:colOff>
                    <xdr:row>46</xdr:row>
                    <xdr:rowOff>165100</xdr:rowOff>
                  </to>
                </anchor>
              </controlPr>
            </control>
          </mc:Choice>
        </mc:AlternateContent>
        <mc:AlternateContent xmlns:mc="http://schemas.openxmlformats.org/markup-compatibility/2006">
          <mc:Choice Requires="x14">
            <control shapeId="14635" r:id="rId30" name="Button 3371">
              <controlPr defaultSize="0" autoFill="0" autoLine="0" autoPict="0" macro="[0]!Sheet1.deleteRow">
                <anchor moveWithCells="1" sizeWithCells="1">
                  <from>
                    <xdr:col>6</xdr:col>
                    <xdr:colOff>0</xdr:colOff>
                    <xdr:row>47</xdr:row>
                    <xdr:rowOff>0</xdr:rowOff>
                  </from>
                  <to>
                    <xdr:col>7</xdr:col>
                    <xdr:colOff>0</xdr:colOff>
                    <xdr:row>47</xdr:row>
                    <xdr:rowOff>165100</xdr:rowOff>
                  </to>
                </anchor>
              </controlPr>
            </control>
          </mc:Choice>
        </mc:AlternateContent>
        <mc:AlternateContent xmlns:mc="http://schemas.openxmlformats.org/markup-compatibility/2006">
          <mc:Choice Requires="x14">
            <control shapeId="14634" r:id="rId31" name="Button 3370">
              <controlPr defaultSize="0" autoFill="0" autoLine="0" autoPict="0" macro="[0]!Sheet1.deleteRow">
                <anchor moveWithCells="1" sizeWithCells="1">
                  <from>
                    <xdr:col>6</xdr:col>
                    <xdr:colOff>0</xdr:colOff>
                    <xdr:row>48</xdr:row>
                    <xdr:rowOff>0</xdr:rowOff>
                  </from>
                  <to>
                    <xdr:col>7</xdr:col>
                    <xdr:colOff>0</xdr:colOff>
                    <xdr:row>48</xdr:row>
                    <xdr:rowOff>165100</xdr:rowOff>
                  </to>
                </anchor>
              </controlPr>
            </control>
          </mc:Choice>
        </mc:AlternateContent>
        <mc:AlternateContent xmlns:mc="http://schemas.openxmlformats.org/markup-compatibility/2006">
          <mc:Choice Requires="x14">
            <control shapeId="14633" r:id="rId32" name="Button 3369">
              <controlPr defaultSize="0" autoFill="0" autoLine="0" autoPict="0" macro="[0]!Sheet1.deleteRow">
                <anchor moveWithCells="1" sizeWithCells="1">
                  <from>
                    <xdr:col>6</xdr:col>
                    <xdr:colOff>0</xdr:colOff>
                    <xdr:row>49</xdr:row>
                    <xdr:rowOff>0</xdr:rowOff>
                  </from>
                  <to>
                    <xdr:col>7</xdr:col>
                    <xdr:colOff>0</xdr:colOff>
                    <xdr:row>49</xdr:row>
                    <xdr:rowOff>165100</xdr:rowOff>
                  </to>
                </anchor>
              </controlPr>
            </control>
          </mc:Choice>
        </mc:AlternateContent>
        <mc:AlternateContent xmlns:mc="http://schemas.openxmlformats.org/markup-compatibility/2006">
          <mc:Choice Requires="x14">
            <control shapeId="14632" r:id="rId33" name="Button 3368">
              <controlPr defaultSize="0" autoFill="0" autoLine="0" autoPict="0" macro="[0]!Sheet1.deleteRow">
                <anchor moveWithCells="1" sizeWithCells="1">
                  <from>
                    <xdr:col>6</xdr:col>
                    <xdr:colOff>0</xdr:colOff>
                    <xdr:row>50</xdr:row>
                    <xdr:rowOff>0</xdr:rowOff>
                  </from>
                  <to>
                    <xdr:col>7</xdr:col>
                    <xdr:colOff>0</xdr:colOff>
                    <xdr:row>50</xdr:row>
                    <xdr:rowOff>165100</xdr:rowOff>
                  </to>
                </anchor>
              </controlPr>
            </control>
          </mc:Choice>
        </mc:AlternateContent>
        <mc:AlternateContent xmlns:mc="http://schemas.openxmlformats.org/markup-compatibility/2006">
          <mc:Choice Requires="x14">
            <control shapeId="14631" r:id="rId34" name="Button 3367">
              <controlPr defaultSize="0" autoFill="0" autoLine="0" autoPict="0" macro="[0]!Sheet1.deleteRow">
                <anchor moveWithCells="1" sizeWithCells="1">
                  <from>
                    <xdr:col>6</xdr:col>
                    <xdr:colOff>0</xdr:colOff>
                    <xdr:row>51</xdr:row>
                    <xdr:rowOff>0</xdr:rowOff>
                  </from>
                  <to>
                    <xdr:col>7</xdr:col>
                    <xdr:colOff>0</xdr:colOff>
                    <xdr:row>51</xdr:row>
                    <xdr:rowOff>165100</xdr:rowOff>
                  </to>
                </anchor>
              </controlPr>
            </control>
          </mc:Choice>
        </mc:AlternateContent>
        <mc:AlternateContent xmlns:mc="http://schemas.openxmlformats.org/markup-compatibility/2006">
          <mc:Choice Requires="x14">
            <control shapeId="14630" r:id="rId35" name="Button 3366">
              <controlPr defaultSize="0" autoFill="0" autoLine="0" autoPict="0" macro="[0]!Sheet1.deleteRow">
                <anchor moveWithCells="1" sizeWithCells="1">
                  <from>
                    <xdr:col>6</xdr:col>
                    <xdr:colOff>0</xdr:colOff>
                    <xdr:row>52</xdr:row>
                    <xdr:rowOff>0</xdr:rowOff>
                  </from>
                  <to>
                    <xdr:col>7</xdr:col>
                    <xdr:colOff>0</xdr:colOff>
                    <xdr:row>52</xdr:row>
                    <xdr:rowOff>165100</xdr:rowOff>
                  </to>
                </anchor>
              </controlPr>
            </control>
          </mc:Choice>
        </mc:AlternateContent>
        <mc:AlternateContent xmlns:mc="http://schemas.openxmlformats.org/markup-compatibility/2006">
          <mc:Choice Requires="x14">
            <control shapeId="14629" r:id="rId36" name="Button 3365">
              <controlPr defaultSize="0" autoFill="0" autoLine="0" autoPict="0" macro="[0]!Sheet1.deleteRow">
                <anchor moveWithCells="1" sizeWithCells="1">
                  <from>
                    <xdr:col>6</xdr:col>
                    <xdr:colOff>0</xdr:colOff>
                    <xdr:row>53</xdr:row>
                    <xdr:rowOff>0</xdr:rowOff>
                  </from>
                  <to>
                    <xdr:col>7</xdr:col>
                    <xdr:colOff>0</xdr:colOff>
                    <xdr:row>53</xdr:row>
                    <xdr:rowOff>165100</xdr:rowOff>
                  </to>
                </anchor>
              </controlPr>
            </control>
          </mc:Choice>
        </mc:AlternateContent>
        <mc:AlternateContent xmlns:mc="http://schemas.openxmlformats.org/markup-compatibility/2006">
          <mc:Choice Requires="x14">
            <control shapeId="14628" r:id="rId37" name="Button 3364">
              <controlPr defaultSize="0" autoFill="0" autoLine="0" autoPict="0" macro="[0]!Sheet1.deleteRow">
                <anchor moveWithCells="1" sizeWithCells="1">
                  <from>
                    <xdr:col>6</xdr:col>
                    <xdr:colOff>0</xdr:colOff>
                    <xdr:row>54</xdr:row>
                    <xdr:rowOff>0</xdr:rowOff>
                  </from>
                  <to>
                    <xdr:col>7</xdr:col>
                    <xdr:colOff>0</xdr:colOff>
                    <xdr:row>54</xdr:row>
                    <xdr:rowOff>165100</xdr:rowOff>
                  </to>
                </anchor>
              </controlPr>
            </control>
          </mc:Choice>
        </mc:AlternateContent>
        <mc:AlternateContent xmlns:mc="http://schemas.openxmlformats.org/markup-compatibility/2006">
          <mc:Choice Requires="x14">
            <control shapeId="14627" r:id="rId38" name="Button 3363">
              <controlPr defaultSize="0" autoFill="0" autoLine="0" autoPict="0" macro="[0]!Sheet1.deleteRow">
                <anchor moveWithCells="1" sizeWithCells="1">
                  <from>
                    <xdr:col>6</xdr:col>
                    <xdr:colOff>0</xdr:colOff>
                    <xdr:row>55</xdr:row>
                    <xdr:rowOff>0</xdr:rowOff>
                  </from>
                  <to>
                    <xdr:col>7</xdr:col>
                    <xdr:colOff>0</xdr:colOff>
                    <xdr:row>55</xdr:row>
                    <xdr:rowOff>165100</xdr:rowOff>
                  </to>
                </anchor>
              </controlPr>
            </control>
          </mc:Choice>
        </mc:AlternateContent>
        <mc:AlternateContent xmlns:mc="http://schemas.openxmlformats.org/markup-compatibility/2006">
          <mc:Choice Requires="x14">
            <control shapeId="14626" r:id="rId39" name="Button 3362">
              <controlPr defaultSize="0" autoFill="0" autoLine="0" autoPict="0" macro="[0]!Sheet1.deleteRow">
                <anchor moveWithCells="1" sizeWithCells="1">
                  <from>
                    <xdr:col>6</xdr:col>
                    <xdr:colOff>0</xdr:colOff>
                    <xdr:row>56</xdr:row>
                    <xdr:rowOff>0</xdr:rowOff>
                  </from>
                  <to>
                    <xdr:col>7</xdr:col>
                    <xdr:colOff>0</xdr:colOff>
                    <xdr:row>56</xdr:row>
                    <xdr:rowOff>165100</xdr:rowOff>
                  </to>
                </anchor>
              </controlPr>
            </control>
          </mc:Choice>
        </mc:AlternateContent>
        <mc:AlternateContent xmlns:mc="http://schemas.openxmlformats.org/markup-compatibility/2006">
          <mc:Choice Requires="x14">
            <control shapeId="14625" r:id="rId40" name="Button 3361">
              <controlPr defaultSize="0" autoFill="0" autoLine="0" autoPict="0" macro="[0]!Sheet1.deleteRow">
                <anchor moveWithCells="1" sizeWithCells="1">
                  <from>
                    <xdr:col>6</xdr:col>
                    <xdr:colOff>0</xdr:colOff>
                    <xdr:row>57</xdr:row>
                    <xdr:rowOff>0</xdr:rowOff>
                  </from>
                  <to>
                    <xdr:col>7</xdr:col>
                    <xdr:colOff>0</xdr:colOff>
                    <xdr:row>57</xdr:row>
                    <xdr:rowOff>165100</xdr:rowOff>
                  </to>
                </anchor>
              </controlPr>
            </control>
          </mc:Choice>
        </mc:AlternateContent>
        <mc:AlternateContent xmlns:mc="http://schemas.openxmlformats.org/markup-compatibility/2006">
          <mc:Choice Requires="x14">
            <control shapeId="14624" r:id="rId41" name="Button 3360">
              <controlPr defaultSize="0" autoFill="0" autoLine="0" autoPict="0" macro="[0]!Sheet1.deleteRow">
                <anchor moveWithCells="1" sizeWithCells="1">
                  <from>
                    <xdr:col>6</xdr:col>
                    <xdr:colOff>0</xdr:colOff>
                    <xdr:row>58</xdr:row>
                    <xdr:rowOff>0</xdr:rowOff>
                  </from>
                  <to>
                    <xdr:col>7</xdr:col>
                    <xdr:colOff>0</xdr:colOff>
                    <xdr:row>58</xdr:row>
                    <xdr:rowOff>165100</xdr:rowOff>
                  </to>
                </anchor>
              </controlPr>
            </control>
          </mc:Choice>
        </mc:AlternateContent>
        <mc:AlternateContent xmlns:mc="http://schemas.openxmlformats.org/markup-compatibility/2006">
          <mc:Choice Requires="x14">
            <control shapeId="14623" r:id="rId42" name="Button 3359">
              <controlPr defaultSize="0" autoFill="0" autoLine="0" autoPict="0" macro="[0]!Sheet1.deleteRow">
                <anchor moveWithCells="1" sizeWithCells="1">
                  <from>
                    <xdr:col>6</xdr:col>
                    <xdr:colOff>0</xdr:colOff>
                    <xdr:row>59</xdr:row>
                    <xdr:rowOff>0</xdr:rowOff>
                  </from>
                  <to>
                    <xdr:col>7</xdr:col>
                    <xdr:colOff>0</xdr:colOff>
                    <xdr:row>59</xdr:row>
                    <xdr:rowOff>165100</xdr:rowOff>
                  </to>
                </anchor>
              </controlPr>
            </control>
          </mc:Choice>
        </mc:AlternateContent>
        <mc:AlternateContent xmlns:mc="http://schemas.openxmlformats.org/markup-compatibility/2006">
          <mc:Choice Requires="x14">
            <control shapeId="14622" r:id="rId43" name="Button 3358">
              <controlPr defaultSize="0" autoFill="0" autoLine="0" autoPict="0" macro="[0]!Sheet1.deleteRow">
                <anchor moveWithCells="1" sizeWithCells="1">
                  <from>
                    <xdr:col>6</xdr:col>
                    <xdr:colOff>0</xdr:colOff>
                    <xdr:row>60</xdr:row>
                    <xdr:rowOff>0</xdr:rowOff>
                  </from>
                  <to>
                    <xdr:col>7</xdr:col>
                    <xdr:colOff>0</xdr:colOff>
                    <xdr:row>60</xdr:row>
                    <xdr:rowOff>165100</xdr:rowOff>
                  </to>
                </anchor>
              </controlPr>
            </control>
          </mc:Choice>
        </mc:AlternateContent>
        <mc:AlternateContent xmlns:mc="http://schemas.openxmlformats.org/markup-compatibility/2006">
          <mc:Choice Requires="x14">
            <control shapeId="14621" r:id="rId44" name="Button 3357">
              <controlPr defaultSize="0" autoFill="0" autoLine="0" autoPict="0" macro="[0]!Sheet1.deleteRow">
                <anchor moveWithCells="1" sizeWithCells="1">
                  <from>
                    <xdr:col>6</xdr:col>
                    <xdr:colOff>0</xdr:colOff>
                    <xdr:row>61</xdr:row>
                    <xdr:rowOff>0</xdr:rowOff>
                  </from>
                  <to>
                    <xdr:col>7</xdr:col>
                    <xdr:colOff>0</xdr:colOff>
                    <xdr:row>61</xdr:row>
                    <xdr:rowOff>165100</xdr:rowOff>
                  </to>
                </anchor>
              </controlPr>
            </control>
          </mc:Choice>
        </mc:AlternateContent>
        <mc:AlternateContent xmlns:mc="http://schemas.openxmlformats.org/markup-compatibility/2006">
          <mc:Choice Requires="x14">
            <control shapeId="14620" r:id="rId45" name="Button 3356">
              <controlPr defaultSize="0" autoFill="0" autoLine="0" autoPict="0" macro="[0]!Sheet1.deleteRow">
                <anchor moveWithCells="1" sizeWithCells="1">
                  <from>
                    <xdr:col>6</xdr:col>
                    <xdr:colOff>0</xdr:colOff>
                    <xdr:row>62</xdr:row>
                    <xdr:rowOff>0</xdr:rowOff>
                  </from>
                  <to>
                    <xdr:col>7</xdr:col>
                    <xdr:colOff>0</xdr:colOff>
                    <xdr:row>62</xdr:row>
                    <xdr:rowOff>165100</xdr:rowOff>
                  </to>
                </anchor>
              </controlPr>
            </control>
          </mc:Choice>
        </mc:AlternateContent>
        <mc:AlternateContent xmlns:mc="http://schemas.openxmlformats.org/markup-compatibility/2006">
          <mc:Choice Requires="x14">
            <control shapeId="14619" r:id="rId46" name="Button 3355">
              <controlPr defaultSize="0" autoFill="0" autoLine="0" autoPict="0" macro="[0]!Sheet1.deleteRow">
                <anchor moveWithCells="1" sizeWithCells="1">
                  <from>
                    <xdr:col>6</xdr:col>
                    <xdr:colOff>0</xdr:colOff>
                    <xdr:row>63</xdr:row>
                    <xdr:rowOff>0</xdr:rowOff>
                  </from>
                  <to>
                    <xdr:col>7</xdr:col>
                    <xdr:colOff>0</xdr:colOff>
                    <xdr:row>63</xdr:row>
                    <xdr:rowOff>165100</xdr:rowOff>
                  </to>
                </anchor>
              </controlPr>
            </control>
          </mc:Choice>
        </mc:AlternateContent>
        <mc:AlternateContent xmlns:mc="http://schemas.openxmlformats.org/markup-compatibility/2006">
          <mc:Choice Requires="x14">
            <control shapeId="14618" r:id="rId47" name="Button 3354">
              <controlPr defaultSize="0" autoFill="0" autoLine="0" autoPict="0" macro="[0]!Sheet1.deleteRow">
                <anchor moveWithCells="1" sizeWithCells="1">
                  <from>
                    <xdr:col>6</xdr:col>
                    <xdr:colOff>0</xdr:colOff>
                    <xdr:row>64</xdr:row>
                    <xdr:rowOff>0</xdr:rowOff>
                  </from>
                  <to>
                    <xdr:col>7</xdr:col>
                    <xdr:colOff>0</xdr:colOff>
                    <xdr:row>64</xdr:row>
                    <xdr:rowOff>165100</xdr:rowOff>
                  </to>
                </anchor>
              </controlPr>
            </control>
          </mc:Choice>
        </mc:AlternateContent>
        <mc:AlternateContent xmlns:mc="http://schemas.openxmlformats.org/markup-compatibility/2006">
          <mc:Choice Requires="x14">
            <control shapeId="14617" r:id="rId48" name="Button 3353">
              <controlPr defaultSize="0" autoFill="0" autoLine="0" autoPict="0" macro="[0]!Sheet1.deleteRow">
                <anchor moveWithCells="1" sizeWithCells="1">
                  <from>
                    <xdr:col>6</xdr:col>
                    <xdr:colOff>0</xdr:colOff>
                    <xdr:row>65</xdr:row>
                    <xdr:rowOff>0</xdr:rowOff>
                  </from>
                  <to>
                    <xdr:col>7</xdr:col>
                    <xdr:colOff>0</xdr:colOff>
                    <xdr:row>65</xdr:row>
                    <xdr:rowOff>165100</xdr:rowOff>
                  </to>
                </anchor>
              </controlPr>
            </control>
          </mc:Choice>
        </mc:AlternateContent>
        <mc:AlternateContent xmlns:mc="http://schemas.openxmlformats.org/markup-compatibility/2006">
          <mc:Choice Requires="x14">
            <control shapeId="14616" r:id="rId49" name="Button 3352">
              <controlPr defaultSize="0" autoFill="0" autoLine="0" autoPict="0" macro="[0]!Sheet1.deleteRow">
                <anchor moveWithCells="1" sizeWithCells="1">
                  <from>
                    <xdr:col>6</xdr:col>
                    <xdr:colOff>0</xdr:colOff>
                    <xdr:row>66</xdr:row>
                    <xdr:rowOff>0</xdr:rowOff>
                  </from>
                  <to>
                    <xdr:col>7</xdr:col>
                    <xdr:colOff>0</xdr:colOff>
                    <xdr:row>66</xdr:row>
                    <xdr:rowOff>165100</xdr:rowOff>
                  </to>
                </anchor>
              </controlPr>
            </control>
          </mc:Choice>
        </mc:AlternateContent>
        <mc:AlternateContent xmlns:mc="http://schemas.openxmlformats.org/markup-compatibility/2006">
          <mc:Choice Requires="x14">
            <control shapeId="14615" r:id="rId50" name="Button 3351">
              <controlPr defaultSize="0" autoFill="0" autoLine="0" autoPict="0" macro="[0]!Sheet1.deleteRow">
                <anchor moveWithCells="1" sizeWithCells="1">
                  <from>
                    <xdr:col>6</xdr:col>
                    <xdr:colOff>0</xdr:colOff>
                    <xdr:row>67</xdr:row>
                    <xdr:rowOff>0</xdr:rowOff>
                  </from>
                  <to>
                    <xdr:col>7</xdr:col>
                    <xdr:colOff>0</xdr:colOff>
                    <xdr:row>67</xdr:row>
                    <xdr:rowOff>165100</xdr:rowOff>
                  </to>
                </anchor>
              </controlPr>
            </control>
          </mc:Choice>
        </mc:AlternateContent>
        <mc:AlternateContent xmlns:mc="http://schemas.openxmlformats.org/markup-compatibility/2006">
          <mc:Choice Requires="x14">
            <control shapeId="14614" r:id="rId51" name="Button 3350">
              <controlPr defaultSize="0" autoFill="0" autoLine="0" autoPict="0" macro="[0]!Sheet1.deleteRow">
                <anchor moveWithCells="1" sizeWithCells="1">
                  <from>
                    <xdr:col>6</xdr:col>
                    <xdr:colOff>0</xdr:colOff>
                    <xdr:row>68</xdr:row>
                    <xdr:rowOff>0</xdr:rowOff>
                  </from>
                  <to>
                    <xdr:col>7</xdr:col>
                    <xdr:colOff>0</xdr:colOff>
                    <xdr:row>68</xdr:row>
                    <xdr:rowOff>165100</xdr:rowOff>
                  </to>
                </anchor>
              </controlPr>
            </control>
          </mc:Choice>
        </mc:AlternateContent>
        <mc:AlternateContent xmlns:mc="http://schemas.openxmlformats.org/markup-compatibility/2006">
          <mc:Choice Requires="x14">
            <control shapeId="14613" r:id="rId52" name="Button 3349">
              <controlPr defaultSize="0" autoFill="0" autoLine="0" autoPict="0" macro="[0]!Sheet1.deleteRow">
                <anchor moveWithCells="1" sizeWithCells="1">
                  <from>
                    <xdr:col>6</xdr:col>
                    <xdr:colOff>0</xdr:colOff>
                    <xdr:row>69</xdr:row>
                    <xdr:rowOff>0</xdr:rowOff>
                  </from>
                  <to>
                    <xdr:col>7</xdr:col>
                    <xdr:colOff>0</xdr:colOff>
                    <xdr:row>69</xdr:row>
                    <xdr:rowOff>165100</xdr:rowOff>
                  </to>
                </anchor>
              </controlPr>
            </control>
          </mc:Choice>
        </mc:AlternateContent>
        <mc:AlternateContent xmlns:mc="http://schemas.openxmlformats.org/markup-compatibility/2006">
          <mc:Choice Requires="x14">
            <control shapeId="14612" r:id="rId53" name="Button 3348">
              <controlPr defaultSize="0" autoFill="0" autoLine="0" autoPict="0" macro="[0]!Sheet1.deleteRow">
                <anchor moveWithCells="1" sizeWithCells="1">
                  <from>
                    <xdr:col>6</xdr:col>
                    <xdr:colOff>0</xdr:colOff>
                    <xdr:row>70</xdr:row>
                    <xdr:rowOff>0</xdr:rowOff>
                  </from>
                  <to>
                    <xdr:col>7</xdr:col>
                    <xdr:colOff>0</xdr:colOff>
                    <xdr:row>70</xdr:row>
                    <xdr:rowOff>165100</xdr:rowOff>
                  </to>
                </anchor>
              </controlPr>
            </control>
          </mc:Choice>
        </mc:AlternateContent>
        <mc:AlternateContent xmlns:mc="http://schemas.openxmlformats.org/markup-compatibility/2006">
          <mc:Choice Requires="x14">
            <control shapeId="14611" r:id="rId54" name="Button 3347">
              <controlPr defaultSize="0" autoFill="0" autoLine="0" autoPict="0" macro="[0]!Sheet1.deleteRow">
                <anchor moveWithCells="1" sizeWithCells="1">
                  <from>
                    <xdr:col>6</xdr:col>
                    <xdr:colOff>0</xdr:colOff>
                    <xdr:row>71</xdr:row>
                    <xdr:rowOff>0</xdr:rowOff>
                  </from>
                  <to>
                    <xdr:col>7</xdr:col>
                    <xdr:colOff>0</xdr:colOff>
                    <xdr:row>71</xdr:row>
                    <xdr:rowOff>165100</xdr:rowOff>
                  </to>
                </anchor>
              </controlPr>
            </control>
          </mc:Choice>
        </mc:AlternateContent>
        <mc:AlternateContent xmlns:mc="http://schemas.openxmlformats.org/markup-compatibility/2006">
          <mc:Choice Requires="x14">
            <control shapeId="14610" r:id="rId55" name="Button 3346">
              <controlPr defaultSize="0" autoFill="0" autoLine="0" autoPict="0" macro="[0]!Sheet1.deleteRow">
                <anchor moveWithCells="1" sizeWithCells="1">
                  <from>
                    <xdr:col>6</xdr:col>
                    <xdr:colOff>0</xdr:colOff>
                    <xdr:row>72</xdr:row>
                    <xdr:rowOff>0</xdr:rowOff>
                  </from>
                  <to>
                    <xdr:col>7</xdr:col>
                    <xdr:colOff>0</xdr:colOff>
                    <xdr:row>72</xdr:row>
                    <xdr:rowOff>165100</xdr:rowOff>
                  </to>
                </anchor>
              </controlPr>
            </control>
          </mc:Choice>
        </mc:AlternateContent>
        <mc:AlternateContent xmlns:mc="http://schemas.openxmlformats.org/markup-compatibility/2006">
          <mc:Choice Requires="x14">
            <control shapeId="14609" r:id="rId56" name="Button 3345">
              <controlPr defaultSize="0" autoFill="0" autoLine="0" autoPict="0" macro="[0]!Sheet1.deleteRow">
                <anchor moveWithCells="1" sizeWithCells="1">
                  <from>
                    <xdr:col>6</xdr:col>
                    <xdr:colOff>0</xdr:colOff>
                    <xdr:row>73</xdr:row>
                    <xdr:rowOff>0</xdr:rowOff>
                  </from>
                  <to>
                    <xdr:col>7</xdr:col>
                    <xdr:colOff>0</xdr:colOff>
                    <xdr:row>73</xdr:row>
                    <xdr:rowOff>165100</xdr:rowOff>
                  </to>
                </anchor>
              </controlPr>
            </control>
          </mc:Choice>
        </mc:AlternateContent>
        <mc:AlternateContent xmlns:mc="http://schemas.openxmlformats.org/markup-compatibility/2006">
          <mc:Choice Requires="x14">
            <control shapeId="14608" r:id="rId57" name="Button 3344">
              <controlPr defaultSize="0" autoFill="0" autoLine="0" autoPict="0" macro="[0]!Sheet1.deleteRow">
                <anchor moveWithCells="1" sizeWithCells="1">
                  <from>
                    <xdr:col>6</xdr:col>
                    <xdr:colOff>0</xdr:colOff>
                    <xdr:row>74</xdr:row>
                    <xdr:rowOff>0</xdr:rowOff>
                  </from>
                  <to>
                    <xdr:col>7</xdr:col>
                    <xdr:colOff>0</xdr:colOff>
                    <xdr:row>74</xdr:row>
                    <xdr:rowOff>165100</xdr:rowOff>
                  </to>
                </anchor>
              </controlPr>
            </control>
          </mc:Choice>
        </mc:AlternateContent>
        <mc:AlternateContent xmlns:mc="http://schemas.openxmlformats.org/markup-compatibility/2006">
          <mc:Choice Requires="x14">
            <control shapeId="14607" r:id="rId58" name="Button 3343">
              <controlPr defaultSize="0" autoFill="0" autoLine="0" autoPict="0" macro="[0]!Sheet1.deleteRow">
                <anchor moveWithCells="1" sizeWithCells="1">
                  <from>
                    <xdr:col>6</xdr:col>
                    <xdr:colOff>0</xdr:colOff>
                    <xdr:row>75</xdr:row>
                    <xdr:rowOff>0</xdr:rowOff>
                  </from>
                  <to>
                    <xdr:col>7</xdr:col>
                    <xdr:colOff>0</xdr:colOff>
                    <xdr:row>75</xdr:row>
                    <xdr:rowOff>165100</xdr:rowOff>
                  </to>
                </anchor>
              </controlPr>
            </control>
          </mc:Choice>
        </mc:AlternateContent>
        <mc:AlternateContent xmlns:mc="http://schemas.openxmlformats.org/markup-compatibility/2006">
          <mc:Choice Requires="x14">
            <control shapeId="14606" r:id="rId59" name="Button 3342">
              <controlPr defaultSize="0" autoFill="0" autoLine="0" autoPict="0" macro="[0]!Sheet1.deleteRow">
                <anchor moveWithCells="1" sizeWithCells="1">
                  <from>
                    <xdr:col>6</xdr:col>
                    <xdr:colOff>0</xdr:colOff>
                    <xdr:row>76</xdr:row>
                    <xdr:rowOff>0</xdr:rowOff>
                  </from>
                  <to>
                    <xdr:col>7</xdr:col>
                    <xdr:colOff>0</xdr:colOff>
                    <xdr:row>76</xdr:row>
                    <xdr:rowOff>165100</xdr:rowOff>
                  </to>
                </anchor>
              </controlPr>
            </control>
          </mc:Choice>
        </mc:AlternateContent>
        <mc:AlternateContent xmlns:mc="http://schemas.openxmlformats.org/markup-compatibility/2006">
          <mc:Choice Requires="x14">
            <control shapeId="14605" r:id="rId60" name="Button 3341">
              <controlPr defaultSize="0" autoFill="0" autoLine="0" autoPict="0" macro="[0]!Sheet1.deleteRow">
                <anchor moveWithCells="1" sizeWithCells="1">
                  <from>
                    <xdr:col>6</xdr:col>
                    <xdr:colOff>0</xdr:colOff>
                    <xdr:row>77</xdr:row>
                    <xdr:rowOff>0</xdr:rowOff>
                  </from>
                  <to>
                    <xdr:col>7</xdr:col>
                    <xdr:colOff>0</xdr:colOff>
                    <xdr:row>77</xdr:row>
                    <xdr:rowOff>165100</xdr:rowOff>
                  </to>
                </anchor>
              </controlPr>
            </control>
          </mc:Choice>
        </mc:AlternateContent>
        <mc:AlternateContent xmlns:mc="http://schemas.openxmlformats.org/markup-compatibility/2006">
          <mc:Choice Requires="x14">
            <control shapeId="14604" r:id="rId61" name="Button 3340">
              <controlPr defaultSize="0" autoFill="0" autoLine="0" autoPict="0" macro="[0]!Sheet1.deleteRow">
                <anchor moveWithCells="1" sizeWithCells="1">
                  <from>
                    <xdr:col>6</xdr:col>
                    <xdr:colOff>0</xdr:colOff>
                    <xdr:row>78</xdr:row>
                    <xdr:rowOff>0</xdr:rowOff>
                  </from>
                  <to>
                    <xdr:col>7</xdr:col>
                    <xdr:colOff>0</xdr:colOff>
                    <xdr:row>78</xdr:row>
                    <xdr:rowOff>165100</xdr:rowOff>
                  </to>
                </anchor>
              </controlPr>
            </control>
          </mc:Choice>
        </mc:AlternateContent>
        <mc:AlternateContent xmlns:mc="http://schemas.openxmlformats.org/markup-compatibility/2006">
          <mc:Choice Requires="x14">
            <control shapeId="14603" r:id="rId62" name="Button 3339">
              <controlPr defaultSize="0" autoFill="0" autoLine="0" autoPict="0" macro="[0]!Sheet1.deleteRow">
                <anchor moveWithCells="1" sizeWithCells="1">
                  <from>
                    <xdr:col>6</xdr:col>
                    <xdr:colOff>0</xdr:colOff>
                    <xdr:row>79</xdr:row>
                    <xdr:rowOff>0</xdr:rowOff>
                  </from>
                  <to>
                    <xdr:col>7</xdr:col>
                    <xdr:colOff>0</xdr:colOff>
                    <xdr:row>79</xdr:row>
                    <xdr:rowOff>165100</xdr:rowOff>
                  </to>
                </anchor>
              </controlPr>
            </control>
          </mc:Choice>
        </mc:AlternateContent>
        <mc:AlternateContent xmlns:mc="http://schemas.openxmlformats.org/markup-compatibility/2006">
          <mc:Choice Requires="x14">
            <control shapeId="14602" r:id="rId63" name="Button 3338">
              <controlPr defaultSize="0" autoFill="0" autoLine="0" autoPict="0" macro="[0]!Sheet1.deleteRow">
                <anchor moveWithCells="1" sizeWithCells="1">
                  <from>
                    <xdr:col>6</xdr:col>
                    <xdr:colOff>0</xdr:colOff>
                    <xdr:row>80</xdr:row>
                    <xdr:rowOff>0</xdr:rowOff>
                  </from>
                  <to>
                    <xdr:col>7</xdr:col>
                    <xdr:colOff>0</xdr:colOff>
                    <xdr:row>80</xdr:row>
                    <xdr:rowOff>165100</xdr:rowOff>
                  </to>
                </anchor>
              </controlPr>
            </control>
          </mc:Choice>
        </mc:AlternateContent>
        <mc:AlternateContent xmlns:mc="http://schemas.openxmlformats.org/markup-compatibility/2006">
          <mc:Choice Requires="x14">
            <control shapeId="14601" r:id="rId64" name="Button 3337">
              <controlPr defaultSize="0" autoFill="0" autoLine="0" autoPict="0" macro="[0]!Sheet1.deleteRow">
                <anchor moveWithCells="1" sizeWithCells="1">
                  <from>
                    <xdr:col>6</xdr:col>
                    <xdr:colOff>0</xdr:colOff>
                    <xdr:row>81</xdr:row>
                    <xdr:rowOff>0</xdr:rowOff>
                  </from>
                  <to>
                    <xdr:col>7</xdr:col>
                    <xdr:colOff>0</xdr:colOff>
                    <xdr:row>81</xdr:row>
                    <xdr:rowOff>165100</xdr:rowOff>
                  </to>
                </anchor>
              </controlPr>
            </control>
          </mc:Choice>
        </mc:AlternateContent>
        <mc:AlternateContent xmlns:mc="http://schemas.openxmlformats.org/markup-compatibility/2006">
          <mc:Choice Requires="x14">
            <control shapeId="14600" r:id="rId65" name="Button 3336">
              <controlPr defaultSize="0" autoFill="0" autoLine="0" autoPict="0" macro="[0]!Sheet1.deleteRow">
                <anchor moveWithCells="1" sizeWithCells="1">
                  <from>
                    <xdr:col>6</xdr:col>
                    <xdr:colOff>0</xdr:colOff>
                    <xdr:row>82</xdr:row>
                    <xdr:rowOff>0</xdr:rowOff>
                  </from>
                  <to>
                    <xdr:col>7</xdr:col>
                    <xdr:colOff>0</xdr:colOff>
                    <xdr:row>82</xdr:row>
                    <xdr:rowOff>165100</xdr:rowOff>
                  </to>
                </anchor>
              </controlPr>
            </control>
          </mc:Choice>
        </mc:AlternateContent>
        <mc:AlternateContent xmlns:mc="http://schemas.openxmlformats.org/markup-compatibility/2006">
          <mc:Choice Requires="x14">
            <control shapeId="14599" r:id="rId66" name="Button 3335">
              <controlPr defaultSize="0" autoFill="0" autoLine="0" autoPict="0" macro="[0]!Sheet1.deleteRow">
                <anchor moveWithCells="1" sizeWithCells="1">
                  <from>
                    <xdr:col>6</xdr:col>
                    <xdr:colOff>0</xdr:colOff>
                    <xdr:row>83</xdr:row>
                    <xdr:rowOff>0</xdr:rowOff>
                  </from>
                  <to>
                    <xdr:col>7</xdr:col>
                    <xdr:colOff>0</xdr:colOff>
                    <xdr:row>83</xdr:row>
                    <xdr:rowOff>165100</xdr:rowOff>
                  </to>
                </anchor>
              </controlPr>
            </control>
          </mc:Choice>
        </mc:AlternateContent>
        <mc:AlternateContent xmlns:mc="http://schemas.openxmlformats.org/markup-compatibility/2006">
          <mc:Choice Requires="x14">
            <control shapeId="14598" r:id="rId67" name="Button 3334">
              <controlPr defaultSize="0" autoFill="0" autoLine="0" autoPict="0" macro="[0]!Sheet1.deleteRow">
                <anchor moveWithCells="1" sizeWithCells="1">
                  <from>
                    <xdr:col>6</xdr:col>
                    <xdr:colOff>0</xdr:colOff>
                    <xdr:row>84</xdr:row>
                    <xdr:rowOff>0</xdr:rowOff>
                  </from>
                  <to>
                    <xdr:col>7</xdr:col>
                    <xdr:colOff>0</xdr:colOff>
                    <xdr:row>84</xdr:row>
                    <xdr:rowOff>165100</xdr:rowOff>
                  </to>
                </anchor>
              </controlPr>
            </control>
          </mc:Choice>
        </mc:AlternateContent>
        <mc:AlternateContent xmlns:mc="http://schemas.openxmlformats.org/markup-compatibility/2006">
          <mc:Choice Requires="x14">
            <control shapeId="14597" r:id="rId68" name="Button 3333">
              <controlPr defaultSize="0" autoFill="0" autoLine="0" autoPict="0" macro="[0]!Sheet1.deleteRow">
                <anchor moveWithCells="1" sizeWithCells="1">
                  <from>
                    <xdr:col>6</xdr:col>
                    <xdr:colOff>0</xdr:colOff>
                    <xdr:row>85</xdr:row>
                    <xdr:rowOff>0</xdr:rowOff>
                  </from>
                  <to>
                    <xdr:col>7</xdr:col>
                    <xdr:colOff>0</xdr:colOff>
                    <xdr:row>85</xdr:row>
                    <xdr:rowOff>165100</xdr:rowOff>
                  </to>
                </anchor>
              </controlPr>
            </control>
          </mc:Choice>
        </mc:AlternateContent>
        <mc:AlternateContent xmlns:mc="http://schemas.openxmlformats.org/markup-compatibility/2006">
          <mc:Choice Requires="x14">
            <control shapeId="14596" r:id="rId69" name="Button 3332">
              <controlPr defaultSize="0" autoFill="0" autoLine="0" autoPict="0" macro="[0]!Sheet1.deleteRow">
                <anchor moveWithCells="1" sizeWithCells="1">
                  <from>
                    <xdr:col>6</xdr:col>
                    <xdr:colOff>0</xdr:colOff>
                    <xdr:row>86</xdr:row>
                    <xdr:rowOff>0</xdr:rowOff>
                  </from>
                  <to>
                    <xdr:col>7</xdr:col>
                    <xdr:colOff>0</xdr:colOff>
                    <xdr:row>86</xdr:row>
                    <xdr:rowOff>165100</xdr:rowOff>
                  </to>
                </anchor>
              </controlPr>
            </control>
          </mc:Choice>
        </mc:AlternateContent>
        <mc:AlternateContent xmlns:mc="http://schemas.openxmlformats.org/markup-compatibility/2006">
          <mc:Choice Requires="x14">
            <control shapeId="14595" r:id="rId70" name="Button 3331">
              <controlPr defaultSize="0" autoFill="0" autoLine="0" autoPict="0" macro="[0]!Sheet1.deleteRow">
                <anchor moveWithCells="1" sizeWithCells="1">
                  <from>
                    <xdr:col>6</xdr:col>
                    <xdr:colOff>0</xdr:colOff>
                    <xdr:row>87</xdr:row>
                    <xdr:rowOff>0</xdr:rowOff>
                  </from>
                  <to>
                    <xdr:col>7</xdr:col>
                    <xdr:colOff>0</xdr:colOff>
                    <xdr:row>87</xdr:row>
                    <xdr:rowOff>165100</xdr:rowOff>
                  </to>
                </anchor>
              </controlPr>
            </control>
          </mc:Choice>
        </mc:AlternateContent>
        <mc:AlternateContent xmlns:mc="http://schemas.openxmlformats.org/markup-compatibility/2006">
          <mc:Choice Requires="x14">
            <control shapeId="14594" r:id="rId71" name="Button 3330">
              <controlPr defaultSize="0" autoFill="0" autoLine="0" autoPict="0" macro="[0]!Sheet1.deleteRow">
                <anchor moveWithCells="1" sizeWithCells="1">
                  <from>
                    <xdr:col>6</xdr:col>
                    <xdr:colOff>0</xdr:colOff>
                    <xdr:row>88</xdr:row>
                    <xdr:rowOff>0</xdr:rowOff>
                  </from>
                  <to>
                    <xdr:col>7</xdr:col>
                    <xdr:colOff>0</xdr:colOff>
                    <xdr:row>88</xdr:row>
                    <xdr:rowOff>165100</xdr:rowOff>
                  </to>
                </anchor>
              </controlPr>
            </control>
          </mc:Choice>
        </mc:AlternateContent>
        <mc:AlternateContent xmlns:mc="http://schemas.openxmlformats.org/markup-compatibility/2006">
          <mc:Choice Requires="x14">
            <control shapeId="14593" r:id="rId72" name="Button 3329">
              <controlPr defaultSize="0" autoFill="0" autoLine="0" autoPict="0" macro="[0]!Sheet1.deleteRow">
                <anchor moveWithCells="1" sizeWithCells="1">
                  <from>
                    <xdr:col>6</xdr:col>
                    <xdr:colOff>0</xdr:colOff>
                    <xdr:row>89</xdr:row>
                    <xdr:rowOff>0</xdr:rowOff>
                  </from>
                  <to>
                    <xdr:col>7</xdr:col>
                    <xdr:colOff>0</xdr:colOff>
                    <xdr:row>89</xdr:row>
                    <xdr:rowOff>165100</xdr:rowOff>
                  </to>
                </anchor>
              </controlPr>
            </control>
          </mc:Choice>
        </mc:AlternateContent>
        <mc:AlternateContent xmlns:mc="http://schemas.openxmlformats.org/markup-compatibility/2006">
          <mc:Choice Requires="x14">
            <control shapeId="14592" r:id="rId73" name="Button 3328">
              <controlPr defaultSize="0" autoFill="0" autoLine="0" autoPict="0" macro="[0]!Sheet1.deleteRow">
                <anchor moveWithCells="1" sizeWithCells="1">
                  <from>
                    <xdr:col>6</xdr:col>
                    <xdr:colOff>0</xdr:colOff>
                    <xdr:row>90</xdr:row>
                    <xdr:rowOff>0</xdr:rowOff>
                  </from>
                  <to>
                    <xdr:col>7</xdr:col>
                    <xdr:colOff>0</xdr:colOff>
                    <xdr:row>90</xdr:row>
                    <xdr:rowOff>165100</xdr:rowOff>
                  </to>
                </anchor>
              </controlPr>
            </control>
          </mc:Choice>
        </mc:AlternateContent>
        <mc:AlternateContent xmlns:mc="http://schemas.openxmlformats.org/markup-compatibility/2006">
          <mc:Choice Requires="x14">
            <control shapeId="14591" r:id="rId74" name="Button 3327">
              <controlPr defaultSize="0" autoFill="0" autoLine="0" autoPict="0" macro="[0]!Sheet1.deleteRow">
                <anchor moveWithCells="1" sizeWithCells="1">
                  <from>
                    <xdr:col>6</xdr:col>
                    <xdr:colOff>0</xdr:colOff>
                    <xdr:row>91</xdr:row>
                    <xdr:rowOff>0</xdr:rowOff>
                  </from>
                  <to>
                    <xdr:col>7</xdr:col>
                    <xdr:colOff>0</xdr:colOff>
                    <xdr:row>91</xdr:row>
                    <xdr:rowOff>165100</xdr:rowOff>
                  </to>
                </anchor>
              </controlPr>
            </control>
          </mc:Choice>
        </mc:AlternateContent>
        <mc:AlternateContent xmlns:mc="http://schemas.openxmlformats.org/markup-compatibility/2006">
          <mc:Choice Requires="x14">
            <control shapeId="14590" r:id="rId75" name="Button 3326">
              <controlPr defaultSize="0" autoFill="0" autoLine="0" autoPict="0" macro="[0]!Sheet1.deleteRow">
                <anchor moveWithCells="1" sizeWithCells="1">
                  <from>
                    <xdr:col>6</xdr:col>
                    <xdr:colOff>0</xdr:colOff>
                    <xdr:row>92</xdr:row>
                    <xdr:rowOff>0</xdr:rowOff>
                  </from>
                  <to>
                    <xdr:col>7</xdr:col>
                    <xdr:colOff>0</xdr:colOff>
                    <xdr:row>92</xdr:row>
                    <xdr:rowOff>165100</xdr:rowOff>
                  </to>
                </anchor>
              </controlPr>
            </control>
          </mc:Choice>
        </mc:AlternateContent>
        <mc:AlternateContent xmlns:mc="http://schemas.openxmlformats.org/markup-compatibility/2006">
          <mc:Choice Requires="x14">
            <control shapeId="14589" r:id="rId76" name="Button 3325">
              <controlPr defaultSize="0" autoFill="0" autoLine="0" autoPict="0" macro="[0]!Sheet1.deleteRow">
                <anchor moveWithCells="1" sizeWithCells="1">
                  <from>
                    <xdr:col>6</xdr:col>
                    <xdr:colOff>0</xdr:colOff>
                    <xdr:row>93</xdr:row>
                    <xdr:rowOff>0</xdr:rowOff>
                  </from>
                  <to>
                    <xdr:col>7</xdr:col>
                    <xdr:colOff>0</xdr:colOff>
                    <xdr:row>93</xdr:row>
                    <xdr:rowOff>165100</xdr:rowOff>
                  </to>
                </anchor>
              </controlPr>
            </control>
          </mc:Choice>
        </mc:AlternateContent>
        <mc:AlternateContent xmlns:mc="http://schemas.openxmlformats.org/markup-compatibility/2006">
          <mc:Choice Requires="x14">
            <control shapeId="14588" r:id="rId77" name="Button 3324">
              <controlPr defaultSize="0" autoFill="0" autoLine="0" autoPict="0" macro="[0]!Sheet1.deleteRow">
                <anchor moveWithCells="1" sizeWithCells="1">
                  <from>
                    <xdr:col>6</xdr:col>
                    <xdr:colOff>0</xdr:colOff>
                    <xdr:row>94</xdr:row>
                    <xdr:rowOff>0</xdr:rowOff>
                  </from>
                  <to>
                    <xdr:col>7</xdr:col>
                    <xdr:colOff>0</xdr:colOff>
                    <xdr:row>94</xdr:row>
                    <xdr:rowOff>165100</xdr:rowOff>
                  </to>
                </anchor>
              </controlPr>
            </control>
          </mc:Choice>
        </mc:AlternateContent>
        <mc:AlternateContent xmlns:mc="http://schemas.openxmlformats.org/markup-compatibility/2006">
          <mc:Choice Requires="x14">
            <control shapeId="14587" r:id="rId78" name="Button 3323">
              <controlPr defaultSize="0" autoFill="0" autoLine="0" autoPict="0" macro="[0]!Sheet1.deleteRow">
                <anchor moveWithCells="1" sizeWithCells="1">
                  <from>
                    <xdr:col>6</xdr:col>
                    <xdr:colOff>0</xdr:colOff>
                    <xdr:row>95</xdr:row>
                    <xdr:rowOff>0</xdr:rowOff>
                  </from>
                  <to>
                    <xdr:col>7</xdr:col>
                    <xdr:colOff>0</xdr:colOff>
                    <xdr:row>95</xdr:row>
                    <xdr:rowOff>165100</xdr:rowOff>
                  </to>
                </anchor>
              </controlPr>
            </control>
          </mc:Choice>
        </mc:AlternateContent>
        <mc:AlternateContent xmlns:mc="http://schemas.openxmlformats.org/markup-compatibility/2006">
          <mc:Choice Requires="x14">
            <control shapeId="14586" r:id="rId79" name="Button 3322">
              <controlPr defaultSize="0" autoFill="0" autoLine="0" autoPict="0" macro="[0]!Sheet1.deleteRow">
                <anchor moveWithCells="1" sizeWithCells="1">
                  <from>
                    <xdr:col>6</xdr:col>
                    <xdr:colOff>0</xdr:colOff>
                    <xdr:row>96</xdr:row>
                    <xdr:rowOff>0</xdr:rowOff>
                  </from>
                  <to>
                    <xdr:col>7</xdr:col>
                    <xdr:colOff>0</xdr:colOff>
                    <xdr:row>96</xdr:row>
                    <xdr:rowOff>165100</xdr:rowOff>
                  </to>
                </anchor>
              </controlPr>
            </control>
          </mc:Choice>
        </mc:AlternateContent>
        <mc:AlternateContent xmlns:mc="http://schemas.openxmlformats.org/markup-compatibility/2006">
          <mc:Choice Requires="x14">
            <control shapeId="14585" r:id="rId80" name="Button 3321">
              <controlPr defaultSize="0" autoFill="0" autoLine="0" autoPict="0" macro="[0]!Sheet1.deleteRow">
                <anchor moveWithCells="1" sizeWithCells="1">
                  <from>
                    <xdr:col>6</xdr:col>
                    <xdr:colOff>0</xdr:colOff>
                    <xdr:row>97</xdr:row>
                    <xdr:rowOff>0</xdr:rowOff>
                  </from>
                  <to>
                    <xdr:col>7</xdr:col>
                    <xdr:colOff>0</xdr:colOff>
                    <xdr:row>97</xdr:row>
                    <xdr:rowOff>165100</xdr:rowOff>
                  </to>
                </anchor>
              </controlPr>
            </control>
          </mc:Choice>
        </mc:AlternateContent>
        <mc:AlternateContent xmlns:mc="http://schemas.openxmlformats.org/markup-compatibility/2006">
          <mc:Choice Requires="x14">
            <control shapeId="14584" r:id="rId81" name="Button 3320">
              <controlPr defaultSize="0" autoFill="0" autoLine="0" autoPict="0" macro="[0]!Sheet1.deleteRow">
                <anchor moveWithCells="1" sizeWithCells="1">
                  <from>
                    <xdr:col>6</xdr:col>
                    <xdr:colOff>0</xdr:colOff>
                    <xdr:row>98</xdr:row>
                    <xdr:rowOff>0</xdr:rowOff>
                  </from>
                  <to>
                    <xdr:col>7</xdr:col>
                    <xdr:colOff>0</xdr:colOff>
                    <xdr:row>98</xdr:row>
                    <xdr:rowOff>165100</xdr:rowOff>
                  </to>
                </anchor>
              </controlPr>
            </control>
          </mc:Choice>
        </mc:AlternateContent>
        <mc:AlternateContent xmlns:mc="http://schemas.openxmlformats.org/markup-compatibility/2006">
          <mc:Choice Requires="x14">
            <control shapeId="14583" r:id="rId82" name="Button 3319">
              <controlPr defaultSize="0" autoFill="0" autoLine="0" autoPict="0" macro="[0]!Sheet1.deleteRow">
                <anchor moveWithCells="1" sizeWithCells="1">
                  <from>
                    <xdr:col>6</xdr:col>
                    <xdr:colOff>0</xdr:colOff>
                    <xdr:row>99</xdr:row>
                    <xdr:rowOff>0</xdr:rowOff>
                  </from>
                  <to>
                    <xdr:col>7</xdr:col>
                    <xdr:colOff>0</xdr:colOff>
                    <xdr:row>99</xdr:row>
                    <xdr:rowOff>165100</xdr:rowOff>
                  </to>
                </anchor>
              </controlPr>
            </control>
          </mc:Choice>
        </mc:AlternateContent>
        <mc:AlternateContent xmlns:mc="http://schemas.openxmlformats.org/markup-compatibility/2006">
          <mc:Choice Requires="x14">
            <control shapeId="14582" r:id="rId83" name="Button 3318">
              <controlPr defaultSize="0" autoFill="0" autoLine="0" autoPict="0" macro="[0]!Sheet1.deleteRow">
                <anchor moveWithCells="1" sizeWithCells="1">
                  <from>
                    <xdr:col>6</xdr:col>
                    <xdr:colOff>0</xdr:colOff>
                    <xdr:row>100</xdr:row>
                    <xdr:rowOff>0</xdr:rowOff>
                  </from>
                  <to>
                    <xdr:col>7</xdr:col>
                    <xdr:colOff>0</xdr:colOff>
                    <xdr:row>100</xdr:row>
                    <xdr:rowOff>165100</xdr:rowOff>
                  </to>
                </anchor>
              </controlPr>
            </control>
          </mc:Choice>
        </mc:AlternateContent>
        <mc:AlternateContent xmlns:mc="http://schemas.openxmlformats.org/markup-compatibility/2006">
          <mc:Choice Requires="x14">
            <control shapeId="14581" r:id="rId84" name="Button 3317">
              <controlPr defaultSize="0" autoFill="0" autoLine="0" autoPict="0" macro="[0]!Sheet1.deleteRow">
                <anchor moveWithCells="1" sizeWithCells="1">
                  <from>
                    <xdr:col>6</xdr:col>
                    <xdr:colOff>0</xdr:colOff>
                    <xdr:row>101</xdr:row>
                    <xdr:rowOff>0</xdr:rowOff>
                  </from>
                  <to>
                    <xdr:col>7</xdr:col>
                    <xdr:colOff>0</xdr:colOff>
                    <xdr:row>101</xdr:row>
                    <xdr:rowOff>165100</xdr:rowOff>
                  </to>
                </anchor>
              </controlPr>
            </control>
          </mc:Choice>
        </mc:AlternateContent>
        <mc:AlternateContent xmlns:mc="http://schemas.openxmlformats.org/markup-compatibility/2006">
          <mc:Choice Requires="x14">
            <control shapeId="14580" r:id="rId85" name="Button 3316">
              <controlPr defaultSize="0" autoFill="0" autoLine="0" autoPict="0" macro="[0]!Sheet1.deleteRow">
                <anchor moveWithCells="1" sizeWithCells="1">
                  <from>
                    <xdr:col>6</xdr:col>
                    <xdr:colOff>0</xdr:colOff>
                    <xdr:row>102</xdr:row>
                    <xdr:rowOff>0</xdr:rowOff>
                  </from>
                  <to>
                    <xdr:col>7</xdr:col>
                    <xdr:colOff>0</xdr:colOff>
                    <xdr:row>102</xdr:row>
                    <xdr:rowOff>165100</xdr:rowOff>
                  </to>
                </anchor>
              </controlPr>
            </control>
          </mc:Choice>
        </mc:AlternateContent>
        <mc:AlternateContent xmlns:mc="http://schemas.openxmlformats.org/markup-compatibility/2006">
          <mc:Choice Requires="x14">
            <control shapeId="14579" r:id="rId86" name="Button 3315">
              <controlPr defaultSize="0" autoFill="0" autoLine="0" autoPict="0" macro="[0]!Sheet1.deleteRow">
                <anchor moveWithCells="1" sizeWithCells="1">
                  <from>
                    <xdr:col>6</xdr:col>
                    <xdr:colOff>0</xdr:colOff>
                    <xdr:row>103</xdr:row>
                    <xdr:rowOff>0</xdr:rowOff>
                  </from>
                  <to>
                    <xdr:col>7</xdr:col>
                    <xdr:colOff>0</xdr:colOff>
                    <xdr:row>103</xdr:row>
                    <xdr:rowOff>165100</xdr:rowOff>
                  </to>
                </anchor>
              </controlPr>
            </control>
          </mc:Choice>
        </mc:AlternateContent>
        <mc:AlternateContent xmlns:mc="http://schemas.openxmlformats.org/markup-compatibility/2006">
          <mc:Choice Requires="x14">
            <control shapeId="14578" r:id="rId87" name="Button 3314">
              <controlPr defaultSize="0" autoFill="0" autoLine="0" autoPict="0" macro="[0]!Sheet1.deleteRow">
                <anchor moveWithCells="1" sizeWithCells="1">
                  <from>
                    <xdr:col>6</xdr:col>
                    <xdr:colOff>0</xdr:colOff>
                    <xdr:row>104</xdr:row>
                    <xdr:rowOff>0</xdr:rowOff>
                  </from>
                  <to>
                    <xdr:col>7</xdr:col>
                    <xdr:colOff>0</xdr:colOff>
                    <xdr:row>104</xdr:row>
                    <xdr:rowOff>165100</xdr:rowOff>
                  </to>
                </anchor>
              </controlPr>
            </control>
          </mc:Choice>
        </mc:AlternateContent>
        <mc:AlternateContent xmlns:mc="http://schemas.openxmlformats.org/markup-compatibility/2006">
          <mc:Choice Requires="x14">
            <control shapeId="14577" r:id="rId88" name="Button 3313">
              <controlPr defaultSize="0" autoFill="0" autoLine="0" autoPict="0" macro="[0]!Sheet1.deleteRow">
                <anchor moveWithCells="1" sizeWithCells="1">
                  <from>
                    <xdr:col>6</xdr:col>
                    <xdr:colOff>0</xdr:colOff>
                    <xdr:row>105</xdr:row>
                    <xdr:rowOff>0</xdr:rowOff>
                  </from>
                  <to>
                    <xdr:col>7</xdr:col>
                    <xdr:colOff>0</xdr:colOff>
                    <xdr:row>105</xdr:row>
                    <xdr:rowOff>165100</xdr:rowOff>
                  </to>
                </anchor>
              </controlPr>
            </control>
          </mc:Choice>
        </mc:AlternateContent>
        <mc:AlternateContent xmlns:mc="http://schemas.openxmlformats.org/markup-compatibility/2006">
          <mc:Choice Requires="x14">
            <control shapeId="14576" r:id="rId89" name="Button 3312">
              <controlPr defaultSize="0" autoFill="0" autoLine="0" autoPict="0" macro="[0]!Sheet1.deleteRow">
                <anchor moveWithCells="1" sizeWithCells="1">
                  <from>
                    <xdr:col>6</xdr:col>
                    <xdr:colOff>0</xdr:colOff>
                    <xdr:row>106</xdr:row>
                    <xdr:rowOff>0</xdr:rowOff>
                  </from>
                  <to>
                    <xdr:col>7</xdr:col>
                    <xdr:colOff>0</xdr:colOff>
                    <xdr:row>106</xdr:row>
                    <xdr:rowOff>165100</xdr:rowOff>
                  </to>
                </anchor>
              </controlPr>
            </control>
          </mc:Choice>
        </mc:AlternateContent>
        <mc:AlternateContent xmlns:mc="http://schemas.openxmlformats.org/markup-compatibility/2006">
          <mc:Choice Requires="x14">
            <control shapeId="14575" r:id="rId90" name="Button 3311">
              <controlPr defaultSize="0" autoFill="0" autoLine="0" autoPict="0" macro="[0]!Sheet1.deleteRow">
                <anchor moveWithCells="1" sizeWithCells="1">
                  <from>
                    <xdr:col>6</xdr:col>
                    <xdr:colOff>0</xdr:colOff>
                    <xdr:row>107</xdr:row>
                    <xdr:rowOff>0</xdr:rowOff>
                  </from>
                  <to>
                    <xdr:col>7</xdr:col>
                    <xdr:colOff>0</xdr:colOff>
                    <xdr:row>107</xdr:row>
                    <xdr:rowOff>165100</xdr:rowOff>
                  </to>
                </anchor>
              </controlPr>
            </control>
          </mc:Choice>
        </mc:AlternateContent>
        <mc:AlternateContent xmlns:mc="http://schemas.openxmlformats.org/markup-compatibility/2006">
          <mc:Choice Requires="x14">
            <control shapeId="14574" r:id="rId91" name="Button 3310">
              <controlPr defaultSize="0" autoFill="0" autoLine="0" autoPict="0" macro="[0]!Sheet1.deleteRow">
                <anchor moveWithCells="1" sizeWithCells="1">
                  <from>
                    <xdr:col>6</xdr:col>
                    <xdr:colOff>0</xdr:colOff>
                    <xdr:row>108</xdr:row>
                    <xdr:rowOff>0</xdr:rowOff>
                  </from>
                  <to>
                    <xdr:col>7</xdr:col>
                    <xdr:colOff>0</xdr:colOff>
                    <xdr:row>108</xdr:row>
                    <xdr:rowOff>165100</xdr:rowOff>
                  </to>
                </anchor>
              </controlPr>
            </control>
          </mc:Choice>
        </mc:AlternateContent>
        <mc:AlternateContent xmlns:mc="http://schemas.openxmlformats.org/markup-compatibility/2006">
          <mc:Choice Requires="x14">
            <control shapeId="14573" r:id="rId92" name="Button 3309">
              <controlPr defaultSize="0" autoFill="0" autoLine="0" autoPict="0" macro="[0]!Sheet1.deleteRow">
                <anchor moveWithCells="1" sizeWithCells="1">
                  <from>
                    <xdr:col>6</xdr:col>
                    <xdr:colOff>0</xdr:colOff>
                    <xdr:row>109</xdr:row>
                    <xdr:rowOff>0</xdr:rowOff>
                  </from>
                  <to>
                    <xdr:col>7</xdr:col>
                    <xdr:colOff>0</xdr:colOff>
                    <xdr:row>109</xdr:row>
                    <xdr:rowOff>165100</xdr:rowOff>
                  </to>
                </anchor>
              </controlPr>
            </control>
          </mc:Choice>
        </mc:AlternateContent>
        <mc:AlternateContent xmlns:mc="http://schemas.openxmlformats.org/markup-compatibility/2006">
          <mc:Choice Requires="x14">
            <control shapeId="14572" r:id="rId93" name="Button 3308">
              <controlPr defaultSize="0" autoFill="0" autoLine="0" autoPict="0" macro="[0]!Sheet1.deleteRow">
                <anchor moveWithCells="1" sizeWithCells="1">
                  <from>
                    <xdr:col>6</xdr:col>
                    <xdr:colOff>0</xdr:colOff>
                    <xdr:row>110</xdr:row>
                    <xdr:rowOff>0</xdr:rowOff>
                  </from>
                  <to>
                    <xdr:col>7</xdr:col>
                    <xdr:colOff>0</xdr:colOff>
                    <xdr:row>110</xdr:row>
                    <xdr:rowOff>165100</xdr:rowOff>
                  </to>
                </anchor>
              </controlPr>
            </control>
          </mc:Choice>
        </mc:AlternateContent>
        <mc:AlternateContent xmlns:mc="http://schemas.openxmlformats.org/markup-compatibility/2006">
          <mc:Choice Requires="x14">
            <control shapeId="14571" r:id="rId94" name="Button 3307">
              <controlPr defaultSize="0" autoFill="0" autoLine="0" autoPict="0" macro="[0]!Sheet1.deleteRow">
                <anchor moveWithCells="1" sizeWithCells="1">
                  <from>
                    <xdr:col>6</xdr:col>
                    <xdr:colOff>0</xdr:colOff>
                    <xdr:row>111</xdr:row>
                    <xdr:rowOff>0</xdr:rowOff>
                  </from>
                  <to>
                    <xdr:col>7</xdr:col>
                    <xdr:colOff>0</xdr:colOff>
                    <xdr:row>111</xdr:row>
                    <xdr:rowOff>165100</xdr:rowOff>
                  </to>
                </anchor>
              </controlPr>
            </control>
          </mc:Choice>
        </mc:AlternateContent>
        <mc:AlternateContent xmlns:mc="http://schemas.openxmlformats.org/markup-compatibility/2006">
          <mc:Choice Requires="x14">
            <control shapeId="14570" r:id="rId95" name="Button 3306">
              <controlPr defaultSize="0" autoFill="0" autoLine="0" autoPict="0" macro="[0]!Sheet1.deleteRow">
                <anchor moveWithCells="1" sizeWithCells="1">
                  <from>
                    <xdr:col>6</xdr:col>
                    <xdr:colOff>0</xdr:colOff>
                    <xdr:row>112</xdr:row>
                    <xdr:rowOff>0</xdr:rowOff>
                  </from>
                  <to>
                    <xdr:col>7</xdr:col>
                    <xdr:colOff>0</xdr:colOff>
                    <xdr:row>112</xdr:row>
                    <xdr:rowOff>165100</xdr:rowOff>
                  </to>
                </anchor>
              </controlPr>
            </control>
          </mc:Choice>
        </mc:AlternateContent>
        <mc:AlternateContent xmlns:mc="http://schemas.openxmlformats.org/markup-compatibility/2006">
          <mc:Choice Requires="x14">
            <control shapeId="14569" r:id="rId96" name="Button 3305">
              <controlPr defaultSize="0" autoFill="0" autoLine="0" autoPict="0" macro="[0]!Sheet1.deleteRow">
                <anchor moveWithCells="1" sizeWithCells="1">
                  <from>
                    <xdr:col>6</xdr:col>
                    <xdr:colOff>0</xdr:colOff>
                    <xdr:row>113</xdr:row>
                    <xdr:rowOff>0</xdr:rowOff>
                  </from>
                  <to>
                    <xdr:col>7</xdr:col>
                    <xdr:colOff>0</xdr:colOff>
                    <xdr:row>113</xdr:row>
                    <xdr:rowOff>165100</xdr:rowOff>
                  </to>
                </anchor>
              </controlPr>
            </control>
          </mc:Choice>
        </mc:AlternateContent>
        <mc:AlternateContent xmlns:mc="http://schemas.openxmlformats.org/markup-compatibility/2006">
          <mc:Choice Requires="x14">
            <control shapeId="14568" r:id="rId97" name="Button 3304">
              <controlPr defaultSize="0" autoFill="0" autoLine="0" autoPict="0" macro="[0]!Sheet1.deleteRow">
                <anchor moveWithCells="1" sizeWithCells="1">
                  <from>
                    <xdr:col>6</xdr:col>
                    <xdr:colOff>0</xdr:colOff>
                    <xdr:row>114</xdr:row>
                    <xdr:rowOff>0</xdr:rowOff>
                  </from>
                  <to>
                    <xdr:col>7</xdr:col>
                    <xdr:colOff>0</xdr:colOff>
                    <xdr:row>114</xdr:row>
                    <xdr:rowOff>165100</xdr:rowOff>
                  </to>
                </anchor>
              </controlPr>
            </control>
          </mc:Choice>
        </mc:AlternateContent>
        <mc:AlternateContent xmlns:mc="http://schemas.openxmlformats.org/markup-compatibility/2006">
          <mc:Choice Requires="x14">
            <control shapeId="14567" r:id="rId98" name="Button 3303">
              <controlPr defaultSize="0" autoFill="0" autoLine="0" autoPict="0" macro="[0]!Sheet1.deleteRow">
                <anchor moveWithCells="1" sizeWithCells="1">
                  <from>
                    <xdr:col>6</xdr:col>
                    <xdr:colOff>0</xdr:colOff>
                    <xdr:row>115</xdr:row>
                    <xdr:rowOff>0</xdr:rowOff>
                  </from>
                  <to>
                    <xdr:col>7</xdr:col>
                    <xdr:colOff>0</xdr:colOff>
                    <xdr:row>115</xdr:row>
                    <xdr:rowOff>165100</xdr:rowOff>
                  </to>
                </anchor>
              </controlPr>
            </control>
          </mc:Choice>
        </mc:AlternateContent>
        <mc:AlternateContent xmlns:mc="http://schemas.openxmlformats.org/markup-compatibility/2006">
          <mc:Choice Requires="x14">
            <control shapeId="14566" r:id="rId99" name="Button 3302">
              <controlPr defaultSize="0" autoFill="0" autoLine="0" autoPict="0" macro="[0]!Sheet1.deleteRow">
                <anchor moveWithCells="1" sizeWithCells="1">
                  <from>
                    <xdr:col>6</xdr:col>
                    <xdr:colOff>0</xdr:colOff>
                    <xdr:row>116</xdr:row>
                    <xdr:rowOff>0</xdr:rowOff>
                  </from>
                  <to>
                    <xdr:col>7</xdr:col>
                    <xdr:colOff>0</xdr:colOff>
                    <xdr:row>116</xdr:row>
                    <xdr:rowOff>165100</xdr:rowOff>
                  </to>
                </anchor>
              </controlPr>
            </control>
          </mc:Choice>
        </mc:AlternateContent>
        <mc:AlternateContent xmlns:mc="http://schemas.openxmlformats.org/markup-compatibility/2006">
          <mc:Choice Requires="x14">
            <control shapeId="14565" r:id="rId100" name="Button 3301">
              <controlPr defaultSize="0" autoFill="0" autoLine="0" autoPict="0" macro="[0]!Sheet1.deleteRow">
                <anchor moveWithCells="1" sizeWithCells="1">
                  <from>
                    <xdr:col>6</xdr:col>
                    <xdr:colOff>0</xdr:colOff>
                    <xdr:row>117</xdr:row>
                    <xdr:rowOff>0</xdr:rowOff>
                  </from>
                  <to>
                    <xdr:col>7</xdr:col>
                    <xdr:colOff>0</xdr:colOff>
                    <xdr:row>117</xdr:row>
                    <xdr:rowOff>165100</xdr:rowOff>
                  </to>
                </anchor>
              </controlPr>
            </control>
          </mc:Choice>
        </mc:AlternateContent>
        <mc:AlternateContent xmlns:mc="http://schemas.openxmlformats.org/markup-compatibility/2006">
          <mc:Choice Requires="x14">
            <control shapeId="14564" r:id="rId101" name="Button 3300">
              <controlPr defaultSize="0" autoFill="0" autoLine="0" autoPict="0" macro="[0]!Sheet1.deleteRow">
                <anchor moveWithCells="1" sizeWithCells="1">
                  <from>
                    <xdr:col>6</xdr:col>
                    <xdr:colOff>0</xdr:colOff>
                    <xdr:row>118</xdr:row>
                    <xdr:rowOff>0</xdr:rowOff>
                  </from>
                  <to>
                    <xdr:col>7</xdr:col>
                    <xdr:colOff>0</xdr:colOff>
                    <xdr:row>118</xdr:row>
                    <xdr:rowOff>165100</xdr:rowOff>
                  </to>
                </anchor>
              </controlPr>
            </control>
          </mc:Choice>
        </mc:AlternateContent>
        <mc:AlternateContent xmlns:mc="http://schemas.openxmlformats.org/markup-compatibility/2006">
          <mc:Choice Requires="x14">
            <control shapeId="14563" r:id="rId102" name="Button 3299">
              <controlPr defaultSize="0" autoFill="0" autoLine="0" autoPict="0" macro="[0]!Sheet1.deleteRow">
                <anchor moveWithCells="1" sizeWithCells="1">
                  <from>
                    <xdr:col>6</xdr:col>
                    <xdr:colOff>0</xdr:colOff>
                    <xdr:row>119</xdr:row>
                    <xdr:rowOff>0</xdr:rowOff>
                  </from>
                  <to>
                    <xdr:col>7</xdr:col>
                    <xdr:colOff>0</xdr:colOff>
                    <xdr:row>119</xdr:row>
                    <xdr:rowOff>165100</xdr:rowOff>
                  </to>
                </anchor>
              </controlPr>
            </control>
          </mc:Choice>
        </mc:AlternateContent>
        <mc:AlternateContent xmlns:mc="http://schemas.openxmlformats.org/markup-compatibility/2006">
          <mc:Choice Requires="x14">
            <control shapeId="14562" r:id="rId103" name="Button 3298">
              <controlPr defaultSize="0" autoFill="0" autoLine="0" autoPict="0" macro="[0]!Sheet1.deleteRow">
                <anchor moveWithCells="1" sizeWithCells="1">
                  <from>
                    <xdr:col>6</xdr:col>
                    <xdr:colOff>0</xdr:colOff>
                    <xdr:row>120</xdr:row>
                    <xdr:rowOff>0</xdr:rowOff>
                  </from>
                  <to>
                    <xdr:col>7</xdr:col>
                    <xdr:colOff>0</xdr:colOff>
                    <xdr:row>120</xdr:row>
                    <xdr:rowOff>165100</xdr:rowOff>
                  </to>
                </anchor>
              </controlPr>
            </control>
          </mc:Choice>
        </mc:AlternateContent>
        <mc:AlternateContent xmlns:mc="http://schemas.openxmlformats.org/markup-compatibility/2006">
          <mc:Choice Requires="x14">
            <control shapeId="14561" r:id="rId104" name="Button 3297">
              <controlPr defaultSize="0" autoFill="0" autoLine="0" autoPict="0" macro="[0]!Sheet1.deleteRow">
                <anchor moveWithCells="1" sizeWithCells="1">
                  <from>
                    <xdr:col>6</xdr:col>
                    <xdr:colOff>0</xdr:colOff>
                    <xdr:row>121</xdr:row>
                    <xdr:rowOff>0</xdr:rowOff>
                  </from>
                  <to>
                    <xdr:col>7</xdr:col>
                    <xdr:colOff>0</xdr:colOff>
                    <xdr:row>121</xdr:row>
                    <xdr:rowOff>165100</xdr:rowOff>
                  </to>
                </anchor>
              </controlPr>
            </control>
          </mc:Choice>
        </mc:AlternateContent>
        <mc:AlternateContent xmlns:mc="http://schemas.openxmlformats.org/markup-compatibility/2006">
          <mc:Choice Requires="x14">
            <control shapeId="14560" r:id="rId105" name="Button 3296">
              <controlPr defaultSize="0" autoFill="0" autoLine="0" autoPict="0" macro="[0]!Sheet1.deleteRow">
                <anchor moveWithCells="1" sizeWithCells="1">
                  <from>
                    <xdr:col>6</xdr:col>
                    <xdr:colOff>0</xdr:colOff>
                    <xdr:row>122</xdr:row>
                    <xdr:rowOff>0</xdr:rowOff>
                  </from>
                  <to>
                    <xdr:col>7</xdr:col>
                    <xdr:colOff>0</xdr:colOff>
                    <xdr:row>122</xdr:row>
                    <xdr:rowOff>165100</xdr:rowOff>
                  </to>
                </anchor>
              </controlPr>
            </control>
          </mc:Choice>
        </mc:AlternateContent>
        <mc:AlternateContent xmlns:mc="http://schemas.openxmlformats.org/markup-compatibility/2006">
          <mc:Choice Requires="x14">
            <control shapeId="14559" r:id="rId106" name="Button 3295">
              <controlPr defaultSize="0" autoFill="0" autoLine="0" autoPict="0" macro="[0]!Sheet1.deleteRow">
                <anchor moveWithCells="1" sizeWithCells="1">
                  <from>
                    <xdr:col>6</xdr:col>
                    <xdr:colOff>0</xdr:colOff>
                    <xdr:row>123</xdr:row>
                    <xdr:rowOff>0</xdr:rowOff>
                  </from>
                  <to>
                    <xdr:col>7</xdr:col>
                    <xdr:colOff>0</xdr:colOff>
                    <xdr:row>123</xdr:row>
                    <xdr:rowOff>165100</xdr:rowOff>
                  </to>
                </anchor>
              </controlPr>
            </control>
          </mc:Choice>
        </mc:AlternateContent>
        <mc:AlternateContent xmlns:mc="http://schemas.openxmlformats.org/markup-compatibility/2006">
          <mc:Choice Requires="x14">
            <control shapeId="14558" r:id="rId107" name="Button 3294">
              <controlPr defaultSize="0" autoFill="0" autoLine="0" autoPict="0" macro="[0]!Sheet1.deleteRow">
                <anchor moveWithCells="1" sizeWithCells="1">
                  <from>
                    <xdr:col>6</xdr:col>
                    <xdr:colOff>0</xdr:colOff>
                    <xdr:row>124</xdr:row>
                    <xdr:rowOff>0</xdr:rowOff>
                  </from>
                  <to>
                    <xdr:col>7</xdr:col>
                    <xdr:colOff>0</xdr:colOff>
                    <xdr:row>124</xdr:row>
                    <xdr:rowOff>165100</xdr:rowOff>
                  </to>
                </anchor>
              </controlPr>
            </control>
          </mc:Choice>
        </mc:AlternateContent>
        <mc:AlternateContent xmlns:mc="http://schemas.openxmlformats.org/markup-compatibility/2006">
          <mc:Choice Requires="x14">
            <control shapeId="14557" r:id="rId108" name="Button 3293">
              <controlPr defaultSize="0" autoFill="0" autoLine="0" autoPict="0" macro="[0]!Sheet1.deleteRow">
                <anchor moveWithCells="1" sizeWithCells="1">
                  <from>
                    <xdr:col>6</xdr:col>
                    <xdr:colOff>0</xdr:colOff>
                    <xdr:row>125</xdr:row>
                    <xdr:rowOff>0</xdr:rowOff>
                  </from>
                  <to>
                    <xdr:col>7</xdr:col>
                    <xdr:colOff>0</xdr:colOff>
                    <xdr:row>125</xdr:row>
                    <xdr:rowOff>165100</xdr:rowOff>
                  </to>
                </anchor>
              </controlPr>
            </control>
          </mc:Choice>
        </mc:AlternateContent>
        <mc:AlternateContent xmlns:mc="http://schemas.openxmlformats.org/markup-compatibility/2006">
          <mc:Choice Requires="x14">
            <control shapeId="14556" r:id="rId109" name="Button 3292">
              <controlPr defaultSize="0" autoFill="0" autoLine="0" autoPict="0" macro="[0]!Sheet1.deleteRow">
                <anchor moveWithCells="1" sizeWithCells="1">
                  <from>
                    <xdr:col>6</xdr:col>
                    <xdr:colOff>0</xdr:colOff>
                    <xdr:row>126</xdr:row>
                    <xdr:rowOff>0</xdr:rowOff>
                  </from>
                  <to>
                    <xdr:col>7</xdr:col>
                    <xdr:colOff>0</xdr:colOff>
                    <xdr:row>126</xdr:row>
                    <xdr:rowOff>165100</xdr:rowOff>
                  </to>
                </anchor>
              </controlPr>
            </control>
          </mc:Choice>
        </mc:AlternateContent>
        <mc:AlternateContent xmlns:mc="http://schemas.openxmlformats.org/markup-compatibility/2006">
          <mc:Choice Requires="x14">
            <control shapeId="14555" r:id="rId110" name="Button 3291">
              <controlPr defaultSize="0" autoFill="0" autoLine="0" autoPict="0" macro="[0]!Sheet1.deleteRow">
                <anchor moveWithCells="1" sizeWithCells="1">
                  <from>
                    <xdr:col>6</xdr:col>
                    <xdr:colOff>0</xdr:colOff>
                    <xdr:row>127</xdr:row>
                    <xdr:rowOff>0</xdr:rowOff>
                  </from>
                  <to>
                    <xdr:col>7</xdr:col>
                    <xdr:colOff>0</xdr:colOff>
                    <xdr:row>127</xdr:row>
                    <xdr:rowOff>165100</xdr:rowOff>
                  </to>
                </anchor>
              </controlPr>
            </control>
          </mc:Choice>
        </mc:AlternateContent>
        <mc:AlternateContent xmlns:mc="http://schemas.openxmlformats.org/markup-compatibility/2006">
          <mc:Choice Requires="x14">
            <control shapeId="14554" r:id="rId111" name="Button 3290">
              <controlPr defaultSize="0" autoFill="0" autoLine="0" autoPict="0" macro="[0]!Sheet1.deleteRow">
                <anchor moveWithCells="1" sizeWithCells="1">
                  <from>
                    <xdr:col>6</xdr:col>
                    <xdr:colOff>0</xdr:colOff>
                    <xdr:row>128</xdr:row>
                    <xdr:rowOff>0</xdr:rowOff>
                  </from>
                  <to>
                    <xdr:col>7</xdr:col>
                    <xdr:colOff>0</xdr:colOff>
                    <xdr:row>128</xdr:row>
                    <xdr:rowOff>165100</xdr:rowOff>
                  </to>
                </anchor>
              </controlPr>
            </control>
          </mc:Choice>
        </mc:AlternateContent>
        <mc:AlternateContent xmlns:mc="http://schemas.openxmlformats.org/markup-compatibility/2006">
          <mc:Choice Requires="x14">
            <control shapeId="14553" r:id="rId112" name="Button 3289">
              <controlPr defaultSize="0" autoFill="0" autoLine="0" autoPict="0" macro="[0]!Sheet1.deleteRow">
                <anchor moveWithCells="1" sizeWithCells="1">
                  <from>
                    <xdr:col>6</xdr:col>
                    <xdr:colOff>0</xdr:colOff>
                    <xdr:row>129</xdr:row>
                    <xdr:rowOff>0</xdr:rowOff>
                  </from>
                  <to>
                    <xdr:col>7</xdr:col>
                    <xdr:colOff>0</xdr:colOff>
                    <xdr:row>129</xdr:row>
                    <xdr:rowOff>165100</xdr:rowOff>
                  </to>
                </anchor>
              </controlPr>
            </control>
          </mc:Choice>
        </mc:AlternateContent>
        <mc:AlternateContent xmlns:mc="http://schemas.openxmlformats.org/markup-compatibility/2006">
          <mc:Choice Requires="x14">
            <control shapeId="14552" r:id="rId113" name="Button 3288">
              <controlPr defaultSize="0" autoFill="0" autoLine="0" autoPict="0" macro="[0]!Sheet1.deleteRow">
                <anchor moveWithCells="1" sizeWithCells="1">
                  <from>
                    <xdr:col>6</xdr:col>
                    <xdr:colOff>0</xdr:colOff>
                    <xdr:row>130</xdr:row>
                    <xdr:rowOff>0</xdr:rowOff>
                  </from>
                  <to>
                    <xdr:col>7</xdr:col>
                    <xdr:colOff>0</xdr:colOff>
                    <xdr:row>130</xdr:row>
                    <xdr:rowOff>165100</xdr:rowOff>
                  </to>
                </anchor>
              </controlPr>
            </control>
          </mc:Choice>
        </mc:AlternateContent>
        <mc:AlternateContent xmlns:mc="http://schemas.openxmlformats.org/markup-compatibility/2006">
          <mc:Choice Requires="x14">
            <control shapeId="14551" r:id="rId114" name="Button 3287">
              <controlPr defaultSize="0" autoFill="0" autoLine="0" autoPict="0" macro="[0]!Sheet1.deleteRow">
                <anchor moveWithCells="1" sizeWithCells="1">
                  <from>
                    <xdr:col>6</xdr:col>
                    <xdr:colOff>0</xdr:colOff>
                    <xdr:row>131</xdr:row>
                    <xdr:rowOff>0</xdr:rowOff>
                  </from>
                  <to>
                    <xdr:col>7</xdr:col>
                    <xdr:colOff>0</xdr:colOff>
                    <xdr:row>131</xdr:row>
                    <xdr:rowOff>165100</xdr:rowOff>
                  </to>
                </anchor>
              </controlPr>
            </control>
          </mc:Choice>
        </mc:AlternateContent>
        <mc:AlternateContent xmlns:mc="http://schemas.openxmlformats.org/markup-compatibility/2006">
          <mc:Choice Requires="x14">
            <control shapeId="14550" r:id="rId115" name="Button 3286">
              <controlPr defaultSize="0" autoFill="0" autoLine="0" autoPict="0" macro="[0]!Sheet1.deleteRow">
                <anchor moveWithCells="1" sizeWithCells="1">
                  <from>
                    <xdr:col>6</xdr:col>
                    <xdr:colOff>0</xdr:colOff>
                    <xdr:row>132</xdr:row>
                    <xdr:rowOff>0</xdr:rowOff>
                  </from>
                  <to>
                    <xdr:col>7</xdr:col>
                    <xdr:colOff>0</xdr:colOff>
                    <xdr:row>132</xdr:row>
                    <xdr:rowOff>165100</xdr:rowOff>
                  </to>
                </anchor>
              </controlPr>
            </control>
          </mc:Choice>
        </mc:AlternateContent>
        <mc:AlternateContent xmlns:mc="http://schemas.openxmlformats.org/markup-compatibility/2006">
          <mc:Choice Requires="x14">
            <control shapeId="14549" r:id="rId116" name="Button 3285">
              <controlPr defaultSize="0" autoFill="0" autoLine="0" autoPict="0" macro="[0]!Sheet1.deleteRow">
                <anchor moveWithCells="1" sizeWithCells="1">
                  <from>
                    <xdr:col>6</xdr:col>
                    <xdr:colOff>0</xdr:colOff>
                    <xdr:row>133</xdr:row>
                    <xdr:rowOff>0</xdr:rowOff>
                  </from>
                  <to>
                    <xdr:col>7</xdr:col>
                    <xdr:colOff>0</xdr:colOff>
                    <xdr:row>133</xdr:row>
                    <xdr:rowOff>165100</xdr:rowOff>
                  </to>
                </anchor>
              </controlPr>
            </control>
          </mc:Choice>
        </mc:AlternateContent>
        <mc:AlternateContent xmlns:mc="http://schemas.openxmlformats.org/markup-compatibility/2006">
          <mc:Choice Requires="x14">
            <control shapeId="14548" r:id="rId117" name="Button 3284">
              <controlPr defaultSize="0" autoFill="0" autoLine="0" autoPict="0" macro="[0]!Sheet1.deleteRow">
                <anchor moveWithCells="1" sizeWithCells="1">
                  <from>
                    <xdr:col>6</xdr:col>
                    <xdr:colOff>0</xdr:colOff>
                    <xdr:row>134</xdr:row>
                    <xdr:rowOff>0</xdr:rowOff>
                  </from>
                  <to>
                    <xdr:col>7</xdr:col>
                    <xdr:colOff>0</xdr:colOff>
                    <xdr:row>134</xdr:row>
                    <xdr:rowOff>165100</xdr:rowOff>
                  </to>
                </anchor>
              </controlPr>
            </control>
          </mc:Choice>
        </mc:AlternateContent>
        <mc:AlternateContent xmlns:mc="http://schemas.openxmlformats.org/markup-compatibility/2006">
          <mc:Choice Requires="x14">
            <control shapeId="14547" r:id="rId118" name="Button 3283">
              <controlPr defaultSize="0" autoFill="0" autoLine="0" autoPict="0" macro="[0]!Sheet1.deleteRow">
                <anchor moveWithCells="1" sizeWithCells="1">
                  <from>
                    <xdr:col>6</xdr:col>
                    <xdr:colOff>0</xdr:colOff>
                    <xdr:row>135</xdr:row>
                    <xdr:rowOff>0</xdr:rowOff>
                  </from>
                  <to>
                    <xdr:col>7</xdr:col>
                    <xdr:colOff>0</xdr:colOff>
                    <xdr:row>135</xdr:row>
                    <xdr:rowOff>165100</xdr:rowOff>
                  </to>
                </anchor>
              </controlPr>
            </control>
          </mc:Choice>
        </mc:AlternateContent>
        <mc:AlternateContent xmlns:mc="http://schemas.openxmlformats.org/markup-compatibility/2006">
          <mc:Choice Requires="x14">
            <control shapeId="14546" r:id="rId119" name="Button 3282">
              <controlPr defaultSize="0" autoFill="0" autoLine="0" autoPict="0" macro="[0]!Sheet1.deleteRow">
                <anchor moveWithCells="1" sizeWithCells="1">
                  <from>
                    <xdr:col>6</xdr:col>
                    <xdr:colOff>0</xdr:colOff>
                    <xdr:row>136</xdr:row>
                    <xdr:rowOff>0</xdr:rowOff>
                  </from>
                  <to>
                    <xdr:col>7</xdr:col>
                    <xdr:colOff>0</xdr:colOff>
                    <xdr:row>136</xdr:row>
                    <xdr:rowOff>165100</xdr:rowOff>
                  </to>
                </anchor>
              </controlPr>
            </control>
          </mc:Choice>
        </mc:AlternateContent>
        <mc:AlternateContent xmlns:mc="http://schemas.openxmlformats.org/markup-compatibility/2006">
          <mc:Choice Requires="x14">
            <control shapeId="14545" r:id="rId120" name="Button 3281">
              <controlPr defaultSize="0" autoFill="0" autoLine="0" autoPict="0" macro="[0]!Sheet1.deleteRow">
                <anchor moveWithCells="1" sizeWithCells="1">
                  <from>
                    <xdr:col>6</xdr:col>
                    <xdr:colOff>0</xdr:colOff>
                    <xdr:row>137</xdr:row>
                    <xdr:rowOff>0</xdr:rowOff>
                  </from>
                  <to>
                    <xdr:col>7</xdr:col>
                    <xdr:colOff>0</xdr:colOff>
                    <xdr:row>137</xdr:row>
                    <xdr:rowOff>165100</xdr:rowOff>
                  </to>
                </anchor>
              </controlPr>
            </control>
          </mc:Choice>
        </mc:AlternateContent>
        <mc:AlternateContent xmlns:mc="http://schemas.openxmlformats.org/markup-compatibility/2006">
          <mc:Choice Requires="x14">
            <control shapeId="14544" r:id="rId121" name="Button 3280">
              <controlPr defaultSize="0" autoFill="0" autoLine="0" autoPict="0" macro="[0]!Sheet1.deleteRow">
                <anchor moveWithCells="1" sizeWithCells="1">
                  <from>
                    <xdr:col>6</xdr:col>
                    <xdr:colOff>0</xdr:colOff>
                    <xdr:row>138</xdr:row>
                    <xdr:rowOff>0</xdr:rowOff>
                  </from>
                  <to>
                    <xdr:col>7</xdr:col>
                    <xdr:colOff>0</xdr:colOff>
                    <xdr:row>138</xdr:row>
                    <xdr:rowOff>165100</xdr:rowOff>
                  </to>
                </anchor>
              </controlPr>
            </control>
          </mc:Choice>
        </mc:AlternateContent>
        <mc:AlternateContent xmlns:mc="http://schemas.openxmlformats.org/markup-compatibility/2006">
          <mc:Choice Requires="x14">
            <control shapeId="14543" r:id="rId122" name="Button 3279">
              <controlPr defaultSize="0" autoFill="0" autoLine="0" autoPict="0" macro="[0]!Sheet1.deleteRow">
                <anchor moveWithCells="1" sizeWithCells="1">
                  <from>
                    <xdr:col>6</xdr:col>
                    <xdr:colOff>0</xdr:colOff>
                    <xdr:row>139</xdr:row>
                    <xdr:rowOff>0</xdr:rowOff>
                  </from>
                  <to>
                    <xdr:col>7</xdr:col>
                    <xdr:colOff>0</xdr:colOff>
                    <xdr:row>139</xdr:row>
                    <xdr:rowOff>165100</xdr:rowOff>
                  </to>
                </anchor>
              </controlPr>
            </control>
          </mc:Choice>
        </mc:AlternateContent>
        <mc:AlternateContent xmlns:mc="http://schemas.openxmlformats.org/markup-compatibility/2006">
          <mc:Choice Requires="x14">
            <control shapeId="14542" r:id="rId123" name="Button 3278">
              <controlPr defaultSize="0" autoFill="0" autoLine="0" autoPict="0" macro="[0]!Sheet1.deleteRow">
                <anchor moveWithCells="1" sizeWithCells="1">
                  <from>
                    <xdr:col>6</xdr:col>
                    <xdr:colOff>0</xdr:colOff>
                    <xdr:row>140</xdr:row>
                    <xdr:rowOff>0</xdr:rowOff>
                  </from>
                  <to>
                    <xdr:col>7</xdr:col>
                    <xdr:colOff>0</xdr:colOff>
                    <xdr:row>140</xdr:row>
                    <xdr:rowOff>165100</xdr:rowOff>
                  </to>
                </anchor>
              </controlPr>
            </control>
          </mc:Choice>
        </mc:AlternateContent>
        <mc:AlternateContent xmlns:mc="http://schemas.openxmlformats.org/markup-compatibility/2006">
          <mc:Choice Requires="x14">
            <control shapeId="14541" r:id="rId124" name="Button 3277">
              <controlPr defaultSize="0" autoFill="0" autoLine="0" autoPict="0" macro="[0]!Sheet1.deleteRow">
                <anchor moveWithCells="1" sizeWithCells="1">
                  <from>
                    <xdr:col>6</xdr:col>
                    <xdr:colOff>0</xdr:colOff>
                    <xdr:row>141</xdr:row>
                    <xdr:rowOff>0</xdr:rowOff>
                  </from>
                  <to>
                    <xdr:col>7</xdr:col>
                    <xdr:colOff>0</xdr:colOff>
                    <xdr:row>141</xdr:row>
                    <xdr:rowOff>165100</xdr:rowOff>
                  </to>
                </anchor>
              </controlPr>
            </control>
          </mc:Choice>
        </mc:AlternateContent>
        <mc:AlternateContent xmlns:mc="http://schemas.openxmlformats.org/markup-compatibility/2006">
          <mc:Choice Requires="x14">
            <control shapeId="14540" r:id="rId125" name="Button 3276">
              <controlPr defaultSize="0" autoFill="0" autoLine="0" autoPict="0" macro="[0]!Sheet1.deleteRow">
                <anchor moveWithCells="1" sizeWithCells="1">
                  <from>
                    <xdr:col>6</xdr:col>
                    <xdr:colOff>0</xdr:colOff>
                    <xdr:row>142</xdr:row>
                    <xdr:rowOff>0</xdr:rowOff>
                  </from>
                  <to>
                    <xdr:col>7</xdr:col>
                    <xdr:colOff>0</xdr:colOff>
                    <xdr:row>142</xdr:row>
                    <xdr:rowOff>165100</xdr:rowOff>
                  </to>
                </anchor>
              </controlPr>
            </control>
          </mc:Choice>
        </mc:AlternateContent>
        <mc:AlternateContent xmlns:mc="http://schemas.openxmlformats.org/markup-compatibility/2006">
          <mc:Choice Requires="x14">
            <control shapeId="14539" r:id="rId126" name="Button 3275">
              <controlPr defaultSize="0" autoFill="0" autoLine="0" autoPict="0" macro="[0]!Sheet1.deleteRow">
                <anchor moveWithCells="1" sizeWithCells="1">
                  <from>
                    <xdr:col>6</xdr:col>
                    <xdr:colOff>0</xdr:colOff>
                    <xdr:row>143</xdr:row>
                    <xdr:rowOff>0</xdr:rowOff>
                  </from>
                  <to>
                    <xdr:col>7</xdr:col>
                    <xdr:colOff>0</xdr:colOff>
                    <xdr:row>143</xdr:row>
                    <xdr:rowOff>165100</xdr:rowOff>
                  </to>
                </anchor>
              </controlPr>
            </control>
          </mc:Choice>
        </mc:AlternateContent>
        <mc:AlternateContent xmlns:mc="http://schemas.openxmlformats.org/markup-compatibility/2006">
          <mc:Choice Requires="x14">
            <control shapeId="14538" r:id="rId127" name="Button 3274">
              <controlPr defaultSize="0" autoFill="0" autoLine="0" autoPict="0" macro="[0]!Sheet1.deleteRow">
                <anchor moveWithCells="1" sizeWithCells="1">
                  <from>
                    <xdr:col>6</xdr:col>
                    <xdr:colOff>0</xdr:colOff>
                    <xdr:row>144</xdr:row>
                    <xdr:rowOff>0</xdr:rowOff>
                  </from>
                  <to>
                    <xdr:col>7</xdr:col>
                    <xdr:colOff>0</xdr:colOff>
                    <xdr:row>144</xdr:row>
                    <xdr:rowOff>165100</xdr:rowOff>
                  </to>
                </anchor>
              </controlPr>
            </control>
          </mc:Choice>
        </mc:AlternateContent>
        <mc:AlternateContent xmlns:mc="http://schemas.openxmlformats.org/markup-compatibility/2006">
          <mc:Choice Requires="x14">
            <control shapeId="14537" r:id="rId128" name="Button 3273">
              <controlPr defaultSize="0" autoFill="0" autoLine="0" autoPict="0" macro="[0]!Sheet1.deleteRow">
                <anchor moveWithCells="1" sizeWithCells="1">
                  <from>
                    <xdr:col>6</xdr:col>
                    <xdr:colOff>0</xdr:colOff>
                    <xdr:row>145</xdr:row>
                    <xdr:rowOff>0</xdr:rowOff>
                  </from>
                  <to>
                    <xdr:col>7</xdr:col>
                    <xdr:colOff>0</xdr:colOff>
                    <xdr:row>145</xdr:row>
                    <xdr:rowOff>165100</xdr:rowOff>
                  </to>
                </anchor>
              </controlPr>
            </control>
          </mc:Choice>
        </mc:AlternateContent>
        <mc:AlternateContent xmlns:mc="http://schemas.openxmlformats.org/markup-compatibility/2006">
          <mc:Choice Requires="x14">
            <control shapeId="14536" r:id="rId129" name="Button 3272">
              <controlPr defaultSize="0" autoFill="0" autoLine="0" autoPict="0" macro="[0]!Sheet1.deleteRow">
                <anchor moveWithCells="1" sizeWithCells="1">
                  <from>
                    <xdr:col>6</xdr:col>
                    <xdr:colOff>0</xdr:colOff>
                    <xdr:row>146</xdr:row>
                    <xdr:rowOff>0</xdr:rowOff>
                  </from>
                  <to>
                    <xdr:col>7</xdr:col>
                    <xdr:colOff>0</xdr:colOff>
                    <xdr:row>146</xdr:row>
                    <xdr:rowOff>165100</xdr:rowOff>
                  </to>
                </anchor>
              </controlPr>
            </control>
          </mc:Choice>
        </mc:AlternateContent>
        <mc:AlternateContent xmlns:mc="http://schemas.openxmlformats.org/markup-compatibility/2006">
          <mc:Choice Requires="x14">
            <control shapeId="14535" r:id="rId130" name="Button 3271">
              <controlPr defaultSize="0" autoFill="0" autoLine="0" autoPict="0" macro="[0]!Sheet1.deleteRow">
                <anchor moveWithCells="1" sizeWithCells="1">
                  <from>
                    <xdr:col>6</xdr:col>
                    <xdr:colOff>0</xdr:colOff>
                    <xdr:row>147</xdr:row>
                    <xdr:rowOff>0</xdr:rowOff>
                  </from>
                  <to>
                    <xdr:col>7</xdr:col>
                    <xdr:colOff>0</xdr:colOff>
                    <xdr:row>147</xdr:row>
                    <xdr:rowOff>165100</xdr:rowOff>
                  </to>
                </anchor>
              </controlPr>
            </control>
          </mc:Choice>
        </mc:AlternateContent>
        <mc:AlternateContent xmlns:mc="http://schemas.openxmlformats.org/markup-compatibility/2006">
          <mc:Choice Requires="x14">
            <control shapeId="14534" r:id="rId131" name="Button 3270">
              <controlPr defaultSize="0" autoFill="0" autoLine="0" autoPict="0" macro="[0]!Sheet1.deleteRow">
                <anchor moveWithCells="1" sizeWithCells="1">
                  <from>
                    <xdr:col>6</xdr:col>
                    <xdr:colOff>0</xdr:colOff>
                    <xdr:row>148</xdr:row>
                    <xdr:rowOff>0</xdr:rowOff>
                  </from>
                  <to>
                    <xdr:col>7</xdr:col>
                    <xdr:colOff>0</xdr:colOff>
                    <xdr:row>148</xdr:row>
                    <xdr:rowOff>165100</xdr:rowOff>
                  </to>
                </anchor>
              </controlPr>
            </control>
          </mc:Choice>
        </mc:AlternateContent>
        <mc:AlternateContent xmlns:mc="http://schemas.openxmlformats.org/markup-compatibility/2006">
          <mc:Choice Requires="x14">
            <control shapeId="14533" r:id="rId132" name="Button 3269">
              <controlPr defaultSize="0" autoFill="0" autoLine="0" autoPict="0" macro="[0]!Sheet1.deleteRow">
                <anchor moveWithCells="1" sizeWithCells="1">
                  <from>
                    <xdr:col>6</xdr:col>
                    <xdr:colOff>0</xdr:colOff>
                    <xdr:row>149</xdr:row>
                    <xdr:rowOff>0</xdr:rowOff>
                  </from>
                  <to>
                    <xdr:col>7</xdr:col>
                    <xdr:colOff>0</xdr:colOff>
                    <xdr:row>149</xdr:row>
                    <xdr:rowOff>165100</xdr:rowOff>
                  </to>
                </anchor>
              </controlPr>
            </control>
          </mc:Choice>
        </mc:AlternateContent>
        <mc:AlternateContent xmlns:mc="http://schemas.openxmlformats.org/markup-compatibility/2006">
          <mc:Choice Requires="x14">
            <control shapeId="14532" r:id="rId133" name="Button 3268">
              <controlPr defaultSize="0" autoFill="0" autoLine="0" autoPict="0" macro="[0]!Sheet1.deleteRow">
                <anchor moveWithCells="1" sizeWithCells="1">
                  <from>
                    <xdr:col>6</xdr:col>
                    <xdr:colOff>0</xdr:colOff>
                    <xdr:row>150</xdr:row>
                    <xdr:rowOff>0</xdr:rowOff>
                  </from>
                  <to>
                    <xdr:col>7</xdr:col>
                    <xdr:colOff>0</xdr:colOff>
                    <xdr:row>150</xdr:row>
                    <xdr:rowOff>165100</xdr:rowOff>
                  </to>
                </anchor>
              </controlPr>
            </control>
          </mc:Choice>
        </mc:AlternateContent>
        <mc:AlternateContent xmlns:mc="http://schemas.openxmlformats.org/markup-compatibility/2006">
          <mc:Choice Requires="x14">
            <control shapeId="14531" r:id="rId134" name="Button 3267">
              <controlPr defaultSize="0" autoFill="0" autoLine="0" autoPict="0" macro="[0]!Sheet1.deleteRow">
                <anchor moveWithCells="1" sizeWithCells="1">
                  <from>
                    <xdr:col>6</xdr:col>
                    <xdr:colOff>0</xdr:colOff>
                    <xdr:row>151</xdr:row>
                    <xdr:rowOff>0</xdr:rowOff>
                  </from>
                  <to>
                    <xdr:col>7</xdr:col>
                    <xdr:colOff>0</xdr:colOff>
                    <xdr:row>151</xdr:row>
                    <xdr:rowOff>165100</xdr:rowOff>
                  </to>
                </anchor>
              </controlPr>
            </control>
          </mc:Choice>
        </mc:AlternateContent>
        <mc:AlternateContent xmlns:mc="http://schemas.openxmlformats.org/markup-compatibility/2006">
          <mc:Choice Requires="x14">
            <control shapeId="14530" r:id="rId135" name="Button 3266">
              <controlPr defaultSize="0" autoFill="0" autoLine="0" autoPict="0" macro="[0]!Sheet1.deleteRow">
                <anchor moveWithCells="1" sizeWithCells="1">
                  <from>
                    <xdr:col>6</xdr:col>
                    <xdr:colOff>0</xdr:colOff>
                    <xdr:row>152</xdr:row>
                    <xdr:rowOff>0</xdr:rowOff>
                  </from>
                  <to>
                    <xdr:col>7</xdr:col>
                    <xdr:colOff>0</xdr:colOff>
                    <xdr:row>152</xdr:row>
                    <xdr:rowOff>165100</xdr:rowOff>
                  </to>
                </anchor>
              </controlPr>
            </control>
          </mc:Choice>
        </mc:AlternateContent>
        <mc:AlternateContent xmlns:mc="http://schemas.openxmlformats.org/markup-compatibility/2006">
          <mc:Choice Requires="x14">
            <control shapeId="14529" r:id="rId136" name="Button 3265">
              <controlPr defaultSize="0" autoFill="0" autoLine="0" autoPict="0" macro="[0]!Sheet1.deleteRow">
                <anchor moveWithCells="1" sizeWithCells="1">
                  <from>
                    <xdr:col>6</xdr:col>
                    <xdr:colOff>0</xdr:colOff>
                    <xdr:row>153</xdr:row>
                    <xdr:rowOff>0</xdr:rowOff>
                  </from>
                  <to>
                    <xdr:col>7</xdr:col>
                    <xdr:colOff>0</xdr:colOff>
                    <xdr:row>153</xdr:row>
                    <xdr:rowOff>165100</xdr:rowOff>
                  </to>
                </anchor>
              </controlPr>
            </control>
          </mc:Choice>
        </mc:AlternateContent>
        <mc:AlternateContent xmlns:mc="http://schemas.openxmlformats.org/markup-compatibility/2006">
          <mc:Choice Requires="x14">
            <control shapeId="14528" r:id="rId137" name="Button 3264">
              <controlPr defaultSize="0" autoFill="0" autoLine="0" autoPict="0" macro="[0]!Sheet1.deleteRow">
                <anchor moveWithCells="1" sizeWithCells="1">
                  <from>
                    <xdr:col>6</xdr:col>
                    <xdr:colOff>0</xdr:colOff>
                    <xdr:row>154</xdr:row>
                    <xdr:rowOff>0</xdr:rowOff>
                  </from>
                  <to>
                    <xdr:col>7</xdr:col>
                    <xdr:colOff>0</xdr:colOff>
                    <xdr:row>154</xdr:row>
                    <xdr:rowOff>165100</xdr:rowOff>
                  </to>
                </anchor>
              </controlPr>
            </control>
          </mc:Choice>
        </mc:AlternateContent>
        <mc:AlternateContent xmlns:mc="http://schemas.openxmlformats.org/markup-compatibility/2006">
          <mc:Choice Requires="x14">
            <control shapeId="14527" r:id="rId138" name="Button 3263">
              <controlPr defaultSize="0" autoFill="0" autoLine="0" autoPict="0" macro="[0]!Sheet1.deleteRow">
                <anchor moveWithCells="1" sizeWithCells="1">
                  <from>
                    <xdr:col>6</xdr:col>
                    <xdr:colOff>0</xdr:colOff>
                    <xdr:row>155</xdr:row>
                    <xdr:rowOff>0</xdr:rowOff>
                  </from>
                  <to>
                    <xdr:col>7</xdr:col>
                    <xdr:colOff>0</xdr:colOff>
                    <xdr:row>155</xdr:row>
                    <xdr:rowOff>165100</xdr:rowOff>
                  </to>
                </anchor>
              </controlPr>
            </control>
          </mc:Choice>
        </mc:AlternateContent>
        <mc:AlternateContent xmlns:mc="http://schemas.openxmlformats.org/markup-compatibility/2006">
          <mc:Choice Requires="x14">
            <control shapeId="14526" r:id="rId139" name="Button 3262">
              <controlPr defaultSize="0" autoFill="0" autoLine="0" autoPict="0" macro="[0]!Sheet1.deleteRow">
                <anchor moveWithCells="1" sizeWithCells="1">
                  <from>
                    <xdr:col>6</xdr:col>
                    <xdr:colOff>0</xdr:colOff>
                    <xdr:row>156</xdr:row>
                    <xdr:rowOff>0</xdr:rowOff>
                  </from>
                  <to>
                    <xdr:col>7</xdr:col>
                    <xdr:colOff>0</xdr:colOff>
                    <xdr:row>156</xdr:row>
                    <xdr:rowOff>165100</xdr:rowOff>
                  </to>
                </anchor>
              </controlPr>
            </control>
          </mc:Choice>
        </mc:AlternateContent>
        <mc:AlternateContent xmlns:mc="http://schemas.openxmlformats.org/markup-compatibility/2006">
          <mc:Choice Requires="x14">
            <control shapeId="14525" r:id="rId140" name="Button 3261">
              <controlPr defaultSize="0" autoFill="0" autoLine="0" autoPict="0" macro="[0]!Sheet1.deleteRow">
                <anchor moveWithCells="1" sizeWithCells="1">
                  <from>
                    <xdr:col>6</xdr:col>
                    <xdr:colOff>0</xdr:colOff>
                    <xdr:row>157</xdr:row>
                    <xdr:rowOff>0</xdr:rowOff>
                  </from>
                  <to>
                    <xdr:col>7</xdr:col>
                    <xdr:colOff>0</xdr:colOff>
                    <xdr:row>157</xdr:row>
                    <xdr:rowOff>165100</xdr:rowOff>
                  </to>
                </anchor>
              </controlPr>
            </control>
          </mc:Choice>
        </mc:AlternateContent>
        <mc:AlternateContent xmlns:mc="http://schemas.openxmlformats.org/markup-compatibility/2006">
          <mc:Choice Requires="x14">
            <control shapeId="14524" r:id="rId141" name="Button 3260">
              <controlPr defaultSize="0" autoFill="0" autoLine="0" autoPict="0" macro="[0]!Sheet1.deleteRow">
                <anchor moveWithCells="1" sizeWithCells="1">
                  <from>
                    <xdr:col>6</xdr:col>
                    <xdr:colOff>0</xdr:colOff>
                    <xdr:row>158</xdr:row>
                    <xdr:rowOff>0</xdr:rowOff>
                  </from>
                  <to>
                    <xdr:col>7</xdr:col>
                    <xdr:colOff>0</xdr:colOff>
                    <xdr:row>158</xdr:row>
                    <xdr:rowOff>165100</xdr:rowOff>
                  </to>
                </anchor>
              </controlPr>
            </control>
          </mc:Choice>
        </mc:AlternateContent>
        <mc:AlternateContent xmlns:mc="http://schemas.openxmlformats.org/markup-compatibility/2006">
          <mc:Choice Requires="x14">
            <control shapeId="14523" r:id="rId142" name="Button 3259">
              <controlPr defaultSize="0" autoFill="0" autoLine="0" autoPict="0" macro="[0]!Sheet1.deleteRow">
                <anchor moveWithCells="1" sizeWithCells="1">
                  <from>
                    <xdr:col>6</xdr:col>
                    <xdr:colOff>0</xdr:colOff>
                    <xdr:row>159</xdr:row>
                    <xdr:rowOff>0</xdr:rowOff>
                  </from>
                  <to>
                    <xdr:col>7</xdr:col>
                    <xdr:colOff>0</xdr:colOff>
                    <xdr:row>159</xdr:row>
                    <xdr:rowOff>165100</xdr:rowOff>
                  </to>
                </anchor>
              </controlPr>
            </control>
          </mc:Choice>
        </mc:AlternateContent>
        <mc:AlternateContent xmlns:mc="http://schemas.openxmlformats.org/markup-compatibility/2006">
          <mc:Choice Requires="x14">
            <control shapeId="14522" r:id="rId143" name="Button 3258">
              <controlPr defaultSize="0" autoFill="0" autoLine="0" autoPict="0" macro="[0]!Sheet1.deleteRow">
                <anchor moveWithCells="1" sizeWithCells="1">
                  <from>
                    <xdr:col>6</xdr:col>
                    <xdr:colOff>0</xdr:colOff>
                    <xdr:row>160</xdr:row>
                    <xdr:rowOff>0</xdr:rowOff>
                  </from>
                  <to>
                    <xdr:col>7</xdr:col>
                    <xdr:colOff>0</xdr:colOff>
                    <xdr:row>160</xdr:row>
                    <xdr:rowOff>165100</xdr:rowOff>
                  </to>
                </anchor>
              </controlPr>
            </control>
          </mc:Choice>
        </mc:AlternateContent>
        <mc:AlternateContent xmlns:mc="http://schemas.openxmlformats.org/markup-compatibility/2006">
          <mc:Choice Requires="x14">
            <control shapeId="14521" r:id="rId144" name="Button 3257">
              <controlPr defaultSize="0" autoFill="0" autoLine="0" autoPict="0" macro="[0]!Sheet1.deleteRow">
                <anchor moveWithCells="1" sizeWithCells="1">
                  <from>
                    <xdr:col>6</xdr:col>
                    <xdr:colOff>0</xdr:colOff>
                    <xdr:row>161</xdr:row>
                    <xdr:rowOff>0</xdr:rowOff>
                  </from>
                  <to>
                    <xdr:col>7</xdr:col>
                    <xdr:colOff>0</xdr:colOff>
                    <xdr:row>161</xdr:row>
                    <xdr:rowOff>165100</xdr:rowOff>
                  </to>
                </anchor>
              </controlPr>
            </control>
          </mc:Choice>
        </mc:AlternateContent>
        <mc:AlternateContent xmlns:mc="http://schemas.openxmlformats.org/markup-compatibility/2006">
          <mc:Choice Requires="x14">
            <control shapeId="14520" r:id="rId145" name="Button 3256">
              <controlPr defaultSize="0" autoFill="0" autoLine="0" autoPict="0" macro="[0]!Sheet1.deleteRow">
                <anchor moveWithCells="1" sizeWithCells="1">
                  <from>
                    <xdr:col>6</xdr:col>
                    <xdr:colOff>0</xdr:colOff>
                    <xdr:row>162</xdr:row>
                    <xdr:rowOff>0</xdr:rowOff>
                  </from>
                  <to>
                    <xdr:col>7</xdr:col>
                    <xdr:colOff>0</xdr:colOff>
                    <xdr:row>162</xdr:row>
                    <xdr:rowOff>165100</xdr:rowOff>
                  </to>
                </anchor>
              </controlPr>
            </control>
          </mc:Choice>
        </mc:AlternateContent>
        <mc:AlternateContent xmlns:mc="http://schemas.openxmlformats.org/markup-compatibility/2006">
          <mc:Choice Requires="x14">
            <control shapeId="14519" r:id="rId146" name="Button 3255">
              <controlPr defaultSize="0" autoFill="0" autoLine="0" autoPict="0" macro="[0]!Sheet1.deleteRow">
                <anchor moveWithCells="1" sizeWithCells="1">
                  <from>
                    <xdr:col>6</xdr:col>
                    <xdr:colOff>0</xdr:colOff>
                    <xdr:row>163</xdr:row>
                    <xdr:rowOff>0</xdr:rowOff>
                  </from>
                  <to>
                    <xdr:col>7</xdr:col>
                    <xdr:colOff>0</xdr:colOff>
                    <xdr:row>163</xdr:row>
                    <xdr:rowOff>165100</xdr:rowOff>
                  </to>
                </anchor>
              </controlPr>
            </control>
          </mc:Choice>
        </mc:AlternateContent>
        <mc:AlternateContent xmlns:mc="http://schemas.openxmlformats.org/markup-compatibility/2006">
          <mc:Choice Requires="x14">
            <control shapeId="14518" r:id="rId147" name="Button 3254">
              <controlPr defaultSize="0" autoFill="0" autoLine="0" autoPict="0" macro="[0]!Sheet1.deleteRow">
                <anchor moveWithCells="1" sizeWithCells="1">
                  <from>
                    <xdr:col>6</xdr:col>
                    <xdr:colOff>0</xdr:colOff>
                    <xdr:row>164</xdr:row>
                    <xdr:rowOff>0</xdr:rowOff>
                  </from>
                  <to>
                    <xdr:col>7</xdr:col>
                    <xdr:colOff>0</xdr:colOff>
                    <xdr:row>164</xdr:row>
                    <xdr:rowOff>165100</xdr:rowOff>
                  </to>
                </anchor>
              </controlPr>
            </control>
          </mc:Choice>
        </mc:AlternateContent>
        <mc:AlternateContent xmlns:mc="http://schemas.openxmlformats.org/markup-compatibility/2006">
          <mc:Choice Requires="x14">
            <control shapeId="14517" r:id="rId148" name="Button 3253">
              <controlPr defaultSize="0" autoFill="0" autoLine="0" autoPict="0" macro="[0]!Sheet1.deleteRow">
                <anchor moveWithCells="1" sizeWithCells="1">
                  <from>
                    <xdr:col>6</xdr:col>
                    <xdr:colOff>0</xdr:colOff>
                    <xdr:row>165</xdr:row>
                    <xdr:rowOff>0</xdr:rowOff>
                  </from>
                  <to>
                    <xdr:col>7</xdr:col>
                    <xdr:colOff>0</xdr:colOff>
                    <xdr:row>165</xdr:row>
                    <xdr:rowOff>165100</xdr:rowOff>
                  </to>
                </anchor>
              </controlPr>
            </control>
          </mc:Choice>
        </mc:AlternateContent>
        <mc:AlternateContent xmlns:mc="http://schemas.openxmlformats.org/markup-compatibility/2006">
          <mc:Choice Requires="x14">
            <control shapeId="14516" r:id="rId149" name="Button 3252">
              <controlPr defaultSize="0" autoFill="0" autoLine="0" autoPict="0" macro="[0]!Sheet1.deleteRow">
                <anchor moveWithCells="1" sizeWithCells="1">
                  <from>
                    <xdr:col>6</xdr:col>
                    <xdr:colOff>0</xdr:colOff>
                    <xdr:row>166</xdr:row>
                    <xdr:rowOff>0</xdr:rowOff>
                  </from>
                  <to>
                    <xdr:col>7</xdr:col>
                    <xdr:colOff>0</xdr:colOff>
                    <xdr:row>166</xdr:row>
                    <xdr:rowOff>165100</xdr:rowOff>
                  </to>
                </anchor>
              </controlPr>
            </control>
          </mc:Choice>
        </mc:AlternateContent>
        <mc:AlternateContent xmlns:mc="http://schemas.openxmlformats.org/markup-compatibility/2006">
          <mc:Choice Requires="x14">
            <control shapeId="14515" r:id="rId150" name="Button 3251">
              <controlPr defaultSize="0" autoFill="0" autoLine="0" autoPict="0" macro="[0]!Sheet1.deleteRow">
                <anchor moveWithCells="1" sizeWithCells="1">
                  <from>
                    <xdr:col>6</xdr:col>
                    <xdr:colOff>0</xdr:colOff>
                    <xdr:row>167</xdr:row>
                    <xdr:rowOff>0</xdr:rowOff>
                  </from>
                  <to>
                    <xdr:col>7</xdr:col>
                    <xdr:colOff>0</xdr:colOff>
                    <xdr:row>167</xdr:row>
                    <xdr:rowOff>165100</xdr:rowOff>
                  </to>
                </anchor>
              </controlPr>
            </control>
          </mc:Choice>
        </mc:AlternateContent>
        <mc:AlternateContent xmlns:mc="http://schemas.openxmlformats.org/markup-compatibility/2006">
          <mc:Choice Requires="x14">
            <control shapeId="14514" r:id="rId151" name="Button 3250">
              <controlPr defaultSize="0" autoFill="0" autoLine="0" autoPict="0" macro="[0]!Sheet1.deleteRow">
                <anchor moveWithCells="1" sizeWithCells="1">
                  <from>
                    <xdr:col>6</xdr:col>
                    <xdr:colOff>0</xdr:colOff>
                    <xdr:row>168</xdr:row>
                    <xdr:rowOff>0</xdr:rowOff>
                  </from>
                  <to>
                    <xdr:col>7</xdr:col>
                    <xdr:colOff>0</xdr:colOff>
                    <xdr:row>168</xdr:row>
                    <xdr:rowOff>165100</xdr:rowOff>
                  </to>
                </anchor>
              </controlPr>
            </control>
          </mc:Choice>
        </mc:AlternateContent>
        <mc:AlternateContent xmlns:mc="http://schemas.openxmlformats.org/markup-compatibility/2006">
          <mc:Choice Requires="x14">
            <control shapeId="14513" r:id="rId152" name="Button 3249">
              <controlPr defaultSize="0" autoFill="0" autoLine="0" autoPict="0" macro="[0]!Sheet1.deleteRow">
                <anchor moveWithCells="1" sizeWithCells="1">
                  <from>
                    <xdr:col>6</xdr:col>
                    <xdr:colOff>0</xdr:colOff>
                    <xdr:row>169</xdr:row>
                    <xdr:rowOff>0</xdr:rowOff>
                  </from>
                  <to>
                    <xdr:col>7</xdr:col>
                    <xdr:colOff>0</xdr:colOff>
                    <xdr:row>169</xdr:row>
                    <xdr:rowOff>165100</xdr:rowOff>
                  </to>
                </anchor>
              </controlPr>
            </control>
          </mc:Choice>
        </mc:AlternateContent>
        <mc:AlternateContent xmlns:mc="http://schemas.openxmlformats.org/markup-compatibility/2006">
          <mc:Choice Requires="x14">
            <control shapeId="14512" r:id="rId153" name="Button 3248">
              <controlPr defaultSize="0" autoFill="0" autoLine="0" autoPict="0" macro="[0]!Sheet1.deleteRow">
                <anchor moveWithCells="1" sizeWithCells="1">
                  <from>
                    <xdr:col>6</xdr:col>
                    <xdr:colOff>0</xdr:colOff>
                    <xdr:row>170</xdr:row>
                    <xdr:rowOff>0</xdr:rowOff>
                  </from>
                  <to>
                    <xdr:col>7</xdr:col>
                    <xdr:colOff>0</xdr:colOff>
                    <xdr:row>170</xdr:row>
                    <xdr:rowOff>165100</xdr:rowOff>
                  </to>
                </anchor>
              </controlPr>
            </control>
          </mc:Choice>
        </mc:AlternateContent>
        <mc:AlternateContent xmlns:mc="http://schemas.openxmlformats.org/markup-compatibility/2006">
          <mc:Choice Requires="x14">
            <control shapeId="14511" r:id="rId154" name="Button 3247">
              <controlPr defaultSize="0" autoFill="0" autoLine="0" autoPict="0" macro="[0]!Sheet1.deleteRow">
                <anchor moveWithCells="1" sizeWithCells="1">
                  <from>
                    <xdr:col>6</xdr:col>
                    <xdr:colOff>0</xdr:colOff>
                    <xdr:row>171</xdr:row>
                    <xdr:rowOff>0</xdr:rowOff>
                  </from>
                  <to>
                    <xdr:col>7</xdr:col>
                    <xdr:colOff>0</xdr:colOff>
                    <xdr:row>171</xdr:row>
                    <xdr:rowOff>165100</xdr:rowOff>
                  </to>
                </anchor>
              </controlPr>
            </control>
          </mc:Choice>
        </mc:AlternateContent>
        <mc:AlternateContent xmlns:mc="http://schemas.openxmlformats.org/markup-compatibility/2006">
          <mc:Choice Requires="x14">
            <control shapeId="14510" r:id="rId155" name="Button 3246">
              <controlPr defaultSize="0" autoFill="0" autoLine="0" autoPict="0" macro="[0]!Sheet1.deleteRow">
                <anchor moveWithCells="1" sizeWithCells="1">
                  <from>
                    <xdr:col>6</xdr:col>
                    <xdr:colOff>0</xdr:colOff>
                    <xdr:row>172</xdr:row>
                    <xdr:rowOff>0</xdr:rowOff>
                  </from>
                  <to>
                    <xdr:col>7</xdr:col>
                    <xdr:colOff>0</xdr:colOff>
                    <xdr:row>172</xdr:row>
                    <xdr:rowOff>165100</xdr:rowOff>
                  </to>
                </anchor>
              </controlPr>
            </control>
          </mc:Choice>
        </mc:AlternateContent>
        <mc:AlternateContent xmlns:mc="http://schemas.openxmlformats.org/markup-compatibility/2006">
          <mc:Choice Requires="x14">
            <control shapeId="14509" r:id="rId156" name="Button 3245">
              <controlPr defaultSize="0" autoFill="0" autoLine="0" autoPict="0" macro="[0]!Sheet1.deleteRow">
                <anchor moveWithCells="1" sizeWithCells="1">
                  <from>
                    <xdr:col>6</xdr:col>
                    <xdr:colOff>0</xdr:colOff>
                    <xdr:row>173</xdr:row>
                    <xdr:rowOff>0</xdr:rowOff>
                  </from>
                  <to>
                    <xdr:col>7</xdr:col>
                    <xdr:colOff>0</xdr:colOff>
                    <xdr:row>173</xdr:row>
                    <xdr:rowOff>165100</xdr:rowOff>
                  </to>
                </anchor>
              </controlPr>
            </control>
          </mc:Choice>
        </mc:AlternateContent>
        <mc:AlternateContent xmlns:mc="http://schemas.openxmlformats.org/markup-compatibility/2006">
          <mc:Choice Requires="x14">
            <control shapeId="14508" r:id="rId157" name="Button 3244">
              <controlPr defaultSize="0" autoFill="0" autoLine="0" autoPict="0" macro="[0]!Sheet1.deleteRow">
                <anchor moveWithCells="1" sizeWithCells="1">
                  <from>
                    <xdr:col>6</xdr:col>
                    <xdr:colOff>0</xdr:colOff>
                    <xdr:row>174</xdr:row>
                    <xdr:rowOff>0</xdr:rowOff>
                  </from>
                  <to>
                    <xdr:col>7</xdr:col>
                    <xdr:colOff>0</xdr:colOff>
                    <xdr:row>174</xdr:row>
                    <xdr:rowOff>165100</xdr:rowOff>
                  </to>
                </anchor>
              </controlPr>
            </control>
          </mc:Choice>
        </mc:AlternateContent>
        <mc:AlternateContent xmlns:mc="http://schemas.openxmlformats.org/markup-compatibility/2006">
          <mc:Choice Requires="x14">
            <control shapeId="14507" r:id="rId158" name="Button 3243">
              <controlPr defaultSize="0" autoFill="0" autoLine="0" autoPict="0" macro="[0]!Sheet1.deleteRow">
                <anchor moveWithCells="1" sizeWithCells="1">
                  <from>
                    <xdr:col>6</xdr:col>
                    <xdr:colOff>0</xdr:colOff>
                    <xdr:row>175</xdr:row>
                    <xdr:rowOff>0</xdr:rowOff>
                  </from>
                  <to>
                    <xdr:col>7</xdr:col>
                    <xdr:colOff>0</xdr:colOff>
                    <xdr:row>175</xdr:row>
                    <xdr:rowOff>165100</xdr:rowOff>
                  </to>
                </anchor>
              </controlPr>
            </control>
          </mc:Choice>
        </mc:AlternateContent>
        <mc:AlternateContent xmlns:mc="http://schemas.openxmlformats.org/markup-compatibility/2006">
          <mc:Choice Requires="x14">
            <control shapeId="14506" r:id="rId159" name="Button 3242">
              <controlPr defaultSize="0" autoFill="0" autoLine="0" autoPict="0" macro="[0]!Sheet1.deleteRow">
                <anchor moveWithCells="1" sizeWithCells="1">
                  <from>
                    <xdr:col>6</xdr:col>
                    <xdr:colOff>0</xdr:colOff>
                    <xdr:row>176</xdr:row>
                    <xdr:rowOff>0</xdr:rowOff>
                  </from>
                  <to>
                    <xdr:col>7</xdr:col>
                    <xdr:colOff>0</xdr:colOff>
                    <xdr:row>176</xdr:row>
                    <xdr:rowOff>165100</xdr:rowOff>
                  </to>
                </anchor>
              </controlPr>
            </control>
          </mc:Choice>
        </mc:AlternateContent>
        <mc:AlternateContent xmlns:mc="http://schemas.openxmlformats.org/markup-compatibility/2006">
          <mc:Choice Requires="x14">
            <control shapeId="14505" r:id="rId160" name="Button 3241">
              <controlPr defaultSize="0" autoFill="0" autoLine="0" autoPict="0" macro="[0]!Sheet1.deleteRow">
                <anchor moveWithCells="1" sizeWithCells="1">
                  <from>
                    <xdr:col>6</xdr:col>
                    <xdr:colOff>0</xdr:colOff>
                    <xdr:row>177</xdr:row>
                    <xdr:rowOff>0</xdr:rowOff>
                  </from>
                  <to>
                    <xdr:col>7</xdr:col>
                    <xdr:colOff>0</xdr:colOff>
                    <xdr:row>177</xdr:row>
                    <xdr:rowOff>165100</xdr:rowOff>
                  </to>
                </anchor>
              </controlPr>
            </control>
          </mc:Choice>
        </mc:AlternateContent>
        <mc:AlternateContent xmlns:mc="http://schemas.openxmlformats.org/markup-compatibility/2006">
          <mc:Choice Requires="x14">
            <control shapeId="14504" r:id="rId161" name="Button 3240">
              <controlPr defaultSize="0" autoFill="0" autoLine="0" autoPict="0" macro="[0]!Sheet1.deleteRow">
                <anchor moveWithCells="1" sizeWithCells="1">
                  <from>
                    <xdr:col>6</xdr:col>
                    <xdr:colOff>0</xdr:colOff>
                    <xdr:row>178</xdr:row>
                    <xdr:rowOff>0</xdr:rowOff>
                  </from>
                  <to>
                    <xdr:col>7</xdr:col>
                    <xdr:colOff>0</xdr:colOff>
                    <xdr:row>178</xdr:row>
                    <xdr:rowOff>165100</xdr:rowOff>
                  </to>
                </anchor>
              </controlPr>
            </control>
          </mc:Choice>
        </mc:AlternateContent>
        <mc:AlternateContent xmlns:mc="http://schemas.openxmlformats.org/markup-compatibility/2006">
          <mc:Choice Requires="x14">
            <control shapeId="14503" r:id="rId162" name="Button 3239">
              <controlPr defaultSize="0" autoFill="0" autoLine="0" autoPict="0" macro="[0]!Sheet1.deleteRow">
                <anchor moveWithCells="1" sizeWithCells="1">
                  <from>
                    <xdr:col>6</xdr:col>
                    <xdr:colOff>0</xdr:colOff>
                    <xdr:row>179</xdr:row>
                    <xdr:rowOff>0</xdr:rowOff>
                  </from>
                  <to>
                    <xdr:col>7</xdr:col>
                    <xdr:colOff>0</xdr:colOff>
                    <xdr:row>179</xdr:row>
                    <xdr:rowOff>165100</xdr:rowOff>
                  </to>
                </anchor>
              </controlPr>
            </control>
          </mc:Choice>
        </mc:AlternateContent>
        <mc:AlternateContent xmlns:mc="http://schemas.openxmlformats.org/markup-compatibility/2006">
          <mc:Choice Requires="x14">
            <control shapeId="14502" r:id="rId163" name="Button 3238">
              <controlPr defaultSize="0" autoFill="0" autoLine="0" autoPict="0" macro="[0]!Sheet1.deleteRow">
                <anchor moveWithCells="1" sizeWithCells="1">
                  <from>
                    <xdr:col>6</xdr:col>
                    <xdr:colOff>0</xdr:colOff>
                    <xdr:row>180</xdr:row>
                    <xdr:rowOff>0</xdr:rowOff>
                  </from>
                  <to>
                    <xdr:col>7</xdr:col>
                    <xdr:colOff>0</xdr:colOff>
                    <xdr:row>180</xdr:row>
                    <xdr:rowOff>165100</xdr:rowOff>
                  </to>
                </anchor>
              </controlPr>
            </control>
          </mc:Choice>
        </mc:AlternateContent>
        <mc:AlternateContent xmlns:mc="http://schemas.openxmlformats.org/markup-compatibility/2006">
          <mc:Choice Requires="x14">
            <control shapeId="14501" r:id="rId164" name="Button 3237">
              <controlPr defaultSize="0" autoFill="0" autoLine="0" autoPict="0" macro="[0]!Sheet1.deleteRow">
                <anchor moveWithCells="1" sizeWithCells="1">
                  <from>
                    <xdr:col>6</xdr:col>
                    <xdr:colOff>0</xdr:colOff>
                    <xdr:row>181</xdr:row>
                    <xdr:rowOff>0</xdr:rowOff>
                  </from>
                  <to>
                    <xdr:col>7</xdr:col>
                    <xdr:colOff>0</xdr:colOff>
                    <xdr:row>181</xdr:row>
                    <xdr:rowOff>165100</xdr:rowOff>
                  </to>
                </anchor>
              </controlPr>
            </control>
          </mc:Choice>
        </mc:AlternateContent>
        <mc:AlternateContent xmlns:mc="http://schemas.openxmlformats.org/markup-compatibility/2006">
          <mc:Choice Requires="x14">
            <control shapeId="14500" r:id="rId165" name="Button 3236">
              <controlPr defaultSize="0" autoFill="0" autoLine="0" autoPict="0" macro="[0]!Sheet1.deleteRow">
                <anchor moveWithCells="1" sizeWithCells="1">
                  <from>
                    <xdr:col>6</xdr:col>
                    <xdr:colOff>0</xdr:colOff>
                    <xdr:row>182</xdr:row>
                    <xdr:rowOff>0</xdr:rowOff>
                  </from>
                  <to>
                    <xdr:col>7</xdr:col>
                    <xdr:colOff>0</xdr:colOff>
                    <xdr:row>182</xdr:row>
                    <xdr:rowOff>165100</xdr:rowOff>
                  </to>
                </anchor>
              </controlPr>
            </control>
          </mc:Choice>
        </mc:AlternateContent>
        <mc:AlternateContent xmlns:mc="http://schemas.openxmlformats.org/markup-compatibility/2006">
          <mc:Choice Requires="x14">
            <control shapeId="14499" r:id="rId166" name="Button 3235">
              <controlPr defaultSize="0" autoFill="0" autoLine="0" autoPict="0" macro="[0]!Sheet1.deleteRow">
                <anchor moveWithCells="1" sizeWithCells="1">
                  <from>
                    <xdr:col>6</xdr:col>
                    <xdr:colOff>0</xdr:colOff>
                    <xdr:row>183</xdr:row>
                    <xdr:rowOff>0</xdr:rowOff>
                  </from>
                  <to>
                    <xdr:col>7</xdr:col>
                    <xdr:colOff>0</xdr:colOff>
                    <xdr:row>183</xdr:row>
                    <xdr:rowOff>165100</xdr:rowOff>
                  </to>
                </anchor>
              </controlPr>
            </control>
          </mc:Choice>
        </mc:AlternateContent>
        <mc:AlternateContent xmlns:mc="http://schemas.openxmlformats.org/markup-compatibility/2006">
          <mc:Choice Requires="x14">
            <control shapeId="14498" r:id="rId167" name="Button 3234">
              <controlPr defaultSize="0" autoFill="0" autoLine="0" autoPict="0" macro="[0]!Sheet1.deleteRow">
                <anchor moveWithCells="1" sizeWithCells="1">
                  <from>
                    <xdr:col>6</xdr:col>
                    <xdr:colOff>0</xdr:colOff>
                    <xdr:row>184</xdr:row>
                    <xdr:rowOff>0</xdr:rowOff>
                  </from>
                  <to>
                    <xdr:col>7</xdr:col>
                    <xdr:colOff>0</xdr:colOff>
                    <xdr:row>184</xdr:row>
                    <xdr:rowOff>165100</xdr:rowOff>
                  </to>
                </anchor>
              </controlPr>
            </control>
          </mc:Choice>
        </mc:AlternateContent>
        <mc:AlternateContent xmlns:mc="http://schemas.openxmlformats.org/markup-compatibility/2006">
          <mc:Choice Requires="x14">
            <control shapeId="14497" r:id="rId168" name="Button 3233">
              <controlPr defaultSize="0" autoFill="0" autoLine="0" autoPict="0" macro="[0]!Sheet1.deleteRow">
                <anchor moveWithCells="1" sizeWithCells="1">
                  <from>
                    <xdr:col>6</xdr:col>
                    <xdr:colOff>0</xdr:colOff>
                    <xdr:row>185</xdr:row>
                    <xdr:rowOff>0</xdr:rowOff>
                  </from>
                  <to>
                    <xdr:col>7</xdr:col>
                    <xdr:colOff>0</xdr:colOff>
                    <xdr:row>185</xdr:row>
                    <xdr:rowOff>165100</xdr:rowOff>
                  </to>
                </anchor>
              </controlPr>
            </control>
          </mc:Choice>
        </mc:AlternateContent>
        <mc:AlternateContent xmlns:mc="http://schemas.openxmlformats.org/markup-compatibility/2006">
          <mc:Choice Requires="x14">
            <control shapeId="14496" r:id="rId169" name="Button 3232">
              <controlPr defaultSize="0" autoFill="0" autoLine="0" autoPict="0" macro="[0]!Sheet1.deleteRow">
                <anchor moveWithCells="1" sizeWithCells="1">
                  <from>
                    <xdr:col>6</xdr:col>
                    <xdr:colOff>0</xdr:colOff>
                    <xdr:row>186</xdr:row>
                    <xdr:rowOff>0</xdr:rowOff>
                  </from>
                  <to>
                    <xdr:col>7</xdr:col>
                    <xdr:colOff>0</xdr:colOff>
                    <xdr:row>186</xdr:row>
                    <xdr:rowOff>165100</xdr:rowOff>
                  </to>
                </anchor>
              </controlPr>
            </control>
          </mc:Choice>
        </mc:AlternateContent>
        <mc:AlternateContent xmlns:mc="http://schemas.openxmlformats.org/markup-compatibility/2006">
          <mc:Choice Requires="x14">
            <control shapeId="14495" r:id="rId170" name="Button 3231">
              <controlPr defaultSize="0" autoFill="0" autoLine="0" autoPict="0" macro="[0]!Sheet1.deleteRow">
                <anchor moveWithCells="1" sizeWithCells="1">
                  <from>
                    <xdr:col>6</xdr:col>
                    <xdr:colOff>0</xdr:colOff>
                    <xdr:row>187</xdr:row>
                    <xdr:rowOff>0</xdr:rowOff>
                  </from>
                  <to>
                    <xdr:col>7</xdr:col>
                    <xdr:colOff>0</xdr:colOff>
                    <xdr:row>187</xdr:row>
                    <xdr:rowOff>165100</xdr:rowOff>
                  </to>
                </anchor>
              </controlPr>
            </control>
          </mc:Choice>
        </mc:AlternateContent>
        <mc:AlternateContent xmlns:mc="http://schemas.openxmlformats.org/markup-compatibility/2006">
          <mc:Choice Requires="x14">
            <control shapeId="14494" r:id="rId171" name="Button 3230">
              <controlPr defaultSize="0" autoFill="0" autoLine="0" autoPict="0" macro="[0]!Sheet1.deleteRow">
                <anchor moveWithCells="1" sizeWithCells="1">
                  <from>
                    <xdr:col>6</xdr:col>
                    <xdr:colOff>0</xdr:colOff>
                    <xdr:row>188</xdr:row>
                    <xdr:rowOff>0</xdr:rowOff>
                  </from>
                  <to>
                    <xdr:col>7</xdr:col>
                    <xdr:colOff>0</xdr:colOff>
                    <xdr:row>188</xdr:row>
                    <xdr:rowOff>165100</xdr:rowOff>
                  </to>
                </anchor>
              </controlPr>
            </control>
          </mc:Choice>
        </mc:AlternateContent>
        <mc:AlternateContent xmlns:mc="http://schemas.openxmlformats.org/markup-compatibility/2006">
          <mc:Choice Requires="x14">
            <control shapeId="14493" r:id="rId172" name="Button 3229">
              <controlPr defaultSize="0" autoFill="0" autoLine="0" autoPict="0" macro="[0]!Sheet1.deleteProcedure">
                <anchor moveWithCells="1" sizeWithCells="1">
                  <from>
                    <xdr:col>6</xdr:col>
                    <xdr:colOff>0</xdr:colOff>
                    <xdr:row>191</xdr:row>
                    <xdr:rowOff>0</xdr:rowOff>
                  </from>
                  <to>
                    <xdr:col>7</xdr:col>
                    <xdr:colOff>0</xdr:colOff>
                    <xdr:row>192</xdr:row>
                    <xdr:rowOff>0</xdr:rowOff>
                  </to>
                </anchor>
              </controlPr>
            </control>
          </mc:Choice>
        </mc:AlternateContent>
        <mc:AlternateContent xmlns:mc="http://schemas.openxmlformats.org/markup-compatibility/2006">
          <mc:Choice Requires="x14">
            <control shapeId="14492" r:id="rId173" name="Button 3228">
              <controlPr defaultSize="0" autoFill="0" autoLine="0" autoPict="0" macro="[0]!Sheet1.InsertNewTableRow">
                <anchor moveWithCells="1" sizeWithCells="1">
                  <from>
                    <xdr:col>6</xdr:col>
                    <xdr:colOff>0</xdr:colOff>
                    <xdr:row>198</xdr:row>
                    <xdr:rowOff>0</xdr:rowOff>
                  </from>
                  <to>
                    <xdr:col>7</xdr:col>
                    <xdr:colOff>0</xdr:colOff>
                    <xdr:row>198</xdr:row>
                    <xdr:rowOff>171450</xdr:rowOff>
                  </to>
                </anchor>
              </controlPr>
            </control>
          </mc:Choice>
        </mc:AlternateContent>
        <mc:AlternateContent xmlns:mc="http://schemas.openxmlformats.org/markup-compatibility/2006">
          <mc:Choice Requires="x14">
            <control shapeId="14491" r:id="rId174" name="Button 3227">
              <controlPr defaultSize="0" autoFill="0" autoLine="0" autoPict="0" macro="[0]!Sheet1.deleteRow">
                <anchor moveWithCells="1" sizeWithCells="1">
                  <from>
                    <xdr:col>6</xdr:col>
                    <xdr:colOff>0</xdr:colOff>
                    <xdr:row>199</xdr:row>
                    <xdr:rowOff>0</xdr:rowOff>
                  </from>
                  <to>
                    <xdr:col>7</xdr:col>
                    <xdr:colOff>0</xdr:colOff>
                    <xdr:row>199</xdr:row>
                    <xdr:rowOff>165100</xdr:rowOff>
                  </to>
                </anchor>
              </controlPr>
            </control>
          </mc:Choice>
        </mc:AlternateContent>
        <mc:AlternateContent xmlns:mc="http://schemas.openxmlformats.org/markup-compatibility/2006">
          <mc:Choice Requires="x14">
            <control shapeId="14490" r:id="rId175" name="Button 3226">
              <controlPr defaultSize="0" autoFill="0" autoLine="0" autoPict="0" macro="[0]!Sheet1.deleteProcedure">
                <anchor moveWithCells="1" sizeWithCells="1">
                  <from>
                    <xdr:col>6</xdr:col>
                    <xdr:colOff>0</xdr:colOff>
                    <xdr:row>202</xdr:row>
                    <xdr:rowOff>0</xdr:rowOff>
                  </from>
                  <to>
                    <xdr:col>7</xdr:col>
                    <xdr:colOff>0</xdr:colOff>
                    <xdr:row>203</xdr:row>
                    <xdr:rowOff>0</xdr:rowOff>
                  </to>
                </anchor>
              </controlPr>
            </control>
          </mc:Choice>
        </mc:AlternateContent>
        <mc:AlternateContent xmlns:mc="http://schemas.openxmlformats.org/markup-compatibility/2006">
          <mc:Choice Requires="x14">
            <control shapeId="14489" r:id="rId176" name="Button 3225">
              <controlPr defaultSize="0" autoFill="0" autoLine="0" autoPict="0" macro="[0]!Sheet1.InsertNewTableRow">
                <anchor moveWithCells="1" sizeWithCells="1">
                  <from>
                    <xdr:col>6</xdr:col>
                    <xdr:colOff>0</xdr:colOff>
                    <xdr:row>209</xdr:row>
                    <xdr:rowOff>0</xdr:rowOff>
                  </from>
                  <to>
                    <xdr:col>7</xdr:col>
                    <xdr:colOff>0</xdr:colOff>
                    <xdr:row>209</xdr:row>
                    <xdr:rowOff>171450</xdr:rowOff>
                  </to>
                </anchor>
              </controlPr>
            </control>
          </mc:Choice>
        </mc:AlternateContent>
        <mc:AlternateContent xmlns:mc="http://schemas.openxmlformats.org/markup-compatibility/2006">
          <mc:Choice Requires="x14">
            <control shapeId="14488" r:id="rId177" name="Button 3224">
              <controlPr defaultSize="0" autoFill="0" autoLine="0" autoPict="0" macro="[0]!Sheet1.deleteRow">
                <anchor moveWithCells="1" sizeWithCells="1">
                  <from>
                    <xdr:col>6</xdr:col>
                    <xdr:colOff>0</xdr:colOff>
                    <xdr:row>210</xdr:row>
                    <xdr:rowOff>0</xdr:rowOff>
                  </from>
                  <to>
                    <xdr:col>7</xdr:col>
                    <xdr:colOff>0</xdr:colOff>
                    <xdr:row>210</xdr:row>
                    <xdr:rowOff>165100</xdr:rowOff>
                  </to>
                </anchor>
              </controlPr>
            </control>
          </mc:Choice>
        </mc:AlternateContent>
        <mc:AlternateContent xmlns:mc="http://schemas.openxmlformats.org/markup-compatibility/2006">
          <mc:Choice Requires="x14">
            <control shapeId="14487" r:id="rId178" name="Button 3223">
              <controlPr defaultSize="0" autoFill="0" autoLine="0" autoPict="0" macro="[0]!Sheet1.deleteRow">
                <anchor moveWithCells="1" sizeWithCells="1">
                  <from>
                    <xdr:col>6</xdr:col>
                    <xdr:colOff>0</xdr:colOff>
                    <xdr:row>211</xdr:row>
                    <xdr:rowOff>0</xdr:rowOff>
                  </from>
                  <to>
                    <xdr:col>7</xdr:col>
                    <xdr:colOff>0</xdr:colOff>
                    <xdr:row>211</xdr:row>
                    <xdr:rowOff>165100</xdr:rowOff>
                  </to>
                </anchor>
              </controlPr>
            </control>
          </mc:Choice>
        </mc:AlternateContent>
        <mc:AlternateContent xmlns:mc="http://schemas.openxmlformats.org/markup-compatibility/2006">
          <mc:Choice Requires="x14">
            <control shapeId="14486" r:id="rId179" name="Button 3222">
              <controlPr defaultSize="0" autoFill="0" autoLine="0" autoPict="0" macro="[0]!Sheet1.deleteRow">
                <anchor moveWithCells="1" sizeWithCells="1">
                  <from>
                    <xdr:col>6</xdr:col>
                    <xdr:colOff>0</xdr:colOff>
                    <xdr:row>212</xdr:row>
                    <xdr:rowOff>0</xdr:rowOff>
                  </from>
                  <to>
                    <xdr:col>7</xdr:col>
                    <xdr:colOff>0</xdr:colOff>
                    <xdr:row>212</xdr:row>
                    <xdr:rowOff>165100</xdr:rowOff>
                  </to>
                </anchor>
              </controlPr>
            </control>
          </mc:Choice>
        </mc:AlternateContent>
        <mc:AlternateContent xmlns:mc="http://schemas.openxmlformats.org/markup-compatibility/2006">
          <mc:Choice Requires="x14">
            <control shapeId="14485" r:id="rId180" name="Button 3221">
              <controlPr defaultSize="0" autoFill="0" autoLine="0" autoPict="0" macro="[0]!Sheet1.deleteProcedure">
                <anchor moveWithCells="1" sizeWithCells="1">
                  <from>
                    <xdr:col>6</xdr:col>
                    <xdr:colOff>0</xdr:colOff>
                    <xdr:row>215</xdr:row>
                    <xdr:rowOff>0</xdr:rowOff>
                  </from>
                  <to>
                    <xdr:col>7</xdr:col>
                    <xdr:colOff>0</xdr:colOff>
                    <xdr:row>216</xdr:row>
                    <xdr:rowOff>0</xdr:rowOff>
                  </to>
                </anchor>
              </controlPr>
            </control>
          </mc:Choice>
        </mc:AlternateContent>
        <mc:AlternateContent xmlns:mc="http://schemas.openxmlformats.org/markup-compatibility/2006">
          <mc:Choice Requires="x14">
            <control shapeId="14484" r:id="rId181" name="Button 3220">
              <controlPr defaultSize="0" autoFill="0" autoLine="0" autoPict="0" macro="[0]!Sheet1.InsertNewTableRow">
                <anchor moveWithCells="1" sizeWithCells="1">
                  <from>
                    <xdr:col>6</xdr:col>
                    <xdr:colOff>0</xdr:colOff>
                    <xdr:row>222</xdr:row>
                    <xdr:rowOff>0</xdr:rowOff>
                  </from>
                  <to>
                    <xdr:col>7</xdr:col>
                    <xdr:colOff>0</xdr:colOff>
                    <xdr:row>222</xdr:row>
                    <xdr:rowOff>171450</xdr:rowOff>
                  </to>
                </anchor>
              </controlPr>
            </control>
          </mc:Choice>
        </mc:AlternateContent>
        <mc:AlternateContent xmlns:mc="http://schemas.openxmlformats.org/markup-compatibility/2006">
          <mc:Choice Requires="x14">
            <control shapeId="14483" r:id="rId182" name="Button 3219">
              <controlPr defaultSize="0" autoFill="0" autoLine="0" autoPict="0" macro="[0]!Sheet1.deleteRow">
                <anchor moveWithCells="1" sizeWithCells="1">
                  <from>
                    <xdr:col>6</xdr:col>
                    <xdr:colOff>0</xdr:colOff>
                    <xdr:row>223</xdr:row>
                    <xdr:rowOff>0</xdr:rowOff>
                  </from>
                  <to>
                    <xdr:col>7</xdr:col>
                    <xdr:colOff>0</xdr:colOff>
                    <xdr:row>223</xdr:row>
                    <xdr:rowOff>165100</xdr:rowOff>
                  </to>
                </anchor>
              </controlPr>
            </control>
          </mc:Choice>
        </mc:AlternateContent>
        <mc:AlternateContent xmlns:mc="http://schemas.openxmlformats.org/markup-compatibility/2006">
          <mc:Choice Requires="x14">
            <control shapeId="14482" r:id="rId183" name="Button 3218">
              <controlPr defaultSize="0" autoFill="0" autoLine="0" autoPict="0" macro="[0]!Sheet1.deleteRow">
                <anchor moveWithCells="1" sizeWithCells="1">
                  <from>
                    <xdr:col>6</xdr:col>
                    <xdr:colOff>0</xdr:colOff>
                    <xdr:row>224</xdr:row>
                    <xdr:rowOff>0</xdr:rowOff>
                  </from>
                  <to>
                    <xdr:col>7</xdr:col>
                    <xdr:colOff>0</xdr:colOff>
                    <xdr:row>224</xdr:row>
                    <xdr:rowOff>165100</xdr:rowOff>
                  </to>
                </anchor>
              </controlPr>
            </control>
          </mc:Choice>
        </mc:AlternateContent>
        <mc:AlternateContent xmlns:mc="http://schemas.openxmlformats.org/markup-compatibility/2006">
          <mc:Choice Requires="x14">
            <control shapeId="14481" r:id="rId184" name="Button 3217">
              <controlPr defaultSize="0" autoFill="0" autoLine="0" autoPict="0" macro="[0]!Sheet1.deleteRow">
                <anchor moveWithCells="1" sizeWithCells="1">
                  <from>
                    <xdr:col>6</xdr:col>
                    <xdr:colOff>0</xdr:colOff>
                    <xdr:row>225</xdr:row>
                    <xdr:rowOff>0</xdr:rowOff>
                  </from>
                  <to>
                    <xdr:col>7</xdr:col>
                    <xdr:colOff>0</xdr:colOff>
                    <xdr:row>225</xdr:row>
                    <xdr:rowOff>165100</xdr:rowOff>
                  </to>
                </anchor>
              </controlPr>
            </control>
          </mc:Choice>
        </mc:AlternateContent>
        <mc:AlternateContent xmlns:mc="http://schemas.openxmlformats.org/markup-compatibility/2006">
          <mc:Choice Requires="x14">
            <control shapeId="14480" r:id="rId185" name="Button 3216">
              <controlPr defaultSize="0" autoFill="0" autoLine="0" autoPict="0" macro="[0]!Sheet1.deleteProcedure">
                <anchor moveWithCells="1" sizeWithCells="1">
                  <from>
                    <xdr:col>6</xdr:col>
                    <xdr:colOff>0</xdr:colOff>
                    <xdr:row>228</xdr:row>
                    <xdr:rowOff>0</xdr:rowOff>
                  </from>
                  <to>
                    <xdr:col>7</xdr:col>
                    <xdr:colOff>0</xdr:colOff>
                    <xdr:row>229</xdr:row>
                    <xdr:rowOff>0</xdr:rowOff>
                  </to>
                </anchor>
              </controlPr>
            </control>
          </mc:Choice>
        </mc:AlternateContent>
        <mc:AlternateContent xmlns:mc="http://schemas.openxmlformats.org/markup-compatibility/2006">
          <mc:Choice Requires="x14">
            <control shapeId="14479" r:id="rId186" name="Button 3215">
              <controlPr defaultSize="0" autoFill="0" autoLine="0" autoPict="0" macro="[0]!Sheet1.InsertNewTableRow">
                <anchor moveWithCells="1" sizeWithCells="1">
                  <from>
                    <xdr:col>6</xdr:col>
                    <xdr:colOff>0</xdr:colOff>
                    <xdr:row>235</xdr:row>
                    <xdr:rowOff>0</xdr:rowOff>
                  </from>
                  <to>
                    <xdr:col>7</xdr:col>
                    <xdr:colOff>0</xdr:colOff>
                    <xdr:row>235</xdr:row>
                    <xdr:rowOff>171450</xdr:rowOff>
                  </to>
                </anchor>
              </controlPr>
            </control>
          </mc:Choice>
        </mc:AlternateContent>
        <mc:AlternateContent xmlns:mc="http://schemas.openxmlformats.org/markup-compatibility/2006">
          <mc:Choice Requires="x14">
            <control shapeId="14478" r:id="rId187" name="Button 3214">
              <controlPr defaultSize="0" autoFill="0" autoLine="0" autoPict="0" macro="[0]!Sheet1.deleteRow">
                <anchor moveWithCells="1" sizeWithCells="1">
                  <from>
                    <xdr:col>6</xdr:col>
                    <xdr:colOff>0</xdr:colOff>
                    <xdr:row>236</xdr:row>
                    <xdr:rowOff>0</xdr:rowOff>
                  </from>
                  <to>
                    <xdr:col>7</xdr:col>
                    <xdr:colOff>0</xdr:colOff>
                    <xdr:row>236</xdr:row>
                    <xdr:rowOff>165100</xdr:rowOff>
                  </to>
                </anchor>
              </controlPr>
            </control>
          </mc:Choice>
        </mc:AlternateContent>
        <mc:AlternateContent xmlns:mc="http://schemas.openxmlformats.org/markup-compatibility/2006">
          <mc:Choice Requires="x14">
            <control shapeId="14477" r:id="rId188" name="Button 3213">
              <controlPr defaultSize="0" autoFill="0" autoLine="0" autoPict="0" macro="[0]!Sheet1.deleteRow">
                <anchor moveWithCells="1" sizeWithCells="1">
                  <from>
                    <xdr:col>6</xdr:col>
                    <xdr:colOff>0</xdr:colOff>
                    <xdr:row>237</xdr:row>
                    <xdr:rowOff>0</xdr:rowOff>
                  </from>
                  <to>
                    <xdr:col>7</xdr:col>
                    <xdr:colOff>0</xdr:colOff>
                    <xdr:row>237</xdr:row>
                    <xdr:rowOff>165100</xdr:rowOff>
                  </to>
                </anchor>
              </controlPr>
            </control>
          </mc:Choice>
        </mc:AlternateContent>
        <mc:AlternateContent xmlns:mc="http://schemas.openxmlformats.org/markup-compatibility/2006">
          <mc:Choice Requires="x14">
            <control shapeId="14476" r:id="rId189" name="Button 3212">
              <controlPr defaultSize="0" autoFill="0" autoLine="0" autoPict="0" macro="[0]!Sheet1.deleteRow">
                <anchor moveWithCells="1" sizeWithCells="1">
                  <from>
                    <xdr:col>6</xdr:col>
                    <xdr:colOff>0</xdr:colOff>
                    <xdr:row>238</xdr:row>
                    <xdr:rowOff>0</xdr:rowOff>
                  </from>
                  <to>
                    <xdr:col>7</xdr:col>
                    <xdr:colOff>0</xdr:colOff>
                    <xdr:row>238</xdr:row>
                    <xdr:rowOff>165100</xdr:rowOff>
                  </to>
                </anchor>
              </controlPr>
            </control>
          </mc:Choice>
        </mc:AlternateContent>
        <mc:AlternateContent xmlns:mc="http://schemas.openxmlformats.org/markup-compatibility/2006">
          <mc:Choice Requires="x14">
            <control shapeId="14475" r:id="rId190" name="Button 3211">
              <controlPr defaultSize="0" autoFill="0" autoLine="0" autoPict="0" macro="[0]!Sheet1.deleteProcedure">
                <anchor moveWithCells="1" sizeWithCells="1">
                  <from>
                    <xdr:col>6</xdr:col>
                    <xdr:colOff>0</xdr:colOff>
                    <xdr:row>241</xdr:row>
                    <xdr:rowOff>0</xdr:rowOff>
                  </from>
                  <to>
                    <xdr:col>7</xdr:col>
                    <xdr:colOff>0</xdr:colOff>
                    <xdr:row>242</xdr:row>
                    <xdr:rowOff>0</xdr:rowOff>
                  </to>
                </anchor>
              </controlPr>
            </control>
          </mc:Choice>
        </mc:AlternateContent>
        <mc:AlternateContent xmlns:mc="http://schemas.openxmlformats.org/markup-compatibility/2006">
          <mc:Choice Requires="x14">
            <control shapeId="14474" r:id="rId191" name="Button 3210">
              <controlPr defaultSize="0" autoFill="0" autoLine="0" autoPict="0" macro="[0]!Sheet1.InsertNewTableRow">
                <anchor moveWithCells="1" sizeWithCells="1">
                  <from>
                    <xdr:col>6</xdr:col>
                    <xdr:colOff>0</xdr:colOff>
                    <xdr:row>248</xdr:row>
                    <xdr:rowOff>0</xdr:rowOff>
                  </from>
                  <to>
                    <xdr:col>7</xdr:col>
                    <xdr:colOff>0</xdr:colOff>
                    <xdr:row>248</xdr:row>
                    <xdr:rowOff>171450</xdr:rowOff>
                  </to>
                </anchor>
              </controlPr>
            </control>
          </mc:Choice>
        </mc:AlternateContent>
        <mc:AlternateContent xmlns:mc="http://schemas.openxmlformats.org/markup-compatibility/2006">
          <mc:Choice Requires="x14">
            <control shapeId="14473" r:id="rId192" name="Button 3209">
              <controlPr defaultSize="0" autoFill="0" autoLine="0" autoPict="0" macro="[0]!Sheet1.deleteRow">
                <anchor moveWithCells="1" sizeWithCells="1">
                  <from>
                    <xdr:col>6</xdr:col>
                    <xdr:colOff>0</xdr:colOff>
                    <xdr:row>249</xdr:row>
                    <xdr:rowOff>0</xdr:rowOff>
                  </from>
                  <to>
                    <xdr:col>7</xdr:col>
                    <xdr:colOff>0</xdr:colOff>
                    <xdr:row>249</xdr:row>
                    <xdr:rowOff>165100</xdr:rowOff>
                  </to>
                </anchor>
              </controlPr>
            </control>
          </mc:Choice>
        </mc:AlternateContent>
        <mc:AlternateContent xmlns:mc="http://schemas.openxmlformats.org/markup-compatibility/2006">
          <mc:Choice Requires="x14">
            <control shapeId="14472" r:id="rId193" name="Button 3208">
              <controlPr defaultSize="0" autoFill="0" autoLine="0" autoPict="0" macro="[0]!Sheet1.deleteProcedure">
                <anchor moveWithCells="1" sizeWithCells="1">
                  <from>
                    <xdr:col>6</xdr:col>
                    <xdr:colOff>0</xdr:colOff>
                    <xdr:row>252</xdr:row>
                    <xdr:rowOff>0</xdr:rowOff>
                  </from>
                  <to>
                    <xdr:col>7</xdr:col>
                    <xdr:colOff>0</xdr:colOff>
                    <xdr:row>253</xdr:row>
                    <xdr:rowOff>0</xdr:rowOff>
                  </to>
                </anchor>
              </controlPr>
            </control>
          </mc:Choice>
        </mc:AlternateContent>
        <mc:AlternateContent xmlns:mc="http://schemas.openxmlformats.org/markup-compatibility/2006">
          <mc:Choice Requires="x14">
            <control shapeId="14471" r:id="rId194" name="Button 3207">
              <controlPr defaultSize="0" autoFill="0" autoLine="0" autoPict="0" macro="[0]!Sheet1.InsertNewTableRow">
                <anchor moveWithCells="1" sizeWithCells="1">
                  <from>
                    <xdr:col>6</xdr:col>
                    <xdr:colOff>0</xdr:colOff>
                    <xdr:row>259</xdr:row>
                    <xdr:rowOff>0</xdr:rowOff>
                  </from>
                  <to>
                    <xdr:col>7</xdr:col>
                    <xdr:colOff>0</xdr:colOff>
                    <xdr:row>259</xdr:row>
                    <xdr:rowOff>171450</xdr:rowOff>
                  </to>
                </anchor>
              </controlPr>
            </control>
          </mc:Choice>
        </mc:AlternateContent>
        <mc:AlternateContent xmlns:mc="http://schemas.openxmlformats.org/markup-compatibility/2006">
          <mc:Choice Requires="x14">
            <control shapeId="14470" r:id="rId195" name="Button 3206">
              <controlPr defaultSize="0" autoFill="0" autoLine="0" autoPict="0" macro="[0]!Sheet1.deleteRow">
                <anchor moveWithCells="1" sizeWithCells="1">
                  <from>
                    <xdr:col>6</xdr:col>
                    <xdr:colOff>0</xdr:colOff>
                    <xdr:row>260</xdr:row>
                    <xdr:rowOff>0</xdr:rowOff>
                  </from>
                  <to>
                    <xdr:col>7</xdr:col>
                    <xdr:colOff>0</xdr:colOff>
                    <xdr:row>260</xdr:row>
                    <xdr:rowOff>165100</xdr:rowOff>
                  </to>
                </anchor>
              </controlPr>
            </control>
          </mc:Choice>
        </mc:AlternateContent>
        <mc:AlternateContent xmlns:mc="http://schemas.openxmlformats.org/markup-compatibility/2006">
          <mc:Choice Requires="x14">
            <control shapeId="14469" r:id="rId196" name="Button 3205">
              <controlPr defaultSize="0" autoFill="0" autoLine="0" autoPict="0" macro="[0]!Sheet1.deleteRow">
                <anchor moveWithCells="1" sizeWithCells="1">
                  <from>
                    <xdr:col>6</xdr:col>
                    <xdr:colOff>0</xdr:colOff>
                    <xdr:row>261</xdr:row>
                    <xdr:rowOff>0</xdr:rowOff>
                  </from>
                  <to>
                    <xdr:col>7</xdr:col>
                    <xdr:colOff>0</xdr:colOff>
                    <xdr:row>261</xdr:row>
                    <xdr:rowOff>165100</xdr:rowOff>
                  </to>
                </anchor>
              </controlPr>
            </control>
          </mc:Choice>
        </mc:AlternateContent>
        <mc:AlternateContent xmlns:mc="http://schemas.openxmlformats.org/markup-compatibility/2006">
          <mc:Choice Requires="x14">
            <control shapeId="14468" r:id="rId197" name="Button 3204">
              <controlPr defaultSize="0" autoFill="0" autoLine="0" autoPict="0" macro="[0]!Sheet1.deleteProcedure">
                <anchor moveWithCells="1" sizeWithCells="1">
                  <from>
                    <xdr:col>6</xdr:col>
                    <xdr:colOff>0</xdr:colOff>
                    <xdr:row>264</xdr:row>
                    <xdr:rowOff>0</xdr:rowOff>
                  </from>
                  <to>
                    <xdr:col>7</xdr:col>
                    <xdr:colOff>0</xdr:colOff>
                    <xdr:row>265</xdr:row>
                    <xdr:rowOff>0</xdr:rowOff>
                  </to>
                </anchor>
              </controlPr>
            </control>
          </mc:Choice>
        </mc:AlternateContent>
        <mc:AlternateContent xmlns:mc="http://schemas.openxmlformats.org/markup-compatibility/2006">
          <mc:Choice Requires="x14">
            <control shapeId="14467" r:id="rId198" name="Button 3203">
              <controlPr defaultSize="0" autoFill="0" autoLine="0" autoPict="0" macro="[0]!Sheet1.InsertNewTableRow">
                <anchor moveWithCells="1" sizeWithCells="1">
                  <from>
                    <xdr:col>6</xdr:col>
                    <xdr:colOff>0</xdr:colOff>
                    <xdr:row>271</xdr:row>
                    <xdr:rowOff>0</xdr:rowOff>
                  </from>
                  <to>
                    <xdr:col>7</xdr:col>
                    <xdr:colOff>0</xdr:colOff>
                    <xdr:row>271</xdr:row>
                    <xdr:rowOff>171450</xdr:rowOff>
                  </to>
                </anchor>
              </controlPr>
            </control>
          </mc:Choice>
        </mc:AlternateContent>
        <mc:AlternateContent xmlns:mc="http://schemas.openxmlformats.org/markup-compatibility/2006">
          <mc:Choice Requires="x14">
            <control shapeId="14466" r:id="rId199" name="Button 3202">
              <controlPr defaultSize="0" autoFill="0" autoLine="0" autoPict="0" macro="[0]!Sheet1.deleteRow">
                <anchor moveWithCells="1" sizeWithCells="1">
                  <from>
                    <xdr:col>6</xdr:col>
                    <xdr:colOff>0</xdr:colOff>
                    <xdr:row>272</xdr:row>
                    <xdr:rowOff>0</xdr:rowOff>
                  </from>
                  <to>
                    <xdr:col>7</xdr:col>
                    <xdr:colOff>0</xdr:colOff>
                    <xdr:row>272</xdr:row>
                    <xdr:rowOff>165100</xdr:rowOff>
                  </to>
                </anchor>
              </controlPr>
            </control>
          </mc:Choice>
        </mc:AlternateContent>
        <mc:AlternateContent xmlns:mc="http://schemas.openxmlformats.org/markup-compatibility/2006">
          <mc:Choice Requires="x14">
            <control shapeId="14465" r:id="rId200" name="Button 3201">
              <controlPr defaultSize="0" autoFill="0" autoLine="0" autoPict="0" macro="[0]!Sheet1.deleteRow">
                <anchor moveWithCells="1" sizeWithCells="1">
                  <from>
                    <xdr:col>6</xdr:col>
                    <xdr:colOff>0</xdr:colOff>
                    <xdr:row>273</xdr:row>
                    <xdr:rowOff>0</xdr:rowOff>
                  </from>
                  <to>
                    <xdr:col>7</xdr:col>
                    <xdr:colOff>0</xdr:colOff>
                    <xdr:row>273</xdr:row>
                    <xdr:rowOff>165100</xdr:rowOff>
                  </to>
                </anchor>
              </controlPr>
            </control>
          </mc:Choice>
        </mc:AlternateContent>
        <mc:AlternateContent xmlns:mc="http://schemas.openxmlformats.org/markup-compatibility/2006">
          <mc:Choice Requires="x14">
            <control shapeId="14464" r:id="rId201" name="Button 3200">
              <controlPr defaultSize="0" autoFill="0" autoLine="0" autoPict="0" macro="[0]!Sheet1.deleteProcedure">
                <anchor moveWithCells="1" sizeWithCells="1">
                  <from>
                    <xdr:col>6</xdr:col>
                    <xdr:colOff>0</xdr:colOff>
                    <xdr:row>276</xdr:row>
                    <xdr:rowOff>0</xdr:rowOff>
                  </from>
                  <to>
                    <xdr:col>7</xdr:col>
                    <xdr:colOff>0</xdr:colOff>
                    <xdr:row>277</xdr:row>
                    <xdr:rowOff>0</xdr:rowOff>
                  </to>
                </anchor>
              </controlPr>
            </control>
          </mc:Choice>
        </mc:AlternateContent>
        <mc:AlternateContent xmlns:mc="http://schemas.openxmlformats.org/markup-compatibility/2006">
          <mc:Choice Requires="x14">
            <control shapeId="14463" r:id="rId202" name="Button 3199">
              <controlPr defaultSize="0" autoFill="0" autoLine="0" autoPict="0" macro="[0]!Sheet1.InsertNewTableRow">
                <anchor moveWithCells="1" sizeWithCells="1">
                  <from>
                    <xdr:col>6</xdr:col>
                    <xdr:colOff>0</xdr:colOff>
                    <xdr:row>283</xdr:row>
                    <xdr:rowOff>0</xdr:rowOff>
                  </from>
                  <to>
                    <xdr:col>7</xdr:col>
                    <xdr:colOff>0</xdr:colOff>
                    <xdr:row>283</xdr:row>
                    <xdr:rowOff>171450</xdr:rowOff>
                  </to>
                </anchor>
              </controlPr>
            </control>
          </mc:Choice>
        </mc:AlternateContent>
        <mc:AlternateContent xmlns:mc="http://schemas.openxmlformats.org/markup-compatibility/2006">
          <mc:Choice Requires="x14">
            <control shapeId="14462" r:id="rId203" name="Button 3198">
              <controlPr defaultSize="0" autoFill="0" autoLine="0" autoPict="0" macro="[0]!Sheet1.deleteRow">
                <anchor moveWithCells="1" sizeWithCells="1">
                  <from>
                    <xdr:col>6</xdr:col>
                    <xdr:colOff>0</xdr:colOff>
                    <xdr:row>284</xdr:row>
                    <xdr:rowOff>0</xdr:rowOff>
                  </from>
                  <to>
                    <xdr:col>7</xdr:col>
                    <xdr:colOff>0</xdr:colOff>
                    <xdr:row>284</xdr:row>
                    <xdr:rowOff>165100</xdr:rowOff>
                  </to>
                </anchor>
              </controlPr>
            </control>
          </mc:Choice>
        </mc:AlternateContent>
        <mc:AlternateContent xmlns:mc="http://schemas.openxmlformats.org/markup-compatibility/2006">
          <mc:Choice Requires="x14">
            <control shapeId="14461" r:id="rId204" name="Button 3197">
              <controlPr defaultSize="0" autoFill="0" autoLine="0" autoPict="0" macro="[0]!Sheet1.deleteRow">
                <anchor moveWithCells="1" sizeWithCells="1">
                  <from>
                    <xdr:col>6</xdr:col>
                    <xdr:colOff>0</xdr:colOff>
                    <xdr:row>285</xdr:row>
                    <xdr:rowOff>0</xdr:rowOff>
                  </from>
                  <to>
                    <xdr:col>7</xdr:col>
                    <xdr:colOff>0</xdr:colOff>
                    <xdr:row>285</xdr:row>
                    <xdr:rowOff>165100</xdr:rowOff>
                  </to>
                </anchor>
              </controlPr>
            </control>
          </mc:Choice>
        </mc:AlternateContent>
        <mc:AlternateContent xmlns:mc="http://schemas.openxmlformats.org/markup-compatibility/2006">
          <mc:Choice Requires="x14">
            <control shapeId="14460" r:id="rId205" name="Button 3196">
              <controlPr defaultSize="0" autoFill="0" autoLine="0" autoPict="0" macro="[0]!Sheet1.deleteProcedure">
                <anchor moveWithCells="1" sizeWithCells="1">
                  <from>
                    <xdr:col>6</xdr:col>
                    <xdr:colOff>0</xdr:colOff>
                    <xdr:row>288</xdr:row>
                    <xdr:rowOff>0</xdr:rowOff>
                  </from>
                  <to>
                    <xdr:col>7</xdr:col>
                    <xdr:colOff>0</xdr:colOff>
                    <xdr:row>289</xdr:row>
                    <xdr:rowOff>0</xdr:rowOff>
                  </to>
                </anchor>
              </controlPr>
            </control>
          </mc:Choice>
        </mc:AlternateContent>
        <mc:AlternateContent xmlns:mc="http://schemas.openxmlformats.org/markup-compatibility/2006">
          <mc:Choice Requires="x14">
            <control shapeId="14459" r:id="rId206" name="Button 3195">
              <controlPr defaultSize="0" autoFill="0" autoLine="0" autoPict="0" macro="[0]!Sheet1.InsertNewTableRow">
                <anchor moveWithCells="1" sizeWithCells="1">
                  <from>
                    <xdr:col>6</xdr:col>
                    <xdr:colOff>0</xdr:colOff>
                    <xdr:row>295</xdr:row>
                    <xdr:rowOff>0</xdr:rowOff>
                  </from>
                  <to>
                    <xdr:col>7</xdr:col>
                    <xdr:colOff>0</xdr:colOff>
                    <xdr:row>295</xdr:row>
                    <xdr:rowOff>171450</xdr:rowOff>
                  </to>
                </anchor>
              </controlPr>
            </control>
          </mc:Choice>
        </mc:AlternateContent>
        <mc:AlternateContent xmlns:mc="http://schemas.openxmlformats.org/markup-compatibility/2006">
          <mc:Choice Requires="x14">
            <control shapeId="14458" r:id="rId207" name="Button 3194">
              <controlPr defaultSize="0" autoFill="0" autoLine="0" autoPict="0" macro="[0]!Sheet1.deleteRow">
                <anchor moveWithCells="1" sizeWithCells="1">
                  <from>
                    <xdr:col>6</xdr:col>
                    <xdr:colOff>0</xdr:colOff>
                    <xdr:row>296</xdr:row>
                    <xdr:rowOff>0</xdr:rowOff>
                  </from>
                  <to>
                    <xdr:col>7</xdr:col>
                    <xdr:colOff>0</xdr:colOff>
                    <xdr:row>296</xdr:row>
                    <xdr:rowOff>165100</xdr:rowOff>
                  </to>
                </anchor>
              </controlPr>
            </control>
          </mc:Choice>
        </mc:AlternateContent>
        <mc:AlternateContent xmlns:mc="http://schemas.openxmlformats.org/markup-compatibility/2006">
          <mc:Choice Requires="x14">
            <control shapeId="14457" r:id="rId208" name="Button 3193">
              <controlPr defaultSize="0" autoFill="0" autoLine="0" autoPict="0" macro="[0]!Sheet1.deleteProcedure">
                <anchor moveWithCells="1" sizeWithCells="1">
                  <from>
                    <xdr:col>6</xdr:col>
                    <xdr:colOff>0</xdr:colOff>
                    <xdr:row>299</xdr:row>
                    <xdr:rowOff>0</xdr:rowOff>
                  </from>
                  <to>
                    <xdr:col>7</xdr:col>
                    <xdr:colOff>0</xdr:colOff>
                    <xdr:row>300</xdr:row>
                    <xdr:rowOff>0</xdr:rowOff>
                  </to>
                </anchor>
              </controlPr>
            </control>
          </mc:Choice>
        </mc:AlternateContent>
        <mc:AlternateContent xmlns:mc="http://schemas.openxmlformats.org/markup-compatibility/2006">
          <mc:Choice Requires="x14">
            <control shapeId="14456" r:id="rId209" name="Button 3192">
              <controlPr defaultSize="0" autoFill="0" autoLine="0" autoPict="0" macro="[0]!Sheet1.InsertNewTableRow">
                <anchor moveWithCells="1" sizeWithCells="1">
                  <from>
                    <xdr:col>6</xdr:col>
                    <xdr:colOff>0</xdr:colOff>
                    <xdr:row>306</xdr:row>
                    <xdr:rowOff>0</xdr:rowOff>
                  </from>
                  <to>
                    <xdr:col>7</xdr:col>
                    <xdr:colOff>0</xdr:colOff>
                    <xdr:row>306</xdr:row>
                    <xdr:rowOff>171450</xdr:rowOff>
                  </to>
                </anchor>
              </controlPr>
            </control>
          </mc:Choice>
        </mc:AlternateContent>
        <mc:AlternateContent xmlns:mc="http://schemas.openxmlformats.org/markup-compatibility/2006">
          <mc:Choice Requires="x14">
            <control shapeId="14455" r:id="rId210" name="Button 3191">
              <controlPr defaultSize="0" autoFill="0" autoLine="0" autoPict="0" macro="[0]!Sheet1.deleteRow">
                <anchor moveWithCells="1" sizeWithCells="1">
                  <from>
                    <xdr:col>6</xdr:col>
                    <xdr:colOff>0</xdr:colOff>
                    <xdr:row>307</xdr:row>
                    <xdr:rowOff>0</xdr:rowOff>
                  </from>
                  <to>
                    <xdr:col>7</xdr:col>
                    <xdr:colOff>0</xdr:colOff>
                    <xdr:row>307</xdr:row>
                    <xdr:rowOff>165100</xdr:rowOff>
                  </to>
                </anchor>
              </controlPr>
            </control>
          </mc:Choice>
        </mc:AlternateContent>
        <mc:AlternateContent xmlns:mc="http://schemas.openxmlformats.org/markup-compatibility/2006">
          <mc:Choice Requires="x14">
            <control shapeId="14454" r:id="rId211" name="Button 3190">
              <controlPr defaultSize="0" autoFill="0" autoLine="0" autoPict="0" macro="[0]!Sheet1.deleteProcedure">
                <anchor moveWithCells="1" sizeWithCells="1">
                  <from>
                    <xdr:col>6</xdr:col>
                    <xdr:colOff>0</xdr:colOff>
                    <xdr:row>310</xdr:row>
                    <xdr:rowOff>0</xdr:rowOff>
                  </from>
                  <to>
                    <xdr:col>7</xdr:col>
                    <xdr:colOff>0</xdr:colOff>
                    <xdr:row>311</xdr:row>
                    <xdr:rowOff>0</xdr:rowOff>
                  </to>
                </anchor>
              </controlPr>
            </control>
          </mc:Choice>
        </mc:AlternateContent>
        <mc:AlternateContent xmlns:mc="http://schemas.openxmlformats.org/markup-compatibility/2006">
          <mc:Choice Requires="x14">
            <control shapeId="14453" r:id="rId212" name="Button 3189">
              <controlPr defaultSize="0" autoFill="0" autoLine="0" autoPict="0" macro="[0]!Sheet1.InsertNewTableRow">
                <anchor moveWithCells="1" sizeWithCells="1">
                  <from>
                    <xdr:col>6</xdr:col>
                    <xdr:colOff>0</xdr:colOff>
                    <xdr:row>317</xdr:row>
                    <xdr:rowOff>0</xdr:rowOff>
                  </from>
                  <to>
                    <xdr:col>7</xdr:col>
                    <xdr:colOff>0</xdr:colOff>
                    <xdr:row>317</xdr:row>
                    <xdr:rowOff>171450</xdr:rowOff>
                  </to>
                </anchor>
              </controlPr>
            </control>
          </mc:Choice>
        </mc:AlternateContent>
        <mc:AlternateContent xmlns:mc="http://schemas.openxmlformats.org/markup-compatibility/2006">
          <mc:Choice Requires="x14">
            <control shapeId="14452" r:id="rId213" name="Button 3188">
              <controlPr defaultSize="0" autoFill="0" autoLine="0" autoPict="0" macro="[0]!Sheet1.deleteRow">
                <anchor moveWithCells="1" sizeWithCells="1">
                  <from>
                    <xdr:col>6</xdr:col>
                    <xdr:colOff>0</xdr:colOff>
                    <xdr:row>318</xdr:row>
                    <xdr:rowOff>0</xdr:rowOff>
                  </from>
                  <to>
                    <xdr:col>7</xdr:col>
                    <xdr:colOff>0</xdr:colOff>
                    <xdr:row>318</xdr:row>
                    <xdr:rowOff>165100</xdr:rowOff>
                  </to>
                </anchor>
              </controlPr>
            </control>
          </mc:Choice>
        </mc:AlternateContent>
        <mc:AlternateContent xmlns:mc="http://schemas.openxmlformats.org/markup-compatibility/2006">
          <mc:Choice Requires="x14">
            <control shapeId="14451" r:id="rId214" name="Button 3187">
              <controlPr defaultSize="0" autoFill="0" autoLine="0" autoPict="0" macro="[0]!Sheet1.deleteRow">
                <anchor moveWithCells="1" sizeWithCells="1">
                  <from>
                    <xdr:col>6</xdr:col>
                    <xdr:colOff>0</xdr:colOff>
                    <xdr:row>319</xdr:row>
                    <xdr:rowOff>0</xdr:rowOff>
                  </from>
                  <to>
                    <xdr:col>7</xdr:col>
                    <xdr:colOff>0</xdr:colOff>
                    <xdr:row>319</xdr:row>
                    <xdr:rowOff>165100</xdr:rowOff>
                  </to>
                </anchor>
              </controlPr>
            </control>
          </mc:Choice>
        </mc:AlternateContent>
        <mc:AlternateContent xmlns:mc="http://schemas.openxmlformats.org/markup-compatibility/2006">
          <mc:Choice Requires="x14">
            <control shapeId="14450" r:id="rId215" name="Button 3186">
              <controlPr defaultSize="0" autoFill="0" autoLine="0" autoPict="0" macro="[0]!Sheet1.deleteProcedure">
                <anchor moveWithCells="1" sizeWithCells="1">
                  <from>
                    <xdr:col>6</xdr:col>
                    <xdr:colOff>0</xdr:colOff>
                    <xdr:row>322</xdr:row>
                    <xdr:rowOff>0</xdr:rowOff>
                  </from>
                  <to>
                    <xdr:col>7</xdr:col>
                    <xdr:colOff>0</xdr:colOff>
                    <xdr:row>323</xdr:row>
                    <xdr:rowOff>0</xdr:rowOff>
                  </to>
                </anchor>
              </controlPr>
            </control>
          </mc:Choice>
        </mc:AlternateContent>
        <mc:AlternateContent xmlns:mc="http://schemas.openxmlformats.org/markup-compatibility/2006">
          <mc:Choice Requires="x14">
            <control shapeId="14449" r:id="rId216" name="Button 3185">
              <controlPr defaultSize="0" autoFill="0" autoLine="0" autoPict="0" macro="[0]!Sheet1.InsertNewTableRow">
                <anchor moveWithCells="1" sizeWithCells="1">
                  <from>
                    <xdr:col>6</xdr:col>
                    <xdr:colOff>0</xdr:colOff>
                    <xdr:row>329</xdr:row>
                    <xdr:rowOff>0</xdr:rowOff>
                  </from>
                  <to>
                    <xdr:col>7</xdr:col>
                    <xdr:colOff>0</xdr:colOff>
                    <xdr:row>329</xdr:row>
                    <xdr:rowOff>171450</xdr:rowOff>
                  </to>
                </anchor>
              </controlPr>
            </control>
          </mc:Choice>
        </mc:AlternateContent>
        <mc:AlternateContent xmlns:mc="http://schemas.openxmlformats.org/markup-compatibility/2006">
          <mc:Choice Requires="x14">
            <control shapeId="14448" r:id="rId217" name="Button 3184">
              <controlPr defaultSize="0" autoFill="0" autoLine="0" autoPict="0" macro="[0]!Sheet1.deleteRow">
                <anchor moveWithCells="1" sizeWithCells="1">
                  <from>
                    <xdr:col>6</xdr:col>
                    <xdr:colOff>0</xdr:colOff>
                    <xdr:row>330</xdr:row>
                    <xdr:rowOff>0</xdr:rowOff>
                  </from>
                  <to>
                    <xdr:col>7</xdr:col>
                    <xdr:colOff>0</xdr:colOff>
                    <xdr:row>330</xdr:row>
                    <xdr:rowOff>165100</xdr:rowOff>
                  </to>
                </anchor>
              </controlPr>
            </control>
          </mc:Choice>
        </mc:AlternateContent>
        <mc:AlternateContent xmlns:mc="http://schemas.openxmlformats.org/markup-compatibility/2006">
          <mc:Choice Requires="x14">
            <control shapeId="14447" r:id="rId218" name="Button 3183">
              <controlPr defaultSize="0" autoFill="0" autoLine="0" autoPict="0" macro="[0]!Sheet1.deleteProcedure">
                <anchor moveWithCells="1" sizeWithCells="1">
                  <from>
                    <xdr:col>6</xdr:col>
                    <xdr:colOff>0</xdr:colOff>
                    <xdr:row>333</xdr:row>
                    <xdr:rowOff>0</xdr:rowOff>
                  </from>
                  <to>
                    <xdr:col>7</xdr:col>
                    <xdr:colOff>0</xdr:colOff>
                    <xdr:row>334</xdr:row>
                    <xdr:rowOff>0</xdr:rowOff>
                  </to>
                </anchor>
              </controlPr>
            </control>
          </mc:Choice>
        </mc:AlternateContent>
        <mc:AlternateContent xmlns:mc="http://schemas.openxmlformats.org/markup-compatibility/2006">
          <mc:Choice Requires="x14">
            <control shapeId="14446" r:id="rId219" name="Button 3182">
              <controlPr defaultSize="0" autoFill="0" autoLine="0" autoPict="0" macro="[0]!Sheet1.InsertNewTableRow">
                <anchor moveWithCells="1" sizeWithCells="1">
                  <from>
                    <xdr:col>6</xdr:col>
                    <xdr:colOff>0</xdr:colOff>
                    <xdr:row>340</xdr:row>
                    <xdr:rowOff>0</xdr:rowOff>
                  </from>
                  <to>
                    <xdr:col>7</xdr:col>
                    <xdr:colOff>0</xdr:colOff>
                    <xdr:row>340</xdr:row>
                    <xdr:rowOff>171450</xdr:rowOff>
                  </to>
                </anchor>
              </controlPr>
            </control>
          </mc:Choice>
        </mc:AlternateContent>
        <mc:AlternateContent xmlns:mc="http://schemas.openxmlformats.org/markup-compatibility/2006">
          <mc:Choice Requires="x14">
            <control shapeId="14445" r:id="rId220" name="Button 3181">
              <controlPr defaultSize="0" autoFill="0" autoLine="0" autoPict="0" macro="[0]!Sheet1.deleteRow">
                <anchor moveWithCells="1" sizeWithCells="1">
                  <from>
                    <xdr:col>6</xdr:col>
                    <xdr:colOff>0</xdr:colOff>
                    <xdr:row>341</xdr:row>
                    <xdr:rowOff>0</xdr:rowOff>
                  </from>
                  <to>
                    <xdr:col>7</xdr:col>
                    <xdr:colOff>0</xdr:colOff>
                    <xdr:row>341</xdr:row>
                    <xdr:rowOff>165100</xdr:rowOff>
                  </to>
                </anchor>
              </controlPr>
            </control>
          </mc:Choice>
        </mc:AlternateContent>
        <mc:AlternateContent xmlns:mc="http://schemas.openxmlformats.org/markup-compatibility/2006">
          <mc:Choice Requires="x14">
            <control shapeId="14444" r:id="rId221" name="Button 3180">
              <controlPr defaultSize="0" autoFill="0" autoLine="0" autoPict="0" macro="[0]!Sheet1.deleteRow">
                <anchor moveWithCells="1" sizeWithCells="1">
                  <from>
                    <xdr:col>6</xdr:col>
                    <xdr:colOff>0</xdr:colOff>
                    <xdr:row>342</xdr:row>
                    <xdr:rowOff>0</xdr:rowOff>
                  </from>
                  <to>
                    <xdr:col>7</xdr:col>
                    <xdr:colOff>0</xdr:colOff>
                    <xdr:row>342</xdr:row>
                    <xdr:rowOff>165100</xdr:rowOff>
                  </to>
                </anchor>
              </controlPr>
            </control>
          </mc:Choice>
        </mc:AlternateContent>
        <mc:AlternateContent xmlns:mc="http://schemas.openxmlformats.org/markup-compatibility/2006">
          <mc:Choice Requires="x14">
            <control shapeId="14443" r:id="rId222" name="Button 3179">
              <controlPr defaultSize="0" autoFill="0" autoLine="0" autoPict="0" macro="[0]!Sheet1.deleteProcedure">
                <anchor moveWithCells="1" sizeWithCells="1">
                  <from>
                    <xdr:col>6</xdr:col>
                    <xdr:colOff>0</xdr:colOff>
                    <xdr:row>345</xdr:row>
                    <xdr:rowOff>0</xdr:rowOff>
                  </from>
                  <to>
                    <xdr:col>7</xdr:col>
                    <xdr:colOff>0</xdr:colOff>
                    <xdr:row>346</xdr:row>
                    <xdr:rowOff>0</xdr:rowOff>
                  </to>
                </anchor>
              </controlPr>
            </control>
          </mc:Choice>
        </mc:AlternateContent>
        <mc:AlternateContent xmlns:mc="http://schemas.openxmlformats.org/markup-compatibility/2006">
          <mc:Choice Requires="x14">
            <control shapeId="14442" r:id="rId223" name="Button 3178">
              <controlPr defaultSize="0" autoFill="0" autoLine="0" autoPict="0" macro="[0]!Sheet1.InsertNewTableRow">
                <anchor moveWithCells="1" sizeWithCells="1">
                  <from>
                    <xdr:col>6</xdr:col>
                    <xdr:colOff>0</xdr:colOff>
                    <xdr:row>352</xdr:row>
                    <xdr:rowOff>0</xdr:rowOff>
                  </from>
                  <to>
                    <xdr:col>7</xdr:col>
                    <xdr:colOff>0</xdr:colOff>
                    <xdr:row>352</xdr:row>
                    <xdr:rowOff>171450</xdr:rowOff>
                  </to>
                </anchor>
              </controlPr>
            </control>
          </mc:Choice>
        </mc:AlternateContent>
        <mc:AlternateContent xmlns:mc="http://schemas.openxmlformats.org/markup-compatibility/2006">
          <mc:Choice Requires="x14">
            <control shapeId="14441" r:id="rId224" name="Button 3177">
              <controlPr defaultSize="0" autoFill="0" autoLine="0" autoPict="0" macro="[0]!Sheet1.deleteRow">
                <anchor moveWithCells="1" sizeWithCells="1">
                  <from>
                    <xdr:col>6</xdr:col>
                    <xdr:colOff>0</xdr:colOff>
                    <xdr:row>353</xdr:row>
                    <xdr:rowOff>0</xdr:rowOff>
                  </from>
                  <to>
                    <xdr:col>7</xdr:col>
                    <xdr:colOff>0</xdr:colOff>
                    <xdr:row>353</xdr:row>
                    <xdr:rowOff>165100</xdr:rowOff>
                  </to>
                </anchor>
              </controlPr>
            </control>
          </mc:Choice>
        </mc:AlternateContent>
        <mc:AlternateContent xmlns:mc="http://schemas.openxmlformats.org/markup-compatibility/2006">
          <mc:Choice Requires="x14">
            <control shapeId="14440" r:id="rId225" name="Button 3176">
              <controlPr defaultSize="0" autoFill="0" autoLine="0" autoPict="0" macro="[0]!Sheet1.deleteProcedure">
                <anchor moveWithCells="1" sizeWithCells="1">
                  <from>
                    <xdr:col>6</xdr:col>
                    <xdr:colOff>0</xdr:colOff>
                    <xdr:row>356</xdr:row>
                    <xdr:rowOff>0</xdr:rowOff>
                  </from>
                  <to>
                    <xdr:col>7</xdr:col>
                    <xdr:colOff>0</xdr:colOff>
                    <xdr:row>357</xdr:row>
                    <xdr:rowOff>0</xdr:rowOff>
                  </to>
                </anchor>
              </controlPr>
            </control>
          </mc:Choice>
        </mc:AlternateContent>
        <mc:AlternateContent xmlns:mc="http://schemas.openxmlformats.org/markup-compatibility/2006">
          <mc:Choice Requires="x14">
            <control shapeId="14439" r:id="rId226" name="Button 3175">
              <controlPr defaultSize="0" autoFill="0" autoLine="0" autoPict="0" macro="[0]!Sheet1.InsertNewTableRow">
                <anchor moveWithCells="1" sizeWithCells="1">
                  <from>
                    <xdr:col>6</xdr:col>
                    <xdr:colOff>0</xdr:colOff>
                    <xdr:row>363</xdr:row>
                    <xdr:rowOff>0</xdr:rowOff>
                  </from>
                  <to>
                    <xdr:col>7</xdr:col>
                    <xdr:colOff>0</xdr:colOff>
                    <xdr:row>363</xdr:row>
                    <xdr:rowOff>171450</xdr:rowOff>
                  </to>
                </anchor>
              </controlPr>
            </control>
          </mc:Choice>
        </mc:AlternateContent>
        <mc:AlternateContent xmlns:mc="http://schemas.openxmlformats.org/markup-compatibility/2006">
          <mc:Choice Requires="x14">
            <control shapeId="14438" r:id="rId227" name="Button 3174">
              <controlPr defaultSize="0" autoFill="0" autoLine="0" autoPict="0" macro="[0]!Sheet1.deleteRow">
                <anchor moveWithCells="1" sizeWithCells="1">
                  <from>
                    <xdr:col>6</xdr:col>
                    <xdr:colOff>0</xdr:colOff>
                    <xdr:row>364</xdr:row>
                    <xdr:rowOff>0</xdr:rowOff>
                  </from>
                  <to>
                    <xdr:col>7</xdr:col>
                    <xdr:colOff>0</xdr:colOff>
                    <xdr:row>364</xdr:row>
                    <xdr:rowOff>165100</xdr:rowOff>
                  </to>
                </anchor>
              </controlPr>
            </control>
          </mc:Choice>
        </mc:AlternateContent>
        <mc:AlternateContent xmlns:mc="http://schemas.openxmlformats.org/markup-compatibility/2006">
          <mc:Choice Requires="x14">
            <control shapeId="14437" r:id="rId228" name="Button 3173">
              <controlPr defaultSize="0" autoFill="0" autoLine="0" autoPict="0" macro="[0]!Sheet1.deleteProcedure">
                <anchor moveWithCells="1" sizeWithCells="1">
                  <from>
                    <xdr:col>6</xdr:col>
                    <xdr:colOff>0</xdr:colOff>
                    <xdr:row>367</xdr:row>
                    <xdr:rowOff>0</xdr:rowOff>
                  </from>
                  <to>
                    <xdr:col>7</xdr:col>
                    <xdr:colOff>0</xdr:colOff>
                    <xdr:row>368</xdr:row>
                    <xdr:rowOff>0</xdr:rowOff>
                  </to>
                </anchor>
              </controlPr>
            </control>
          </mc:Choice>
        </mc:AlternateContent>
        <mc:AlternateContent xmlns:mc="http://schemas.openxmlformats.org/markup-compatibility/2006">
          <mc:Choice Requires="x14">
            <control shapeId="14436" r:id="rId229" name="Button 3172">
              <controlPr defaultSize="0" autoFill="0" autoLine="0" autoPict="0" macro="[0]!Sheet1.InsertNewTableRow">
                <anchor moveWithCells="1" sizeWithCells="1">
                  <from>
                    <xdr:col>6</xdr:col>
                    <xdr:colOff>0</xdr:colOff>
                    <xdr:row>374</xdr:row>
                    <xdr:rowOff>0</xdr:rowOff>
                  </from>
                  <to>
                    <xdr:col>7</xdr:col>
                    <xdr:colOff>0</xdr:colOff>
                    <xdr:row>374</xdr:row>
                    <xdr:rowOff>171450</xdr:rowOff>
                  </to>
                </anchor>
              </controlPr>
            </control>
          </mc:Choice>
        </mc:AlternateContent>
        <mc:AlternateContent xmlns:mc="http://schemas.openxmlformats.org/markup-compatibility/2006">
          <mc:Choice Requires="x14">
            <control shapeId="14435" r:id="rId230" name="Button 3171">
              <controlPr defaultSize="0" autoFill="0" autoLine="0" autoPict="0" macro="[0]!Sheet1.deleteRow">
                <anchor moveWithCells="1" sizeWithCells="1">
                  <from>
                    <xdr:col>6</xdr:col>
                    <xdr:colOff>0</xdr:colOff>
                    <xdr:row>375</xdr:row>
                    <xdr:rowOff>0</xdr:rowOff>
                  </from>
                  <to>
                    <xdr:col>7</xdr:col>
                    <xdr:colOff>0</xdr:colOff>
                    <xdr:row>375</xdr:row>
                    <xdr:rowOff>165100</xdr:rowOff>
                  </to>
                </anchor>
              </controlPr>
            </control>
          </mc:Choice>
        </mc:AlternateContent>
        <mc:AlternateContent xmlns:mc="http://schemas.openxmlformats.org/markup-compatibility/2006">
          <mc:Choice Requires="x14">
            <control shapeId="14434" r:id="rId231" name="Button 3170">
              <controlPr defaultSize="0" autoFill="0" autoLine="0" autoPict="0" macro="[0]!Sheet1.deleteProcedure">
                <anchor moveWithCells="1" sizeWithCells="1">
                  <from>
                    <xdr:col>6</xdr:col>
                    <xdr:colOff>0</xdr:colOff>
                    <xdr:row>378</xdr:row>
                    <xdr:rowOff>0</xdr:rowOff>
                  </from>
                  <to>
                    <xdr:col>7</xdr:col>
                    <xdr:colOff>0</xdr:colOff>
                    <xdr:row>379</xdr:row>
                    <xdr:rowOff>0</xdr:rowOff>
                  </to>
                </anchor>
              </controlPr>
            </control>
          </mc:Choice>
        </mc:AlternateContent>
        <mc:AlternateContent xmlns:mc="http://schemas.openxmlformats.org/markup-compatibility/2006">
          <mc:Choice Requires="x14">
            <control shapeId="14433" r:id="rId232" name="Button 3169">
              <controlPr defaultSize="0" autoFill="0" autoLine="0" autoPict="0" macro="[0]!Sheet1.InsertNewTableRow">
                <anchor moveWithCells="1" sizeWithCells="1">
                  <from>
                    <xdr:col>6</xdr:col>
                    <xdr:colOff>0</xdr:colOff>
                    <xdr:row>385</xdr:row>
                    <xdr:rowOff>0</xdr:rowOff>
                  </from>
                  <to>
                    <xdr:col>7</xdr:col>
                    <xdr:colOff>0</xdr:colOff>
                    <xdr:row>385</xdr:row>
                    <xdr:rowOff>171450</xdr:rowOff>
                  </to>
                </anchor>
              </controlPr>
            </control>
          </mc:Choice>
        </mc:AlternateContent>
        <mc:AlternateContent xmlns:mc="http://schemas.openxmlformats.org/markup-compatibility/2006">
          <mc:Choice Requires="x14">
            <control shapeId="14432" r:id="rId233" name="Button 3168">
              <controlPr defaultSize="0" autoFill="0" autoLine="0" autoPict="0" macro="[0]!Sheet1.deleteRow">
                <anchor moveWithCells="1" sizeWithCells="1">
                  <from>
                    <xdr:col>6</xdr:col>
                    <xdr:colOff>0</xdr:colOff>
                    <xdr:row>386</xdr:row>
                    <xdr:rowOff>0</xdr:rowOff>
                  </from>
                  <to>
                    <xdr:col>7</xdr:col>
                    <xdr:colOff>0</xdr:colOff>
                    <xdr:row>386</xdr:row>
                    <xdr:rowOff>165100</xdr:rowOff>
                  </to>
                </anchor>
              </controlPr>
            </control>
          </mc:Choice>
        </mc:AlternateContent>
        <mc:AlternateContent xmlns:mc="http://schemas.openxmlformats.org/markup-compatibility/2006">
          <mc:Choice Requires="x14">
            <control shapeId="14431" r:id="rId234" name="Button 3167">
              <controlPr defaultSize="0" autoFill="0" autoLine="0" autoPict="0" macro="[0]!Sheet1.deleteProcedure">
                <anchor moveWithCells="1" sizeWithCells="1">
                  <from>
                    <xdr:col>6</xdr:col>
                    <xdr:colOff>0</xdr:colOff>
                    <xdr:row>389</xdr:row>
                    <xdr:rowOff>0</xdr:rowOff>
                  </from>
                  <to>
                    <xdr:col>7</xdr:col>
                    <xdr:colOff>0</xdr:colOff>
                    <xdr:row>390</xdr:row>
                    <xdr:rowOff>0</xdr:rowOff>
                  </to>
                </anchor>
              </controlPr>
            </control>
          </mc:Choice>
        </mc:AlternateContent>
        <mc:AlternateContent xmlns:mc="http://schemas.openxmlformats.org/markup-compatibility/2006">
          <mc:Choice Requires="x14">
            <control shapeId="14430" r:id="rId235" name="Button 3166">
              <controlPr defaultSize="0" autoFill="0" autoLine="0" autoPict="0" macro="[0]!Sheet1.InsertNewTableRow">
                <anchor moveWithCells="1" sizeWithCells="1">
                  <from>
                    <xdr:col>6</xdr:col>
                    <xdr:colOff>0</xdr:colOff>
                    <xdr:row>396</xdr:row>
                    <xdr:rowOff>0</xdr:rowOff>
                  </from>
                  <to>
                    <xdr:col>7</xdr:col>
                    <xdr:colOff>0</xdr:colOff>
                    <xdr:row>396</xdr:row>
                    <xdr:rowOff>171450</xdr:rowOff>
                  </to>
                </anchor>
              </controlPr>
            </control>
          </mc:Choice>
        </mc:AlternateContent>
        <mc:AlternateContent xmlns:mc="http://schemas.openxmlformats.org/markup-compatibility/2006">
          <mc:Choice Requires="x14">
            <control shapeId="14429" r:id="rId236" name="Button 3165">
              <controlPr defaultSize="0" autoFill="0" autoLine="0" autoPict="0" macro="[0]!Sheet1.deleteRow">
                <anchor moveWithCells="1" sizeWithCells="1">
                  <from>
                    <xdr:col>6</xdr:col>
                    <xdr:colOff>0</xdr:colOff>
                    <xdr:row>397</xdr:row>
                    <xdr:rowOff>0</xdr:rowOff>
                  </from>
                  <to>
                    <xdr:col>7</xdr:col>
                    <xdr:colOff>0</xdr:colOff>
                    <xdr:row>397</xdr:row>
                    <xdr:rowOff>165100</xdr:rowOff>
                  </to>
                </anchor>
              </controlPr>
            </control>
          </mc:Choice>
        </mc:AlternateContent>
        <mc:AlternateContent xmlns:mc="http://schemas.openxmlformats.org/markup-compatibility/2006">
          <mc:Choice Requires="x14">
            <control shapeId="14428" r:id="rId237" name="Button 3164">
              <controlPr defaultSize="0" autoFill="0" autoLine="0" autoPict="0" macro="[0]!Sheet1.deleteProcedure">
                <anchor moveWithCells="1" sizeWithCells="1">
                  <from>
                    <xdr:col>6</xdr:col>
                    <xdr:colOff>0</xdr:colOff>
                    <xdr:row>400</xdr:row>
                    <xdr:rowOff>0</xdr:rowOff>
                  </from>
                  <to>
                    <xdr:col>7</xdr:col>
                    <xdr:colOff>0</xdr:colOff>
                    <xdr:row>401</xdr:row>
                    <xdr:rowOff>0</xdr:rowOff>
                  </to>
                </anchor>
              </controlPr>
            </control>
          </mc:Choice>
        </mc:AlternateContent>
        <mc:AlternateContent xmlns:mc="http://schemas.openxmlformats.org/markup-compatibility/2006">
          <mc:Choice Requires="x14">
            <control shapeId="14427" r:id="rId238" name="Button 3163">
              <controlPr defaultSize="0" autoFill="0" autoLine="0" autoPict="0" macro="[0]!Sheet1.InsertNewTableRow">
                <anchor moveWithCells="1" sizeWithCells="1">
                  <from>
                    <xdr:col>6</xdr:col>
                    <xdr:colOff>0</xdr:colOff>
                    <xdr:row>407</xdr:row>
                    <xdr:rowOff>0</xdr:rowOff>
                  </from>
                  <to>
                    <xdr:col>7</xdr:col>
                    <xdr:colOff>0</xdr:colOff>
                    <xdr:row>407</xdr:row>
                    <xdr:rowOff>171450</xdr:rowOff>
                  </to>
                </anchor>
              </controlPr>
            </control>
          </mc:Choice>
        </mc:AlternateContent>
        <mc:AlternateContent xmlns:mc="http://schemas.openxmlformats.org/markup-compatibility/2006">
          <mc:Choice Requires="x14">
            <control shapeId="14426" r:id="rId239" name="Button 3162">
              <controlPr defaultSize="0" autoFill="0" autoLine="0" autoPict="0" macro="[0]!Sheet1.deleteRow">
                <anchor moveWithCells="1" sizeWithCells="1">
                  <from>
                    <xdr:col>6</xdr:col>
                    <xdr:colOff>0</xdr:colOff>
                    <xdr:row>408</xdr:row>
                    <xdr:rowOff>0</xdr:rowOff>
                  </from>
                  <to>
                    <xdr:col>7</xdr:col>
                    <xdr:colOff>0</xdr:colOff>
                    <xdr:row>408</xdr:row>
                    <xdr:rowOff>165100</xdr:rowOff>
                  </to>
                </anchor>
              </controlPr>
            </control>
          </mc:Choice>
        </mc:AlternateContent>
        <mc:AlternateContent xmlns:mc="http://schemas.openxmlformats.org/markup-compatibility/2006">
          <mc:Choice Requires="x14">
            <control shapeId="14425" r:id="rId240" name="Button 3161">
              <controlPr defaultSize="0" autoFill="0" autoLine="0" autoPict="0" macro="[0]!Sheet1.deleteRow">
                <anchor moveWithCells="1" sizeWithCells="1">
                  <from>
                    <xdr:col>6</xdr:col>
                    <xdr:colOff>0</xdr:colOff>
                    <xdr:row>409</xdr:row>
                    <xdr:rowOff>0</xdr:rowOff>
                  </from>
                  <to>
                    <xdr:col>7</xdr:col>
                    <xdr:colOff>0</xdr:colOff>
                    <xdr:row>409</xdr:row>
                    <xdr:rowOff>165100</xdr:rowOff>
                  </to>
                </anchor>
              </controlPr>
            </control>
          </mc:Choice>
        </mc:AlternateContent>
        <mc:AlternateContent xmlns:mc="http://schemas.openxmlformats.org/markup-compatibility/2006">
          <mc:Choice Requires="x14">
            <control shapeId="14424" r:id="rId241" name="Button 3160">
              <controlPr defaultSize="0" autoFill="0" autoLine="0" autoPict="0" macro="[0]!Sheet1.deleteRow">
                <anchor moveWithCells="1" sizeWithCells="1">
                  <from>
                    <xdr:col>6</xdr:col>
                    <xdr:colOff>0</xdr:colOff>
                    <xdr:row>410</xdr:row>
                    <xdr:rowOff>0</xdr:rowOff>
                  </from>
                  <to>
                    <xdr:col>7</xdr:col>
                    <xdr:colOff>0</xdr:colOff>
                    <xdr:row>410</xdr:row>
                    <xdr:rowOff>165100</xdr:rowOff>
                  </to>
                </anchor>
              </controlPr>
            </control>
          </mc:Choice>
        </mc:AlternateContent>
        <mc:AlternateContent xmlns:mc="http://schemas.openxmlformats.org/markup-compatibility/2006">
          <mc:Choice Requires="x14">
            <control shapeId="14423" r:id="rId242" name="Button 3159">
              <controlPr defaultSize="0" autoFill="0" autoLine="0" autoPict="0" macro="[0]!Sheet1.deleteProcedure">
                <anchor moveWithCells="1" sizeWithCells="1">
                  <from>
                    <xdr:col>6</xdr:col>
                    <xdr:colOff>0</xdr:colOff>
                    <xdr:row>413</xdr:row>
                    <xdr:rowOff>0</xdr:rowOff>
                  </from>
                  <to>
                    <xdr:col>7</xdr:col>
                    <xdr:colOff>0</xdr:colOff>
                    <xdr:row>414</xdr:row>
                    <xdr:rowOff>0</xdr:rowOff>
                  </to>
                </anchor>
              </controlPr>
            </control>
          </mc:Choice>
        </mc:AlternateContent>
        <mc:AlternateContent xmlns:mc="http://schemas.openxmlformats.org/markup-compatibility/2006">
          <mc:Choice Requires="x14">
            <control shapeId="14422" r:id="rId243" name="Button 3158">
              <controlPr defaultSize="0" autoFill="0" autoLine="0" autoPict="0" macro="[0]!Sheet1.InsertNewTableRow">
                <anchor moveWithCells="1" sizeWithCells="1">
                  <from>
                    <xdr:col>6</xdr:col>
                    <xdr:colOff>0</xdr:colOff>
                    <xdr:row>420</xdr:row>
                    <xdr:rowOff>0</xdr:rowOff>
                  </from>
                  <to>
                    <xdr:col>7</xdr:col>
                    <xdr:colOff>0</xdr:colOff>
                    <xdr:row>420</xdr:row>
                    <xdr:rowOff>171450</xdr:rowOff>
                  </to>
                </anchor>
              </controlPr>
            </control>
          </mc:Choice>
        </mc:AlternateContent>
        <mc:AlternateContent xmlns:mc="http://schemas.openxmlformats.org/markup-compatibility/2006">
          <mc:Choice Requires="x14">
            <control shapeId="14421" r:id="rId244" name="Button 3157">
              <controlPr defaultSize="0" autoFill="0" autoLine="0" autoPict="0" macro="[0]!Sheet1.deleteRow">
                <anchor moveWithCells="1" sizeWithCells="1">
                  <from>
                    <xdr:col>6</xdr:col>
                    <xdr:colOff>0</xdr:colOff>
                    <xdr:row>421</xdr:row>
                    <xdr:rowOff>0</xdr:rowOff>
                  </from>
                  <to>
                    <xdr:col>7</xdr:col>
                    <xdr:colOff>0</xdr:colOff>
                    <xdr:row>421</xdr:row>
                    <xdr:rowOff>165100</xdr:rowOff>
                  </to>
                </anchor>
              </controlPr>
            </control>
          </mc:Choice>
        </mc:AlternateContent>
        <mc:AlternateContent xmlns:mc="http://schemas.openxmlformats.org/markup-compatibility/2006">
          <mc:Choice Requires="x14">
            <control shapeId="14420" r:id="rId245" name="Button 3156">
              <controlPr defaultSize="0" autoFill="0" autoLine="0" autoPict="0" macro="[0]!Sheet1.deleteRow">
                <anchor moveWithCells="1" sizeWithCells="1">
                  <from>
                    <xdr:col>6</xdr:col>
                    <xdr:colOff>0</xdr:colOff>
                    <xdr:row>422</xdr:row>
                    <xdr:rowOff>0</xdr:rowOff>
                  </from>
                  <to>
                    <xdr:col>7</xdr:col>
                    <xdr:colOff>0</xdr:colOff>
                    <xdr:row>422</xdr:row>
                    <xdr:rowOff>165100</xdr:rowOff>
                  </to>
                </anchor>
              </controlPr>
            </control>
          </mc:Choice>
        </mc:AlternateContent>
        <mc:AlternateContent xmlns:mc="http://schemas.openxmlformats.org/markup-compatibility/2006">
          <mc:Choice Requires="x14">
            <control shapeId="14419" r:id="rId246" name="Button 3155">
              <controlPr defaultSize="0" autoFill="0" autoLine="0" autoPict="0" macro="[0]!Sheet1.deleteRow">
                <anchor moveWithCells="1" sizeWithCells="1">
                  <from>
                    <xdr:col>6</xdr:col>
                    <xdr:colOff>0</xdr:colOff>
                    <xdr:row>423</xdr:row>
                    <xdr:rowOff>0</xdr:rowOff>
                  </from>
                  <to>
                    <xdr:col>7</xdr:col>
                    <xdr:colOff>0</xdr:colOff>
                    <xdr:row>423</xdr:row>
                    <xdr:rowOff>165100</xdr:rowOff>
                  </to>
                </anchor>
              </controlPr>
            </control>
          </mc:Choice>
        </mc:AlternateContent>
        <mc:AlternateContent xmlns:mc="http://schemas.openxmlformats.org/markup-compatibility/2006">
          <mc:Choice Requires="x14">
            <control shapeId="14418" r:id="rId247" name="Button 3154">
              <controlPr defaultSize="0" autoFill="0" autoLine="0" autoPict="0" macro="[0]!Sheet1.deleteRow">
                <anchor moveWithCells="1" sizeWithCells="1">
                  <from>
                    <xdr:col>6</xdr:col>
                    <xdr:colOff>0</xdr:colOff>
                    <xdr:row>424</xdr:row>
                    <xdr:rowOff>0</xdr:rowOff>
                  </from>
                  <to>
                    <xdr:col>7</xdr:col>
                    <xdr:colOff>0</xdr:colOff>
                    <xdr:row>424</xdr:row>
                    <xdr:rowOff>165100</xdr:rowOff>
                  </to>
                </anchor>
              </controlPr>
            </control>
          </mc:Choice>
        </mc:AlternateContent>
        <mc:AlternateContent xmlns:mc="http://schemas.openxmlformats.org/markup-compatibility/2006">
          <mc:Choice Requires="x14">
            <control shapeId="14417" r:id="rId248" name="Button 3153">
              <controlPr defaultSize="0" autoFill="0" autoLine="0" autoPict="0" macro="[0]!Sheet1.deleteRow">
                <anchor moveWithCells="1" sizeWithCells="1">
                  <from>
                    <xdr:col>6</xdr:col>
                    <xdr:colOff>0</xdr:colOff>
                    <xdr:row>425</xdr:row>
                    <xdr:rowOff>0</xdr:rowOff>
                  </from>
                  <to>
                    <xdr:col>7</xdr:col>
                    <xdr:colOff>0</xdr:colOff>
                    <xdr:row>425</xdr:row>
                    <xdr:rowOff>165100</xdr:rowOff>
                  </to>
                </anchor>
              </controlPr>
            </control>
          </mc:Choice>
        </mc:AlternateContent>
        <mc:AlternateContent xmlns:mc="http://schemas.openxmlformats.org/markup-compatibility/2006">
          <mc:Choice Requires="x14">
            <control shapeId="14416" r:id="rId249" name="Button 3152">
              <controlPr defaultSize="0" autoFill="0" autoLine="0" autoPict="0" macro="[0]!Sheet1.deleteRow">
                <anchor moveWithCells="1" sizeWithCells="1">
                  <from>
                    <xdr:col>6</xdr:col>
                    <xdr:colOff>0</xdr:colOff>
                    <xdr:row>426</xdr:row>
                    <xdr:rowOff>0</xdr:rowOff>
                  </from>
                  <to>
                    <xdr:col>7</xdr:col>
                    <xdr:colOff>0</xdr:colOff>
                    <xdr:row>426</xdr:row>
                    <xdr:rowOff>165100</xdr:rowOff>
                  </to>
                </anchor>
              </controlPr>
            </control>
          </mc:Choice>
        </mc:AlternateContent>
        <mc:AlternateContent xmlns:mc="http://schemas.openxmlformats.org/markup-compatibility/2006">
          <mc:Choice Requires="x14">
            <control shapeId="14415" r:id="rId250" name="Button 3151">
              <controlPr defaultSize="0" autoFill="0" autoLine="0" autoPict="0" macro="[0]!Sheet1.deleteProcedure">
                <anchor moveWithCells="1" sizeWithCells="1">
                  <from>
                    <xdr:col>6</xdr:col>
                    <xdr:colOff>0</xdr:colOff>
                    <xdr:row>429</xdr:row>
                    <xdr:rowOff>0</xdr:rowOff>
                  </from>
                  <to>
                    <xdr:col>7</xdr:col>
                    <xdr:colOff>0</xdr:colOff>
                    <xdr:row>430</xdr:row>
                    <xdr:rowOff>0</xdr:rowOff>
                  </to>
                </anchor>
              </controlPr>
            </control>
          </mc:Choice>
        </mc:AlternateContent>
        <mc:AlternateContent xmlns:mc="http://schemas.openxmlformats.org/markup-compatibility/2006">
          <mc:Choice Requires="x14">
            <control shapeId="14414" r:id="rId251" name="Button 3150">
              <controlPr defaultSize="0" autoFill="0" autoLine="0" autoPict="0" macro="[0]!Sheet1.InsertNewTableRow">
                <anchor moveWithCells="1" sizeWithCells="1">
                  <from>
                    <xdr:col>6</xdr:col>
                    <xdr:colOff>0</xdr:colOff>
                    <xdr:row>436</xdr:row>
                    <xdr:rowOff>0</xdr:rowOff>
                  </from>
                  <to>
                    <xdr:col>7</xdr:col>
                    <xdr:colOff>0</xdr:colOff>
                    <xdr:row>436</xdr:row>
                    <xdr:rowOff>171450</xdr:rowOff>
                  </to>
                </anchor>
              </controlPr>
            </control>
          </mc:Choice>
        </mc:AlternateContent>
        <mc:AlternateContent xmlns:mc="http://schemas.openxmlformats.org/markup-compatibility/2006">
          <mc:Choice Requires="x14">
            <control shapeId="14413" r:id="rId252" name="Button 3149">
              <controlPr defaultSize="0" autoFill="0" autoLine="0" autoPict="0" macro="[0]!Sheet1.deleteRow">
                <anchor moveWithCells="1" sizeWithCells="1">
                  <from>
                    <xdr:col>6</xdr:col>
                    <xdr:colOff>0</xdr:colOff>
                    <xdr:row>437</xdr:row>
                    <xdr:rowOff>0</xdr:rowOff>
                  </from>
                  <to>
                    <xdr:col>7</xdr:col>
                    <xdr:colOff>0</xdr:colOff>
                    <xdr:row>437</xdr:row>
                    <xdr:rowOff>165100</xdr:rowOff>
                  </to>
                </anchor>
              </controlPr>
            </control>
          </mc:Choice>
        </mc:AlternateContent>
        <mc:AlternateContent xmlns:mc="http://schemas.openxmlformats.org/markup-compatibility/2006">
          <mc:Choice Requires="x14">
            <control shapeId="14412" r:id="rId253" name="Button 3148">
              <controlPr defaultSize="0" autoFill="0" autoLine="0" autoPict="0" macro="[0]!Sheet1.deleteProcedure">
                <anchor moveWithCells="1" sizeWithCells="1">
                  <from>
                    <xdr:col>6</xdr:col>
                    <xdr:colOff>0</xdr:colOff>
                    <xdr:row>440</xdr:row>
                    <xdr:rowOff>0</xdr:rowOff>
                  </from>
                  <to>
                    <xdr:col>7</xdr:col>
                    <xdr:colOff>0</xdr:colOff>
                    <xdr:row>441</xdr:row>
                    <xdr:rowOff>0</xdr:rowOff>
                  </to>
                </anchor>
              </controlPr>
            </control>
          </mc:Choice>
        </mc:AlternateContent>
        <mc:AlternateContent xmlns:mc="http://schemas.openxmlformats.org/markup-compatibility/2006">
          <mc:Choice Requires="x14">
            <control shapeId="14411" r:id="rId254" name="Button 3147">
              <controlPr defaultSize="0" autoFill="0" autoLine="0" autoPict="0" macro="[0]!Sheet1.InsertNewTableRow">
                <anchor moveWithCells="1" sizeWithCells="1">
                  <from>
                    <xdr:col>6</xdr:col>
                    <xdr:colOff>0</xdr:colOff>
                    <xdr:row>447</xdr:row>
                    <xdr:rowOff>0</xdr:rowOff>
                  </from>
                  <to>
                    <xdr:col>7</xdr:col>
                    <xdr:colOff>0</xdr:colOff>
                    <xdr:row>447</xdr:row>
                    <xdr:rowOff>171450</xdr:rowOff>
                  </to>
                </anchor>
              </controlPr>
            </control>
          </mc:Choice>
        </mc:AlternateContent>
        <mc:AlternateContent xmlns:mc="http://schemas.openxmlformats.org/markup-compatibility/2006">
          <mc:Choice Requires="x14">
            <control shapeId="14410" r:id="rId255" name="Button 3146">
              <controlPr defaultSize="0" autoFill="0" autoLine="0" autoPict="0" macro="[0]!Sheet1.deleteRow">
                <anchor moveWithCells="1" sizeWithCells="1">
                  <from>
                    <xdr:col>6</xdr:col>
                    <xdr:colOff>0</xdr:colOff>
                    <xdr:row>448</xdr:row>
                    <xdr:rowOff>0</xdr:rowOff>
                  </from>
                  <to>
                    <xdr:col>7</xdr:col>
                    <xdr:colOff>0</xdr:colOff>
                    <xdr:row>448</xdr:row>
                    <xdr:rowOff>165100</xdr:rowOff>
                  </to>
                </anchor>
              </controlPr>
            </control>
          </mc:Choice>
        </mc:AlternateContent>
        <mc:AlternateContent xmlns:mc="http://schemas.openxmlformats.org/markup-compatibility/2006">
          <mc:Choice Requires="x14">
            <control shapeId="14409" r:id="rId256" name="Button 3145">
              <controlPr defaultSize="0" autoFill="0" autoLine="0" autoPict="0" macro="[0]!Sheet1.deleteRow">
                <anchor moveWithCells="1" sizeWithCells="1">
                  <from>
                    <xdr:col>6</xdr:col>
                    <xdr:colOff>0</xdr:colOff>
                    <xdr:row>449</xdr:row>
                    <xdr:rowOff>0</xdr:rowOff>
                  </from>
                  <to>
                    <xdr:col>7</xdr:col>
                    <xdr:colOff>0</xdr:colOff>
                    <xdr:row>449</xdr:row>
                    <xdr:rowOff>165100</xdr:rowOff>
                  </to>
                </anchor>
              </controlPr>
            </control>
          </mc:Choice>
        </mc:AlternateContent>
        <mc:AlternateContent xmlns:mc="http://schemas.openxmlformats.org/markup-compatibility/2006">
          <mc:Choice Requires="x14">
            <control shapeId="14408" r:id="rId257" name="Button 3144">
              <controlPr defaultSize="0" autoFill="0" autoLine="0" autoPict="0" macro="[0]!Sheet1.deleteProcedure">
                <anchor moveWithCells="1" sizeWithCells="1">
                  <from>
                    <xdr:col>6</xdr:col>
                    <xdr:colOff>0</xdr:colOff>
                    <xdr:row>452</xdr:row>
                    <xdr:rowOff>0</xdr:rowOff>
                  </from>
                  <to>
                    <xdr:col>7</xdr:col>
                    <xdr:colOff>0</xdr:colOff>
                    <xdr:row>453</xdr:row>
                    <xdr:rowOff>0</xdr:rowOff>
                  </to>
                </anchor>
              </controlPr>
            </control>
          </mc:Choice>
        </mc:AlternateContent>
        <mc:AlternateContent xmlns:mc="http://schemas.openxmlformats.org/markup-compatibility/2006">
          <mc:Choice Requires="x14">
            <control shapeId="14407" r:id="rId258" name="Button 3143">
              <controlPr defaultSize="0" autoFill="0" autoLine="0" autoPict="0" macro="[0]!Sheet1.InsertNewTableRow">
                <anchor moveWithCells="1" sizeWithCells="1">
                  <from>
                    <xdr:col>6</xdr:col>
                    <xdr:colOff>0</xdr:colOff>
                    <xdr:row>459</xdr:row>
                    <xdr:rowOff>0</xdr:rowOff>
                  </from>
                  <to>
                    <xdr:col>7</xdr:col>
                    <xdr:colOff>0</xdr:colOff>
                    <xdr:row>459</xdr:row>
                    <xdr:rowOff>171450</xdr:rowOff>
                  </to>
                </anchor>
              </controlPr>
            </control>
          </mc:Choice>
        </mc:AlternateContent>
        <mc:AlternateContent xmlns:mc="http://schemas.openxmlformats.org/markup-compatibility/2006">
          <mc:Choice Requires="x14">
            <control shapeId="14406" r:id="rId259" name="Button 3142">
              <controlPr defaultSize="0" autoFill="0" autoLine="0" autoPict="0" macro="[0]!Sheet1.deleteRow">
                <anchor moveWithCells="1" sizeWithCells="1">
                  <from>
                    <xdr:col>6</xdr:col>
                    <xdr:colOff>0</xdr:colOff>
                    <xdr:row>460</xdr:row>
                    <xdr:rowOff>0</xdr:rowOff>
                  </from>
                  <to>
                    <xdr:col>7</xdr:col>
                    <xdr:colOff>0</xdr:colOff>
                    <xdr:row>460</xdr:row>
                    <xdr:rowOff>165100</xdr:rowOff>
                  </to>
                </anchor>
              </controlPr>
            </control>
          </mc:Choice>
        </mc:AlternateContent>
        <mc:AlternateContent xmlns:mc="http://schemas.openxmlformats.org/markup-compatibility/2006">
          <mc:Choice Requires="x14">
            <control shapeId="14405" r:id="rId260" name="Button 3141">
              <controlPr defaultSize="0" autoFill="0" autoLine="0" autoPict="0" macro="[0]!Sheet1.deleteProcedure">
                <anchor moveWithCells="1" sizeWithCells="1">
                  <from>
                    <xdr:col>6</xdr:col>
                    <xdr:colOff>0</xdr:colOff>
                    <xdr:row>463</xdr:row>
                    <xdr:rowOff>0</xdr:rowOff>
                  </from>
                  <to>
                    <xdr:col>7</xdr:col>
                    <xdr:colOff>0</xdr:colOff>
                    <xdr:row>464</xdr:row>
                    <xdr:rowOff>0</xdr:rowOff>
                  </to>
                </anchor>
              </controlPr>
            </control>
          </mc:Choice>
        </mc:AlternateContent>
        <mc:AlternateContent xmlns:mc="http://schemas.openxmlformats.org/markup-compatibility/2006">
          <mc:Choice Requires="x14">
            <control shapeId="14404" r:id="rId261" name="Button 3140">
              <controlPr defaultSize="0" autoFill="0" autoLine="0" autoPict="0" macro="[0]!Sheet1.InsertNewTableRow">
                <anchor moveWithCells="1" sizeWithCells="1">
                  <from>
                    <xdr:col>6</xdr:col>
                    <xdr:colOff>0</xdr:colOff>
                    <xdr:row>470</xdr:row>
                    <xdr:rowOff>0</xdr:rowOff>
                  </from>
                  <to>
                    <xdr:col>7</xdr:col>
                    <xdr:colOff>0</xdr:colOff>
                    <xdr:row>470</xdr:row>
                    <xdr:rowOff>171450</xdr:rowOff>
                  </to>
                </anchor>
              </controlPr>
            </control>
          </mc:Choice>
        </mc:AlternateContent>
        <mc:AlternateContent xmlns:mc="http://schemas.openxmlformats.org/markup-compatibility/2006">
          <mc:Choice Requires="x14">
            <control shapeId="14403" r:id="rId262" name="Button 3139">
              <controlPr defaultSize="0" autoFill="0" autoLine="0" autoPict="0" macro="[0]!Sheet1.deleteRow">
                <anchor moveWithCells="1" sizeWithCells="1">
                  <from>
                    <xdr:col>6</xdr:col>
                    <xdr:colOff>0</xdr:colOff>
                    <xdr:row>471</xdr:row>
                    <xdr:rowOff>0</xdr:rowOff>
                  </from>
                  <to>
                    <xdr:col>7</xdr:col>
                    <xdr:colOff>0</xdr:colOff>
                    <xdr:row>471</xdr:row>
                    <xdr:rowOff>165100</xdr:rowOff>
                  </to>
                </anchor>
              </controlPr>
            </control>
          </mc:Choice>
        </mc:AlternateContent>
        <mc:AlternateContent xmlns:mc="http://schemas.openxmlformats.org/markup-compatibility/2006">
          <mc:Choice Requires="x14">
            <control shapeId="14402" r:id="rId263" name="Button 3138">
              <controlPr defaultSize="0" autoFill="0" autoLine="0" autoPict="0" macro="[0]!Sheet1.deleteRow">
                <anchor moveWithCells="1" sizeWithCells="1">
                  <from>
                    <xdr:col>6</xdr:col>
                    <xdr:colOff>0</xdr:colOff>
                    <xdr:row>472</xdr:row>
                    <xdr:rowOff>0</xdr:rowOff>
                  </from>
                  <to>
                    <xdr:col>7</xdr:col>
                    <xdr:colOff>0</xdr:colOff>
                    <xdr:row>472</xdr:row>
                    <xdr:rowOff>165100</xdr:rowOff>
                  </to>
                </anchor>
              </controlPr>
            </control>
          </mc:Choice>
        </mc:AlternateContent>
        <mc:AlternateContent xmlns:mc="http://schemas.openxmlformats.org/markup-compatibility/2006">
          <mc:Choice Requires="x14">
            <control shapeId="14401" r:id="rId264" name="Button 3137">
              <controlPr defaultSize="0" autoFill="0" autoLine="0" autoPict="0" macro="[0]!Sheet1.deleteRow">
                <anchor moveWithCells="1" sizeWithCells="1">
                  <from>
                    <xdr:col>6</xdr:col>
                    <xdr:colOff>0</xdr:colOff>
                    <xdr:row>473</xdr:row>
                    <xdr:rowOff>0</xdr:rowOff>
                  </from>
                  <to>
                    <xdr:col>7</xdr:col>
                    <xdr:colOff>0</xdr:colOff>
                    <xdr:row>473</xdr:row>
                    <xdr:rowOff>165100</xdr:rowOff>
                  </to>
                </anchor>
              </controlPr>
            </control>
          </mc:Choice>
        </mc:AlternateContent>
        <mc:AlternateContent xmlns:mc="http://schemas.openxmlformats.org/markup-compatibility/2006">
          <mc:Choice Requires="x14">
            <control shapeId="14400" r:id="rId265" name="Button 3136">
              <controlPr defaultSize="0" autoFill="0" autoLine="0" autoPict="0" macro="[0]!Sheet1.deleteRow">
                <anchor moveWithCells="1" sizeWithCells="1">
                  <from>
                    <xdr:col>6</xdr:col>
                    <xdr:colOff>0</xdr:colOff>
                    <xdr:row>474</xdr:row>
                    <xdr:rowOff>0</xdr:rowOff>
                  </from>
                  <to>
                    <xdr:col>7</xdr:col>
                    <xdr:colOff>0</xdr:colOff>
                    <xdr:row>474</xdr:row>
                    <xdr:rowOff>165100</xdr:rowOff>
                  </to>
                </anchor>
              </controlPr>
            </control>
          </mc:Choice>
        </mc:AlternateContent>
        <mc:AlternateContent xmlns:mc="http://schemas.openxmlformats.org/markup-compatibility/2006">
          <mc:Choice Requires="x14">
            <control shapeId="14399" r:id="rId266" name="Button 3135">
              <controlPr defaultSize="0" autoFill="0" autoLine="0" autoPict="0" macro="[0]!Sheet1.deleteRow">
                <anchor moveWithCells="1" sizeWithCells="1">
                  <from>
                    <xdr:col>6</xdr:col>
                    <xdr:colOff>0</xdr:colOff>
                    <xdr:row>475</xdr:row>
                    <xdr:rowOff>0</xdr:rowOff>
                  </from>
                  <to>
                    <xdr:col>7</xdr:col>
                    <xdr:colOff>0</xdr:colOff>
                    <xdr:row>475</xdr:row>
                    <xdr:rowOff>165100</xdr:rowOff>
                  </to>
                </anchor>
              </controlPr>
            </control>
          </mc:Choice>
        </mc:AlternateContent>
        <mc:AlternateContent xmlns:mc="http://schemas.openxmlformats.org/markup-compatibility/2006">
          <mc:Choice Requires="x14">
            <control shapeId="14398" r:id="rId267" name="Button 3134">
              <controlPr defaultSize="0" autoFill="0" autoLine="0" autoPict="0" macro="[0]!Sheet1.deleteRow">
                <anchor moveWithCells="1" sizeWithCells="1">
                  <from>
                    <xdr:col>6</xdr:col>
                    <xdr:colOff>0</xdr:colOff>
                    <xdr:row>476</xdr:row>
                    <xdr:rowOff>0</xdr:rowOff>
                  </from>
                  <to>
                    <xdr:col>7</xdr:col>
                    <xdr:colOff>0</xdr:colOff>
                    <xdr:row>476</xdr:row>
                    <xdr:rowOff>165100</xdr:rowOff>
                  </to>
                </anchor>
              </controlPr>
            </control>
          </mc:Choice>
        </mc:AlternateContent>
        <mc:AlternateContent xmlns:mc="http://schemas.openxmlformats.org/markup-compatibility/2006">
          <mc:Choice Requires="x14">
            <control shapeId="14397" r:id="rId268" name="Button 3133">
              <controlPr defaultSize="0" autoFill="0" autoLine="0" autoPict="0" macro="[0]!Sheet1.deleteRow">
                <anchor moveWithCells="1" sizeWithCells="1">
                  <from>
                    <xdr:col>6</xdr:col>
                    <xdr:colOff>0</xdr:colOff>
                    <xdr:row>477</xdr:row>
                    <xdr:rowOff>0</xdr:rowOff>
                  </from>
                  <to>
                    <xdr:col>7</xdr:col>
                    <xdr:colOff>0</xdr:colOff>
                    <xdr:row>477</xdr:row>
                    <xdr:rowOff>165100</xdr:rowOff>
                  </to>
                </anchor>
              </controlPr>
            </control>
          </mc:Choice>
        </mc:AlternateContent>
        <mc:AlternateContent xmlns:mc="http://schemas.openxmlformats.org/markup-compatibility/2006">
          <mc:Choice Requires="x14">
            <control shapeId="14396" r:id="rId269" name="Button 3132">
              <controlPr defaultSize="0" autoFill="0" autoLine="0" autoPict="0" macro="[0]!Sheet1.deleteRow">
                <anchor moveWithCells="1" sizeWithCells="1">
                  <from>
                    <xdr:col>6</xdr:col>
                    <xdr:colOff>0</xdr:colOff>
                    <xdr:row>478</xdr:row>
                    <xdr:rowOff>0</xdr:rowOff>
                  </from>
                  <to>
                    <xdr:col>7</xdr:col>
                    <xdr:colOff>0</xdr:colOff>
                    <xdr:row>478</xdr:row>
                    <xdr:rowOff>165100</xdr:rowOff>
                  </to>
                </anchor>
              </controlPr>
            </control>
          </mc:Choice>
        </mc:AlternateContent>
        <mc:AlternateContent xmlns:mc="http://schemas.openxmlformats.org/markup-compatibility/2006">
          <mc:Choice Requires="x14">
            <control shapeId="14395" r:id="rId270" name="Button 3131">
              <controlPr defaultSize="0" autoFill="0" autoLine="0" autoPict="0" macro="[0]!Sheet1.deleteRow">
                <anchor moveWithCells="1" sizeWithCells="1">
                  <from>
                    <xdr:col>6</xdr:col>
                    <xdr:colOff>0</xdr:colOff>
                    <xdr:row>479</xdr:row>
                    <xdr:rowOff>0</xdr:rowOff>
                  </from>
                  <to>
                    <xdr:col>7</xdr:col>
                    <xdr:colOff>0</xdr:colOff>
                    <xdr:row>479</xdr:row>
                    <xdr:rowOff>165100</xdr:rowOff>
                  </to>
                </anchor>
              </controlPr>
            </control>
          </mc:Choice>
        </mc:AlternateContent>
        <mc:AlternateContent xmlns:mc="http://schemas.openxmlformats.org/markup-compatibility/2006">
          <mc:Choice Requires="x14">
            <control shapeId="14394" r:id="rId271" name="Button 3130">
              <controlPr defaultSize="0" autoFill="0" autoLine="0" autoPict="0" macro="[0]!Sheet1.deleteRow">
                <anchor moveWithCells="1" sizeWithCells="1">
                  <from>
                    <xdr:col>6</xdr:col>
                    <xdr:colOff>0</xdr:colOff>
                    <xdr:row>480</xdr:row>
                    <xdr:rowOff>0</xdr:rowOff>
                  </from>
                  <to>
                    <xdr:col>7</xdr:col>
                    <xdr:colOff>0</xdr:colOff>
                    <xdr:row>480</xdr:row>
                    <xdr:rowOff>165100</xdr:rowOff>
                  </to>
                </anchor>
              </controlPr>
            </control>
          </mc:Choice>
        </mc:AlternateContent>
        <mc:AlternateContent xmlns:mc="http://schemas.openxmlformats.org/markup-compatibility/2006">
          <mc:Choice Requires="x14">
            <control shapeId="14393" r:id="rId272" name="Button 3129">
              <controlPr defaultSize="0" autoFill="0" autoLine="0" autoPict="0" macro="[0]!Sheet1.deleteProcedure">
                <anchor moveWithCells="1" sizeWithCells="1">
                  <from>
                    <xdr:col>6</xdr:col>
                    <xdr:colOff>0</xdr:colOff>
                    <xdr:row>483</xdr:row>
                    <xdr:rowOff>0</xdr:rowOff>
                  </from>
                  <to>
                    <xdr:col>7</xdr:col>
                    <xdr:colOff>0</xdr:colOff>
                    <xdr:row>484</xdr:row>
                    <xdr:rowOff>0</xdr:rowOff>
                  </to>
                </anchor>
              </controlPr>
            </control>
          </mc:Choice>
        </mc:AlternateContent>
        <mc:AlternateContent xmlns:mc="http://schemas.openxmlformats.org/markup-compatibility/2006">
          <mc:Choice Requires="x14">
            <control shapeId="14392" r:id="rId273" name="Button 3128">
              <controlPr defaultSize="0" autoFill="0" autoLine="0" autoPict="0" macro="[0]!Sheet1.InsertNewTableRow">
                <anchor moveWithCells="1" sizeWithCells="1">
                  <from>
                    <xdr:col>6</xdr:col>
                    <xdr:colOff>0</xdr:colOff>
                    <xdr:row>490</xdr:row>
                    <xdr:rowOff>0</xdr:rowOff>
                  </from>
                  <to>
                    <xdr:col>7</xdr:col>
                    <xdr:colOff>0</xdr:colOff>
                    <xdr:row>490</xdr:row>
                    <xdr:rowOff>171450</xdr:rowOff>
                  </to>
                </anchor>
              </controlPr>
            </control>
          </mc:Choice>
        </mc:AlternateContent>
        <mc:AlternateContent xmlns:mc="http://schemas.openxmlformats.org/markup-compatibility/2006">
          <mc:Choice Requires="x14">
            <control shapeId="14391" r:id="rId274" name="Button 3127">
              <controlPr defaultSize="0" autoFill="0" autoLine="0" autoPict="0" macro="[0]!Sheet1.deleteRow">
                <anchor moveWithCells="1" sizeWithCells="1">
                  <from>
                    <xdr:col>6</xdr:col>
                    <xdr:colOff>0</xdr:colOff>
                    <xdr:row>491</xdr:row>
                    <xdr:rowOff>0</xdr:rowOff>
                  </from>
                  <to>
                    <xdr:col>7</xdr:col>
                    <xdr:colOff>0</xdr:colOff>
                    <xdr:row>491</xdr:row>
                    <xdr:rowOff>165100</xdr:rowOff>
                  </to>
                </anchor>
              </controlPr>
            </control>
          </mc:Choice>
        </mc:AlternateContent>
        <mc:AlternateContent xmlns:mc="http://schemas.openxmlformats.org/markup-compatibility/2006">
          <mc:Choice Requires="x14">
            <control shapeId="14390" r:id="rId275" name="Button 3126">
              <controlPr defaultSize="0" autoFill="0" autoLine="0" autoPict="0" macro="[0]!Sheet1.deleteRow">
                <anchor moveWithCells="1" sizeWithCells="1">
                  <from>
                    <xdr:col>6</xdr:col>
                    <xdr:colOff>0</xdr:colOff>
                    <xdr:row>492</xdr:row>
                    <xdr:rowOff>0</xdr:rowOff>
                  </from>
                  <to>
                    <xdr:col>7</xdr:col>
                    <xdr:colOff>0</xdr:colOff>
                    <xdr:row>492</xdr:row>
                    <xdr:rowOff>165100</xdr:rowOff>
                  </to>
                </anchor>
              </controlPr>
            </control>
          </mc:Choice>
        </mc:AlternateContent>
        <mc:AlternateContent xmlns:mc="http://schemas.openxmlformats.org/markup-compatibility/2006">
          <mc:Choice Requires="x14">
            <control shapeId="14389" r:id="rId276" name="Button 3125">
              <controlPr defaultSize="0" autoFill="0" autoLine="0" autoPict="0" macro="[0]!Sheet1.deleteRow">
                <anchor moveWithCells="1" sizeWithCells="1">
                  <from>
                    <xdr:col>6</xdr:col>
                    <xdr:colOff>0</xdr:colOff>
                    <xdr:row>493</xdr:row>
                    <xdr:rowOff>0</xdr:rowOff>
                  </from>
                  <to>
                    <xdr:col>7</xdr:col>
                    <xdr:colOff>0</xdr:colOff>
                    <xdr:row>493</xdr:row>
                    <xdr:rowOff>165100</xdr:rowOff>
                  </to>
                </anchor>
              </controlPr>
            </control>
          </mc:Choice>
        </mc:AlternateContent>
        <mc:AlternateContent xmlns:mc="http://schemas.openxmlformats.org/markup-compatibility/2006">
          <mc:Choice Requires="x14">
            <control shapeId="14388" r:id="rId277" name="Button 3124">
              <controlPr defaultSize="0" autoFill="0" autoLine="0" autoPict="0" macro="[0]!Sheet1.deleteRow">
                <anchor moveWithCells="1" sizeWithCells="1">
                  <from>
                    <xdr:col>6</xdr:col>
                    <xdr:colOff>0</xdr:colOff>
                    <xdr:row>494</xdr:row>
                    <xdr:rowOff>0</xdr:rowOff>
                  </from>
                  <to>
                    <xdr:col>7</xdr:col>
                    <xdr:colOff>0</xdr:colOff>
                    <xdr:row>494</xdr:row>
                    <xdr:rowOff>165100</xdr:rowOff>
                  </to>
                </anchor>
              </controlPr>
            </control>
          </mc:Choice>
        </mc:AlternateContent>
        <mc:AlternateContent xmlns:mc="http://schemas.openxmlformats.org/markup-compatibility/2006">
          <mc:Choice Requires="x14">
            <control shapeId="14387" r:id="rId278" name="Button 3123">
              <controlPr defaultSize="0" autoFill="0" autoLine="0" autoPict="0" macro="[0]!Sheet1.deleteRow">
                <anchor moveWithCells="1" sizeWithCells="1">
                  <from>
                    <xdr:col>6</xdr:col>
                    <xdr:colOff>0</xdr:colOff>
                    <xdr:row>495</xdr:row>
                    <xdr:rowOff>0</xdr:rowOff>
                  </from>
                  <to>
                    <xdr:col>7</xdr:col>
                    <xdr:colOff>0</xdr:colOff>
                    <xdr:row>495</xdr:row>
                    <xdr:rowOff>165100</xdr:rowOff>
                  </to>
                </anchor>
              </controlPr>
            </control>
          </mc:Choice>
        </mc:AlternateContent>
        <mc:AlternateContent xmlns:mc="http://schemas.openxmlformats.org/markup-compatibility/2006">
          <mc:Choice Requires="x14">
            <control shapeId="14386" r:id="rId279" name="Button 3122">
              <controlPr defaultSize="0" autoFill="0" autoLine="0" autoPict="0" macro="[0]!Sheet1.deleteRow">
                <anchor moveWithCells="1" sizeWithCells="1">
                  <from>
                    <xdr:col>6</xdr:col>
                    <xdr:colOff>0</xdr:colOff>
                    <xdr:row>496</xdr:row>
                    <xdr:rowOff>0</xdr:rowOff>
                  </from>
                  <to>
                    <xdr:col>7</xdr:col>
                    <xdr:colOff>0</xdr:colOff>
                    <xdr:row>496</xdr:row>
                    <xdr:rowOff>165100</xdr:rowOff>
                  </to>
                </anchor>
              </controlPr>
            </control>
          </mc:Choice>
        </mc:AlternateContent>
        <mc:AlternateContent xmlns:mc="http://schemas.openxmlformats.org/markup-compatibility/2006">
          <mc:Choice Requires="x14">
            <control shapeId="14385" r:id="rId280" name="Button 3121">
              <controlPr defaultSize="0" autoFill="0" autoLine="0" autoPict="0" macro="[0]!Sheet1.deleteRow">
                <anchor moveWithCells="1" sizeWithCells="1">
                  <from>
                    <xdr:col>6</xdr:col>
                    <xdr:colOff>0</xdr:colOff>
                    <xdr:row>497</xdr:row>
                    <xdr:rowOff>0</xdr:rowOff>
                  </from>
                  <to>
                    <xdr:col>7</xdr:col>
                    <xdr:colOff>0</xdr:colOff>
                    <xdr:row>497</xdr:row>
                    <xdr:rowOff>165100</xdr:rowOff>
                  </to>
                </anchor>
              </controlPr>
            </control>
          </mc:Choice>
        </mc:AlternateContent>
        <mc:AlternateContent xmlns:mc="http://schemas.openxmlformats.org/markup-compatibility/2006">
          <mc:Choice Requires="x14">
            <control shapeId="14384" r:id="rId281" name="Button 3120">
              <controlPr defaultSize="0" autoFill="0" autoLine="0" autoPict="0" macro="[0]!Sheet1.deleteProcedure">
                <anchor moveWithCells="1" sizeWithCells="1">
                  <from>
                    <xdr:col>6</xdr:col>
                    <xdr:colOff>0</xdr:colOff>
                    <xdr:row>500</xdr:row>
                    <xdr:rowOff>0</xdr:rowOff>
                  </from>
                  <to>
                    <xdr:col>7</xdr:col>
                    <xdr:colOff>0</xdr:colOff>
                    <xdr:row>501</xdr:row>
                    <xdr:rowOff>0</xdr:rowOff>
                  </to>
                </anchor>
              </controlPr>
            </control>
          </mc:Choice>
        </mc:AlternateContent>
        <mc:AlternateContent xmlns:mc="http://schemas.openxmlformats.org/markup-compatibility/2006">
          <mc:Choice Requires="x14">
            <control shapeId="14383" r:id="rId282" name="Button 3119">
              <controlPr defaultSize="0" autoFill="0" autoLine="0" autoPict="0" macro="[0]!Sheet1.InsertNewTableRow">
                <anchor moveWithCells="1" sizeWithCells="1">
                  <from>
                    <xdr:col>6</xdr:col>
                    <xdr:colOff>0</xdr:colOff>
                    <xdr:row>507</xdr:row>
                    <xdr:rowOff>0</xdr:rowOff>
                  </from>
                  <to>
                    <xdr:col>7</xdr:col>
                    <xdr:colOff>0</xdr:colOff>
                    <xdr:row>507</xdr:row>
                    <xdr:rowOff>171450</xdr:rowOff>
                  </to>
                </anchor>
              </controlPr>
            </control>
          </mc:Choice>
        </mc:AlternateContent>
        <mc:AlternateContent xmlns:mc="http://schemas.openxmlformats.org/markup-compatibility/2006">
          <mc:Choice Requires="x14">
            <control shapeId="14382" r:id="rId283" name="Button 3118">
              <controlPr defaultSize="0" autoFill="0" autoLine="0" autoPict="0" macro="[0]!Sheet1.deleteRow">
                <anchor moveWithCells="1" sizeWithCells="1">
                  <from>
                    <xdr:col>6</xdr:col>
                    <xdr:colOff>0</xdr:colOff>
                    <xdr:row>508</xdr:row>
                    <xdr:rowOff>0</xdr:rowOff>
                  </from>
                  <to>
                    <xdr:col>7</xdr:col>
                    <xdr:colOff>0</xdr:colOff>
                    <xdr:row>508</xdr:row>
                    <xdr:rowOff>165100</xdr:rowOff>
                  </to>
                </anchor>
              </controlPr>
            </control>
          </mc:Choice>
        </mc:AlternateContent>
        <mc:AlternateContent xmlns:mc="http://schemas.openxmlformats.org/markup-compatibility/2006">
          <mc:Choice Requires="x14">
            <control shapeId="14381" r:id="rId284" name="Button 3117">
              <controlPr defaultSize="0" autoFill="0" autoLine="0" autoPict="0" macro="[0]!Sheet1.deleteRow">
                <anchor moveWithCells="1" sizeWithCells="1">
                  <from>
                    <xdr:col>6</xdr:col>
                    <xdr:colOff>0</xdr:colOff>
                    <xdr:row>509</xdr:row>
                    <xdr:rowOff>0</xdr:rowOff>
                  </from>
                  <to>
                    <xdr:col>7</xdr:col>
                    <xdr:colOff>0</xdr:colOff>
                    <xdr:row>509</xdr:row>
                    <xdr:rowOff>165100</xdr:rowOff>
                  </to>
                </anchor>
              </controlPr>
            </control>
          </mc:Choice>
        </mc:AlternateContent>
        <mc:AlternateContent xmlns:mc="http://schemas.openxmlformats.org/markup-compatibility/2006">
          <mc:Choice Requires="x14">
            <control shapeId="14380" r:id="rId285" name="Button 3116">
              <controlPr defaultSize="0" autoFill="0" autoLine="0" autoPict="0" macro="[0]!Sheet1.deleteRow">
                <anchor moveWithCells="1" sizeWithCells="1">
                  <from>
                    <xdr:col>6</xdr:col>
                    <xdr:colOff>0</xdr:colOff>
                    <xdr:row>510</xdr:row>
                    <xdr:rowOff>0</xdr:rowOff>
                  </from>
                  <to>
                    <xdr:col>7</xdr:col>
                    <xdr:colOff>0</xdr:colOff>
                    <xdr:row>510</xdr:row>
                    <xdr:rowOff>165100</xdr:rowOff>
                  </to>
                </anchor>
              </controlPr>
            </control>
          </mc:Choice>
        </mc:AlternateContent>
        <mc:AlternateContent xmlns:mc="http://schemas.openxmlformats.org/markup-compatibility/2006">
          <mc:Choice Requires="x14">
            <control shapeId="14379" r:id="rId286" name="Button 3115">
              <controlPr defaultSize="0" autoFill="0" autoLine="0" autoPict="0" macro="[0]!Sheet1.deleteRow">
                <anchor moveWithCells="1" sizeWithCells="1">
                  <from>
                    <xdr:col>6</xdr:col>
                    <xdr:colOff>0</xdr:colOff>
                    <xdr:row>511</xdr:row>
                    <xdr:rowOff>0</xdr:rowOff>
                  </from>
                  <to>
                    <xdr:col>7</xdr:col>
                    <xdr:colOff>0</xdr:colOff>
                    <xdr:row>511</xdr:row>
                    <xdr:rowOff>165100</xdr:rowOff>
                  </to>
                </anchor>
              </controlPr>
            </control>
          </mc:Choice>
        </mc:AlternateContent>
        <mc:AlternateContent xmlns:mc="http://schemas.openxmlformats.org/markup-compatibility/2006">
          <mc:Choice Requires="x14">
            <control shapeId="14378" r:id="rId287" name="Button 3114">
              <controlPr defaultSize="0" autoFill="0" autoLine="0" autoPict="0" macro="[0]!Sheet1.deleteProcedure">
                <anchor moveWithCells="1" sizeWithCells="1">
                  <from>
                    <xdr:col>6</xdr:col>
                    <xdr:colOff>0</xdr:colOff>
                    <xdr:row>514</xdr:row>
                    <xdr:rowOff>0</xdr:rowOff>
                  </from>
                  <to>
                    <xdr:col>7</xdr:col>
                    <xdr:colOff>0</xdr:colOff>
                    <xdr:row>515</xdr:row>
                    <xdr:rowOff>0</xdr:rowOff>
                  </to>
                </anchor>
              </controlPr>
            </control>
          </mc:Choice>
        </mc:AlternateContent>
        <mc:AlternateContent xmlns:mc="http://schemas.openxmlformats.org/markup-compatibility/2006">
          <mc:Choice Requires="x14">
            <control shapeId="14377" r:id="rId288" name="Button 3113">
              <controlPr defaultSize="0" autoFill="0" autoLine="0" autoPict="0" macro="[0]!Sheet1.InsertNewTableRow">
                <anchor moveWithCells="1" sizeWithCells="1">
                  <from>
                    <xdr:col>6</xdr:col>
                    <xdr:colOff>0</xdr:colOff>
                    <xdr:row>521</xdr:row>
                    <xdr:rowOff>0</xdr:rowOff>
                  </from>
                  <to>
                    <xdr:col>7</xdr:col>
                    <xdr:colOff>0</xdr:colOff>
                    <xdr:row>521</xdr:row>
                    <xdr:rowOff>171450</xdr:rowOff>
                  </to>
                </anchor>
              </controlPr>
            </control>
          </mc:Choice>
        </mc:AlternateContent>
        <mc:AlternateContent xmlns:mc="http://schemas.openxmlformats.org/markup-compatibility/2006">
          <mc:Choice Requires="x14">
            <control shapeId="14376" r:id="rId289" name="Button 3112">
              <controlPr defaultSize="0" autoFill="0" autoLine="0" autoPict="0" macro="[0]!Sheet1.deleteRow">
                <anchor moveWithCells="1" sizeWithCells="1">
                  <from>
                    <xdr:col>6</xdr:col>
                    <xdr:colOff>0</xdr:colOff>
                    <xdr:row>522</xdr:row>
                    <xdr:rowOff>0</xdr:rowOff>
                  </from>
                  <to>
                    <xdr:col>7</xdr:col>
                    <xdr:colOff>0</xdr:colOff>
                    <xdr:row>522</xdr:row>
                    <xdr:rowOff>165100</xdr:rowOff>
                  </to>
                </anchor>
              </controlPr>
            </control>
          </mc:Choice>
        </mc:AlternateContent>
        <mc:AlternateContent xmlns:mc="http://schemas.openxmlformats.org/markup-compatibility/2006">
          <mc:Choice Requires="x14">
            <control shapeId="14375" r:id="rId290" name="Button 3111">
              <controlPr defaultSize="0" autoFill="0" autoLine="0" autoPict="0" macro="[0]!Sheet1.deleteRow">
                <anchor moveWithCells="1" sizeWithCells="1">
                  <from>
                    <xdr:col>6</xdr:col>
                    <xdr:colOff>0</xdr:colOff>
                    <xdr:row>523</xdr:row>
                    <xdr:rowOff>0</xdr:rowOff>
                  </from>
                  <to>
                    <xdr:col>7</xdr:col>
                    <xdr:colOff>0</xdr:colOff>
                    <xdr:row>523</xdr:row>
                    <xdr:rowOff>165100</xdr:rowOff>
                  </to>
                </anchor>
              </controlPr>
            </control>
          </mc:Choice>
        </mc:AlternateContent>
        <mc:AlternateContent xmlns:mc="http://schemas.openxmlformats.org/markup-compatibility/2006">
          <mc:Choice Requires="x14">
            <control shapeId="14374" r:id="rId291" name="Button 3110">
              <controlPr defaultSize="0" autoFill="0" autoLine="0" autoPict="0" macro="[0]!Sheet1.deleteRow">
                <anchor moveWithCells="1" sizeWithCells="1">
                  <from>
                    <xdr:col>6</xdr:col>
                    <xdr:colOff>0</xdr:colOff>
                    <xdr:row>524</xdr:row>
                    <xdr:rowOff>0</xdr:rowOff>
                  </from>
                  <to>
                    <xdr:col>7</xdr:col>
                    <xdr:colOff>0</xdr:colOff>
                    <xdr:row>524</xdr:row>
                    <xdr:rowOff>165100</xdr:rowOff>
                  </to>
                </anchor>
              </controlPr>
            </control>
          </mc:Choice>
        </mc:AlternateContent>
        <mc:AlternateContent xmlns:mc="http://schemas.openxmlformats.org/markup-compatibility/2006">
          <mc:Choice Requires="x14">
            <control shapeId="14373" r:id="rId292" name="Button 3109">
              <controlPr defaultSize="0" autoFill="0" autoLine="0" autoPict="0" macro="[0]!Sheet1.deleteRow">
                <anchor moveWithCells="1" sizeWithCells="1">
                  <from>
                    <xdr:col>6</xdr:col>
                    <xdr:colOff>0</xdr:colOff>
                    <xdr:row>525</xdr:row>
                    <xdr:rowOff>0</xdr:rowOff>
                  </from>
                  <to>
                    <xdr:col>7</xdr:col>
                    <xdr:colOff>0</xdr:colOff>
                    <xdr:row>525</xdr:row>
                    <xdr:rowOff>165100</xdr:rowOff>
                  </to>
                </anchor>
              </controlPr>
            </control>
          </mc:Choice>
        </mc:AlternateContent>
        <mc:AlternateContent xmlns:mc="http://schemas.openxmlformats.org/markup-compatibility/2006">
          <mc:Choice Requires="x14">
            <control shapeId="14372" r:id="rId293" name="Button 3108">
              <controlPr defaultSize="0" autoFill="0" autoLine="0" autoPict="0" macro="[0]!Sheet1.deleteRow">
                <anchor moveWithCells="1" sizeWithCells="1">
                  <from>
                    <xdr:col>6</xdr:col>
                    <xdr:colOff>0</xdr:colOff>
                    <xdr:row>526</xdr:row>
                    <xdr:rowOff>0</xdr:rowOff>
                  </from>
                  <to>
                    <xdr:col>7</xdr:col>
                    <xdr:colOff>0</xdr:colOff>
                    <xdr:row>526</xdr:row>
                    <xdr:rowOff>165100</xdr:rowOff>
                  </to>
                </anchor>
              </controlPr>
            </control>
          </mc:Choice>
        </mc:AlternateContent>
        <mc:AlternateContent xmlns:mc="http://schemas.openxmlformats.org/markup-compatibility/2006">
          <mc:Choice Requires="x14">
            <control shapeId="14371" r:id="rId294" name="Button 3107">
              <controlPr defaultSize="0" autoFill="0" autoLine="0" autoPict="0" macro="[0]!Sheet1.deleteRow">
                <anchor moveWithCells="1" sizeWithCells="1">
                  <from>
                    <xdr:col>6</xdr:col>
                    <xdr:colOff>0</xdr:colOff>
                    <xdr:row>527</xdr:row>
                    <xdr:rowOff>0</xdr:rowOff>
                  </from>
                  <to>
                    <xdr:col>7</xdr:col>
                    <xdr:colOff>0</xdr:colOff>
                    <xdr:row>527</xdr:row>
                    <xdr:rowOff>165100</xdr:rowOff>
                  </to>
                </anchor>
              </controlPr>
            </control>
          </mc:Choice>
        </mc:AlternateContent>
        <mc:AlternateContent xmlns:mc="http://schemas.openxmlformats.org/markup-compatibility/2006">
          <mc:Choice Requires="x14">
            <control shapeId="14370" r:id="rId295" name="Button 3106">
              <controlPr defaultSize="0" autoFill="0" autoLine="0" autoPict="0" macro="[0]!Sheet1.deleteProcedure">
                <anchor moveWithCells="1" sizeWithCells="1">
                  <from>
                    <xdr:col>6</xdr:col>
                    <xdr:colOff>0</xdr:colOff>
                    <xdr:row>530</xdr:row>
                    <xdr:rowOff>0</xdr:rowOff>
                  </from>
                  <to>
                    <xdr:col>7</xdr:col>
                    <xdr:colOff>0</xdr:colOff>
                    <xdr:row>531</xdr:row>
                    <xdr:rowOff>0</xdr:rowOff>
                  </to>
                </anchor>
              </controlPr>
            </control>
          </mc:Choice>
        </mc:AlternateContent>
        <mc:AlternateContent xmlns:mc="http://schemas.openxmlformats.org/markup-compatibility/2006">
          <mc:Choice Requires="x14">
            <control shapeId="14369" r:id="rId296" name="Button 3105">
              <controlPr defaultSize="0" autoFill="0" autoLine="0" autoPict="0" macro="[0]!Sheet1.InsertNewTableRow">
                <anchor moveWithCells="1" sizeWithCells="1">
                  <from>
                    <xdr:col>6</xdr:col>
                    <xdr:colOff>0</xdr:colOff>
                    <xdr:row>537</xdr:row>
                    <xdr:rowOff>0</xdr:rowOff>
                  </from>
                  <to>
                    <xdr:col>7</xdr:col>
                    <xdr:colOff>0</xdr:colOff>
                    <xdr:row>537</xdr:row>
                    <xdr:rowOff>171450</xdr:rowOff>
                  </to>
                </anchor>
              </controlPr>
            </control>
          </mc:Choice>
        </mc:AlternateContent>
        <mc:AlternateContent xmlns:mc="http://schemas.openxmlformats.org/markup-compatibility/2006">
          <mc:Choice Requires="x14">
            <control shapeId="14368" r:id="rId297" name="Button 3104">
              <controlPr defaultSize="0" autoFill="0" autoLine="0" autoPict="0" macro="[0]!Sheet1.deleteRow">
                <anchor moveWithCells="1" sizeWithCells="1">
                  <from>
                    <xdr:col>6</xdr:col>
                    <xdr:colOff>0</xdr:colOff>
                    <xdr:row>538</xdr:row>
                    <xdr:rowOff>0</xdr:rowOff>
                  </from>
                  <to>
                    <xdr:col>7</xdr:col>
                    <xdr:colOff>0</xdr:colOff>
                    <xdr:row>538</xdr:row>
                    <xdr:rowOff>165100</xdr:rowOff>
                  </to>
                </anchor>
              </controlPr>
            </control>
          </mc:Choice>
        </mc:AlternateContent>
        <mc:AlternateContent xmlns:mc="http://schemas.openxmlformats.org/markup-compatibility/2006">
          <mc:Choice Requires="x14">
            <control shapeId="14367" r:id="rId298" name="Button 3103">
              <controlPr defaultSize="0" autoFill="0" autoLine="0" autoPict="0" macro="[0]!Sheet1.deleteProcedure">
                <anchor moveWithCells="1" sizeWithCells="1">
                  <from>
                    <xdr:col>6</xdr:col>
                    <xdr:colOff>0</xdr:colOff>
                    <xdr:row>541</xdr:row>
                    <xdr:rowOff>0</xdr:rowOff>
                  </from>
                  <to>
                    <xdr:col>7</xdr:col>
                    <xdr:colOff>0</xdr:colOff>
                    <xdr:row>542</xdr:row>
                    <xdr:rowOff>0</xdr:rowOff>
                  </to>
                </anchor>
              </controlPr>
            </control>
          </mc:Choice>
        </mc:AlternateContent>
        <mc:AlternateContent xmlns:mc="http://schemas.openxmlformats.org/markup-compatibility/2006">
          <mc:Choice Requires="x14">
            <control shapeId="14366" r:id="rId299" name="Button 3102">
              <controlPr defaultSize="0" autoFill="0" autoLine="0" autoPict="0" macro="[0]!Sheet1.InsertNewTableRow">
                <anchor moveWithCells="1" sizeWithCells="1">
                  <from>
                    <xdr:col>6</xdr:col>
                    <xdr:colOff>0</xdr:colOff>
                    <xdr:row>548</xdr:row>
                    <xdr:rowOff>0</xdr:rowOff>
                  </from>
                  <to>
                    <xdr:col>7</xdr:col>
                    <xdr:colOff>0</xdr:colOff>
                    <xdr:row>548</xdr:row>
                    <xdr:rowOff>171450</xdr:rowOff>
                  </to>
                </anchor>
              </controlPr>
            </control>
          </mc:Choice>
        </mc:AlternateContent>
        <mc:AlternateContent xmlns:mc="http://schemas.openxmlformats.org/markup-compatibility/2006">
          <mc:Choice Requires="x14">
            <control shapeId="14365" r:id="rId300" name="Button 3101">
              <controlPr defaultSize="0" autoFill="0" autoLine="0" autoPict="0" macro="[0]!Sheet1.deleteRow">
                <anchor moveWithCells="1" sizeWithCells="1">
                  <from>
                    <xdr:col>6</xdr:col>
                    <xdr:colOff>0</xdr:colOff>
                    <xdr:row>549</xdr:row>
                    <xdr:rowOff>0</xdr:rowOff>
                  </from>
                  <to>
                    <xdr:col>7</xdr:col>
                    <xdr:colOff>0</xdr:colOff>
                    <xdr:row>549</xdr:row>
                    <xdr:rowOff>165100</xdr:rowOff>
                  </to>
                </anchor>
              </controlPr>
            </control>
          </mc:Choice>
        </mc:AlternateContent>
        <mc:AlternateContent xmlns:mc="http://schemas.openxmlformats.org/markup-compatibility/2006">
          <mc:Choice Requires="x14">
            <control shapeId="14364" r:id="rId301" name="Button 3100">
              <controlPr defaultSize="0" autoFill="0" autoLine="0" autoPict="0" macro="[0]!Sheet1.deleteProcedure">
                <anchor moveWithCells="1" sizeWithCells="1">
                  <from>
                    <xdr:col>6</xdr:col>
                    <xdr:colOff>0</xdr:colOff>
                    <xdr:row>552</xdr:row>
                    <xdr:rowOff>0</xdr:rowOff>
                  </from>
                  <to>
                    <xdr:col>7</xdr:col>
                    <xdr:colOff>0</xdr:colOff>
                    <xdr:row>553</xdr:row>
                    <xdr:rowOff>0</xdr:rowOff>
                  </to>
                </anchor>
              </controlPr>
            </control>
          </mc:Choice>
        </mc:AlternateContent>
        <mc:AlternateContent xmlns:mc="http://schemas.openxmlformats.org/markup-compatibility/2006">
          <mc:Choice Requires="x14">
            <control shapeId="14363" r:id="rId302" name="Button 3099">
              <controlPr defaultSize="0" autoFill="0" autoLine="0" autoPict="0" macro="[0]!Sheet1.InsertNewTableRow">
                <anchor moveWithCells="1" sizeWithCells="1">
                  <from>
                    <xdr:col>6</xdr:col>
                    <xdr:colOff>0</xdr:colOff>
                    <xdr:row>559</xdr:row>
                    <xdr:rowOff>0</xdr:rowOff>
                  </from>
                  <to>
                    <xdr:col>7</xdr:col>
                    <xdr:colOff>0</xdr:colOff>
                    <xdr:row>559</xdr:row>
                    <xdr:rowOff>171450</xdr:rowOff>
                  </to>
                </anchor>
              </controlPr>
            </control>
          </mc:Choice>
        </mc:AlternateContent>
        <mc:AlternateContent xmlns:mc="http://schemas.openxmlformats.org/markup-compatibility/2006">
          <mc:Choice Requires="x14">
            <control shapeId="14362" r:id="rId303" name="Button 3098">
              <controlPr defaultSize="0" autoFill="0" autoLine="0" autoPict="0" macro="[0]!Sheet1.deleteRow">
                <anchor moveWithCells="1" sizeWithCells="1">
                  <from>
                    <xdr:col>6</xdr:col>
                    <xdr:colOff>0</xdr:colOff>
                    <xdr:row>560</xdr:row>
                    <xdr:rowOff>0</xdr:rowOff>
                  </from>
                  <to>
                    <xdr:col>7</xdr:col>
                    <xdr:colOff>0</xdr:colOff>
                    <xdr:row>560</xdr:row>
                    <xdr:rowOff>165100</xdr:rowOff>
                  </to>
                </anchor>
              </controlPr>
            </control>
          </mc:Choice>
        </mc:AlternateContent>
        <mc:AlternateContent xmlns:mc="http://schemas.openxmlformats.org/markup-compatibility/2006">
          <mc:Choice Requires="x14">
            <control shapeId="14361" r:id="rId304" name="Button 3097">
              <controlPr defaultSize="0" autoFill="0" autoLine="0" autoPict="0" macro="[0]!Sheet1.deleteRow">
                <anchor moveWithCells="1" sizeWithCells="1">
                  <from>
                    <xdr:col>6</xdr:col>
                    <xdr:colOff>0</xdr:colOff>
                    <xdr:row>561</xdr:row>
                    <xdr:rowOff>0</xdr:rowOff>
                  </from>
                  <to>
                    <xdr:col>7</xdr:col>
                    <xdr:colOff>0</xdr:colOff>
                    <xdr:row>561</xdr:row>
                    <xdr:rowOff>165100</xdr:rowOff>
                  </to>
                </anchor>
              </controlPr>
            </control>
          </mc:Choice>
        </mc:AlternateContent>
        <mc:AlternateContent xmlns:mc="http://schemas.openxmlformats.org/markup-compatibility/2006">
          <mc:Choice Requires="x14">
            <control shapeId="14360" r:id="rId305" name="Button 3096">
              <controlPr defaultSize="0" autoFill="0" autoLine="0" autoPict="0" macro="[0]!Sheet1.deleteRow">
                <anchor moveWithCells="1" sizeWithCells="1">
                  <from>
                    <xdr:col>6</xdr:col>
                    <xdr:colOff>0</xdr:colOff>
                    <xdr:row>562</xdr:row>
                    <xdr:rowOff>0</xdr:rowOff>
                  </from>
                  <to>
                    <xdr:col>7</xdr:col>
                    <xdr:colOff>0</xdr:colOff>
                    <xdr:row>562</xdr:row>
                    <xdr:rowOff>165100</xdr:rowOff>
                  </to>
                </anchor>
              </controlPr>
            </control>
          </mc:Choice>
        </mc:AlternateContent>
        <mc:AlternateContent xmlns:mc="http://schemas.openxmlformats.org/markup-compatibility/2006">
          <mc:Choice Requires="x14">
            <control shapeId="14359" r:id="rId306" name="Button 3095">
              <controlPr defaultSize="0" autoFill="0" autoLine="0" autoPict="0" macro="[0]!Sheet1.deleteRow">
                <anchor moveWithCells="1" sizeWithCells="1">
                  <from>
                    <xdr:col>6</xdr:col>
                    <xdr:colOff>0</xdr:colOff>
                    <xdr:row>563</xdr:row>
                    <xdr:rowOff>0</xdr:rowOff>
                  </from>
                  <to>
                    <xdr:col>7</xdr:col>
                    <xdr:colOff>0</xdr:colOff>
                    <xdr:row>563</xdr:row>
                    <xdr:rowOff>165100</xdr:rowOff>
                  </to>
                </anchor>
              </controlPr>
            </control>
          </mc:Choice>
        </mc:AlternateContent>
        <mc:AlternateContent xmlns:mc="http://schemas.openxmlformats.org/markup-compatibility/2006">
          <mc:Choice Requires="x14">
            <control shapeId="14358" r:id="rId307" name="Button 3094">
              <controlPr defaultSize="0" autoFill="0" autoLine="0" autoPict="0" macro="[0]!Sheet1.deleteRow">
                <anchor moveWithCells="1" sizeWithCells="1">
                  <from>
                    <xdr:col>6</xdr:col>
                    <xdr:colOff>0</xdr:colOff>
                    <xdr:row>564</xdr:row>
                    <xdr:rowOff>0</xdr:rowOff>
                  </from>
                  <to>
                    <xdr:col>7</xdr:col>
                    <xdr:colOff>0</xdr:colOff>
                    <xdr:row>564</xdr:row>
                    <xdr:rowOff>165100</xdr:rowOff>
                  </to>
                </anchor>
              </controlPr>
            </control>
          </mc:Choice>
        </mc:AlternateContent>
        <mc:AlternateContent xmlns:mc="http://schemas.openxmlformats.org/markup-compatibility/2006">
          <mc:Choice Requires="x14">
            <control shapeId="14357" r:id="rId308" name="Button 3093">
              <controlPr defaultSize="0" autoFill="0" autoLine="0" autoPict="0" macro="[0]!Sheet1.deleteRow">
                <anchor moveWithCells="1" sizeWithCells="1">
                  <from>
                    <xdr:col>6</xdr:col>
                    <xdr:colOff>0</xdr:colOff>
                    <xdr:row>565</xdr:row>
                    <xdr:rowOff>0</xdr:rowOff>
                  </from>
                  <to>
                    <xdr:col>7</xdr:col>
                    <xdr:colOff>0</xdr:colOff>
                    <xdr:row>565</xdr:row>
                    <xdr:rowOff>165100</xdr:rowOff>
                  </to>
                </anchor>
              </controlPr>
            </control>
          </mc:Choice>
        </mc:AlternateContent>
        <mc:AlternateContent xmlns:mc="http://schemas.openxmlformats.org/markup-compatibility/2006">
          <mc:Choice Requires="x14">
            <control shapeId="14356" r:id="rId309" name="Button 3092">
              <controlPr defaultSize="0" autoFill="0" autoLine="0" autoPict="0" macro="[0]!Sheet1.deleteProcedure">
                <anchor moveWithCells="1" sizeWithCells="1">
                  <from>
                    <xdr:col>6</xdr:col>
                    <xdr:colOff>0</xdr:colOff>
                    <xdr:row>568</xdr:row>
                    <xdr:rowOff>0</xdr:rowOff>
                  </from>
                  <to>
                    <xdr:col>7</xdr:col>
                    <xdr:colOff>0</xdr:colOff>
                    <xdr:row>569</xdr:row>
                    <xdr:rowOff>0</xdr:rowOff>
                  </to>
                </anchor>
              </controlPr>
            </control>
          </mc:Choice>
        </mc:AlternateContent>
        <mc:AlternateContent xmlns:mc="http://schemas.openxmlformats.org/markup-compatibility/2006">
          <mc:Choice Requires="x14">
            <control shapeId="14355" r:id="rId310" name="Button 3091">
              <controlPr defaultSize="0" autoFill="0" autoLine="0" autoPict="0" macro="[0]!Sheet1.InsertNewTableRow">
                <anchor moveWithCells="1" sizeWithCells="1">
                  <from>
                    <xdr:col>6</xdr:col>
                    <xdr:colOff>0</xdr:colOff>
                    <xdr:row>575</xdr:row>
                    <xdr:rowOff>0</xdr:rowOff>
                  </from>
                  <to>
                    <xdr:col>7</xdr:col>
                    <xdr:colOff>0</xdr:colOff>
                    <xdr:row>575</xdr:row>
                    <xdr:rowOff>171450</xdr:rowOff>
                  </to>
                </anchor>
              </controlPr>
            </control>
          </mc:Choice>
        </mc:AlternateContent>
        <mc:AlternateContent xmlns:mc="http://schemas.openxmlformats.org/markup-compatibility/2006">
          <mc:Choice Requires="x14">
            <control shapeId="14354" r:id="rId311" name="Button 3090">
              <controlPr defaultSize="0" autoFill="0" autoLine="0" autoPict="0" macro="[0]!Sheet1.deleteRow">
                <anchor moveWithCells="1" sizeWithCells="1">
                  <from>
                    <xdr:col>6</xdr:col>
                    <xdr:colOff>0</xdr:colOff>
                    <xdr:row>576</xdr:row>
                    <xdr:rowOff>0</xdr:rowOff>
                  </from>
                  <to>
                    <xdr:col>7</xdr:col>
                    <xdr:colOff>0</xdr:colOff>
                    <xdr:row>576</xdr:row>
                    <xdr:rowOff>165100</xdr:rowOff>
                  </to>
                </anchor>
              </controlPr>
            </control>
          </mc:Choice>
        </mc:AlternateContent>
        <mc:AlternateContent xmlns:mc="http://schemas.openxmlformats.org/markup-compatibility/2006">
          <mc:Choice Requires="x14">
            <control shapeId="14353" r:id="rId312" name="Button 3089">
              <controlPr defaultSize="0" autoFill="0" autoLine="0" autoPict="0" macro="[0]!Sheet1.deleteRow">
                <anchor moveWithCells="1" sizeWithCells="1">
                  <from>
                    <xdr:col>6</xdr:col>
                    <xdr:colOff>0</xdr:colOff>
                    <xdr:row>577</xdr:row>
                    <xdr:rowOff>0</xdr:rowOff>
                  </from>
                  <to>
                    <xdr:col>7</xdr:col>
                    <xdr:colOff>0</xdr:colOff>
                    <xdr:row>577</xdr:row>
                    <xdr:rowOff>165100</xdr:rowOff>
                  </to>
                </anchor>
              </controlPr>
            </control>
          </mc:Choice>
        </mc:AlternateContent>
        <mc:AlternateContent xmlns:mc="http://schemas.openxmlformats.org/markup-compatibility/2006">
          <mc:Choice Requires="x14">
            <control shapeId="14352" r:id="rId313" name="Button 3088">
              <controlPr defaultSize="0" autoFill="0" autoLine="0" autoPict="0" macro="[0]!Sheet1.deleteRow">
                <anchor moveWithCells="1" sizeWithCells="1">
                  <from>
                    <xdr:col>6</xdr:col>
                    <xdr:colOff>0</xdr:colOff>
                    <xdr:row>578</xdr:row>
                    <xdr:rowOff>0</xdr:rowOff>
                  </from>
                  <to>
                    <xdr:col>7</xdr:col>
                    <xdr:colOff>0</xdr:colOff>
                    <xdr:row>578</xdr:row>
                    <xdr:rowOff>165100</xdr:rowOff>
                  </to>
                </anchor>
              </controlPr>
            </control>
          </mc:Choice>
        </mc:AlternateContent>
        <mc:AlternateContent xmlns:mc="http://schemas.openxmlformats.org/markup-compatibility/2006">
          <mc:Choice Requires="x14">
            <control shapeId="14351" r:id="rId314" name="Button 3087">
              <controlPr defaultSize="0" autoFill="0" autoLine="0" autoPict="0" macro="[0]!Sheet1.deleteRow">
                <anchor moveWithCells="1" sizeWithCells="1">
                  <from>
                    <xdr:col>6</xdr:col>
                    <xdr:colOff>0</xdr:colOff>
                    <xdr:row>579</xdr:row>
                    <xdr:rowOff>0</xdr:rowOff>
                  </from>
                  <to>
                    <xdr:col>7</xdr:col>
                    <xdr:colOff>0</xdr:colOff>
                    <xdr:row>579</xdr:row>
                    <xdr:rowOff>165100</xdr:rowOff>
                  </to>
                </anchor>
              </controlPr>
            </control>
          </mc:Choice>
        </mc:AlternateContent>
        <mc:AlternateContent xmlns:mc="http://schemas.openxmlformats.org/markup-compatibility/2006">
          <mc:Choice Requires="x14">
            <control shapeId="14350" r:id="rId315" name="Button 3086">
              <controlPr defaultSize="0" autoFill="0" autoLine="0" autoPict="0" macro="[0]!Sheet1.deleteRow">
                <anchor moveWithCells="1" sizeWithCells="1">
                  <from>
                    <xdr:col>6</xdr:col>
                    <xdr:colOff>0</xdr:colOff>
                    <xdr:row>580</xdr:row>
                    <xdr:rowOff>0</xdr:rowOff>
                  </from>
                  <to>
                    <xdr:col>7</xdr:col>
                    <xdr:colOff>0</xdr:colOff>
                    <xdr:row>580</xdr:row>
                    <xdr:rowOff>165100</xdr:rowOff>
                  </to>
                </anchor>
              </controlPr>
            </control>
          </mc:Choice>
        </mc:AlternateContent>
        <mc:AlternateContent xmlns:mc="http://schemas.openxmlformats.org/markup-compatibility/2006">
          <mc:Choice Requires="x14">
            <control shapeId="14349" r:id="rId316" name="Button 3085">
              <controlPr defaultSize="0" autoFill="0" autoLine="0" autoPict="0" macro="[0]!Sheet1.deleteRow">
                <anchor moveWithCells="1" sizeWithCells="1">
                  <from>
                    <xdr:col>6</xdr:col>
                    <xdr:colOff>0</xdr:colOff>
                    <xdr:row>581</xdr:row>
                    <xdr:rowOff>0</xdr:rowOff>
                  </from>
                  <to>
                    <xdr:col>7</xdr:col>
                    <xdr:colOff>0</xdr:colOff>
                    <xdr:row>581</xdr:row>
                    <xdr:rowOff>165100</xdr:rowOff>
                  </to>
                </anchor>
              </controlPr>
            </control>
          </mc:Choice>
        </mc:AlternateContent>
        <mc:AlternateContent xmlns:mc="http://schemas.openxmlformats.org/markup-compatibility/2006">
          <mc:Choice Requires="x14">
            <control shapeId="14348" r:id="rId317" name="Button 3084">
              <controlPr defaultSize="0" autoFill="0" autoLine="0" autoPict="0" macro="[0]!Sheet1.deleteRow">
                <anchor moveWithCells="1" sizeWithCells="1">
                  <from>
                    <xdr:col>6</xdr:col>
                    <xdr:colOff>0</xdr:colOff>
                    <xdr:row>582</xdr:row>
                    <xdr:rowOff>0</xdr:rowOff>
                  </from>
                  <to>
                    <xdr:col>7</xdr:col>
                    <xdr:colOff>0</xdr:colOff>
                    <xdr:row>582</xdr:row>
                    <xdr:rowOff>165100</xdr:rowOff>
                  </to>
                </anchor>
              </controlPr>
            </control>
          </mc:Choice>
        </mc:AlternateContent>
        <mc:AlternateContent xmlns:mc="http://schemas.openxmlformats.org/markup-compatibility/2006">
          <mc:Choice Requires="x14">
            <control shapeId="14347" r:id="rId318" name="Button 3083">
              <controlPr defaultSize="0" autoFill="0" autoLine="0" autoPict="0" macro="[0]!Sheet1.deleteRow">
                <anchor moveWithCells="1" sizeWithCells="1">
                  <from>
                    <xdr:col>6</xdr:col>
                    <xdr:colOff>0</xdr:colOff>
                    <xdr:row>583</xdr:row>
                    <xdr:rowOff>0</xdr:rowOff>
                  </from>
                  <to>
                    <xdr:col>7</xdr:col>
                    <xdr:colOff>0</xdr:colOff>
                    <xdr:row>583</xdr:row>
                    <xdr:rowOff>165100</xdr:rowOff>
                  </to>
                </anchor>
              </controlPr>
            </control>
          </mc:Choice>
        </mc:AlternateContent>
        <mc:AlternateContent xmlns:mc="http://schemas.openxmlformats.org/markup-compatibility/2006">
          <mc:Choice Requires="x14">
            <control shapeId="14346" r:id="rId319" name="Button 3082">
              <controlPr defaultSize="0" autoFill="0" autoLine="0" autoPict="0" macro="[0]!Sheet1.deleteRow">
                <anchor moveWithCells="1" sizeWithCells="1">
                  <from>
                    <xdr:col>6</xdr:col>
                    <xdr:colOff>0</xdr:colOff>
                    <xdr:row>584</xdr:row>
                    <xdr:rowOff>0</xdr:rowOff>
                  </from>
                  <to>
                    <xdr:col>7</xdr:col>
                    <xdr:colOff>0</xdr:colOff>
                    <xdr:row>584</xdr:row>
                    <xdr:rowOff>165100</xdr:rowOff>
                  </to>
                </anchor>
              </controlPr>
            </control>
          </mc:Choice>
        </mc:AlternateContent>
        <mc:AlternateContent xmlns:mc="http://schemas.openxmlformats.org/markup-compatibility/2006">
          <mc:Choice Requires="x14">
            <control shapeId="14345" r:id="rId320" name="Button 3081">
              <controlPr defaultSize="0" autoFill="0" autoLine="0" autoPict="0" macro="[0]!Sheet1.deleteRow">
                <anchor moveWithCells="1" sizeWithCells="1">
                  <from>
                    <xdr:col>6</xdr:col>
                    <xdr:colOff>0</xdr:colOff>
                    <xdr:row>585</xdr:row>
                    <xdr:rowOff>0</xdr:rowOff>
                  </from>
                  <to>
                    <xdr:col>7</xdr:col>
                    <xdr:colOff>0</xdr:colOff>
                    <xdr:row>585</xdr:row>
                    <xdr:rowOff>165100</xdr:rowOff>
                  </to>
                </anchor>
              </controlPr>
            </control>
          </mc:Choice>
        </mc:AlternateContent>
        <mc:AlternateContent xmlns:mc="http://schemas.openxmlformats.org/markup-compatibility/2006">
          <mc:Choice Requires="x14">
            <control shapeId="14344" r:id="rId321" name="Button 3080">
              <controlPr defaultSize="0" autoFill="0" autoLine="0" autoPict="0" macro="[0]!Sheet1.deleteRow">
                <anchor moveWithCells="1" sizeWithCells="1">
                  <from>
                    <xdr:col>6</xdr:col>
                    <xdr:colOff>0</xdr:colOff>
                    <xdr:row>586</xdr:row>
                    <xdr:rowOff>0</xdr:rowOff>
                  </from>
                  <to>
                    <xdr:col>7</xdr:col>
                    <xdr:colOff>0</xdr:colOff>
                    <xdr:row>586</xdr:row>
                    <xdr:rowOff>165100</xdr:rowOff>
                  </to>
                </anchor>
              </controlPr>
            </control>
          </mc:Choice>
        </mc:AlternateContent>
        <mc:AlternateContent xmlns:mc="http://schemas.openxmlformats.org/markup-compatibility/2006">
          <mc:Choice Requires="x14">
            <control shapeId="14343" r:id="rId322" name="Button 3079">
              <controlPr defaultSize="0" autoFill="0" autoLine="0" autoPict="0" macro="[0]!Sheet1.deleteRow">
                <anchor moveWithCells="1" sizeWithCells="1">
                  <from>
                    <xdr:col>6</xdr:col>
                    <xdr:colOff>0</xdr:colOff>
                    <xdr:row>587</xdr:row>
                    <xdr:rowOff>0</xdr:rowOff>
                  </from>
                  <to>
                    <xdr:col>7</xdr:col>
                    <xdr:colOff>0</xdr:colOff>
                    <xdr:row>587</xdr:row>
                    <xdr:rowOff>165100</xdr:rowOff>
                  </to>
                </anchor>
              </controlPr>
            </control>
          </mc:Choice>
        </mc:AlternateContent>
        <mc:AlternateContent xmlns:mc="http://schemas.openxmlformats.org/markup-compatibility/2006">
          <mc:Choice Requires="x14">
            <control shapeId="14342" r:id="rId323" name="Button 3078">
              <controlPr defaultSize="0" autoFill="0" autoLine="0" autoPict="0" macro="[0]!Sheet1.deleteProcedure">
                <anchor moveWithCells="1" sizeWithCells="1">
                  <from>
                    <xdr:col>6</xdr:col>
                    <xdr:colOff>0</xdr:colOff>
                    <xdr:row>590</xdr:row>
                    <xdr:rowOff>0</xdr:rowOff>
                  </from>
                  <to>
                    <xdr:col>7</xdr:col>
                    <xdr:colOff>0</xdr:colOff>
                    <xdr:row>591</xdr:row>
                    <xdr:rowOff>0</xdr:rowOff>
                  </to>
                </anchor>
              </controlPr>
            </control>
          </mc:Choice>
        </mc:AlternateContent>
        <mc:AlternateContent xmlns:mc="http://schemas.openxmlformats.org/markup-compatibility/2006">
          <mc:Choice Requires="x14">
            <control shapeId="14341" r:id="rId324" name="Button 3077">
              <controlPr defaultSize="0" autoFill="0" autoLine="0" autoPict="0" macro="[0]!Sheet1.InsertNewTableRow">
                <anchor moveWithCells="1" sizeWithCells="1">
                  <from>
                    <xdr:col>6</xdr:col>
                    <xdr:colOff>0</xdr:colOff>
                    <xdr:row>597</xdr:row>
                    <xdr:rowOff>0</xdr:rowOff>
                  </from>
                  <to>
                    <xdr:col>7</xdr:col>
                    <xdr:colOff>0</xdr:colOff>
                    <xdr:row>597</xdr:row>
                    <xdr:rowOff>171450</xdr:rowOff>
                  </to>
                </anchor>
              </controlPr>
            </control>
          </mc:Choice>
        </mc:AlternateContent>
        <mc:AlternateContent xmlns:mc="http://schemas.openxmlformats.org/markup-compatibility/2006">
          <mc:Choice Requires="x14">
            <control shapeId="14340" r:id="rId325" name="Button 3076">
              <controlPr defaultSize="0" autoFill="0" autoLine="0" autoPict="0" macro="[0]!Sheet1.deleteRow">
                <anchor moveWithCells="1" sizeWithCells="1">
                  <from>
                    <xdr:col>6</xdr:col>
                    <xdr:colOff>0</xdr:colOff>
                    <xdr:row>598</xdr:row>
                    <xdr:rowOff>0</xdr:rowOff>
                  </from>
                  <to>
                    <xdr:col>7</xdr:col>
                    <xdr:colOff>0</xdr:colOff>
                    <xdr:row>598</xdr:row>
                    <xdr:rowOff>165100</xdr:rowOff>
                  </to>
                </anchor>
              </controlPr>
            </control>
          </mc:Choice>
        </mc:AlternateContent>
        <mc:AlternateContent xmlns:mc="http://schemas.openxmlformats.org/markup-compatibility/2006">
          <mc:Choice Requires="x14">
            <control shapeId="14339" r:id="rId326" name="Button 3075">
              <controlPr defaultSize="0" autoFill="0" autoLine="0" autoPict="0" macro="[0]!Sheet1.deleteRow">
                <anchor moveWithCells="1" sizeWithCells="1">
                  <from>
                    <xdr:col>6</xdr:col>
                    <xdr:colOff>0</xdr:colOff>
                    <xdr:row>599</xdr:row>
                    <xdr:rowOff>0</xdr:rowOff>
                  </from>
                  <to>
                    <xdr:col>7</xdr:col>
                    <xdr:colOff>0</xdr:colOff>
                    <xdr:row>599</xdr:row>
                    <xdr:rowOff>165100</xdr:rowOff>
                  </to>
                </anchor>
              </controlPr>
            </control>
          </mc:Choice>
        </mc:AlternateContent>
        <mc:AlternateContent xmlns:mc="http://schemas.openxmlformats.org/markup-compatibility/2006">
          <mc:Choice Requires="x14">
            <control shapeId="14338" r:id="rId327" name="Button 3074">
              <controlPr defaultSize="0" autoFill="0" autoLine="0" autoPict="0" macro="[0]!Sheet1.deleteRow">
                <anchor moveWithCells="1" sizeWithCells="1">
                  <from>
                    <xdr:col>6</xdr:col>
                    <xdr:colOff>0</xdr:colOff>
                    <xdr:row>600</xdr:row>
                    <xdr:rowOff>0</xdr:rowOff>
                  </from>
                  <to>
                    <xdr:col>7</xdr:col>
                    <xdr:colOff>0</xdr:colOff>
                    <xdr:row>600</xdr:row>
                    <xdr:rowOff>165100</xdr:rowOff>
                  </to>
                </anchor>
              </controlPr>
            </control>
          </mc:Choice>
        </mc:AlternateContent>
        <mc:AlternateContent xmlns:mc="http://schemas.openxmlformats.org/markup-compatibility/2006">
          <mc:Choice Requires="x14">
            <control shapeId="14337" r:id="rId328" name="Button 3073">
              <controlPr defaultSize="0" autoFill="0" autoLine="0" autoPict="0" macro="[0]!Sheet1.deleteRow">
                <anchor moveWithCells="1" sizeWithCells="1">
                  <from>
                    <xdr:col>6</xdr:col>
                    <xdr:colOff>0</xdr:colOff>
                    <xdr:row>601</xdr:row>
                    <xdr:rowOff>0</xdr:rowOff>
                  </from>
                  <to>
                    <xdr:col>7</xdr:col>
                    <xdr:colOff>0</xdr:colOff>
                    <xdr:row>601</xdr:row>
                    <xdr:rowOff>165100</xdr:rowOff>
                  </to>
                </anchor>
              </controlPr>
            </control>
          </mc:Choice>
        </mc:AlternateContent>
        <mc:AlternateContent xmlns:mc="http://schemas.openxmlformats.org/markup-compatibility/2006">
          <mc:Choice Requires="x14">
            <control shapeId="14336" r:id="rId329" name="Button 3072">
              <controlPr defaultSize="0" autoFill="0" autoLine="0" autoPict="0" macro="[0]!Sheet1.deleteRow">
                <anchor moveWithCells="1" sizeWithCells="1">
                  <from>
                    <xdr:col>6</xdr:col>
                    <xdr:colOff>0</xdr:colOff>
                    <xdr:row>602</xdr:row>
                    <xdr:rowOff>0</xdr:rowOff>
                  </from>
                  <to>
                    <xdr:col>7</xdr:col>
                    <xdr:colOff>0</xdr:colOff>
                    <xdr:row>602</xdr:row>
                    <xdr:rowOff>165100</xdr:rowOff>
                  </to>
                </anchor>
              </controlPr>
            </control>
          </mc:Choice>
        </mc:AlternateContent>
        <mc:AlternateContent xmlns:mc="http://schemas.openxmlformats.org/markup-compatibility/2006">
          <mc:Choice Requires="x14">
            <control shapeId="14335" r:id="rId330" name="Button 3071">
              <controlPr defaultSize="0" autoFill="0" autoLine="0" autoPict="0" macro="[0]!Sheet1.deleteRow">
                <anchor moveWithCells="1" sizeWithCells="1">
                  <from>
                    <xdr:col>6</xdr:col>
                    <xdr:colOff>0</xdr:colOff>
                    <xdr:row>603</xdr:row>
                    <xdr:rowOff>0</xdr:rowOff>
                  </from>
                  <to>
                    <xdr:col>7</xdr:col>
                    <xdr:colOff>0</xdr:colOff>
                    <xdr:row>603</xdr:row>
                    <xdr:rowOff>165100</xdr:rowOff>
                  </to>
                </anchor>
              </controlPr>
            </control>
          </mc:Choice>
        </mc:AlternateContent>
        <mc:AlternateContent xmlns:mc="http://schemas.openxmlformats.org/markup-compatibility/2006">
          <mc:Choice Requires="x14">
            <control shapeId="14334" r:id="rId331" name="Button 3070">
              <controlPr defaultSize="0" autoFill="0" autoLine="0" autoPict="0" macro="[0]!Sheet1.deleteRow">
                <anchor moveWithCells="1" sizeWithCells="1">
                  <from>
                    <xdr:col>6</xdr:col>
                    <xdr:colOff>0</xdr:colOff>
                    <xdr:row>604</xdr:row>
                    <xdr:rowOff>0</xdr:rowOff>
                  </from>
                  <to>
                    <xdr:col>7</xdr:col>
                    <xdr:colOff>0</xdr:colOff>
                    <xdr:row>604</xdr:row>
                    <xdr:rowOff>165100</xdr:rowOff>
                  </to>
                </anchor>
              </controlPr>
            </control>
          </mc:Choice>
        </mc:AlternateContent>
        <mc:AlternateContent xmlns:mc="http://schemas.openxmlformats.org/markup-compatibility/2006">
          <mc:Choice Requires="x14">
            <control shapeId="14333" r:id="rId332" name="Button 3069">
              <controlPr defaultSize="0" autoFill="0" autoLine="0" autoPict="0" macro="[0]!Sheet1.deleteRow">
                <anchor moveWithCells="1" sizeWithCells="1">
                  <from>
                    <xdr:col>6</xdr:col>
                    <xdr:colOff>0</xdr:colOff>
                    <xdr:row>605</xdr:row>
                    <xdr:rowOff>0</xdr:rowOff>
                  </from>
                  <to>
                    <xdr:col>7</xdr:col>
                    <xdr:colOff>0</xdr:colOff>
                    <xdr:row>605</xdr:row>
                    <xdr:rowOff>165100</xdr:rowOff>
                  </to>
                </anchor>
              </controlPr>
            </control>
          </mc:Choice>
        </mc:AlternateContent>
        <mc:AlternateContent xmlns:mc="http://schemas.openxmlformats.org/markup-compatibility/2006">
          <mc:Choice Requires="x14">
            <control shapeId="14332" r:id="rId333" name="Button 3068">
              <controlPr defaultSize="0" autoFill="0" autoLine="0" autoPict="0" macro="[0]!Sheet1.deleteRow">
                <anchor moveWithCells="1" sizeWithCells="1">
                  <from>
                    <xdr:col>6</xdr:col>
                    <xdr:colOff>0</xdr:colOff>
                    <xdr:row>606</xdr:row>
                    <xdr:rowOff>0</xdr:rowOff>
                  </from>
                  <to>
                    <xdr:col>7</xdr:col>
                    <xdr:colOff>0</xdr:colOff>
                    <xdr:row>606</xdr:row>
                    <xdr:rowOff>165100</xdr:rowOff>
                  </to>
                </anchor>
              </controlPr>
            </control>
          </mc:Choice>
        </mc:AlternateContent>
        <mc:AlternateContent xmlns:mc="http://schemas.openxmlformats.org/markup-compatibility/2006">
          <mc:Choice Requires="x14">
            <control shapeId="14331" r:id="rId334" name="Button 3067">
              <controlPr defaultSize="0" autoFill="0" autoLine="0" autoPict="0" macro="[0]!Sheet1.deleteRow">
                <anchor moveWithCells="1" sizeWithCells="1">
                  <from>
                    <xdr:col>6</xdr:col>
                    <xdr:colOff>0</xdr:colOff>
                    <xdr:row>607</xdr:row>
                    <xdr:rowOff>0</xdr:rowOff>
                  </from>
                  <to>
                    <xdr:col>7</xdr:col>
                    <xdr:colOff>0</xdr:colOff>
                    <xdr:row>607</xdr:row>
                    <xdr:rowOff>165100</xdr:rowOff>
                  </to>
                </anchor>
              </controlPr>
            </control>
          </mc:Choice>
        </mc:AlternateContent>
        <mc:AlternateContent xmlns:mc="http://schemas.openxmlformats.org/markup-compatibility/2006">
          <mc:Choice Requires="x14">
            <control shapeId="14330" r:id="rId335" name="Button 3066">
              <controlPr defaultSize="0" autoFill="0" autoLine="0" autoPict="0" macro="[0]!Sheet1.deleteRow">
                <anchor moveWithCells="1" sizeWithCells="1">
                  <from>
                    <xdr:col>6</xdr:col>
                    <xdr:colOff>0</xdr:colOff>
                    <xdr:row>608</xdr:row>
                    <xdr:rowOff>0</xdr:rowOff>
                  </from>
                  <to>
                    <xdr:col>7</xdr:col>
                    <xdr:colOff>0</xdr:colOff>
                    <xdr:row>608</xdr:row>
                    <xdr:rowOff>165100</xdr:rowOff>
                  </to>
                </anchor>
              </controlPr>
            </control>
          </mc:Choice>
        </mc:AlternateContent>
        <mc:AlternateContent xmlns:mc="http://schemas.openxmlformats.org/markup-compatibility/2006">
          <mc:Choice Requires="x14">
            <control shapeId="14329" r:id="rId336" name="Button 3065">
              <controlPr defaultSize="0" autoFill="0" autoLine="0" autoPict="0" macro="[0]!Sheet1.deleteRow">
                <anchor moveWithCells="1" sizeWithCells="1">
                  <from>
                    <xdr:col>6</xdr:col>
                    <xdr:colOff>0</xdr:colOff>
                    <xdr:row>609</xdr:row>
                    <xdr:rowOff>0</xdr:rowOff>
                  </from>
                  <to>
                    <xdr:col>7</xdr:col>
                    <xdr:colOff>0</xdr:colOff>
                    <xdr:row>609</xdr:row>
                    <xdr:rowOff>165100</xdr:rowOff>
                  </to>
                </anchor>
              </controlPr>
            </control>
          </mc:Choice>
        </mc:AlternateContent>
        <mc:AlternateContent xmlns:mc="http://schemas.openxmlformats.org/markup-compatibility/2006">
          <mc:Choice Requires="x14">
            <control shapeId="14328" r:id="rId337" name="Button 3064">
              <controlPr defaultSize="0" autoFill="0" autoLine="0" autoPict="0" macro="[0]!Sheet1.deleteRow">
                <anchor moveWithCells="1" sizeWithCells="1">
                  <from>
                    <xdr:col>6</xdr:col>
                    <xdr:colOff>0</xdr:colOff>
                    <xdr:row>610</xdr:row>
                    <xdr:rowOff>0</xdr:rowOff>
                  </from>
                  <to>
                    <xdr:col>7</xdr:col>
                    <xdr:colOff>0</xdr:colOff>
                    <xdr:row>610</xdr:row>
                    <xdr:rowOff>165100</xdr:rowOff>
                  </to>
                </anchor>
              </controlPr>
            </control>
          </mc:Choice>
        </mc:AlternateContent>
        <mc:AlternateContent xmlns:mc="http://schemas.openxmlformats.org/markup-compatibility/2006">
          <mc:Choice Requires="x14">
            <control shapeId="14327" r:id="rId338" name="Button 3063">
              <controlPr defaultSize="0" autoFill="0" autoLine="0" autoPict="0" macro="[0]!Sheet1.deleteRow">
                <anchor moveWithCells="1" sizeWithCells="1">
                  <from>
                    <xdr:col>6</xdr:col>
                    <xdr:colOff>0</xdr:colOff>
                    <xdr:row>611</xdr:row>
                    <xdr:rowOff>0</xdr:rowOff>
                  </from>
                  <to>
                    <xdr:col>7</xdr:col>
                    <xdr:colOff>0</xdr:colOff>
                    <xdr:row>611</xdr:row>
                    <xdr:rowOff>165100</xdr:rowOff>
                  </to>
                </anchor>
              </controlPr>
            </control>
          </mc:Choice>
        </mc:AlternateContent>
        <mc:AlternateContent xmlns:mc="http://schemas.openxmlformats.org/markup-compatibility/2006">
          <mc:Choice Requires="x14">
            <control shapeId="14326" r:id="rId339" name="Button 3062">
              <controlPr defaultSize="0" autoFill="0" autoLine="0" autoPict="0" macro="[0]!Sheet1.deleteProcedure">
                <anchor moveWithCells="1" sizeWithCells="1">
                  <from>
                    <xdr:col>6</xdr:col>
                    <xdr:colOff>0</xdr:colOff>
                    <xdr:row>614</xdr:row>
                    <xdr:rowOff>0</xdr:rowOff>
                  </from>
                  <to>
                    <xdr:col>7</xdr:col>
                    <xdr:colOff>0</xdr:colOff>
                    <xdr:row>615</xdr:row>
                    <xdr:rowOff>0</xdr:rowOff>
                  </to>
                </anchor>
              </controlPr>
            </control>
          </mc:Choice>
        </mc:AlternateContent>
        <mc:AlternateContent xmlns:mc="http://schemas.openxmlformats.org/markup-compatibility/2006">
          <mc:Choice Requires="x14">
            <control shapeId="14325" r:id="rId340" name="Button 3061">
              <controlPr defaultSize="0" autoFill="0" autoLine="0" autoPict="0" macro="[0]!Sheet1.InsertNewTableRow">
                <anchor moveWithCells="1" sizeWithCells="1">
                  <from>
                    <xdr:col>6</xdr:col>
                    <xdr:colOff>0</xdr:colOff>
                    <xdr:row>621</xdr:row>
                    <xdr:rowOff>0</xdr:rowOff>
                  </from>
                  <to>
                    <xdr:col>7</xdr:col>
                    <xdr:colOff>0</xdr:colOff>
                    <xdr:row>621</xdr:row>
                    <xdr:rowOff>171450</xdr:rowOff>
                  </to>
                </anchor>
              </controlPr>
            </control>
          </mc:Choice>
        </mc:AlternateContent>
        <mc:AlternateContent xmlns:mc="http://schemas.openxmlformats.org/markup-compatibility/2006">
          <mc:Choice Requires="x14">
            <control shapeId="14324" r:id="rId341" name="Button 3060">
              <controlPr defaultSize="0" autoFill="0" autoLine="0" autoPict="0" macro="[0]!Sheet1.deleteRow">
                <anchor moveWithCells="1" sizeWithCells="1">
                  <from>
                    <xdr:col>6</xdr:col>
                    <xdr:colOff>0</xdr:colOff>
                    <xdr:row>622</xdr:row>
                    <xdr:rowOff>0</xdr:rowOff>
                  </from>
                  <to>
                    <xdr:col>7</xdr:col>
                    <xdr:colOff>0</xdr:colOff>
                    <xdr:row>622</xdr:row>
                    <xdr:rowOff>165100</xdr:rowOff>
                  </to>
                </anchor>
              </controlPr>
            </control>
          </mc:Choice>
        </mc:AlternateContent>
        <mc:AlternateContent xmlns:mc="http://schemas.openxmlformats.org/markup-compatibility/2006">
          <mc:Choice Requires="x14">
            <control shapeId="14323" r:id="rId342" name="Button 3059">
              <controlPr defaultSize="0" autoFill="0" autoLine="0" autoPict="0" macro="[0]!Sheet1.deleteRow">
                <anchor moveWithCells="1" sizeWithCells="1">
                  <from>
                    <xdr:col>6</xdr:col>
                    <xdr:colOff>0</xdr:colOff>
                    <xdr:row>623</xdr:row>
                    <xdr:rowOff>0</xdr:rowOff>
                  </from>
                  <to>
                    <xdr:col>7</xdr:col>
                    <xdr:colOff>0</xdr:colOff>
                    <xdr:row>623</xdr:row>
                    <xdr:rowOff>165100</xdr:rowOff>
                  </to>
                </anchor>
              </controlPr>
            </control>
          </mc:Choice>
        </mc:AlternateContent>
        <mc:AlternateContent xmlns:mc="http://schemas.openxmlformats.org/markup-compatibility/2006">
          <mc:Choice Requires="x14">
            <control shapeId="14322" r:id="rId343" name="Button 3058">
              <controlPr defaultSize="0" autoFill="0" autoLine="0" autoPict="0" macro="[0]!Sheet1.deleteRow">
                <anchor moveWithCells="1" sizeWithCells="1">
                  <from>
                    <xdr:col>6</xdr:col>
                    <xdr:colOff>0</xdr:colOff>
                    <xdr:row>624</xdr:row>
                    <xdr:rowOff>0</xdr:rowOff>
                  </from>
                  <to>
                    <xdr:col>7</xdr:col>
                    <xdr:colOff>0</xdr:colOff>
                    <xdr:row>624</xdr:row>
                    <xdr:rowOff>165100</xdr:rowOff>
                  </to>
                </anchor>
              </controlPr>
            </control>
          </mc:Choice>
        </mc:AlternateContent>
        <mc:AlternateContent xmlns:mc="http://schemas.openxmlformats.org/markup-compatibility/2006">
          <mc:Choice Requires="x14">
            <control shapeId="14321" r:id="rId344" name="Button 3057">
              <controlPr defaultSize="0" autoFill="0" autoLine="0" autoPict="0" macro="[0]!Sheet1.deleteRow">
                <anchor moveWithCells="1" sizeWithCells="1">
                  <from>
                    <xdr:col>6</xdr:col>
                    <xdr:colOff>0</xdr:colOff>
                    <xdr:row>625</xdr:row>
                    <xdr:rowOff>0</xdr:rowOff>
                  </from>
                  <to>
                    <xdr:col>7</xdr:col>
                    <xdr:colOff>0</xdr:colOff>
                    <xdr:row>625</xdr:row>
                    <xdr:rowOff>165100</xdr:rowOff>
                  </to>
                </anchor>
              </controlPr>
            </control>
          </mc:Choice>
        </mc:AlternateContent>
        <mc:AlternateContent xmlns:mc="http://schemas.openxmlformats.org/markup-compatibility/2006">
          <mc:Choice Requires="x14">
            <control shapeId="14320" r:id="rId345" name="Button 3056">
              <controlPr defaultSize="0" autoFill="0" autoLine="0" autoPict="0" macro="[0]!Sheet1.deleteRow">
                <anchor moveWithCells="1" sizeWithCells="1">
                  <from>
                    <xdr:col>6</xdr:col>
                    <xdr:colOff>0</xdr:colOff>
                    <xdr:row>626</xdr:row>
                    <xdr:rowOff>0</xdr:rowOff>
                  </from>
                  <to>
                    <xdr:col>7</xdr:col>
                    <xdr:colOff>0</xdr:colOff>
                    <xdr:row>626</xdr:row>
                    <xdr:rowOff>165100</xdr:rowOff>
                  </to>
                </anchor>
              </controlPr>
            </control>
          </mc:Choice>
        </mc:AlternateContent>
        <mc:AlternateContent xmlns:mc="http://schemas.openxmlformats.org/markup-compatibility/2006">
          <mc:Choice Requires="x14">
            <control shapeId="14319" r:id="rId346" name="Button 3055">
              <controlPr defaultSize="0" autoFill="0" autoLine="0" autoPict="0" macro="[0]!Sheet1.deleteRow">
                <anchor moveWithCells="1" sizeWithCells="1">
                  <from>
                    <xdr:col>6</xdr:col>
                    <xdr:colOff>0</xdr:colOff>
                    <xdr:row>627</xdr:row>
                    <xdr:rowOff>0</xdr:rowOff>
                  </from>
                  <to>
                    <xdr:col>7</xdr:col>
                    <xdr:colOff>0</xdr:colOff>
                    <xdr:row>627</xdr:row>
                    <xdr:rowOff>165100</xdr:rowOff>
                  </to>
                </anchor>
              </controlPr>
            </control>
          </mc:Choice>
        </mc:AlternateContent>
        <mc:AlternateContent xmlns:mc="http://schemas.openxmlformats.org/markup-compatibility/2006">
          <mc:Choice Requires="x14">
            <control shapeId="14318" r:id="rId347" name="Button 3054">
              <controlPr defaultSize="0" autoFill="0" autoLine="0" autoPict="0" macro="[0]!Sheet1.deleteRow">
                <anchor moveWithCells="1" sizeWithCells="1">
                  <from>
                    <xdr:col>6</xdr:col>
                    <xdr:colOff>0</xdr:colOff>
                    <xdr:row>628</xdr:row>
                    <xdr:rowOff>0</xdr:rowOff>
                  </from>
                  <to>
                    <xdr:col>7</xdr:col>
                    <xdr:colOff>0</xdr:colOff>
                    <xdr:row>628</xdr:row>
                    <xdr:rowOff>165100</xdr:rowOff>
                  </to>
                </anchor>
              </controlPr>
            </control>
          </mc:Choice>
        </mc:AlternateContent>
        <mc:AlternateContent xmlns:mc="http://schemas.openxmlformats.org/markup-compatibility/2006">
          <mc:Choice Requires="x14">
            <control shapeId="14317" r:id="rId348" name="Button 3053">
              <controlPr defaultSize="0" autoFill="0" autoLine="0" autoPict="0" macro="[0]!Sheet1.deleteRow">
                <anchor moveWithCells="1" sizeWithCells="1">
                  <from>
                    <xdr:col>6</xdr:col>
                    <xdr:colOff>0</xdr:colOff>
                    <xdr:row>629</xdr:row>
                    <xdr:rowOff>0</xdr:rowOff>
                  </from>
                  <to>
                    <xdr:col>7</xdr:col>
                    <xdr:colOff>0</xdr:colOff>
                    <xdr:row>629</xdr:row>
                    <xdr:rowOff>165100</xdr:rowOff>
                  </to>
                </anchor>
              </controlPr>
            </control>
          </mc:Choice>
        </mc:AlternateContent>
        <mc:AlternateContent xmlns:mc="http://schemas.openxmlformats.org/markup-compatibility/2006">
          <mc:Choice Requires="x14">
            <control shapeId="14316" r:id="rId349" name="Button 3052">
              <controlPr defaultSize="0" autoFill="0" autoLine="0" autoPict="0" macro="[0]!Sheet1.deleteRow">
                <anchor moveWithCells="1" sizeWithCells="1">
                  <from>
                    <xdr:col>6</xdr:col>
                    <xdr:colOff>0</xdr:colOff>
                    <xdr:row>630</xdr:row>
                    <xdr:rowOff>0</xdr:rowOff>
                  </from>
                  <to>
                    <xdr:col>7</xdr:col>
                    <xdr:colOff>0</xdr:colOff>
                    <xdr:row>630</xdr:row>
                    <xdr:rowOff>165100</xdr:rowOff>
                  </to>
                </anchor>
              </controlPr>
            </control>
          </mc:Choice>
        </mc:AlternateContent>
        <mc:AlternateContent xmlns:mc="http://schemas.openxmlformats.org/markup-compatibility/2006">
          <mc:Choice Requires="x14">
            <control shapeId="14315" r:id="rId350" name="Button 3051">
              <controlPr defaultSize="0" autoFill="0" autoLine="0" autoPict="0" macro="[0]!Sheet1.deleteRow">
                <anchor moveWithCells="1" sizeWithCells="1">
                  <from>
                    <xdr:col>6</xdr:col>
                    <xdr:colOff>0</xdr:colOff>
                    <xdr:row>631</xdr:row>
                    <xdr:rowOff>0</xdr:rowOff>
                  </from>
                  <to>
                    <xdr:col>7</xdr:col>
                    <xdr:colOff>0</xdr:colOff>
                    <xdr:row>631</xdr:row>
                    <xdr:rowOff>165100</xdr:rowOff>
                  </to>
                </anchor>
              </controlPr>
            </control>
          </mc:Choice>
        </mc:AlternateContent>
        <mc:AlternateContent xmlns:mc="http://schemas.openxmlformats.org/markup-compatibility/2006">
          <mc:Choice Requires="x14">
            <control shapeId="14314" r:id="rId351" name="Button 3050">
              <controlPr defaultSize="0" autoFill="0" autoLine="0" autoPict="0" macro="[0]!Sheet1.deleteRow">
                <anchor moveWithCells="1" sizeWithCells="1">
                  <from>
                    <xdr:col>6</xdr:col>
                    <xdr:colOff>0</xdr:colOff>
                    <xdr:row>632</xdr:row>
                    <xdr:rowOff>0</xdr:rowOff>
                  </from>
                  <to>
                    <xdr:col>7</xdr:col>
                    <xdr:colOff>0</xdr:colOff>
                    <xdr:row>632</xdr:row>
                    <xdr:rowOff>165100</xdr:rowOff>
                  </to>
                </anchor>
              </controlPr>
            </control>
          </mc:Choice>
        </mc:AlternateContent>
        <mc:AlternateContent xmlns:mc="http://schemas.openxmlformats.org/markup-compatibility/2006">
          <mc:Choice Requires="x14">
            <control shapeId="14313" r:id="rId352" name="Button 3049">
              <controlPr defaultSize="0" autoFill="0" autoLine="0" autoPict="0" macro="[0]!Sheet1.deleteRow">
                <anchor moveWithCells="1" sizeWithCells="1">
                  <from>
                    <xdr:col>6</xdr:col>
                    <xdr:colOff>0</xdr:colOff>
                    <xdr:row>633</xdr:row>
                    <xdr:rowOff>0</xdr:rowOff>
                  </from>
                  <to>
                    <xdr:col>7</xdr:col>
                    <xdr:colOff>0</xdr:colOff>
                    <xdr:row>633</xdr:row>
                    <xdr:rowOff>165100</xdr:rowOff>
                  </to>
                </anchor>
              </controlPr>
            </control>
          </mc:Choice>
        </mc:AlternateContent>
        <mc:AlternateContent xmlns:mc="http://schemas.openxmlformats.org/markup-compatibility/2006">
          <mc:Choice Requires="x14">
            <control shapeId="14312" r:id="rId353" name="Button 3048">
              <controlPr defaultSize="0" autoFill="0" autoLine="0" autoPict="0" macro="[0]!Sheet1.deleteProcedure">
                <anchor moveWithCells="1" sizeWithCells="1">
                  <from>
                    <xdr:col>6</xdr:col>
                    <xdr:colOff>0</xdr:colOff>
                    <xdr:row>636</xdr:row>
                    <xdr:rowOff>0</xdr:rowOff>
                  </from>
                  <to>
                    <xdr:col>7</xdr:col>
                    <xdr:colOff>0</xdr:colOff>
                    <xdr:row>637</xdr:row>
                    <xdr:rowOff>0</xdr:rowOff>
                  </to>
                </anchor>
              </controlPr>
            </control>
          </mc:Choice>
        </mc:AlternateContent>
        <mc:AlternateContent xmlns:mc="http://schemas.openxmlformats.org/markup-compatibility/2006">
          <mc:Choice Requires="x14">
            <control shapeId="14311" r:id="rId354" name="Button 3047">
              <controlPr defaultSize="0" autoFill="0" autoLine="0" autoPict="0" macro="[0]!Sheet1.InsertNewTableRow">
                <anchor moveWithCells="1" sizeWithCells="1">
                  <from>
                    <xdr:col>6</xdr:col>
                    <xdr:colOff>0</xdr:colOff>
                    <xdr:row>643</xdr:row>
                    <xdr:rowOff>0</xdr:rowOff>
                  </from>
                  <to>
                    <xdr:col>7</xdr:col>
                    <xdr:colOff>0</xdr:colOff>
                    <xdr:row>643</xdr:row>
                    <xdr:rowOff>171450</xdr:rowOff>
                  </to>
                </anchor>
              </controlPr>
            </control>
          </mc:Choice>
        </mc:AlternateContent>
        <mc:AlternateContent xmlns:mc="http://schemas.openxmlformats.org/markup-compatibility/2006">
          <mc:Choice Requires="x14">
            <control shapeId="14310" r:id="rId355" name="Button 3046">
              <controlPr defaultSize="0" autoFill="0" autoLine="0" autoPict="0" macro="[0]!Sheet1.deleteRow">
                <anchor moveWithCells="1" sizeWithCells="1">
                  <from>
                    <xdr:col>6</xdr:col>
                    <xdr:colOff>0</xdr:colOff>
                    <xdr:row>644</xdr:row>
                    <xdr:rowOff>0</xdr:rowOff>
                  </from>
                  <to>
                    <xdr:col>7</xdr:col>
                    <xdr:colOff>0</xdr:colOff>
                    <xdr:row>644</xdr:row>
                    <xdr:rowOff>165100</xdr:rowOff>
                  </to>
                </anchor>
              </controlPr>
            </control>
          </mc:Choice>
        </mc:AlternateContent>
        <mc:AlternateContent xmlns:mc="http://schemas.openxmlformats.org/markup-compatibility/2006">
          <mc:Choice Requires="x14">
            <control shapeId="14309" r:id="rId356" name="Button 3045">
              <controlPr defaultSize="0" autoFill="0" autoLine="0" autoPict="0" macro="[0]!Sheet1.deleteRow">
                <anchor moveWithCells="1" sizeWithCells="1">
                  <from>
                    <xdr:col>6</xdr:col>
                    <xdr:colOff>0</xdr:colOff>
                    <xdr:row>645</xdr:row>
                    <xdr:rowOff>0</xdr:rowOff>
                  </from>
                  <to>
                    <xdr:col>7</xdr:col>
                    <xdr:colOff>0</xdr:colOff>
                    <xdr:row>645</xdr:row>
                    <xdr:rowOff>165100</xdr:rowOff>
                  </to>
                </anchor>
              </controlPr>
            </control>
          </mc:Choice>
        </mc:AlternateContent>
        <mc:AlternateContent xmlns:mc="http://schemas.openxmlformats.org/markup-compatibility/2006">
          <mc:Choice Requires="x14">
            <control shapeId="14308" r:id="rId357" name="Button 3044">
              <controlPr defaultSize="0" autoFill="0" autoLine="0" autoPict="0" macro="[0]!Sheet1.deleteRow">
                <anchor moveWithCells="1" sizeWithCells="1">
                  <from>
                    <xdr:col>6</xdr:col>
                    <xdr:colOff>0</xdr:colOff>
                    <xdr:row>646</xdr:row>
                    <xdr:rowOff>0</xdr:rowOff>
                  </from>
                  <to>
                    <xdr:col>7</xdr:col>
                    <xdr:colOff>0</xdr:colOff>
                    <xdr:row>646</xdr:row>
                    <xdr:rowOff>165100</xdr:rowOff>
                  </to>
                </anchor>
              </controlPr>
            </control>
          </mc:Choice>
        </mc:AlternateContent>
        <mc:AlternateContent xmlns:mc="http://schemas.openxmlformats.org/markup-compatibility/2006">
          <mc:Choice Requires="x14">
            <control shapeId="14307" r:id="rId358" name="Button 3043">
              <controlPr defaultSize="0" autoFill="0" autoLine="0" autoPict="0" macro="[0]!Sheet1.deleteRow">
                <anchor moveWithCells="1" sizeWithCells="1">
                  <from>
                    <xdr:col>6</xdr:col>
                    <xdr:colOff>0</xdr:colOff>
                    <xdr:row>647</xdr:row>
                    <xdr:rowOff>0</xdr:rowOff>
                  </from>
                  <to>
                    <xdr:col>7</xdr:col>
                    <xdr:colOff>0</xdr:colOff>
                    <xdr:row>647</xdr:row>
                    <xdr:rowOff>165100</xdr:rowOff>
                  </to>
                </anchor>
              </controlPr>
            </control>
          </mc:Choice>
        </mc:AlternateContent>
        <mc:AlternateContent xmlns:mc="http://schemas.openxmlformats.org/markup-compatibility/2006">
          <mc:Choice Requires="x14">
            <control shapeId="14306" r:id="rId359" name="Button 3042">
              <controlPr defaultSize="0" autoFill="0" autoLine="0" autoPict="0" macro="[0]!Sheet1.deleteRow">
                <anchor moveWithCells="1" sizeWithCells="1">
                  <from>
                    <xdr:col>6</xdr:col>
                    <xdr:colOff>0</xdr:colOff>
                    <xdr:row>648</xdr:row>
                    <xdr:rowOff>0</xdr:rowOff>
                  </from>
                  <to>
                    <xdr:col>7</xdr:col>
                    <xdr:colOff>0</xdr:colOff>
                    <xdr:row>648</xdr:row>
                    <xdr:rowOff>165100</xdr:rowOff>
                  </to>
                </anchor>
              </controlPr>
            </control>
          </mc:Choice>
        </mc:AlternateContent>
        <mc:AlternateContent xmlns:mc="http://schemas.openxmlformats.org/markup-compatibility/2006">
          <mc:Choice Requires="x14">
            <control shapeId="14305" r:id="rId360" name="Button 3041">
              <controlPr defaultSize="0" autoFill="0" autoLine="0" autoPict="0" macro="[0]!Sheet1.deleteRow">
                <anchor moveWithCells="1" sizeWithCells="1">
                  <from>
                    <xdr:col>6</xdr:col>
                    <xdr:colOff>0</xdr:colOff>
                    <xdr:row>649</xdr:row>
                    <xdr:rowOff>0</xdr:rowOff>
                  </from>
                  <to>
                    <xdr:col>7</xdr:col>
                    <xdr:colOff>0</xdr:colOff>
                    <xdr:row>649</xdr:row>
                    <xdr:rowOff>165100</xdr:rowOff>
                  </to>
                </anchor>
              </controlPr>
            </control>
          </mc:Choice>
        </mc:AlternateContent>
        <mc:AlternateContent xmlns:mc="http://schemas.openxmlformats.org/markup-compatibility/2006">
          <mc:Choice Requires="x14">
            <control shapeId="14304" r:id="rId361" name="Button 3040">
              <controlPr defaultSize="0" autoFill="0" autoLine="0" autoPict="0" macro="[0]!Sheet1.deleteRow">
                <anchor moveWithCells="1" sizeWithCells="1">
                  <from>
                    <xdr:col>6</xdr:col>
                    <xdr:colOff>0</xdr:colOff>
                    <xdr:row>650</xdr:row>
                    <xdr:rowOff>0</xdr:rowOff>
                  </from>
                  <to>
                    <xdr:col>7</xdr:col>
                    <xdr:colOff>0</xdr:colOff>
                    <xdr:row>650</xdr:row>
                    <xdr:rowOff>165100</xdr:rowOff>
                  </to>
                </anchor>
              </controlPr>
            </control>
          </mc:Choice>
        </mc:AlternateContent>
        <mc:AlternateContent xmlns:mc="http://schemas.openxmlformats.org/markup-compatibility/2006">
          <mc:Choice Requires="x14">
            <control shapeId="14303" r:id="rId362" name="Button 3039">
              <controlPr defaultSize="0" autoFill="0" autoLine="0" autoPict="0" macro="[0]!Sheet1.deleteRow">
                <anchor moveWithCells="1" sizeWithCells="1">
                  <from>
                    <xdr:col>6</xdr:col>
                    <xdr:colOff>0</xdr:colOff>
                    <xdr:row>651</xdr:row>
                    <xdr:rowOff>0</xdr:rowOff>
                  </from>
                  <to>
                    <xdr:col>7</xdr:col>
                    <xdr:colOff>0</xdr:colOff>
                    <xdr:row>651</xdr:row>
                    <xdr:rowOff>165100</xdr:rowOff>
                  </to>
                </anchor>
              </controlPr>
            </control>
          </mc:Choice>
        </mc:AlternateContent>
        <mc:AlternateContent xmlns:mc="http://schemas.openxmlformats.org/markup-compatibility/2006">
          <mc:Choice Requires="x14">
            <control shapeId="14302" r:id="rId363" name="Button 3038">
              <controlPr defaultSize="0" autoFill="0" autoLine="0" autoPict="0" macro="[0]!Sheet1.deleteProcedure">
                <anchor moveWithCells="1" sizeWithCells="1">
                  <from>
                    <xdr:col>6</xdr:col>
                    <xdr:colOff>0</xdr:colOff>
                    <xdr:row>654</xdr:row>
                    <xdr:rowOff>0</xdr:rowOff>
                  </from>
                  <to>
                    <xdr:col>7</xdr:col>
                    <xdr:colOff>0</xdr:colOff>
                    <xdr:row>655</xdr:row>
                    <xdr:rowOff>0</xdr:rowOff>
                  </to>
                </anchor>
              </controlPr>
            </control>
          </mc:Choice>
        </mc:AlternateContent>
        <mc:AlternateContent xmlns:mc="http://schemas.openxmlformats.org/markup-compatibility/2006">
          <mc:Choice Requires="x14">
            <control shapeId="14301" r:id="rId364" name="Button 3037">
              <controlPr defaultSize="0" autoFill="0" autoLine="0" autoPict="0" macro="[0]!Sheet1.InsertNewTableRow">
                <anchor moveWithCells="1" sizeWithCells="1">
                  <from>
                    <xdr:col>6</xdr:col>
                    <xdr:colOff>0</xdr:colOff>
                    <xdr:row>661</xdr:row>
                    <xdr:rowOff>0</xdr:rowOff>
                  </from>
                  <to>
                    <xdr:col>7</xdr:col>
                    <xdr:colOff>0</xdr:colOff>
                    <xdr:row>661</xdr:row>
                    <xdr:rowOff>171450</xdr:rowOff>
                  </to>
                </anchor>
              </controlPr>
            </control>
          </mc:Choice>
        </mc:AlternateContent>
        <mc:AlternateContent xmlns:mc="http://schemas.openxmlformats.org/markup-compatibility/2006">
          <mc:Choice Requires="x14">
            <control shapeId="14300" r:id="rId365" name="Button 3036">
              <controlPr defaultSize="0" autoFill="0" autoLine="0" autoPict="0" macro="[0]!Sheet1.deleteRow">
                <anchor moveWithCells="1" sizeWithCells="1">
                  <from>
                    <xdr:col>6</xdr:col>
                    <xdr:colOff>0</xdr:colOff>
                    <xdr:row>662</xdr:row>
                    <xdr:rowOff>0</xdr:rowOff>
                  </from>
                  <to>
                    <xdr:col>7</xdr:col>
                    <xdr:colOff>0</xdr:colOff>
                    <xdr:row>662</xdr:row>
                    <xdr:rowOff>165100</xdr:rowOff>
                  </to>
                </anchor>
              </controlPr>
            </control>
          </mc:Choice>
        </mc:AlternateContent>
        <mc:AlternateContent xmlns:mc="http://schemas.openxmlformats.org/markup-compatibility/2006">
          <mc:Choice Requires="x14">
            <control shapeId="14299" r:id="rId366" name="Button 3035">
              <controlPr defaultSize="0" autoFill="0" autoLine="0" autoPict="0" macro="[0]!Sheet1.deleteProcedure">
                <anchor moveWithCells="1" sizeWithCells="1">
                  <from>
                    <xdr:col>6</xdr:col>
                    <xdr:colOff>0</xdr:colOff>
                    <xdr:row>665</xdr:row>
                    <xdr:rowOff>0</xdr:rowOff>
                  </from>
                  <to>
                    <xdr:col>7</xdr:col>
                    <xdr:colOff>0</xdr:colOff>
                    <xdr:row>666</xdr:row>
                    <xdr:rowOff>0</xdr:rowOff>
                  </to>
                </anchor>
              </controlPr>
            </control>
          </mc:Choice>
        </mc:AlternateContent>
        <mc:AlternateContent xmlns:mc="http://schemas.openxmlformats.org/markup-compatibility/2006">
          <mc:Choice Requires="x14">
            <control shapeId="14298" r:id="rId367" name="Button 3034">
              <controlPr defaultSize="0" autoFill="0" autoLine="0" autoPict="0" macro="[0]!Sheet1.InsertNewTableRow">
                <anchor moveWithCells="1" sizeWithCells="1">
                  <from>
                    <xdr:col>6</xdr:col>
                    <xdr:colOff>0</xdr:colOff>
                    <xdr:row>672</xdr:row>
                    <xdr:rowOff>0</xdr:rowOff>
                  </from>
                  <to>
                    <xdr:col>7</xdr:col>
                    <xdr:colOff>0</xdr:colOff>
                    <xdr:row>672</xdr:row>
                    <xdr:rowOff>171450</xdr:rowOff>
                  </to>
                </anchor>
              </controlPr>
            </control>
          </mc:Choice>
        </mc:AlternateContent>
        <mc:AlternateContent xmlns:mc="http://schemas.openxmlformats.org/markup-compatibility/2006">
          <mc:Choice Requires="x14">
            <control shapeId="14297" r:id="rId368" name="Button 3033">
              <controlPr defaultSize="0" autoFill="0" autoLine="0" autoPict="0" macro="[0]!Sheet1.deleteRow">
                <anchor moveWithCells="1" sizeWithCells="1">
                  <from>
                    <xdr:col>6</xdr:col>
                    <xdr:colOff>0</xdr:colOff>
                    <xdr:row>673</xdr:row>
                    <xdr:rowOff>0</xdr:rowOff>
                  </from>
                  <to>
                    <xdr:col>7</xdr:col>
                    <xdr:colOff>0</xdr:colOff>
                    <xdr:row>673</xdr:row>
                    <xdr:rowOff>165100</xdr:rowOff>
                  </to>
                </anchor>
              </controlPr>
            </control>
          </mc:Choice>
        </mc:AlternateContent>
        <mc:AlternateContent xmlns:mc="http://schemas.openxmlformats.org/markup-compatibility/2006">
          <mc:Choice Requires="x14">
            <control shapeId="14296" r:id="rId369" name="Button 3032">
              <controlPr defaultSize="0" autoFill="0" autoLine="0" autoPict="0" macro="[0]!Sheet1.deleteProcedure">
                <anchor moveWithCells="1" sizeWithCells="1">
                  <from>
                    <xdr:col>6</xdr:col>
                    <xdr:colOff>0</xdr:colOff>
                    <xdr:row>676</xdr:row>
                    <xdr:rowOff>0</xdr:rowOff>
                  </from>
                  <to>
                    <xdr:col>7</xdr:col>
                    <xdr:colOff>0</xdr:colOff>
                    <xdr:row>677</xdr:row>
                    <xdr:rowOff>0</xdr:rowOff>
                  </to>
                </anchor>
              </controlPr>
            </control>
          </mc:Choice>
        </mc:AlternateContent>
        <mc:AlternateContent xmlns:mc="http://schemas.openxmlformats.org/markup-compatibility/2006">
          <mc:Choice Requires="x14">
            <control shapeId="14295" r:id="rId370" name="Button 3031">
              <controlPr defaultSize="0" autoFill="0" autoLine="0" autoPict="0" macro="[0]!Sheet1.InsertNewTableRow">
                <anchor moveWithCells="1" sizeWithCells="1">
                  <from>
                    <xdr:col>6</xdr:col>
                    <xdr:colOff>0</xdr:colOff>
                    <xdr:row>683</xdr:row>
                    <xdr:rowOff>0</xdr:rowOff>
                  </from>
                  <to>
                    <xdr:col>7</xdr:col>
                    <xdr:colOff>0</xdr:colOff>
                    <xdr:row>683</xdr:row>
                    <xdr:rowOff>171450</xdr:rowOff>
                  </to>
                </anchor>
              </controlPr>
            </control>
          </mc:Choice>
        </mc:AlternateContent>
        <mc:AlternateContent xmlns:mc="http://schemas.openxmlformats.org/markup-compatibility/2006">
          <mc:Choice Requires="x14">
            <control shapeId="14294" r:id="rId371" name="Button 3030">
              <controlPr defaultSize="0" autoFill="0" autoLine="0" autoPict="0" macro="[0]!Sheet1.deleteRow">
                <anchor moveWithCells="1" sizeWithCells="1">
                  <from>
                    <xdr:col>6</xdr:col>
                    <xdr:colOff>0</xdr:colOff>
                    <xdr:row>684</xdr:row>
                    <xdr:rowOff>0</xdr:rowOff>
                  </from>
                  <to>
                    <xdr:col>7</xdr:col>
                    <xdr:colOff>0</xdr:colOff>
                    <xdr:row>684</xdr:row>
                    <xdr:rowOff>165100</xdr:rowOff>
                  </to>
                </anchor>
              </controlPr>
            </control>
          </mc:Choice>
        </mc:AlternateContent>
        <mc:AlternateContent xmlns:mc="http://schemas.openxmlformats.org/markup-compatibility/2006">
          <mc:Choice Requires="x14">
            <control shapeId="14293" r:id="rId372" name="Button 3029">
              <controlPr defaultSize="0" autoFill="0" autoLine="0" autoPict="0" macro="[0]!Sheet1.deleteRow">
                <anchor moveWithCells="1" sizeWithCells="1">
                  <from>
                    <xdr:col>6</xdr:col>
                    <xdr:colOff>0</xdr:colOff>
                    <xdr:row>685</xdr:row>
                    <xdr:rowOff>0</xdr:rowOff>
                  </from>
                  <to>
                    <xdr:col>7</xdr:col>
                    <xdr:colOff>0</xdr:colOff>
                    <xdr:row>685</xdr:row>
                    <xdr:rowOff>165100</xdr:rowOff>
                  </to>
                </anchor>
              </controlPr>
            </control>
          </mc:Choice>
        </mc:AlternateContent>
        <mc:AlternateContent xmlns:mc="http://schemas.openxmlformats.org/markup-compatibility/2006">
          <mc:Choice Requires="x14">
            <control shapeId="14292" r:id="rId373" name="Button 3028">
              <controlPr defaultSize="0" autoFill="0" autoLine="0" autoPict="0" macro="[0]!Sheet1.deleteProcedure">
                <anchor moveWithCells="1" sizeWithCells="1">
                  <from>
                    <xdr:col>6</xdr:col>
                    <xdr:colOff>0</xdr:colOff>
                    <xdr:row>688</xdr:row>
                    <xdr:rowOff>0</xdr:rowOff>
                  </from>
                  <to>
                    <xdr:col>7</xdr:col>
                    <xdr:colOff>0</xdr:colOff>
                    <xdr:row>689</xdr:row>
                    <xdr:rowOff>0</xdr:rowOff>
                  </to>
                </anchor>
              </controlPr>
            </control>
          </mc:Choice>
        </mc:AlternateContent>
        <mc:AlternateContent xmlns:mc="http://schemas.openxmlformats.org/markup-compatibility/2006">
          <mc:Choice Requires="x14">
            <control shapeId="14291" r:id="rId374" name="Button 3027">
              <controlPr defaultSize="0" autoFill="0" autoLine="0" autoPict="0" macro="[0]!Sheet1.InsertNewTableRow">
                <anchor moveWithCells="1" sizeWithCells="1">
                  <from>
                    <xdr:col>6</xdr:col>
                    <xdr:colOff>0</xdr:colOff>
                    <xdr:row>695</xdr:row>
                    <xdr:rowOff>0</xdr:rowOff>
                  </from>
                  <to>
                    <xdr:col>7</xdr:col>
                    <xdr:colOff>0</xdr:colOff>
                    <xdr:row>695</xdr:row>
                    <xdr:rowOff>171450</xdr:rowOff>
                  </to>
                </anchor>
              </controlPr>
            </control>
          </mc:Choice>
        </mc:AlternateContent>
        <mc:AlternateContent xmlns:mc="http://schemas.openxmlformats.org/markup-compatibility/2006">
          <mc:Choice Requires="x14">
            <control shapeId="14290" r:id="rId375" name="Button 3026">
              <controlPr defaultSize="0" autoFill="0" autoLine="0" autoPict="0" macro="[0]!Sheet1.deleteRow">
                <anchor moveWithCells="1" sizeWithCells="1">
                  <from>
                    <xdr:col>6</xdr:col>
                    <xdr:colOff>0</xdr:colOff>
                    <xdr:row>696</xdr:row>
                    <xdr:rowOff>0</xdr:rowOff>
                  </from>
                  <to>
                    <xdr:col>7</xdr:col>
                    <xdr:colOff>0</xdr:colOff>
                    <xdr:row>696</xdr:row>
                    <xdr:rowOff>165100</xdr:rowOff>
                  </to>
                </anchor>
              </controlPr>
            </control>
          </mc:Choice>
        </mc:AlternateContent>
        <mc:AlternateContent xmlns:mc="http://schemas.openxmlformats.org/markup-compatibility/2006">
          <mc:Choice Requires="x14">
            <control shapeId="14289" r:id="rId376" name="Button 3025">
              <controlPr defaultSize="0" autoFill="0" autoLine="0" autoPict="0" macro="[0]!Sheet1.deleteRow">
                <anchor moveWithCells="1" sizeWithCells="1">
                  <from>
                    <xdr:col>6</xdr:col>
                    <xdr:colOff>0</xdr:colOff>
                    <xdr:row>697</xdr:row>
                    <xdr:rowOff>0</xdr:rowOff>
                  </from>
                  <to>
                    <xdr:col>7</xdr:col>
                    <xdr:colOff>0</xdr:colOff>
                    <xdr:row>697</xdr:row>
                    <xdr:rowOff>165100</xdr:rowOff>
                  </to>
                </anchor>
              </controlPr>
            </control>
          </mc:Choice>
        </mc:AlternateContent>
        <mc:AlternateContent xmlns:mc="http://schemas.openxmlformats.org/markup-compatibility/2006">
          <mc:Choice Requires="x14">
            <control shapeId="14288" r:id="rId377" name="Button 3024">
              <controlPr defaultSize="0" autoFill="0" autoLine="0" autoPict="0" macro="[0]!Sheet1.deleteProcedure">
                <anchor moveWithCells="1" sizeWithCells="1">
                  <from>
                    <xdr:col>6</xdr:col>
                    <xdr:colOff>0</xdr:colOff>
                    <xdr:row>700</xdr:row>
                    <xdr:rowOff>0</xdr:rowOff>
                  </from>
                  <to>
                    <xdr:col>7</xdr:col>
                    <xdr:colOff>0</xdr:colOff>
                    <xdr:row>701</xdr:row>
                    <xdr:rowOff>0</xdr:rowOff>
                  </to>
                </anchor>
              </controlPr>
            </control>
          </mc:Choice>
        </mc:AlternateContent>
        <mc:AlternateContent xmlns:mc="http://schemas.openxmlformats.org/markup-compatibility/2006">
          <mc:Choice Requires="x14">
            <control shapeId="14287" r:id="rId378" name="Button 3023">
              <controlPr defaultSize="0" autoFill="0" autoLine="0" autoPict="0" macro="[0]!Sheet1.InsertNewTableRow">
                <anchor moveWithCells="1" sizeWithCells="1">
                  <from>
                    <xdr:col>6</xdr:col>
                    <xdr:colOff>0</xdr:colOff>
                    <xdr:row>707</xdr:row>
                    <xdr:rowOff>0</xdr:rowOff>
                  </from>
                  <to>
                    <xdr:col>7</xdr:col>
                    <xdr:colOff>0</xdr:colOff>
                    <xdr:row>707</xdr:row>
                    <xdr:rowOff>171450</xdr:rowOff>
                  </to>
                </anchor>
              </controlPr>
            </control>
          </mc:Choice>
        </mc:AlternateContent>
        <mc:AlternateContent xmlns:mc="http://schemas.openxmlformats.org/markup-compatibility/2006">
          <mc:Choice Requires="x14">
            <control shapeId="14286" r:id="rId379" name="Button 3022">
              <controlPr defaultSize="0" autoFill="0" autoLine="0" autoPict="0" macro="[0]!Sheet1.deleteRow">
                <anchor moveWithCells="1" sizeWithCells="1">
                  <from>
                    <xdr:col>6</xdr:col>
                    <xdr:colOff>0</xdr:colOff>
                    <xdr:row>708</xdr:row>
                    <xdr:rowOff>0</xdr:rowOff>
                  </from>
                  <to>
                    <xdr:col>7</xdr:col>
                    <xdr:colOff>0</xdr:colOff>
                    <xdr:row>708</xdr:row>
                    <xdr:rowOff>165100</xdr:rowOff>
                  </to>
                </anchor>
              </controlPr>
            </control>
          </mc:Choice>
        </mc:AlternateContent>
        <mc:AlternateContent xmlns:mc="http://schemas.openxmlformats.org/markup-compatibility/2006">
          <mc:Choice Requires="x14">
            <control shapeId="14285" r:id="rId380" name="Button 3021">
              <controlPr defaultSize="0" autoFill="0" autoLine="0" autoPict="0" macro="[0]!Sheet1.deleteRow">
                <anchor moveWithCells="1" sizeWithCells="1">
                  <from>
                    <xdr:col>6</xdr:col>
                    <xdr:colOff>0</xdr:colOff>
                    <xdr:row>709</xdr:row>
                    <xdr:rowOff>0</xdr:rowOff>
                  </from>
                  <to>
                    <xdr:col>7</xdr:col>
                    <xdr:colOff>0</xdr:colOff>
                    <xdr:row>709</xdr:row>
                    <xdr:rowOff>165100</xdr:rowOff>
                  </to>
                </anchor>
              </controlPr>
            </control>
          </mc:Choice>
        </mc:AlternateContent>
        <mc:AlternateContent xmlns:mc="http://schemas.openxmlformats.org/markup-compatibility/2006">
          <mc:Choice Requires="x14">
            <control shapeId="14284" r:id="rId381" name="Button 3020">
              <controlPr defaultSize="0" autoFill="0" autoLine="0" autoPict="0" macro="[0]!Sheet1.deleteRow">
                <anchor moveWithCells="1" sizeWithCells="1">
                  <from>
                    <xdr:col>6</xdr:col>
                    <xdr:colOff>0</xdr:colOff>
                    <xdr:row>710</xdr:row>
                    <xdr:rowOff>0</xdr:rowOff>
                  </from>
                  <to>
                    <xdr:col>7</xdr:col>
                    <xdr:colOff>0</xdr:colOff>
                    <xdr:row>710</xdr:row>
                    <xdr:rowOff>165100</xdr:rowOff>
                  </to>
                </anchor>
              </controlPr>
            </control>
          </mc:Choice>
        </mc:AlternateContent>
        <mc:AlternateContent xmlns:mc="http://schemas.openxmlformats.org/markup-compatibility/2006">
          <mc:Choice Requires="x14">
            <control shapeId="14283" r:id="rId382" name="Button 3019">
              <controlPr defaultSize="0" autoFill="0" autoLine="0" autoPict="0" macro="[0]!Sheet1.deleteProcedure">
                <anchor moveWithCells="1" sizeWithCells="1">
                  <from>
                    <xdr:col>6</xdr:col>
                    <xdr:colOff>0</xdr:colOff>
                    <xdr:row>713</xdr:row>
                    <xdr:rowOff>0</xdr:rowOff>
                  </from>
                  <to>
                    <xdr:col>7</xdr:col>
                    <xdr:colOff>0</xdr:colOff>
                    <xdr:row>714</xdr:row>
                    <xdr:rowOff>0</xdr:rowOff>
                  </to>
                </anchor>
              </controlPr>
            </control>
          </mc:Choice>
        </mc:AlternateContent>
        <mc:AlternateContent xmlns:mc="http://schemas.openxmlformats.org/markup-compatibility/2006">
          <mc:Choice Requires="x14">
            <control shapeId="14282" r:id="rId383" name="Button 3018">
              <controlPr defaultSize="0" autoFill="0" autoLine="0" autoPict="0" macro="[0]!Sheet1.InsertNewTableRow">
                <anchor moveWithCells="1" sizeWithCells="1">
                  <from>
                    <xdr:col>6</xdr:col>
                    <xdr:colOff>0</xdr:colOff>
                    <xdr:row>720</xdr:row>
                    <xdr:rowOff>0</xdr:rowOff>
                  </from>
                  <to>
                    <xdr:col>7</xdr:col>
                    <xdr:colOff>0</xdr:colOff>
                    <xdr:row>720</xdr:row>
                    <xdr:rowOff>171450</xdr:rowOff>
                  </to>
                </anchor>
              </controlPr>
            </control>
          </mc:Choice>
        </mc:AlternateContent>
        <mc:AlternateContent xmlns:mc="http://schemas.openxmlformats.org/markup-compatibility/2006">
          <mc:Choice Requires="x14">
            <control shapeId="14281" r:id="rId384" name="Button 3017">
              <controlPr defaultSize="0" autoFill="0" autoLine="0" autoPict="0" macro="[0]!Sheet1.deleteRow">
                <anchor moveWithCells="1" sizeWithCells="1">
                  <from>
                    <xdr:col>6</xdr:col>
                    <xdr:colOff>0</xdr:colOff>
                    <xdr:row>721</xdr:row>
                    <xdr:rowOff>0</xdr:rowOff>
                  </from>
                  <to>
                    <xdr:col>7</xdr:col>
                    <xdr:colOff>0</xdr:colOff>
                    <xdr:row>721</xdr:row>
                    <xdr:rowOff>165100</xdr:rowOff>
                  </to>
                </anchor>
              </controlPr>
            </control>
          </mc:Choice>
        </mc:AlternateContent>
        <mc:AlternateContent xmlns:mc="http://schemas.openxmlformats.org/markup-compatibility/2006">
          <mc:Choice Requires="x14">
            <control shapeId="14280" r:id="rId385" name="Button 3016">
              <controlPr defaultSize="0" autoFill="0" autoLine="0" autoPict="0" macro="[0]!Sheet1.deleteRow">
                <anchor moveWithCells="1" sizeWithCells="1">
                  <from>
                    <xdr:col>6</xdr:col>
                    <xdr:colOff>0</xdr:colOff>
                    <xdr:row>722</xdr:row>
                    <xdr:rowOff>0</xdr:rowOff>
                  </from>
                  <to>
                    <xdr:col>7</xdr:col>
                    <xdr:colOff>0</xdr:colOff>
                    <xdr:row>722</xdr:row>
                    <xdr:rowOff>165100</xdr:rowOff>
                  </to>
                </anchor>
              </controlPr>
            </control>
          </mc:Choice>
        </mc:AlternateContent>
        <mc:AlternateContent xmlns:mc="http://schemas.openxmlformats.org/markup-compatibility/2006">
          <mc:Choice Requires="x14">
            <control shapeId="14279" r:id="rId386" name="Button 3015">
              <controlPr defaultSize="0" autoFill="0" autoLine="0" autoPict="0" macro="[0]!Sheet1.deleteProcedure">
                <anchor moveWithCells="1" sizeWithCells="1">
                  <from>
                    <xdr:col>6</xdr:col>
                    <xdr:colOff>0</xdr:colOff>
                    <xdr:row>725</xdr:row>
                    <xdr:rowOff>0</xdr:rowOff>
                  </from>
                  <to>
                    <xdr:col>7</xdr:col>
                    <xdr:colOff>0</xdr:colOff>
                    <xdr:row>726</xdr:row>
                    <xdr:rowOff>0</xdr:rowOff>
                  </to>
                </anchor>
              </controlPr>
            </control>
          </mc:Choice>
        </mc:AlternateContent>
        <mc:AlternateContent xmlns:mc="http://schemas.openxmlformats.org/markup-compatibility/2006">
          <mc:Choice Requires="x14">
            <control shapeId="14278" r:id="rId387" name="Button 3014">
              <controlPr defaultSize="0" autoFill="0" autoLine="0" autoPict="0" macro="[0]!Sheet1.InsertNewTableRow">
                <anchor moveWithCells="1" sizeWithCells="1">
                  <from>
                    <xdr:col>6</xdr:col>
                    <xdr:colOff>0</xdr:colOff>
                    <xdr:row>732</xdr:row>
                    <xdr:rowOff>0</xdr:rowOff>
                  </from>
                  <to>
                    <xdr:col>7</xdr:col>
                    <xdr:colOff>0</xdr:colOff>
                    <xdr:row>732</xdr:row>
                    <xdr:rowOff>171450</xdr:rowOff>
                  </to>
                </anchor>
              </controlPr>
            </control>
          </mc:Choice>
        </mc:AlternateContent>
        <mc:AlternateContent xmlns:mc="http://schemas.openxmlformats.org/markup-compatibility/2006">
          <mc:Choice Requires="x14">
            <control shapeId="14277" r:id="rId388" name="Button 3013">
              <controlPr defaultSize="0" autoFill="0" autoLine="0" autoPict="0" macro="[0]!Sheet1.deleteRow">
                <anchor moveWithCells="1" sizeWithCells="1">
                  <from>
                    <xdr:col>6</xdr:col>
                    <xdr:colOff>0</xdr:colOff>
                    <xdr:row>733</xdr:row>
                    <xdr:rowOff>0</xdr:rowOff>
                  </from>
                  <to>
                    <xdr:col>7</xdr:col>
                    <xdr:colOff>0</xdr:colOff>
                    <xdr:row>733</xdr:row>
                    <xdr:rowOff>165100</xdr:rowOff>
                  </to>
                </anchor>
              </controlPr>
            </control>
          </mc:Choice>
        </mc:AlternateContent>
        <mc:AlternateContent xmlns:mc="http://schemas.openxmlformats.org/markup-compatibility/2006">
          <mc:Choice Requires="x14">
            <control shapeId="14276" r:id="rId389" name="Button 3012">
              <controlPr defaultSize="0" autoFill="0" autoLine="0" autoPict="0" macro="[0]!Sheet1.deleteProcedure">
                <anchor moveWithCells="1" sizeWithCells="1">
                  <from>
                    <xdr:col>6</xdr:col>
                    <xdr:colOff>0</xdr:colOff>
                    <xdr:row>736</xdr:row>
                    <xdr:rowOff>0</xdr:rowOff>
                  </from>
                  <to>
                    <xdr:col>7</xdr:col>
                    <xdr:colOff>0</xdr:colOff>
                    <xdr:row>737</xdr:row>
                    <xdr:rowOff>0</xdr:rowOff>
                  </to>
                </anchor>
              </controlPr>
            </control>
          </mc:Choice>
        </mc:AlternateContent>
        <mc:AlternateContent xmlns:mc="http://schemas.openxmlformats.org/markup-compatibility/2006">
          <mc:Choice Requires="x14">
            <control shapeId="14275" r:id="rId390" name="Button 3011">
              <controlPr defaultSize="0" autoFill="0" autoLine="0" autoPict="0" macro="[0]!Sheet1.InsertNewTableRow">
                <anchor moveWithCells="1" sizeWithCells="1">
                  <from>
                    <xdr:col>6</xdr:col>
                    <xdr:colOff>0</xdr:colOff>
                    <xdr:row>743</xdr:row>
                    <xdr:rowOff>0</xdr:rowOff>
                  </from>
                  <to>
                    <xdr:col>7</xdr:col>
                    <xdr:colOff>0</xdr:colOff>
                    <xdr:row>743</xdr:row>
                    <xdr:rowOff>171450</xdr:rowOff>
                  </to>
                </anchor>
              </controlPr>
            </control>
          </mc:Choice>
        </mc:AlternateContent>
        <mc:AlternateContent xmlns:mc="http://schemas.openxmlformats.org/markup-compatibility/2006">
          <mc:Choice Requires="x14">
            <control shapeId="14274" r:id="rId391" name="Button 3010">
              <controlPr defaultSize="0" autoFill="0" autoLine="0" autoPict="0" macro="[0]!Sheet1.deleteRow">
                <anchor moveWithCells="1" sizeWithCells="1">
                  <from>
                    <xdr:col>6</xdr:col>
                    <xdr:colOff>0</xdr:colOff>
                    <xdr:row>744</xdr:row>
                    <xdr:rowOff>0</xdr:rowOff>
                  </from>
                  <to>
                    <xdr:col>7</xdr:col>
                    <xdr:colOff>0</xdr:colOff>
                    <xdr:row>744</xdr:row>
                    <xdr:rowOff>165100</xdr:rowOff>
                  </to>
                </anchor>
              </controlPr>
            </control>
          </mc:Choice>
        </mc:AlternateContent>
        <mc:AlternateContent xmlns:mc="http://schemas.openxmlformats.org/markup-compatibility/2006">
          <mc:Choice Requires="x14">
            <control shapeId="14273" r:id="rId392" name="Button 3009">
              <controlPr defaultSize="0" autoFill="0" autoLine="0" autoPict="0" macro="[0]!Sheet1.deleteRow">
                <anchor moveWithCells="1" sizeWithCells="1">
                  <from>
                    <xdr:col>6</xdr:col>
                    <xdr:colOff>0</xdr:colOff>
                    <xdr:row>745</xdr:row>
                    <xdr:rowOff>0</xdr:rowOff>
                  </from>
                  <to>
                    <xdr:col>7</xdr:col>
                    <xdr:colOff>0</xdr:colOff>
                    <xdr:row>745</xdr:row>
                    <xdr:rowOff>165100</xdr:rowOff>
                  </to>
                </anchor>
              </controlPr>
            </control>
          </mc:Choice>
        </mc:AlternateContent>
        <mc:AlternateContent xmlns:mc="http://schemas.openxmlformats.org/markup-compatibility/2006">
          <mc:Choice Requires="x14">
            <control shapeId="14272" r:id="rId393" name="Button 3008">
              <controlPr defaultSize="0" autoFill="0" autoLine="0" autoPict="0" macro="[0]!Sheet1.deleteProcedure">
                <anchor moveWithCells="1" sizeWithCells="1">
                  <from>
                    <xdr:col>6</xdr:col>
                    <xdr:colOff>0</xdr:colOff>
                    <xdr:row>748</xdr:row>
                    <xdr:rowOff>0</xdr:rowOff>
                  </from>
                  <to>
                    <xdr:col>7</xdr:col>
                    <xdr:colOff>0</xdr:colOff>
                    <xdr:row>749</xdr:row>
                    <xdr:rowOff>0</xdr:rowOff>
                  </to>
                </anchor>
              </controlPr>
            </control>
          </mc:Choice>
        </mc:AlternateContent>
        <mc:AlternateContent xmlns:mc="http://schemas.openxmlformats.org/markup-compatibility/2006">
          <mc:Choice Requires="x14">
            <control shapeId="14271" r:id="rId394" name="Button 3007">
              <controlPr defaultSize="0" autoFill="0" autoLine="0" autoPict="0" macro="[0]!Sheet1.InsertNewTableRow">
                <anchor moveWithCells="1" sizeWithCells="1">
                  <from>
                    <xdr:col>6</xdr:col>
                    <xdr:colOff>0</xdr:colOff>
                    <xdr:row>755</xdr:row>
                    <xdr:rowOff>0</xdr:rowOff>
                  </from>
                  <to>
                    <xdr:col>7</xdr:col>
                    <xdr:colOff>0</xdr:colOff>
                    <xdr:row>755</xdr:row>
                    <xdr:rowOff>171450</xdr:rowOff>
                  </to>
                </anchor>
              </controlPr>
            </control>
          </mc:Choice>
        </mc:AlternateContent>
        <mc:AlternateContent xmlns:mc="http://schemas.openxmlformats.org/markup-compatibility/2006">
          <mc:Choice Requires="x14">
            <control shapeId="14270" r:id="rId395" name="Button 3006">
              <controlPr defaultSize="0" autoFill="0" autoLine="0" autoPict="0" macro="[0]!Sheet1.deleteRow">
                <anchor moveWithCells="1" sizeWithCells="1">
                  <from>
                    <xdr:col>6</xdr:col>
                    <xdr:colOff>0</xdr:colOff>
                    <xdr:row>756</xdr:row>
                    <xdr:rowOff>0</xdr:rowOff>
                  </from>
                  <to>
                    <xdr:col>7</xdr:col>
                    <xdr:colOff>0</xdr:colOff>
                    <xdr:row>756</xdr:row>
                    <xdr:rowOff>165100</xdr:rowOff>
                  </to>
                </anchor>
              </controlPr>
            </control>
          </mc:Choice>
        </mc:AlternateContent>
        <mc:AlternateContent xmlns:mc="http://schemas.openxmlformats.org/markup-compatibility/2006">
          <mc:Choice Requires="x14">
            <control shapeId="14269" r:id="rId396" name="Button 3005">
              <controlPr defaultSize="0" autoFill="0" autoLine="0" autoPict="0" macro="[0]!Sheet1.deleteProcedure">
                <anchor moveWithCells="1" sizeWithCells="1">
                  <from>
                    <xdr:col>6</xdr:col>
                    <xdr:colOff>0</xdr:colOff>
                    <xdr:row>759</xdr:row>
                    <xdr:rowOff>0</xdr:rowOff>
                  </from>
                  <to>
                    <xdr:col>7</xdr:col>
                    <xdr:colOff>0</xdr:colOff>
                    <xdr:row>760</xdr:row>
                    <xdr:rowOff>0</xdr:rowOff>
                  </to>
                </anchor>
              </controlPr>
            </control>
          </mc:Choice>
        </mc:AlternateContent>
        <mc:AlternateContent xmlns:mc="http://schemas.openxmlformats.org/markup-compatibility/2006">
          <mc:Choice Requires="x14">
            <control shapeId="14268" r:id="rId397" name="Button 3004">
              <controlPr defaultSize="0" autoFill="0" autoLine="0" autoPict="0" macro="[0]!Sheet1.InsertNewTableRow">
                <anchor moveWithCells="1" sizeWithCells="1">
                  <from>
                    <xdr:col>6</xdr:col>
                    <xdr:colOff>0</xdr:colOff>
                    <xdr:row>766</xdr:row>
                    <xdr:rowOff>0</xdr:rowOff>
                  </from>
                  <to>
                    <xdr:col>7</xdr:col>
                    <xdr:colOff>0</xdr:colOff>
                    <xdr:row>766</xdr:row>
                    <xdr:rowOff>171450</xdr:rowOff>
                  </to>
                </anchor>
              </controlPr>
            </control>
          </mc:Choice>
        </mc:AlternateContent>
        <mc:AlternateContent xmlns:mc="http://schemas.openxmlformats.org/markup-compatibility/2006">
          <mc:Choice Requires="x14">
            <control shapeId="14267" r:id="rId398" name="Button 3003">
              <controlPr defaultSize="0" autoFill="0" autoLine="0" autoPict="0" macro="[0]!Sheet1.deleteRow">
                <anchor moveWithCells="1" sizeWithCells="1">
                  <from>
                    <xdr:col>6</xdr:col>
                    <xdr:colOff>0</xdr:colOff>
                    <xdr:row>767</xdr:row>
                    <xdr:rowOff>0</xdr:rowOff>
                  </from>
                  <to>
                    <xdr:col>7</xdr:col>
                    <xdr:colOff>0</xdr:colOff>
                    <xdr:row>767</xdr:row>
                    <xdr:rowOff>165100</xdr:rowOff>
                  </to>
                </anchor>
              </controlPr>
            </control>
          </mc:Choice>
        </mc:AlternateContent>
        <mc:AlternateContent xmlns:mc="http://schemas.openxmlformats.org/markup-compatibility/2006">
          <mc:Choice Requires="x14">
            <control shapeId="14266" r:id="rId399" name="Button 3002">
              <controlPr defaultSize="0" autoFill="0" autoLine="0" autoPict="0" macro="[0]!Sheet1.deleteRow">
                <anchor moveWithCells="1" sizeWithCells="1">
                  <from>
                    <xdr:col>6</xdr:col>
                    <xdr:colOff>0</xdr:colOff>
                    <xdr:row>768</xdr:row>
                    <xdr:rowOff>0</xdr:rowOff>
                  </from>
                  <to>
                    <xdr:col>7</xdr:col>
                    <xdr:colOff>0</xdr:colOff>
                    <xdr:row>768</xdr:row>
                    <xdr:rowOff>165100</xdr:rowOff>
                  </to>
                </anchor>
              </controlPr>
            </control>
          </mc:Choice>
        </mc:AlternateContent>
        <mc:AlternateContent xmlns:mc="http://schemas.openxmlformats.org/markup-compatibility/2006">
          <mc:Choice Requires="x14">
            <control shapeId="14265" r:id="rId400" name="Button 3001">
              <controlPr defaultSize="0" autoFill="0" autoLine="0" autoPict="0" macro="[0]!Sheet1.deleteProcedure">
                <anchor moveWithCells="1" sizeWithCells="1">
                  <from>
                    <xdr:col>6</xdr:col>
                    <xdr:colOff>0</xdr:colOff>
                    <xdr:row>771</xdr:row>
                    <xdr:rowOff>0</xdr:rowOff>
                  </from>
                  <to>
                    <xdr:col>7</xdr:col>
                    <xdr:colOff>0</xdr:colOff>
                    <xdr:row>772</xdr:row>
                    <xdr:rowOff>0</xdr:rowOff>
                  </to>
                </anchor>
              </controlPr>
            </control>
          </mc:Choice>
        </mc:AlternateContent>
        <mc:AlternateContent xmlns:mc="http://schemas.openxmlformats.org/markup-compatibility/2006">
          <mc:Choice Requires="x14">
            <control shapeId="14264" r:id="rId401" name="Button 3000">
              <controlPr defaultSize="0" autoFill="0" autoLine="0" autoPict="0" macro="[0]!Sheet1.InsertNewTableRow">
                <anchor moveWithCells="1" sizeWithCells="1">
                  <from>
                    <xdr:col>6</xdr:col>
                    <xdr:colOff>0</xdr:colOff>
                    <xdr:row>778</xdr:row>
                    <xdr:rowOff>0</xdr:rowOff>
                  </from>
                  <to>
                    <xdr:col>7</xdr:col>
                    <xdr:colOff>0</xdr:colOff>
                    <xdr:row>778</xdr:row>
                    <xdr:rowOff>171450</xdr:rowOff>
                  </to>
                </anchor>
              </controlPr>
            </control>
          </mc:Choice>
        </mc:AlternateContent>
        <mc:AlternateContent xmlns:mc="http://schemas.openxmlformats.org/markup-compatibility/2006">
          <mc:Choice Requires="x14">
            <control shapeId="14263" r:id="rId402" name="Button 2999">
              <controlPr defaultSize="0" autoFill="0" autoLine="0" autoPict="0" macro="[0]!Sheet1.deleteRow">
                <anchor moveWithCells="1" sizeWithCells="1">
                  <from>
                    <xdr:col>6</xdr:col>
                    <xdr:colOff>0</xdr:colOff>
                    <xdr:row>779</xdr:row>
                    <xdr:rowOff>0</xdr:rowOff>
                  </from>
                  <to>
                    <xdr:col>7</xdr:col>
                    <xdr:colOff>0</xdr:colOff>
                    <xdr:row>779</xdr:row>
                    <xdr:rowOff>165100</xdr:rowOff>
                  </to>
                </anchor>
              </controlPr>
            </control>
          </mc:Choice>
        </mc:AlternateContent>
        <mc:AlternateContent xmlns:mc="http://schemas.openxmlformats.org/markup-compatibility/2006">
          <mc:Choice Requires="x14">
            <control shapeId="14262" r:id="rId403" name="Button 2998">
              <controlPr defaultSize="0" autoFill="0" autoLine="0" autoPict="0" macro="[0]!Sheet1.deleteRow">
                <anchor moveWithCells="1" sizeWithCells="1">
                  <from>
                    <xdr:col>6</xdr:col>
                    <xdr:colOff>0</xdr:colOff>
                    <xdr:row>780</xdr:row>
                    <xdr:rowOff>0</xdr:rowOff>
                  </from>
                  <to>
                    <xdr:col>7</xdr:col>
                    <xdr:colOff>0</xdr:colOff>
                    <xdr:row>780</xdr:row>
                    <xdr:rowOff>165100</xdr:rowOff>
                  </to>
                </anchor>
              </controlPr>
            </control>
          </mc:Choice>
        </mc:AlternateContent>
        <mc:AlternateContent xmlns:mc="http://schemas.openxmlformats.org/markup-compatibility/2006">
          <mc:Choice Requires="x14">
            <control shapeId="14261" r:id="rId404" name="Button 2997">
              <controlPr defaultSize="0" autoFill="0" autoLine="0" autoPict="0" macro="[0]!Sheet1.deleteRow">
                <anchor moveWithCells="1" sizeWithCells="1">
                  <from>
                    <xdr:col>6</xdr:col>
                    <xdr:colOff>0</xdr:colOff>
                    <xdr:row>781</xdr:row>
                    <xdr:rowOff>0</xdr:rowOff>
                  </from>
                  <to>
                    <xdr:col>7</xdr:col>
                    <xdr:colOff>0</xdr:colOff>
                    <xdr:row>781</xdr:row>
                    <xdr:rowOff>165100</xdr:rowOff>
                  </to>
                </anchor>
              </controlPr>
            </control>
          </mc:Choice>
        </mc:AlternateContent>
        <mc:AlternateContent xmlns:mc="http://schemas.openxmlformats.org/markup-compatibility/2006">
          <mc:Choice Requires="x14">
            <control shapeId="14260" r:id="rId405" name="Button 2996">
              <controlPr defaultSize="0" autoFill="0" autoLine="0" autoPict="0" macro="[0]!Sheet1.deleteProcedure">
                <anchor moveWithCells="1" sizeWithCells="1">
                  <from>
                    <xdr:col>6</xdr:col>
                    <xdr:colOff>0</xdr:colOff>
                    <xdr:row>784</xdr:row>
                    <xdr:rowOff>0</xdr:rowOff>
                  </from>
                  <to>
                    <xdr:col>7</xdr:col>
                    <xdr:colOff>0</xdr:colOff>
                    <xdr:row>785</xdr:row>
                    <xdr:rowOff>0</xdr:rowOff>
                  </to>
                </anchor>
              </controlPr>
            </control>
          </mc:Choice>
        </mc:AlternateContent>
        <mc:AlternateContent xmlns:mc="http://schemas.openxmlformats.org/markup-compatibility/2006">
          <mc:Choice Requires="x14">
            <control shapeId="14259" r:id="rId406" name="Button 2995">
              <controlPr defaultSize="0" autoFill="0" autoLine="0" autoPict="0" macro="[0]!Sheet1.InsertNewTableRow">
                <anchor moveWithCells="1" sizeWithCells="1">
                  <from>
                    <xdr:col>6</xdr:col>
                    <xdr:colOff>0</xdr:colOff>
                    <xdr:row>791</xdr:row>
                    <xdr:rowOff>0</xdr:rowOff>
                  </from>
                  <to>
                    <xdr:col>7</xdr:col>
                    <xdr:colOff>0</xdr:colOff>
                    <xdr:row>791</xdr:row>
                    <xdr:rowOff>171450</xdr:rowOff>
                  </to>
                </anchor>
              </controlPr>
            </control>
          </mc:Choice>
        </mc:AlternateContent>
        <mc:AlternateContent xmlns:mc="http://schemas.openxmlformats.org/markup-compatibility/2006">
          <mc:Choice Requires="x14">
            <control shapeId="14258" r:id="rId407" name="Button 2994">
              <controlPr defaultSize="0" autoFill="0" autoLine="0" autoPict="0" macro="[0]!Sheet1.deleteRow">
                <anchor moveWithCells="1" sizeWithCells="1">
                  <from>
                    <xdr:col>6</xdr:col>
                    <xdr:colOff>0</xdr:colOff>
                    <xdr:row>792</xdr:row>
                    <xdr:rowOff>0</xdr:rowOff>
                  </from>
                  <to>
                    <xdr:col>7</xdr:col>
                    <xdr:colOff>0</xdr:colOff>
                    <xdr:row>792</xdr:row>
                    <xdr:rowOff>165100</xdr:rowOff>
                  </to>
                </anchor>
              </controlPr>
            </control>
          </mc:Choice>
        </mc:AlternateContent>
        <mc:AlternateContent xmlns:mc="http://schemas.openxmlformats.org/markup-compatibility/2006">
          <mc:Choice Requires="x14">
            <control shapeId="14257" r:id="rId408" name="Button 2993">
              <controlPr defaultSize="0" autoFill="0" autoLine="0" autoPict="0" macro="[0]!Sheet1.deleteRow">
                <anchor moveWithCells="1" sizeWithCells="1">
                  <from>
                    <xdr:col>6</xdr:col>
                    <xdr:colOff>0</xdr:colOff>
                    <xdr:row>793</xdr:row>
                    <xdr:rowOff>0</xdr:rowOff>
                  </from>
                  <to>
                    <xdr:col>7</xdr:col>
                    <xdr:colOff>0</xdr:colOff>
                    <xdr:row>793</xdr:row>
                    <xdr:rowOff>165100</xdr:rowOff>
                  </to>
                </anchor>
              </controlPr>
            </control>
          </mc:Choice>
        </mc:AlternateContent>
        <mc:AlternateContent xmlns:mc="http://schemas.openxmlformats.org/markup-compatibility/2006">
          <mc:Choice Requires="x14">
            <control shapeId="14256" r:id="rId409" name="Button 2992">
              <controlPr defaultSize="0" autoFill="0" autoLine="0" autoPict="0" macro="[0]!Sheet1.deleteRow">
                <anchor moveWithCells="1" sizeWithCells="1">
                  <from>
                    <xdr:col>6</xdr:col>
                    <xdr:colOff>0</xdr:colOff>
                    <xdr:row>794</xdr:row>
                    <xdr:rowOff>0</xdr:rowOff>
                  </from>
                  <to>
                    <xdr:col>7</xdr:col>
                    <xdr:colOff>0</xdr:colOff>
                    <xdr:row>794</xdr:row>
                    <xdr:rowOff>165100</xdr:rowOff>
                  </to>
                </anchor>
              </controlPr>
            </control>
          </mc:Choice>
        </mc:AlternateContent>
        <mc:AlternateContent xmlns:mc="http://schemas.openxmlformats.org/markup-compatibility/2006">
          <mc:Choice Requires="x14">
            <control shapeId="14255" r:id="rId410" name="Button 2991">
              <controlPr defaultSize="0" autoFill="0" autoLine="0" autoPict="0" macro="[0]!Sheet1.deleteProcedure">
                <anchor moveWithCells="1" sizeWithCells="1">
                  <from>
                    <xdr:col>6</xdr:col>
                    <xdr:colOff>0</xdr:colOff>
                    <xdr:row>797</xdr:row>
                    <xdr:rowOff>0</xdr:rowOff>
                  </from>
                  <to>
                    <xdr:col>7</xdr:col>
                    <xdr:colOff>0</xdr:colOff>
                    <xdr:row>798</xdr:row>
                    <xdr:rowOff>0</xdr:rowOff>
                  </to>
                </anchor>
              </controlPr>
            </control>
          </mc:Choice>
        </mc:AlternateContent>
        <mc:AlternateContent xmlns:mc="http://schemas.openxmlformats.org/markup-compatibility/2006">
          <mc:Choice Requires="x14">
            <control shapeId="14254" r:id="rId411" name="Button 2990">
              <controlPr defaultSize="0" autoFill="0" autoLine="0" autoPict="0" macro="[0]!Sheet1.InsertNewTableRow">
                <anchor moveWithCells="1" sizeWithCells="1">
                  <from>
                    <xdr:col>6</xdr:col>
                    <xdr:colOff>0</xdr:colOff>
                    <xdr:row>804</xdr:row>
                    <xdr:rowOff>0</xdr:rowOff>
                  </from>
                  <to>
                    <xdr:col>7</xdr:col>
                    <xdr:colOff>0</xdr:colOff>
                    <xdr:row>804</xdr:row>
                    <xdr:rowOff>171450</xdr:rowOff>
                  </to>
                </anchor>
              </controlPr>
            </control>
          </mc:Choice>
        </mc:AlternateContent>
        <mc:AlternateContent xmlns:mc="http://schemas.openxmlformats.org/markup-compatibility/2006">
          <mc:Choice Requires="x14">
            <control shapeId="14253" r:id="rId412" name="Button 2989">
              <controlPr defaultSize="0" autoFill="0" autoLine="0" autoPict="0" macro="[0]!Sheet1.deleteRow">
                <anchor moveWithCells="1" sizeWithCells="1">
                  <from>
                    <xdr:col>6</xdr:col>
                    <xdr:colOff>0</xdr:colOff>
                    <xdr:row>805</xdr:row>
                    <xdr:rowOff>0</xdr:rowOff>
                  </from>
                  <to>
                    <xdr:col>7</xdr:col>
                    <xdr:colOff>0</xdr:colOff>
                    <xdr:row>805</xdr:row>
                    <xdr:rowOff>165100</xdr:rowOff>
                  </to>
                </anchor>
              </controlPr>
            </control>
          </mc:Choice>
        </mc:AlternateContent>
        <mc:AlternateContent xmlns:mc="http://schemas.openxmlformats.org/markup-compatibility/2006">
          <mc:Choice Requires="x14">
            <control shapeId="14252" r:id="rId413" name="Button 2988">
              <controlPr defaultSize="0" autoFill="0" autoLine="0" autoPict="0" macro="[0]!Sheet1.deleteProcedure">
                <anchor moveWithCells="1" sizeWithCells="1">
                  <from>
                    <xdr:col>6</xdr:col>
                    <xdr:colOff>0</xdr:colOff>
                    <xdr:row>808</xdr:row>
                    <xdr:rowOff>0</xdr:rowOff>
                  </from>
                  <to>
                    <xdr:col>7</xdr:col>
                    <xdr:colOff>0</xdr:colOff>
                    <xdr:row>809</xdr:row>
                    <xdr:rowOff>0</xdr:rowOff>
                  </to>
                </anchor>
              </controlPr>
            </control>
          </mc:Choice>
        </mc:AlternateContent>
        <mc:AlternateContent xmlns:mc="http://schemas.openxmlformats.org/markup-compatibility/2006">
          <mc:Choice Requires="x14">
            <control shapeId="14251" r:id="rId414" name="Button 2987">
              <controlPr defaultSize="0" autoFill="0" autoLine="0" autoPict="0" macro="[0]!Sheet1.InsertNewTableRow">
                <anchor moveWithCells="1" sizeWithCells="1">
                  <from>
                    <xdr:col>6</xdr:col>
                    <xdr:colOff>0</xdr:colOff>
                    <xdr:row>815</xdr:row>
                    <xdr:rowOff>0</xdr:rowOff>
                  </from>
                  <to>
                    <xdr:col>7</xdr:col>
                    <xdr:colOff>0</xdr:colOff>
                    <xdr:row>815</xdr:row>
                    <xdr:rowOff>171450</xdr:rowOff>
                  </to>
                </anchor>
              </controlPr>
            </control>
          </mc:Choice>
        </mc:AlternateContent>
        <mc:AlternateContent xmlns:mc="http://schemas.openxmlformats.org/markup-compatibility/2006">
          <mc:Choice Requires="x14">
            <control shapeId="14250" r:id="rId415" name="Button 2986">
              <controlPr defaultSize="0" autoFill="0" autoLine="0" autoPict="0" macro="[0]!Sheet1.deleteRow">
                <anchor moveWithCells="1" sizeWithCells="1">
                  <from>
                    <xdr:col>6</xdr:col>
                    <xdr:colOff>0</xdr:colOff>
                    <xdr:row>816</xdr:row>
                    <xdr:rowOff>0</xdr:rowOff>
                  </from>
                  <to>
                    <xdr:col>7</xdr:col>
                    <xdr:colOff>0</xdr:colOff>
                    <xdr:row>816</xdr:row>
                    <xdr:rowOff>165100</xdr:rowOff>
                  </to>
                </anchor>
              </controlPr>
            </control>
          </mc:Choice>
        </mc:AlternateContent>
        <mc:AlternateContent xmlns:mc="http://schemas.openxmlformats.org/markup-compatibility/2006">
          <mc:Choice Requires="x14">
            <control shapeId="14249" r:id="rId416" name="Button 2985">
              <controlPr defaultSize="0" autoFill="0" autoLine="0" autoPict="0" macro="[0]!Sheet1.deleteProcedure">
                <anchor moveWithCells="1" sizeWithCells="1">
                  <from>
                    <xdr:col>6</xdr:col>
                    <xdr:colOff>0</xdr:colOff>
                    <xdr:row>819</xdr:row>
                    <xdr:rowOff>0</xdr:rowOff>
                  </from>
                  <to>
                    <xdr:col>7</xdr:col>
                    <xdr:colOff>0</xdr:colOff>
                    <xdr:row>820</xdr:row>
                    <xdr:rowOff>0</xdr:rowOff>
                  </to>
                </anchor>
              </controlPr>
            </control>
          </mc:Choice>
        </mc:AlternateContent>
        <mc:AlternateContent xmlns:mc="http://schemas.openxmlformats.org/markup-compatibility/2006">
          <mc:Choice Requires="x14">
            <control shapeId="14248" r:id="rId417" name="Button 2984">
              <controlPr defaultSize="0" autoFill="0" autoLine="0" autoPict="0" macro="[0]!Sheet1.InsertNewTableRow">
                <anchor moveWithCells="1" sizeWithCells="1">
                  <from>
                    <xdr:col>6</xdr:col>
                    <xdr:colOff>0</xdr:colOff>
                    <xdr:row>826</xdr:row>
                    <xdr:rowOff>0</xdr:rowOff>
                  </from>
                  <to>
                    <xdr:col>7</xdr:col>
                    <xdr:colOff>0</xdr:colOff>
                    <xdr:row>826</xdr:row>
                    <xdr:rowOff>171450</xdr:rowOff>
                  </to>
                </anchor>
              </controlPr>
            </control>
          </mc:Choice>
        </mc:AlternateContent>
        <mc:AlternateContent xmlns:mc="http://schemas.openxmlformats.org/markup-compatibility/2006">
          <mc:Choice Requires="x14">
            <control shapeId="14247" r:id="rId418" name="Button 2983">
              <controlPr defaultSize="0" autoFill="0" autoLine="0" autoPict="0" macro="[0]!Sheet1.deleteRow">
                <anchor moveWithCells="1" sizeWithCells="1">
                  <from>
                    <xdr:col>6</xdr:col>
                    <xdr:colOff>0</xdr:colOff>
                    <xdr:row>827</xdr:row>
                    <xdr:rowOff>0</xdr:rowOff>
                  </from>
                  <to>
                    <xdr:col>7</xdr:col>
                    <xdr:colOff>0</xdr:colOff>
                    <xdr:row>827</xdr:row>
                    <xdr:rowOff>165100</xdr:rowOff>
                  </to>
                </anchor>
              </controlPr>
            </control>
          </mc:Choice>
        </mc:AlternateContent>
        <mc:AlternateContent xmlns:mc="http://schemas.openxmlformats.org/markup-compatibility/2006">
          <mc:Choice Requires="x14">
            <control shapeId="14246" r:id="rId419" name="Button 2982">
              <controlPr defaultSize="0" autoFill="0" autoLine="0" autoPict="0" macro="[0]!Sheet1.deleteRow">
                <anchor moveWithCells="1" sizeWithCells="1">
                  <from>
                    <xdr:col>6</xdr:col>
                    <xdr:colOff>0</xdr:colOff>
                    <xdr:row>828</xdr:row>
                    <xdr:rowOff>0</xdr:rowOff>
                  </from>
                  <to>
                    <xdr:col>7</xdr:col>
                    <xdr:colOff>0</xdr:colOff>
                    <xdr:row>828</xdr:row>
                    <xdr:rowOff>165100</xdr:rowOff>
                  </to>
                </anchor>
              </controlPr>
            </control>
          </mc:Choice>
        </mc:AlternateContent>
        <mc:AlternateContent xmlns:mc="http://schemas.openxmlformats.org/markup-compatibility/2006">
          <mc:Choice Requires="x14">
            <control shapeId="14245" r:id="rId420" name="Button 2981">
              <controlPr defaultSize="0" autoFill="0" autoLine="0" autoPict="0" macro="[0]!Sheet1.deleteRow">
                <anchor moveWithCells="1" sizeWithCells="1">
                  <from>
                    <xdr:col>6</xdr:col>
                    <xdr:colOff>0</xdr:colOff>
                    <xdr:row>829</xdr:row>
                    <xdr:rowOff>0</xdr:rowOff>
                  </from>
                  <to>
                    <xdr:col>7</xdr:col>
                    <xdr:colOff>0</xdr:colOff>
                    <xdr:row>829</xdr:row>
                    <xdr:rowOff>165100</xdr:rowOff>
                  </to>
                </anchor>
              </controlPr>
            </control>
          </mc:Choice>
        </mc:AlternateContent>
        <mc:AlternateContent xmlns:mc="http://schemas.openxmlformats.org/markup-compatibility/2006">
          <mc:Choice Requires="x14">
            <control shapeId="14244" r:id="rId421" name="Button 2980">
              <controlPr defaultSize="0" autoFill="0" autoLine="0" autoPict="0" macro="[0]!Sheet1.deleteProcedure">
                <anchor moveWithCells="1" sizeWithCells="1">
                  <from>
                    <xdr:col>6</xdr:col>
                    <xdr:colOff>0</xdr:colOff>
                    <xdr:row>832</xdr:row>
                    <xdr:rowOff>0</xdr:rowOff>
                  </from>
                  <to>
                    <xdr:col>7</xdr:col>
                    <xdr:colOff>0</xdr:colOff>
                    <xdr:row>833</xdr:row>
                    <xdr:rowOff>0</xdr:rowOff>
                  </to>
                </anchor>
              </controlPr>
            </control>
          </mc:Choice>
        </mc:AlternateContent>
        <mc:AlternateContent xmlns:mc="http://schemas.openxmlformats.org/markup-compatibility/2006">
          <mc:Choice Requires="x14">
            <control shapeId="14243" r:id="rId422" name="Button 2979">
              <controlPr defaultSize="0" autoFill="0" autoLine="0" autoPict="0" macro="[0]!Sheet1.InsertNewTableRow">
                <anchor moveWithCells="1" sizeWithCells="1">
                  <from>
                    <xdr:col>6</xdr:col>
                    <xdr:colOff>0</xdr:colOff>
                    <xdr:row>839</xdr:row>
                    <xdr:rowOff>0</xdr:rowOff>
                  </from>
                  <to>
                    <xdr:col>7</xdr:col>
                    <xdr:colOff>0</xdr:colOff>
                    <xdr:row>839</xdr:row>
                    <xdr:rowOff>171450</xdr:rowOff>
                  </to>
                </anchor>
              </controlPr>
            </control>
          </mc:Choice>
        </mc:AlternateContent>
        <mc:AlternateContent xmlns:mc="http://schemas.openxmlformats.org/markup-compatibility/2006">
          <mc:Choice Requires="x14">
            <control shapeId="14242" r:id="rId423" name="Button 2978">
              <controlPr defaultSize="0" autoFill="0" autoLine="0" autoPict="0" macro="[0]!Sheet1.deleteRow">
                <anchor moveWithCells="1" sizeWithCells="1">
                  <from>
                    <xdr:col>6</xdr:col>
                    <xdr:colOff>0</xdr:colOff>
                    <xdr:row>840</xdr:row>
                    <xdr:rowOff>0</xdr:rowOff>
                  </from>
                  <to>
                    <xdr:col>7</xdr:col>
                    <xdr:colOff>0</xdr:colOff>
                    <xdr:row>840</xdr:row>
                    <xdr:rowOff>165100</xdr:rowOff>
                  </to>
                </anchor>
              </controlPr>
            </control>
          </mc:Choice>
        </mc:AlternateContent>
        <mc:AlternateContent xmlns:mc="http://schemas.openxmlformats.org/markup-compatibility/2006">
          <mc:Choice Requires="x14">
            <control shapeId="14241" r:id="rId424" name="Button 2977">
              <controlPr defaultSize="0" autoFill="0" autoLine="0" autoPict="0" macro="[0]!Sheet1.deleteProcedure">
                <anchor moveWithCells="1" sizeWithCells="1">
                  <from>
                    <xdr:col>6</xdr:col>
                    <xdr:colOff>0</xdr:colOff>
                    <xdr:row>843</xdr:row>
                    <xdr:rowOff>0</xdr:rowOff>
                  </from>
                  <to>
                    <xdr:col>7</xdr:col>
                    <xdr:colOff>0</xdr:colOff>
                    <xdr:row>844</xdr:row>
                    <xdr:rowOff>0</xdr:rowOff>
                  </to>
                </anchor>
              </controlPr>
            </control>
          </mc:Choice>
        </mc:AlternateContent>
        <mc:AlternateContent xmlns:mc="http://schemas.openxmlformats.org/markup-compatibility/2006">
          <mc:Choice Requires="x14">
            <control shapeId="14240" r:id="rId425" name="Button 2976">
              <controlPr defaultSize="0" autoFill="0" autoLine="0" autoPict="0" macro="[0]!Sheet1.InsertNewTableRow">
                <anchor moveWithCells="1" sizeWithCells="1">
                  <from>
                    <xdr:col>6</xdr:col>
                    <xdr:colOff>0</xdr:colOff>
                    <xdr:row>850</xdr:row>
                    <xdr:rowOff>0</xdr:rowOff>
                  </from>
                  <to>
                    <xdr:col>7</xdr:col>
                    <xdr:colOff>0</xdr:colOff>
                    <xdr:row>850</xdr:row>
                    <xdr:rowOff>171450</xdr:rowOff>
                  </to>
                </anchor>
              </controlPr>
            </control>
          </mc:Choice>
        </mc:AlternateContent>
        <mc:AlternateContent xmlns:mc="http://schemas.openxmlformats.org/markup-compatibility/2006">
          <mc:Choice Requires="x14">
            <control shapeId="14239" r:id="rId426" name="Button 2975">
              <controlPr defaultSize="0" autoFill="0" autoLine="0" autoPict="0" macro="[0]!Sheet1.deleteRow">
                <anchor moveWithCells="1" sizeWithCells="1">
                  <from>
                    <xdr:col>6</xdr:col>
                    <xdr:colOff>0</xdr:colOff>
                    <xdr:row>851</xdr:row>
                    <xdr:rowOff>0</xdr:rowOff>
                  </from>
                  <to>
                    <xdr:col>7</xdr:col>
                    <xdr:colOff>0</xdr:colOff>
                    <xdr:row>851</xdr:row>
                    <xdr:rowOff>165100</xdr:rowOff>
                  </to>
                </anchor>
              </controlPr>
            </control>
          </mc:Choice>
        </mc:AlternateContent>
        <mc:AlternateContent xmlns:mc="http://schemas.openxmlformats.org/markup-compatibility/2006">
          <mc:Choice Requires="x14">
            <control shapeId="14238" r:id="rId427" name="Button 2974">
              <controlPr defaultSize="0" autoFill="0" autoLine="0" autoPict="0" macro="[0]!Sheet1.deleteRow">
                <anchor moveWithCells="1" sizeWithCells="1">
                  <from>
                    <xdr:col>6</xdr:col>
                    <xdr:colOff>0</xdr:colOff>
                    <xdr:row>852</xdr:row>
                    <xdr:rowOff>0</xdr:rowOff>
                  </from>
                  <to>
                    <xdr:col>7</xdr:col>
                    <xdr:colOff>0</xdr:colOff>
                    <xdr:row>852</xdr:row>
                    <xdr:rowOff>165100</xdr:rowOff>
                  </to>
                </anchor>
              </controlPr>
            </control>
          </mc:Choice>
        </mc:AlternateContent>
        <mc:AlternateContent xmlns:mc="http://schemas.openxmlformats.org/markup-compatibility/2006">
          <mc:Choice Requires="x14">
            <control shapeId="14237" r:id="rId428" name="Button 2973">
              <controlPr defaultSize="0" autoFill="0" autoLine="0" autoPict="0" macro="[0]!Sheet1.deleteRow">
                <anchor moveWithCells="1" sizeWithCells="1">
                  <from>
                    <xdr:col>6</xdr:col>
                    <xdr:colOff>0</xdr:colOff>
                    <xdr:row>853</xdr:row>
                    <xdr:rowOff>0</xdr:rowOff>
                  </from>
                  <to>
                    <xdr:col>7</xdr:col>
                    <xdr:colOff>0</xdr:colOff>
                    <xdr:row>853</xdr:row>
                    <xdr:rowOff>165100</xdr:rowOff>
                  </to>
                </anchor>
              </controlPr>
            </control>
          </mc:Choice>
        </mc:AlternateContent>
        <mc:AlternateContent xmlns:mc="http://schemas.openxmlformats.org/markup-compatibility/2006">
          <mc:Choice Requires="x14">
            <control shapeId="14236" r:id="rId429" name="Button 2972">
              <controlPr defaultSize="0" autoFill="0" autoLine="0" autoPict="0" macro="[0]!Sheet1.deleteRow">
                <anchor moveWithCells="1" sizeWithCells="1">
                  <from>
                    <xdr:col>6</xdr:col>
                    <xdr:colOff>0</xdr:colOff>
                    <xdr:row>854</xdr:row>
                    <xdr:rowOff>0</xdr:rowOff>
                  </from>
                  <to>
                    <xdr:col>7</xdr:col>
                    <xdr:colOff>0</xdr:colOff>
                    <xdr:row>854</xdr:row>
                    <xdr:rowOff>165100</xdr:rowOff>
                  </to>
                </anchor>
              </controlPr>
            </control>
          </mc:Choice>
        </mc:AlternateContent>
        <mc:AlternateContent xmlns:mc="http://schemas.openxmlformats.org/markup-compatibility/2006">
          <mc:Choice Requires="x14">
            <control shapeId="14235" r:id="rId430" name="Button 2971">
              <controlPr defaultSize="0" autoFill="0" autoLine="0" autoPict="0" macro="[0]!Sheet1.deleteRow">
                <anchor moveWithCells="1" sizeWithCells="1">
                  <from>
                    <xdr:col>6</xdr:col>
                    <xdr:colOff>0</xdr:colOff>
                    <xdr:row>855</xdr:row>
                    <xdr:rowOff>0</xdr:rowOff>
                  </from>
                  <to>
                    <xdr:col>7</xdr:col>
                    <xdr:colOff>0</xdr:colOff>
                    <xdr:row>855</xdr:row>
                    <xdr:rowOff>165100</xdr:rowOff>
                  </to>
                </anchor>
              </controlPr>
            </control>
          </mc:Choice>
        </mc:AlternateContent>
        <mc:AlternateContent xmlns:mc="http://schemas.openxmlformats.org/markup-compatibility/2006">
          <mc:Choice Requires="x14">
            <control shapeId="14234" r:id="rId431" name="Button 2970">
              <controlPr defaultSize="0" autoFill="0" autoLine="0" autoPict="0" macro="[0]!Sheet1.deleteRow">
                <anchor moveWithCells="1" sizeWithCells="1">
                  <from>
                    <xdr:col>6</xdr:col>
                    <xdr:colOff>0</xdr:colOff>
                    <xdr:row>856</xdr:row>
                    <xdr:rowOff>0</xdr:rowOff>
                  </from>
                  <to>
                    <xdr:col>7</xdr:col>
                    <xdr:colOff>0</xdr:colOff>
                    <xdr:row>856</xdr:row>
                    <xdr:rowOff>165100</xdr:rowOff>
                  </to>
                </anchor>
              </controlPr>
            </control>
          </mc:Choice>
        </mc:AlternateContent>
        <mc:AlternateContent xmlns:mc="http://schemas.openxmlformats.org/markup-compatibility/2006">
          <mc:Choice Requires="x14">
            <control shapeId="14233" r:id="rId432" name="Button 2969">
              <controlPr defaultSize="0" autoFill="0" autoLine="0" autoPict="0" macro="[0]!Sheet1.deleteRow">
                <anchor moveWithCells="1" sizeWithCells="1">
                  <from>
                    <xdr:col>6</xdr:col>
                    <xdr:colOff>0</xdr:colOff>
                    <xdr:row>857</xdr:row>
                    <xdr:rowOff>0</xdr:rowOff>
                  </from>
                  <to>
                    <xdr:col>7</xdr:col>
                    <xdr:colOff>0</xdr:colOff>
                    <xdr:row>857</xdr:row>
                    <xdr:rowOff>165100</xdr:rowOff>
                  </to>
                </anchor>
              </controlPr>
            </control>
          </mc:Choice>
        </mc:AlternateContent>
        <mc:AlternateContent xmlns:mc="http://schemas.openxmlformats.org/markup-compatibility/2006">
          <mc:Choice Requires="x14">
            <control shapeId="14232" r:id="rId433" name="Button 2968">
              <controlPr defaultSize="0" autoFill="0" autoLine="0" autoPict="0" macro="[0]!Sheet1.deleteRow">
                <anchor moveWithCells="1" sizeWithCells="1">
                  <from>
                    <xdr:col>6</xdr:col>
                    <xdr:colOff>0</xdr:colOff>
                    <xdr:row>858</xdr:row>
                    <xdr:rowOff>0</xdr:rowOff>
                  </from>
                  <to>
                    <xdr:col>7</xdr:col>
                    <xdr:colOff>0</xdr:colOff>
                    <xdr:row>858</xdr:row>
                    <xdr:rowOff>165100</xdr:rowOff>
                  </to>
                </anchor>
              </controlPr>
            </control>
          </mc:Choice>
        </mc:AlternateContent>
        <mc:AlternateContent xmlns:mc="http://schemas.openxmlformats.org/markup-compatibility/2006">
          <mc:Choice Requires="x14">
            <control shapeId="14231" r:id="rId434" name="Button 2967">
              <controlPr defaultSize="0" autoFill="0" autoLine="0" autoPict="0" macro="[0]!Sheet1.deleteRow">
                <anchor moveWithCells="1" sizeWithCells="1">
                  <from>
                    <xdr:col>6</xdr:col>
                    <xdr:colOff>0</xdr:colOff>
                    <xdr:row>859</xdr:row>
                    <xdr:rowOff>0</xdr:rowOff>
                  </from>
                  <to>
                    <xdr:col>7</xdr:col>
                    <xdr:colOff>0</xdr:colOff>
                    <xdr:row>859</xdr:row>
                    <xdr:rowOff>165100</xdr:rowOff>
                  </to>
                </anchor>
              </controlPr>
            </control>
          </mc:Choice>
        </mc:AlternateContent>
        <mc:AlternateContent xmlns:mc="http://schemas.openxmlformats.org/markup-compatibility/2006">
          <mc:Choice Requires="x14">
            <control shapeId="14230" r:id="rId435" name="Button 2966">
              <controlPr defaultSize="0" autoFill="0" autoLine="0" autoPict="0" macro="[0]!Sheet1.deleteRow">
                <anchor moveWithCells="1" sizeWithCells="1">
                  <from>
                    <xdr:col>6</xdr:col>
                    <xdr:colOff>0</xdr:colOff>
                    <xdr:row>860</xdr:row>
                    <xdr:rowOff>0</xdr:rowOff>
                  </from>
                  <to>
                    <xdr:col>7</xdr:col>
                    <xdr:colOff>0</xdr:colOff>
                    <xdr:row>860</xdr:row>
                    <xdr:rowOff>165100</xdr:rowOff>
                  </to>
                </anchor>
              </controlPr>
            </control>
          </mc:Choice>
        </mc:AlternateContent>
        <mc:AlternateContent xmlns:mc="http://schemas.openxmlformats.org/markup-compatibility/2006">
          <mc:Choice Requires="x14">
            <control shapeId="14229" r:id="rId436" name="Button 2965">
              <controlPr defaultSize="0" autoFill="0" autoLine="0" autoPict="0" macro="[0]!Sheet1.deleteRow">
                <anchor moveWithCells="1" sizeWithCells="1">
                  <from>
                    <xdr:col>6</xdr:col>
                    <xdr:colOff>0</xdr:colOff>
                    <xdr:row>861</xdr:row>
                    <xdr:rowOff>0</xdr:rowOff>
                  </from>
                  <to>
                    <xdr:col>7</xdr:col>
                    <xdr:colOff>0</xdr:colOff>
                    <xdr:row>861</xdr:row>
                    <xdr:rowOff>165100</xdr:rowOff>
                  </to>
                </anchor>
              </controlPr>
            </control>
          </mc:Choice>
        </mc:AlternateContent>
        <mc:AlternateContent xmlns:mc="http://schemas.openxmlformats.org/markup-compatibility/2006">
          <mc:Choice Requires="x14">
            <control shapeId="14228" r:id="rId437" name="Button 2964">
              <controlPr defaultSize="0" autoFill="0" autoLine="0" autoPict="0" macro="[0]!Sheet1.deleteRow">
                <anchor moveWithCells="1" sizeWithCells="1">
                  <from>
                    <xdr:col>6</xdr:col>
                    <xdr:colOff>0</xdr:colOff>
                    <xdr:row>862</xdr:row>
                    <xdr:rowOff>0</xdr:rowOff>
                  </from>
                  <to>
                    <xdr:col>7</xdr:col>
                    <xdr:colOff>0</xdr:colOff>
                    <xdr:row>862</xdr:row>
                    <xdr:rowOff>165100</xdr:rowOff>
                  </to>
                </anchor>
              </controlPr>
            </control>
          </mc:Choice>
        </mc:AlternateContent>
        <mc:AlternateContent xmlns:mc="http://schemas.openxmlformats.org/markup-compatibility/2006">
          <mc:Choice Requires="x14">
            <control shapeId="14227" r:id="rId438" name="Button 2963">
              <controlPr defaultSize="0" autoFill="0" autoLine="0" autoPict="0" macro="[0]!Sheet1.deleteRow">
                <anchor moveWithCells="1" sizeWithCells="1">
                  <from>
                    <xdr:col>6</xdr:col>
                    <xdr:colOff>0</xdr:colOff>
                    <xdr:row>863</xdr:row>
                    <xdr:rowOff>0</xdr:rowOff>
                  </from>
                  <to>
                    <xdr:col>7</xdr:col>
                    <xdr:colOff>0</xdr:colOff>
                    <xdr:row>863</xdr:row>
                    <xdr:rowOff>165100</xdr:rowOff>
                  </to>
                </anchor>
              </controlPr>
            </control>
          </mc:Choice>
        </mc:AlternateContent>
        <mc:AlternateContent xmlns:mc="http://schemas.openxmlformats.org/markup-compatibility/2006">
          <mc:Choice Requires="x14">
            <control shapeId="14226" r:id="rId439" name="Button 2962">
              <controlPr defaultSize="0" autoFill="0" autoLine="0" autoPict="0" macro="[0]!Sheet1.deleteProcedure">
                <anchor moveWithCells="1" sizeWithCells="1">
                  <from>
                    <xdr:col>6</xdr:col>
                    <xdr:colOff>0</xdr:colOff>
                    <xdr:row>866</xdr:row>
                    <xdr:rowOff>0</xdr:rowOff>
                  </from>
                  <to>
                    <xdr:col>7</xdr:col>
                    <xdr:colOff>0</xdr:colOff>
                    <xdr:row>867</xdr:row>
                    <xdr:rowOff>0</xdr:rowOff>
                  </to>
                </anchor>
              </controlPr>
            </control>
          </mc:Choice>
        </mc:AlternateContent>
        <mc:AlternateContent xmlns:mc="http://schemas.openxmlformats.org/markup-compatibility/2006">
          <mc:Choice Requires="x14">
            <control shapeId="14225" r:id="rId440" name="Button 2961">
              <controlPr defaultSize="0" autoFill="0" autoLine="0" autoPict="0" macro="[0]!Sheet1.InsertNewTableRow">
                <anchor moveWithCells="1" sizeWithCells="1">
                  <from>
                    <xdr:col>6</xdr:col>
                    <xdr:colOff>0</xdr:colOff>
                    <xdr:row>873</xdr:row>
                    <xdr:rowOff>0</xdr:rowOff>
                  </from>
                  <to>
                    <xdr:col>7</xdr:col>
                    <xdr:colOff>0</xdr:colOff>
                    <xdr:row>873</xdr:row>
                    <xdr:rowOff>171450</xdr:rowOff>
                  </to>
                </anchor>
              </controlPr>
            </control>
          </mc:Choice>
        </mc:AlternateContent>
        <mc:AlternateContent xmlns:mc="http://schemas.openxmlformats.org/markup-compatibility/2006">
          <mc:Choice Requires="x14">
            <control shapeId="14224" r:id="rId441" name="Button 2960">
              <controlPr defaultSize="0" autoFill="0" autoLine="0" autoPict="0" macro="[0]!Sheet1.deleteRow">
                <anchor moveWithCells="1" sizeWithCells="1">
                  <from>
                    <xdr:col>6</xdr:col>
                    <xdr:colOff>0</xdr:colOff>
                    <xdr:row>874</xdr:row>
                    <xdr:rowOff>0</xdr:rowOff>
                  </from>
                  <to>
                    <xdr:col>7</xdr:col>
                    <xdr:colOff>0</xdr:colOff>
                    <xdr:row>874</xdr:row>
                    <xdr:rowOff>165100</xdr:rowOff>
                  </to>
                </anchor>
              </controlPr>
            </control>
          </mc:Choice>
        </mc:AlternateContent>
        <mc:AlternateContent xmlns:mc="http://schemas.openxmlformats.org/markup-compatibility/2006">
          <mc:Choice Requires="x14">
            <control shapeId="14223" r:id="rId442" name="Button 2959">
              <controlPr defaultSize="0" autoFill="0" autoLine="0" autoPict="0" macro="[0]!Sheet1.deleteRow">
                <anchor moveWithCells="1" sizeWithCells="1">
                  <from>
                    <xdr:col>6</xdr:col>
                    <xdr:colOff>0</xdr:colOff>
                    <xdr:row>875</xdr:row>
                    <xdr:rowOff>0</xdr:rowOff>
                  </from>
                  <to>
                    <xdr:col>7</xdr:col>
                    <xdr:colOff>0</xdr:colOff>
                    <xdr:row>875</xdr:row>
                    <xdr:rowOff>165100</xdr:rowOff>
                  </to>
                </anchor>
              </controlPr>
            </control>
          </mc:Choice>
        </mc:AlternateContent>
        <mc:AlternateContent xmlns:mc="http://schemas.openxmlformats.org/markup-compatibility/2006">
          <mc:Choice Requires="x14">
            <control shapeId="14222" r:id="rId443" name="Button 2958">
              <controlPr defaultSize="0" autoFill="0" autoLine="0" autoPict="0" macro="[0]!Sheet1.deleteProcedure">
                <anchor moveWithCells="1" sizeWithCells="1">
                  <from>
                    <xdr:col>6</xdr:col>
                    <xdr:colOff>0</xdr:colOff>
                    <xdr:row>878</xdr:row>
                    <xdr:rowOff>0</xdr:rowOff>
                  </from>
                  <to>
                    <xdr:col>7</xdr:col>
                    <xdr:colOff>0</xdr:colOff>
                    <xdr:row>879</xdr:row>
                    <xdr:rowOff>0</xdr:rowOff>
                  </to>
                </anchor>
              </controlPr>
            </control>
          </mc:Choice>
        </mc:AlternateContent>
        <mc:AlternateContent xmlns:mc="http://schemas.openxmlformats.org/markup-compatibility/2006">
          <mc:Choice Requires="x14">
            <control shapeId="14221" r:id="rId444" name="Button 2957">
              <controlPr defaultSize="0" autoFill="0" autoLine="0" autoPict="0" macro="[0]!Sheet1.InsertNewTableRow">
                <anchor moveWithCells="1" sizeWithCells="1">
                  <from>
                    <xdr:col>6</xdr:col>
                    <xdr:colOff>0</xdr:colOff>
                    <xdr:row>885</xdr:row>
                    <xdr:rowOff>0</xdr:rowOff>
                  </from>
                  <to>
                    <xdr:col>7</xdr:col>
                    <xdr:colOff>0</xdr:colOff>
                    <xdr:row>885</xdr:row>
                    <xdr:rowOff>171450</xdr:rowOff>
                  </to>
                </anchor>
              </controlPr>
            </control>
          </mc:Choice>
        </mc:AlternateContent>
        <mc:AlternateContent xmlns:mc="http://schemas.openxmlformats.org/markup-compatibility/2006">
          <mc:Choice Requires="x14">
            <control shapeId="14220" r:id="rId445" name="Button 2956">
              <controlPr defaultSize="0" autoFill="0" autoLine="0" autoPict="0" macro="[0]!Sheet1.deleteRow">
                <anchor moveWithCells="1" sizeWithCells="1">
                  <from>
                    <xdr:col>6</xdr:col>
                    <xdr:colOff>0</xdr:colOff>
                    <xdr:row>886</xdr:row>
                    <xdr:rowOff>0</xdr:rowOff>
                  </from>
                  <to>
                    <xdr:col>7</xdr:col>
                    <xdr:colOff>0</xdr:colOff>
                    <xdr:row>886</xdr:row>
                    <xdr:rowOff>165100</xdr:rowOff>
                  </to>
                </anchor>
              </controlPr>
            </control>
          </mc:Choice>
        </mc:AlternateContent>
        <mc:AlternateContent xmlns:mc="http://schemas.openxmlformats.org/markup-compatibility/2006">
          <mc:Choice Requires="x14">
            <control shapeId="14219" r:id="rId446" name="Button 2955">
              <controlPr defaultSize="0" autoFill="0" autoLine="0" autoPict="0" macro="[0]!Sheet1.deleteRow">
                <anchor moveWithCells="1" sizeWithCells="1">
                  <from>
                    <xdr:col>6</xdr:col>
                    <xdr:colOff>0</xdr:colOff>
                    <xdr:row>887</xdr:row>
                    <xdr:rowOff>0</xdr:rowOff>
                  </from>
                  <to>
                    <xdr:col>7</xdr:col>
                    <xdr:colOff>0</xdr:colOff>
                    <xdr:row>887</xdr:row>
                    <xdr:rowOff>165100</xdr:rowOff>
                  </to>
                </anchor>
              </controlPr>
            </control>
          </mc:Choice>
        </mc:AlternateContent>
        <mc:AlternateContent xmlns:mc="http://schemas.openxmlformats.org/markup-compatibility/2006">
          <mc:Choice Requires="x14">
            <control shapeId="14218" r:id="rId447" name="Button 2954">
              <controlPr defaultSize="0" autoFill="0" autoLine="0" autoPict="0" macro="[0]!Sheet1.deleteRow">
                <anchor moveWithCells="1" sizeWithCells="1">
                  <from>
                    <xdr:col>6</xdr:col>
                    <xdr:colOff>0</xdr:colOff>
                    <xdr:row>888</xdr:row>
                    <xdr:rowOff>0</xdr:rowOff>
                  </from>
                  <to>
                    <xdr:col>7</xdr:col>
                    <xdr:colOff>0</xdr:colOff>
                    <xdr:row>888</xdr:row>
                    <xdr:rowOff>165100</xdr:rowOff>
                  </to>
                </anchor>
              </controlPr>
            </control>
          </mc:Choice>
        </mc:AlternateContent>
        <mc:AlternateContent xmlns:mc="http://schemas.openxmlformats.org/markup-compatibility/2006">
          <mc:Choice Requires="x14">
            <control shapeId="14217" r:id="rId448" name="Button 2953">
              <controlPr defaultSize="0" autoFill="0" autoLine="0" autoPict="0" macro="[0]!Sheet1.deleteRow">
                <anchor moveWithCells="1" sizeWithCells="1">
                  <from>
                    <xdr:col>6</xdr:col>
                    <xdr:colOff>0</xdr:colOff>
                    <xdr:row>889</xdr:row>
                    <xdr:rowOff>0</xdr:rowOff>
                  </from>
                  <to>
                    <xdr:col>7</xdr:col>
                    <xdr:colOff>0</xdr:colOff>
                    <xdr:row>889</xdr:row>
                    <xdr:rowOff>165100</xdr:rowOff>
                  </to>
                </anchor>
              </controlPr>
            </control>
          </mc:Choice>
        </mc:AlternateContent>
        <mc:AlternateContent xmlns:mc="http://schemas.openxmlformats.org/markup-compatibility/2006">
          <mc:Choice Requires="x14">
            <control shapeId="14216" r:id="rId449" name="Button 2952">
              <controlPr defaultSize="0" autoFill="0" autoLine="0" autoPict="0" macro="[0]!Sheet1.deleteRow">
                <anchor moveWithCells="1" sizeWithCells="1">
                  <from>
                    <xdr:col>6</xdr:col>
                    <xdr:colOff>0</xdr:colOff>
                    <xdr:row>890</xdr:row>
                    <xdr:rowOff>0</xdr:rowOff>
                  </from>
                  <to>
                    <xdr:col>7</xdr:col>
                    <xdr:colOff>0</xdr:colOff>
                    <xdr:row>890</xdr:row>
                    <xdr:rowOff>165100</xdr:rowOff>
                  </to>
                </anchor>
              </controlPr>
            </control>
          </mc:Choice>
        </mc:AlternateContent>
        <mc:AlternateContent xmlns:mc="http://schemas.openxmlformats.org/markup-compatibility/2006">
          <mc:Choice Requires="x14">
            <control shapeId="14215" r:id="rId450" name="Button 2951">
              <controlPr defaultSize="0" autoFill="0" autoLine="0" autoPict="0" macro="[0]!Sheet1.deleteRow">
                <anchor moveWithCells="1" sizeWithCells="1">
                  <from>
                    <xdr:col>6</xdr:col>
                    <xdr:colOff>0</xdr:colOff>
                    <xdr:row>891</xdr:row>
                    <xdr:rowOff>0</xdr:rowOff>
                  </from>
                  <to>
                    <xdr:col>7</xdr:col>
                    <xdr:colOff>0</xdr:colOff>
                    <xdr:row>891</xdr:row>
                    <xdr:rowOff>165100</xdr:rowOff>
                  </to>
                </anchor>
              </controlPr>
            </control>
          </mc:Choice>
        </mc:AlternateContent>
        <mc:AlternateContent xmlns:mc="http://schemas.openxmlformats.org/markup-compatibility/2006">
          <mc:Choice Requires="x14">
            <control shapeId="14214" r:id="rId451" name="Button 2950">
              <controlPr defaultSize="0" autoFill="0" autoLine="0" autoPict="0" macro="[0]!Sheet1.deleteProcedure">
                <anchor moveWithCells="1" sizeWithCells="1">
                  <from>
                    <xdr:col>6</xdr:col>
                    <xdr:colOff>0</xdr:colOff>
                    <xdr:row>894</xdr:row>
                    <xdr:rowOff>0</xdr:rowOff>
                  </from>
                  <to>
                    <xdr:col>7</xdr:col>
                    <xdr:colOff>0</xdr:colOff>
                    <xdr:row>895</xdr:row>
                    <xdr:rowOff>0</xdr:rowOff>
                  </to>
                </anchor>
              </controlPr>
            </control>
          </mc:Choice>
        </mc:AlternateContent>
        <mc:AlternateContent xmlns:mc="http://schemas.openxmlformats.org/markup-compatibility/2006">
          <mc:Choice Requires="x14">
            <control shapeId="14213" r:id="rId452" name="Button 2949">
              <controlPr defaultSize="0" autoFill="0" autoLine="0" autoPict="0" macro="[0]!Sheet1.InsertNewTableRow">
                <anchor moveWithCells="1" sizeWithCells="1">
                  <from>
                    <xdr:col>6</xdr:col>
                    <xdr:colOff>0</xdr:colOff>
                    <xdr:row>901</xdr:row>
                    <xdr:rowOff>0</xdr:rowOff>
                  </from>
                  <to>
                    <xdr:col>7</xdr:col>
                    <xdr:colOff>0</xdr:colOff>
                    <xdr:row>901</xdr:row>
                    <xdr:rowOff>171450</xdr:rowOff>
                  </to>
                </anchor>
              </controlPr>
            </control>
          </mc:Choice>
        </mc:AlternateContent>
        <mc:AlternateContent xmlns:mc="http://schemas.openxmlformats.org/markup-compatibility/2006">
          <mc:Choice Requires="x14">
            <control shapeId="14212" r:id="rId453" name="Button 2948">
              <controlPr defaultSize="0" autoFill="0" autoLine="0" autoPict="0" macro="[0]!Sheet1.deleteRow">
                <anchor moveWithCells="1" sizeWithCells="1">
                  <from>
                    <xdr:col>6</xdr:col>
                    <xdr:colOff>0</xdr:colOff>
                    <xdr:row>902</xdr:row>
                    <xdr:rowOff>0</xdr:rowOff>
                  </from>
                  <to>
                    <xdr:col>7</xdr:col>
                    <xdr:colOff>0</xdr:colOff>
                    <xdr:row>902</xdr:row>
                    <xdr:rowOff>165100</xdr:rowOff>
                  </to>
                </anchor>
              </controlPr>
            </control>
          </mc:Choice>
        </mc:AlternateContent>
        <mc:AlternateContent xmlns:mc="http://schemas.openxmlformats.org/markup-compatibility/2006">
          <mc:Choice Requires="x14">
            <control shapeId="14211" r:id="rId454" name="Button 2947">
              <controlPr defaultSize="0" autoFill="0" autoLine="0" autoPict="0" macro="[0]!Sheet1.deleteRow">
                <anchor moveWithCells="1" sizeWithCells="1">
                  <from>
                    <xdr:col>6</xdr:col>
                    <xdr:colOff>0</xdr:colOff>
                    <xdr:row>903</xdr:row>
                    <xdr:rowOff>0</xdr:rowOff>
                  </from>
                  <to>
                    <xdr:col>7</xdr:col>
                    <xdr:colOff>0</xdr:colOff>
                    <xdr:row>903</xdr:row>
                    <xdr:rowOff>165100</xdr:rowOff>
                  </to>
                </anchor>
              </controlPr>
            </control>
          </mc:Choice>
        </mc:AlternateContent>
        <mc:AlternateContent xmlns:mc="http://schemas.openxmlformats.org/markup-compatibility/2006">
          <mc:Choice Requires="x14">
            <control shapeId="14210" r:id="rId455" name="Button 2946">
              <controlPr defaultSize="0" autoFill="0" autoLine="0" autoPict="0" macro="[0]!Sheet1.deleteProcedure">
                <anchor moveWithCells="1" sizeWithCells="1">
                  <from>
                    <xdr:col>6</xdr:col>
                    <xdr:colOff>0</xdr:colOff>
                    <xdr:row>906</xdr:row>
                    <xdr:rowOff>0</xdr:rowOff>
                  </from>
                  <to>
                    <xdr:col>7</xdr:col>
                    <xdr:colOff>0</xdr:colOff>
                    <xdr:row>907</xdr:row>
                    <xdr:rowOff>0</xdr:rowOff>
                  </to>
                </anchor>
              </controlPr>
            </control>
          </mc:Choice>
        </mc:AlternateContent>
        <mc:AlternateContent xmlns:mc="http://schemas.openxmlformats.org/markup-compatibility/2006">
          <mc:Choice Requires="x14">
            <control shapeId="14209" r:id="rId456" name="Button 2945">
              <controlPr defaultSize="0" autoFill="0" autoLine="0" autoPict="0" macro="[0]!Sheet1.InsertNewTableRow">
                <anchor moveWithCells="1" sizeWithCells="1">
                  <from>
                    <xdr:col>6</xdr:col>
                    <xdr:colOff>0</xdr:colOff>
                    <xdr:row>913</xdr:row>
                    <xdr:rowOff>0</xdr:rowOff>
                  </from>
                  <to>
                    <xdr:col>7</xdr:col>
                    <xdr:colOff>0</xdr:colOff>
                    <xdr:row>913</xdr:row>
                    <xdr:rowOff>171450</xdr:rowOff>
                  </to>
                </anchor>
              </controlPr>
            </control>
          </mc:Choice>
        </mc:AlternateContent>
        <mc:AlternateContent xmlns:mc="http://schemas.openxmlformats.org/markup-compatibility/2006">
          <mc:Choice Requires="x14">
            <control shapeId="14208" r:id="rId457" name="Button 2944">
              <controlPr defaultSize="0" autoFill="0" autoLine="0" autoPict="0" macro="[0]!Sheet1.deleteRow">
                <anchor moveWithCells="1" sizeWithCells="1">
                  <from>
                    <xdr:col>6</xdr:col>
                    <xdr:colOff>0</xdr:colOff>
                    <xdr:row>914</xdr:row>
                    <xdr:rowOff>0</xdr:rowOff>
                  </from>
                  <to>
                    <xdr:col>7</xdr:col>
                    <xdr:colOff>0</xdr:colOff>
                    <xdr:row>914</xdr:row>
                    <xdr:rowOff>165100</xdr:rowOff>
                  </to>
                </anchor>
              </controlPr>
            </control>
          </mc:Choice>
        </mc:AlternateContent>
        <mc:AlternateContent xmlns:mc="http://schemas.openxmlformats.org/markup-compatibility/2006">
          <mc:Choice Requires="x14">
            <control shapeId="14207" r:id="rId458" name="Button 2943">
              <controlPr defaultSize="0" autoFill="0" autoLine="0" autoPict="0" macro="[0]!Sheet1.deleteProcedure">
                <anchor moveWithCells="1" sizeWithCells="1">
                  <from>
                    <xdr:col>6</xdr:col>
                    <xdr:colOff>0</xdr:colOff>
                    <xdr:row>917</xdr:row>
                    <xdr:rowOff>0</xdr:rowOff>
                  </from>
                  <to>
                    <xdr:col>7</xdr:col>
                    <xdr:colOff>0</xdr:colOff>
                    <xdr:row>918</xdr:row>
                    <xdr:rowOff>0</xdr:rowOff>
                  </to>
                </anchor>
              </controlPr>
            </control>
          </mc:Choice>
        </mc:AlternateContent>
        <mc:AlternateContent xmlns:mc="http://schemas.openxmlformats.org/markup-compatibility/2006">
          <mc:Choice Requires="x14">
            <control shapeId="14206" r:id="rId459" name="Button 2942">
              <controlPr defaultSize="0" autoFill="0" autoLine="0" autoPict="0" macro="[0]!Sheet1.InsertNewTableRow">
                <anchor moveWithCells="1" sizeWithCells="1">
                  <from>
                    <xdr:col>6</xdr:col>
                    <xdr:colOff>0</xdr:colOff>
                    <xdr:row>924</xdr:row>
                    <xdr:rowOff>0</xdr:rowOff>
                  </from>
                  <to>
                    <xdr:col>7</xdr:col>
                    <xdr:colOff>0</xdr:colOff>
                    <xdr:row>924</xdr:row>
                    <xdr:rowOff>171450</xdr:rowOff>
                  </to>
                </anchor>
              </controlPr>
            </control>
          </mc:Choice>
        </mc:AlternateContent>
        <mc:AlternateContent xmlns:mc="http://schemas.openxmlformats.org/markup-compatibility/2006">
          <mc:Choice Requires="x14">
            <control shapeId="14205" r:id="rId460" name="Button 2941">
              <controlPr defaultSize="0" autoFill="0" autoLine="0" autoPict="0" macro="[0]!Sheet1.deleteRow">
                <anchor moveWithCells="1" sizeWithCells="1">
                  <from>
                    <xdr:col>6</xdr:col>
                    <xdr:colOff>0</xdr:colOff>
                    <xdr:row>925</xdr:row>
                    <xdr:rowOff>0</xdr:rowOff>
                  </from>
                  <to>
                    <xdr:col>7</xdr:col>
                    <xdr:colOff>0</xdr:colOff>
                    <xdr:row>925</xdr:row>
                    <xdr:rowOff>165100</xdr:rowOff>
                  </to>
                </anchor>
              </controlPr>
            </control>
          </mc:Choice>
        </mc:AlternateContent>
        <mc:AlternateContent xmlns:mc="http://schemas.openxmlformats.org/markup-compatibility/2006">
          <mc:Choice Requires="x14">
            <control shapeId="14204" r:id="rId461" name="Button 2940">
              <controlPr defaultSize="0" autoFill="0" autoLine="0" autoPict="0" macro="[0]!Sheet1.deleteRow">
                <anchor moveWithCells="1" sizeWithCells="1">
                  <from>
                    <xdr:col>6</xdr:col>
                    <xdr:colOff>0</xdr:colOff>
                    <xdr:row>926</xdr:row>
                    <xdr:rowOff>0</xdr:rowOff>
                  </from>
                  <to>
                    <xdr:col>7</xdr:col>
                    <xdr:colOff>0</xdr:colOff>
                    <xdr:row>926</xdr:row>
                    <xdr:rowOff>165100</xdr:rowOff>
                  </to>
                </anchor>
              </controlPr>
            </control>
          </mc:Choice>
        </mc:AlternateContent>
        <mc:AlternateContent xmlns:mc="http://schemas.openxmlformats.org/markup-compatibility/2006">
          <mc:Choice Requires="x14">
            <control shapeId="14203" r:id="rId462" name="Button 2939">
              <controlPr defaultSize="0" autoFill="0" autoLine="0" autoPict="0" macro="[0]!Sheet1.deleteRow">
                <anchor moveWithCells="1" sizeWithCells="1">
                  <from>
                    <xdr:col>6</xdr:col>
                    <xdr:colOff>0</xdr:colOff>
                    <xdr:row>927</xdr:row>
                    <xdr:rowOff>0</xdr:rowOff>
                  </from>
                  <to>
                    <xdr:col>7</xdr:col>
                    <xdr:colOff>0</xdr:colOff>
                    <xdr:row>927</xdr:row>
                    <xdr:rowOff>165100</xdr:rowOff>
                  </to>
                </anchor>
              </controlPr>
            </control>
          </mc:Choice>
        </mc:AlternateContent>
        <mc:AlternateContent xmlns:mc="http://schemas.openxmlformats.org/markup-compatibility/2006">
          <mc:Choice Requires="x14">
            <control shapeId="14202" r:id="rId463" name="Button 2938">
              <controlPr defaultSize="0" autoFill="0" autoLine="0" autoPict="0" macro="[0]!Sheet1.deleteProcedure">
                <anchor moveWithCells="1" sizeWithCells="1">
                  <from>
                    <xdr:col>6</xdr:col>
                    <xdr:colOff>0</xdr:colOff>
                    <xdr:row>930</xdr:row>
                    <xdr:rowOff>0</xdr:rowOff>
                  </from>
                  <to>
                    <xdr:col>7</xdr:col>
                    <xdr:colOff>0</xdr:colOff>
                    <xdr:row>931</xdr:row>
                    <xdr:rowOff>0</xdr:rowOff>
                  </to>
                </anchor>
              </controlPr>
            </control>
          </mc:Choice>
        </mc:AlternateContent>
        <mc:AlternateContent xmlns:mc="http://schemas.openxmlformats.org/markup-compatibility/2006">
          <mc:Choice Requires="x14">
            <control shapeId="14201" r:id="rId464" name="Button 2937">
              <controlPr defaultSize="0" autoFill="0" autoLine="0" autoPict="0" macro="[0]!Sheet1.InsertNewTableRow">
                <anchor moveWithCells="1" sizeWithCells="1">
                  <from>
                    <xdr:col>6</xdr:col>
                    <xdr:colOff>0</xdr:colOff>
                    <xdr:row>937</xdr:row>
                    <xdr:rowOff>0</xdr:rowOff>
                  </from>
                  <to>
                    <xdr:col>7</xdr:col>
                    <xdr:colOff>0</xdr:colOff>
                    <xdr:row>937</xdr:row>
                    <xdr:rowOff>171450</xdr:rowOff>
                  </to>
                </anchor>
              </controlPr>
            </control>
          </mc:Choice>
        </mc:AlternateContent>
        <mc:AlternateContent xmlns:mc="http://schemas.openxmlformats.org/markup-compatibility/2006">
          <mc:Choice Requires="x14">
            <control shapeId="14200" r:id="rId465" name="Button 2936">
              <controlPr defaultSize="0" autoFill="0" autoLine="0" autoPict="0" macro="[0]!Sheet1.deleteRow">
                <anchor moveWithCells="1" sizeWithCells="1">
                  <from>
                    <xdr:col>6</xdr:col>
                    <xdr:colOff>0</xdr:colOff>
                    <xdr:row>938</xdr:row>
                    <xdr:rowOff>0</xdr:rowOff>
                  </from>
                  <to>
                    <xdr:col>7</xdr:col>
                    <xdr:colOff>0</xdr:colOff>
                    <xdr:row>938</xdr:row>
                    <xdr:rowOff>165100</xdr:rowOff>
                  </to>
                </anchor>
              </controlPr>
            </control>
          </mc:Choice>
        </mc:AlternateContent>
        <mc:AlternateContent xmlns:mc="http://schemas.openxmlformats.org/markup-compatibility/2006">
          <mc:Choice Requires="x14">
            <control shapeId="14199" r:id="rId466" name="Button 2935">
              <controlPr defaultSize="0" autoFill="0" autoLine="0" autoPict="0" macro="[0]!Sheet1.deleteProcedure">
                <anchor moveWithCells="1" sizeWithCells="1">
                  <from>
                    <xdr:col>6</xdr:col>
                    <xdr:colOff>0</xdr:colOff>
                    <xdr:row>941</xdr:row>
                    <xdr:rowOff>0</xdr:rowOff>
                  </from>
                  <to>
                    <xdr:col>7</xdr:col>
                    <xdr:colOff>0</xdr:colOff>
                    <xdr:row>942</xdr:row>
                    <xdr:rowOff>0</xdr:rowOff>
                  </to>
                </anchor>
              </controlPr>
            </control>
          </mc:Choice>
        </mc:AlternateContent>
        <mc:AlternateContent xmlns:mc="http://schemas.openxmlformats.org/markup-compatibility/2006">
          <mc:Choice Requires="x14">
            <control shapeId="14198" r:id="rId467" name="Button 2934">
              <controlPr defaultSize="0" autoFill="0" autoLine="0" autoPict="0" macro="[0]!Sheet1.InsertNewTableRow">
                <anchor moveWithCells="1" sizeWithCells="1">
                  <from>
                    <xdr:col>6</xdr:col>
                    <xdr:colOff>0</xdr:colOff>
                    <xdr:row>948</xdr:row>
                    <xdr:rowOff>0</xdr:rowOff>
                  </from>
                  <to>
                    <xdr:col>7</xdr:col>
                    <xdr:colOff>0</xdr:colOff>
                    <xdr:row>948</xdr:row>
                    <xdr:rowOff>171450</xdr:rowOff>
                  </to>
                </anchor>
              </controlPr>
            </control>
          </mc:Choice>
        </mc:AlternateContent>
        <mc:AlternateContent xmlns:mc="http://schemas.openxmlformats.org/markup-compatibility/2006">
          <mc:Choice Requires="x14">
            <control shapeId="14197" r:id="rId468" name="Button 2933">
              <controlPr defaultSize="0" autoFill="0" autoLine="0" autoPict="0" macro="[0]!Sheet1.deleteRow">
                <anchor moveWithCells="1" sizeWithCells="1">
                  <from>
                    <xdr:col>6</xdr:col>
                    <xdr:colOff>0</xdr:colOff>
                    <xdr:row>949</xdr:row>
                    <xdr:rowOff>0</xdr:rowOff>
                  </from>
                  <to>
                    <xdr:col>7</xdr:col>
                    <xdr:colOff>0</xdr:colOff>
                    <xdr:row>949</xdr:row>
                    <xdr:rowOff>165100</xdr:rowOff>
                  </to>
                </anchor>
              </controlPr>
            </control>
          </mc:Choice>
        </mc:AlternateContent>
        <mc:AlternateContent xmlns:mc="http://schemas.openxmlformats.org/markup-compatibility/2006">
          <mc:Choice Requires="x14">
            <control shapeId="14196" r:id="rId469" name="Button 2932">
              <controlPr defaultSize="0" autoFill="0" autoLine="0" autoPict="0" macro="[0]!Sheet1.deleteRow">
                <anchor moveWithCells="1" sizeWithCells="1">
                  <from>
                    <xdr:col>6</xdr:col>
                    <xdr:colOff>0</xdr:colOff>
                    <xdr:row>950</xdr:row>
                    <xdr:rowOff>0</xdr:rowOff>
                  </from>
                  <to>
                    <xdr:col>7</xdr:col>
                    <xdr:colOff>0</xdr:colOff>
                    <xdr:row>950</xdr:row>
                    <xdr:rowOff>165100</xdr:rowOff>
                  </to>
                </anchor>
              </controlPr>
            </control>
          </mc:Choice>
        </mc:AlternateContent>
        <mc:AlternateContent xmlns:mc="http://schemas.openxmlformats.org/markup-compatibility/2006">
          <mc:Choice Requires="x14">
            <control shapeId="14195" r:id="rId470" name="Button 2931">
              <controlPr defaultSize="0" autoFill="0" autoLine="0" autoPict="0" macro="[0]!Sheet1.deleteProcedure">
                <anchor moveWithCells="1" sizeWithCells="1">
                  <from>
                    <xdr:col>6</xdr:col>
                    <xdr:colOff>0</xdr:colOff>
                    <xdr:row>953</xdr:row>
                    <xdr:rowOff>0</xdr:rowOff>
                  </from>
                  <to>
                    <xdr:col>7</xdr:col>
                    <xdr:colOff>0</xdr:colOff>
                    <xdr:row>954</xdr:row>
                    <xdr:rowOff>0</xdr:rowOff>
                  </to>
                </anchor>
              </controlPr>
            </control>
          </mc:Choice>
        </mc:AlternateContent>
        <mc:AlternateContent xmlns:mc="http://schemas.openxmlformats.org/markup-compatibility/2006">
          <mc:Choice Requires="x14">
            <control shapeId="14194" r:id="rId471" name="Button 2930">
              <controlPr defaultSize="0" autoFill="0" autoLine="0" autoPict="0" macro="[0]!Sheet1.InsertNewTableRow">
                <anchor moveWithCells="1" sizeWithCells="1">
                  <from>
                    <xdr:col>6</xdr:col>
                    <xdr:colOff>0</xdr:colOff>
                    <xdr:row>960</xdr:row>
                    <xdr:rowOff>0</xdr:rowOff>
                  </from>
                  <to>
                    <xdr:col>7</xdr:col>
                    <xdr:colOff>0</xdr:colOff>
                    <xdr:row>960</xdr:row>
                    <xdr:rowOff>171450</xdr:rowOff>
                  </to>
                </anchor>
              </controlPr>
            </control>
          </mc:Choice>
        </mc:AlternateContent>
        <mc:AlternateContent xmlns:mc="http://schemas.openxmlformats.org/markup-compatibility/2006">
          <mc:Choice Requires="x14">
            <control shapeId="14193" r:id="rId472" name="Button 2929">
              <controlPr defaultSize="0" autoFill="0" autoLine="0" autoPict="0" macro="[0]!Sheet1.deleteRow">
                <anchor moveWithCells="1" sizeWithCells="1">
                  <from>
                    <xdr:col>6</xdr:col>
                    <xdr:colOff>0</xdr:colOff>
                    <xdr:row>961</xdr:row>
                    <xdr:rowOff>0</xdr:rowOff>
                  </from>
                  <to>
                    <xdr:col>7</xdr:col>
                    <xdr:colOff>0</xdr:colOff>
                    <xdr:row>961</xdr:row>
                    <xdr:rowOff>165100</xdr:rowOff>
                  </to>
                </anchor>
              </controlPr>
            </control>
          </mc:Choice>
        </mc:AlternateContent>
        <mc:AlternateContent xmlns:mc="http://schemas.openxmlformats.org/markup-compatibility/2006">
          <mc:Choice Requires="x14">
            <control shapeId="14192" r:id="rId473" name="Button 2928">
              <controlPr defaultSize="0" autoFill="0" autoLine="0" autoPict="0" macro="[0]!Sheet1.deleteRow">
                <anchor moveWithCells="1" sizeWithCells="1">
                  <from>
                    <xdr:col>6</xdr:col>
                    <xdr:colOff>0</xdr:colOff>
                    <xdr:row>962</xdr:row>
                    <xdr:rowOff>0</xdr:rowOff>
                  </from>
                  <to>
                    <xdr:col>7</xdr:col>
                    <xdr:colOff>0</xdr:colOff>
                    <xdr:row>962</xdr:row>
                    <xdr:rowOff>165100</xdr:rowOff>
                  </to>
                </anchor>
              </controlPr>
            </control>
          </mc:Choice>
        </mc:AlternateContent>
        <mc:AlternateContent xmlns:mc="http://schemas.openxmlformats.org/markup-compatibility/2006">
          <mc:Choice Requires="x14">
            <control shapeId="14191" r:id="rId474" name="Button 2927">
              <controlPr defaultSize="0" autoFill="0" autoLine="0" autoPict="0" macro="[0]!Sheet1.deleteRow">
                <anchor moveWithCells="1" sizeWithCells="1">
                  <from>
                    <xdr:col>6</xdr:col>
                    <xdr:colOff>0</xdr:colOff>
                    <xdr:row>963</xdr:row>
                    <xdr:rowOff>0</xdr:rowOff>
                  </from>
                  <to>
                    <xdr:col>7</xdr:col>
                    <xdr:colOff>0</xdr:colOff>
                    <xdr:row>963</xdr:row>
                    <xdr:rowOff>165100</xdr:rowOff>
                  </to>
                </anchor>
              </controlPr>
            </control>
          </mc:Choice>
        </mc:AlternateContent>
        <mc:AlternateContent xmlns:mc="http://schemas.openxmlformats.org/markup-compatibility/2006">
          <mc:Choice Requires="x14">
            <control shapeId="14190" r:id="rId475" name="Button 2926">
              <controlPr defaultSize="0" autoFill="0" autoLine="0" autoPict="0" macro="[0]!Sheet1.deleteRow">
                <anchor moveWithCells="1" sizeWithCells="1">
                  <from>
                    <xdr:col>6</xdr:col>
                    <xdr:colOff>0</xdr:colOff>
                    <xdr:row>964</xdr:row>
                    <xdr:rowOff>0</xdr:rowOff>
                  </from>
                  <to>
                    <xdr:col>7</xdr:col>
                    <xdr:colOff>0</xdr:colOff>
                    <xdr:row>964</xdr:row>
                    <xdr:rowOff>165100</xdr:rowOff>
                  </to>
                </anchor>
              </controlPr>
            </control>
          </mc:Choice>
        </mc:AlternateContent>
        <mc:AlternateContent xmlns:mc="http://schemas.openxmlformats.org/markup-compatibility/2006">
          <mc:Choice Requires="x14">
            <control shapeId="14189" r:id="rId476" name="Button 2925">
              <controlPr defaultSize="0" autoFill="0" autoLine="0" autoPict="0" macro="[0]!Sheet1.deleteRow">
                <anchor moveWithCells="1" sizeWithCells="1">
                  <from>
                    <xdr:col>6</xdr:col>
                    <xdr:colOff>0</xdr:colOff>
                    <xdr:row>965</xdr:row>
                    <xdr:rowOff>0</xdr:rowOff>
                  </from>
                  <to>
                    <xdr:col>7</xdr:col>
                    <xdr:colOff>0</xdr:colOff>
                    <xdr:row>965</xdr:row>
                    <xdr:rowOff>165100</xdr:rowOff>
                  </to>
                </anchor>
              </controlPr>
            </control>
          </mc:Choice>
        </mc:AlternateContent>
        <mc:AlternateContent xmlns:mc="http://schemas.openxmlformats.org/markup-compatibility/2006">
          <mc:Choice Requires="x14">
            <control shapeId="14188" r:id="rId477" name="Button 2924">
              <controlPr defaultSize="0" autoFill="0" autoLine="0" autoPict="0" macro="[0]!Sheet1.deleteRow">
                <anchor moveWithCells="1" sizeWithCells="1">
                  <from>
                    <xdr:col>6</xdr:col>
                    <xdr:colOff>0</xdr:colOff>
                    <xdr:row>966</xdr:row>
                    <xdr:rowOff>0</xdr:rowOff>
                  </from>
                  <to>
                    <xdr:col>7</xdr:col>
                    <xdr:colOff>0</xdr:colOff>
                    <xdr:row>966</xdr:row>
                    <xdr:rowOff>165100</xdr:rowOff>
                  </to>
                </anchor>
              </controlPr>
            </control>
          </mc:Choice>
        </mc:AlternateContent>
        <mc:AlternateContent xmlns:mc="http://schemas.openxmlformats.org/markup-compatibility/2006">
          <mc:Choice Requires="x14">
            <control shapeId="14187" r:id="rId478" name="Button 2923">
              <controlPr defaultSize="0" autoFill="0" autoLine="0" autoPict="0" macro="[0]!Sheet1.deleteRow">
                <anchor moveWithCells="1" sizeWithCells="1">
                  <from>
                    <xdr:col>6</xdr:col>
                    <xdr:colOff>0</xdr:colOff>
                    <xdr:row>967</xdr:row>
                    <xdr:rowOff>0</xdr:rowOff>
                  </from>
                  <to>
                    <xdr:col>7</xdr:col>
                    <xdr:colOff>0</xdr:colOff>
                    <xdr:row>967</xdr:row>
                    <xdr:rowOff>165100</xdr:rowOff>
                  </to>
                </anchor>
              </controlPr>
            </control>
          </mc:Choice>
        </mc:AlternateContent>
        <mc:AlternateContent xmlns:mc="http://schemas.openxmlformats.org/markup-compatibility/2006">
          <mc:Choice Requires="x14">
            <control shapeId="14186" r:id="rId479" name="Button 2922">
              <controlPr defaultSize="0" autoFill="0" autoLine="0" autoPict="0" macro="[0]!Sheet1.deleteRow">
                <anchor moveWithCells="1" sizeWithCells="1">
                  <from>
                    <xdr:col>6</xdr:col>
                    <xdr:colOff>0</xdr:colOff>
                    <xdr:row>968</xdr:row>
                    <xdr:rowOff>0</xdr:rowOff>
                  </from>
                  <to>
                    <xdr:col>7</xdr:col>
                    <xdr:colOff>0</xdr:colOff>
                    <xdr:row>968</xdr:row>
                    <xdr:rowOff>165100</xdr:rowOff>
                  </to>
                </anchor>
              </controlPr>
            </control>
          </mc:Choice>
        </mc:AlternateContent>
        <mc:AlternateContent xmlns:mc="http://schemas.openxmlformats.org/markup-compatibility/2006">
          <mc:Choice Requires="x14">
            <control shapeId="14185" r:id="rId480" name="Button 2921">
              <controlPr defaultSize="0" autoFill="0" autoLine="0" autoPict="0" macro="[0]!Sheet1.deleteRow">
                <anchor moveWithCells="1" sizeWithCells="1">
                  <from>
                    <xdr:col>6</xdr:col>
                    <xdr:colOff>0</xdr:colOff>
                    <xdr:row>969</xdr:row>
                    <xdr:rowOff>0</xdr:rowOff>
                  </from>
                  <to>
                    <xdr:col>7</xdr:col>
                    <xdr:colOff>0</xdr:colOff>
                    <xdr:row>969</xdr:row>
                    <xdr:rowOff>165100</xdr:rowOff>
                  </to>
                </anchor>
              </controlPr>
            </control>
          </mc:Choice>
        </mc:AlternateContent>
        <mc:AlternateContent xmlns:mc="http://schemas.openxmlformats.org/markup-compatibility/2006">
          <mc:Choice Requires="x14">
            <control shapeId="14184" r:id="rId481" name="Button 2920">
              <controlPr defaultSize="0" autoFill="0" autoLine="0" autoPict="0" macro="[0]!Sheet1.deleteRow">
                <anchor moveWithCells="1" sizeWithCells="1">
                  <from>
                    <xdr:col>6</xdr:col>
                    <xdr:colOff>0</xdr:colOff>
                    <xdr:row>970</xdr:row>
                    <xdr:rowOff>0</xdr:rowOff>
                  </from>
                  <to>
                    <xdr:col>7</xdr:col>
                    <xdr:colOff>0</xdr:colOff>
                    <xdr:row>970</xdr:row>
                    <xdr:rowOff>165100</xdr:rowOff>
                  </to>
                </anchor>
              </controlPr>
            </control>
          </mc:Choice>
        </mc:AlternateContent>
        <mc:AlternateContent xmlns:mc="http://schemas.openxmlformats.org/markup-compatibility/2006">
          <mc:Choice Requires="x14">
            <control shapeId="14183" r:id="rId482" name="Button 2919">
              <controlPr defaultSize="0" autoFill="0" autoLine="0" autoPict="0" macro="[0]!Sheet1.deleteRow">
                <anchor moveWithCells="1" sizeWithCells="1">
                  <from>
                    <xdr:col>6</xdr:col>
                    <xdr:colOff>0</xdr:colOff>
                    <xdr:row>971</xdr:row>
                    <xdr:rowOff>0</xdr:rowOff>
                  </from>
                  <to>
                    <xdr:col>7</xdr:col>
                    <xdr:colOff>0</xdr:colOff>
                    <xdr:row>971</xdr:row>
                    <xdr:rowOff>165100</xdr:rowOff>
                  </to>
                </anchor>
              </controlPr>
            </control>
          </mc:Choice>
        </mc:AlternateContent>
        <mc:AlternateContent xmlns:mc="http://schemas.openxmlformats.org/markup-compatibility/2006">
          <mc:Choice Requires="x14">
            <control shapeId="14182" r:id="rId483" name="Button 2918">
              <controlPr defaultSize="0" autoFill="0" autoLine="0" autoPict="0" macro="[0]!Sheet1.deleteRow">
                <anchor moveWithCells="1" sizeWithCells="1">
                  <from>
                    <xdr:col>6</xdr:col>
                    <xdr:colOff>0</xdr:colOff>
                    <xdr:row>972</xdr:row>
                    <xdr:rowOff>0</xdr:rowOff>
                  </from>
                  <to>
                    <xdr:col>7</xdr:col>
                    <xdr:colOff>0</xdr:colOff>
                    <xdr:row>972</xdr:row>
                    <xdr:rowOff>165100</xdr:rowOff>
                  </to>
                </anchor>
              </controlPr>
            </control>
          </mc:Choice>
        </mc:AlternateContent>
        <mc:AlternateContent xmlns:mc="http://schemas.openxmlformats.org/markup-compatibility/2006">
          <mc:Choice Requires="x14">
            <control shapeId="14181" r:id="rId484" name="Button 2917">
              <controlPr defaultSize="0" autoFill="0" autoLine="0" autoPict="0" macro="[0]!Sheet1.deleteProcedure">
                <anchor moveWithCells="1" sizeWithCells="1">
                  <from>
                    <xdr:col>6</xdr:col>
                    <xdr:colOff>0</xdr:colOff>
                    <xdr:row>975</xdr:row>
                    <xdr:rowOff>0</xdr:rowOff>
                  </from>
                  <to>
                    <xdr:col>7</xdr:col>
                    <xdr:colOff>0</xdr:colOff>
                    <xdr:row>976</xdr:row>
                    <xdr:rowOff>0</xdr:rowOff>
                  </to>
                </anchor>
              </controlPr>
            </control>
          </mc:Choice>
        </mc:AlternateContent>
        <mc:AlternateContent xmlns:mc="http://schemas.openxmlformats.org/markup-compatibility/2006">
          <mc:Choice Requires="x14">
            <control shapeId="14180" r:id="rId485" name="Button 2916">
              <controlPr defaultSize="0" autoFill="0" autoLine="0" autoPict="0" macro="[0]!Sheet1.InsertNewTableRow">
                <anchor moveWithCells="1" sizeWithCells="1">
                  <from>
                    <xdr:col>6</xdr:col>
                    <xdr:colOff>0</xdr:colOff>
                    <xdr:row>982</xdr:row>
                    <xdr:rowOff>0</xdr:rowOff>
                  </from>
                  <to>
                    <xdr:col>7</xdr:col>
                    <xdr:colOff>0</xdr:colOff>
                    <xdr:row>982</xdr:row>
                    <xdr:rowOff>171450</xdr:rowOff>
                  </to>
                </anchor>
              </controlPr>
            </control>
          </mc:Choice>
        </mc:AlternateContent>
        <mc:AlternateContent xmlns:mc="http://schemas.openxmlformats.org/markup-compatibility/2006">
          <mc:Choice Requires="x14">
            <control shapeId="14179" r:id="rId486" name="Button 2915">
              <controlPr defaultSize="0" autoFill="0" autoLine="0" autoPict="0" macro="[0]!Sheet1.deleteRow">
                <anchor moveWithCells="1" sizeWithCells="1">
                  <from>
                    <xdr:col>6</xdr:col>
                    <xdr:colOff>0</xdr:colOff>
                    <xdr:row>983</xdr:row>
                    <xdr:rowOff>0</xdr:rowOff>
                  </from>
                  <to>
                    <xdr:col>7</xdr:col>
                    <xdr:colOff>0</xdr:colOff>
                    <xdr:row>983</xdr:row>
                    <xdr:rowOff>165100</xdr:rowOff>
                  </to>
                </anchor>
              </controlPr>
            </control>
          </mc:Choice>
        </mc:AlternateContent>
        <mc:AlternateContent xmlns:mc="http://schemas.openxmlformats.org/markup-compatibility/2006">
          <mc:Choice Requires="x14">
            <control shapeId="14178" r:id="rId487" name="Button 2914">
              <controlPr defaultSize="0" autoFill="0" autoLine="0" autoPict="0" macro="[0]!Sheet1.deleteRow">
                <anchor moveWithCells="1" sizeWithCells="1">
                  <from>
                    <xdr:col>6</xdr:col>
                    <xdr:colOff>0</xdr:colOff>
                    <xdr:row>984</xdr:row>
                    <xdr:rowOff>0</xdr:rowOff>
                  </from>
                  <to>
                    <xdr:col>7</xdr:col>
                    <xdr:colOff>0</xdr:colOff>
                    <xdr:row>984</xdr:row>
                    <xdr:rowOff>165100</xdr:rowOff>
                  </to>
                </anchor>
              </controlPr>
            </control>
          </mc:Choice>
        </mc:AlternateContent>
        <mc:AlternateContent xmlns:mc="http://schemas.openxmlformats.org/markup-compatibility/2006">
          <mc:Choice Requires="x14">
            <control shapeId="14177" r:id="rId488" name="Button 2913">
              <controlPr defaultSize="0" autoFill="0" autoLine="0" autoPict="0" macro="[0]!Sheet1.deleteProcedure">
                <anchor moveWithCells="1" sizeWithCells="1">
                  <from>
                    <xdr:col>6</xdr:col>
                    <xdr:colOff>0</xdr:colOff>
                    <xdr:row>987</xdr:row>
                    <xdr:rowOff>0</xdr:rowOff>
                  </from>
                  <to>
                    <xdr:col>7</xdr:col>
                    <xdr:colOff>0</xdr:colOff>
                    <xdr:row>988</xdr:row>
                    <xdr:rowOff>0</xdr:rowOff>
                  </to>
                </anchor>
              </controlPr>
            </control>
          </mc:Choice>
        </mc:AlternateContent>
        <mc:AlternateContent xmlns:mc="http://schemas.openxmlformats.org/markup-compatibility/2006">
          <mc:Choice Requires="x14">
            <control shapeId="14176" r:id="rId489" name="Button 2912">
              <controlPr defaultSize="0" autoFill="0" autoLine="0" autoPict="0" macro="[0]!Sheet1.InsertNewTableRow">
                <anchor moveWithCells="1" sizeWithCells="1">
                  <from>
                    <xdr:col>6</xdr:col>
                    <xdr:colOff>0</xdr:colOff>
                    <xdr:row>994</xdr:row>
                    <xdr:rowOff>0</xdr:rowOff>
                  </from>
                  <to>
                    <xdr:col>7</xdr:col>
                    <xdr:colOff>0</xdr:colOff>
                    <xdr:row>994</xdr:row>
                    <xdr:rowOff>171450</xdr:rowOff>
                  </to>
                </anchor>
              </controlPr>
            </control>
          </mc:Choice>
        </mc:AlternateContent>
        <mc:AlternateContent xmlns:mc="http://schemas.openxmlformats.org/markup-compatibility/2006">
          <mc:Choice Requires="x14">
            <control shapeId="14175" r:id="rId490" name="Button 2911">
              <controlPr defaultSize="0" autoFill="0" autoLine="0" autoPict="0" macro="[0]!Sheet1.deleteRow">
                <anchor moveWithCells="1" sizeWithCells="1">
                  <from>
                    <xdr:col>6</xdr:col>
                    <xdr:colOff>0</xdr:colOff>
                    <xdr:row>995</xdr:row>
                    <xdr:rowOff>0</xdr:rowOff>
                  </from>
                  <to>
                    <xdr:col>7</xdr:col>
                    <xdr:colOff>0</xdr:colOff>
                    <xdr:row>995</xdr:row>
                    <xdr:rowOff>165100</xdr:rowOff>
                  </to>
                </anchor>
              </controlPr>
            </control>
          </mc:Choice>
        </mc:AlternateContent>
        <mc:AlternateContent xmlns:mc="http://schemas.openxmlformats.org/markup-compatibility/2006">
          <mc:Choice Requires="x14">
            <control shapeId="14174" r:id="rId491" name="Button 2910">
              <controlPr defaultSize="0" autoFill="0" autoLine="0" autoPict="0" macro="[0]!Sheet1.deleteRow">
                <anchor moveWithCells="1" sizeWithCells="1">
                  <from>
                    <xdr:col>6</xdr:col>
                    <xdr:colOff>0</xdr:colOff>
                    <xdr:row>996</xdr:row>
                    <xdr:rowOff>0</xdr:rowOff>
                  </from>
                  <to>
                    <xdr:col>7</xdr:col>
                    <xdr:colOff>0</xdr:colOff>
                    <xdr:row>996</xdr:row>
                    <xdr:rowOff>165100</xdr:rowOff>
                  </to>
                </anchor>
              </controlPr>
            </control>
          </mc:Choice>
        </mc:AlternateContent>
        <mc:AlternateContent xmlns:mc="http://schemas.openxmlformats.org/markup-compatibility/2006">
          <mc:Choice Requires="x14">
            <control shapeId="14173" r:id="rId492" name="Button 2909">
              <controlPr defaultSize="0" autoFill="0" autoLine="0" autoPict="0" macro="[0]!Sheet1.deleteProcedure">
                <anchor moveWithCells="1" sizeWithCells="1">
                  <from>
                    <xdr:col>6</xdr:col>
                    <xdr:colOff>0</xdr:colOff>
                    <xdr:row>999</xdr:row>
                    <xdr:rowOff>0</xdr:rowOff>
                  </from>
                  <to>
                    <xdr:col>7</xdr:col>
                    <xdr:colOff>0</xdr:colOff>
                    <xdr:row>1000</xdr:row>
                    <xdr:rowOff>0</xdr:rowOff>
                  </to>
                </anchor>
              </controlPr>
            </control>
          </mc:Choice>
        </mc:AlternateContent>
        <mc:AlternateContent xmlns:mc="http://schemas.openxmlformats.org/markup-compatibility/2006">
          <mc:Choice Requires="x14">
            <control shapeId="14172" r:id="rId493" name="Button 2908">
              <controlPr defaultSize="0" autoFill="0" autoLine="0" autoPict="0" macro="[0]!Sheet1.InsertNewTableRow">
                <anchor moveWithCells="1" sizeWithCells="1">
                  <from>
                    <xdr:col>6</xdr:col>
                    <xdr:colOff>0</xdr:colOff>
                    <xdr:row>1006</xdr:row>
                    <xdr:rowOff>0</xdr:rowOff>
                  </from>
                  <to>
                    <xdr:col>7</xdr:col>
                    <xdr:colOff>0</xdr:colOff>
                    <xdr:row>1006</xdr:row>
                    <xdr:rowOff>171450</xdr:rowOff>
                  </to>
                </anchor>
              </controlPr>
            </control>
          </mc:Choice>
        </mc:AlternateContent>
        <mc:AlternateContent xmlns:mc="http://schemas.openxmlformats.org/markup-compatibility/2006">
          <mc:Choice Requires="x14">
            <control shapeId="14171" r:id="rId494" name="Button 2907">
              <controlPr defaultSize="0" autoFill="0" autoLine="0" autoPict="0" macro="[0]!Sheet1.deleteRow">
                <anchor moveWithCells="1" sizeWithCells="1">
                  <from>
                    <xdr:col>6</xdr:col>
                    <xdr:colOff>0</xdr:colOff>
                    <xdr:row>1007</xdr:row>
                    <xdr:rowOff>0</xdr:rowOff>
                  </from>
                  <to>
                    <xdr:col>7</xdr:col>
                    <xdr:colOff>0</xdr:colOff>
                    <xdr:row>1007</xdr:row>
                    <xdr:rowOff>165100</xdr:rowOff>
                  </to>
                </anchor>
              </controlPr>
            </control>
          </mc:Choice>
        </mc:AlternateContent>
        <mc:AlternateContent xmlns:mc="http://schemas.openxmlformats.org/markup-compatibility/2006">
          <mc:Choice Requires="x14">
            <control shapeId="14170" r:id="rId495" name="Button 2906">
              <controlPr defaultSize="0" autoFill="0" autoLine="0" autoPict="0" macro="[0]!Sheet1.deleteRow">
                <anchor moveWithCells="1" sizeWithCells="1">
                  <from>
                    <xdr:col>6</xdr:col>
                    <xdr:colOff>0</xdr:colOff>
                    <xdr:row>1008</xdr:row>
                    <xdr:rowOff>0</xdr:rowOff>
                  </from>
                  <to>
                    <xdr:col>7</xdr:col>
                    <xdr:colOff>0</xdr:colOff>
                    <xdr:row>1008</xdr:row>
                    <xdr:rowOff>165100</xdr:rowOff>
                  </to>
                </anchor>
              </controlPr>
            </control>
          </mc:Choice>
        </mc:AlternateContent>
        <mc:AlternateContent xmlns:mc="http://schemas.openxmlformats.org/markup-compatibility/2006">
          <mc:Choice Requires="x14">
            <control shapeId="14169" r:id="rId496" name="Button 2905">
              <controlPr defaultSize="0" autoFill="0" autoLine="0" autoPict="0" macro="[0]!Sheet1.deleteProcedure">
                <anchor moveWithCells="1" sizeWithCells="1">
                  <from>
                    <xdr:col>6</xdr:col>
                    <xdr:colOff>0</xdr:colOff>
                    <xdr:row>1011</xdr:row>
                    <xdr:rowOff>0</xdr:rowOff>
                  </from>
                  <to>
                    <xdr:col>7</xdr:col>
                    <xdr:colOff>0</xdr:colOff>
                    <xdr:row>1012</xdr:row>
                    <xdr:rowOff>0</xdr:rowOff>
                  </to>
                </anchor>
              </controlPr>
            </control>
          </mc:Choice>
        </mc:AlternateContent>
        <mc:AlternateContent xmlns:mc="http://schemas.openxmlformats.org/markup-compatibility/2006">
          <mc:Choice Requires="x14">
            <control shapeId="14168" r:id="rId497" name="Button 2904">
              <controlPr defaultSize="0" autoFill="0" autoLine="0" autoPict="0" macro="[0]!Sheet1.InsertNewTableRow">
                <anchor moveWithCells="1" sizeWithCells="1">
                  <from>
                    <xdr:col>6</xdr:col>
                    <xdr:colOff>0</xdr:colOff>
                    <xdr:row>1018</xdr:row>
                    <xdr:rowOff>0</xdr:rowOff>
                  </from>
                  <to>
                    <xdr:col>7</xdr:col>
                    <xdr:colOff>0</xdr:colOff>
                    <xdr:row>1018</xdr:row>
                    <xdr:rowOff>171450</xdr:rowOff>
                  </to>
                </anchor>
              </controlPr>
            </control>
          </mc:Choice>
        </mc:AlternateContent>
        <mc:AlternateContent xmlns:mc="http://schemas.openxmlformats.org/markup-compatibility/2006">
          <mc:Choice Requires="x14">
            <control shapeId="14167" r:id="rId498" name="Button 2903">
              <controlPr defaultSize="0" autoFill="0" autoLine="0" autoPict="0" macro="[0]!Sheet1.deleteRow">
                <anchor moveWithCells="1" sizeWithCells="1">
                  <from>
                    <xdr:col>6</xdr:col>
                    <xdr:colOff>0</xdr:colOff>
                    <xdr:row>1019</xdr:row>
                    <xdr:rowOff>0</xdr:rowOff>
                  </from>
                  <to>
                    <xdr:col>7</xdr:col>
                    <xdr:colOff>0</xdr:colOff>
                    <xdr:row>1019</xdr:row>
                    <xdr:rowOff>165100</xdr:rowOff>
                  </to>
                </anchor>
              </controlPr>
            </control>
          </mc:Choice>
        </mc:AlternateContent>
        <mc:AlternateContent xmlns:mc="http://schemas.openxmlformats.org/markup-compatibility/2006">
          <mc:Choice Requires="x14">
            <control shapeId="14166" r:id="rId499" name="Button 2902">
              <controlPr defaultSize="0" autoFill="0" autoLine="0" autoPict="0" macro="[0]!Sheet1.deleteRow">
                <anchor moveWithCells="1" sizeWithCells="1">
                  <from>
                    <xdr:col>6</xdr:col>
                    <xdr:colOff>0</xdr:colOff>
                    <xdr:row>1020</xdr:row>
                    <xdr:rowOff>0</xdr:rowOff>
                  </from>
                  <to>
                    <xdr:col>7</xdr:col>
                    <xdr:colOff>0</xdr:colOff>
                    <xdr:row>1020</xdr:row>
                    <xdr:rowOff>165100</xdr:rowOff>
                  </to>
                </anchor>
              </controlPr>
            </control>
          </mc:Choice>
        </mc:AlternateContent>
        <mc:AlternateContent xmlns:mc="http://schemas.openxmlformats.org/markup-compatibility/2006">
          <mc:Choice Requires="x14">
            <control shapeId="14165" r:id="rId500" name="Button 2901">
              <controlPr defaultSize="0" autoFill="0" autoLine="0" autoPict="0" macro="[0]!Sheet1.deleteRow">
                <anchor moveWithCells="1" sizeWithCells="1">
                  <from>
                    <xdr:col>6</xdr:col>
                    <xdr:colOff>0</xdr:colOff>
                    <xdr:row>1021</xdr:row>
                    <xdr:rowOff>0</xdr:rowOff>
                  </from>
                  <to>
                    <xdr:col>7</xdr:col>
                    <xdr:colOff>0</xdr:colOff>
                    <xdr:row>1021</xdr:row>
                    <xdr:rowOff>165100</xdr:rowOff>
                  </to>
                </anchor>
              </controlPr>
            </control>
          </mc:Choice>
        </mc:AlternateContent>
        <mc:AlternateContent xmlns:mc="http://schemas.openxmlformats.org/markup-compatibility/2006">
          <mc:Choice Requires="x14">
            <control shapeId="14164" r:id="rId501" name="Button 2900">
              <controlPr defaultSize="0" autoFill="0" autoLine="0" autoPict="0" macro="[0]!Sheet1.deleteRow">
                <anchor moveWithCells="1" sizeWithCells="1">
                  <from>
                    <xdr:col>6</xdr:col>
                    <xdr:colOff>0</xdr:colOff>
                    <xdr:row>1022</xdr:row>
                    <xdr:rowOff>0</xdr:rowOff>
                  </from>
                  <to>
                    <xdr:col>7</xdr:col>
                    <xdr:colOff>0</xdr:colOff>
                    <xdr:row>1022</xdr:row>
                    <xdr:rowOff>165100</xdr:rowOff>
                  </to>
                </anchor>
              </controlPr>
            </control>
          </mc:Choice>
        </mc:AlternateContent>
        <mc:AlternateContent xmlns:mc="http://schemas.openxmlformats.org/markup-compatibility/2006">
          <mc:Choice Requires="x14">
            <control shapeId="14163" r:id="rId502" name="Button 2899">
              <controlPr defaultSize="0" autoFill="0" autoLine="0" autoPict="0" macro="[0]!Sheet1.deleteRow">
                <anchor moveWithCells="1" sizeWithCells="1">
                  <from>
                    <xdr:col>6</xdr:col>
                    <xdr:colOff>0</xdr:colOff>
                    <xdr:row>1023</xdr:row>
                    <xdr:rowOff>0</xdr:rowOff>
                  </from>
                  <to>
                    <xdr:col>7</xdr:col>
                    <xdr:colOff>0</xdr:colOff>
                    <xdr:row>1023</xdr:row>
                    <xdr:rowOff>165100</xdr:rowOff>
                  </to>
                </anchor>
              </controlPr>
            </control>
          </mc:Choice>
        </mc:AlternateContent>
        <mc:AlternateContent xmlns:mc="http://schemas.openxmlformats.org/markup-compatibility/2006">
          <mc:Choice Requires="x14">
            <control shapeId="14162" r:id="rId503" name="Button 2898">
              <controlPr defaultSize="0" autoFill="0" autoLine="0" autoPict="0" macro="[0]!Sheet1.deleteRow">
                <anchor moveWithCells="1" sizeWithCells="1">
                  <from>
                    <xdr:col>6</xdr:col>
                    <xdr:colOff>0</xdr:colOff>
                    <xdr:row>1024</xdr:row>
                    <xdr:rowOff>0</xdr:rowOff>
                  </from>
                  <to>
                    <xdr:col>7</xdr:col>
                    <xdr:colOff>0</xdr:colOff>
                    <xdr:row>1024</xdr:row>
                    <xdr:rowOff>165100</xdr:rowOff>
                  </to>
                </anchor>
              </controlPr>
            </control>
          </mc:Choice>
        </mc:AlternateContent>
        <mc:AlternateContent xmlns:mc="http://schemas.openxmlformats.org/markup-compatibility/2006">
          <mc:Choice Requires="x14">
            <control shapeId="14161" r:id="rId504" name="Button 2897">
              <controlPr defaultSize="0" autoFill="0" autoLine="0" autoPict="0" macro="[0]!Sheet1.deleteRow">
                <anchor moveWithCells="1" sizeWithCells="1">
                  <from>
                    <xdr:col>6</xdr:col>
                    <xdr:colOff>0</xdr:colOff>
                    <xdr:row>1025</xdr:row>
                    <xdr:rowOff>0</xdr:rowOff>
                  </from>
                  <to>
                    <xdr:col>7</xdr:col>
                    <xdr:colOff>0</xdr:colOff>
                    <xdr:row>1025</xdr:row>
                    <xdr:rowOff>165100</xdr:rowOff>
                  </to>
                </anchor>
              </controlPr>
            </control>
          </mc:Choice>
        </mc:AlternateContent>
        <mc:AlternateContent xmlns:mc="http://schemas.openxmlformats.org/markup-compatibility/2006">
          <mc:Choice Requires="x14">
            <control shapeId="14160" r:id="rId505" name="Button 2896">
              <controlPr defaultSize="0" autoFill="0" autoLine="0" autoPict="0" macro="[0]!Sheet1.deleteRow">
                <anchor moveWithCells="1" sizeWithCells="1">
                  <from>
                    <xdr:col>6</xdr:col>
                    <xdr:colOff>0</xdr:colOff>
                    <xdr:row>1026</xdr:row>
                    <xdr:rowOff>0</xdr:rowOff>
                  </from>
                  <to>
                    <xdr:col>7</xdr:col>
                    <xdr:colOff>0</xdr:colOff>
                    <xdr:row>1026</xdr:row>
                    <xdr:rowOff>165100</xdr:rowOff>
                  </to>
                </anchor>
              </controlPr>
            </control>
          </mc:Choice>
        </mc:AlternateContent>
        <mc:AlternateContent xmlns:mc="http://schemas.openxmlformats.org/markup-compatibility/2006">
          <mc:Choice Requires="x14">
            <control shapeId="14159" r:id="rId506" name="Button 2895">
              <controlPr defaultSize="0" autoFill="0" autoLine="0" autoPict="0" macro="[0]!Sheet1.deleteRow">
                <anchor moveWithCells="1" sizeWithCells="1">
                  <from>
                    <xdr:col>6</xdr:col>
                    <xdr:colOff>0</xdr:colOff>
                    <xdr:row>1027</xdr:row>
                    <xdr:rowOff>0</xdr:rowOff>
                  </from>
                  <to>
                    <xdr:col>7</xdr:col>
                    <xdr:colOff>0</xdr:colOff>
                    <xdr:row>1027</xdr:row>
                    <xdr:rowOff>165100</xdr:rowOff>
                  </to>
                </anchor>
              </controlPr>
            </control>
          </mc:Choice>
        </mc:AlternateContent>
        <mc:AlternateContent xmlns:mc="http://schemas.openxmlformats.org/markup-compatibility/2006">
          <mc:Choice Requires="x14">
            <control shapeId="14158" r:id="rId507" name="Button 2894">
              <controlPr defaultSize="0" autoFill="0" autoLine="0" autoPict="0" macro="[0]!Sheet1.deleteRow">
                <anchor moveWithCells="1" sizeWithCells="1">
                  <from>
                    <xdr:col>6</xdr:col>
                    <xdr:colOff>0</xdr:colOff>
                    <xdr:row>1028</xdr:row>
                    <xdr:rowOff>0</xdr:rowOff>
                  </from>
                  <to>
                    <xdr:col>7</xdr:col>
                    <xdr:colOff>0</xdr:colOff>
                    <xdr:row>1028</xdr:row>
                    <xdr:rowOff>165100</xdr:rowOff>
                  </to>
                </anchor>
              </controlPr>
            </control>
          </mc:Choice>
        </mc:AlternateContent>
        <mc:AlternateContent xmlns:mc="http://schemas.openxmlformats.org/markup-compatibility/2006">
          <mc:Choice Requires="x14">
            <control shapeId="14157" r:id="rId508" name="Button 2893">
              <controlPr defaultSize="0" autoFill="0" autoLine="0" autoPict="0" macro="[0]!Sheet1.deleteRow">
                <anchor moveWithCells="1" sizeWithCells="1">
                  <from>
                    <xdr:col>6</xdr:col>
                    <xdr:colOff>0</xdr:colOff>
                    <xdr:row>1029</xdr:row>
                    <xdr:rowOff>0</xdr:rowOff>
                  </from>
                  <to>
                    <xdr:col>7</xdr:col>
                    <xdr:colOff>0</xdr:colOff>
                    <xdr:row>1029</xdr:row>
                    <xdr:rowOff>165100</xdr:rowOff>
                  </to>
                </anchor>
              </controlPr>
            </control>
          </mc:Choice>
        </mc:AlternateContent>
        <mc:AlternateContent xmlns:mc="http://schemas.openxmlformats.org/markup-compatibility/2006">
          <mc:Choice Requires="x14">
            <control shapeId="14156" r:id="rId509" name="Button 2892">
              <controlPr defaultSize="0" autoFill="0" autoLine="0" autoPict="0" macro="[0]!Sheet1.deleteRow">
                <anchor moveWithCells="1" sizeWithCells="1">
                  <from>
                    <xdr:col>6</xdr:col>
                    <xdr:colOff>0</xdr:colOff>
                    <xdr:row>1030</xdr:row>
                    <xdr:rowOff>0</xdr:rowOff>
                  </from>
                  <to>
                    <xdr:col>7</xdr:col>
                    <xdr:colOff>0</xdr:colOff>
                    <xdr:row>1030</xdr:row>
                    <xdr:rowOff>165100</xdr:rowOff>
                  </to>
                </anchor>
              </controlPr>
            </control>
          </mc:Choice>
        </mc:AlternateContent>
        <mc:AlternateContent xmlns:mc="http://schemas.openxmlformats.org/markup-compatibility/2006">
          <mc:Choice Requires="x14">
            <control shapeId="14155" r:id="rId510" name="Button 2891">
              <controlPr defaultSize="0" autoFill="0" autoLine="0" autoPict="0" macro="[0]!Sheet1.deleteRow">
                <anchor moveWithCells="1" sizeWithCells="1">
                  <from>
                    <xdr:col>6</xdr:col>
                    <xdr:colOff>0</xdr:colOff>
                    <xdr:row>1031</xdr:row>
                    <xdr:rowOff>0</xdr:rowOff>
                  </from>
                  <to>
                    <xdr:col>7</xdr:col>
                    <xdr:colOff>0</xdr:colOff>
                    <xdr:row>1031</xdr:row>
                    <xdr:rowOff>165100</xdr:rowOff>
                  </to>
                </anchor>
              </controlPr>
            </control>
          </mc:Choice>
        </mc:AlternateContent>
        <mc:AlternateContent xmlns:mc="http://schemas.openxmlformats.org/markup-compatibility/2006">
          <mc:Choice Requires="x14">
            <control shapeId="14154" r:id="rId511" name="Button 2890">
              <controlPr defaultSize="0" autoFill="0" autoLine="0" autoPict="0" macro="[0]!Sheet1.deleteRow">
                <anchor moveWithCells="1" sizeWithCells="1">
                  <from>
                    <xdr:col>6</xdr:col>
                    <xdr:colOff>0</xdr:colOff>
                    <xdr:row>1032</xdr:row>
                    <xdr:rowOff>0</xdr:rowOff>
                  </from>
                  <to>
                    <xdr:col>7</xdr:col>
                    <xdr:colOff>0</xdr:colOff>
                    <xdr:row>1032</xdr:row>
                    <xdr:rowOff>165100</xdr:rowOff>
                  </to>
                </anchor>
              </controlPr>
            </control>
          </mc:Choice>
        </mc:AlternateContent>
        <mc:AlternateContent xmlns:mc="http://schemas.openxmlformats.org/markup-compatibility/2006">
          <mc:Choice Requires="x14">
            <control shapeId="14153" r:id="rId512" name="Button 2889">
              <controlPr defaultSize="0" autoFill="0" autoLine="0" autoPict="0" macro="[0]!Sheet1.deleteRow">
                <anchor moveWithCells="1" sizeWithCells="1">
                  <from>
                    <xdr:col>6</xdr:col>
                    <xdr:colOff>0</xdr:colOff>
                    <xdr:row>1033</xdr:row>
                    <xdr:rowOff>0</xdr:rowOff>
                  </from>
                  <to>
                    <xdr:col>7</xdr:col>
                    <xdr:colOff>0</xdr:colOff>
                    <xdr:row>1033</xdr:row>
                    <xdr:rowOff>165100</xdr:rowOff>
                  </to>
                </anchor>
              </controlPr>
            </control>
          </mc:Choice>
        </mc:AlternateContent>
        <mc:AlternateContent xmlns:mc="http://schemas.openxmlformats.org/markup-compatibility/2006">
          <mc:Choice Requires="x14">
            <control shapeId="14152" r:id="rId513" name="Button 2888">
              <controlPr defaultSize="0" autoFill="0" autoLine="0" autoPict="0" macro="[0]!Sheet1.deleteRow">
                <anchor moveWithCells="1" sizeWithCells="1">
                  <from>
                    <xdr:col>6</xdr:col>
                    <xdr:colOff>0</xdr:colOff>
                    <xdr:row>1034</xdr:row>
                    <xdr:rowOff>0</xdr:rowOff>
                  </from>
                  <to>
                    <xdr:col>7</xdr:col>
                    <xdr:colOff>0</xdr:colOff>
                    <xdr:row>1034</xdr:row>
                    <xdr:rowOff>165100</xdr:rowOff>
                  </to>
                </anchor>
              </controlPr>
            </control>
          </mc:Choice>
        </mc:AlternateContent>
        <mc:AlternateContent xmlns:mc="http://schemas.openxmlformats.org/markup-compatibility/2006">
          <mc:Choice Requires="x14">
            <control shapeId="14151" r:id="rId514" name="Button 2887">
              <controlPr defaultSize="0" autoFill="0" autoLine="0" autoPict="0" macro="[0]!Sheet1.deleteRow">
                <anchor moveWithCells="1" sizeWithCells="1">
                  <from>
                    <xdr:col>6</xdr:col>
                    <xdr:colOff>0</xdr:colOff>
                    <xdr:row>1035</xdr:row>
                    <xdr:rowOff>0</xdr:rowOff>
                  </from>
                  <to>
                    <xdr:col>7</xdr:col>
                    <xdr:colOff>0</xdr:colOff>
                    <xdr:row>1035</xdr:row>
                    <xdr:rowOff>165100</xdr:rowOff>
                  </to>
                </anchor>
              </controlPr>
            </control>
          </mc:Choice>
        </mc:AlternateContent>
        <mc:AlternateContent xmlns:mc="http://schemas.openxmlformats.org/markup-compatibility/2006">
          <mc:Choice Requires="x14">
            <control shapeId="14150" r:id="rId515" name="Button 2886">
              <controlPr defaultSize="0" autoFill="0" autoLine="0" autoPict="0" macro="[0]!Sheet1.deleteRow">
                <anchor moveWithCells="1" sizeWithCells="1">
                  <from>
                    <xdr:col>6</xdr:col>
                    <xdr:colOff>0</xdr:colOff>
                    <xdr:row>1036</xdr:row>
                    <xdr:rowOff>0</xdr:rowOff>
                  </from>
                  <to>
                    <xdr:col>7</xdr:col>
                    <xdr:colOff>0</xdr:colOff>
                    <xdr:row>1036</xdr:row>
                    <xdr:rowOff>165100</xdr:rowOff>
                  </to>
                </anchor>
              </controlPr>
            </control>
          </mc:Choice>
        </mc:AlternateContent>
        <mc:AlternateContent xmlns:mc="http://schemas.openxmlformats.org/markup-compatibility/2006">
          <mc:Choice Requires="x14">
            <control shapeId="14149" r:id="rId516" name="Button 2885">
              <controlPr defaultSize="0" autoFill="0" autoLine="0" autoPict="0" macro="[0]!Sheet1.deleteRow">
                <anchor moveWithCells="1" sizeWithCells="1">
                  <from>
                    <xdr:col>6</xdr:col>
                    <xdr:colOff>0</xdr:colOff>
                    <xdr:row>1037</xdr:row>
                    <xdr:rowOff>0</xdr:rowOff>
                  </from>
                  <to>
                    <xdr:col>7</xdr:col>
                    <xdr:colOff>0</xdr:colOff>
                    <xdr:row>1037</xdr:row>
                    <xdr:rowOff>165100</xdr:rowOff>
                  </to>
                </anchor>
              </controlPr>
            </control>
          </mc:Choice>
        </mc:AlternateContent>
        <mc:AlternateContent xmlns:mc="http://schemas.openxmlformats.org/markup-compatibility/2006">
          <mc:Choice Requires="x14">
            <control shapeId="14148" r:id="rId517" name="Button 2884">
              <controlPr defaultSize="0" autoFill="0" autoLine="0" autoPict="0" macro="[0]!Sheet1.deleteRow">
                <anchor moveWithCells="1" sizeWithCells="1">
                  <from>
                    <xdr:col>6</xdr:col>
                    <xdr:colOff>0</xdr:colOff>
                    <xdr:row>1038</xdr:row>
                    <xdr:rowOff>0</xdr:rowOff>
                  </from>
                  <to>
                    <xdr:col>7</xdr:col>
                    <xdr:colOff>0</xdr:colOff>
                    <xdr:row>1038</xdr:row>
                    <xdr:rowOff>165100</xdr:rowOff>
                  </to>
                </anchor>
              </controlPr>
            </control>
          </mc:Choice>
        </mc:AlternateContent>
        <mc:AlternateContent xmlns:mc="http://schemas.openxmlformats.org/markup-compatibility/2006">
          <mc:Choice Requires="x14">
            <control shapeId="14147" r:id="rId518" name="Button 2883">
              <controlPr defaultSize="0" autoFill="0" autoLine="0" autoPict="0" macro="[0]!Sheet1.deleteRow">
                <anchor moveWithCells="1" sizeWithCells="1">
                  <from>
                    <xdr:col>6</xdr:col>
                    <xdr:colOff>0</xdr:colOff>
                    <xdr:row>1039</xdr:row>
                    <xdr:rowOff>0</xdr:rowOff>
                  </from>
                  <to>
                    <xdr:col>7</xdr:col>
                    <xdr:colOff>0</xdr:colOff>
                    <xdr:row>1039</xdr:row>
                    <xdr:rowOff>165100</xdr:rowOff>
                  </to>
                </anchor>
              </controlPr>
            </control>
          </mc:Choice>
        </mc:AlternateContent>
        <mc:AlternateContent xmlns:mc="http://schemas.openxmlformats.org/markup-compatibility/2006">
          <mc:Choice Requires="x14">
            <control shapeId="14146" r:id="rId519" name="Button 2882">
              <controlPr defaultSize="0" autoFill="0" autoLine="0" autoPict="0" macro="[0]!Sheet1.deleteRow">
                <anchor moveWithCells="1" sizeWithCells="1">
                  <from>
                    <xdr:col>6</xdr:col>
                    <xdr:colOff>0</xdr:colOff>
                    <xdr:row>1040</xdr:row>
                    <xdr:rowOff>0</xdr:rowOff>
                  </from>
                  <to>
                    <xdr:col>7</xdr:col>
                    <xdr:colOff>0</xdr:colOff>
                    <xdr:row>1040</xdr:row>
                    <xdr:rowOff>165100</xdr:rowOff>
                  </to>
                </anchor>
              </controlPr>
            </control>
          </mc:Choice>
        </mc:AlternateContent>
        <mc:AlternateContent xmlns:mc="http://schemas.openxmlformats.org/markup-compatibility/2006">
          <mc:Choice Requires="x14">
            <control shapeId="14145" r:id="rId520" name="Button 2881">
              <controlPr defaultSize="0" autoFill="0" autoLine="0" autoPict="0" macro="[0]!Sheet1.deleteRow">
                <anchor moveWithCells="1" sizeWithCells="1">
                  <from>
                    <xdr:col>6</xdr:col>
                    <xdr:colOff>0</xdr:colOff>
                    <xdr:row>1041</xdr:row>
                    <xdr:rowOff>0</xdr:rowOff>
                  </from>
                  <to>
                    <xdr:col>7</xdr:col>
                    <xdr:colOff>0</xdr:colOff>
                    <xdr:row>1041</xdr:row>
                    <xdr:rowOff>165100</xdr:rowOff>
                  </to>
                </anchor>
              </controlPr>
            </control>
          </mc:Choice>
        </mc:AlternateContent>
        <mc:AlternateContent xmlns:mc="http://schemas.openxmlformats.org/markup-compatibility/2006">
          <mc:Choice Requires="x14">
            <control shapeId="14144" r:id="rId521" name="Button 2880">
              <controlPr defaultSize="0" autoFill="0" autoLine="0" autoPict="0" macro="[0]!Sheet1.deleteRow">
                <anchor moveWithCells="1" sizeWithCells="1">
                  <from>
                    <xdr:col>6</xdr:col>
                    <xdr:colOff>0</xdr:colOff>
                    <xdr:row>1042</xdr:row>
                    <xdr:rowOff>0</xdr:rowOff>
                  </from>
                  <to>
                    <xdr:col>7</xdr:col>
                    <xdr:colOff>0</xdr:colOff>
                    <xdr:row>1042</xdr:row>
                    <xdr:rowOff>165100</xdr:rowOff>
                  </to>
                </anchor>
              </controlPr>
            </control>
          </mc:Choice>
        </mc:AlternateContent>
        <mc:AlternateContent xmlns:mc="http://schemas.openxmlformats.org/markup-compatibility/2006">
          <mc:Choice Requires="x14">
            <control shapeId="14143" r:id="rId522" name="Button 2879">
              <controlPr defaultSize="0" autoFill="0" autoLine="0" autoPict="0" macro="[0]!Sheet1.deleteRow">
                <anchor moveWithCells="1" sizeWithCells="1">
                  <from>
                    <xdr:col>6</xdr:col>
                    <xdr:colOff>0</xdr:colOff>
                    <xdr:row>1043</xdr:row>
                    <xdr:rowOff>0</xdr:rowOff>
                  </from>
                  <to>
                    <xdr:col>7</xdr:col>
                    <xdr:colOff>0</xdr:colOff>
                    <xdr:row>1043</xdr:row>
                    <xdr:rowOff>165100</xdr:rowOff>
                  </to>
                </anchor>
              </controlPr>
            </control>
          </mc:Choice>
        </mc:AlternateContent>
        <mc:AlternateContent xmlns:mc="http://schemas.openxmlformats.org/markup-compatibility/2006">
          <mc:Choice Requires="x14">
            <control shapeId="14142" r:id="rId523" name="Button 2878">
              <controlPr defaultSize="0" autoFill="0" autoLine="0" autoPict="0" macro="[0]!Sheet1.deleteRow">
                <anchor moveWithCells="1" sizeWithCells="1">
                  <from>
                    <xdr:col>6</xdr:col>
                    <xdr:colOff>0</xdr:colOff>
                    <xdr:row>1044</xdr:row>
                    <xdr:rowOff>0</xdr:rowOff>
                  </from>
                  <to>
                    <xdr:col>7</xdr:col>
                    <xdr:colOff>0</xdr:colOff>
                    <xdr:row>1044</xdr:row>
                    <xdr:rowOff>165100</xdr:rowOff>
                  </to>
                </anchor>
              </controlPr>
            </control>
          </mc:Choice>
        </mc:AlternateContent>
        <mc:AlternateContent xmlns:mc="http://schemas.openxmlformats.org/markup-compatibility/2006">
          <mc:Choice Requires="x14">
            <control shapeId="14141" r:id="rId524" name="Button 2877">
              <controlPr defaultSize="0" autoFill="0" autoLine="0" autoPict="0" macro="[0]!Sheet1.deleteRow">
                <anchor moveWithCells="1" sizeWithCells="1">
                  <from>
                    <xdr:col>6</xdr:col>
                    <xdr:colOff>0</xdr:colOff>
                    <xdr:row>1045</xdr:row>
                    <xdr:rowOff>0</xdr:rowOff>
                  </from>
                  <to>
                    <xdr:col>7</xdr:col>
                    <xdr:colOff>0</xdr:colOff>
                    <xdr:row>1045</xdr:row>
                    <xdr:rowOff>165100</xdr:rowOff>
                  </to>
                </anchor>
              </controlPr>
            </control>
          </mc:Choice>
        </mc:AlternateContent>
        <mc:AlternateContent xmlns:mc="http://schemas.openxmlformats.org/markup-compatibility/2006">
          <mc:Choice Requires="x14">
            <control shapeId="14140" r:id="rId525" name="Button 2876">
              <controlPr defaultSize="0" autoFill="0" autoLine="0" autoPict="0" macro="[0]!Sheet1.deleteRow">
                <anchor moveWithCells="1" sizeWithCells="1">
                  <from>
                    <xdr:col>6</xdr:col>
                    <xdr:colOff>0</xdr:colOff>
                    <xdr:row>1046</xdr:row>
                    <xdr:rowOff>0</xdr:rowOff>
                  </from>
                  <to>
                    <xdr:col>7</xdr:col>
                    <xdr:colOff>0</xdr:colOff>
                    <xdr:row>1046</xdr:row>
                    <xdr:rowOff>165100</xdr:rowOff>
                  </to>
                </anchor>
              </controlPr>
            </control>
          </mc:Choice>
        </mc:AlternateContent>
        <mc:AlternateContent xmlns:mc="http://schemas.openxmlformats.org/markup-compatibility/2006">
          <mc:Choice Requires="x14">
            <control shapeId="14139" r:id="rId526" name="Button 2875">
              <controlPr defaultSize="0" autoFill="0" autoLine="0" autoPict="0" macro="[0]!Sheet1.deleteRow">
                <anchor moveWithCells="1" sizeWithCells="1">
                  <from>
                    <xdr:col>6</xdr:col>
                    <xdr:colOff>0</xdr:colOff>
                    <xdr:row>1047</xdr:row>
                    <xdr:rowOff>0</xdr:rowOff>
                  </from>
                  <to>
                    <xdr:col>7</xdr:col>
                    <xdr:colOff>0</xdr:colOff>
                    <xdr:row>1047</xdr:row>
                    <xdr:rowOff>165100</xdr:rowOff>
                  </to>
                </anchor>
              </controlPr>
            </control>
          </mc:Choice>
        </mc:AlternateContent>
        <mc:AlternateContent xmlns:mc="http://schemas.openxmlformats.org/markup-compatibility/2006">
          <mc:Choice Requires="x14">
            <control shapeId="14138" r:id="rId527" name="Button 2874">
              <controlPr defaultSize="0" autoFill="0" autoLine="0" autoPict="0" macro="[0]!Sheet1.deleteRow">
                <anchor moveWithCells="1" sizeWithCells="1">
                  <from>
                    <xdr:col>6</xdr:col>
                    <xdr:colOff>0</xdr:colOff>
                    <xdr:row>1048</xdr:row>
                    <xdr:rowOff>0</xdr:rowOff>
                  </from>
                  <to>
                    <xdr:col>7</xdr:col>
                    <xdr:colOff>0</xdr:colOff>
                    <xdr:row>1048</xdr:row>
                    <xdr:rowOff>165100</xdr:rowOff>
                  </to>
                </anchor>
              </controlPr>
            </control>
          </mc:Choice>
        </mc:AlternateContent>
        <mc:AlternateContent xmlns:mc="http://schemas.openxmlformats.org/markup-compatibility/2006">
          <mc:Choice Requires="x14">
            <control shapeId="14137" r:id="rId528" name="Button 2873">
              <controlPr defaultSize="0" autoFill="0" autoLine="0" autoPict="0" macro="[0]!Sheet1.deleteRow">
                <anchor moveWithCells="1" sizeWithCells="1">
                  <from>
                    <xdr:col>6</xdr:col>
                    <xdr:colOff>0</xdr:colOff>
                    <xdr:row>1049</xdr:row>
                    <xdr:rowOff>0</xdr:rowOff>
                  </from>
                  <to>
                    <xdr:col>7</xdr:col>
                    <xdr:colOff>0</xdr:colOff>
                    <xdr:row>1049</xdr:row>
                    <xdr:rowOff>165100</xdr:rowOff>
                  </to>
                </anchor>
              </controlPr>
            </control>
          </mc:Choice>
        </mc:AlternateContent>
        <mc:AlternateContent xmlns:mc="http://schemas.openxmlformats.org/markup-compatibility/2006">
          <mc:Choice Requires="x14">
            <control shapeId="14136" r:id="rId529" name="Button 2872">
              <controlPr defaultSize="0" autoFill="0" autoLine="0" autoPict="0" macro="[0]!Sheet1.deleteRow">
                <anchor moveWithCells="1" sizeWithCells="1">
                  <from>
                    <xdr:col>6</xdr:col>
                    <xdr:colOff>0</xdr:colOff>
                    <xdr:row>1050</xdr:row>
                    <xdr:rowOff>0</xdr:rowOff>
                  </from>
                  <to>
                    <xdr:col>7</xdr:col>
                    <xdr:colOff>0</xdr:colOff>
                    <xdr:row>1050</xdr:row>
                    <xdr:rowOff>165100</xdr:rowOff>
                  </to>
                </anchor>
              </controlPr>
            </control>
          </mc:Choice>
        </mc:AlternateContent>
        <mc:AlternateContent xmlns:mc="http://schemas.openxmlformats.org/markup-compatibility/2006">
          <mc:Choice Requires="x14">
            <control shapeId="14135" r:id="rId530" name="Button 2871">
              <controlPr defaultSize="0" autoFill="0" autoLine="0" autoPict="0" macro="[0]!Sheet1.deleteRow">
                <anchor moveWithCells="1" sizeWithCells="1">
                  <from>
                    <xdr:col>6</xdr:col>
                    <xdr:colOff>0</xdr:colOff>
                    <xdr:row>1051</xdr:row>
                    <xdr:rowOff>0</xdr:rowOff>
                  </from>
                  <to>
                    <xdr:col>7</xdr:col>
                    <xdr:colOff>0</xdr:colOff>
                    <xdr:row>1051</xdr:row>
                    <xdr:rowOff>165100</xdr:rowOff>
                  </to>
                </anchor>
              </controlPr>
            </control>
          </mc:Choice>
        </mc:AlternateContent>
        <mc:AlternateContent xmlns:mc="http://schemas.openxmlformats.org/markup-compatibility/2006">
          <mc:Choice Requires="x14">
            <control shapeId="14134" r:id="rId531" name="Button 2870">
              <controlPr defaultSize="0" autoFill="0" autoLine="0" autoPict="0" macro="[0]!Sheet1.deleteRow">
                <anchor moveWithCells="1" sizeWithCells="1">
                  <from>
                    <xdr:col>6</xdr:col>
                    <xdr:colOff>0</xdr:colOff>
                    <xdr:row>1052</xdr:row>
                    <xdr:rowOff>0</xdr:rowOff>
                  </from>
                  <to>
                    <xdr:col>7</xdr:col>
                    <xdr:colOff>0</xdr:colOff>
                    <xdr:row>1052</xdr:row>
                    <xdr:rowOff>165100</xdr:rowOff>
                  </to>
                </anchor>
              </controlPr>
            </control>
          </mc:Choice>
        </mc:AlternateContent>
        <mc:AlternateContent xmlns:mc="http://schemas.openxmlformats.org/markup-compatibility/2006">
          <mc:Choice Requires="x14">
            <control shapeId="14133" r:id="rId532" name="Button 2869">
              <controlPr defaultSize="0" autoFill="0" autoLine="0" autoPict="0" macro="[0]!Sheet1.deleteRow">
                <anchor moveWithCells="1" sizeWithCells="1">
                  <from>
                    <xdr:col>6</xdr:col>
                    <xdr:colOff>0</xdr:colOff>
                    <xdr:row>1053</xdr:row>
                    <xdr:rowOff>0</xdr:rowOff>
                  </from>
                  <to>
                    <xdr:col>7</xdr:col>
                    <xdr:colOff>0</xdr:colOff>
                    <xdr:row>1053</xdr:row>
                    <xdr:rowOff>165100</xdr:rowOff>
                  </to>
                </anchor>
              </controlPr>
            </control>
          </mc:Choice>
        </mc:AlternateContent>
        <mc:AlternateContent xmlns:mc="http://schemas.openxmlformats.org/markup-compatibility/2006">
          <mc:Choice Requires="x14">
            <control shapeId="14132" r:id="rId533" name="Button 2868">
              <controlPr defaultSize="0" autoFill="0" autoLine="0" autoPict="0" macro="[0]!Sheet1.deleteRow">
                <anchor moveWithCells="1" sizeWithCells="1">
                  <from>
                    <xdr:col>6</xdr:col>
                    <xdr:colOff>0</xdr:colOff>
                    <xdr:row>1054</xdr:row>
                    <xdr:rowOff>0</xdr:rowOff>
                  </from>
                  <to>
                    <xdr:col>7</xdr:col>
                    <xdr:colOff>0</xdr:colOff>
                    <xdr:row>1054</xdr:row>
                    <xdr:rowOff>165100</xdr:rowOff>
                  </to>
                </anchor>
              </controlPr>
            </control>
          </mc:Choice>
        </mc:AlternateContent>
        <mc:AlternateContent xmlns:mc="http://schemas.openxmlformats.org/markup-compatibility/2006">
          <mc:Choice Requires="x14">
            <control shapeId="14131" r:id="rId534" name="Button 2867">
              <controlPr defaultSize="0" autoFill="0" autoLine="0" autoPict="0" macro="[0]!Sheet1.deleteRow">
                <anchor moveWithCells="1" sizeWithCells="1">
                  <from>
                    <xdr:col>6</xdr:col>
                    <xdr:colOff>0</xdr:colOff>
                    <xdr:row>1055</xdr:row>
                    <xdr:rowOff>0</xdr:rowOff>
                  </from>
                  <to>
                    <xdr:col>7</xdr:col>
                    <xdr:colOff>0</xdr:colOff>
                    <xdr:row>1055</xdr:row>
                    <xdr:rowOff>165100</xdr:rowOff>
                  </to>
                </anchor>
              </controlPr>
            </control>
          </mc:Choice>
        </mc:AlternateContent>
        <mc:AlternateContent xmlns:mc="http://schemas.openxmlformats.org/markup-compatibility/2006">
          <mc:Choice Requires="x14">
            <control shapeId="14130" r:id="rId535" name="Button 2866">
              <controlPr defaultSize="0" autoFill="0" autoLine="0" autoPict="0" macro="[0]!Sheet1.deleteRow">
                <anchor moveWithCells="1" sizeWithCells="1">
                  <from>
                    <xdr:col>6</xdr:col>
                    <xdr:colOff>0</xdr:colOff>
                    <xdr:row>1056</xdr:row>
                    <xdr:rowOff>0</xdr:rowOff>
                  </from>
                  <to>
                    <xdr:col>7</xdr:col>
                    <xdr:colOff>0</xdr:colOff>
                    <xdr:row>1056</xdr:row>
                    <xdr:rowOff>165100</xdr:rowOff>
                  </to>
                </anchor>
              </controlPr>
            </control>
          </mc:Choice>
        </mc:AlternateContent>
        <mc:AlternateContent xmlns:mc="http://schemas.openxmlformats.org/markup-compatibility/2006">
          <mc:Choice Requires="x14">
            <control shapeId="14129" r:id="rId536" name="Button 2865">
              <controlPr defaultSize="0" autoFill="0" autoLine="0" autoPict="0" macro="[0]!Sheet1.deleteRow">
                <anchor moveWithCells="1" sizeWithCells="1">
                  <from>
                    <xdr:col>6</xdr:col>
                    <xdr:colOff>0</xdr:colOff>
                    <xdr:row>1057</xdr:row>
                    <xdr:rowOff>0</xdr:rowOff>
                  </from>
                  <to>
                    <xdr:col>7</xdr:col>
                    <xdr:colOff>0</xdr:colOff>
                    <xdr:row>1057</xdr:row>
                    <xdr:rowOff>165100</xdr:rowOff>
                  </to>
                </anchor>
              </controlPr>
            </control>
          </mc:Choice>
        </mc:AlternateContent>
        <mc:AlternateContent xmlns:mc="http://schemas.openxmlformats.org/markup-compatibility/2006">
          <mc:Choice Requires="x14">
            <control shapeId="14128" r:id="rId537" name="Button 2864">
              <controlPr defaultSize="0" autoFill="0" autoLine="0" autoPict="0" macro="[0]!Sheet1.deleteRow">
                <anchor moveWithCells="1" sizeWithCells="1">
                  <from>
                    <xdr:col>6</xdr:col>
                    <xdr:colOff>0</xdr:colOff>
                    <xdr:row>1058</xdr:row>
                    <xdr:rowOff>0</xdr:rowOff>
                  </from>
                  <to>
                    <xdr:col>7</xdr:col>
                    <xdr:colOff>0</xdr:colOff>
                    <xdr:row>1058</xdr:row>
                    <xdr:rowOff>165100</xdr:rowOff>
                  </to>
                </anchor>
              </controlPr>
            </control>
          </mc:Choice>
        </mc:AlternateContent>
        <mc:AlternateContent xmlns:mc="http://schemas.openxmlformats.org/markup-compatibility/2006">
          <mc:Choice Requires="x14">
            <control shapeId="14127" r:id="rId538" name="Button 2863">
              <controlPr defaultSize="0" autoFill="0" autoLine="0" autoPict="0" macro="[0]!Sheet1.deleteRow">
                <anchor moveWithCells="1" sizeWithCells="1">
                  <from>
                    <xdr:col>6</xdr:col>
                    <xdr:colOff>0</xdr:colOff>
                    <xdr:row>1059</xdr:row>
                    <xdr:rowOff>0</xdr:rowOff>
                  </from>
                  <to>
                    <xdr:col>7</xdr:col>
                    <xdr:colOff>0</xdr:colOff>
                    <xdr:row>1059</xdr:row>
                    <xdr:rowOff>165100</xdr:rowOff>
                  </to>
                </anchor>
              </controlPr>
            </control>
          </mc:Choice>
        </mc:AlternateContent>
        <mc:AlternateContent xmlns:mc="http://schemas.openxmlformats.org/markup-compatibility/2006">
          <mc:Choice Requires="x14">
            <control shapeId="14126" r:id="rId539" name="Button 2862">
              <controlPr defaultSize="0" autoFill="0" autoLine="0" autoPict="0" macro="[0]!Sheet1.deleteRow">
                <anchor moveWithCells="1" sizeWithCells="1">
                  <from>
                    <xdr:col>6</xdr:col>
                    <xdr:colOff>0</xdr:colOff>
                    <xdr:row>1060</xdr:row>
                    <xdr:rowOff>0</xdr:rowOff>
                  </from>
                  <to>
                    <xdr:col>7</xdr:col>
                    <xdr:colOff>0</xdr:colOff>
                    <xdr:row>1060</xdr:row>
                    <xdr:rowOff>165100</xdr:rowOff>
                  </to>
                </anchor>
              </controlPr>
            </control>
          </mc:Choice>
        </mc:AlternateContent>
        <mc:AlternateContent xmlns:mc="http://schemas.openxmlformats.org/markup-compatibility/2006">
          <mc:Choice Requires="x14">
            <control shapeId="14125" r:id="rId540" name="Button 2861">
              <controlPr defaultSize="0" autoFill="0" autoLine="0" autoPict="0" macro="[0]!Sheet1.deleteRow">
                <anchor moveWithCells="1" sizeWithCells="1">
                  <from>
                    <xdr:col>6</xdr:col>
                    <xdr:colOff>0</xdr:colOff>
                    <xdr:row>1061</xdr:row>
                    <xdr:rowOff>0</xdr:rowOff>
                  </from>
                  <to>
                    <xdr:col>7</xdr:col>
                    <xdr:colOff>0</xdr:colOff>
                    <xdr:row>1061</xdr:row>
                    <xdr:rowOff>165100</xdr:rowOff>
                  </to>
                </anchor>
              </controlPr>
            </control>
          </mc:Choice>
        </mc:AlternateContent>
        <mc:AlternateContent xmlns:mc="http://schemas.openxmlformats.org/markup-compatibility/2006">
          <mc:Choice Requires="x14">
            <control shapeId="14124" r:id="rId541" name="Button 2860">
              <controlPr defaultSize="0" autoFill="0" autoLine="0" autoPict="0" macro="[0]!Sheet1.deleteRow">
                <anchor moveWithCells="1" sizeWithCells="1">
                  <from>
                    <xdr:col>6</xdr:col>
                    <xdr:colOff>0</xdr:colOff>
                    <xdr:row>1062</xdr:row>
                    <xdr:rowOff>0</xdr:rowOff>
                  </from>
                  <to>
                    <xdr:col>7</xdr:col>
                    <xdr:colOff>0</xdr:colOff>
                    <xdr:row>1062</xdr:row>
                    <xdr:rowOff>165100</xdr:rowOff>
                  </to>
                </anchor>
              </controlPr>
            </control>
          </mc:Choice>
        </mc:AlternateContent>
        <mc:AlternateContent xmlns:mc="http://schemas.openxmlformats.org/markup-compatibility/2006">
          <mc:Choice Requires="x14">
            <control shapeId="14123" r:id="rId542" name="Button 2859">
              <controlPr defaultSize="0" autoFill="0" autoLine="0" autoPict="0" macro="[0]!Sheet1.deleteRow">
                <anchor moveWithCells="1" sizeWithCells="1">
                  <from>
                    <xdr:col>6</xdr:col>
                    <xdr:colOff>0</xdr:colOff>
                    <xdr:row>1063</xdr:row>
                    <xdr:rowOff>0</xdr:rowOff>
                  </from>
                  <to>
                    <xdr:col>7</xdr:col>
                    <xdr:colOff>0</xdr:colOff>
                    <xdr:row>1063</xdr:row>
                    <xdr:rowOff>165100</xdr:rowOff>
                  </to>
                </anchor>
              </controlPr>
            </control>
          </mc:Choice>
        </mc:AlternateContent>
        <mc:AlternateContent xmlns:mc="http://schemas.openxmlformats.org/markup-compatibility/2006">
          <mc:Choice Requires="x14">
            <control shapeId="14122" r:id="rId543" name="Button 2858">
              <controlPr defaultSize="0" autoFill="0" autoLine="0" autoPict="0" macro="[0]!Sheet1.deleteRow">
                <anchor moveWithCells="1" sizeWithCells="1">
                  <from>
                    <xdr:col>6</xdr:col>
                    <xdr:colOff>0</xdr:colOff>
                    <xdr:row>1064</xdr:row>
                    <xdr:rowOff>0</xdr:rowOff>
                  </from>
                  <to>
                    <xdr:col>7</xdr:col>
                    <xdr:colOff>0</xdr:colOff>
                    <xdr:row>1064</xdr:row>
                    <xdr:rowOff>165100</xdr:rowOff>
                  </to>
                </anchor>
              </controlPr>
            </control>
          </mc:Choice>
        </mc:AlternateContent>
        <mc:AlternateContent xmlns:mc="http://schemas.openxmlformats.org/markup-compatibility/2006">
          <mc:Choice Requires="x14">
            <control shapeId="14121" r:id="rId544" name="Button 2857">
              <controlPr defaultSize="0" autoFill="0" autoLine="0" autoPict="0" macro="[0]!Sheet1.deleteRow">
                <anchor moveWithCells="1" sizeWithCells="1">
                  <from>
                    <xdr:col>6</xdr:col>
                    <xdr:colOff>0</xdr:colOff>
                    <xdr:row>1065</xdr:row>
                    <xdr:rowOff>0</xdr:rowOff>
                  </from>
                  <to>
                    <xdr:col>7</xdr:col>
                    <xdr:colOff>0</xdr:colOff>
                    <xdr:row>1065</xdr:row>
                    <xdr:rowOff>165100</xdr:rowOff>
                  </to>
                </anchor>
              </controlPr>
            </control>
          </mc:Choice>
        </mc:AlternateContent>
        <mc:AlternateContent xmlns:mc="http://schemas.openxmlformats.org/markup-compatibility/2006">
          <mc:Choice Requires="x14">
            <control shapeId="14120" r:id="rId545" name="Button 2856">
              <controlPr defaultSize="0" autoFill="0" autoLine="0" autoPict="0" macro="[0]!Sheet1.deleteRow">
                <anchor moveWithCells="1" sizeWithCells="1">
                  <from>
                    <xdr:col>6</xdr:col>
                    <xdr:colOff>0</xdr:colOff>
                    <xdr:row>1066</xdr:row>
                    <xdr:rowOff>0</xdr:rowOff>
                  </from>
                  <to>
                    <xdr:col>7</xdr:col>
                    <xdr:colOff>0</xdr:colOff>
                    <xdr:row>1066</xdr:row>
                    <xdr:rowOff>165100</xdr:rowOff>
                  </to>
                </anchor>
              </controlPr>
            </control>
          </mc:Choice>
        </mc:AlternateContent>
        <mc:AlternateContent xmlns:mc="http://schemas.openxmlformats.org/markup-compatibility/2006">
          <mc:Choice Requires="x14">
            <control shapeId="14119" r:id="rId546" name="Button 2855">
              <controlPr defaultSize="0" autoFill="0" autoLine="0" autoPict="0" macro="[0]!Sheet1.deleteRow">
                <anchor moveWithCells="1" sizeWithCells="1">
                  <from>
                    <xdr:col>6</xdr:col>
                    <xdr:colOff>0</xdr:colOff>
                    <xdr:row>1067</xdr:row>
                    <xdr:rowOff>0</xdr:rowOff>
                  </from>
                  <to>
                    <xdr:col>7</xdr:col>
                    <xdr:colOff>0</xdr:colOff>
                    <xdr:row>1067</xdr:row>
                    <xdr:rowOff>165100</xdr:rowOff>
                  </to>
                </anchor>
              </controlPr>
            </control>
          </mc:Choice>
        </mc:AlternateContent>
        <mc:AlternateContent xmlns:mc="http://schemas.openxmlformats.org/markup-compatibility/2006">
          <mc:Choice Requires="x14">
            <control shapeId="14118" r:id="rId547" name="Button 2854">
              <controlPr defaultSize="0" autoFill="0" autoLine="0" autoPict="0" macro="[0]!Sheet1.deleteRow">
                <anchor moveWithCells="1" sizeWithCells="1">
                  <from>
                    <xdr:col>6</xdr:col>
                    <xdr:colOff>0</xdr:colOff>
                    <xdr:row>1068</xdr:row>
                    <xdr:rowOff>0</xdr:rowOff>
                  </from>
                  <to>
                    <xdr:col>7</xdr:col>
                    <xdr:colOff>0</xdr:colOff>
                    <xdr:row>1068</xdr:row>
                    <xdr:rowOff>165100</xdr:rowOff>
                  </to>
                </anchor>
              </controlPr>
            </control>
          </mc:Choice>
        </mc:AlternateContent>
        <mc:AlternateContent xmlns:mc="http://schemas.openxmlformats.org/markup-compatibility/2006">
          <mc:Choice Requires="x14">
            <control shapeId="14117" r:id="rId548" name="Button 2853">
              <controlPr defaultSize="0" autoFill="0" autoLine="0" autoPict="0" macro="[0]!Sheet1.deleteRow">
                <anchor moveWithCells="1" sizeWithCells="1">
                  <from>
                    <xdr:col>6</xdr:col>
                    <xdr:colOff>0</xdr:colOff>
                    <xdr:row>1069</xdr:row>
                    <xdr:rowOff>0</xdr:rowOff>
                  </from>
                  <to>
                    <xdr:col>7</xdr:col>
                    <xdr:colOff>0</xdr:colOff>
                    <xdr:row>1069</xdr:row>
                    <xdr:rowOff>165100</xdr:rowOff>
                  </to>
                </anchor>
              </controlPr>
            </control>
          </mc:Choice>
        </mc:AlternateContent>
        <mc:AlternateContent xmlns:mc="http://schemas.openxmlformats.org/markup-compatibility/2006">
          <mc:Choice Requires="x14">
            <control shapeId="14116" r:id="rId549" name="Button 2852">
              <controlPr defaultSize="0" autoFill="0" autoLine="0" autoPict="0" macro="[0]!Sheet1.deleteRow">
                <anchor moveWithCells="1" sizeWithCells="1">
                  <from>
                    <xdr:col>6</xdr:col>
                    <xdr:colOff>0</xdr:colOff>
                    <xdr:row>1070</xdr:row>
                    <xdr:rowOff>0</xdr:rowOff>
                  </from>
                  <to>
                    <xdr:col>7</xdr:col>
                    <xdr:colOff>0</xdr:colOff>
                    <xdr:row>1070</xdr:row>
                    <xdr:rowOff>165100</xdr:rowOff>
                  </to>
                </anchor>
              </controlPr>
            </control>
          </mc:Choice>
        </mc:AlternateContent>
        <mc:AlternateContent xmlns:mc="http://schemas.openxmlformats.org/markup-compatibility/2006">
          <mc:Choice Requires="x14">
            <control shapeId="14115" r:id="rId550" name="Button 2851">
              <controlPr defaultSize="0" autoFill="0" autoLine="0" autoPict="0" macro="[0]!Sheet1.deleteRow">
                <anchor moveWithCells="1" sizeWithCells="1">
                  <from>
                    <xdr:col>6</xdr:col>
                    <xdr:colOff>0</xdr:colOff>
                    <xdr:row>1071</xdr:row>
                    <xdr:rowOff>0</xdr:rowOff>
                  </from>
                  <to>
                    <xdr:col>7</xdr:col>
                    <xdr:colOff>0</xdr:colOff>
                    <xdr:row>1071</xdr:row>
                    <xdr:rowOff>165100</xdr:rowOff>
                  </to>
                </anchor>
              </controlPr>
            </control>
          </mc:Choice>
        </mc:AlternateContent>
        <mc:AlternateContent xmlns:mc="http://schemas.openxmlformats.org/markup-compatibility/2006">
          <mc:Choice Requires="x14">
            <control shapeId="14114" r:id="rId551" name="Button 2850">
              <controlPr defaultSize="0" autoFill="0" autoLine="0" autoPict="0" macro="[0]!Sheet1.deleteRow">
                <anchor moveWithCells="1" sizeWithCells="1">
                  <from>
                    <xdr:col>6</xdr:col>
                    <xdr:colOff>0</xdr:colOff>
                    <xdr:row>1072</xdr:row>
                    <xdr:rowOff>0</xdr:rowOff>
                  </from>
                  <to>
                    <xdr:col>7</xdr:col>
                    <xdr:colOff>0</xdr:colOff>
                    <xdr:row>1072</xdr:row>
                    <xdr:rowOff>165100</xdr:rowOff>
                  </to>
                </anchor>
              </controlPr>
            </control>
          </mc:Choice>
        </mc:AlternateContent>
        <mc:AlternateContent xmlns:mc="http://schemas.openxmlformats.org/markup-compatibility/2006">
          <mc:Choice Requires="x14">
            <control shapeId="14113" r:id="rId552" name="Button 2849">
              <controlPr defaultSize="0" autoFill="0" autoLine="0" autoPict="0" macro="[0]!Sheet1.deleteRow">
                <anchor moveWithCells="1" sizeWithCells="1">
                  <from>
                    <xdr:col>6</xdr:col>
                    <xdr:colOff>0</xdr:colOff>
                    <xdr:row>1073</xdr:row>
                    <xdr:rowOff>0</xdr:rowOff>
                  </from>
                  <to>
                    <xdr:col>7</xdr:col>
                    <xdr:colOff>0</xdr:colOff>
                    <xdr:row>1073</xdr:row>
                    <xdr:rowOff>165100</xdr:rowOff>
                  </to>
                </anchor>
              </controlPr>
            </control>
          </mc:Choice>
        </mc:AlternateContent>
        <mc:AlternateContent xmlns:mc="http://schemas.openxmlformats.org/markup-compatibility/2006">
          <mc:Choice Requires="x14">
            <control shapeId="14112" r:id="rId553" name="Button 2848">
              <controlPr defaultSize="0" autoFill="0" autoLine="0" autoPict="0" macro="[0]!Sheet1.deleteRow">
                <anchor moveWithCells="1" sizeWithCells="1">
                  <from>
                    <xdr:col>6</xdr:col>
                    <xdr:colOff>0</xdr:colOff>
                    <xdr:row>1074</xdr:row>
                    <xdr:rowOff>0</xdr:rowOff>
                  </from>
                  <to>
                    <xdr:col>7</xdr:col>
                    <xdr:colOff>0</xdr:colOff>
                    <xdr:row>1074</xdr:row>
                    <xdr:rowOff>165100</xdr:rowOff>
                  </to>
                </anchor>
              </controlPr>
            </control>
          </mc:Choice>
        </mc:AlternateContent>
        <mc:AlternateContent xmlns:mc="http://schemas.openxmlformats.org/markup-compatibility/2006">
          <mc:Choice Requires="x14">
            <control shapeId="14111" r:id="rId554" name="Button 2847">
              <controlPr defaultSize="0" autoFill="0" autoLine="0" autoPict="0" macro="[0]!Sheet1.deleteRow">
                <anchor moveWithCells="1" sizeWithCells="1">
                  <from>
                    <xdr:col>6</xdr:col>
                    <xdr:colOff>0</xdr:colOff>
                    <xdr:row>1075</xdr:row>
                    <xdr:rowOff>0</xdr:rowOff>
                  </from>
                  <to>
                    <xdr:col>7</xdr:col>
                    <xdr:colOff>0</xdr:colOff>
                    <xdr:row>1075</xdr:row>
                    <xdr:rowOff>165100</xdr:rowOff>
                  </to>
                </anchor>
              </controlPr>
            </control>
          </mc:Choice>
        </mc:AlternateContent>
        <mc:AlternateContent xmlns:mc="http://schemas.openxmlformats.org/markup-compatibility/2006">
          <mc:Choice Requires="x14">
            <control shapeId="14110" r:id="rId555" name="Button 2846">
              <controlPr defaultSize="0" autoFill="0" autoLine="0" autoPict="0" macro="[0]!Sheet1.deleteRow">
                <anchor moveWithCells="1" sizeWithCells="1">
                  <from>
                    <xdr:col>6</xdr:col>
                    <xdr:colOff>0</xdr:colOff>
                    <xdr:row>1076</xdr:row>
                    <xdr:rowOff>0</xdr:rowOff>
                  </from>
                  <to>
                    <xdr:col>7</xdr:col>
                    <xdr:colOff>0</xdr:colOff>
                    <xdr:row>1076</xdr:row>
                    <xdr:rowOff>165100</xdr:rowOff>
                  </to>
                </anchor>
              </controlPr>
            </control>
          </mc:Choice>
        </mc:AlternateContent>
        <mc:AlternateContent xmlns:mc="http://schemas.openxmlformats.org/markup-compatibility/2006">
          <mc:Choice Requires="x14">
            <control shapeId="14109" r:id="rId556" name="Button 2845">
              <controlPr defaultSize="0" autoFill="0" autoLine="0" autoPict="0" macro="[0]!Sheet1.deleteRow">
                <anchor moveWithCells="1" sizeWithCells="1">
                  <from>
                    <xdr:col>6</xdr:col>
                    <xdr:colOff>0</xdr:colOff>
                    <xdr:row>1077</xdr:row>
                    <xdr:rowOff>0</xdr:rowOff>
                  </from>
                  <to>
                    <xdr:col>7</xdr:col>
                    <xdr:colOff>0</xdr:colOff>
                    <xdr:row>1077</xdr:row>
                    <xdr:rowOff>165100</xdr:rowOff>
                  </to>
                </anchor>
              </controlPr>
            </control>
          </mc:Choice>
        </mc:AlternateContent>
        <mc:AlternateContent xmlns:mc="http://schemas.openxmlformats.org/markup-compatibility/2006">
          <mc:Choice Requires="x14">
            <control shapeId="14108" r:id="rId557" name="Button 2844">
              <controlPr defaultSize="0" autoFill="0" autoLine="0" autoPict="0" macro="[0]!Sheet1.deleteRow">
                <anchor moveWithCells="1" sizeWithCells="1">
                  <from>
                    <xdr:col>6</xdr:col>
                    <xdr:colOff>0</xdr:colOff>
                    <xdr:row>1078</xdr:row>
                    <xdr:rowOff>0</xdr:rowOff>
                  </from>
                  <to>
                    <xdr:col>7</xdr:col>
                    <xdr:colOff>0</xdr:colOff>
                    <xdr:row>1078</xdr:row>
                    <xdr:rowOff>165100</xdr:rowOff>
                  </to>
                </anchor>
              </controlPr>
            </control>
          </mc:Choice>
        </mc:AlternateContent>
        <mc:AlternateContent xmlns:mc="http://schemas.openxmlformats.org/markup-compatibility/2006">
          <mc:Choice Requires="x14">
            <control shapeId="14107" r:id="rId558" name="Button 2843">
              <controlPr defaultSize="0" autoFill="0" autoLine="0" autoPict="0" macro="[0]!Sheet1.deleteRow">
                <anchor moveWithCells="1" sizeWithCells="1">
                  <from>
                    <xdr:col>6</xdr:col>
                    <xdr:colOff>0</xdr:colOff>
                    <xdr:row>1079</xdr:row>
                    <xdr:rowOff>0</xdr:rowOff>
                  </from>
                  <to>
                    <xdr:col>7</xdr:col>
                    <xdr:colOff>0</xdr:colOff>
                    <xdr:row>1079</xdr:row>
                    <xdr:rowOff>165100</xdr:rowOff>
                  </to>
                </anchor>
              </controlPr>
            </control>
          </mc:Choice>
        </mc:AlternateContent>
        <mc:AlternateContent xmlns:mc="http://schemas.openxmlformats.org/markup-compatibility/2006">
          <mc:Choice Requires="x14">
            <control shapeId="14106" r:id="rId559" name="Button 2842">
              <controlPr defaultSize="0" autoFill="0" autoLine="0" autoPict="0" macro="[0]!Sheet1.deleteRow">
                <anchor moveWithCells="1" sizeWithCells="1">
                  <from>
                    <xdr:col>6</xdr:col>
                    <xdr:colOff>0</xdr:colOff>
                    <xdr:row>1080</xdr:row>
                    <xdr:rowOff>0</xdr:rowOff>
                  </from>
                  <to>
                    <xdr:col>7</xdr:col>
                    <xdr:colOff>0</xdr:colOff>
                    <xdr:row>1080</xdr:row>
                    <xdr:rowOff>165100</xdr:rowOff>
                  </to>
                </anchor>
              </controlPr>
            </control>
          </mc:Choice>
        </mc:AlternateContent>
        <mc:AlternateContent xmlns:mc="http://schemas.openxmlformats.org/markup-compatibility/2006">
          <mc:Choice Requires="x14">
            <control shapeId="14105" r:id="rId560" name="Button 2841">
              <controlPr defaultSize="0" autoFill="0" autoLine="0" autoPict="0" macro="[0]!Sheet1.deleteRow">
                <anchor moveWithCells="1" sizeWithCells="1">
                  <from>
                    <xdr:col>6</xdr:col>
                    <xdr:colOff>0</xdr:colOff>
                    <xdr:row>1081</xdr:row>
                    <xdr:rowOff>0</xdr:rowOff>
                  </from>
                  <to>
                    <xdr:col>7</xdr:col>
                    <xdr:colOff>0</xdr:colOff>
                    <xdr:row>1081</xdr:row>
                    <xdr:rowOff>165100</xdr:rowOff>
                  </to>
                </anchor>
              </controlPr>
            </control>
          </mc:Choice>
        </mc:AlternateContent>
        <mc:AlternateContent xmlns:mc="http://schemas.openxmlformats.org/markup-compatibility/2006">
          <mc:Choice Requires="x14">
            <control shapeId="14104" r:id="rId561" name="Button 2840">
              <controlPr defaultSize="0" autoFill="0" autoLine="0" autoPict="0" macro="[0]!Sheet1.deleteRow">
                <anchor moveWithCells="1" sizeWithCells="1">
                  <from>
                    <xdr:col>6</xdr:col>
                    <xdr:colOff>0</xdr:colOff>
                    <xdr:row>1082</xdr:row>
                    <xdr:rowOff>0</xdr:rowOff>
                  </from>
                  <to>
                    <xdr:col>7</xdr:col>
                    <xdr:colOff>0</xdr:colOff>
                    <xdr:row>1082</xdr:row>
                    <xdr:rowOff>165100</xdr:rowOff>
                  </to>
                </anchor>
              </controlPr>
            </control>
          </mc:Choice>
        </mc:AlternateContent>
        <mc:AlternateContent xmlns:mc="http://schemas.openxmlformats.org/markup-compatibility/2006">
          <mc:Choice Requires="x14">
            <control shapeId="14103" r:id="rId562" name="Button 2839">
              <controlPr defaultSize="0" autoFill="0" autoLine="0" autoPict="0" macro="[0]!Sheet1.deleteRow">
                <anchor moveWithCells="1" sizeWithCells="1">
                  <from>
                    <xdr:col>6</xdr:col>
                    <xdr:colOff>0</xdr:colOff>
                    <xdr:row>1083</xdr:row>
                    <xdr:rowOff>0</xdr:rowOff>
                  </from>
                  <to>
                    <xdr:col>7</xdr:col>
                    <xdr:colOff>0</xdr:colOff>
                    <xdr:row>1083</xdr:row>
                    <xdr:rowOff>165100</xdr:rowOff>
                  </to>
                </anchor>
              </controlPr>
            </control>
          </mc:Choice>
        </mc:AlternateContent>
        <mc:AlternateContent xmlns:mc="http://schemas.openxmlformats.org/markup-compatibility/2006">
          <mc:Choice Requires="x14">
            <control shapeId="14102" r:id="rId563" name="Button 2838">
              <controlPr defaultSize="0" autoFill="0" autoLine="0" autoPict="0" macro="[0]!Sheet1.deleteRow">
                <anchor moveWithCells="1" sizeWithCells="1">
                  <from>
                    <xdr:col>6</xdr:col>
                    <xdr:colOff>0</xdr:colOff>
                    <xdr:row>1084</xdr:row>
                    <xdr:rowOff>0</xdr:rowOff>
                  </from>
                  <to>
                    <xdr:col>7</xdr:col>
                    <xdr:colOff>0</xdr:colOff>
                    <xdr:row>1084</xdr:row>
                    <xdr:rowOff>165100</xdr:rowOff>
                  </to>
                </anchor>
              </controlPr>
            </control>
          </mc:Choice>
        </mc:AlternateContent>
        <mc:AlternateContent xmlns:mc="http://schemas.openxmlformats.org/markup-compatibility/2006">
          <mc:Choice Requires="x14">
            <control shapeId="14101" r:id="rId564" name="Button 2837">
              <controlPr defaultSize="0" autoFill="0" autoLine="0" autoPict="0" macro="[0]!Sheet1.deleteRow">
                <anchor moveWithCells="1" sizeWithCells="1">
                  <from>
                    <xdr:col>6</xdr:col>
                    <xdr:colOff>0</xdr:colOff>
                    <xdr:row>1085</xdr:row>
                    <xdr:rowOff>0</xdr:rowOff>
                  </from>
                  <to>
                    <xdr:col>7</xdr:col>
                    <xdr:colOff>0</xdr:colOff>
                    <xdr:row>1085</xdr:row>
                    <xdr:rowOff>165100</xdr:rowOff>
                  </to>
                </anchor>
              </controlPr>
            </control>
          </mc:Choice>
        </mc:AlternateContent>
        <mc:AlternateContent xmlns:mc="http://schemas.openxmlformats.org/markup-compatibility/2006">
          <mc:Choice Requires="x14">
            <control shapeId="14100" r:id="rId565" name="Button 2836">
              <controlPr defaultSize="0" autoFill="0" autoLine="0" autoPict="0" macro="[0]!Sheet1.deleteRow">
                <anchor moveWithCells="1" sizeWithCells="1">
                  <from>
                    <xdr:col>6</xdr:col>
                    <xdr:colOff>0</xdr:colOff>
                    <xdr:row>1086</xdr:row>
                    <xdr:rowOff>0</xdr:rowOff>
                  </from>
                  <to>
                    <xdr:col>7</xdr:col>
                    <xdr:colOff>0</xdr:colOff>
                    <xdr:row>1086</xdr:row>
                    <xdr:rowOff>165100</xdr:rowOff>
                  </to>
                </anchor>
              </controlPr>
            </control>
          </mc:Choice>
        </mc:AlternateContent>
        <mc:AlternateContent xmlns:mc="http://schemas.openxmlformats.org/markup-compatibility/2006">
          <mc:Choice Requires="x14">
            <control shapeId="14099" r:id="rId566" name="Button 2835">
              <controlPr defaultSize="0" autoFill="0" autoLine="0" autoPict="0" macro="[0]!Sheet1.deleteRow">
                <anchor moveWithCells="1" sizeWithCells="1">
                  <from>
                    <xdr:col>6</xdr:col>
                    <xdr:colOff>0</xdr:colOff>
                    <xdr:row>1087</xdr:row>
                    <xdr:rowOff>0</xdr:rowOff>
                  </from>
                  <to>
                    <xdr:col>7</xdr:col>
                    <xdr:colOff>0</xdr:colOff>
                    <xdr:row>1087</xdr:row>
                    <xdr:rowOff>165100</xdr:rowOff>
                  </to>
                </anchor>
              </controlPr>
            </control>
          </mc:Choice>
        </mc:AlternateContent>
        <mc:AlternateContent xmlns:mc="http://schemas.openxmlformats.org/markup-compatibility/2006">
          <mc:Choice Requires="x14">
            <control shapeId="14098" r:id="rId567" name="Button 2834">
              <controlPr defaultSize="0" autoFill="0" autoLine="0" autoPict="0" macro="[0]!Sheet1.deleteRow">
                <anchor moveWithCells="1" sizeWithCells="1">
                  <from>
                    <xdr:col>6</xdr:col>
                    <xdr:colOff>0</xdr:colOff>
                    <xdr:row>1088</xdr:row>
                    <xdr:rowOff>0</xdr:rowOff>
                  </from>
                  <to>
                    <xdr:col>7</xdr:col>
                    <xdr:colOff>0</xdr:colOff>
                    <xdr:row>1088</xdr:row>
                    <xdr:rowOff>165100</xdr:rowOff>
                  </to>
                </anchor>
              </controlPr>
            </control>
          </mc:Choice>
        </mc:AlternateContent>
        <mc:AlternateContent xmlns:mc="http://schemas.openxmlformats.org/markup-compatibility/2006">
          <mc:Choice Requires="x14">
            <control shapeId="14097" r:id="rId568" name="Button 2833">
              <controlPr defaultSize="0" autoFill="0" autoLine="0" autoPict="0" macro="[0]!Sheet1.deleteRow">
                <anchor moveWithCells="1" sizeWithCells="1">
                  <from>
                    <xdr:col>6</xdr:col>
                    <xdr:colOff>0</xdr:colOff>
                    <xdr:row>1089</xdr:row>
                    <xdr:rowOff>0</xdr:rowOff>
                  </from>
                  <to>
                    <xdr:col>7</xdr:col>
                    <xdr:colOff>0</xdr:colOff>
                    <xdr:row>1089</xdr:row>
                    <xdr:rowOff>165100</xdr:rowOff>
                  </to>
                </anchor>
              </controlPr>
            </control>
          </mc:Choice>
        </mc:AlternateContent>
        <mc:AlternateContent xmlns:mc="http://schemas.openxmlformats.org/markup-compatibility/2006">
          <mc:Choice Requires="x14">
            <control shapeId="14096" r:id="rId569" name="Button 2832">
              <controlPr defaultSize="0" autoFill="0" autoLine="0" autoPict="0" macro="[0]!Sheet1.deleteRow">
                <anchor moveWithCells="1" sizeWithCells="1">
                  <from>
                    <xdr:col>6</xdr:col>
                    <xdr:colOff>0</xdr:colOff>
                    <xdr:row>1090</xdr:row>
                    <xdr:rowOff>0</xdr:rowOff>
                  </from>
                  <to>
                    <xdr:col>7</xdr:col>
                    <xdr:colOff>0</xdr:colOff>
                    <xdr:row>1090</xdr:row>
                    <xdr:rowOff>165100</xdr:rowOff>
                  </to>
                </anchor>
              </controlPr>
            </control>
          </mc:Choice>
        </mc:AlternateContent>
        <mc:AlternateContent xmlns:mc="http://schemas.openxmlformats.org/markup-compatibility/2006">
          <mc:Choice Requires="x14">
            <control shapeId="14095" r:id="rId570" name="Button 2831">
              <controlPr defaultSize="0" autoFill="0" autoLine="0" autoPict="0" macro="[0]!Sheet1.deleteRow">
                <anchor moveWithCells="1" sizeWithCells="1">
                  <from>
                    <xdr:col>6</xdr:col>
                    <xdr:colOff>0</xdr:colOff>
                    <xdr:row>1091</xdr:row>
                    <xdr:rowOff>0</xdr:rowOff>
                  </from>
                  <to>
                    <xdr:col>7</xdr:col>
                    <xdr:colOff>0</xdr:colOff>
                    <xdr:row>1091</xdr:row>
                    <xdr:rowOff>165100</xdr:rowOff>
                  </to>
                </anchor>
              </controlPr>
            </control>
          </mc:Choice>
        </mc:AlternateContent>
        <mc:AlternateContent xmlns:mc="http://schemas.openxmlformats.org/markup-compatibility/2006">
          <mc:Choice Requires="x14">
            <control shapeId="14094" r:id="rId571" name="Button 2830">
              <controlPr defaultSize="0" autoFill="0" autoLine="0" autoPict="0" macro="[0]!Sheet1.deleteRow">
                <anchor moveWithCells="1" sizeWithCells="1">
                  <from>
                    <xdr:col>6</xdr:col>
                    <xdr:colOff>0</xdr:colOff>
                    <xdr:row>1092</xdr:row>
                    <xdr:rowOff>0</xdr:rowOff>
                  </from>
                  <to>
                    <xdr:col>7</xdr:col>
                    <xdr:colOff>0</xdr:colOff>
                    <xdr:row>1092</xdr:row>
                    <xdr:rowOff>165100</xdr:rowOff>
                  </to>
                </anchor>
              </controlPr>
            </control>
          </mc:Choice>
        </mc:AlternateContent>
        <mc:AlternateContent xmlns:mc="http://schemas.openxmlformats.org/markup-compatibility/2006">
          <mc:Choice Requires="x14">
            <control shapeId="14093" r:id="rId572" name="Button 2829">
              <controlPr defaultSize="0" autoFill="0" autoLine="0" autoPict="0" macro="[0]!Sheet1.deleteRow">
                <anchor moveWithCells="1" sizeWithCells="1">
                  <from>
                    <xdr:col>6</xdr:col>
                    <xdr:colOff>0</xdr:colOff>
                    <xdr:row>1093</xdr:row>
                    <xdr:rowOff>0</xdr:rowOff>
                  </from>
                  <to>
                    <xdr:col>7</xdr:col>
                    <xdr:colOff>0</xdr:colOff>
                    <xdr:row>1093</xdr:row>
                    <xdr:rowOff>165100</xdr:rowOff>
                  </to>
                </anchor>
              </controlPr>
            </control>
          </mc:Choice>
        </mc:AlternateContent>
        <mc:AlternateContent xmlns:mc="http://schemas.openxmlformats.org/markup-compatibility/2006">
          <mc:Choice Requires="x14">
            <control shapeId="14092" r:id="rId573" name="Button 2828">
              <controlPr defaultSize="0" autoFill="0" autoLine="0" autoPict="0" macro="[0]!Sheet1.deleteRow">
                <anchor moveWithCells="1" sizeWithCells="1">
                  <from>
                    <xdr:col>6</xdr:col>
                    <xdr:colOff>0</xdr:colOff>
                    <xdr:row>1094</xdr:row>
                    <xdr:rowOff>0</xdr:rowOff>
                  </from>
                  <to>
                    <xdr:col>7</xdr:col>
                    <xdr:colOff>0</xdr:colOff>
                    <xdr:row>1094</xdr:row>
                    <xdr:rowOff>165100</xdr:rowOff>
                  </to>
                </anchor>
              </controlPr>
            </control>
          </mc:Choice>
        </mc:AlternateContent>
        <mc:AlternateContent xmlns:mc="http://schemas.openxmlformats.org/markup-compatibility/2006">
          <mc:Choice Requires="x14">
            <control shapeId="14091" r:id="rId574" name="Button 2827">
              <controlPr defaultSize="0" autoFill="0" autoLine="0" autoPict="0" macro="[0]!Sheet1.deleteRow">
                <anchor moveWithCells="1" sizeWithCells="1">
                  <from>
                    <xdr:col>6</xdr:col>
                    <xdr:colOff>0</xdr:colOff>
                    <xdr:row>1095</xdr:row>
                    <xdr:rowOff>0</xdr:rowOff>
                  </from>
                  <to>
                    <xdr:col>7</xdr:col>
                    <xdr:colOff>0</xdr:colOff>
                    <xdr:row>1095</xdr:row>
                    <xdr:rowOff>165100</xdr:rowOff>
                  </to>
                </anchor>
              </controlPr>
            </control>
          </mc:Choice>
        </mc:AlternateContent>
        <mc:AlternateContent xmlns:mc="http://schemas.openxmlformats.org/markup-compatibility/2006">
          <mc:Choice Requires="x14">
            <control shapeId="14090" r:id="rId575" name="Button 2826">
              <controlPr defaultSize="0" autoFill="0" autoLine="0" autoPict="0" macro="[0]!Sheet1.deleteRow">
                <anchor moveWithCells="1" sizeWithCells="1">
                  <from>
                    <xdr:col>6</xdr:col>
                    <xdr:colOff>0</xdr:colOff>
                    <xdr:row>1096</xdr:row>
                    <xdr:rowOff>0</xdr:rowOff>
                  </from>
                  <to>
                    <xdr:col>7</xdr:col>
                    <xdr:colOff>0</xdr:colOff>
                    <xdr:row>1096</xdr:row>
                    <xdr:rowOff>165100</xdr:rowOff>
                  </to>
                </anchor>
              </controlPr>
            </control>
          </mc:Choice>
        </mc:AlternateContent>
        <mc:AlternateContent xmlns:mc="http://schemas.openxmlformats.org/markup-compatibility/2006">
          <mc:Choice Requires="x14">
            <control shapeId="14089" r:id="rId576" name="Button 2825">
              <controlPr defaultSize="0" autoFill="0" autoLine="0" autoPict="0" macro="[0]!Sheet1.deleteRow">
                <anchor moveWithCells="1" sizeWithCells="1">
                  <from>
                    <xdr:col>6</xdr:col>
                    <xdr:colOff>0</xdr:colOff>
                    <xdr:row>1097</xdr:row>
                    <xdr:rowOff>0</xdr:rowOff>
                  </from>
                  <to>
                    <xdr:col>7</xdr:col>
                    <xdr:colOff>0</xdr:colOff>
                    <xdr:row>1097</xdr:row>
                    <xdr:rowOff>165100</xdr:rowOff>
                  </to>
                </anchor>
              </controlPr>
            </control>
          </mc:Choice>
        </mc:AlternateContent>
        <mc:AlternateContent xmlns:mc="http://schemas.openxmlformats.org/markup-compatibility/2006">
          <mc:Choice Requires="x14">
            <control shapeId="14088" r:id="rId577" name="Button 2824">
              <controlPr defaultSize="0" autoFill="0" autoLine="0" autoPict="0" macro="[0]!Sheet1.deleteRow">
                <anchor moveWithCells="1" sizeWithCells="1">
                  <from>
                    <xdr:col>6</xdr:col>
                    <xdr:colOff>0</xdr:colOff>
                    <xdr:row>1098</xdr:row>
                    <xdr:rowOff>0</xdr:rowOff>
                  </from>
                  <to>
                    <xdr:col>7</xdr:col>
                    <xdr:colOff>0</xdr:colOff>
                    <xdr:row>1098</xdr:row>
                    <xdr:rowOff>165100</xdr:rowOff>
                  </to>
                </anchor>
              </controlPr>
            </control>
          </mc:Choice>
        </mc:AlternateContent>
        <mc:AlternateContent xmlns:mc="http://schemas.openxmlformats.org/markup-compatibility/2006">
          <mc:Choice Requires="x14">
            <control shapeId="14087" r:id="rId578" name="Button 2823">
              <controlPr defaultSize="0" autoFill="0" autoLine="0" autoPict="0" macro="[0]!Sheet1.deleteRow">
                <anchor moveWithCells="1" sizeWithCells="1">
                  <from>
                    <xdr:col>6</xdr:col>
                    <xdr:colOff>0</xdr:colOff>
                    <xdr:row>1099</xdr:row>
                    <xdr:rowOff>0</xdr:rowOff>
                  </from>
                  <to>
                    <xdr:col>7</xdr:col>
                    <xdr:colOff>0</xdr:colOff>
                    <xdr:row>1099</xdr:row>
                    <xdr:rowOff>165100</xdr:rowOff>
                  </to>
                </anchor>
              </controlPr>
            </control>
          </mc:Choice>
        </mc:AlternateContent>
        <mc:AlternateContent xmlns:mc="http://schemas.openxmlformats.org/markup-compatibility/2006">
          <mc:Choice Requires="x14">
            <control shapeId="14086" r:id="rId579" name="Button 2822">
              <controlPr defaultSize="0" autoFill="0" autoLine="0" autoPict="0" macro="[0]!Sheet1.deleteRow">
                <anchor moveWithCells="1" sizeWithCells="1">
                  <from>
                    <xdr:col>6</xdr:col>
                    <xdr:colOff>0</xdr:colOff>
                    <xdr:row>1100</xdr:row>
                    <xdr:rowOff>0</xdr:rowOff>
                  </from>
                  <to>
                    <xdr:col>7</xdr:col>
                    <xdr:colOff>0</xdr:colOff>
                    <xdr:row>1100</xdr:row>
                    <xdr:rowOff>165100</xdr:rowOff>
                  </to>
                </anchor>
              </controlPr>
            </control>
          </mc:Choice>
        </mc:AlternateContent>
        <mc:AlternateContent xmlns:mc="http://schemas.openxmlformats.org/markup-compatibility/2006">
          <mc:Choice Requires="x14">
            <control shapeId="14085" r:id="rId580" name="Button 2821">
              <controlPr defaultSize="0" autoFill="0" autoLine="0" autoPict="0" macro="[0]!Sheet1.deleteRow">
                <anchor moveWithCells="1" sizeWithCells="1">
                  <from>
                    <xdr:col>6</xdr:col>
                    <xdr:colOff>0</xdr:colOff>
                    <xdr:row>1101</xdr:row>
                    <xdr:rowOff>0</xdr:rowOff>
                  </from>
                  <to>
                    <xdr:col>7</xdr:col>
                    <xdr:colOff>0</xdr:colOff>
                    <xdr:row>1101</xdr:row>
                    <xdr:rowOff>165100</xdr:rowOff>
                  </to>
                </anchor>
              </controlPr>
            </control>
          </mc:Choice>
        </mc:AlternateContent>
        <mc:AlternateContent xmlns:mc="http://schemas.openxmlformats.org/markup-compatibility/2006">
          <mc:Choice Requires="x14">
            <control shapeId="14084" r:id="rId581" name="Button 2820">
              <controlPr defaultSize="0" autoFill="0" autoLine="0" autoPict="0" macro="[0]!Sheet1.deleteRow">
                <anchor moveWithCells="1" sizeWithCells="1">
                  <from>
                    <xdr:col>6</xdr:col>
                    <xdr:colOff>0</xdr:colOff>
                    <xdr:row>1102</xdr:row>
                    <xdr:rowOff>0</xdr:rowOff>
                  </from>
                  <to>
                    <xdr:col>7</xdr:col>
                    <xdr:colOff>0</xdr:colOff>
                    <xdr:row>1102</xdr:row>
                    <xdr:rowOff>165100</xdr:rowOff>
                  </to>
                </anchor>
              </controlPr>
            </control>
          </mc:Choice>
        </mc:AlternateContent>
        <mc:AlternateContent xmlns:mc="http://schemas.openxmlformats.org/markup-compatibility/2006">
          <mc:Choice Requires="x14">
            <control shapeId="14083" r:id="rId582" name="Button 2819">
              <controlPr defaultSize="0" autoFill="0" autoLine="0" autoPict="0" macro="[0]!Sheet1.deleteRow">
                <anchor moveWithCells="1" sizeWithCells="1">
                  <from>
                    <xdr:col>6</xdr:col>
                    <xdr:colOff>0</xdr:colOff>
                    <xdr:row>1103</xdr:row>
                    <xdr:rowOff>0</xdr:rowOff>
                  </from>
                  <to>
                    <xdr:col>7</xdr:col>
                    <xdr:colOff>0</xdr:colOff>
                    <xdr:row>1103</xdr:row>
                    <xdr:rowOff>165100</xdr:rowOff>
                  </to>
                </anchor>
              </controlPr>
            </control>
          </mc:Choice>
        </mc:AlternateContent>
        <mc:AlternateContent xmlns:mc="http://schemas.openxmlformats.org/markup-compatibility/2006">
          <mc:Choice Requires="x14">
            <control shapeId="14082" r:id="rId583" name="Button 2818">
              <controlPr defaultSize="0" autoFill="0" autoLine="0" autoPict="0" macro="[0]!Sheet1.deleteRow">
                <anchor moveWithCells="1" sizeWithCells="1">
                  <from>
                    <xdr:col>6</xdr:col>
                    <xdr:colOff>0</xdr:colOff>
                    <xdr:row>1104</xdr:row>
                    <xdr:rowOff>0</xdr:rowOff>
                  </from>
                  <to>
                    <xdr:col>7</xdr:col>
                    <xdr:colOff>0</xdr:colOff>
                    <xdr:row>1104</xdr:row>
                    <xdr:rowOff>165100</xdr:rowOff>
                  </to>
                </anchor>
              </controlPr>
            </control>
          </mc:Choice>
        </mc:AlternateContent>
        <mc:AlternateContent xmlns:mc="http://schemas.openxmlformats.org/markup-compatibility/2006">
          <mc:Choice Requires="x14">
            <control shapeId="14081" r:id="rId584" name="Button 2817">
              <controlPr defaultSize="0" autoFill="0" autoLine="0" autoPict="0" macro="[0]!Sheet1.deleteRow">
                <anchor moveWithCells="1" sizeWithCells="1">
                  <from>
                    <xdr:col>6</xdr:col>
                    <xdr:colOff>0</xdr:colOff>
                    <xdr:row>1105</xdr:row>
                    <xdr:rowOff>0</xdr:rowOff>
                  </from>
                  <to>
                    <xdr:col>7</xdr:col>
                    <xdr:colOff>0</xdr:colOff>
                    <xdr:row>1105</xdr:row>
                    <xdr:rowOff>165100</xdr:rowOff>
                  </to>
                </anchor>
              </controlPr>
            </control>
          </mc:Choice>
        </mc:AlternateContent>
        <mc:AlternateContent xmlns:mc="http://schemas.openxmlformats.org/markup-compatibility/2006">
          <mc:Choice Requires="x14">
            <control shapeId="14080" r:id="rId585" name="Button 2816">
              <controlPr defaultSize="0" autoFill="0" autoLine="0" autoPict="0" macro="[0]!Sheet1.deleteRow">
                <anchor moveWithCells="1" sizeWithCells="1">
                  <from>
                    <xdr:col>6</xdr:col>
                    <xdr:colOff>0</xdr:colOff>
                    <xdr:row>1106</xdr:row>
                    <xdr:rowOff>0</xdr:rowOff>
                  </from>
                  <to>
                    <xdr:col>7</xdr:col>
                    <xdr:colOff>0</xdr:colOff>
                    <xdr:row>1106</xdr:row>
                    <xdr:rowOff>165100</xdr:rowOff>
                  </to>
                </anchor>
              </controlPr>
            </control>
          </mc:Choice>
        </mc:AlternateContent>
        <mc:AlternateContent xmlns:mc="http://schemas.openxmlformats.org/markup-compatibility/2006">
          <mc:Choice Requires="x14">
            <control shapeId="14079" r:id="rId586" name="Button 2815">
              <controlPr defaultSize="0" autoFill="0" autoLine="0" autoPict="0" macro="[0]!Sheet1.deleteRow">
                <anchor moveWithCells="1" sizeWithCells="1">
                  <from>
                    <xdr:col>6</xdr:col>
                    <xdr:colOff>0</xdr:colOff>
                    <xdr:row>1107</xdr:row>
                    <xdr:rowOff>0</xdr:rowOff>
                  </from>
                  <to>
                    <xdr:col>7</xdr:col>
                    <xdr:colOff>0</xdr:colOff>
                    <xdr:row>1107</xdr:row>
                    <xdr:rowOff>165100</xdr:rowOff>
                  </to>
                </anchor>
              </controlPr>
            </control>
          </mc:Choice>
        </mc:AlternateContent>
        <mc:AlternateContent xmlns:mc="http://schemas.openxmlformats.org/markup-compatibility/2006">
          <mc:Choice Requires="x14">
            <control shapeId="14078" r:id="rId587" name="Button 2814">
              <controlPr defaultSize="0" autoFill="0" autoLine="0" autoPict="0" macro="[0]!Sheet1.deleteProcedure">
                <anchor moveWithCells="1" sizeWithCells="1">
                  <from>
                    <xdr:col>6</xdr:col>
                    <xdr:colOff>0</xdr:colOff>
                    <xdr:row>1110</xdr:row>
                    <xdr:rowOff>0</xdr:rowOff>
                  </from>
                  <to>
                    <xdr:col>7</xdr:col>
                    <xdr:colOff>0</xdr:colOff>
                    <xdr:row>1111</xdr:row>
                    <xdr:rowOff>0</xdr:rowOff>
                  </to>
                </anchor>
              </controlPr>
            </control>
          </mc:Choice>
        </mc:AlternateContent>
        <mc:AlternateContent xmlns:mc="http://schemas.openxmlformats.org/markup-compatibility/2006">
          <mc:Choice Requires="x14">
            <control shapeId="14077" r:id="rId588" name="Button 2813">
              <controlPr defaultSize="0" autoFill="0" autoLine="0" autoPict="0" macro="[0]!Sheet1.InsertNewTableRow">
                <anchor moveWithCells="1" sizeWithCells="1">
                  <from>
                    <xdr:col>6</xdr:col>
                    <xdr:colOff>0</xdr:colOff>
                    <xdr:row>1117</xdr:row>
                    <xdr:rowOff>0</xdr:rowOff>
                  </from>
                  <to>
                    <xdr:col>7</xdr:col>
                    <xdr:colOff>0</xdr:colOff>
                    <xdr:row>1117</xdr:row>
                    <xdr:rowOff>171450</xdr:rowOff>
                  </to>
                </anchor>
              </controlPr>
            </control>
          </mc:Choice>
        </mc:AlternateContent>
        <mc:AlternateContent xmlns:mc="http://schemas.openxmlformats.org/markup-compatibility/2006">
          <mc:Choice Requires="x14">
            <control shapeId="14076" r:id="rId589" name="Button 2812">
              <controlPr defaultSize="0" autoFill="0" autoLine="0" autoPict="0" macro="[0]!Sheet1.deleteRow">
                <anchor moveWithCells="1" sizeWithCells="1">
                  <from>
                    <xdr:col>6</xdr:col>
                    <xdr:colOff>0</xdr:colOff>
                    <xdr:row>1118</xdr:row>
                    <xdr:rowOff>0</xdr:rowOff>
                  </from>
                  <to>
                    <xdr:col>7</xdr:col>
                    <xdr:colOff>0</xdr:colOff>
                    <xdr:row>1118</xdr:row>
                    <xdr:rowOff>165100</xdr:rowOff>
                  </to>
                </anchor>
              </controlPr>
            </control>
          </mc:Choice>
        </mc:AlternateContent>
        <mc:AlternateContent xmlns:mc="http://schemas.openxmlformats.org/markup-compatibility/2006">
          <mc:Choice Requires="x14">
            <control shapeId="14075" r:id="rId590" name="Button 2811">
              <controlPr defaultSize="0" autoFill="0" autoLine="0" autoPict="0" macro="[0]!Sheet1.deleteRow">
                <anchor moveWithCells="1" sizeWithCells="1">
                  <from>
                    <xdr:col>6</xdr:col>
                    <xdr:colOff>0</xdr:colOff>
                    <xdr:row>1119</xdr:row>
                    <xdr:rowOff>0</xdr:rowOff>
                  </from>
                  <to>
                    <xdr:col>7</xdr:col>
                    <xdr:colOff>0</xdr:colOff>
                    <xdr:row>1119</xdr:row>
                    <xdr:rowOff>165100</xdr:rowOff>
                  </to>
                </anchor>
              </controlPr>
            </control>
          </mc:Choice>
        </mc:AlternateContent>
        <mc:AlternateContent xmlns:mc="http://schemas.openxmlformats.org/markup-compatibility/2006">
          <mc:Choice Requires="x14">
            <control shapeId="14074" r:id="rId591" name="Button 2810">
              <controlPr defaultSize="0" autoFill="0" autoLine="0" autoPict="0" macro="[0]!Sheet1.deleteRow">
                <anchor moveWithCells="1" sizeWithCells="1">
                  <from>
                    <xdr:col>6</xdr:col>
                    <xdr:colOff>0</xdr:colOff>
                    <xdr:row>1120</xdr:row>
                    <xdr:rowOff>0</xdr:rowOff>
                  </from>
                  <to>
                    <xdr:col>7</xdr:col>
                    <xdr:colOff>0</xdr:colOff>
                    <xdr:row>1120</xdr:row>
                    <xdr:rowOff>165100</xdr:rowOff>
                  </to>
                </anchor>
              </controlPr>
            </control>
          </mc:Choice>
        </mc:AlternateContent>
        <mc:AlternateContent xmlns:mc="http://schemas.openxmlformats.org/markup-compatibility/2006">
          <mc:Choice Requires="x14">
            <control shapeId="14073" r:id="rId592" name="Button 2809">
              <controlPr defaultSize="0" autoFill="0" autoLine="0" autoPict="0" macro="[0]!Sheet1.deleteRow">
                <anchor moveWithCells="1" sizeWithCells="1">
                  <from>
                    <xdr:col>6</xdr:col>
                    <xdr:colOff>0</xdr:colOff>
                    <xdr:row>1121</xdr:row>
                    <xdr:rowOff>0</xdr:rowOff>
                  </from>
                  <to>
                    <xdr:col>7</xdr:col>
                    <xdr:colOff>0</xdr:colOff>
                    <xdr:row>1121</xdr:row>
                    <xdr:rowOff>165100</xdr:rowOff>
                  </to>
                </anchor>
              </controlPr>
            </control>
          </mc:Choice>
        </mc:AlternateContent>
        <mc:AlternateContent xmlns:mc="http://schemas.openxmlformats.org/markup-compatibility/2006">
          <mc:Choice Requires="x14">
            <control shapeId="14072" r:id="rId593" name="Button 2808">
              <controlPr defaultSize="0" autoFill="0" autoLine="0" autoPict="0" macro="[0]!Sheet1.deleteRow">
                <anchor moveWithCells="1" sizeWithCells="1">
                  <from>
                    <xdr:col>6</xdr:col>
                    <xdr:colOff>0</xdr:colOff>
                    <xdr:row>1122</xdr:row>
                    <xdr:rowOff>0</xdr:rowOff>
                  </from>
                  <to>
                    <xdr:col>7</xdr:col>
                    <xdr:colOff>0</xdr:colOff>
                    <xdr:row>1122</xdr:row>
                    <xdr:rowOff>165100</xdr:rowOff>
                  </to>
                </anchor>
              </controlPr>
            </control>
          </mc:Choice>
        </mc:AlternateContent>
        <mc:AlternateContent xmlns:mc="http://schemas.openxmlformats.org/markup-compatibility/2006">
          <mc:Choice Requires="x14">
            <control shapeId="14071" r:id="rId594" name="Button 2807">
              <controlPr defaultSize="0" autoFill="0" autoLine="0" autoPict="0" macro="[0]!Sheet1.deleteRow">
                <anchor moveWithCells="1" sizeWithCells="1">
                  <from>
                    <xdr:col>6</xdr:col>
                    <xdr:colOff>0</xdr:colOff>
                    <xdr:row>1123</xdr:row>
                    <xdr:rowOff>0</xdr:rowOff>
                  </from>
                  <to>
                    <xdr:col>7</xdr:col>
                    <xdr:colOff>0</xdr:colOff>
                    <xdr:row>1123</xdr:row>
                    <xdr:rowOff>165100</xdr:rowOff>
                  </to>
                </anchor>
              </controlPr>
            </control>
          </mc:Choice>
        </mc:AlternateContent>
        <mc:AlternateContent xmlns:mc="http://schemas.openxmlformats.org/markup-compatibility/2006">
          <mc:Choice Requires="x14">
            <control shapeId="14070" r:id="rId595" name="Button 2806">
              <controlPr defaultSize="0" autoFill="0" autoLine="0" autoPict="0" macro="[0]!Sheet1.deleteRow">
                <anchor moveWithCells="1" sizeWithCells="1">
                  <from>
                    <xdr:col>6</xdr:col>
                    <xdr:colOff>0</xdr:colOff>
                    <xdr:row>1124</xdr:row>
                    <xdr:rowOff>0</xdr:rowOff>
                  </from>
                  <to>
                    <xdr:col>7</xdr:col>
                    <xdr:colOff>0</xdr:colOff>
                    <xdr:row>1124</xdr:row>
                    <xdr:rowOff>165100</xdr:rowOff>
                  </to>
                </anchor>
              </controlPr>
            </control>
          </mc:Choice>
        </mc:AlternateContent>
        <mc:AlternateContent xmlns:mc="http://schemas.openxmlformats.org/markup-compatibility/2006">
          <mc:Choice Requires="x14">
            <control shapeId="14069" r:id="rId596" name="Button 2805">
              <controlPr defaultSize="0" autoFill="0" autoLine="0" autoPict="0" macro="[0]!Sheet1.deleteRow">
                <anchor moveWithCells="1" sizeWithCells="1">
                  <from>
                    <xdr:col>6</xdr:col>
                    <xdr:colOff>0</xdr:colOff>
                    <xdr:row>1125</xdr:row>
                    <xdr:rowOff>0</xdr:rowOff>
                  </from>
                  <to>
                    <xdr:col>7</xdr:col>
                    <xdr:colOff>0</xdr:colOff>
                    <xdr:row>1125</xdr:row>
                    <xdr:rowOff>165100</xdr:rowOff>
                  </to>
                </anchor>
              </controlPr>
            </control>
          </mc:Choice>
        </mc:AlternateContent>
        <mc:AlternateContent xmlns:mc="http://schemas.openxmlformats.org/markup-compatibility/2006">
          <mc:Choice Requires="x14">
            <control shapeId="14068" r:id="rId597" name="Button 2804">
              <controlPr defaultSize="0" autoFill="0" autoLine="0" autoPict="0" macro="[0]!Sheet1.deleteRow">
                <anchor moveWithCells="1" sizeWithCells="1">
                  <from>
                    <xdr:col>6</xdr:col>
                    <xdr:colOff>0</xdr:colOff>
                    <xdr:row>1126</xdr:row>
                    <xdr:rowOff>0</xdr:rowOff>
                  </from>
                  <to>
                    <xdr:col>7</xdr:col>
                    <xdr:colOff>0</xdr:colOff>
                    <xdr:row>1126</xdr:row>
                    <xdr:rowOff>165100</xdr:rowOff>
                  </to>
                </anchor>
              </controlPr>
            </control>
          </mc:Choice>
        </mc:AlternateContent>
        <mc:AlternateContent xmlns:mc="http://schemas.openxmlformats.org/markup-compatibility/2006">
          <mc:Choice Requires="x14">
            <control shapeId="14067" r:id="rId598" name="Button 2803">
              <controlPr defaultSize="0" autoFill="0" autoLine="0" autoPict="0" macro="[0]!Sheet1.deleteRow">
                <anchor moveWithCells="1" sizeWithCells="1">
                  <from>
                    <xdr:col>6</xdr:col>
                    <xdr:colOff>0</xdr:colOff>
                    <xdr:row>1127</xdr:row>
                    <xdr:rowOff>0</xdr:rowOff>
                  </from>
                  <to>
                    <xdr:col>7</xdr:col>
                    <xdr:colOff>0</xdr:colOff>
                    <xdr:row>1127</xdr:row>
                    <xdr:rowOff>165100</xdr:rowOff>
                  </to>
                </anchor>
              </controlPr>
            </control>
          </mc:Choice>
        </mc:AlternateContent>
        <mc:AlternateContent xmlns:mc="http://schemas.openxmlformats.org/markup-compatibility/2006">
          <mc:Choice Requires="x14">
            <control shapeId="14066" r:id="rId599" name="Button 2802">
              <controlPr defaultSize="0" autoFill="0" autoLine="0" autoPict="0" macro="[0]!Sheet1.deleteRow">
                <anchor moveWithCells="1" sizeWithCells="1">
                  <from>
                    <xdr:col>6</xdr:col>
                    <xdr:colOff>0</xdr:colOff>
                    <xdr:row>1128</xdr:row>
                    <xdr:rowOff>0</xdr:rowOff>
                  </from>
                  <to>
                    <xdr:col>7</xdr:col>
                    <xdr:colOff>0</xdr:colOff>
                    <xdr:row>1128</xdr:row>
                    <xdr:rowOff>165100</xdr:rowOff>
                  </to>
                </anchor>
              </controlPr>
            </control>
          </mc:Choice>
        </mc:AlternateContent>
        <mc:AlternateContent xmlns:mc="http://schemas.openxmlformats.org/markup-compatibility/2006">
          <mc:Choice Requires="x14">
            <control shapeId="14065" r:id="rId600" name="Button 2801">
              <controlPr defaultSize="0" autoFill="0" autoLine="0" autoPict="0" macro="[0]!Sheet1.deleteRow">
                <anchor moveWithCells="1" sizeWithCells="1">
                  <from>
                    <xdr:col>6</xdr:col>
                    <xdr:colOff>0</xdr:colOff>
                    <xdr:row>1129</xdr:row>
                    <xdr:rowOff>0</xdr:rowOff>
                  </from>
                  <to>
                    <xdr:col>7</xdr:col>
                    <xdr:colOff>0</xdr:colOff>
                    <xdr:row>1129</xdr:row>
                    <xdr:rowOff>165100</xdr:rowOff>
                  </to>
                </anchor>
              </controlPr>
            </control>
          </mc:Choice>
        </mc:AlternateContent>
        <mc:AlternateContent xmlns:mc="http://schemas.openxmlformats.org/markup-compatibility/2006">
          <mc:Choice Requires="x14">
            <control shapeId="14064" r:id="rId601" name="Button 2800">
              <controlPr defaultSize="0" autoFill="0" autoLine="0" autoPict="0" macro="[0]!Sheet1.deleteRow">
                <anchor moveWithCells="1" sizeWithCells="1">
                  <from>
                    <xdr:col>6</xdr:col>
                    <xdr:colOff>0</xdr:colOff>
                    <xdr:row>1130</xdr:row>
                    <xdr:rowOff>0</xdr:rowOff>
                  </from>
                  <to>
                    <xdr:col>7</xdr:col>
                    <xdr:colOff>0</xdr:colOff>
                    <xdr:row>1130</xdr:row>
                    <xdr:rowOff>165100</xdr:rowOff>
                  </to>
                </anchor>
              </controlPr>
            </control>
          </mc:Choice>
        </mc:AlternateContent>
        <mc:AlternateContent xmlns:mc="http://schemas.openxmlformats.org/markup-compatibility/2006">
          <mc:Choice Requires="x14">
            <control shapeId="14063" r:id="rId602" name="Button 2799">
              <controlPr defaultSize="0" autoFill="0" autoLine="0" autoPict="0" macro="[0]!Sheet1.deleteRow">
                <anchor moveWithCells="1" sizeWithCells="1">
                  <from>
                    <xdr:col>6</xdr:col>
                    <xdr:colOff>0</xdr:colOff>
                    <xdr:row>1131</xdr:row>
                    <xdr:rowOff>0</xdr:rowOff>
                  </from>
                  <to>
                    <xdr:col>7</xdr:col>
                    <xdr:colOff>0</xdr:colOff>
                    <xdr:row>1131</xdr:row>
                    <xdr:rowOff>165100</xdr:rowOff>
                  </to>
                </anchor>
              </controlPr>
            </control>
          </mc:Choice>
        </mc:AlternateContent>
        <mc:AlternateContent xmlns:mc="http://schemas.openxmlformats.org/markup-compatibility/2006">
          <mc:Choice Requires="x14">
            <control shapeId="14062" r:id="rId603" name="Button 2798">
              <controlPr defaultSize="0" autoFill="0" autoLine="0" autoPict="0" macro="[0]!Sheet1.deleteRow">
                <anchor moveWithCells="1" sizeWithCells="1">
                  <from>
                    <xdr:col>6</xdr:col>
                    <xdr:colOff>0</xdr:colOff>
                    <xdr:row>1132</xdr:row>
                    <xdr:rowOff>0</xdr:rowOff>
                  </from>
                  <to>
                    <xdr:col>7</xdr:col>
                    <xdr:colOff>0</xdr:colOff>
                    <xdr:row>1132</xdr:row>
                    <xdr:rowOff>165100</xdr:rowOff>
                  </to>
                </anchor>
              </controlPr>
            </control>
          </mc:Choice>
        </mc:AlternateContent>
        <mc:AlternateContent xmlns:mc="http://schemas.openxmlformats.org/markup-compatibility/2006">
          <mc:Choice Requires="x14">
            <control shapeId="14061" r:id="rId604" name="Button 2797">
              <controlPr defaultSize="0" autoFill="0" autoLine="0" autoPict="0" macro="[0]!Sheet1.deleteRow">
                <anchor moveWithCells="1" sizeWithCells="1">
                  <from>
                    <xdr:col>6</xdr:col>
                    <xdr:colOff>0</xdr:colOff>
                    <xdr:row>1133</xdr:row>
                    <xdr:rowOff>0</xdr:rowOff>
                  </from>
                  <to>
                    <xdr:col>7</xdr:col>
                    <xdr:colOff>0</xdr:colOff>
                    <xdr:row>1133</xdr:row>
                    <xdr:rowOff>165100</xdr:rowOff>
                  </to>
                </anchor>
              </controlPr>
            </control>
          </mc:Choice>
        </mc:AlternateContent>
        <mc:AlternateContent xmlns:mc="http://schemas.openxmlformats.org/markup-compatibility/2006">
          <mc:Choice Requires="x14">
            <control shapeId="14060" r:id="rId605" name="Button 2796">
              <controlPr defaultSize="0" autoFill="0" autoLine="0" autoPict="0" macro="[0]!Sheet1.deleteRow">
                <anchor moveWithCells="1" sizeWithCells="1">
                  <from>
                    <xdr:col>6</xdr:col>
                    <xdr:colOff>0</xdr:colOff>
                    <xdr:row>1134</xdr:row>
                    <xdr:rowOff>0</xdr:rowOff>
                  </from>
                  <to>
                    <xdr:col>7</xdr:col>
                    <xdr:colOff>0</xdr:colOff>
                    <xdr:row>1134</xdr:row>
                    <xdr:rowOff>165100</xdr:rowOff>
                  </to>
                </anchor>
              </controlPr>
            </control>
          </mc:Choice>
        </mc:AlternateContent>
        <mc:AlternateContent xmlns:mc="http://schemas.openxmlformats.org/markup-compatibility/2006">
          <mc:Choice Requires="x14">
            <control shapeId="14059" r:id="rId606" name="Button 2795">
              <controlPr defaultSize="0" autoFill="0" autoLine="0" autoPict="0" macro="[0]!Sheet1.deleteRow">
                <anchor moveWithCells="1" sizeWithCells="1">
                  <from>
                    <xdr:col>6</xdr:col>
                    <xdr:colOff>0</xdr:colOff>
                    <xdr:row>1135</xdr:row>
                    <xdr:rowOff>0</xdr:rowOff>
                  </from>
                  <to>
                    <xdr:col>7</xdr:col>
                    <xdr:colOff>0</xdr:colOff>
                    <xdr:row>1135</xdr:row>
                    <xdr:rowOff>165100</xdr:rowOff>
                  </to>
                </anchor>
              </controlPr>
            </control>
          </mc:Choice>
        </mc:AlternateContent>
        <mc:AlternateContent xmlns:mc="http://schemas.openxmlformats.org/markup-compatibility/2006">
          <mc:Choice Requires="x14">
            <control shapeId="14058" r:id="rId607" name="Button 2794">
              <controlPr defaultSize="0" autoFill="0" autoLine="0" autoPict="0" macro="[0]!Sheet1.deleteRow">
                <anchor moveWithCells="1" sizeWithCells="1">
                  <from>
                    <xdr:col>6</xdr:col>
                    <xdr:colOff>0</xdr:colOff>
                    <xdr:row>1136</xdr:row>
                    <xdr:rowOff>0</xdr:rowOff>
                  </from>
                  <to>
                    <xdr:col>7</xdr:col>
                    <xdr:colOff>0</xdr:colOff>
                    <xdr:row>1136</xdr:row>
                    <xdr:rowOff>165100</xdr:rowOff>
                  </to>
                </anchor>
              </controlPr>
            </control>
          </mc:Choice>
        </mc:AlternateContent>
        <mc:AlternateContent xmlns:mc="http://schemas.openxmlformats.org/markup-compatibility/2006">
          <mc:Choice Requires="x14">
            <control shapeId="14057" r:id="rId608" name="Button 2793">
              <controlPr defaultSize="0" autoFill="0" autoLine="0" autoPict="0" macro="[0]!Sheet1.deleteRow">
                <anchor moveWithCells="1" sizeWithCells="1">
                  <from>
                    <xdr:col>6</xdr:col>
                    <xdr:colOff>0</xdr:colOff>
                    <xdr:row>1137</xdr:row>
                    <xdr:rowOff>0</xdr:rowOff>
                  </from>
                  <to>
                    <xdr:col>7</xdr:col>
                    <xdr:colOff>0</xdr:colOff>
                    <xdr:row>1137</xdr:row>
                    <xdr:rowOff>165100</xdr:rowOff>
                  </to>
                </anchor>
              </controlPr>
            </control>
          </mc:Choice>
        </mc:AlternateContent>
        <mc:AlternateContent xmlns:mc="http://schemas.openxmlformats.org/markup-compatibility/2006">
          <mc:Choice Requires="x14">
            <control shapeId="14056" r:id="rId609" name="Button 2792">
              <controlPr defaultSize="0" autoFill="0" autoLine="0" autoPict="0" macro="[0]!Sheet1.deleteRow">
                <anchor moveWithCells="1" sizeWithCells="1">
                  <from>
                    <xdr:col>6</xdr:col>
                    <xdr:colOff>0</xdr:colOff>
                    <xdr:row>1138</xdr:row>
                    <xdr:rowOff>0</xdr:rowOff>
                  </from>
                  <to>
                    <xdr:col>7</xdr:col>
                    <xdr:colOff>0</xdr:colOff>
                    <xdr:row>1138</xdr:row>
                    <xdr:rowOff>165100</xdr:rowOff>
                  </to>
                </anchor>
              </controlPr>
            </control>
          </mc:Choice>
        </mc:AlternateContent>
        <mc:AlternateContent xmlns:mc="http://schemas.openxmlformats.org/markup-compatibility/2006">
          <mc:Choice Requires="x14">
            <control shapeId="14055" r:id="rId610" name="Button 2791">
              <controlPr defaultSize="0" autoFill="0" autoLine="0" autoPict="0" macro="[0]!Sheet1.deleteRow">
                <anchor moveWithCells="1" sizeWithCells="1">
                  <from>
                    <xdr:col>6</xdr:col>
                    <xdr:colOff>0</xdr:colOff>
                    <xdr:row>1139</xdr:row>
                    <xdr:rowOff>0</xdr:rowOff>
                  </from>
                  <to>
                    <xdr:col>7</xdr:col>
                    <xdr:colOff>0</xdr:colOff>
                    <xdr:row>1139</xdr:row>
                    <xdr:rowOff>165100</xdr:rowOff>
                  </to>
                </anchor>
              </controlPr>
            </control>
          </mc:Choice>
        </mc:AlternateContent>
        <mc:AlternateContent xmlns:mc="http://schemas.openxmlformats.org/markup-compatibility/2006">
          <mc:Choice Requires="x14">
            <control shapeId="14054" r:id="rId611" name="Button 2790">
              <controlPr defaultSize="0" autoFill="0" autoLine="0" autoPict="0" macro="[0]!Sheet1.deleteRow">
                <anchor moveWithCells="1" sizeWithCells="1">
                  <from>
                    <xdr:col>6</xdr:col>
                    <xdr:colOff>0</xdr:colOff>
                    <xdr:row>1140</xdr:row>
                    <xdr:rowOff>0</xdr:rowOff>
                  </from>
                  <to>
                    <xdr:col>7</xdr:col>
                    <xdr:colOff>0</xdr:colOff>
                    <xdr:row>1140</xdr:row>
                    <xdr:rowOff>165100</xdr:rowOff>
                  </to>
                </anchor>
              </controlPr>
            </control>
          </mc:Choice>
        </mc:AlternateContent>
        <mc:AlternateContent xmlns:mc="http://schemas.openxmlformats.org/markup-compatibility/2006">
          <mc:Choice Requires="x14">
            <control shapeId="14053" r:id="rId612" name="Button 2789">
              <controlPr defaultSize="0" autoFill="0" autoLine="0" autoPict="0" macro="[0]!Sheet1.deleteProcedure">
                <anchor moveWithCells="1" sizeWithCells="1">
                  <from>
                    <xdr:col>6</xdr:col>
                    <xdr:colOff>0</xdr:colOff>
                    <xdr:row>1143</xdr:row>
                    <xdr:rowOff>0</xdr:rowOff>
                  </from>
                  <to>
                    <xdr:col>7</xdr:col>
                    <xdr:colOff>0</xdr:colOff>
                    <xdr:row>1144</xdr:row>
                    <xdr:rowOff>0</xdr:rowOff>
                  </to>
                </anchor>
              </controlPr>
            </control>
          </mc:Choice>
        </mc:AlternateContent>
        <mc:AlternateContent xmlns:mc="http://schemas.openxmlformats.org/markup-compatibility/2006">
          <mc:Choice Requires="x14">
            <control shapeId="14052" r:id="rId613" name="Button 2788">
              <controlPr defaultSize="0" autoFill="0" autoLine="0" autoPict="0" macro="[0]!Sheet1.InsertNewTableRow">
                <anchor moveWithCells="1" sizeWithCells="1">
                  <from>
                    <xdr:col>6</xdr:col>
                    <xdr:colOff>0</xdr:colOff>
                    <xdr:row>1150</xdr:row>
                    <xdr:rowOff>0</xdr:rowOff>
                  </from>
                  <to>
                    <xdr:col>7</xdr:col>
                    <xdr:colOff>0</xdr:colOff>
                    <xdr:row>1150</xdr:row>
                    <xdr:rowOff>171450</xdr:rowOff>
                  </to>
                </anchor>
              </controlPr>
            </control>
          </mc:Choice>
        </mc:AlternateContent>
        <mc:AlternateContent xmlns:mc="http://schemas.openxmlformats.org/markup-compatibility/2006">
          <mc:Choice Requires="x14">
            <control shapeId="14051" r:id="rId614" name="Button 2787">
              <controlPr defaultSize="0" autoFill="0" autoLine="0" autoPict="0" macro="[0]!Sheet1.deleteRow">
                <anchor moveWithCells="1" sizeWithCells="1">
                  <from>
                    <xdr:col>6</xdr:col>
                    <xdr:colOff>0</xdr:colOff>
                    <xdr:row>1151</xdr:row>
                    <xdr:rowOff>0</xdr:rowOff>
                  </from>
                  <to>
                    <xdr:col>7</xdr:col>
                    <xdr:colOff>0</xdr:colOff>
                    <xdr:row>1151</xdr:row>
                    <xdr:rowOff>165100</xdr:rowOff>
                  </to>
                </anchor>
              </controlPr>
            </control>
          </mc:Choice>
        </mc:AlternateContent>
        <mc:AlternateContent xmlns:mc="http://schemas.openxmlformats.org/markup-compatibility/2006">
          <mc:Choice Requires="x14">
            <control shapeId="14050" r:id="rId615" name="Button 2786">
              <controlPr defaultSize="0" autoFill="0" autoLine="0" autoPict="0" macro="[0]!Sheet1.deleteRow">
                <anchor moveWithCells="1" sizeWithCells="1">
                  <from>
                    <xdr:col>6</xdr:col>
                    <xdr:colOff>0</xdr:colOff>
                    <xdr:row>1152</xdr:row>
                    <xdr:rowOff>0</xdr:rowOff>
                  </from>
                  <to>
                    <xdr:col>7</xdr:col>
                    <xdr:colOff>0</xdr:colOff>
                    <xdr:row>1152</xdr:row>
                    <xdr:rowOff>165100</xdr:rowOff>
                  </to>
                </anchor>
              </controlPr>
            </control>
          </mc:Choice>
        </mc:AlternateContent>
        <mc:AlternateContent xmlns:mc="http://schemas.openxmlformats.org/markup-compatibility/2006">
          <mc:Choice Requires="x14">
            <control shapeId="14049" r:id="rId616" name="Button 2785">
              <controlPr defaultSize="0" autoFill="0" autoLine="0" autoPict="0" macro="[0]!Sheet1.deleteRow">
                <anchor moveWithCells="1" sizeWithCells="1">
                  <from>
                    <xdr:col>6</xdr:col>
                    <xdr:colOff>0</xdr:colOff>
                    <xdr:row>1153</xdr:row>
                    <xdr:rowOff>0</xdr:rowOff>
                  </from>
                  <to>
                    <xdr:col>7</xdr:col>
                    <xdr:colOff>0</xdr:colOff>
                    <xdr:row>1153</xdr:row>
                    <xdr:rowOff>165100</xdr:rowOff>
                  </to>
                </anchor>
              </controlPr>
            </control>
          </mc:Choice>
        </mc:AlternateContent>
        <mc:AlternateContent xmlns:mc="http://schemas.openxmlformats.org/markup-compatibility/2006">
          <mc:Choice Requires="x14">
            <control shapeId="14048" r:id="rId617" name="Button 2784">
              <controlPr defaultSize="0" autoFill="0" autoLine="0" autoPict="0" macro="[0]!Sheet1.deleteRow">
                <anchor moveWithCells="1" sizeWithCells="1">
                  <from>
                    <xdr:col>6</xdr:col>
                    <xdr:colOff>0</xdr:colOff>
                    <xdr:row>1154</xdr:row>
                    <xdr:rowOff>0</xdr:rowOff>
                  </from>
                  <to>
                    <xdr:col>7</xdr:col>
                    <xdr:colOff>0</xdr:colOff>
                    <xdr:row>1154</xdr:row>
                    <xdr:rowOff>165100</xdr:rowOff>
                  </to>
                </anchor>
              </controlPr>
            </control>
          </mc:Choice>
        </mc:AlternateContent>
        <mc:AlternateContent xmlns:mc="http://schemas.openxmlformats.org/markup-compatibility/2006">
          <mc:Choice Requires="x14">
            <control shapeId="14047" r:id="rId618" name="Button 2783">
              <controlPr defaultSize="0" autoFill="0" autoLine="0" autoPict="0" macro="[0]!Sheet1.deleteRow">
                <anchor moveWithCells="1" sizeWithCells="1">
                  <from>
                    <xdr:col>6</xdr:col>
                    <xdr:colOff>0</xdr:colOff>
                    <xdr:row>1155</xdr:row>
                    <xdr:rowOff>0</xdr:rowOff>
                  </from>
                  <to>
                    <xdr:col>7</xdr:col>
                    <xdr:colOff>0</xdr:colOff>
                    <xdr:row>1155</xdr:row>
                    <xdr:rowOff>165100</xdr:rowOff>
                  </to>
                </anchor>
              </controlPr>
            </control>
          </mc:Choice>
        </mc:AlternateContent>
        <mc:AlternateContent xmlns:mc="http://schemas.openxmlformats.org/markup-compatibility/2006">
          <mc:Choice Requires="x14">
            <control shapeId="14046" r:id="rId619" name="Button 2782">
              <controlPr defaultSize="0" autoFill="0" autoLine="0" autoPict="0" macro="[0]!Sheet1.deleteRow">
                <anchor moveWithCells="1" sizeWithCells="1">
                  <from>
                    <xdr:col>6</xdr:col>
                    <xdr:colOff>0</xdr:colOff>
                    <xdr:row>1156</xdr:row>
                    <xdr:rowOff>0</xdr:rowOff>
                  </from>
                  <to>
                    <xdr:col>7</xdr:col>
                    <xdr:colOff>0</xdr:colOff>
                    <xdr:row>1156</xdr:row>
                    <xdr:rowOff>165100</xdr:rowOff>
                  </to>
                </anchor>
              </controlPr>
            </control>
          </mc:Choice>
        </mc:AlternateContent>
        <mc:AlternateContent xmlns:mc="http://schemas.openxmlformats.org/markup-compatibility/2006">
          <mc:Choice Requires="x14">
            <control shapeId="14045" r:id="rId620" name="Button 2781">
              <controlPr defaultSize="0" autoFill="0" autoLine="0" autoPict="0" macro="[0]!Sheet1.deleteRow">
                <anchor moveWithCells="1" sizeWithCells="1">
                  <from>
                    <xdr:col>6</xdr:col>
                    <xdr:colOff>0</xdr:colOff>
                    <xdr:row>1157</xdr:row>
                    <xdr:rowOff>0</xdr:rowOff>
                  </from>
                  <to>
                    <xdr:col>7</xdr:col>
                    <xdr:colOff>0</xdr:colOff>
                    <xdr:row>1157</xdr:row>
                    <xdr:rowOff>165100</xdr:rowOff>
                  </to>
                </anchor>
              </controlPr>
            </control>
          </mc:Choice>
        </mc:AlternateContent>
        <mc:AlternateContent xmlns:mc="http://schemas.openxmlformats.org/markup-compatibility/2006">
          <mc:Choice Requires="x14">
            <control shapeId="14044" r:id="rId621" name="Button 2780">
              <controlPr defaultSize="0" autoFill="0" autoLine="0" autoPict="0" macro="[0]!Sheet1.deleteRow">
                <anchor moveWithCells="1" sizeWithCells="1">
                  <from>
                    <xdr:col>6</xdr:col>
                    <xdr:colOff>0</xdr:colOff>
                    <xdr:row>1158</xdr:row>
                    <xdr:rowOff>0</xdr:rowOff>
                  </from>
                  <to>
                    <xdr:col>7</xdr:col>
                    <xdr:colOff>0</xdr:colOff>
                    <xdr:row>1158</xdr:row>
                    <xdr:rowOff>165100</xdr:rowOff>
                  </to>
                </anchor>
              </controlPr>
            </control>
          </mc:Choice>
        </mc:AlternateContent>
        <mc:AlternateContent xmlns:mc="http://schemas.openxmlformats.org/markup-compatibility/2006">
          <mc:Choice Requires="x14">
            <control shapeId="14043" r:id="rId622" name="Button 2779">
              <controlPr defaultSize="0" autoFill="0" autoLine="0" autoPict="0" macro="[0]!Sheet1.deleteRow">
                <anchor moveWithCells="1" sizeWithCells="1">
                  <from>
                    <xdr:col>6</xdr:col>
                    <xdr:colOff>0</xdr:colOff>
                    <xdr:row>1159</xdr:row>
                    <xdr:rowOff>0</xdr:rowOff>
                  </from>
                  <to>
                    <xdr:col>7</xdr:col>
                    <xdr:colOff>0</xdr:colOff>
                    <xdr:row>1159</xdr:row>
                    <xdr:rowOff>165100</xdr:rowOff>
                  </to>
                </anchor>
              </controlPr>
            </control>
          </mc:Choice>
        </mc:AlternateContent>
        <mc:AlternateContent xmlns:mc="http://schemas.openxmlformats.org/markup-compatibility/2006">
          <mc:Choice Requires="x14">
            <control shapeId="14042" r:id="rId623" name="Button 2778">
              <controlPr defaultSize="0" autoFill="0" autoLine="0" autoPict="0" macro="[0]!Sheet1.deleteRow">
                <anchor moveWithCells="1" sizeWithCells="1">
                  <from>
                    <xdr:col>6</xdr:col>
                    <xdr:colOff>0</xdr:colOff>
                    <xdr:row>1160</xdr:row>
                    <xdr:rowOff>0</xdr:rowOff>
                  </from>
                  <to>
                    <xdr:col>7</xdr:col>
                    <xdr:colOff>0</xdr:colOff>
                    <xdr:row>1160</xdr:row>
                    <xdr:rowOff>165100</xdr:rowOff>
                  </to>
                </anchor>
              </controlPr>
            </control>
          </mc:Choice>
        </mc:AlternateContent>
        <mc:AlternateContent xmlns:mc="http://schemas.openxmlformats.org/markup-compatibility/2006">
          <mc:Choice Requires="x14">
            <control shapeId="14041" r:id="rId624" name="Button 2777">
              <controlPr defaultSize="0" autoFill="0" autoLine="0" autoPict="0" macro="[0]!Sheet1.deleteRow">
                <anchor moveWithCells="1" sizeWithCells="1">
                  <from>
                    <xdr:col>6</xdr:col>
                    <xdr:colOff>0</xdr:colOff>
                    <xdr:row>1161</xdr:row>
                    <xdr:rowOff>0</xdr:rowOff>
                  </from>
                  <to>
                    <xdr:col>7</xdr:col>
                    <xdr:colOff>0</xdr:colOff>
                    <xdr:row>1161</xdr:row>
                    <xdr:rowOff>165100</xdr:rowOff>
                  </to>
                </anchor>
              </controlPr>
            </control>
          </mc:Choice>
        </mc:AlternateContent>
        <mc:AlternateContent xmlns:mc="http://schemas.openxmlformats.org/markup-compatibility/2006">
          <mc:Choice Requires="x14">
            <control shapeId="14040" r:id="rId625" name="Button 2776">
              <controlPr defaultSize="0" autoFill="0" autoLine="0" autoPict="0" macro="[0]!Sheet1.deleteRow">
                <anchor moveWithCells="1" sizeWithCells="1">
                  <from>
                    <xdr:col>6</xdr:col>
                    <xdr:colOff>0</xdr:colOff>
                    <xdr:row>1162</xdr:row>
                    <xdr:rowOff>0</xdr:rowOff>
                  </from>
                  <to>
                    <xdr:col>7</xdr:col>
                    <xdr:colOff>0</xdr:colOff>
                    <xdr:row>1162</xdr:row>
                    <xdr:rowOff>165100</xdr:rowOff>
                  </to>
                </anchor>
              </controlPr>
            </control>
          </mc:Choice>
        </mc:AlternateContent>
        <mc:AlternateContent xmlns:mc="http://schemas.openxmlformats.org/markup-compatibility/2006">
          <mc:Choice Requires="x14">
            <control shapeId="14039" r:id="rId626" name="Button 2775">
              <controlPr defaultSize="0" autoFill="0" autoLine="0" autoPict="0" macro="[0]!Sheet1.deleteRow">
                <anchor moveWithCells="1" sizeWithCells="1">
                  <from>
                    <xdr:col>6</xdr:col>
                    <xdr:colOff>0</xdr:colOff>
                    <xdr:row>1163</xdr:row>
                    <xdr:rowOff>0</xdr:rowOff>
                  </from>
                  <to>
                    <xdr:col>7</xdr:col>
                    <xdr:colOff>0</xdr:colOff>
                    <xdr:row>1163</xdr:row>
                    <xdr:rowOff>165100</xdr:rowOff>
                  </to>
                </anchor>
              </controlPr>
            </control>
          </mc:Choice>
        </mc:AlternateContent>
        <mc:AlternateContent xmlns:mc="http://schemas.openxmlformats.org/markup-compatibility/2006">
          <mc:Choice Requires="x14">
            <control shapeId="14038" r:id="rId627" name="Button 2774">
              <controlPr defaultSize="0" autoFill="0" autoLine="0" autoPict="0" macro="[0]!Sheet1.deleteRow">
                <anchor moveWithCells="1" sizeWithCells="1">
                  <from>
                    <xdr:col>6</xdr:col>
                    <xdr:colOff>0</xdr:colOff>
                    <xdr:row>1164</xdr:row>
                    <xdr:rowOff>0</xdr:rowOff>
                  </from>
                  <to>
                    <xdr:col>7</xdr:col>
                    <xdr:colOff>0</xdr:colOff>
                    <xdr:row>1164</xdr:row>
                    <xdr:rowOff>165100</xdr:rowOff>
                  </to>
                </anchor>
              </controlPr>
            </control>
          </mc:Choice>
        </mc:AlternateContent>
        <mc:AlternateContent xmlns:mc="http://schemas.openxmlformats.org/markup-compatibility/2006">
          <mc:Choice Requires="x14">
            <control shapeId="14037" r:id="rId628" name="Button 2773">
              <controlPr defaultSize="0" autoFill="0" autoLine="0" autoPict="0" macro="[0]!Sheet1.deleteRow">
                <anchor moveWithCells="1" sizeWithCells="1">
                  <from>
                    <xdr:col>6</xdr:col>
                    <xdr:colOff>0</xdr:colOff>
                    <xdr:row>1165</xdr:row>
                    <xdr:rowOff>0</xdr:rowOff>
                  </from>
                  <to>
                    <xdr:col>7</xdr:col>
                    <xdr:colOff>0</xdr:colOff>
                    <xdr:row>1165</xdr:row>
                    <xdr:rowOff>165100</xdr:rowOff>
                  </to>
                </anchor>
              </controlPr>
            </control>
          </mc:Choice>
        </mc:AlternateContent>
        <mc:AlternateContent xmlns:mc="http://schemas.openxmlformats.org/markup-compatibility/2006">
          <mc:Choice Requires="x14">
            <control shapeId="14036" r:id="rId629" name="Button 2772">
              <controlPr defaultSize="0" autoFill="0" autoLine="0" autoPict="0" macro="[0]!Sheet1.deleteProcedure">
                <anchor moveWithCells="1" sizeWithCells="1">
                  <from>
                    <xdr:col>6</xdr:col>
                    <xdr:colOff>0</xdr:colOff>
                    <xdr:row>1168</xdr:row>
                    <xdr:rowOff>0</xdr:rowOff>
                  </from>
                  <to>
                    <xdr:col>7</xdr:col>
                    <xdr:colOff>0</xdr:colOff>
                    <xdr:row>1169</xdr:row>
                    <xdr:rowOff>0</xdr:rowOff>
                  </to>
                </anchor>
              </controlPr>
            </control>
          </mc:Choice>
        </mc:AlternateContent>
        <mc:AlternateContent xmlns:mc="http://schemas.openxmlformats.org/markup-compatibility/2006">
          <mc:Choice Requires="x14">
            <control shapeId="14035" r:id="rId630" name="Button 2771">
              <controlPr defaultSize="0" autoFill="0" autoLine="0" autoPict="0" macro="[0]!Sheet1.InsertNewTableRow">
                <anchor moveWithCells="1" sizeWithCells="1">
                  <from>
                    <xdr:col>6</xdr:col>
                    <xdr:colOff>0</xdr:colOff>
                    <xdr:row>1175</xdr:row>
                    <xdr:rowOff>0</xdr:rowOff>
                  </from>
                  <to>
                    <xdr:col>7</xdr:col>
                    <xdr:colOff>0</xdr:colOff>
                    <xdr:row>1175</xdr:row>
                    <xdr:rowOff>171450</xdr:rowOff>
                  </to>
                </anchor>
              </controlPr>
            </control>
          </mc:Choice>
        </mc:AlternateContent>
        <mc:AlternateContent xmlns:mc="http://schemas.openxmlformats.org/markup-compatibility/2006">
          <mc:Choice Requires="x14">
            <control shapeId="14034" r:id="rId631" name="Button 2770">
              <controlPr defaultSize="0" autoFill="0" autoLine="0" autoPict="0" macro="[0]!Sheet1.deleteRow">
                <anchor moveWithCells="1" sizeWithCells="1">
                  <from>
                    <xdr:col>6</xdr:col>
                    <xdr:colOff>0</xdr:colOff>
                    <xdr:row>1176</xdr:row>
                    <xdr:rowOff>0</xdr:rowOff>
                  </from>
                  <to>
                    <xdr:col>7</xdr:col>
                    <xdr:colOff>0</xdr:colOff>
                    <xdr:row>1176</xdr:row>
                    <xdr:rowOff>165100</xdr:rowOff>
                  </to>
                </anchor>
              </controlPr>
            </control>
          </mc:Choice>
        </mc:AlternateContent>
        <mc:AlternateContent xmlns:mc="http://schemas.openxmlformats.org/markup-compatibility/2006">
          <mc:Choice Requires="x14">
            <control shapeId="14033" r:id="rId632" name="Button 2769">
              <controlPr defaultSize="0" autoFill="0" autoLine="0" autoPict="0" macro="[0]!Sheet1.deleteProcedure">
                <anchor moveWithCells="1" sizeWithCells="1">
                  <from>
                    <xdr:col>6</xdr:col>
                    <xdr:colOff>0</xdr:colOff>
                    <xdr:row>1179</xdr:row>
                    <xdr:rowOff>0</xdr:rowOff>
                  </from>
                  <to>
                    <xdr:col>7</xdr:col>
                    <xdr:colOff>0</xdr:colOff>
                    <xdr:row>1180</xdr:row>
                    <xdr:rowOff>0</xdr:rowOff>
                  </to>
                </anchor>
              </controlPr>
            </control>
          </mc:Choice>
        </mc:AlternateContent>
        <mc:AlternateContent xmlns:mc="http://schemas.openxmlformats.org/markup-compatibility/2006">
          <mc:Choice Requires="x14">
            <control shapeId="14032" r:id="rId633" name="Button 2768">
              <controlPr defaultSize="0" autoFill="0" autoLine="0" autoPict="0" macro="[0]!Sheet1.InsertNewTableRow">
                <anchor moveWithCells="1" sizeWithCells="1">
                  <from>
                    <xdr:col>6</xdr:col>
                    <xdr:colOff>0</xdr:colOff>
                    <xdr:row>1186</xdr:row>
                    <xdr:rowOff>0</xdr:rowOff>
                  </from>
                  <to>
                    <xdr:col>7</xdr:col>
                    <xdr:colOff>0</xdr:colOff>
                    <xdr:row>1186</xdr:row>
                    <xdr:rowOff>171450</xdr:rowOff>
                  </to>
                </anchor>
              </controlPr>
            </control>
          </mc:Choice>
        </mc:AlternateContent>
        <mc:AlternateContent xmlns:mc="http://schemas.openxmlformats.org/markup-compatibility/2006">
          <mc:Choice Requires="x14">
            <control shapeId="14031" r:id="rId634" name="Button 2767">
              <controlPr defaultSize="0" autoFill="0" autoLine="0" autoPict="0" macro="[0]!Sheet1.deleteRow">
                <anchor moveWithCells="1" sizeWithCells="1">
                  <from>
                    <xdr:col>6</xdr:col>
                    <xdr:colOff>0</xdr:colOff>
                    <xdr:row>1187</xdr:row>
                    <xdr:rowOff>0</xdr:rowOff>
                  </from>
                  <to>
                    <xdr:col>7</xdr:col>
                    <xdr:colOff>0</xdr:colOff>
                    <xdr:row>1187</xdr:row>
                    <xdr:rowOff>165100</xdr:rowOff>
                  </to>
                </anchor>
              </controlPr>
            </control>
          </mc:Choice>
        </mc:AlternateContent>
        <mc:AlternateContent xmlns:mc="http://schemas.openxmlformats.org/markup-compatibility/2006">
          <mc:Choice Requires="x14">
            <control shapeId="14030" r:id="rId635" name="Button 2766">
              <controlPr defaultSize="0" autoFill="0" autoLine="0" autoPict="0" macro="[0]!Sheet1.deleteRow">
                <anchor moveWithCells="1" sizeWithCells="1">
                  <from>
                    <xdr:col>6</xdr:col>
                    <xdr:colOff>0</xdr:colOff>
                    <xdr:row>1188</xdr:row>
                    <xdr:rowOff>0</xdr:rowOff>
                  </from>
                  <to>
                    <xdr:col>7</xdr:col>
                    <xdr:colOff>0</xdr:colOff>
                    <xdr:row>1188</xdr:row>
                    <xdr:rowOff>165100</xdr:rowOff>
                  </to>
                </anchor>
              </controlPr>
            </control>
          </mc:Choice>
        </mc:AlternateContent>
        <mc:AlternateContent xmlns:mc="http://schemas.openxmlformats.org/markup-compatibility/2006">
          <mc:Choice Requires="x14">
            <control shapeId="14029" r:id="rId636" name="Button 2765">
              <controlPr defaultSize="0" autoFill="0" autoLine="0" autoPict="0" macro="[0]!Sheet1.deleteRow">
                <anchor moveWithCells="1" sizeWithCells="1">
                  <from>
                    <xdr:col>6</xdr:col>
                    <xdr:colOff>0</xdr:colOff>
                    <xdr:row>1189</xdr:row>
                    <xdr:rowOff>0</xdr:rowOff>
                  </from>
                  <to>
                    <xdr:col>7</xdr:col>
                    <xdr:colOff>0</xdr:colOff>
                    <xdr:row>1189</xdr:row>
                    <xdr:rowOff>165100</xdr:rowOff>
                  </to>
                </anchor>
              </controlPr>
            </control>
          </mc:Choice>
        </mc:AlternateContent>
        <mc:AlternateContent xmlns:mc="http://schemas.openxmlformats.org/markup-compatibility/2006">
          <mc:Choice Requires="x14">
            <control shapeId="14028" r:id="rId637" name="Button 2764">
              <controlPr defaultSize="0" autoFill="0" autoLine="0" autoPict="0" macro="[0]!Sheet1.deleteRow">
                <anchor moveWithCells="1" sizeWithCells="1">
                  <from>
                    <xdr:col>6</xdr:col>
                    <xdr:colOff>0</xdr:colOff>
                    <xdr:row>1190</xdr:row>
                    <xdr:rowOff>0</xdr:rowOff>
                  </from>
                  <to>
                    <xdr:col>7</xdr:col>
                    <xdr:colOff>0</xdr:colOff>
                    <xdr:row>1190</xdr:row>
                    <xdr:rowOff>165100</xdr:rowOff>
                  </to>
                </anchor>
              </controlPr>
            </control>
          </mc:Choice>
        </mc:AlternateContent>
        <mc:AlternateContent xmlns:mc="http://schemas.openxmlformats.org/markup-compatibility/2006">
          <mc:Choice Requires="x14">
            <control shapeId="14027" r:id="rId638" name="Button 2763">
              <controlPr defaultSize="0" autoFill="0" autoLine="0" autoPict="0" macro="[0]!Sheet1.deleteRow">
                <anchor moveWithCells="1" sizeWithCells="1">
                  <from>
                    <xdr:col>6</xdr:col>
                    <xdr:colOff>0</xdr:colOff>
                    <xdr:row>1191</xdr:row>
                    <xdr:rowOff>0</xdr:rowOff>
                  </from>
                  <to>
                    <xdr:col>7</xdr:col>
                    <xdr:colOff>0</xdr:colOff>
                    <xdr:row>1191</xdr:row>
                    <xdr:rowOff>165100</xdr:rowOff>
                  </to>
                </anchor>
              </controlPr>
            </control>
          </mc:Choice>
        </mc:AlternateContent>
        <mc:AlternateContent xmlns:mc="http://schemas.openxmlformats.org/markup-compatibility/2006">
          <mc:Choice Requires="x14">
            <control shapeId="14026" r:id="rId639" name="Button 2762">
              <controlPr defaultSize="0" autoFill="0" autoLine="0" autoPict="0" macro="[0]!Sheet1.deleteRow">
                <anchor moveWithCells="1" sizeWithCells="1">
                  <from>
                    <xdr:col>6</xdr:col>
                    <xdr:colOff>0</xdr:colOff>
                    <xdr:row>1192</xdr:row>
                    <xdr:rowOff>0</xdr:rowOff>
                  </from>
                  <to>
                    <xdr:col>7</xdr:col>
                    <xdr:colOff>0</xdr:colOff>
                    <xdr:row>1192</xdr:row>
                    <xdr:rowOff>165100</xdr:rowOff>
                  </to>
                </anchor>
              </controlPr>
            </control>
          </mc:Choice>
        </mc:AlternateContent>
        <mc:AlternateContent xmlns:mc="http://schemas.openxmlformats.org/markup-compatibility/2006">
          <mc:Choice Requires="x14">
            <control shapeId="14025" r:id="rId640" name="Button 2761">
              <controlPr defaultSize="0" autoFill="0" autoLine="0" autoPict="0" macro="[0]!Sheet1.deleteRow">
                <anchor moveWithCells="1" sizeWithCells="1">
                  <from>
                    <xdr:col>6</xdr:col>
                    <xdr:colOff>0</xdr:colOff>
                    <xdr:row>1193</xdr:row>
                    <xdr:rowOff>0</xdr:rowOff>
                  </from>
                  <to>
                    <xdr:col>7</xdr:col>
                    <xdr:colOff>0</xdr:colOff>
                    <xdr:row>1193</xdr:row>
                    <xdr:rowOff>165100</xdr:rowOff>
                  </to>
                </anchor>
              </controlPr>
            </control>
          </mc:Choice>
        </mc:AlternateContent>
        <mc:AlternateContent xmlns:mc="http://schemas.openxmlformats.org/markup-compatibility/2006">
          <mc:Choice Requires="x14">
            <control shapeId="14024" r:id="rId641" name="Button 2760">
              <controlPr defaultSize="0" autoFill="0" autoLine="0" autoPict="0" macro="[0]!Sheet1.deleteRow">
                <anchor moveWithCells="1" sizeWithCells="1">
                  <from>
                    <xdr:col>6</xdr:col>
                    <xdr:colOff>0</xdr:colOff>
                    <xdr:row>1194</xdr:row>
                    <xdr:rowOff>0</xdr:rowOff>
                  </from>
                  <to>
                    <xdr:col>7</xdr:col>
                    <xdr:colOff>0</xdr:colOff>
                    <xdr:row>1194</xdr:row>
                    <xdr:rowOff>165100</xdr:rowOff>
                  </to>
                </anchor>
              </controlPr>
            </control>
          </mc:Choice>
        </mc:AlternateContent>
        <mc:AlternateContent xmlns:mc="http://schemas.openxmlformats.org/markup-compatibility/2006">
          <mc:Choice Requires="x14">
            <control shapeId="14023" r:id="rId642" name="Button 2759">
              <controlPr defaultSize="0" autoFill="0" autoLine="0" autoPict="0" macro="[0]!Sheet1.deleteRow">
                <anchor moveWithCells="1" sizeWithCells="1">
                  <from>
                    <xdr:col>6</xdr:col>
                    <xdr:colOff>0</xdr:colOff>
                    <xdr:row>1195</xdr:row>
                    <xdr:rowOff>0</xdr:rowOff>
                  </from>
                  <to>
                    <xdr:col>7</xdr:col>
                    <xdr:colOff>0</xdr:colOff>
                    <xdr:row>1195</xdr:row>
                    <xdr:rowOff>165100</xdr:rowOff>
                  </to>
                </anchor>
              </controlPr>
            </control>
          </mc:Choice>
        </mc:AlternateContent>
        <mc:AlternateContent xmlns:mc="http://schemas.openxmlformats.org/markup-compatibility/2006">
          <mc:Choice Requires="x14">
            <control shapeId="14022" r:id="rId643" name="Button 2758">
              <controlPr defaultSize="0" autoFill="0" autoLine="0" autoPict="0" macro="[0]!Sheet1.deleteProcedure">
                <anchor moveWithCells="1" sizeWithCells="1">
                  <from>
                    <xdr:col>6</xdr:col>
                    <xdr:colOff>0</xdr:colOff>
                    <xdr:row>1198</xdr:row>
                    <xdr:rowOff>0</xdr:rowOff>
                  </from>
                  <to>
                    <xdr:col>7</xdr:col>
                    <xdr:colOff>0</xdr:colOff>
                    <xdr:row>1199</xdr:row>
                    <xdr:rowOff>0</xdr:rowOff>
                  </to>
                </anchor>
              </controlPr>
            </control>
          </mc:Choice>
        </mc:AlternateContent>
        <mc:AlternateContent xmlns:mc="http://schemas.openxmlformats.org/markup-compatibility/2006">
          <mc:Choice Requires="x14">
            <control shapeId="14021" r:id="rId644" name="Button 2757">
              <controlPr defaultSize="0" autoFill="0" autoLine="0" autoPict="0" macro="[0]!Sheet1.InsertNewTableRow">
                <anchor moveWithCells="1" sizeWithCells="1">
                  <from>
                    <xdr:col>6</xdr:col>
                    <xdr:colOff>0</xdr:colOff>
                    <xdr:row>1205</xdr:row>
                    <xdr:rowOff>0</xdr:rowOff>
                  </from>
                  <to>
                    <xdr:col>7</xdr:col>
                    <xdr:colOff>0</xdr:colOff>
                    <xdr:row>1205</xdr:row>
                    <xdr:rowOff>171450</xdr:rowOff>
                  </to>
                </anchor>
              </controlPr>
            </control>
          </mc:Choice>
        </mc:AlternateContent>
        <mc:AlternateContent xmlns:mc="http://schemas.openxmlformats.org/markup-compatibility/2006">
          <mc:Choice Requires="x14">
            <control shapeId="14020" r:id="rId645" name="Button 2756">
              <controlPr defaultSize="0" autoFill="0" autoLine="0" autoPict="0" macro="[0]!Sheet1.deleteRow">
                <anchor moveWithCells="1" sizeWithCells="1">
                  <from>
                    <xdr:col>6</xdr:col>
                    <xdr:colOff>0</xdr:colOff>
                    <xdr:row>1206</xdr:row>
                    <xdr:rowOff>0</xdr:rowOff>
                  </from>
                  <to>
                    <xdr:col>7</xdr:col>
                    <xdr:colOff>0</xdr:colOff>
                    <xdr:row>1206</xdr:row>
                    <xdr:rowOff>165100</xdr:rowOff>
                  </to>
                </anchor>
              </controlPr>
            </control>
          </mc:Choice>
        </mc:AlternateContent>
        <mc:AlternateContent xmlns:mc="http://schemas.openxmlformats.org/markup-compatibility/2006">
          <mc:Choice Requires="x14">
            <control shapeId="14019" r:id="rId646" name="Button 2755">
              <controlPr defaultSize="0" autoFill="0" autoLine="0" autoPict="0" macro="[0]!Sheet1.deleteRow">
                <anchor moveWithCells="1" sizeWithCells="1">
                  <from>
                    <xdr:col>6</xdr:col>
                    <xdr:colOff>0</xdr:colOff>
                    <xdr:row>1207</xdr:row>
                    <xdr:rowOff>0</xdr:rowOff>
                  </from>
                  <to>
                    <xdr:col>7</xdr:col>
                    <xdr:colOff>0</xdr:colOff>
                    <xdr:row>1207</xdr:row>
                    <xdr:rowOff>165100</xdr:rowOff>
                  </to>
                </anchor>
              </controlPr>
            </control>
          </mc:Choice>
        </mc:AlternateContent>
        <mc:AlternateContent xmlns:mc="http://schemas.openxmlformats.org/markup-compatibility/2006">
          <mc:Choice Requires="x14">
            <control shapeId="14018" r:id="rId647" name="Button 2754">
              <controlPr defaultSize="0" autoFill="0" autoLine="0" autoPict="0" macro="[0]!Sheet1.deleteRow">
                <anchor moveWithCells="1" sizeWithCells="1">
                  <from>
                    <xdr:col>6</xdr:col>
                    <xdr:colOff>0</xdr:colOff>
                    <xdr:row>1208</xdr:row>
                    <xdr:rowOff>0</xdr:rowOff>
                  </from>
                  <to>
                    <xdr:col>7</xdr:col>
                    <xdr:colOff>0</xdr:colOff>
                    <xdr:row>1208</xdr:row>
                    <xdr:rowOff>165100</xdr:rowOff>
                  </to>
                </anchor>
              </controlPr>
            </control>
          </mc:Choice>
        </mc:AlternateContent>
        <mc:AlternateContent xmlns:mc="http://schemas.openxmlformats.org/markup-compatibility/2006">
          <mc:Choice Requires="x14">
            <control shapeId="14017" r:id="rId648" name="Button 2753">
              <controlPr defaultSize="0" autoFill="0" autoLine="0" autoPict="0" macro="[0]!Sheet1.deleteProcedure">
                <anchor moveWithCells="1" sizeWithCells="1">
                  <from>
                    <xdr:col>6</xdr:col>
                    <xdr:colOff>0</xdr:colOff>
                    <xdr:row>1211</xdr:row>
                    <xdr:rowOff>0</xdr:rowOff>
                  </from>
                  <to>
                    <xdr:col>7</xdr:col>
                    <xdr:colOff>0</xdr:colOff>
                    <xdr:row>1212</xdr:row>
                    <xdr:rowOff>0</xdr:rowOff>
                  </to>
                </anchor>
              </controlPr>
            </control>
          </mc:Choice>
        </mc:AlternateContent>
        <mc:AlternateContent xmlns:mc="http://schemas.openxmlformats.org/markup-compatibility/2006">
          <mc:Choice Requires="x14">
            <control shapeId="14016" r:id="rId649" name="Button 2752">
              <controlPr defaultSize="0" autoFill="0" autoLine="0" autoPict="0" macro="[0]!Sheet1.InsertNewTableRow">
                <anchor moveWithCells="1" sizeWithCells="1">
                  <from>
                    <xdr:col>6</xdr:col>
                    <xdr:colOff>0</xdr:colOff>
                    <xdr:row>1218</xdr:row>
                    <xdr:rowOff>0</xdr:rowOff>
                  </from>
                  <to>
                    <xdr:col>7</xdr:col>
                    <xdr:colOff>0</xdr:colOff>
                    <xdr:row>1218</xdr:row>
                    <xdr:rowOff>171450</xdr:rowOff>
                  </to>
                </anchor>
              </controlPr>
            </control>
          </mc:Choice>
        </mc:AlternateContent>
        <mc:AlternateContent xmlns:mc="http://schemas.openxmlformats.org/markup-compatibility/2006">
          <mc:Choice Requires="x14">
            <control shapeId="14015" r:id="rId650" name="Button 2751">
              <controlPr defaultSize="0" autoFill="0" autoLine="0" autoPict="0" macro="[0]!Sheet1.deleteRow">
                <anchor moveWithCells="1" sizeWithCells="1">
                  <from>
                    <xdr:col>6</xdr:col>
                    <xdr:colOff>0</xdr:colOff>
                    <xdr:row>1219</xdr:row>
                    <xdr:rowOff>0</xdr:rowOff>
                  </from>
                  <to>
                    <xdr:col>7</xdr:col>
                    <xdr:colOff>0</xdr:colOff>
                    <xdr:row>1219</xdr:row>
                    <xdr:rowOff>165100</xdr:rowOff>
                  </to>
                </anchor>
              </controlPr>
            </control>
          </mc:Choice>
        </mc:AlternateContent>
        <mc:AlternateContent xmlns:mc="http://schemas.openxmlformats.org/markup-compatibility/2006">
          <mc:Choice Requires="x14">
            <control shapeId="14014" r:id="rId651" name="Button 2750">
              <controlPr defaultSize="0" autoFill="0" autoLine="0" autoPict="0" macro="[0]!Sheet1.deleteRow">
                <anchor moveWithCells="1" sizeWithCells="1">
                  <from>
                    <xdr:col>6</xdr:col>
                    <xdr:colOff>0</xdr:colOff>
                    <xdr:row>1220</xdr:row>
                    <xdr:rowOff>0</xdr:rowOff>
                  </from>
                  <to>
                    <xdr:col>7</xdr:col>
                    <xdr:colOff>0</xdr:colOff>
                    <xdr:row>1220</xdr:row>
                    <xdr:rowOff>165100</xdr:rowOff>
                  </to>
                </anchor>
              </controlPr>
            </control>
          </mc:Choice>
        </mc:AlternateContent>
        <mc:AlternateContent xmlns:mc="http://schemas.openxmlformats.org/markup-compatibility/2006">
          <mc:Choice Requires="x14">
            <control shapeId="14013" r:id="rId652" name="Button 2749">
              <controlPr defaultSize="0" autoFill="0" autoLine="0" autoPict="0" macro="[0]!Sheet1.deleteRow">
                <anchor moveWithCells="1" sizeWithCells="1">
                  <from>
                    <xdr:col>6</xdr:col>
                    <xdr:colOff>0</xdr:colOff>
                    <xdr:row>1221</xdr:row>
                    <xdr:rowOff>0</xdr:rowOff>
                  </from>
                  <to>
                    <xdr:col>7</xdr:col>
                    <xdr:colOff>0</xdr:colOff>
                    <xdr:row>1221</xdr:row>
                    <xdr:rowOff>165100</xdr:rowOff>
                  </to>
                </anchor>
              </controlPr>
            </control>
          </mc:Choice>
        </mc:AlternateContent>
        <mc:AlternateContent xmlns:mc="http://schemas.openxmlformats.org/markup-compatibility/2006">
          <mc:Choice Requires="x14">
            <control shapeId="14012" r:id="rId653" name="Button 2748">
              <controlPr defaultSize="0" autoFill="0" autoLine="0" autoPict="0" macro="[0]!Sheet1.deleteProcedure">
                <anchor moveWithCells="1" sizeWithCells="1">
                  <from>
                    <xdr:col>6</xdr:col>
                    <xdr:colOff>0</xdr:colOff>
                    <xdr:row>1224</xdr:row>
                    <xdr:rowOff>0</xdr:rowOff>
                  </from>
                  <to>
                    <xdr:col>7</xdr:col>
                    <xdr:colOff>0</xdr:colOff>
                    <xdr:row>1225</xdr:row>
                    <xdr:rowOff>0</xdr:rowOff>
                  </to>
                </anchor>
              </controlPr>
            </control>
          </mc:Choice>
        </mc:AlternateContent>
        <mc:AlternateContent xmlns:mc="http://schemas.openxmlformats.org/markup-compatibility/2006">
          <mc:Choice Requires="x14">
            <control shapeId="14011" r:id="rId654" name="Button 2747">
              <controlPr defaultSize="0" autoFill="0" autoLine="0" autoPict="0" macro="[0]!Sheet1.InsertNewTableRow">
                <anchor moveWithCells="1" sizeWithCells="1">
                  <from>
                    <xdr:col>6</xdr:col>
                    <xdr:colOff>0</xdr:colOff>
                    <xdr:row>1231</xdr:row>
                    <xdr:rowOff>0</xdr:rowOff>
                  </from>
                  <to>
                    <xdr:col>7</xdr:col>
                    <xdr:colOff>0</xdr:colOff>
                    <xdr:row>1231</xdr:row>
                    <xdr:rowOff>171450</xdr:rowOff>
                  </to>
                </anchor>
              </controlPr>
            </control>
          </mc:Choice>
        </mc:AlternateContent>
        <mc:AlternateContent xmlns:mc="http://schemas.openxmlformats.org/markup-compatibility/2006">
          <mc:Choice Requires="x14">
            <control shapeId="14010" r:id="rId655" name="Button 2746">
              <controlPr defaultSize="0" autoFill="0" autoLine="0" autoPict="0" macro="[0]!Sheet1.deleteRow">
                <anchor moveWithCells="1" sizeWithCells="1">
                  <from>
                    <xdr:col>6</xdr:col>
                    <xdr:colOff>0</xdr:colOff>
                    <xdr:row>1232</xdr:row>
                    <xdr:rowOff>0</xdr:rowOff>
                  </from>
                  <to>
                    <xdr:col>7</xdr:col>
                    <xdr:colOff>0</xdr:colOff>
                    <xdr:row>1232</xdr:row>
                    <xdr:rowOff>165100</xdr:rowOff>
                  </to>
                </anchor>
              </controlPr>
            </control>
          </mc:Choice>
        </mc:AlternateContent>
        <mc:AlternateContent xmlns:mc="http://schemas.openxmlformats.org/markup-compatibility/2006">
          <mc:Choice Requires="x14">
            <control shapeId="14009" r:id="rId656" name="Button 2745">
              <controlPr defaultSize="0" autoFill="0" autoLine="0" autoPict="0" macro="[0]!Sheet1.deleteRow">
                <anchor moveWithCells="1" sizeWithCells="1">
                  <from>
                    <xdr:col>6</xdr:col>
                    <xdr:colOff>0</xdr:colOff>
                    <xdr:row>1233</xdr:row>
                    <xdr:rowOff>0</xdr:rowOff>
                  </from>
                  <to>
                    <xdr:col>7</xdr:col>
                    <xdr:colOff>0</xdr:colOff>
                    <xdr:row>1233</xdr:row>
                    <xdr:rowOff>165100</xdr:rowOff>
                  </to>
                </anchor>
              </controlPr>
            </control>
          </mc:Choice>
        </mc:AlternateContent>
        <mc:AlternateContent xmlns:mc="http://schemas.openxmlformats.org/markup-compatibility/2006">
          <mc:Choice Requires="x14">
            <control shapeId="14008" r:id="rId657" name="Button 2744">
              <controlPr defaultSize="0" autoFill="0" autoLine="0" autoPict="0" macro="[0]!Sheet1.deleteRow">
                <anchor moveWithCells="1" sizeWithCells="1">
                  <from>
                    <xdr:col>6</xdr:col>
                    <xdr:colOff>0</xdr:colOff>
                    <xdr:row>1234</xdr:row>
                    <xdr:rowOff>0</xdr:rowOff>
                  </from>
                  <to>
                    <xdr:col>7</xdr:col>
                    <xdr:colOff>0</xdr:colOff>
                    <xdr:row>1234</xdr:row>
                    <xdr:rowOff>165100</xdr:rowOff>
                  </to>
                </anchor>
              </controlPr>
            </control>
          </mc:Choice>
        </mc:AlternateContent>
        <mc:AlternateContent xmlns:mc="http://schemas.openxmlformats.org/markup-compatibility/2006">
          <mc:Choice Requires="x14">
            <control shapeId="14007" r:id="rId658" name="Button 2743">
              <controlPr defaultSize="0" autoFill="0" autoLine="0" autoPict="0" macro="[0]!Sheet1.deleteProcedure">
                <anchor moveWithCells="1" sizeWithCells="1">
                  <from>
                    <xdr:col>6</xdr:col>
                    <xdr:colOff>0</xdr:colOff>
                    <xdr:row>1237</xdr:row>
                    <xdr:rowOff>0</xdr:rowOff>
                  </from>
                  <to>
                    <xdr:col>7</xdr:col>
                    <xdr:colOff>0</xdr:colOff>
                    <xdr:row>1238</xdr:row>
                    <xdr:rowOff>0</xdr:rowOff>
                  </to>
                </anchor>
              </controlPr>
            </control>
          </mc:Choice>
        </mc:AlternateContent>
        <mc:AlternateContent xmlns:mc="http://schemas.openxmlformats.org/markup-compatibility/2006">
          <mc:Choice Requires="x14">
            <control shapeId="14006" r:id="rId659" name="Button 2742">
              <controlPr defaultSize="0" autoFill="0" autoLine="0" autoPict="0" macro="[0]!Sheet1.InsertNewTableRow">
                <anchor moveWithCells="1" sizeWithCells="1">
                  <from>
                    <xdr:col>6</xdr:col>
                    <xdr:colOff>0</xdr:colOff>
                    <xdr:row>1244</xdr:row>
                    <xdr:rowOff>0</xdr:rowOff>
                  </from>
                  <to>
                    <xdr:col>7</xdr:col>
                    <xdr:colOff>0</xdr:colOff>
                    <xdr:row>1244</xdr:row>
                    <xdr:rowOff>171450</xdr:rowOff>
                  </to>
                </anchor>
              </controlPr>
            </control>
          </mc:Choice>
        </mc:AlternateContent>
        <mc:AlternateContent xmlns:mc="http://schemas.openxmlformats.org/markup-compatibility/2006">
          <mc:Choice Requires="x14">
            <control shapeId="14005" r:id="rId660" name="Button 2741">
              <controlPr defaultSize="0" autoFill="0" autoLine="0" autoPict="0" macro="[0]!Sheet1.deleteRow">
                <anchor moveWithCells="1" sizeWithCells="1">
                  <from>
                    <xdr:col>6</xdr:col>
                    <xdr:colOff>0</xdr:colOff>
                    <xdr:row>1245</xdr:row>
                    <xdr:rowOff>0</xdr:rowOff>
                  </from>
                  <to>
                    <xdr:col>7</xdr:col>
                    <xdr:colOff>0</xdr:colOff>
                    <xdr:row>1245</xdr:row>
                    <xdr:rowOff>165100</xdr:rowOff>
                  </to>
                </anchor>
              </controlPr>
            </control>
          </mc:Choice>
        </mc:AlternateContent>
        <mc:AlternateContent xmlns:mc="http://schemas.openxmlformats.org/markup-compatibility/2006">
          <mc:Choice Requires="x14">
            <control shapeId="14004" r:id="rId661" name="Button 2740">
              <controlPr defaultSize="0" autoFill="0" autoLine="0" autoPict="0" macro="[0]!Sheet1.deleteRow">
                <anchor moveWithCells="1" sizeWithCells="1">
                  <from>
                    <xdr:col>6</xdr:col>
                    <xdr:colOff>0</xdr:colOff>
                    <xdr:row>1246</xdr:row>
                    <xdr:rowOff>0</xdr:rowOff>
                  </from>
                  <to>
                    <xdr:col>7</xdr:col>
                    <xdr:colOff>0</xdr:colOff>
                    <xdr:row>1246</xdr:row>
                    <xdr:rowOff>165100</xdr:rowOff>
                  </to>
                </anchor>
              </controlPr>
            </control>
          </mc:Choice>
        </mc:AlternateContent>
        <mc:AlternateContent xmlns:mc="http://schemas.openxmlformats.org/markup-compatibility/2006">
          <mc:Choice Requires="x14">
            <control shapeId="14003" r:id="rId662" name="Button 2739">
              <controlPr defaultSize="0" autoFill="0" autoLine="0" autoPict="0" macro="[0]!Sheet1.deleteProcedure">
                <anchor moveWithCells="1" sizeWithCells="1">
                  <from>
                    <xdr:col>6</xdr:col>
                    <xdr:colOff>0</xdr:colOff>
                    <xdr:row>1249</xdr:row>
                    <xdr:rowOff>0</xdr:rowOff>
                  </from>
                  <to>
                    <xdr:col>7</xdr:col>
                    <xdr:colOff>0</xdr:colOff>
                    <xdr:row>1250</xdr:row>
                    <xdr:rowOff>0</xdr:rowOff>
                  </to>
                </anchor>
              </controlPr>
            </control>
          </mc:Choice>
        </mc:AlternateContent>
        <mc:AlternateContent xmlns:mc="http://schemas.openxmlformats.org/markup-compatibility/2006">
          <mc:Choice Requires="x14">
            <control shapeId="14002" r:id="rId663" name="Button 2738">
              <controlPr defaultSize="0" autoFill="0" autoLine="0" autoPict="0" macro="[0]!Sheet1.InsertNewTableRow">
                <anchor moveWithCells="1" sizeWithCells="1">
                  <from>
                    <xdr:col>6</xdr:col>
                    <xdr:colOff>0</xdr:colOff>
                    <xdr:row>1256</xdr:row>
                    <xdr:rowOff>0</xdr:rowOff>
                  </from>
                  <to>
                    <xdr:col>7</xdr:col>
                    <xdr:colOff>0</xdr:colOff>
                    <xdr:row>1256</xdr:row>
                    <xdr:rowOff>171450</xdr:rowOff>
                  </to>
                </anchor>
              </controlPr>
            </control>
          </mc:Choice>
        </mc:AlternateContent>
        <mc:AlternateContent xmlns:mc="http://schemas.openxmlformats.org/markup-compatibility/2006">
          <mc:Choice Requires="x14">
            <control shapeId="14001" r:id="rId664" name="Button 2737">
              <controlPr defaultSize="0" autoFill="0" autoLine="0" autoPict="0" macro="[0]!Sheet1.deleteRow">
                <anchor moveWithCells="1" sizeWithCells="1">
                  <from>
                    <xdr:col>6</xdr:col>
                    <xdr:colOff>0</xdr:colOff>
                    <xdr:row>1257</xdr:row>
                    <xdr:rowOff>0</xdr:rowOff>
                  </from>
                  <to>
                    <xdr:col>7</xdr:col>
                    <xdr:colOff>0</xdr:colOff>
                    <xdr:row>1257</xdr:row>
                    <xdr:rowOff>165100</xdr:rowOff>
                  </to>
                </anchor>
              </controlPr>
            </control>
          </mc:Choice>
        </mc:AlternateContent>
        <mc:AlternateContent xmlns:mc="http://schemas.openxmlformats.org/markup-compatibility/2006">
          <mc:Choice Requires="x14">
            <control shapeId="14000" r:id="rId665" name="Button 2736">
              <controlPr defaultSize="0" autoFill="0" autoLine="0" autoPict="0" macro="[0]!Sheet1.deleteRow">
                <anchor moveWithCells="1" sizeWithCells="1">
                  <from>
                    <xdr:col>6</xdr:col>
                    <xdr:colOff>0</xdr:colOff>
                    <xdr:row>1258</xdr:row>
                    <xdr:rowOff>0</xdr:rowOff>
                  </from>
                  <to>
                    <xdr:col>7</xdr:col>
                    <xdr:colOff>0</xdr:colOff>
                    <xdr:row>1258</xdr:row>
                    <xdr:rowOff>165100</xdr:rowOff>
                  </to>
                </anchor>
              </controlPr>
            </control>
          </mc:Choice>
        </mc:AlternateContent>
        <mc:AlternateContent xmlns:mc="http://schemas.openxmlformats.org/markup-compatibility/2006">
          <mc:Choice Requires="x14">
            <control shapeId="13999" r:id="rId666" name="Button 2735">
              <controlPr defaultSize="0" autoFill="0" autoLine="0" autoPict="0" macro="[0]!Sheet1.deleteProcedure">
                <anchor moveWithCells="1" sizeWithCells="1">
                  <from>
                    <xdr:col>6</xdr:col>
                    <xdr:colOff>0</xdr:colOff>
                    <xdr:row>1261</xdr:row>
                    <xdr:rowOff>0</xdr:rowOff>
                  </from>
                  <to>
                    <xdr:col>7</xdr:col>
                    <xdr:colOff>0</xdr:colOff>
                    <xdr:row>1262</xdr:row>
                    <xdr:rowOff>0</xdr:rowOff>
                  </to>
                </anchor>
              </controlPr>
            </control>
          </mc:Choice>
        </mc:AlternateContent>
        <mc:AlternateContent xmlns:mc="http://schemas.openxmlformats.org/markup-compatibility/2006">
          <mc:Choice Requires="x14">
            <control shapeId="13998" r:id="rId667" name="Button 2734">
              <controlPr defaultSize="0" autoFill="0" autoLine="0" autoPict="0" macro="[0]!Sheet1.InsertNewTableRow">
                <anchor moveWithCells="1" sizeWithCells="1">
                  <from>
                    <xdr:col>6</xdr:col>
                    <xdr:colOff>0</xdr:colOff>
                    <xdr:row>1268</xdr:row>
                    <xdr:rowOff>0</xdr:rowOff>
                  </from>
                  <to>
                    <xdr:col>7</xdr:col>
                    <xdr:colOff>0</xdr:colOff>
                    <xdr:row>1268</xdr:row>
                    <xdr:rowOff>171450</xdr:rowOff>
                  </to>
                </anchor>
              </controlPr>
            </control>
          </mc:Choice>
        </mc:AlternateContent>
        <mc:AlternateContent xmlns:mc="http://schemas.openxmlformats.org/markup-compatibility/2006">
          <mc:Choice Requires="x14">
            <control shapeId="13997" r:id="rId668" name="Button 2733">
              <controlPr defaultSize="0" autoFill="0" autoLine="0" autoPict="0" macro="[0]!Sheet1.deleteRow">
                <anchor moveWithCells="1" sizeWithCells="1">
                  <from>
                    <xdr:col>6</xdr:col>
                    <xdr:colOff>0</xdr:colOff>
                    <xdr:row>1269</xdr:row>
                    <xdr:rowOff>0</xdr:rowOff>
                  </from>
                  <to>
                    <xdr:col>7</xdr:col>
                    <xdr:colOff>0</xdr:colOff>
                    <xdr:row>1269</xdr:row>
                    <xdr:rowOff>165100</xdr:rowOff>
                  </to>
                </anchor>
              </controlPr>
            </control>
          </mc:Choice>
        </mc:AlternateContent>
        <mc:AlternateContent xmlns:mc="http://schemas.openxmlformats.org/markup-compatibility/2006">
          <mc:Choice Requires="x14">
            <control shapeId="13996" r:id="rId669" name="Button 2732">
              <controlPr defaultSize="0" autoFill="0" autoLine="0" autoPict="0" macro="[0]!Sheet1.deleteProcedure">
                <anchor moveWithCells="1" sizeWithCells="1">
                  <from>
                    <xdr:col>6</xdr:col>
                    <xdr:colOff>0</xdr:colOff>
                    <xdr:row>1272</xdr:row>
                    <xdr:rowOff>0</xdr:rowOff>
                  </from>
                  <to>
                    <xdr:col>7</xdr:col>
                    <xdr:colOff>0</xdr:colOff>
                    <xdr:row>1273</xdr:row>
                    <xdr:rowOff>0</xdr:rowOff>
                  </to>
                </anchor>
              </controlPr>
            </control>
          </mc:Choice>
        </mc:AlternateContent>
        <mc:AlternateContent xmlns:mc="http://schemas.openxmlformats.org/markup-compatibility/2006">
          <mc:Choice Requires="x14">
            <control shapeId="13995" r:id="rId670" name="Button 2731">
              <controlPr defaultSize="0" autoFill="0" autoLine="0" autoPict="0" macro="[0]!Sheet1.InsertNewTableRow">
                <anchor moveWithCells="1" sizeWithCells="1">
                  <from>
                    <xdr:col>6</xdr:col>
                    <xdr:colOff>0</xdr:colOff>
                    <xdr:row>1279</xdr:row>
                    <xdr:rowOff>0</xdr:rowOff>
                  </from>
                  <to>
                    <xdr:col>7</xdr:col>
                    <xdr:colOff>0</xdr:colOff>
                    <xdr:row>1279</xdr:row>
                    <xdr:rowOff>171450</xdr:rowOff>
                  </to>
                </anchor>
              </controlPr>
            </control>
          </mc:Choice>
        </mc:AlternateContent>
        <mc:AlternateContent xmlns:mc="http://schemas.openxmlformats.org/markup-compatibility/2006">
          <mc:Choice Requires="x14">
            <control shapeId="13994" r:id="rId671" name="Button 2730">
              <controlPr defaultSize="0" autoFill="0" autoLine="0" autoPict="0" macro="[0]!Sheet1.deleteRow">
                <anchor moveWithCells="1" sizeWithCells="1">
                  <from>
                    <xdr:col>6</xdr:col>
                    <xdr:colOff>0</xdr:colOff>
                    <xdr:row>1280</xdr:row>
                    <xdr:rowOff>0</xdr:rowOff>
                  </from>
                  <to>
                    <xdr:col>7</xdr:col>
                    <xdr:colOff>0</xdr:colOff>
                    <xdr:row>1280</xdr:row>
                    <xdr:rowOff>165100</xdr:rowOff>
                  </to>
                </anchor>
              </controlPr>
            </control>
          </mc:Choice>
        </mc:AlternateContent>
        <mc:AlternateContent xmlns:mc="http://schemas.openxmlformats.org/markup-compatibility/2006">
          <mc:Choice Requires="x14">
            <control shapeId="13993" r:id="rId672" name="Button 2729">
              <controlPr defaultSize="0" autoFill="0" autoLine="0" autoPict="0" macro="[0]!Sheet1.deleteProcedure">
                <anchor moveWithCells="1" sizeWithCells="1">
                  <from>
                    <xdr:col>6</xdr:col>
                    <xdr:colOff>0</xdr:colOff>
                    <xdr:row>1283</xdr:row>
                    <xdr:rowOff>0</xdr:rowOff>
                  </from>
                  <to>
                    <xdr:col>7</xdr:col>
                    <xdr:colOff>0</xdr:colOff>
                    <xdr:row>1284</xdr:row>
                    <xdr:rowOff>0</xdr:rowOff>
                  </to>
                </anchor>
              </controlPr>
            </control>
          </mc:Choice>
        </mc:AlternateContent>
        <mc:AlternateContent xmlns:mc="http://schemas.openxmlformats.org/markup-compatibility/2006">
          <mc:Choice Requires="x14">
            <control shapeId="13992" r:id="rId673" name="Button 2728">
              <controlPr defaultSize="0" autoFill="0" autoLine="0" autoPict="0" macro="[0]!Sheet1.InsertNewTableRow">
                <anchor moveWithCells="1" sizeWithCells="1">
                  <from>
                    <xdr:col>6</xdr:col>
                    <xdr:colOff>0</xdr:colOff>
                    <xdr:row>1290</xdr:row>
                    <xdr:rowOff>0</xdr:rowOff>
                  </from>
                  <to>
                    <xdr:col>7</xdr:col>
                    <xdr:colOff>0</xdr:colOff>
                    <xdr:row>1290</xdr:row>
                    <xdr:rowOff>171450</xdr:rowOff>
                  </to>
                </anchor>
              </controlPr>
            </control>
          </mc:Choice>
        </mc:AlternateContent>
        <mc:AlternateContent xmlns:mc="http://schemas.openxmlformats.org/markup-compatibility/2006">
          <mc:Choice Requires="x14">
            <control shapeId="13991" r:id="rId674" name="Button 2727">
              <controlPr defaultSize="0" autoFill="0" autoLine="0" autoPict="0" macro="[0]!Sheet1.deleteRow">
                <anchor moveWithCells="1" sizeWithCells="1">
                  <from>
                    <xdr:col>6</xdr:col>
                    <xdr:colOff>0</xdr:colOff>
                    <xdr:row>1291</xdr:row>
                    <xdr:rowOff>0</xdr:rowOff>
                  </from>
                  <to>
                    <xdr:col>7</xdr:col>
                    <xdr:colOff>0</xdr:colOff>
                    <xdr:row>1291</xdr:row>
                    <xdr:rowOff>165100</xdr:rowOff>
                  </to>
                </anchor>
              </controlPr>
            </control>
          </mc:Choice>
        </mc:AlternateContent>
        <mc:AlternateContent xmlns:mc="http://schemas.openxmlformats.org/markup-compatibility/2006">
          <mc:Choice Requires="x14">
            <control shapeId="13990" r:id="rId675" name="Button 2726">
              <controlPr defaultSize="0" autoFill="0" autoLine="0" autoPict="0" macro="[0]!Sheet1.deleteRow">
                <anchor moveWithCells="1" sizeWithCells="1">
                  <from>
                    <xdr:col>6</xdr:col>
                    <xdr:colOff>0</xdr:colOff>
                    <xdr:row>1292</xdr:row>
                    <xdr:rowOff>0</xdr:rowOff>
                  </from>
                  <to>
                    <xdr:col>7</xdr:col>
                    <xdr:colOff>0</xdr:colOff>
                    <xdr:row>1292</xdr:row>
                    <xdr:rowOff>165100</xdr:rowOff>
                  </to>
                </anchor>
              </controlPr>
            </control>
          </mc:Choice>
        </mc:AlternateContent>
        <mc:AlternateContent xmlns:mc="http://schemas.openxmlformats.org/markup-compatibility/2006">
          <mc:Choice Requires="x14">
            <control shapeId="13989" r:id="rId676" name="Button 2725">
              <controlPr defaultSize="0" autoFill="0" autoLine="0" autoPict="0" macro="[0]!Sheet1.deleteRow">
                <anchor moveWithCells="1" sizeWithCells="1">
                  <from>
                    <xdr:col>6</xdr:col>
                    <xdr:colOff>0</xdr:colOff>
                    <xdr:row>1293</xdr:row>
                    <xdr:rowOff>0</xdr:rowOff>
                  </from>
                  <to>
                    <xdr:col>7</xdr:col>
                    <xdr:colOff>0</xdr:colOff>
                    <xdr:row>1293</xdr:row>
                    <xdr:rowOff>165100</xdr:rowOff>
                  </to>
                </anchor>
              </controlPr>
            </control>
          </mc:Choice>
        </mc:AlternateContent>
        <mc:AlternateContent xmlns:mc="http://schemas.openxmlformats.org/markup-compatibility/2006">
          <mc:Choice Requires="x14">
            <control shapeId="13988" r:id="rId677" name="Button 2724">
              <controlPr defaultSize="0" autoFill="0" autoLine="0" autoPict="0" macro="[0]!Sheet1.deleteProcedure">
                <anchor moveWithCells="1" sizeWithCells="1">
                  <from>
                    <xdr:col>6</xdr:col>
                    <xdr:colOff>0</xdr:colOff>
                    <xdr:row>1296</xdr:row>
                    <xdr:rowOff>0</xdr:rowOff>
                  </from>
                  <to>
                    <xdr:col>7</xdr:col>
                    <xdr:colOff>0</xdr:colOff>
                    <xdr:row>1297</xdr:row>
                    <xdr:rowOff>0</xdr:rowOff>
                  </to>
                </anchor>
              </controlPr>
            </control>
          </mc:Choice>
        </mc:AlternateContent>
        <mc:AlternateContent xmlns:mc="http://schemas.openxmlformats.org/markup-compatibility/2006">
          <mc:Choice Requires="x14">
            <control shapeId="13987" r:id="rId678" name="Button 2723">
              <controlPr defaultSize="0" autoFill="0" autoLine="0" autoPict="0" macro="[0]!Sheet1.InsertNewTableRow">
                <anchor moveWithCells="1" sizeWithCells="1">
                  <from>
                    <xdr:col>6</xdr:col>
                    <xdr:colOff>0</xdr:colOff>
                    <xdr:row>1303</xdr:row>
                    <xdr:rowOff>0</xdr:rowOff>
                  </from>
                  <to>
                    <xdr:col>7</xdr:col>
                    <xdr:colOff>0</xdr:colOff>
                    <xdr:row>1303</xdr:row>
                    <xdr:rowOff>171450</xdr:rowOff>
                  </to>
                </anchor>
              </controlPr>
            </control>
          </mc:Choice>
        </mc:AlternateContent>
        <mc:AlternateContent xmlns:mc="http://schemas.openxmlformats.org/markup-compatibility/2006">
          <mc:Choice Requires="x14">
            <control shapeId="13986" r:id="rId679" name="Button 2722">
              <controlPr defaultSize="0" autoFill="0" autoLine="0" autoPict="0" macro="[0]!Sheet1.deleteRow">
                <anchor moveWithCells="1" sizeWithCells="1">
                  <from>
                    <xdr:col>6</xdr:col>
                    <xdr:colOff>0</xdr:colOff>
                    <xdr:row>1304</xdr:row>
                    <xdr:rowOff>0</xdr:rowOff>
                  </from>
                  <to>
                    <xdr:col>7</xdr:col>
                    <xdr:colOff>0</xdr:colOff>
                    <xdr:row>1304</xdr:row>
                    <xdr:rowOff>165100</xdr:rowOff>
                  </to>
                </anchor>
              </controlPr>
            </control>
          </mc:Choice>
        </mc:AlternateContent>
        <mc:AlternateContent xmlns:mc="http://schemas.openxmlformats.org/markup-compatibility/2006">
          <mc:Choice Requires="x14">
            <control shapeId="13985" r:id="rId680" name="Button 2721">
              <controlPr defaultSize="0" autoFill="0" autoLine="0" autoPict="0" macro="[0]!Sheet1.deleteRow">
                <anchor moveWithCells="1" sizeWithCells="1">
                  <from>
                    <xdr:col>6</xdr:col>
                    <xdr:colOff>0</xdr:colOff>
                    <xdr:row>1305</xdr:row>
                    <xdr:rowOff>0</xdr:rowOff>
                  </from>
                  <to>
                    <xdr:col>7</xdr:col>
                    <xdr:colOff>0</xdr:colOff>
                    <xdr:row>1305</xdr:row>
                    <xdr:rowOff>165100</xdr:rowOff>
                  </to>
                </anchor>
              </controlPr>
            </control>
          </mc:Choice>
        </mc:AlternateContent>
        <mc:AlternateContent xmlns:mc="http://schemas.openxmlformats.org/markup-compatibility/2006">
          <mc:Choice Requires="x14">
            <control shapeId="13984" r:id="rId681" name="Button 2720">
              <controlPr defaultSize="0" autoFill="0" autoLine="0" autoPict="0" macro="[0]!Sheet1.deleteRow">
                <anchor moveWithCells="1" sizeWithCells="1">
                  <from>
                    <xdr:col>6</xdr:col>
                    <xdr:colOff>0</xdr:colOff>
                    <xdr:row>1306</xdr:row>
                    <xdr:rowOff>0</xdr:rowOff>
                  </from>
                  <to>
                    <xdr:col>7</xdr:col>
                    <xdr:colOff>0</xdr:colOff>
                    <xdr:row>1306</xdr:row>
                    <xdr:rowOff>165100</xdr:rowOff>
                  </to>
                </anchor>
              </controlPr>
            </control>
          </mc:Choice>
        </mc:AlternateContent>
        <mc:AlternateContent xmlns:mc="http://schemas.openxmlformats.org/markup-compatibility/2006">
          <mc:Choice Requires="x14">
            <control shapeId="13983" r:id="rId682" name="Button 2719">
              <controlPr defaultSize="0" autoFill="0" autoLine="0" autoPict="0" macro="[0]!Sheet1.deleteRow">
                <anchor moveWithCells="1" sizeWithCells="1">
                  <from>
                    <xdr:col>6</xdr:col>
                    <xdr:colOff>0</xdr:colOff>
                    <xdr:row>1307</xdr:row>
                    <xdr:rowOff>0</xdr:rowOff>
                  </from>
                  <to>
                    <xdr:col>7</xdr:col>
                    <xdr:colOff>0</xdr:colOff>
                    <xdr:row>1307</xdr:row>
                    <xdr:rowOff>165100</xdr:rowOff>
                  </to>
                </anchor>
              </controlPr>
            </control>
          </mc:Choice>
        </mc:AlternateContent>
        <mc:AlternateContent xmlns:mc="http://schemas.openxmlformats.org/markup-compatibility/2006">
          <mc:Choice Requires="x14">
            <control shapeId="13982" r:id="rId683" name="Button 2718">
              <controlPr defaultSize="0" autoFill="0" autoLine="0" autoPict="0" macro="[0]!Sheet1.deleteProcedure">
                <anchor moveWithCells="1" sizeWithCells="1">
                  <from>
                    <xdr:col>6</xdr:col>
                    <xdr:colOff>0</xdr:colOff>
                    <xdr:row>1310</xdr:row>
                    <xdr:rowOff>0</xdr:rowOff>
                  </from>
                  <to>
                    <xdr:col>7</xdr:col>
                    <xdr:colOff>0</xdr:colOff>
                    <xdr:row>1311</xdr:row>
                    <xdr:rowOff>0</xdr:rowOff>
                  </to>
                </anchor>
              </controlPr>
            </control>
          </mc:Choice>
        </mc:AlternateContent>
        <mc:AlternateContent xmlns:mc="http://schemas.openxmlformats.org/markup-compatibility/2006">
          <mc:Choice Requires="x14">
            <control shapeId="13981" r:id="rId684" name="Button 2717">
              <controlPr defaultSize="0" autoFill="0" autoLine="0" autoPict="0" macro="[0]!Sheet1.InsertNewTableRow">
                <anchor moveWithCells="1" sizeWithCells="1">
                  <from>
                    <xdr:col>6</xdr:col>
                    <xdr:colOff>0</xdr:colOff>
                    <xdr:row>1317</xdr:row>
                    <xdr:rowOff>0</xdr:rowOff>
                  </from>
                  <to>
                    <xdr:col>7</xdr:col>
                    <xdr:colOff>0</xdr:colOff>
                    <xdr:row>1317</xdr:row>
                    <xdr:rowOff>171450</xdr:rowOff>
                  </to>
                </anchor>
              </controlPr>
            </control>
          </mc:Choice>
        </mc:AlternateContent>
        <mc:AlternateContent xmlns:mc="http://schemas.openxmlformats.org/markup-compatibility/2006">
          <mc:Choice Requires="x14">
            <control shapeId="13980" r:id="rId685" name="Button 2716">
              <controlPr defaultSize="0" autoFill="0" autoLine="0" autoPict="0" macro="[0]!Sheet1.deleteRow">
                <anchor moveWithCells="1" sizeWithCells="1">
                  <from>
                    <xdr:col>6</xdr:col>
                    <xdr:colOff>0</xdr:colOff>
                    <xdr:row>1318</xdr:row>
                    <xdr:rowOff>0</xdr:rowOff>
                  </from>
                  <to>
                    <xdr:col>7</xdr:col>
                    <xdr:colOff>0</xdr:colOff>
                    <xdr:row>1318</xdr:row>
                    <xdr:rowOff>165100</xdr:rowOff>
                  </to>
                </anchor>
              </controlPr>
            </control>
          </mc:Choice>
        </mc:AlternateContent>
        <mc:AlternateContent xmlns:mc="http://schemas.openxmlformats.org/markup-compatibility/2006">
          <mc:Choice Requires="x14">
            <control shapeId="13979" r:id="rId686" name="Button 2715">
              <controlPr defaultSize="0" autoFill="0" autoLine="0" autoPict="0" macro="[0]!Sheet1.deleteRow">
                <anchor moveWithCells="1" sizeWithCells="1">
                  <from>
                    <xdr:col>6</xdr:col>
                    <xdr:colOff>0</xdr:colOff>
                    <xdr:row>1319</xdr:row>
                    <xdr:rowOff>0</xdr:rowOff>
                  </from>
                  <to>
                    <xdr:col>7</xdr:col>
                    <xdr:colOff>0</xdr:colOff>
                    <xdr:row>1319</xdr:row>
                    <xdr:rowOff>165100</xdr:rowOff>
                  </to>
                </anchor>
              </controlPr>
            </control>
          </mc:Choice>
        </mc:AlternateContent>
        <mc:AlternateContent xmlns:mc="http://schemas.openxmlformats.org/markup-compatibility/2006">
          <mc:Choice Requires="x14">
            <control shapeId="13978" r:id="rId687" name="Button 2714">
              <controlPr defaultSize="0" autoFill="0" autoLine="0" autoPict="0" macro="[0]!Sheet1.deleteRow">
                <anchor moveWithCells="1" sizeWithCells="1">
                  <from>
                    <xdr:col>6</xdr:col>
                    <xdr:colOff>0</xdr:colOff>
                    <xdr:row>1320</xdr:row>
                    <xdr:rowOff>0</xdr:rowOff>
                  </from>
                  <to>
                    <xdr:col>7</xdr:col>
                    <xdr:colOff>0</xdr:colOff>
                    <xdr:row>1320</xdr:row>
                    <xdr:rowOff>165100</xdr:rowOff>
                  </to>
                </anchor>
              </controlPr>
            </control>
          </mc:Choice>
        </mc:AlternateContent>
        <mc:AlternateContent xmlns:mc="http://schemas.openxmlformats.org/markup-compatibility/2006">
          <mc:Choice Requires="x14">
            <control shapeId="13977" r:id="rId688" name="Button 2713">
              <controlPr defaultSize="0" autoFill="0" autoLine="0" autoPict="0" macro="[0]!Sheet1.deleteRow">
                <anchor moveWithCells="1" sizeWithCells="1">
                  <from>
                    <xdr:col>6</xdr:col>
                    <xdr:colOff>0</xdr:colOff>
                    <xdr:row>1321</xdr:row>
                    <xdr:rowOff>0</xdr:rowOff>
                  </from>
                  <to>
                    <xdr:col>7</xdr:col>
                    <xdr:colOff>0</xdr:colOff>
                    <xdr:row>1321</xdr:row>
                    <xdr:rowOff>165100</xdr:rowOff>
                  </to>
                </anchor>
              </controlPr>
            </control>
          </mc:Choice>
        </mc:AlternateContent>
        <mc:AlternateContent xmlns:mc="http://schemas.openxmlformats.org/markup-compatibility/2006">
          <mc:Choice Requires="x14">
            <control shapeId="13976" r:id="rId689" name="Button 2712">
              <controlPr defaultSize="0" autoFill="0" autoLine="0" autoPict="0" macro="[0]!Sheet1.deleteRow">
                <anchor moveWithCells="1" sizeWithCells="1">
                  <from>
                    <xdr:col>6</xdr:col>
                    <xdr:colOff>0</xdr:colOff>
                    <xdr:row>1322</xdr:row>
                    <xdr:rowOff>0</xdr:rowOff>
                  </from>
                  <to>
                    <xdr:col>7</xdr:col>
                    <xdr:colOff>0</xdr:colOff>
                    <xdr:row>1322</xdr:row>
                    <xdr:rowOff>165100</xdr:rowOff>
                  </to>
                </anchor>
              </controlPr>
            </control>
          </mc:Choice>
        </mc:AlternateContent>
        <mc:AlternateContent xmlns:mc="http://schemas.openxmlformats.org/markup-compatibility/2006">
          <mc:Choice Requires="x14">
            <control shapeId="13975" r:id="rId690" name="Button 2711">
              <controlPr defaultSize="0" autoFill="0" autoLine="0" autoPict="0" macro="[0]!Sheet1.deleteRow">
                <anchor moveWithCells="1" sizeWithCells="1">
                  <from>
                    <xdr:col>6</xdr:col>
                    <xdr:colOff>0</xdr:colOff>
                    <xdr:row>1323</xdr:row>
                    <xdr:rowOff>0</xdr:rowOff>
                  </from>
                  <to>
                    <xdr:col>7</xdr:col>
                    <xdr:colOff>0</xdr:colOff>
                    <xdr:row>1323</xdr:row>
                    <xdr:rowOff>165100</xdr:rowOff>
                  </to>
                </anchor>
              </controlPr>
            </control>
          </mc:Choice>
        </mc:AlternateContent>
        <mc:AlternateContent xmlns:mc="http://schemas.openxmlformats.org/markup-compatibility/2006">
          <mc:Choice Requires="x14">
            <control shapeId="13974" r:id="rId691" name="Button 2710">
              <controlPr defaultSize="0" autoFill="0" autoLine="0" autoPict="0" macro="[0]!Sheet1.deleteRow">
                <anchor moveWithCells="1" sizeWithCells="1">
                  <from>
                    <xdr:col>6</xdr:col>
                    <xdr:colOff>0</xdr:colOff>
                    <xdr:row>1324</xdr:row>
                    <xdr:rowOff>0</xdr:rowOff>
                  </from>
                  <to>
                    <xdr:col>7</xdr:col>
                    <xdr:colOff>0</xdr:colOff>
                    <xdr:row>1324</xdr:row>
                    <xdr:rowOff>165100</xdr:rowOff>
                  </to>
                </anchor>
              </controlPr>
            </control>
          </mc:Choice>
        </mc:AlternateContent>
        <mc:AlternateContent xmlns:mc="http://schemas.openxmlformats.org/markup-compatibility/2006">
          <mc:Choice Requires="x14">
            <control shapeId="13973" r:id="rId692" name="Button 2709">
              <controlPr defaultSize="0" autoFill="0" autoLine="0" autoPict="0" macro="[0]!Sheet1.deleteRow">
                <anchor moveWithCells="1" sizeWithCells="1">
                  <from>
                    <xdr:col>6</xdr:col>
                    <xdr:colOff>0</xdr:colOff>
                    <xdr:row>1325</xdr:row>
                    <xdr:rowOff>0</xdr:rowOff>
                  </from>
                  <to>
                    <xdr:col>7</xdr:col>
                    <xdr:colOff>0</xdr:colOff>
                    <xdr:row>1325</xdr:row>
                    <xdr:rowOff>165100</xdr:rowOff>
                  </to>
                </anchor>
              </controlPr>
            </control>
          </mc:Choice>
        </mc:AlternateContent>
        <mc:AlternateContent xmlns:mc="http://schemas.openxmlformats.org/markup-compatibility/2006">
          <mc:Choice Requires="x14">
            <control shapeId="13972" r:id="rId693" name="Button 2708">
              <controlPr defaultSize="0" autoFill="0" autoLine="0" autoPict="0" macro="[0]!Sheet1.deleteRow">
                <anchor moveWithCells="1" sizeWithCells="1">
                  <from>
                    <xdr:col>6</xdr:col>
                    <xdr:colOff>0</xdr:colOff>
                    <xdr:row>1326</xdr:row>
                    <xdr:rowOff>0</xdr:rowOff>
                  </from>
                  <to>
                    <xdr:col>7</xdr:col>
                    <xdr:colOff>0</xdr:colOff>
                    <xdr:row>1326</xdr:row>
                    <xdr:rowOff>165100</xdr:rowOff>
                  </to>
                </anchor>
              </controlPr>
            </control>
          </mc:Choice>
        </mc:AlternateContent>
        <mc:AlternateContent xmlns:mc="http://schemas.openxmlformats.org/markup-compatibility/2006">
          <mc:Choice Requires="x14">
            <control shapeId="13971" r:id="rId694" name="Button 2707">
              <controlPr defaultSize="0" autoFill="0" autoLine="0" autoPict="0" macro="[0]!Sheet1.deleteProcedure">
                <anchor moveWithCells="1" sizeWithCells="1">
                  <from>
                    <xdr:col>6</xdr:col>
                    <xdr:colOff>0</xdr:colOff>
                    <xdr:row>1329</xdr:row>
                    <xdr:rowOff>0</xdr:rowOff>
                  </from>
                  <to>
                    <xdr:col>7</xdr:col>
                    <xdr:colOff>0</xdr:colOff>
                    <xdr:row>1330</xdr:row>
                    <xdr:rowOff>0</xdr:rowOff>
                  </to>
                </anchor>
              </controlPr>
            </control>
          </mc:Choice>
        </mc:AlternateContent>
        <mc:AlternateContent xmlns:mc="http://schemas.openxmlformats.org/markup-compatibility/2006">
          <mc:Choice Requires="x14">
            <control shapeId="13970" r:id="rId695" name="Button 2706">
              <controlPr defaultSize="0" autoFill="0" autoLine="0" autoPict="0" macro="[0]!Sheet1.InsertNewTableRow">
                <anchor moveWithCells="1" sizeWithCells="1">
                  <from>
                    <xdr:col>6</xdr:col>
                    <xdr:colOff>0</xdr:colOff>
                    <xdr:row>1336</xdr:row>
                    <xdr:rowOff>0</xdr:rowOff>
                  </from>
                  <to>
                    <xdr:col>7</xdr:col>
                    <xdr:colOff>0</xdr:colOff>
                    <xdr:row>1336</xdr:row>
                    <xdr:rowOff>171450</xdr:rowOff>
                  </to>
                </anchor>
              </controlPr>
            </control>
          </mc:Choice>
        </mc:AlternateContent>
        <mc:AlternateContent xmlns:mc="http://schemas.openxmlformats.org/markup-compatibility/2006">
          <mc:Choice Requires="x14">
            <control shapeId="13969" r:id="rId696" name="Button 2705">
              <controlPr defaultSize="0" autoFill="0" autoLine="0" autoPict="0" macro="[0]!Sheet1.deleteRow">
                <anchor moveWithCells="1" sizeWithCells="1">
                  <from>
                    <xdr:col>6</xdr:col>
                    <xdr:colOff>0</xdr:colOff>
                    <xdr:row>1337</xdr:row>
                    <xdr:rowOff>0</xdr:rowOff>
                  </from>
                  <to>
                    <xdr:col>7</xdr:col>
                    <xdr:colOff>0</xdr:colOff>
                    <xdr:row>1337</xdr:row>
                    <xdr:rowOff>165100</xdr:rowOff>
                  </to>
                </anchor>
              </controlPr>
            </control>
          </mc:Choice>
        </mc:AlternateContent>
        <mc:AlternateContent xmlns:mc="http://schemas.openxmlformats.org/markup-compatibility/2006">
          <mc:Choice Requires="x14">
            <control shapeId="13968" r:id="rId697" name="Button 2704">
              <controlPr defaultSize="0" autoFill="0" autoLine="0" autoPict="0" macro="[0]!Sheet1.deleteRow">
                <anchor moveWithCells="1" sizeWithCells="1">
                  <from>
                    <xdr:col>6</xdr:col>
                    <xdr:colOff>0</xdr:colOff>
                    <xdr:row>1338</xdr:row>
                    <xdr:rowOff>0</xdr:rowOff>
                  </from>
                  <to>
                    <xdr:col>7</xdr:col>
                    <xdr:colOff>0</xdr:colOff>
                    <xdr:row>1338</xdr:row>
                    <xdr:rowOff>165100</xdr:rowOff>
                  </to>
                </anchor>
              </controlPr>
            </control>
          </mc:Choice>
        </mc:AlternateContent>
        <mc:AlternateContent xmlns:mc="http://schemas.openxmlformats.org/markup-compatibility/2006">
          <mc:Choice Requires="x14">
            <control shapeId="13967" r:id="rId698" name="Button 2703">
              <controlPr defaultSize="0" autoFill="0" autoLine="0" autoPict="0" macro="[0]!Sheet1.deleteRow">
                <anchor moveWithCells="1" sizeWithCells="1">
                  <from>
                    <xdr:col>6</xdr:col>
                    <xdr:colOff>0</xdr:colOff>
                    <xdr:row>1339</xdr:row>
                    <xdr:rowOff>0</xdr:rowOff>
                  </from>
                  <to>
                    <xdr:col>7</xdr:col>
                    <xdr:colOff>0</xdr:colOff>
                    <xdr:row>1339</xdr:row>
                    <xdr:rowOff>165100</xdr:rowOff>
                  </to>
                </anchor>
              </controlPr>
            </control>
          </mc:Choice>
        </mc:AlternateContent>
        <mc:AlternateContent xmlns:mc="http://schemas.openxmlformats.org/markup-compatibility/2006">
          <mc:Choice Requires="x14">
            <control shapeId="13966" r:id="rId699" name="Button 2702">
              <controlPr defaultSize="0" autoFill="0" autoLine="0" autoPict="0" macro="[0]!Sheet1.deleteRow">
                <anchor moveWithCells="1" sizeWithCells="1">
                  <from>
                    <xdr:col>6</xdr:col>
                    <xdr:colOff>0</xdr:colOff>
                    <xdr:row>1340</xdr:row>
                    <xdr:rowOff>0</xdr:rowOff>
                  </from>
                  <to>
                    <xdr:col>7</xdr:col>
                    <xdr:colOff>0</xdr:colOff>
                    <xdr:row>1340</xdr:row>
                    <xdr:rowOff>165100</xdr:rowOff>
                  </to>
                </anchor>
              </controlPr>
            </control>
          </mc:Choice>
        </mc:AlternateContent>
        <mc:AlternateContent xmlns:mc="http://schemas.openxmlformats.org/markup-compatibility/2006">
          <mc:Choice Requires="x14">
            <control shapeId="13965" r:id="rId700" name="Button 2701">
              <controlPr defaultSize="0" autoFill="0" autoLine="0" autoPict="0" macro="[0]!Sheet1.deleteRow">
                <anchor moveWithCells="1" sizeWithCells="1">
                  <from>
                    <xdr:col>6</xdr:col>
                    <xdr:colOff>0</xdr:colOff>
                    <xdr:row>1341</xdr:row>
                    <xdr:rowOff>0</xdr:rowOff>
                  </from>
                  <to>
                    <xdr:col>7</xdr:col>
                    <xdr:colOff>0</xdr:colOff>
                    <xdr:row>1341</xdr:row>
                    <xdr:rowOff>165100</xdr:rowOff>
                  </to>
                </anchor>
              </controlPr>
            </control>
          </mc:Choice>
        </mc:AlternateContent>
        <mc:AlternateContent xmlns:mc="http://schemas.openxmlformats.org/markup-compatibility/2006">
          <mc:Choice Requires="x14">
            <control shapeId="13964" r:id="rId701" name="Button 2700">
              <controlPr defaultSize="0" autoFill="0" autoLine="0" autoPict="0" macro="[0]!Sheet1.deleteRow">
                <anchor moveWithCells="1" sizeWithCells="1">
                  <from>
                    <xdr:col>6</xdr:col>
                    <xdr:colOff>0</xdr:colOff>
                    <xdr:row>1342</xdr:row>
                    <xdr:rowOff>0</xdr:rowOff>
                  </from>
                  <to>
                    <xdr:col>7</xdr:col>
                    <xdr:colOff>0</xdr:colOff>
                    <xdr:row>1342</xdr:row>
                    <xdr:rowOff>165100</xdr:rowOff>
                  </to>
                </anchor>
              </controlPr>
            </control>
          </mc:Choice>
        </mc:AlternateContent>
        <mc:AlternateContent xmlns:mc="http://schemas.openxmlformats.org/markup-compatibility/2006">
          <mc:Choice Requires="x14">
            <control shapeId="13963" r:id="rId702" name="Button 2699">
              <controlPr defaultSize="0" autoFill="0" autoLine="0" autoPict="0" macro="[0]!Sheet1.deleteRow">
                <anchor moveWithCells="1" sizeWithCells="1">
                  <from>
                    <xdr:col>6</xdr:col>
                    <xdr:colOff>0</xdr:colOff>
                    <xdr:row>1343</xdr:row>
                    <xdr:rowOff>0</xdr:rowOff>
                  </from>
                  <to>
                    <xdr:col>7</xdr:col>
                    <xdr:colOff>0</xdr:colOff>
                    <xdr:row>1343</xdr:row>
                    <xdr:rowOff>165100</xdr:rowOff>
                  </to>
                </anchor>
              </controlPr>
            </control>
          </mc:Choice>
        </mc:AlternateContent>
        <mc:AlternateContent xmlns:mc="http://schemas.openxmlformats.org/markup-compatibility/2006">
          <mc:Choice Requires="x14">
            <control shapeId="13962" r:id="rId703" name="Button 2698">
              <controlPr defaultSize="0" autoFill="0" autoLine="0" autoPict="0" macro="[0]!Sheet1.deleteRow">
                <anchor moveWithCells="1" sizeWithCells="1">
                  <from>
                    <xdr:col>6</xdr:col>
                    <xdr:colOff>0</xdr:colOff>
                    <xdr:row>1344</xdr:row>
                    <xdr:rowOff>0</xdr:rowOff>
                  </from>
                  <to>
                    <xdr:col>7</xdr:col>
                    <xdr:colOff>0</xdr:colOff>
                    <xdr:row>1344</xdr:row>
                    <xdr:rowOff>165100</xdr:rowOff>
                  </to>
                </anchor>
              </controlPr>
            </control>
          </mc:Choice>
        </mc:AlternateContent>
        <mc:AlternateContent xmlns:mc="http://schemas.openxmlformats.org/markup-compatibility/2006">
          <mc:Choice Requires="x14">
            <control shapeId="13961" r:id="rId704" name="Button 2697">
              <controlPr defaultSize="0" autoFill="0" autoLine="0" autoPict="0" macro="[0]!Sheet1.deleteRow">
                <anchor moveWithCells="1" sizeWithCells="1">
                  <from>
                    <xdr:col>6</xdr:col>
                    <xdr:colOff>0</xdr:colOff>
                    <xdr:row>1345</xdr:row>
                    <xdr:rowOff>0</xdr:rowOff>
                  </from>
                  <to>
                    <xdr:col>7</xdr:col>
                    <xdr:colOff>0</xdr:colOff>
                    <xdr:row>1345</xdr:row>
                    <xdr:rowOff>165100</xdr:rowOff>
                  </to>
                </anchor>
              </controlPr>
            </control>
          </mc:Choice>
        </mc:AlternateContent>
        <mc:AlternateContent xmlns:mc="http://schemas.openxmlformats.org/markup-compatibility/2006">
          <mc:Choice Requires="x14">
            <control shapeId="13960" r:id="rId705" name="Button 2696">
              <controlPr defaultSize="0" autoFill="0" autoLine="0" autoPict="0" macro="[0]!Sheet1.deleteRow">
                <anchor moveWithCells="1" sizeWithCells="1">
                  <from>
                    <xdr:col>6</xdr:col>
                    <xdr:colOff>0</xdr:colOff>
                    <xdr:row>1346</xdr:row>
                    <xdr:rowOff>0</xdr:rowOff>
                  </from>
                  <to>
                    <xdr:col>7</xdr:col>
                    <xdr:colOff>0</xdr:colOff>
                    <xdr:row>1346</xdr:row>
                    <xdr:rowOff>165100</xdr:rowOff>
                  </to>
                </anchor>
              </controlPr>
            </control>
          </mc:Choice>
        </mc:AlternateContent>
        <mc:AlternateContent xmlns:mc="http://schemas.openxmlformats.org/markup-compatibility/2006">
          <mc:Choice Requires="x14">
            <control shapeId="13959" r:id="rId706" name="Button 2695">
              <controlPr defaultSize="0" autoFill="0" autoLine="0" autoPict="0" macro="[0]!Sheet1.deleteRow">
                <anchor moveWithCells="1" sizeWithCells="1">
                  <from>
                    <xdr:col>6</xdr:col>
                    <xdr:colOff>0</xdr:colOff>
                    <xdr:row>1347</xdr:row>
                    <xdr:rowOff>0</xdr:rowOff>
                  </from>
                  <to>
                    <xdr:col>7</xdr:col>
                    <xdr:colOff>0</xdr:colOff>
                    <xdr:row>1347</xdr:row>
                    <xdr:rowOff>165100</xdr:rowOff>
                  </to>
                </anchor>
              </controlPr>
            </control>
          </mc:Choice>
        </mc:AlternateContent>
        <mc:AlternateContent xmlns:mc="http://schemas.openxmlformats.org/markup-compatibility/2006">
          <mc:Choice Requires="x14">
            <control shapeId="13958" r:id="rId707" name="Button 2694">
              <controlPr defaultSize="0" autoFill="0" autoLine="0" autoPict="0" macro="[0]!Sheet1.deleteProcedure">
                <anchor moveWithCells="1" sizeWithCells="1">
                  <from>
                    <xdr:col>6</xdr:col>
                    <xdr:colOff>0</xdr:colOff>
                    <xdr:row>1350</xdr:row>
                    <xdr:rowOff>0</xdr:rowOff>
                  </from>
                  <to>
                    <xdr:col>7</xdr:col>
                    <xdr:colOff>0</xdr:colOff>
                    <xdr:row>1351</xdr:row>
                    <xdr:rowOff>0</xdr:rowOff>
                  </to>
                </anchor>
              </controlPr>
            </control>
          </mc:Choice>
        </mc:AlternateContent>
        <mc:AlternateContent xmlns:mc="http://schemas.openxmlformats.org/markup-compatibility/2006">
          <mc:Choice Requires="x14">
            <control shapeId="13957" r:id="rId708" name="Button 2693">
              <controlPr defaultSize="0" autoFill="0" autoLine="0" autoPict="0" macro="[0]!Sheet1.InsertNewTableRow">
                <anchor moveWithCells="1" sizeWithCells="1">
                  <from>
                    <xdr:col>6</xdr:col>
                    <xdr:colOff>0</xdr:colOff>
                    <xdr:row>1357</xdr:row>
                    <xdr:rowOff>0</xdr:rowOff>
                  </from>
                  <to>
                    <xdr:col>7</xdr:col>
                    <xdr:colOff>0</xdr:colOff>
                    <xdr:row>1357</xdr:row>
                    <xdr:rowOff>171450</xdr:rowOff>
                  </to>
                </anchor>
              </controlPr>
            </control>
          </mc:Choice>
        </mc:AlternateContent>
        <mc:AlternateContent xmlns:mc="http://schemas.openxmlformats.org/markup-compatibility/2006">
          <mc:Choice Requires="x14">
            <control shapeId="13956" r:id="rId709" name="Button 2692">
              <controlPr defaultSize="0" autoFill="0" autoLine="0" autoPict="0" macro="[0]!Sheet1.deleteRow">
                <anchor moveWithCells="1" sizeWithCells="1">
                  <from>
                    <xdr:col>6</xdr:col>
                    <xdr:colOff>0</xdr:colOff>
                    <xdr:row>1358</xdr:row>
                    <xdr:rowOff>0</xdr:rowOff>
                  </from>
                  <to>
                    <xdr:col>7</xdr:col>
                    <xdr:colOff>0</xdr:colOff>
                    <xdr:row>1358</xdr:row>
                    <xdr:rowOff>165100</xdr:rowOff>
                  </to>
                </anchor>
              </controlPr>
            </control>
          </mc:Choice>
        </mc:AlternateContent>
        <mc:AlternateContent xmlns:mc="http://schemas.openxmlformats.org/markup-compatibility/2006">
          <mc:Choice Requires="x14">
            <control shapeId="13955" r:id="rId710" name="Button 2691">
              <controlPr defaultSize="0" autoFill="0" autoLine="0" autoPict="0" macro="[0]!Sheet1.deleteRow">
                <anchor moveWithCells="1" sizeWithCells="1">
                  <from>
                    <xdr:col>6</xdr:col>
                    <xdr:colOff>0</xdr:colOff>
                    <xdr:row>1359</xdr:row>
                    <xdr:rowOff>0</xdr:rowOff>
                  </from>
                  <to>
                    <xdr:col>7</xdr:col>
                    <xdr:colOff>0</xdr:colOff>
                    <xdr:row>1359</xdr:row>
                    <xdr:rowOff>165100</xdr:rowOff>
                  </to>
                </anchor>
              </controlPr>
            </control>
          </mc:Choice>
        </mc:AlternateContent>
        <mc:AlternateContent xmlns:mc="http://schemas.openxmlformats.org/markup-compatibility/2006">
          <mc:Choice Requires="x14">
            <control shapeId="13954" r:id="rId711" name="Button 2690">
              <controlPr defaultSize="0" autoFill="0" autoLine="0" autoPict="0" macro="[0]!Sheet1.deleteRow">
                <anchor moveWithCells="1" sizeWithCells="1">
                  <from>
                    <xdr:col>6</xdr:col>
                    <xdr:colOff>0</xdr:colOff>
                    <xdr:row>1360</xdr:row>
                    <xdr:rowOff>0</xdr:rowOff>
                  </from>
                  <to>
                    <xdr:col>7</xdr:col>
                    <xdr:colOff>0</xdr:colOff>
                    <xdr:row>1360</xdr:row>
                    <xdr:rowOff>165100</xdr:rowOff>
                  </to>
                </anchor>
              </controlPr>
            </control>
          </mc:Choice>
        </mc:AlternateContent>
        <mc:AlternateContent xmlns:mc="http://schemas.openxmlformats.org/markup-compatibility/2006">
          <mc:Choice Requires="x14">
            <control shapeId="13953" r:id="rId712" name="Button 2689">
              <controlPr defaultSize="0" autoFill="0" autoLine="0" autoPict="0" macro="[0]!Sheet1.deleteProcedure">
                <anchor moveWithCells="1" sizeWithCells="1">
                  <from>
                    <xdr:col>6</xdr:col>
                    <xdr:colOff>0</xdr:colOff>
                    <xdr:row>1363</xdr:row>
                    <xdr:rowOff>0</xdr:rowOff>
                  </from>
                  <to>
                    <xdr:col>7</xdr:col>
                    <xdr:colOff>0</xdr:colOff>
                    <xdr:row>1364</xdr:row>
                    <xdr:rowOff>0</xdr:rowOff>
                  </to>
                </anchor>
              </controlPr>
            </control>
          </mc:Choice>
        </mc:AlternateContent>
        <mc:AlternateContent xmlns:mc="http://schemas.openxmlformats.org/markup-compatibility/2006">
          <mc:Choice Requires="x14">
            <control shapeId="13952" r:id="rId713" name="Button 2688">
              <controlPr defaultSize="0" autoFill="0" autoLine="0" autoPict="0" macro="[0]!Sheet1.InsertNewTableRow">
                <anchor moveWithCells="1" sizeWithCells="1">
                  <from>
                    <xdr:col>6</xdr:col>
                    <xdr:colOff>0</xdr:colOff>
                    <xdr:row>1370</xdr:row>
                    <xdr:rowOff>0</xdr:rowOff>
                  </from>
                  <to>
                    <xdr:col>7</xdr:col>
                    <xdr:colOff>0</xdr:colOff>
                    <xdr:row>1370</xdr:row>
                    <xdr:rowOff>171450</xdr:rowOff>
                  </to>
                </anchor>
              </controlPr>
            </control>
          </mc:Choice>
        </mc:AlternateContent>
        <mc:AlternateContent xmlns:mc="http://schemas.openxmlformats.org/markup-compatibility/2006">
          <mc:Choice Requires="x14">
            <control shapeId="13951" r:id="rId714" name="Button 2687">
              <controlPr defaultSize="0" autoFill="0" autoLine="0" autoPict="0" macro="[0]!Sheet1.deleteRow">
                <anchor moveWithCells="1" sizeWithCells="1">
                  <from>
                    <xdr:col>6</xdr:col>
                    <xdr:colOff>0</xdr:colOff>
                    <xdr:row>1371</xdr:row>
                    <xdr:rowOff>0</xdr:rowOff>
                  </from>
                  <to>
                    <xdr:col>7</xdr:col>
                    <xdr:colOff>0</xdr:colOff>
                    <xdr:row>1371</xdr:row>
                    <xdr:rowOff>165100</xdr:rowOff>
                  </to>
                </anchor>
              </controlPr>
            </control>
          </mc:Choice>
        </mc:AlternateContent>
        <mc:AlternateContent xmlns:mc="http://schemas.openxmlformats.org/markup-compatibility/2006">
          <mc:Choice Requires="x14">
            <control shapeId="13950" r:id="rId715" name="Button 2686">
              <controlPr defaultSize="0" autoFill="0" autoLine="0" autoPict="0" macro="[0]!Sheet1.deleteRow">
                <anchor moveWithCells="1" sizeWithCells="1">
                  <from>
                    <xdr:col>6</xdr:col>
                    <xdr:colOff>0</xdr:colOff>
                    <xdr:row>1372</xdr:row>
                    <xdr:rowOff>0</xdr:rowOff>
                  </from>
                  <to>
                    <xdr:col>7</xdr:col>
                    <xdr:colOff>0</xdr:colOff>
                    <xdr:row>1372</xdr:row>
                    <xdr:rowOff>165100</xdr:rowOff>
                  </to>
                </anchor>
              </controlPr>
            </control>
          </mc:Choice>
        </mc:AlternateContent>
        <mc:AlternateContent xmlns:mc="http://schemas.openxmlformats.org/markup-compatibility/2006">
          <mc:Choice Requires="x14">
            <control shapeId="13949" r:id="rId716" name="Button 2685">
              <controlPr defaultSize="0" autoFill="0" autoLine="0" autoPict="0" macro="[0]!Sheet1.deleteRow">
                <anchor moveWithCells="1" sizeWithCells="1">
                  <from>
                    <xdr:col>6</xdr:col>
                    <xdr:colOff>0</xdr:colOff>
                    <xdr:row>1373</xdr:row>
                    <xdr:rowOff>0</xdr:rowOff>
                  </from>
                  <to>
                    <xdr:col>7</xdr:col>
                    <xdr:colOff>0</xdr:colOff>
                    <xdr:row>1373</xdr:row>
                    <xdr:rowOff>165100</xdr:rowOff>
                  </to>
                </anchor>
              </controlPr>
            </control>
          </mc:Choice>
        </mc:AlternateContent>
        <mc:AlternateContent xmlns:mc="http://schemas.openxmlformats.org/markup-compatibility/2006">
          <mc:Choice Requires="x14">
            <control shapeId="13948" r:id="rId717" name="Button 2684">
              <controlPr defaultSize="0" autoFill="0" autoLine="0" autoPict="0" macro="[0]!Sheet1.deleteRow">
                <anchor moveWithCells="1" sizeWithCells="1">
                  <from>
                    <xdr:col>6</xdr:col>
                    <xdr:colOff>0</xdr:colOff>
                    <xdr:row>1374</xdr:row>
                    <xdr:rowOff>0</xdr:rowOff>
                  </from>
                  <to>
                    <xdr:col>7</xdr:col>
                    <xdr:colOff>0</xdr:colOff>
                    <xdr:row>1374</xdr:row>
                    <xdr:rowOff>165100</xdr:rowOff>
                  </to>
                </anchor>
              </controlPr>
            </control>
          </mc:Choice>
        </mc:AlternateContent>
        <mc:AlternateContent xmlns:mc="http://schemas.openxmlformats.org/markup-compatibility/2006">
          <mc:Choice Requires="x14">
            <control shapeId="13947" r:id="rId718" name="Button 2683">
              <controlPr defaultSize="0" autoFill="0" autoLine="0" autoPict="0" macro="[0]!Sheet1.deleteRow">
                <anchor moveWithCells="1" sizeWithCells="1">
                  <from>
                    <xdr:col>6</xdr:col>
                    <xdr:colOff>0</xdr:colOff>
                    <xdr:row>1375</xdr:row>
                    <xdr:rowOff>0</xdr:rowOff>
                  </from>
                  <to>
                    <xdr:col>7</xdr:col>
                    <xdr:colOff>0</xdr:colOff>
                    <xdr:row>1375</xdr:row>
                    <xdr:rowOff>165100</xdr:rowOff>
                  </to>
                </anchor>
              </controlPr>
            </control>
          </mc:Choice>
        </mc:AlternateContent>
        <mc:AlternateContent xmlns:mc="http://schemas.openxmlformats.org/markup-compatibility/2006">
          <mc:Choice Requires="x14">
            <control shapeId="13946" r:id="rId719" name="Button 2682">
              <controlPr defaultSize="0" autoFill="0" autoLine="0" autoPict="0" macro="[0]!Sheet1.deleteProcedure">
                <anchor moveWithCells="1" sizeWithCells="1">
                  <from>
                    <xdr:col>6</xdr:col>
                    <xdr:colOff>0</xdr:colOff>
                    <xdr:row>1378</xdr:row>
                    <xdr:rowOff>0</xdr:rowOff>
                  </from>
                  <to>
                    <xdr:col>7</xdr:col>
                    <xdr:colOff>0</xdr:colOff>
                    <xdr:row>1379</xdr:row>
                    <xdr:rowOff>0</xdr:rowOff>
                  </to>
                </anchor>
              </controlPr>
            </control>
          </mc:Choice>
        </mc:AlternateContent>
        <mc:AlternateContent xmlns:mc="http://schemas.openxmlformats.org/markup-compatibility/2006">
          <mc:Choice Requires="x14">
            <control shapeId="13945" r:id="rId720" name="Button 2681">
              <controlPr defaultSize="0" autoFill="0" autoLine="0" autoPict="0" macro="[0]!Sheet1.InsertNewTableRow">
                <anchor moveWithCells="1" sizeWithCells="1">
                  <from>
                    <xdr:col>6</xdr:col>
                    <xdr:colOff>0</xdr:colOff>
                    <xdr:row>1385</xdr:row>
                    <xdr:rowOff>0</xdr:rowOff>
                  </from>
                  <to>
                    <xdr:col>7</xdr:col>
                    <xdr:colOff>0</xdr:colOff>
                    <xdr:row>1385</xdr:row>
                    <xdr:rowOff>171450</xdr:rowOff>
                  </to>
                </anchor>
              </controlPr>
            </control>
          </mc:Choice>
        </mc:AlternateContent>
        <mc:AlternateContent xmlns:mc="http://schemas.openxmlformats.org/markup-compatibility/2006">
          <mc:Choice Requires="x14">
            <control shapeId="13944" r:id="rId721" name="Button 2680">
              <controlPr defaultSize="0" autoFill="0" autoLine="0" autoPict="0" macro="[0]!Sheet1.deleteRow">
                <anchor moveWithCells="1" sizeWithCells="1">
                  <from>
                    <xdr:col>6</xdr:col>
                    <xdr:colOff>0</xdr:colOff>
                    <xdr:row>1386</xdr:row>
                    <xdr:rowOff>0</xdr:rowOff>
                  </from>
                  <to>
                    <xdr:col>7</xdr:col>
                    <xdr:colOff>0</xdr:colOff>
                    <xdr:row>1386</xdr:row>
                    <xdr:rowOff>165100</xdr:rowOff>
                  </to>
                </anchor>
              </controlPr>
            </control>
          </mc:Choice>
        </mc:AlternateContent>
        <mc:AlternateContent xmlns:mc="http://schemas.openxmlformats.org/markup-compatibility/2006">
          <mc:Choice Requires="x14">
            <control shapeId="13943" r:id="rId722" name="Button 2679">
              <controlPr defaultSize="0" autoFill="0" autoLine="0" autoPict="0" macro="[0]!Sheet1.deleteRow">
                <anchor moveWithCells="1" sizeWithCells="1">
                  <from>
                    <xdr:col>6</xdr:col>
                    <xdr:colOff>0</xdr:colOff>
                    <xdr:row>1387</xdr:row>
                    <xdr:rowOff>0</xdr:rowOff>
                  </from>
                  <to>
                    <xdr:col>7</xdr:col>
                    <xdr:colOff>0</xdr:colOff>
                    <xdr:row>1387</xdr:row>
                    <xdr:rowOff>165100</xdr:rowOff>
                  </to>
                </anchor>
              </controlPr>
            </control>
          </mc:Choice>
        </mc:AlternateContent>
        <mc:AlternateContent xmlns:mc="http://schemas.openxmlformats.org/markup-compatibility/2006">
          <mc:Choice Requires="x14">
            <control shapeId="13942" r:id="rId723" name="Button 2678">
              <controlPr defaultSize="0" autoFill="0" autoLine="0" autoPict="0" macro="[0]!Sheet1.deleteProcedure">
                <anchor moveWithCells="1" sizeWithCells="1">
                  <from>
                    <xdr:col>6</xdr:col>
                    <xdr:colOff>0</xdr:colOff>
                    <xdr:row>1390</xdr:row>
                    <xdr:rowOff>0</xdr:rowOff>
                  </from>
                  <to>
                    <xdr:col>7</xdr:col>
                    <xdr:colOff>0</xdr:colOff>
                    <xdr:row>1391</xdr:row>
                    <xdr:rowOff>0</xdr:rowOff>
                  </to>
                </anchor>
              </controlPr>
            </control>
          </mc:Choice>
        </mc:AlternateContent>
        <mc:AlternateContent xmlns:mc="http://schemas.openxmlformats.org/markup-compatibility/2006">
          <mc:Choice Requires="x14">
            <control shapeId="13941" r:id="rId724" name="Button 2677">
              <controlPr defaultSize="0" autoFill="0" autoLine="0" autoPict="0" macro="[0]!Sheet1.InsertNewTableRow">
                <anchor moveWithCells="1" sizeWithCells="1">
                  <from>
                    <xdr:col>6</xdr:col>
                    <xdr:colOff>0</xdr:colOff>
                    <xdr:row>1397</xdr:row>
                    <xdr:rowOff>0</xdr:rowOff>
                  </from>
                  <to>
                    <xdr:col>7</xdr:col>
                    <xdr:colOff>0</xdr:colOff>
                    <xdr:row>1397</xdr:row>
                    <xdr:rowOff>171450</xdr:rowOff>
                  </to>
                </anchor>
              </controlPr>
            </control>
          </mc:Choice>
        </mc:AlternateContent>
        <mc:AlternateContent xmlns:mc="http://schemas.openxmlformats.org/markup-compatibility/2006">
          <mc:Choice Requires="x14">
            <control shapeId="13940" r:id="rId725" name="Button 2676">
              <controlPr defaultSize="0" autoFill="0" autoLine="0" autoPict="0" macro="[0]!Sheet1.deleteRow">
                <anchor moveWithCells="1" sizeWithCells="1">
                  <from>
                    <xdr:col>6</xdr:col>
                    <xdr:colOff>0</xdr:colOff>
                    <xdr:row>1398</xdr:row>
                    <xdr:rowOff>0</xdr:rowOff>
                  </from>
                  <to>
                    <xdr:col>7</xdr:col>
                    <xdr:colOff>0</xdr:colOff>
                    <xdr:row>1398</xdr:row>
                    <xdr:rowOff>165100</xdr:rowOff>
                  </to>
                </anchor>
              </controlPr>
            </control>
          </mc:Choice>
        </mc:AlternateContent>
        <mc:AlternateContent xmlns:mc="http://schemas.openxmlformats.org/markup-compatibility/2006">
          <mc:Choice Requires="x14">
            <control shapeId="13939" r:id="rId726" name="Button 2675">
              <controlPr defaultSize="0" autoFill="0" autoLine="0" autoPict="0" macro="[0]!Sheet1.deleteProcedure">
                <anchor moveWithCells="1" sizeWithCells="1">
                  <from>
                    <xdr:col>6</xdr:col>
                    <xdr:colOff>0</xdr:colOff>
                    <xdr:row>1401</xdr:row>
                    <xdr:rowOff>0</xdr:rowOff>
                  </from>
                  <to>
                    <xdr:col>7</xdr:col>
                    <xdr:colOff>0</xdr:colOff>
                    <xdr:row>1402</xdr:row>
                    <xdr:rowOff>0</xdr:rowOff>
                  </to>
                </anchor>
              </controlPr>
            </control>
          </mc:Choice>
        </mc:AlternateContent>
        <mc:AlternateContent xmlns:mc="http://schemas.openxmlformats.org/markup-compatibility/2006">
          <mc:Choice Requires="x14">
            <control shapeId="13938" r:id="rId727" name="Button 2674">
              <controlPr defaultSize="0" autoFill="0" autoLine="0" autoPict="0" macro="[0]!Sheet1.InsertNewTableRow">
                <anchor moveWithCells="1" sizeWithCells="1">
                  <from>
                    <xdr:col>6</xdr:col>
                    <xdr:colOff>0</xdr:colOff>
                    <xdr:row>1408</xdr:row>
                    <xdr:rowOff>0</xdr:rowOff>
                  </from>
                  <to>
                    <xdr:col>7</xdr:col>
                    <xdr:colOff>0</xdr:colOff>
                    <xdr:row>1408</xdr:row>
                    <xdr:rowOff>171450</xdr:rowOff>
                  </to>
                </anchor>
              </controlPr>
            </control>
          </mc:Choice>
        </mc:AlternateContent>
        <mc:AlternateContent xmlns:mc="http://schemas.openxmlformats.org/markup-compatibility/2006">
          <mc:Choice Requires="x14">
            <control shapeId="13937" r:id="rId728" name="Button 2673">
              <controlPr defaultSize="0" autoFill="0" autoLine="0" autoPict="0" macro="[0]!Sheet1.deleteRow">
                <anchor moveWithCells="1" sizeWithCells="1">
                  <from>
                    <xdr:col>6</xdr:col>
                    <xdr:colOff>0</xdr:colOff>
                    <xdr:row>1409</xdr:row>
                    <xdr:rowOff>0</xdr:rowOff>
                  </from>
                  <to>
                    <xdr:col>7</xdr:col>
                    <xdr:colOff>0</xdr:colOff>
                    <xdr:row>1409</xdr:row>
                    <xdr:rowOff>165100</xdr:rowOff>
                  </to>
                </anchor>
              </controlPr>
            </control>
          </mc:Choice>
        </mc:AlternateContent>
        <mc:AlternateContent xmlns:mc="http://schemas.openxmlformats.org/markup-compatibility/2006">
          <mc:Choice Requires="x14">
            <control shapeId="13936" r:id="rId729" name="Button 2672">
              <controlPr defaultSize="0" autoFill="0" autoLine="0" autoPict="0" macro="[0]!Sheet1.deleteRow">
                <anchor moveWithCells="1" sizeWithCells="1">
                  <from>
                    <xdr:col>6</xdr:col>
                    <xdr:colOff>0</xdr:colOff>
                    <xdr:row>1410</xdr:row>
                    <xdr:rowOff>0</xdr:rowOff>
                  </from>
                  <to>
                    <xdr:col>7</xdr:col>
                    <xdr:colOff>0</xdr:colOff>
                    <xdr:row>1410</xdr:row>
                    <xdr:rowOff>165100</xdr:rowOff>
                  </to>
                </anchor>
              </controlPr>
            </control>
          </mc:Choice>
        </mc:AlternateContent>
        <mc:AlternateContent xmlns:mc="http://schemas.openxmlformats.org/markup-compatibility/2006">
          <mc:Choice Requires="x14">
            <control shapeId="13935" r:id="rId730" name="Button 2671">
              <controlPr defaultSize="0" autoFill="0" autoLine="0" autoPict="0" macro="[0]!Sheet1.deleteRow">
                <anchor moveWithCells="1" sizeWithCells="1">
                  <from>
                    <xdr:col>6</xdr:col>
                    <xdr:colOff>0</xdr:colOff>
                    <xdr:row>1411</xdr:row>
                    <xdr:rowOff>0</xdr:rowOff>
                  </from>
                  <to>
                    <xdr:col>7</xdr:col>
                    <xdr:colOff>0</xdr:colOff>
                    <xdr:row>1411</xdr:row>
                    <xdr:rowOff>165100</xdr:rowOff>
                  </to>
                </anchor>
              </controlPr>
            </control>
          </mc:Choice>
        </mc:AlternateContent>
        <mc:AlternateContent xmlns:mc="http://schemas.openxmlformats.org/markup-compatibility/2006">
          <mc:Choice Requires="x14">
            <control shapeId="13934" r:id="rId731" name="Button 2670">
              <controlPr defaultSize="0" autoFill="0" autoLine="0" autoPict="0" macro="[0]!Sheet1.deleteRow">
                <anchor moveWithCells="1" sizeWithCells="1">
                  <from>
                    <xdr:col>6</xdr:col>
                    <xdr:colOff>0</xdr:colOff>
                    <xdr:row>1412</xdr:row>
                    <xdr:rowOff>0</xdr:rowOff>
                  </from>
                  <to>
                    <xdr:col>7</xdr:col>
                    <xdr:colOff>0</xdr:colOff>
                    <xdr:row>1412</xdr:row>
                    <xdr:rowOff>165100</xdr:rowOff>
                  </to>
                </anchor>
              </controlPr>
            </control>
          </mc:Choice>
        </mc:AlternateContent>
        <mc:AlternateContent xmlns:mc="http://schemas.openxmlformats.org/markup-compatibility/2006">
          <mc:Choice Requires="x14">
            <control shapeId="13933" r:id="rId732" name="Button 2669">
              <controlPr defaultSize="0" autoFill="0" autoLine="0" autoPict="0" macro="[0]!Sheet1.deleteRow">
                <anchor moveWithCells="1" sizeWithCells="1">
                  <from>
                    <xdr:col>6</xdr:col>
                    <xdr:colOff>0</xdr:colOff>
                    <xdr:row>1413</xdr:row>
                    <xdr:rowOff>0</xdr:rowOff>
                  </from>
                  <to>
                    <xdr:col>7</xdr:col>
                    <xdr:colOff>0</xdr:colOff>
                    <xdr:row>1413</xdr:row>
                    <xdr:rowOff>165100</xdr:rowOff>
                  </to>
                </anchor>
              </controlPr>
            </control>
          </mc:Choice>
        </mc:AlternateContent>
        <mc:AlternateContent xmlns:mc="http://schemas.openxmlformats.org/markup-compatibility/2006">
          <mc:Choice Requires="x14">
            <control shapeId="13932" r:id="rId733" name="Button 2668">
              <controlPr defaultSize="0" autoFill="0" autoLine="0" autoPict="0" macro="[0]!Sheet1.deleteRow">
                <anchor moveWithCells="1" sizeWithCells="1">
                  <from>
                    <xdr:col>6</xdr:col>
                    <xdr:colOff>0</xdr:colOff>
                    <xdr:row>1414</xdr:row>
                    <xdr:rowOff>0</xdr:rowOff>
                  </from>
                  <to>
                    <xdr:col>7</xdr:col>
                    <xdr:colOff>0</xdr:colOff>
                    <xdr:row>1414</xdr:row>
                    <xdr:rowOff>165100</xdr:rowOff>
                  </to>
                </anchor>
              </controlPr>
            </control>
          </mc:Choice>
        </mc:AlternateContent>
        <mc:AlternateContent xmlns:mc="http://schemas.openxmlformats.org/markup-compatibility/2006">
          <mc:Choice Requires="x14">
            <control shapeId="13931" r:id="rId734" name="Button 2667">
              <controlPr defaultSize="0" autoFill="0" autoLine="0" autoPict="0" macro="[0]!Sheet1.deleteRow">
                <anchor moveWithCells="1" sizeWithCells="1">
                  <from>
                    <xdr:col>6</xdr:col>
                    <xdr:colOff>0</xdr:colOff>
                    <xdr:row>1415</xdr:row>
                    <xdr:rowOff>0</xdr:rowOff>
                  </from>
                  <to>
                    <xdr:col>7</xdr:col>
                    <xdr:colOff>0</xdr:colOff>
                    <xdr:row>1415</xdr:row>
                    <xdr:rowOff>165100</xdr:rowOff>
                  </to>
                </anchor>
              </controlPr>
            </control>
          </mc:Choice>
        </mc:AlternateContent>
        <mc:AlternateContent xmlns:mc="http://schemas.openxmlformats.org/markup-compatibility/2006">
          <mc:Choice Requires="x14">
            <control shapeId="13930" r:id="rId735" name="Button 2666">
              <controlPr defaultSize="0" autoFill="0" autoLine="0" autoPict="0" macro="[0]!Sheet1.deleteRow">
                <anchor moveWithCells="1" sizeWithCells="1">
                  <from>
                    <xdr:col>6</xdr:col>
                    <xdr:colOff>0</xdr:colOff>
                    <xdr:row>1416</xdr:row>
                    <xdr:rowOff>0</xdr:rowOff>
                  </from>
                  <to>
                    <xdr:col>7</xdr:col>
                    <xdr:colOff>0</xdr:colOff>
                    <xdr:row>1416</xdr:row>
                    <xdr:rowOff>165100</xdr:rowOff>
                  </to>
                </anchor>
              </controlPr>
            </control>
          </mc:Choice>
        </mc:AlternateContent>
        <mc:AlternateContent xmlns:mc="http://schemas.openxmlformats.org/markup-compatibility/2006">
          <mc:Choice Requires="x14">
            <control shapeId="13929" r:id="rId736" name="Button 2665">
              <controlPr defaultSize="0" autoFill="0" autoLine="0" autoPict="0" macro="[0]!Sheet1.deleteRow">
                <anchor moveWithCells="1" sizeWithCells="1">
                  <from>
                    <xdr:col>6</xdr:col>
                    <xdr:colOff>0</xdr:colOff>
                    <xdr:row>1417</xdr:row>
                    <xdr:rowOff>0</xdr:rowOff>
                  </from>
                  <to>
                    <xdr:col>7</xdr:col>
                    <xdr:colOff>0</xdr:colOff>
                    <xdr:row>1417</xdr:row>
                    <xdr:rowOff>165100</xdr:rowOff>
                  </to>
                </anchor>
              </controlPr>
            </control>
          </mc:Choice>
        </mc:AlternateContent>
        <mc:AlternateContent xmlns:mc="http://schemas.openxmlformats.org/markup-compatibility/2006">
          <mc:Choice Requires="x14">
            <control shapeId="13928" r:id="rId737" name="Button 2664">
              <controlPr defaultSize="0" autoFill="0" autoLine="0" autoPict="0" macro="[0]!Sheet1.deleteRow">
                <anchor moveWithCells="1" sizeWithCells="1">
                  <from>
                    <xdr:col>6</xdr:col>
                    <xdr:colOff>0</xdr:colOff>
                    <xdr:row>1418</xdr:row>
                    <xdr:rowOff>0</xdr:rowOff>
                  </from>
                  <to>
                    <xdr:col>7</xdr:col>
                    <xdr:colOff>0</xdr:colOff>
                    <xdr:row>1418</xdr:row>
                    <xdr:rowOff>165100</xdr:rowOff>
                  </to>
                </anchor>
              </controlPr>
            </control>
          </mc:Choice>
        </mc:AlternateContent>
        <mc:AlternateContent xmlns:mc="http://schemas.openxmlformats.org/markup-compatibility/2006">
          <mc:Choice Requires="x14">
            <control shapeId="13927" r:id="rId738" name="Button 2663">
              <controlPr defaultSize="0" autoFill="0" autoLine="0" autoPict="0" macro="[0]!Sheet1.deleteRow">
                <anchor moveWithCells="1" sizeWithCells="1">
                  <from>
                    <xdr:col>6</xdr:col>
                    <xdr:colOff>0</xdr:colOff>
                    <xdr:row>1419</xdr:row>
                    <xdr:rowOff>0</xdr:rowOff>
                  </from>
                  <to>
                    <xdr:col>7</xdr:col>
                    <xdr:colOff>0</xdr:colOff>
                    <xdr:row>1419</xdr:row>
                    <xdr:rowOff>165100</xdr:rowOff>
                  </to>
                </anchor>
              </controlPr>
            </control>
          </mc:Choice>
        </mc:AlternateContent>
        <mc:AlternateContent xmlns:mc="http://schemas.openxmlformats.org/markup-compatibility/2006">
          <mc:Choice Requires="x14">
            <control shapeId="13926" r:id="rId739" name="Button 2662">
              <controlPr defaultSize="0" autoFill="0" autoLine="0" autoPict="0" macro="[0]!Sheet1.deleteRow">
                <anchor moveWithCells="1" sizeWithCells="1">
                  <from>
                    <xdr:col>6</xdr:col>
                    <xdr:colOff>0</xdr:colOff>
                    <xdr:row>1420</xdr:row>
                    <xdr:rowOff>0</xdr:rowOff>
                  </from>
                  <to>
                    <xdr:col>7</xdr:col>
                    <xdr:colOff>0</xdr:colOff>
                    <xdr:row>1420</xdr:row>
                    <xdr:rowOff>165100</xdr:rowOff>
                  </to>
                </anchor>
              </controlPr>
            </control>
          </mc:Choice>
        </mc:AlternateContent>
        <mc:AlternateContent xmlns:mc="http://schemas.openxmlformats.org/markup-compatibility/2006">
          <mc:Choice Requires="x14">
            <control shapeId="13925" r:id="rId740" name="Button 2661">
              <controlPr defaultSize="0" autoFill="0" autoLine="0" autoPict="0" macro="[0]!Sheet1.deleteRow">
                <anchor moveWithCells="1" sizeWithCells="1">
                  <from>
                    <xdr:col>6</xdr:col>
                    <xdr:colOff>0</xdr:colOff>
                    <xdr:row>1421</xdr:row>
                    <xdr:rowOff>0</xdr:rowOff>
                  </from>
                  <to>
                    <xdr:col>7</xdr:col>
                    <xdr:colOff>0</xdr:colOff>
                    <xdr:row>1421</xdr:row>
                    <xdr:rowOff>165100</xdr:rowOff>
                  </to>
                </anchor>
              </controlPr>
            </control>
          </mc:Choice>
        </mc:AlternateContent>
        <mc:AlternateContent xmlns:mc="http://schemas.openxmlformats.org/markup-compatibility/2006">
          <mc:Choice Requires="x14">
            <control shapeId="13924" r:id="rId741" name="Button 2660">
              <controlPr defaultSize="0" autoFill="0" autoLine="0" autoPict="0" macro="[0]!Sheet1.deleteRow">
                <anchor moveWithCells="1" sizeWithCells="1">
                  <from>
                    <xdr:col>6</xdr:col>
                    <xdr:colOff>0</xdr:colOff>
                    <xdr:row>1422</xdr:row>
                    <xdr:rowOff>0</xdr:rowOff>
                  </from>
                  <to>
                    <xdr:col>7</xdr:col>
                    <xdr:colOff>0</xdr:colOff>
                    <xdr:row>1422</xdr:row>
                    <xdr:rowOff>165100</xdr:rowOff>
                  </to>
                </anchor>
              </controlPr>
            </control>
          </mc:Choice>
        </mc:AlternateContent>
        <mc:AlternateContent xmlns:mc="http://schemas.openxmlformats.org/markup-compatibility/2006">
          <mc:Choice Requires="x14">
            <control shapeId="13923" r:id="rId742" name="Button 2659">
              <controlPr defaultSize="0" autoFill="0" autoLine="0" autoPict="0" macro="[0]!Sheet1.deleteRow">
                <anchor moveWithCells="1" sizeWithCells="1">
                  <from>
                    <xdr:col>6</xdr:col>
                    <xdr:colOff>0</xdr:colOff>
                    <xdr:row>1423</xdr:row>
                    <xdr:rowOff>0</xdr:rowOff>
                  </from>
                  <to>
                    <xdr:col>7</xdr:col>
                    <xdr:colOff>0</xdr:colOff>
                    <xdr:row>1423</xdr:row>
                    <xdr:rowOff>165100</xdr:rowOff>
                  </to>
                </anchor>
              </controlPr>
            </control>
          </mc:Choice>
        </mc:AlternateContent>
        <mc:AlternateContent xmlns:mc="http://schemas.openxmlformats.org/markup-compatibility/2006">
          <mc:Choice Requires="x14">
            <control shapeId="13922" r:id="rId743" name="Button 2658">
              <controlPr defaultSize="0" autoFill="0" autoLine="0" autoPict="0" macro="[0]!Sheet1.deleteRow">
                <anchor moveWithCells="1" sizeWithCells="1">
                  <from>
                    <xdr:col>6</xdr:col>
                    <xdr:colOff>0</xdr:colOff>
                    <xdr:row>1424</xdr:row>
                    <xdr:rowOff>0</xdr:rowOff>
                  </from>
                  <to>
                    <xdr:col>7</xdr:col>
                    <xdr:colOff>0</xdr:colOff>
                    <xdr:row>1424</xdr:row>
                    <xdr:rowOff>165100</xdr:rowOff>
                  </to>
                </anchor>
              </controlPr>
            </control>
          </mc:Choice>
        </mc:AlternateContent>
        <mc:AlternateContent xmlns:mc="http://schemas.openxmlformats.org/markup-compatibility/2006">
          <mc:Choice Requires="x14">
            <control shapeId="13921" r:id="rId744" name="Button 2657">
              <controlPr defaultSize="0" autoFill="0" autoLine="0" autoPict="0" macro="[0]!Sheet1.deleteProcedure">
                <anchor moveWithCells="1" sizeWithCells="1">
                  <from>
                    <xdr:col>6</xdr:col>
                    <xdr:colOff>0</xdr:colOff>
                    <xdr:row>1427</xdr:row>
                    <xdr:rowOff>0</xdr:rowOff>
                  </from>
                  <to>
                    <xdr:col>7</xdr:col>
                    <xdr:colOff>0</xdr:colOff>
                    <xdr:row>1428</xdr:row>
                    <xdr:rowOff>0</xdr:rowOff>
                  </to>
                </anchor>
              </controlPr>
            </control>
          </mc:Choice>
        </mc:AlternateContent>
        <mc:AlternateContent xmlns:mc="http://schemas.openxmlformats.org/markup-compatibility/2006">
          <mc:Choice Requires="x14">
            <control shapeId="13920" r:id="rId745" name="Button 2656">
              <controlPr defaultSize="0" autoFill="0" autoLine="0" autoPict="0" macro="[0]!Sheet1.InsertNewTableRow">
                <anchor moveWithCells="1" sizeWithCells="1">
                  <from>
                    <xdr:col>6</xdr:col>
                    <xdr:colOff>0</xdr:colOff>
                    <xdr:row>1434</xdr:row>
                    <xdr:rowOff>0</xdr:rowOff>
                  </from>
                  <to>
                    <xdr:col>7</xdr:col>
                    <xdr:colOff>0</xdr:colOff>
                    <xdr:row>1434</xdr:row>
                    <xdr:rowOff>171450</xdr:rowOff>
                  </to>
                </anchor>
              </controlPr>
            </control>
          </mc:Choice>
        </mc:AlternateContent>
        <mc:AlternateContent xmlns:mc="http://schemas.openxmlformats.org/markup-compatibility/2006">
          <mc:Choice Requires="x14">
            <control shapeId="13919" r:id="rId746" name="Button 2655">
              <controlPr defaultSize="0" autoFill="0" autoLine="0" autoPict="0" macro="[0]!Sheet1.deleteRow">
                <anchor moveWithCells="1" sizeWithCells="1">
                  <from>
                    <xdr:col>6</xdr:col>
                    <xdr:colOff>0</xdr:colOff>
                    <xdr:row>1435</xdr:row>
                    <xdr:rowOff>0</xdr:rowOff>
                  </from>
                  <to>
                    <xdr:col>7</xdr:col>
                    <xdr:colOff>0</xdr:colOff>
                    <xdr:row>1435</xdr:row>
                    <xdr:rowOff>165100</xdr:rowOff>
                  </to>
                </anchor>
              </controlPr>
            </control>
          </mc:Choice>
        </mc:AlternateContent>
        <mc:AlternateContent xmlns:mc="http://schemas.openxmlformats.org/markup-compatibility/2006">
          <mc:Choice Requires="x14">
            <control shapeId="13918" r:id="rId747" name="Button 2654">
              <controlPr defaultSize="0" autoFill="0" autoLine="0" autoPict="0" macro="[0]!Sheet1.deleteRow">
                <anchor moveWithCells="1" sizeWithCells="1">
                  <from>
                    <xdr:col>6</xdr:col>
                    <xdr:colOff>0</xdr:colOff>
                    <xdr:row>1436</xdr:row>
                    <xdr:rowOff>0</xdr:rowOff>
                  </from>
                  <to>
                    <xdr:col>7</xdr:col>
                    <xdr:colOff>0</xdr:colOff>
                    <xdr:row>1436</xdr:row>
                    <xdr:rowOff>165100</xdr:rowOff>
                  </to>
                </anchor>
              </controlPr>
            </control>
          </mc:Choice>
        </mc:AlternateContent>
        <mc:AlternateContent xmlns:mc="http://schemas.openxmlformats.org/markup-compatibility/2006">
          <mc:Choice Requires="x14">
            <control shapeId="13917" r:id="rId748" name="Button 2653">
              <controlPr defaultSize="0" autoFill="0" autoLine="0" autoPict="0" macro="[0]!Sheet1.deleteRow">
                <anchor moveWithCells="1" sizeWithCells="1">
                  <from>
                    <xdr:col>6</xdr:col>
                    <xdr:colOff>0</xdr:colOff>
                    <xdr:row>1437</xdr:row>
                    <xdr:rowOff>0</xdr:rowOff>
                  </from>
                  <to>
                    <xdr:col>7</xdr:col>
                    <xdr:colOff>0</xdr:colOff>
                    <xdr:row>1437</xdr:row>
                    <xdr:rowOff>165100</xdr:rowOff>
                  </to>
                </anchor>
              </controlPr>
            </control>
          </mc:Choice>
        </mc:AlternateContent>
        <mc:AlternateContent xmlns:mc="http://schemas.openxmlformats.org/markup-compatibility/2006">
          <mc:Choice Requires="x14">
            <control shapeId="13916" r:id="rId749" name="Button 2652">
              <controlPr defaultSize="0" autoFill="0" autoLine="0" autoPict="0" macro="[0]!Sheet1.deleteRow">
                <anchor moveWithCells="1" sizeWithCells="1">
                  <from>
                    <xdr:col>6</xdr:col>
                    <xdr:colOff>0</xdr:colOff>
                    <xdr:row>1438</xdr:row>
                    <xdr:rowOff>0</xdr:rowOff>
                  </from>
                  <to>
                    <xdr:col>7</xdr:col>
                    <xdr:colOff>0</xdr:colOff>
                    <xdr:row>1438</xdr:row>
                    <xdr:rowOff>165100</xdr:rowOff>
                  </to>
                </anchor>
              </controlPr>
            </control>
          </mc:Choice>
        </mc:AlternateContent>
        <mc:AlternateContent xmlns:mc="http://schemas.openxmlformats.org/markup-compatibility/2006">
          <mc:Choice Requires="x14">
            <control shapeId="13915" r:id="rId750" name="Button 2651">
              <controlPr defaultSize="0" autoFill="0" autoLine="0" autoPict="0" macro="[0]!Sheet1.deleteRow">
                <anchor moveWithCells="1" sizeWithCells="1">
                  <from>
                    <xdr:col>6</xdr:col>
                    <xdr:colOff>0</xdr:colOff>
                    <xdr:row>1439</xdr:row>
                    <xdr:rowOff>0</xdr:rowOff>
                  </from>
                  <to>
                    <xdr:col>7</xdr:col>
                    <xdr:colOff>0</xdr:colOff>
                    <xdr:row>1439</xdr:row>
                    <xdr:rowOff>165100</xdr:rowOff>
                  </to>
                </anchor>
              </controlPr>
            </control>
          </mc:Choice>
        </mc:AlternateContent>
        <mc:AlternateContent xmlns:mc="http://schemas.openxmlformats.org/markup-compatibility/2006">
          <mc:Choice Requires="x14">
            <control shapeId="13914" r:id="rId751" name="Button 2650">
              <controlPr defaultSize="0" autoFill="0" autoLine="0" autoPict="0" macro="[0]!Sheet1.deleteRow">
                <anchor moveWithCells="1" sizeWithCells="1">
                  <from>
                    <xdr:col>6</xdr:col>
                    <xdr:colOff>0</xdr:colOff>
                    <xdr:row>1440</xdr:row>
                    <xdr:rowOff>0</xdr:rowOff>
                  </from>
                  <to>
                    <xdr:col>7</xdr:col>
                    <xdr:colOff>0</xdr:colOff>
                    <xdr:row>1440</xdr:row>
                    <xdr:rowOff>165100</xdr:rowOff>
                  </to>
                </anchor>
              </controlPr>
            </control>
          </mc:Choice>
        </mc:AlternateContent>
        <mc:AlternateContent xmlns:mc="http://schemas.openxmlformats.org/markup-compatibility/2006">
          <mc:Choice Requires="x14">
            <control shapeId="13913" r:id="rId752" name="Button 2649">
              <controlPr defaultSize="0" autoFill="0" autoLine="0" autoPict="0" macro="[0]!Sheet1.deleteRow">
                <anchor moveWithCells="1" sizeWithCells="1">
                  <from>
                    <xdr:col>6</xdr:col>
                    <xdr:colOff>0</xdr:colOff>
                    <xdr:row>1441</xdr:row>
                    <xdr:rowOff>0</xdr:rowOff>
                  </from>
                  <to>
                    <xdr:col>7</xdr:col>
                    <xdr:colOff>0</xdr:colOff>
                    <xdr:row>1441</xdr:row>
                    <xdr:rowOff>165100</xdr:rowOff>
                  </to>
                </anchor>
              </controlPr>
            </control>
          </mc:Choice>
        </mc:AlternateContent>
        <mc:AlternateContent xmlns:mc="http://schemas.openxmlformats.org/markup-compatibility/2006">
          <mc:Choice Requires="x14">
            <control shapeId="13912" r:id="rId753" name="Button 2648">
              <controlPr defaultSize="0" autoFill="0" autoLine="0" autoPict="0" macro="[0]!Sheet1.deleteRow">
                <anchor moveWithCells="1" sizeWithCells="1">
                  <from>
                    <xdr:col>6</xdr:col>
                    <xdr:colOff>0</xdr:colOff>
                    <xdr:row>1442</xdr:row>
                    <xdr:rowOff>0</xdr:rowOff>
                  </from>
                  <to>
                    <xdr:col>7</xdr:col>
                    <xdr:colOff>0</xdr:colOff>
                    <xdr:row>1442</xdr:row>
                    <xdr:rowOff>165100</xdr:rowOff>
                  </to>
                </anchor>
              </controlPr>
            </control>
          </mc:Choice>
        </mc:AlternateContent>
        <mc:AlternateContent xmlns:mc="http://schemas.openxmlformats.org/markup-compatibility/2006">
          <mc:Choice Requires="x14">
            <control shapeId="13911" r:id="rId754" name="Button 2647">
              <controlPr defaultSize="0" autoFill="0" autoLine="0" autoPict="0" macro="[0]!Sheet1.deleteRow">
                <anchor moveWithCells="1" sizeWithCells="1">
                  <from>
                    <xdr:col>6</xdr:col>
                    <xdr:colOff>0</xdr:colOff>
                    <xdr:row>1443</xdr:row>
                    <xdr:rowOff>0</xdr:rowOff>
                  </from>
                  <to>
                    <xdr:col>7</xdr:col>
                    <xdr:colOff>0</xdr:colOff>
                    <xdr:row>1443</xdr:row>
                    <xdr:rowOff>165100</xdr:rowOff>
                  </to>
                </anchor>
              </controlPr>
            </control>
          </mc:Choice>
        </mc:AlternateContent>
        <mc:AlternateContent xmlns:mc="http://schemas.openxmlformats.org/markup-compatibility/2006">
          <mc:Choice Requires="x14">
            <control shapeId="13910" r:id="rId755" name="Button 2646">
              <controlPr defaultSize="0" autoFill="0" autoLine="0" autoPict="0" macro="[0]!Sheet1.deleteRow">
                <anchor moveWithCells="1" sizeWithCells="1">
                  <from>
                    <xdr:col>6</xdr:col>
                    <xdr:colOff>0</xdr:colOff>
                    <xdr:row>1444</xdr:row>
                    <xdr:rowOff>0</xdr:rowOff>
                  </from>
                  <to>
                    <xdr:col>7</xdr:col>
                    <xdr:colOff>0</xdr:colOff>
                    <xdr:row>1444</xdr:row>
                    <xdr:rowOff>165100</xdr:rowOff>
                  </to>
                </anchor>
              </controlPr>
            </control>
          </mc:Choice>
        </mc:AlternateContent>
        <mc:AlternateContent xmlns:mc="http://schemas.openxmlformats.org/markup-compatibility/2006">
          <mc:Choice Requires="x14">
            <control shapeId="13909" r:id="rId756" name="Button 2645">
              <controlPr defaultSize="0" autoFill="0" autoLine="0" autoPict="0" macro="[0]!Sheet1.deleteRow">
                <anchor moveWithCells="1" sizeWithCells="1">
                  <from>
                    <xdr:col>6</xdr:col>
                    <xdr:colOff>0</xdr:colOff>
                    <xdr:row>1445</xdr:row>
                    <xdr:rowOff>0</xdr:rowOff>
                  </from>
                  <to>
                    <xdr:col>7</xdr:col>
                    <xdr:colOff>0</xdr:colOff>
                    <xdr:row>1445</xdr:row>
                    <xdr:rowOff>165100</xdr:rowOff>
                  </to>
                </anchor>
              </controlPr>
            </control>
          </mc:Choice>
        </mc:AlternateContent>
        <mc:AlternateContent xmlns:mc="http://schemas.openxmlformats.org/markup-compatibility/2006">
          <mc:Choice Requires="x14">
            <control shapeId="13908" r:id="rId757" name="Button 2644">
              <controlPr defaultSize="0" autoFill="0" autoLine="0" autoPict="0" macro="[0]!Sheet1.deleteProcedure">
                <anchor moveWithCells="1" sizeWithCells="1">
                  <from>
                    <xdr:col>6</xdr:col>
                    <xdr:colOff>0</xdr:colOff>
                    <xdr:row>1448</xdr:row>
                    <xdr:rowOff>0</xdr:rowOff>
                  </from>
                  <to>
                    <xdr:col>7</xdr:col>
                    <xdr:colOff>0</xdr:colOff>
                    <xdr:row>1449</xdr:row>
                    <xdr:rowOff>0</xdr:rowOff>
                  </to>
                </anchor>
              </controlPr>
            </control>
          </mc:Choice>
        </mc:AlternateContent>
        <mc:AlternateContent xmlns:mc="http://schemas.openxmlformats.org/markup-compatibility/2006">
          <mc:Choice Requires="x14">
            <control shapeId="13907" r:id="rId758" name="Button 2643">
              <controlPr defaultSize="0" autoFill="0" autoLine="0" autoPict="0" macro="[0]!Sheet1.InsertNewTableRow">
                <anchor moveWithCells="1" sizeWithCells="1">
                  <from>
                    <xdr:col>6</xdr:col>
                    <xdr:colOff>0</xdr:colOff>
                    <xdr:row>1455</xdr:row>
                    <xdr:rowOff>0</xdr:rowOff>
                  </from>
                  <to>
                    <xdr:col>7</xdr:col>
                    <xdr:colOff>0</xdr:colOff>
                    <xdr:row>1455</xdr:row>
                    <xdr:rowOff>171450</xdr:rowOff>
                  </to>
                </anchor>
              </controlPr>
            </control>
          </mc:Choice>
        </mc:AlternateContent>
        <mc:AlternateContent xmlns:mc="http://schemas.openxmlformats.org/markup-compatibility/2006">
          <mc:Choice Requires="x14">
            <control shapeId="13906" r:id="rId759" name="Button 2642">
              <controlPr defaultSize="0" autoFill="0" autoLine="0" autoPict="0" macro="[0]!Sheet1.deleteRow">
                <anchor moveWithCells="1" sizeWithCells="1">
                  <from>
                    <xdr:col>6</xdr:col>
                    <xdr:colOff>0</xdr:colOff>
                    <xdr:row>1456</xdr:row>
                    <xdr:rowOff>0</xdr:rowOff>
                  </from>
                  <to>
                    <xdr:col>7</xdr:col>
                    <xdr:colOff>0</xdr:colOff>
                    <xdr:row>1456</xdr:row>
                    <xdr:rowOff>165100</xdr:rowOff>
                  </to>
                </anchor>
              </controlPr>
            </control>
          </mc:Choice>
        </mc:AlternateContent>
        <mc:AlternateContent xmlns:mc="http://schemas.openxmlformats.org/markup-compatibility/2006">
          <mc:Choice Requires="x14">
            <control shapeId="13905" r:id="rId760" name="Button 2641">
              <controlPr defaultSize="0" autoFill="0" autoLine="0" autoPict="0" macro="[0]!Sheet1.deleteProcedure">
                <anchor moveWithCells="1" sizeWithCells="1">
                  <from>
                    <xdr:col>6</xdr:col>
                    <xdr:colOff>0</xdr:colOff>
                    <xdr:row>1459</xdr:row>
                    <xdr:rowOff>0</xdr:rowOff>
                  </from>
                  <to>
                    <xdr:col>7</xdr:col>
                    <xdr:colOff>0</xdr:colOff>
                    <xdr:row>1460</xdr:row>
                    <xdr:rowOff>0</xdr:rowOff>
                  </to>
                </anchor>
              </controlPr>
            </control>
          </mc:Choice>
        </mc:AlternateContent>
        <mc:AlternateContent xmlns:mc="http://schemas.openxmlformats.org/markup-compatibility/2006">
          <mc:Choice Requires="x14">
            <control shapeId="13904" r:id="rId761" name="Button 2640">
              <controlPr defaultSize="0" autoFill="0" autoLine="0" autoPict="0" macro="[0]!Sheet1.InsertNewTableRow">
                <anchor moveWithCells="1" sizeWithCells="1">
                  <from>
                    <xdr:col>6</xdr:col>
                    <xdr:colOff>0</xdr:colOff>
                    <xdr:row>1466</xdr:row>
                    <xdr:rowOff>0</xdr:rowOff>
                  </from>
                  <to>
                    <xdr:col>7</xdr:col>
                    <xdr:colOff>0</xdr:colOff>
                    <xdr:row>1466</xdr:row>
                    <xdr:rowOff>171450</xdr:rowOff>
                  </to>
                </anchor>
              </controlPr>
            </control>
          </mc:Choice>
        </mc:AlternateContent>
        <mc:AlternateContent xmlns:mc="http://schemas.openxmlformats.org/markup-compatibility/2006">
          <mc:Choice Requires="x14">
            <control shapeId="13903" r:id="rId762" name="Button 2639">
              <controlPr defaultSize="0" autoFill="0" autoLine="0" autoPict="0" macro="[0]!Sheet1.deleteRow">
                <anchor moveWithCells="1" sizeWithCells="1">
                  <from>
                    <xdr:col>6</xdr:col>
                    <xdr:colOff>0</xdr:colOff>
                    <xdr:row>1467</xdr:row>
                    <xdr:rowOff>0</xdr:rowOff>
                  </from>
                  <to>
                    <xdr:col>7</xdr:col>
                    <xdr:colOff>0</xdr:colOff>
                    <xdr:row>1467</xdr:row>
                    <xdr:rowOff>165100</xdr:rowOff>
                  </to>
                </anchor>
              </controlPr>
            </control>
          </mc:Choice>
        </mc:AlternateContent>
        <mc:AlternateContent xmlns:mc="http://schemas.openxmlformats.org/markup-compatibility/2006">
          <mc:Choice Requires="x14">
            <control shapeId="13902" r:id="rId763" name="Button 2638">
              <controlPr defaultSize="0" autoFill="0" autoLine="0" autoPict="0" macro="[0]!Sheet1.deleteProcedure">
                <anchor moveWithCells="1" sizeWithCells="1">
                  <from>
                    <xdr:col>6</xdr:col>
                    <xdr:colOff>0</xdr:colOff>
                    <xdr:row>1470</xdr:row>
                    <xdr:rowOff>0</xdr:rowOff>
                  </from>
                  <to>
                    <xdr:col>7</xdr:col>
                    <xdr:colOff>0</xdr:colOff>
                    <xdr:row>1471</xdr:row>
                    <xdr:rowOff>0</xdr:rowOff>
                  </to>
                </anchor>
              </controlPr>
            </control>
          </mc:Choice>
        </mc:AlternateContent>
        <mc:AlternateContent xmlns:mc="http://schemas.openxmlformats.org/markup-compatibility/2006">
          <mc:Choice Requires="x14">
            <control shapeId="13901" r:id="rId764" name="Button 2637">
              <controlPr defaultSize="0" autoFill="0" autoLine="0" autoPict="0" macro="[0]!Sheet1.InsertNewTableRow">
                <anchor moveWithCells="1" sizeWithCells="1">
                  <from>
                    <xdr:col>6</xdr:col>
                    <xdr:colOff>0</xdr:colOff>
                    <xdr:row>1477</xdr:row>
                    <xdr:rowOff>0</xdr:rowOff>
                  </from>
                  <to>
                    <xdr:col>7</xdr:col>
                    <xdr:colOff>0</xdr:colOff>
                    <xdr:row>1477</xdr:row>
                    <xdr:rowOff>171450</xdr:rowOff>
                  </to>
                </anchor>
              </controlPr>
            </control>
          </mc:Choice>
        </mc:AlternateContent>
        <mc:AlternateContent xmlns:mc="http://schemas.openxmlformats.org/markup-compatibility/2006">
          <mc:Choice Requires="x14">
            <control shapeId="13900" r:id="rId765" name="Button 2636">
              <controlPr defaultSize="0" autoFill="0" autoLine="0" autoPict="0" macro="[0]!Sheet1.deleteRow">
                <anchor moveWithCells="1" sizeWithCells="1">
                  <from>
                    <xdr:col>6</xdr:col>
                    <xdr:colOff>0</xdr:colOff>
                    <xdr:row>1478</xdr:row>
                    <xdr:rowOff>0</xdr:rowOff>
                  </from>
                  <to>
                    <xdr:col>7</xdr:col>
                    <xdr:colOff>0</xdr:colOff>
                    <xdr:row>1478</xdr:row>
                    <xdr:rowOff>165100</xdr:rowOff>
                  </to>
                </anchor>
              </controlPr>
            </control>
          </mc:Choice>
        </mc:AlternateContent>
        <mc:AlternateContent xmlns:mc="http://schemas.openxmlformats.org/markup-compatibility/2006">
          <mc:Choice Requires="x14">
            <control shapeId="13899" r:id="rId766" name="Button 2635">
              <controlPr defaultSize="0" autoFill="0" autoLine="0" autoPict="0" macro="[0]!Sheet1.deleteRow">
                <anchor moveWithCells="1" sizeWithCells="1">
                  <from>
                    <xdr:col>6</xdr:col>
                    <xdr:colOff>0</xdr:colOff>
                    <xdr:row>1479</xdr:row>
                    <xdr:rowOff>0</xdr:rowOff>
                  </from>
                  <to>
                    <xdr:col>7</xdr:col>
                    <xdr:colOff>0</xdr:colOff>
                    <xdr:row>1479</xdr:row>
                    <xdr:rowOff>165100</xdr:rowOff>
                  </to>
                </anchor>
              </controlPr>
            </control>
          </mc:Choice>
        </mc:AlternateContent>
        <mc:AlternateContent xmlns:mc="http://schemas.openxmlformats.org/markup-compatibility/2006">
          <mc:Choice Requires="x14">
            <control shapeId="13898" r:id="rId767" name="Button 2634">
              <controlPr defaultSize="0" autoFill="0" autoLine="0" autoPict="0" macro="[0]!Sheet1.deleteRow">
                <anchor moveWithCells="1" sizeWithCells="1">
                  <from>
                    <xdr:col>6</xdr:col>
                    <xdr:colOff>0</xdr:colOff>
                    <xdr:row>1480</xdr:row>
                    <xdr:rowOff>0</xdr:rowOff>
                  </from>
                  <to>
                    <xdr:col>7</xdr:col>
                    <xdr:colOff>0</xdr:colOff>
                    <xdr:row>1480</xdr:row>
                    <xdr:rowOff>165100</xdr:rowOff>
                  </to>
                </anchor>
              </controlPr>
            </control>
          </mc:Choice>
        </mc:AlternateContent>
        <mc:AlternateContent xmlns:mc="http://schemas.openxmlformats.org/markup-compatibility/2006">
          <mc:Choice Requires="x14">
            <control shapeId="13897" r:id="rId768" name="Button 2633">
              <controlPr defaultSize="0" autoFill="0" autoLine="0" autoPict="0" macro="[0]!Sheet1.deleteProcedure">
                <anchor moveWithCells="1" sizeWithCells="1">
                  <from>
                    <xdr:col>6</xdr:col>
                    <xdr:colOff>0</xdr:colOff>
                    <xdr:row>1483</xdr:row>
                    <xdr:rowOff>0</xdr:rowOff>
                  </from>
                  <to>
                    <xdr:col>7</xdr:col>
                    <xdr:colOff>0</xdr:colOff>
                    <xdr:row>1484</xdr:row>
                    <xdr:rowOff>0</xdr:rowOff>
                  </to>
                </anchor>
              </controlPr>
            </control>
          </mc:Choice>
        </mc:AlternateContent>
        <mc:AlternateContent xmlns:mc="http://schemas.openxmlformats.org/markup-compatibility/2006">
          <mc:Choice Requires="x14">
            <control shapeId="13896" r:id="rId769" name="Button 2632">
              <controlPr defaultSize="0" autoFill="0" autoLine="0" autoPict="0" macro="[0]!Sheet1.InsertNewTableRow">
                <anchor moveWithCells="1" sizeWithCells="1">
                  <from>
                    <xdr:col>6</xdr:col>
                    <xdr:colOff>0</xdr:colOff>
                    <xdr:row>1490</xdr:row>
                    <xdr:rowOff>0</xdr:rowOff>
                  </from>
                  <to>
                    <xdr:col>7</xdr:col>
                    <xdr:colOff>0</xdr:colOff>
                    <xdr:row>1490</xdr:row>
                    <xdr:rowOff>171450</xdr:rowOff>
                  </to>
                </anchor>
              </controlPr>
            </control>
          </mc:Choice>
        </mc:AlternateContent>
        <mc:AlternateContent xmlns:mc="http://schemas.openxmlformats.org/markup-compatibility/2006">
          <mc:Choice Requires="x14">
            <control shapeId="13895" r:id="rId770" name="Button 2631">
              <controlPr defaultSize="0" autoFill="0" autoLine="0" autoPict="0" macro="[0]!Sheet1.deleteRow">
                <anchor moveWithCells="1" sizeWithCells="1">
                  <from>
                    <xdr:col>6</xdr:col>
                    <xdr:colOff>0</xdr:colOff>
                    <xdr:row>1491</xdr:row>
                    <xdr:rowOff>0</xdr:rowOff>
                  </from>
                  <to>
                    <xdr:col>7</xdr:col>
                    <xdr:colOff>0</xdr:colOff>
                    <xdr:row>1491</xdr:row>
                    <xdr:rowOff>165100</xdr:rowOff>
                  </to>
                </anchor>
              </controlPr>
            </control>
          </mc:Choice>
        </mc:AlternateContent>
        <mc:AlternateContent xmlns:mc="http://schemas.openxmlformats.org/markup-compatibility/2006">
          <mc:Choice Requires="x14">
            <control shapeId="13894" r:id="rId771" name="Button 2630">
              <controlPr defaultSize="0" autoFill="0" autoLine="0" autoPict="0" macro="[0]!Sheet1.deleteRow">
                <anchor moveWithCells="1" sizeWithCells="1">
                  <from>
                    <xdr:col>6</xdr:col>
                    <xdr:colOff>0</xdr:colOff>
                    <xdr:row>1492</xdr:row>
                    <xdr:rowOff>0</xdr:rowOff>
                  </from>
                  <to>
                    <xdr:col>7</xdr:col>
                    <xdr:colOff>0</xdr:colOff>
                    <xdr:row>1492</xdr:row>
                    <xdr:rowOff>165100</xdr:rowOff>
                  </to>
                </anchor>
              </controlPr>
            </control>
          </mc:Choice>
        </mc:AlternateContent>
        <mc:AlternateContent xmlns:mc="http://schemas.openxmlformats.org/markup-compatibility/2006">
          <mc:Choice Requires="x14">
            <control shapeId="13893" r:id="rId772" name="Button 2629">
              <controlPr defaultSize="0" autoFill="0" autoLine="0" autoPict="0" macro="[0]!Sheet1.deleteRow">
                <anchor moveWithCells="1" sizeWithCells="1">
                  <from>
                    <xdr:col>6</xdr:col>
                    <xdr:colOff>0</xdr:colOff>
                    <xdr:row>1493</xdr:row>
                    <xdr:rowOff>0</xdr:rowOff>
                  </from>
                  <to>
                    <xdr:col>7</xdr:col>
                    <xdr:colOff>0</xdr:colOff>
                    <xdr:row>1493</xdr:row>
                    <xdr:rowOff>165100</xdr:rowOff>
                  </to>
                </anchor>
              </controlPr>
            </control>
          </mc:Choice>
        </mc:AlternateContent>
        <mc:AlternateContent xmlns:mc="http://schemas.openxmlformats.org/markup-compatibility/2006">
          <mc:Choice Requires="x14">
            <control shapeId="13892" r:id="rId773" name="Button 2628">
              <controlPr defaultSize="0" autoFill="0" autoLine="0" autoPict="0" macro="[0]!Sheet1.deleteProcedure">
                <anchor moveWithCells="1" sizeWithCells="1">
                  <from>
                    <xdr:col>6</xdr:col>
                    <xdr:colOff>0</xdr:colOff>
                    <xdr:row>1496</xdr:row>
                    <xdr:rowOff>0</xdr:rowOff>
                  </from>
                  <to>
                    <xdr:col>7</xdr:col>
                    <xdr:colOff>0</xdr:colOff>
                    <xdr:row>1497</xdr:row>
                    <xdr:rowOff>0</xdr:rowOff>
                  </to>
                </anchor>
              </controlPr>
            </control>
          </mc:Choice>
        </mc:AlternateContent>
        <mc:AlternateContent xmlns:mc="http://schemas.openxmlformats.org/markup-compatibility/2006">
          <mc:Choice Requires="x14">
            <control shapeId="13891" r:id="rId774" name="Button 2627">
              <controlPr defaultSize="0" autoFill="0" autoLine="0" autoPict="0" macro="[0]!Sheet1.InsertNewTableRow">
                <anchor moveWithCells="1" sizeWithCells="1">
                  <from>
                    <xdr:col>6</xdr:col>
                    <xdr:colOff>0</xdr:colOff>
                    <xdr:row>1503</xdr:row>
                    <xdr:rowOff>0</xdr:rowOff>
                  </from>
                  <to>
                    <xdr:col>7</xdr:col>
                    <xdr:colOff>0</xdr:colOff>
                    <xdr:row>1503</xdr:row>
                    <xdr:rowOff>171450</xdr:rowOff>
                  </to>
                </anchor>
              </controlPr>
            </control>
          </mc:Choice>
        </mc:AlternateContent>
        <mc:AlternateContent xmlns:mc="http://schemas.openxmlformats.org/markup-compatibility/2006">
          <mc:Choice Requires="x14">
            <control shapeId="13890" r:id="rId775" name="Button 2626">
              <controlPr defaultSize="0" autoFill="0" autoLine="0" autoPict="0" macro="[0]!Sheet1.deleteRow">
                <anchor moveWithCells="1" sizeWithCells="1">
                  <from>
                    <xdr:col>6</xdr:col>
                    <xdr:colOff>0</xdr:colOff>
                    <xdr:row>1504</xdr:row>
                    <xdr:rowOff>0</xdr:rowOff>
                  </from>
                  <to>
                    <xdr:col>7</xdr:col>
                    <xdr:colOff>0</xdr:colOff>
                    <xdr:row>1504</xdr:row>
                    <xdr:rowOff>165100</xdr:rowOff>
                  </to>
                </anchor>
              </controlPr>
            </control>
          </mc:Choice>
        </mc:AlternateContent>
        <mc:AlternateContent xmlns:mc="http://schemas.openxmlformats.org/markup-compatibility/2006">
          <mc:Choice Requires="x14">
            <control shapeId="13889" r:id="rId776" name="Button 2625">
              <controlPr defaultSize="0" autoFill="0" autoLine="0" autoPict="0" macro="[0]!Sheet1.deleteRow">
                <anchor moveWithCells="1" sizeWithCells="1">
                  <from>
                    <xdr:col>6</xdr:col>
                    <xdr:colOff>0</xdr:colOff>
                    <xdr:row>1505</xdr:row>
                    <xdr:rowOff>0</xdr:rowOff>
                  </from>
                  <to>
                    <xdr:col>7</xdr:col>
                    <xdr:colOff>0</xdr:colOff>
                    <xdr:row>1505</xdr:row>
                    <xdr:rowOff>165100</xdr:rowOff>
                  </to>
                </anchor>
              </controlPr>
            </control>
          </mc:Choice>
        </mc:AlternateContent>
        <mc:AlternateContent xmlns:mc="http://schemas.openxmlformats.org/markup-compatibility/2006">
          <mc:Choice Requires="x14">
            <control shapeId="13888" r:id="rId777" name="Button 2624">
              <controlPr defaultSize="0" autoFill="0" autoLine="0" autoPict="0" macro="[0]!Sheet1.deleteRow">
                <anchor moveWithCells="1" sizeWithCells="1">
                  <from>
                    <xdr:col>6</xdr:col>
                    <xdr:colOff>0</xdr:colOff>
                    <xdr:row>1506</xdr:row>
                    <xdr:rowOff>0</xdr:rowOff>
                  </from>
                  <to>
                    <xdr:col>7</xdr:col>
                    <xdr:colOff>0</xdr:colOff>
                    <xdr:row>1506</xdr:row>
                    <xdr:rowOff>165100</xdr:rowOff>
                  </to>
                </anchor>
              </controlPr>
            </control>
          </mc:Choice>
        </mc:AlternateContent>
        <mc:AlternateContent xmlns:mc="http://schemas.openxmlformats.org/markup-compatibility/2006">
          <mc:Choice Requires="x14">
            <control shapeId="13887" r:id="rId778" name="Button 2623">
              <controlPr defaultSize="0" autoFill="0" autoLine="0" autoPict="0" macro="[0]!Sheet1.deleteRow">
                <anchor moveWithCells="1" sizeWithCells="1">
                  <from>
                    <xdr:col>6</xdr:col>
                    <xdr:colOff>0</xdr:colOff>
                    <xdr:row>1507</xdr:row>
                    <xdr:rowOff>0</xdr:rowOff>
                  </from>
                  <to>
                    <xdr:col>7</xdr:col>
                    <xdr:colOff>0</xdr:colOff>
                    <xdr:row>1507</xdr:row>
                    <xdr:rowOff>165100</xdr:rowOff>
                  </to>
                </anchor>
              </controlPr>
            </control>
          </mc:Choice>
        </mc:AlternateContent>
        <mc:AlternateContent xmlns:mc="http://schemas.openxmlformats.org/markup-compatibility/2006">
          <mc:Choice Requires="x14">
            <control shapeId="13886" r:id="rId779" name="Button 2622">
              <controlPr defaultSize="0" autoFill="0" autoLine="0" autoPict="0" macro="[0]!Sheet1.deleteRow">
                <anchor moveWithCells="1" sizeWithCells="1">
                  <from>
                    <xdr:col>6</xdr:col>
                    <xdr:colOff>0</xdr:colOff>
                    <xdr:row>1508</xdr:row>
                    <xdr:rowOff>0</xdr:rowOff>
                  </from>
                  <to>
                    <xdr:col>7</xdr:col>
                    <xdr:colOff>0</xdr:colOff>
                    <xdr:row>1508</xdr:row>
                    <xdr:rowOff>165100</xdr:rowOff>
                  </to>
                </anchor>
              </controlPr>
            </control>
          </mc:Choice>
        </mc:AlternateContent>
        <mc:AlternateContent xmlns:mc="http://schemas.openxmlformats.org/markup-compatibility/2006">
          <mc:Choice Requires="x14">
            <control shapeId="13885" r:id="rId780" name="Button 2621">
              <controlPr defaultSize="0" autoFill="0" autoLine="0" autoPict="0" macro="[0]!Sheet1.deleteRow">
                <anchor moveWithCells="1" sizeWithCells="1">
                  <from>
                    <xdr:col>6</xdr:col>
                    <xdr:colOff>0</xdr:colOff>
                    <xdr:row>1509</xdr:row>
                    <xdr:rowOff>0</xdr:rowOff>
                  </from>
                  <to>
                    <xdr:col>7</xdr:col>
                    <xdr:colOff>0</xdr:colOff>
                    <xdr:row>1509</xdr:row>
                    <xdr:rowOff>165100</xdr:rowOff>
                  </to>
                </anchor>
              </controlPr>
            </control>
          </mc:Choice>
        </mc:AlternateContent>
        <mc:AlternateContent xmlns:mc="http://schemas.openxmlformats.org/markup-compatibility/2006">
          <mc:Choice Requires="x14">
            <control shapeId="13884" r:id="rId781" name="Button 2620">
              <controlPr defaultSize="0" autoFill="0" autoLine="0" autoPict="0" macro="[0]!Sheet1.deleteRow">
                <anchor moveWithCells="1" sizeWithCells="1">
                  <from>
                    <xdr:col>6</xdr:col>
                    <xdr:colOff>0</xdr:colOff>
                    <xdr:row>1510</xdr:row>
                    <xdr:rowOff>0</xdr:rowOff>
                  </from>
                  <to>
                    <xdr:col>7</xdr:col>
                    <xdr:colOff>0</xdr:colOff>
                    <xdr:row>1510</xdr:row>
                    <xdr:rowOff>165100</xdr:rowOff>
                  </to>
                </anchor>
              </controlPr>
            </control>
          </mc:Choice>
        </mc:AlternateContent>
        <mc:AlternateContent xmlns:mc="http://schemas.openxmlformats.org/markup-compatibility/2006">
          <mc:Choice Requires="x14">
            <control shapeId="13883" r:id="rId782" name="Button 2619">
              <controlPr defaultSize="0" autoFill="0" autoLine="0" autoPict="0" macro="[0]!Sheet1.deleteRow">
                <anchor moveWithCells="1" sizeWithCells="1">
                  <from>
                    <xdr:col>6</xdr:col>
                    <xdr:colOff>0</xdr:colOff>
                    <xdr:row>1511</xdr:row>
                    <xdr:rowOff>0</xdr:rowOff>
                  </from>
                  <to>
                    <xdr:col>7</xdr:col>
                    <xdr:colOff>0</xdr:colOff>
                    <xdr:row>1511</xdr:row>
                    <xdr:rowOff>165100</xdr:rowOff>
                  </to>
                </anchor>
              </controlPr>
            </control>
          </mc:Choice>
        </mc:AlternateContent>
        <mc:AlternateContent xmlns:mc="http://schemas.openxmlformats.org/markup-compatibility/2006">
          <mc:Choice Requires="x14">
            <control shapeId="13882" r:id="rId783" name="Button 2618">
              <controlPr defaultSize="0" autoFill="0" autoLine="0" autoPict="0" macro="[0]!Sheet1.deleteRow">
                <anchor moveWithCells="1" sizeWithCells="1">
                  <from>
                    <xdr:col>6</xdr:col>
                    <xdr:colOff>0</xdr:colOff>
                    <xdr:row>1512</xdr:row>
                    <xdr:rowOff>0</xdr:rowOff>
                  </from>
                  <to>
                    <xdr:col>7</xdr:col>
                    <xdr:colOff>0</xdr:colOff>
                    <xdr:row>1512</xdr:row>
                    <xdr:rowOff>165100</xdr:rowOff>
                  </to>
                </anchor>
              </controlPr>
            </control>
          </mc:Choice>
        </mc:AlternateContent>
        <mc:AlternateContent xmlns:mc="http://schemas.openxmlformats.org/markup-compatibility/2006">
          <mc:Choice Requires="x14">
            <control shapeId="13881" r:id="rId784" name="Button 2617">
              <controlPr defaultSize="0" autoFill="0" autoLine="0" autoPict="0" macro="[0]!Sheet1.deleteRow">
                <anchor moveWithCells="1" sizeWithCells="1">
                  <from>
                    <xdr:col>6</xdr:col>
                    <xdr:colOff>0</xdr:colOff>
                    <xdr:row>1513</xdr:row>
                    <xdr:rowOff>0</xdr:rowOff>
                  </from>
                  <to>
                    <xdr:col>7</xdr:col>
                    <xdr:colOff>0</xdr:colOff>
                    <xdr:row>1513</xdr:row>
                    <xdr:rowOff>165100</xdr:rowOff>
                  </to>
                </anchor>
              </controlPr>
            </control>
          </mc:Choice>
        </mc:AlternateContent>
        <mc:AlternateContent xmlns:mc="http://schemas.openxmlformats.org/markup-compatibility/2006">
          <mc:Choice Requires="x14">
            <control shapeId="13880" r:id="rId785" name="Button 2616">
              <controlPr defaultSize="0" autoFill="0" autoLine="0" autoPict="0" macro="[0]!Sheet1.deleteRow">
                <anchor moveWithCells="1" sizeWithCells="1">
                  <from>
                    <xdr:col>6</xdr:col>
                    <xdr:colOff>0</xdr:colOff>
                    <xdr:row>1514</xdr:row>
                    <xdr:rowOff>0</xdr:rowOff>
                  </from>
                  <to>
                    <xdr:col>7</xdr:col>
                    <xdr:colOff>0</xdr:colOff>
                    <xdr:row>1514</xdr:row>
                    <xdr:rowOff>165100</xdr:rowOff>
                  </to>
                </anchor>
              </controlPr>
            </control>
          </mc:Choice>
        </mc:AlternateContent>
        <mc:AlternateContent xmlns:mc="http://schemas.openxmlformats.org/markup-compatibility/2006">
          <mc:Choice Requires="x14">
            <control shapeId="13879" r:id="rId786" name="Button 2615">
              <controlPr defaultSize="0" autoFill="0" autoLine="0" autoPict="0" macro="[0]!Sheet1.deleteRow">
                <anchor moveWithCells="1" sizeWithCells="1">
                  <from>
                    <xdr:col>6</xdr:col>
                    <xdr:colOff>0</xdr:colOff>
                    <xdr:row>1515</xdr:row>
                    <xdr:rowOff>0</xdr:rowOff>
                  </from>
                  <to>
                    <xdr:col>7</xdr:col>
                    <xdr:colOff>0</xdr:colOff>
                    <xdr:row>1515</xdr:row>
                    <xdr:rowOff>165100</xdr:rowOff>
                  </to>
                </anchor>
              </controlPr>
            </control>
          </mc:Choice>
        </mc:AlternateContent>
        <mc:AlternateContent xmlns:mc="http://schemas.openxmlformats.org/markup-compatibility/2006">
          <mc:Choice Requires="x14">
            <control shapeId="13878" r:id="rId787" name="Button 2614">
              <controlPr defaultSize="0" autoFill="0" autoLine="0" autoPict="0" macro="[0]!Sheet1.deleteRow">
                <anchor moveWithCells="1" sizeWithCells="1">
                  <from>
                    <xdr:col>6</xdr:col>
                    <xdr:colOff>0</xdr:colOff>
                    <xdr:row>1516</xdr:row>
                    <xdr:rowOff>0</xdr:rowOff>
                  </from>
                  <to>
                    <xdr:col>7</xdr:col>
                    <xdr:colOff>0</xdr:colOff>
                    <xdr:row>1516</xdr:row>
                    <xdr:rowOff>165100</xdr:rowOff>
                  </to>
                </anchor>
              </controlPr>
            </control>
          </mc:Choice>
        </mc:AlternateContent>
        <mc:AlternateContent xmlns:mc="http://schemas.openxmlformats.org/markup-compatibility/2006">
          <mc:Choice Requires="x14">
            <control shapeId="13877" r:id="rId788" name="Button 2613">
              <controlPr defaultSize="0" autoFill="0" autoLine="0" autoPict="0" macro="[0]!Sheet1.deleteRow">
                <anchor moveWithCells="1" sizeWithCells="1">
                  <from>
                    <xdr:col>6</xdr:col>
                    <xdr:colOff>0</xdr:colOff>
                    <xdr:row>1517</xdr:row>
                    <xdr:rowOff>0</xdr:rowOff>
                  </from>
                  <to>
                    <xdr:col>7</xdr:col>
                    <xdr:colOff>0</xdr:colOff>
                    <xdr:row>1517</xdr:row>
                    <xdr:rowOff>165100</xdr:rowOff>
                  </to>
                </anchor>
              </controlPr>
            </control>
          </mc:Choice>
        </mc:AlternateContent>
        <mc:AlternateContent xmlns:mc="http://schemas.openxmlformats.org/markup-compatibility/2006">
          <mc:Choice Requires="x14">
            <control shapeId="13876" r:id="rId789" name="Button 2612">
              <controlPr defaultSize="0" autoFill="0" autoLine="0" autoPict="0" macro="[0]!Sheet1.deleteRow">
                <anchor moveWithCells="1" sizeWithCells="1">
                  <from>
                    <xdr:col>6</xdr:col>
                    <xdr:colOff>0</xdr:colOff>
                    <xdr:row>1518</xdr:row>
                    <xdr:rowOff>0</xdr:rowOff>
                  </from>
                  <to>
                    <xdr:col>7</xdr:col>
                    <xdr:colOff>0</xdr:colOff>
                    <xdr:row>1518</xdr:row>
                    <xdr:rowOff>165100</xdr:rowOff>
                  </to>
                </anchor>
              </controlPr>
            </control>
          </mc:Choice>
        </mc:AlternateContent>
        <mc:AlternateContent xmlns:mc="http://schemas.openxmlformats.org/markup-compatibility/2006">
          <mc:Choice Requires="x14">
            <control shapeId="13875" r:id="rId790" name="Button 2611">
              <controlPr defaultSize="0" autoFill="0" autoLine="0" autoPict="0" macro="[0]!Sheet1.deleteRow">
                <anchor moveWithCells="1" sizeWithCells="1">
                  <from>
                    <xdr:col>6</xdr:col>
                    <xdr:colOff>0</xdr:colOff>
                    <xdr:row>1519</xdr:row>
                    <xdr:rowOff>0</xdr:rowOff>
                  </from>
                  <to>
                    <xdr:col>7</xdr:col>
                    <xdr:colOff>0</xdr:colOff>
                    <xdr:row>1519</xdr:row>
                    <xdr:rowOff>165100</xdr:rowOff>
                  </to>
                </anchor>
              </controlPr>
            </control>
          </mc:Choice>
        </mc:AlternateContent>
        <mc:AlternateContent xmlns:mc="http://schemas.openxmlformats.org/markup-compatibility/2006">
          <mc:Choice Requires="x14">
            <control shapeId="13874" r:id="rId791" name="Button 2610">
              <controlPr defaultSize="0" autoFill="0" autoLine="0" autoPict="0" macro="[0]!Sheet1.deleteRow">
                <anchor moveWithCells="1" sizeWithCells="1">
                  <from>
                    <xdr:col>6</xdr:col>
                    <xdr:colOff>0</xdr:colOff>
                    <xdr:row>1520</xdr:row>
                    <xdr:rowOff>0</xdr:rowOff>
                  </from>
                  <to>
                    <xdr:col>7</xdr:col>
                    <xdr:colOff>0</xdr:colOff>
                    <xdr:row>1520</xdr:row>
                    <xdr:rowOff>165100</xdr:rowOff>
                  </to>
                </anchor>
              </controlPr>
            </control>
          </mc:Choice>
        </mc:AlternateContent>
        <mc:AlternateContent xmlns:mc="http://schemas.openxmlformats.org/markup-compatibility/2006">
          <mc:Choice Requires="x14">
            <control shapeId="13873" r:id="rId792" name="Button 2609">
              <controlPr defaultSize="0" autoFill="0" autoLine="0" autoPict="0" macro="[0]!Sheet1.deleteRow">
                <anchor moveWithCells="1" sizeWithCells="1">
                  <from>
                    <xdr:col>6</xdr:col>
                    <xdr:colOff>0</xdr:colOff>
                    <xdr:row>1521</xdr:row>
                    <xdr:rowOff>0</xdr:rowOff>
                  </from>
                  <to>
                    <xdr:col>7</xdr:col>
                    <xdr:colOff>0</xdr:colOff>
                    <xdr:row>1521</xdr:row>
                    <xdr:rowOff>165100</xdr:rowOff>
                  </to>
                </anchor>
              </controlPr>
            </control>
          </mc:Choice>
        </mc:AlternateContent>
        <mc:AlternateContent xmlns:mc="http://schemas.openxmlformats.org/markup-compatibility/2006">
          <mc:Choice Requires="x14">
            <control shapeId="13872" r:id="rId793" name="Button 2608">
              <controlPr defaultSize="0" autoFill="0" autoLine="0" autoPict="0" macro="[0]!Sheet1.deleteRow">
                <anchor moveWithCells="1" sizeWithCells="1">
                  <from>
                    <xdr:col>6</xdr:col>
                    <xdr:colOff>0</xdr:colOff>
                    <xdr:row>1522</xdr:row>
                    <xdr:rowOff>0</xdr:rowOff>
                  </from>
                  <to>
                    <xdr:col>7</xdr:col>
                    <xdr:colOff>0</xdr:colOff>
                    <xdr:row>1522</xdr:row>
                    <xdr:rowOff>165100</xdr:rowOff>
                  </to>
                </anchor>
              </controlPr>
            </control>
          </mc:Choice>
        </mc:AlternateContent>
        <mc:AlternateContent xmlns:mc="http://schemas.openxmlformats.org/markup-compatibility/2006">
          <mc:Choice Requires="x14">
            <control shapeId="13871" r:id="rId794" name="Button 2607">
              <controlPr defaultSize="0" autoFill="0" autoLine="0" autoPict="0" macro="[0]!Sheet1.deleteRow">
                <anchor moveWithCells="1" sizeWithCells="1">
                  <from>
                    <xdr:col>6</xdr:col>
                    <xdr:colOff>0</xdr:colOff>
                    <xdr:row>1523</xdr:row>
                    <xdr:rowOff>0</xdr:rowOff>
                  </from>
                  <to>
                    <xdr:col>7</xdr:col>
                    <xdr:colOff>0</xdr:colOff>
                    <xdr:row>1523</xdr:row>
                    <xdr:rowOff>165100</xdr:rowOff>
                  </to>
                </anchor>
              </controlPr>
            </control>
          </mc:Choice>
        </mc:AlternateContent>
        <mc:AlternateContent xmlns:mc="http://schemas.openxmlformats.org/markup-compatibility/2006">
          <mc:Choice Requires="x14">
            <control shapeId="13870" r:id="rId795" name="Button 2606">
              <controlPr defaultSize="0" autoFill="0" autoLine="0" autoPict="0" macro="[0]!Sheet1.deleteRow">
                <anchor moveWithCells="1" sizeWithCells="1">
                  <from>
                    <xdr:col>6</xdr:col>
                    <xdr:colOff>0</xdr:colOff>
                    <xdr:row>1524</xdr:row>
                    <xdr:rowOff>0</xdr:rowOff>
                  </from>
                  <to>
                    <xdr:col>7</xdr:col>
                    <xdr:colOff>0</xdr:colOff>
                    <xdr:row>1524</xdr:row>
                    <xdr:rowOff>165100</xdr:rowOff>
                  </to>
                </anchor>
              </controlPr>
            </control>
          </mc:Choice>
        </mc:AlternateContent>
        <mc:AlternateContent xmlns:mc="http://schemas.openxmlformats.org/markup-compatibility/2006">
          <mc:Choice Requires="x14">
            <control shapeId="13869" r:id="rId796" name="Button 2605">
              <controlPr defaultSize="0" autoFill="0" autoLine="0" autoPict="0" macro="[0]!Sheet1.deleteRow">
                <anchor moveWithCells="1" sizeWithCells="1">
                  <from>
                    <xdr:col>6</xdr:col>
                    <xdr:colOff>0</xdr:colOff>
                    <xdr:row>1525</xdr:row>
                    <xdr:rowOff>0</xdr:rowOff>
                  </from>
                  <to>
                    <xdr:col>7</xdr:col>
                    <xdr:colOff>0</xdr:colOff>
                    <xdr:row>1525</xdr:row>
                    <xdr:rowOff>165100</xdr:rowOff>
                  </to>
                </anchor>
              </controlPr>
            </control>
          </mc:Choice>
        </mc:AlternateContent>
        <mc:AlternateContent xmlns:mc="http://schemas.openxmlformats.org/markup-compatibility/2006">
          <mc:Choice Requires="x14">
            <control shapeId="13868" r:id="rId797" name="Button 2604">
              <controlPr defaultSize="0" autoFill="0" autoLine="0" autoPict="0" macro="[0]!Sheet1.deleteRow">
                <anchor moveWithCells="1" sizeWithCells="1">
                  <from>
                    <xdr:col>6</xdr:col>
                    <xdr:colOff>0</xdr:colOff>
                    <xdr:row>1526</xdr:row>
                    <xdr:rowOff>0</xdr:rowOff>
                  </from>
                  <to>
                    <xdr:col>7</xdr:col>
                    <xdr:colOff>0</xdr:colOff>
                    <xdr:row>1526</xdr:row>
                    <xdr:rowOff>165100</xdr:rowOff>
                  </to>
                </anchor>
              </controlPr>
            </control>
          </mc:Choice>
        </mc:AlternateContent>
        <mc:AlternateContent xmlns:mc="http://schemas.openxmlformats.org/markup-compatibility/2006">
          <mc:Choice Requires="x14">
            <control shapeId="13867" r:id="rId798" name="Button 2603">
              <controlPr defaultSize="0" autoFill="0" autoLine="0" autoPict="0" macro="[0]!Sheet1.deleteRow">
                <anchor moveWithCells="1" sizeWithCells="1">
                  <from>
                    <xdr:col>6</xdr:col>
                    <xdr:colOff>0</xdr:colOff>
                    <xdr:row>1527</xdr:row>
                    <xdr:rowOff>0</xdr:rowOff>
                  </from>
                  <to>
                    <xdr:col>7</xdr:col>
                    <xdr:colOff>0</xdr:colOff>
                    <xdr:row>1527</xdr:row>
                    <xdr:rowOff>165100</xdr:rowOff>
                  </to>
                </anchor>
              </controlPr>
            </control>
          </mc:Choice>
        </mc:AlternateContent>
        <mc:AlternateContent xmlns:mc="http://schemas.openxmlformats.org/markup-compatibility/2006">
          <mc:Choice Requires="x14">
            <control shapeId="13866" r:id="rId799" name="Button 2602">
              <controlPr defaultSize="0" autoFill="0" autoLine="0" autoPict="0" macro="[0]!Sheet1.deleteRow">
                <anchor moveWithCells="1" sizeWithCells="1">
                  <from>
                    <xdr:col>6</xdr:col>
                    <xdr:colOff>0</xdr:colOff>
                    <xdr:row>1528</xdr:row>
                    <xdr:rowOff>0</xdr:rowOff>
                  </from>
                  <to>
                    <xdr:col>7</xdr:col>
                    <xdr:colOff>0</xdr:colOff>
                    <xdr:row>1528</xdr:row>
                    <xdr:rowOff>165100</xdr:rowOff>
                  </to>
                </anchor>
              </controlPr>
            </control>
          </mc:Choice>
        </mc:AlternateContent>
        <mc:AlternateContent xmlns:mc="http://schemas.openxmlformats.org/markup-compatibility/2006">
          <mc:Choice Requires="x14">
            <control shapeId="13865" r:id="rId800" name="Button 2601">
              <controlPr defaultSize="0" autoFill="0" autoLine="0" autoPict="0" macro="[0]!Sheet1.deleteRow">
                <anchor moveWithCells="1" sizeWithCells="1">
                  <from>
                    <xdr:col>6</xdr:col>
                    <xdr:colOff>0</xdr:colOff>
                    <xdr:row>1529</xdr:row>
                    <xdr:rowOff>0</xdr:rowOff>
                  </from>
                  <to>
                    <xdr:col>7</xdr:col>
                    <xdr:colOff>0</xdr:colOff>
                    <xdr:row>1529</xdr:row>
                    <xdr:rowOff>165100</xdr:rowOff>
                  </to>
                </anchor>
              </controlPr>
            </control>
          </mc:Choice>
        </mc:AlternateContent>
        <mc:AlternateContent xmlns:mc="http://schemas.openxmlformats.org/markup-compatibility/2006">
          <mc:Choice Requires="x14">
            <control shapeId="13864" r:id="rId801" name="Button 2600">
              <controlPr defaultSize="0" autoFill="0" autoLine="0" autoPict="0" macro="[0]!Sheet1.deleteRow">
                <anchor moveWithCells="1" sizeWithCells="1">
                  <from>
                    <xdr:col>6</xdr:col>
                    <xdr:colOff>0</xdr:colOff>
                    <xdr:row>1530</xdr:row>
                    <xdr:rowOff>0</xdr:rowOff>
                  </from>
                  <to>
                    <xdr:col>7</xdr:col>
                    <xdr:colOff>0</xdr:colOff>
                    <xdr:row>1530</xdr:row>
                    <xdr:rowOff>165100</xdr:rowOff>
                  </to>
                </anchor>
              </controlPr>
            </control>
          </mc:Choice>
        </mc:AlternateContent>
        <mc:AlternateContent xmlns:mc="http://schemas.openxmlformats.org/markup-compatibility/2006">
          <mc:Choice Requires="x14">
            <control shapeId="13863" r:id="rId802" name="Button 2599">
              <controlPr defaultSize="0" autoFill="0" autoLine="0" autoPict="0" macro="[0]!Sheet1.deleteRow">
                <anchor moveWithCells="1" sizeWithCells="1">
                  <from>
                    <xdr:col>6</xdr:col>
                    <xdr:colOff>0</xdr:colOff>
                    <xdr:row>1531</xdr:row>
                    <xdr:rowOff>0</xdr:rowOff>
                  </from>
                  <to>
                    <xdr:col>7</xdr:col>
                    <xdr:colOff>0</xdr:colOff>
                    <xdr:row>1531</xdr:row>
                    <xdr:rowOff>165100</xdr:rowOff>
                  </to>
                </anchor>
              </controlPr>
            </control>
          </mc:Choice>
        </mc:AlternateContent>
        <mc:AlternateContent xmlns:mc="http://schemas.openxmlformats.org/markup-compatibility/2006">
          <mc:Choice Requires="x14">
            <control shapeId="13862" r:id="rId803" name="Button 2598">
              <controlPr defaultSize="0" autoFill="0" autoLine="0" autoPict="0" macro="[0]!Sheet1.deleteRow">
                <anchor moveWithCells="1" sizeWithCells="1">
                  <from>
                    <xdr:col>6</xdr:col>
                    <xdr:colOff>0</xdr:colOff>
                    <xdr:row>1532</xdr:row>
                    <xdr:rowOff>0</xdr:rowOff>
                  </from>
                  <to>
                    <xdr:col>7</xdr:col>
                    <xdr:colOff>0</xdr:colOff>
                    <xdr:row>1532</xdr:row>
                    <xdr:rowOff>165100</xdr:rowOff>
                  </to>
                </anchor>
              </controlPr>
            </control>
          </mc:Choice>
        </mc:AlternateContent>
        <mc:AlternateContent xmlns:mc="http://schemas.openxmlformats.org/markup-compatibility/2006">
          <mc:Choice Requires="x14">
            <control shapeId="13861" r:id="rId804" name="Button 2597">
              <controlPr defaultSize="0" autoFill="0" autoLine="0" autoPict="0" macro="[0]!Sheet1.deleteRow">
                <anchor moveWithCells="1" sizeWithCells="1">
                  <from>
                    <xdr:col>6</xdr:col>
                    <xdr:colOff>0</xdr:colOff>
                    <xdr:row>1533</xdr:row>
                    <xdr:rowOff>0</xdr:rowOff>
                  </from>
                  <to>
                    <xdr:col>7</xdr:col>
                    <xdr:colOff>0</xdr:colOff>
                    <xdr:row>1533</xdr:row>
                    <xdr:rowOff>165100</xdr:rowOff>
                  </to>
                </anchor>
              </controlPr>
            </control>
          </mc:Choice>
        </mc:AlternateContent>
        <mc:AlternateContent xmlns:mc="http://schemas.openxmlformats.org/markup-compatibility/2006">
          <mc:Choice Requires="x14">
            <control shapeId="13860" r:id="rId805" name="Button 2596">
              <controlPr defaultSize="0" autoFill="0" autoLine="0" autoPict="0" macro="[0]!Sheet1.deleteRow">
                <anchor moveWithCells="1" sizeWithCells="1">
                  <from>
                    <xdr:col>6</xdr:col>
                    <xdr:colOff>0</xdr:colOff>
                    <xdr:row>1534</xdr:row>
                    <xdr:rowOff>0</xdr:rowOff>
                  </from>
                  <to>
                    <xdr:col>7</xdr:col>
                    <xdr:colOff>0</xdr:colOff>
                    <xdr:row>1534</xdr:row>
                    <xdr:rowOff>165100</xdr:rowOff>
                  </to>
                </anchor>
              </controlPr>
            </control>
          </mc:Choice>
        </mc:AlternateContent>
        <mc:AlternateContent xmlns:mc="http://schemas.openxmlformats.org/markup-compatibility/2006">
          <mc:Choice Requires="x14">
            <control shapeId="13859" r:id="rId806" name="Button 2595">
              <controlPr defaultSize="0" autoFill="0" autoLine="0" autoPict="0" macro="[0]!Sheet1.deleteRow">
                <anchor moveWithCells="1" sizeWithCells="1">
                  <from>
                    <xdr:col>6</xdr:col>
                    <xdr:colOff>0</xdr:colOff>
                    <xdr:row>1535</xdr:row>
                    <xdr:rowOff>0</xdr:rowOff>
                  </from>
                  <to>
                    <xdr:col>7</xdr:col>
                    <xdr:colOff>0</xdr:colOff>
                    <xdr:row>1535</xdr:row>
                    <xdr:rowOff>165100</xdr:rowOff>
                  </to>
                </anchor>
              </controlPr>
            </control>
          </mc:Choice>
        </mc:AlternateContent>
        <mc:AlternateContent xmlns:mc="http://schemas.openxmlformats.org/markup-compatibility/2006">
          <mc:Choice Requires="x14">
            <control shapeId="13858" r:id="rId807" name="Button 2594">
              <controlPr defaultSize="0" autoFill="0" autoLine="0" autoPict="0" macro="[0]!Sheet1.deleteRow">
                <anchor moveWithCells="1" sizeWithCells="1">
                  <from>
                    <xdr:col>6</xdr:col>
                    <xdr:colOff>0</xdr:colOff>
                    <xdr:row>1536</xdr:row>
                    <xdr:rowOff>0</xdr:rowOff>
                  </from>
                  <to>
                    <xdr:col>7</xdr:col>
                    <xdr:colOff>0</xdr:colOff>
                    <xdr:row>1536</xdr:row>
                    <xdr:rowOff>165100</xdr:rowOff>
                  </to>
                </anchor>
              </controlPr>
            </control>
          </mc:Choice>
        </mc:AlternateContent>
        <mc:AlternateContent xmlns:mc="http://schemas.openxmlformats.org/markup-compatibility/2006">
          <mc:Choice Requires="x14">
            <control shapeId="13857" r:id="rId808" name="Button 2593">
              <controlPr defaultSize="0" autoFill="0" autoLine="0" autoPict="0" macro="[0]!Sheet1.deleteRow">
                <anchor moveWithCells="1" sizeWithCells="1">
                  <from>
                    <xdr:col>6</xdr:col>
                    <xdr:colOff>0</xdr:colOff>
                    <xdr:row>1537</xdr:row>
                    <xdr:rowOff>0</xdr:rowOff>
                  </from>
                  <to>
                    <xdr:col>7</xdr:col>
                    <xdr:colOff>0</xdr:colOff>
                    <xdr:row>1537</xdr:row>
                    <xdr:rowOff>165100</xdr:rowOff>
                  </to>
                </anchor>
              </controlPr>
            </control>
          </mc:Choice>
        </mc:AlternateContent>
        <mc:AlternateContent xmlns:mc="http://schemas.openxmlformats.org/markup-compatibility/2006">
          <mc:Choice Requires="x14">
            <control shapeId="13856" r:id="rId809" name="Button 2592">
              <controlPr defaultSize="0" autoFill="0" autoLine="0" autoPict="0" macro="[0]!Sheet1.deleteRow">
                <anchor moveWithCells="1" sizeWithCells="1">
                  <from>
                    <xdr:col>6</xdr:col>
                    <xdr:colOff>0</xdr:colOff>
                    <xdr:row>1538</xdr:row>
                    <xdr:rowOff>0</xdr:rowOff>
                  </from>
                  <to>
                    <xdr:col>7</xdr:col>
                    <xdr:colOff>0</xdr:colOff>
                    <xdr:row>1538</xdr:row>
                    <xdr:rowOff>165100</xdr:rowOff>
                  </to>
                </anchor>
              </controlPr>
            </control>
          </mc:Choice>
        </mc:AlternateContent>
        <mc:AlternateContent xmlns:mc="http://schemas.openxmlformats.org/markup-compatibility/2006">
          <mc:Choice Requires="x14">
            <control shapeId="13855" r:id="rId810" name="Button 2591">
              <controlPr defaultSize="0" autoFill="0" autoLine="0" autoPict="0" macro="[0]!Sheet1.deleteRow">
                <anchor moveWithCells="1" sizeWithCells="1">
                  <from>
                    <xdr:col>6</xdr:col>
                    <xdr:colOff>0</xdr:colOff>
                    <xdr:row>1539</xdr:row>
                    <xdr:rowOff>0</xdr:rowOff>
                  </from>
                  <to>
                    <xdr:col>7</xdr:col>
                    <xdr:colOff>0</xdr:colOff>
                    <xdr:row>1539</xdr:row>
                    <xdr:rowOff>165100</xdr:rowOff>
                  </to>
                </anchor>
              </controlPr>
            </control>
          </mc:Choice>
        </mc:AlternateContent>
        <mc:AlternateContent xmlns:mc="http://schemas.openxmlformats.org/markup-compatibility/2006">
          <mc:Choice Requires="x14">
            <control shapeId="13854" r:id="rId811" name="Button 2590">
              <controlPr defaultSize="0" autoFill="0" autoLine="0" autoPict="0" macro="[0]!Sheet1.deleteRow">
                <anchor moveWithCells="1" sizeWithCells="1">
                  <from>
                    <xdr:col>6</xdr:col>
                    <xdr:colOff>0</xdr:colOff>
                    <xdr:row>1540</xdr:row>
                    <xdr:rowOff>0</xdr:rowOff>
                  </from>
                  <to>
                    <xdr:col>7</xdr:col>
                    <xdr:colOff>0</xdr:colOff>
                    <xdr:row>1540</xdr:row>
                    <xdr:rowOff>165100</xdr:rowOff>
                  </to>
                </anchor>
              </controlPr>
            </control>
          </mc:Choice>
        </mc:AlternateContent>
        <mc:AlternateContent xmlns:mc="http://schemas.openxmlformats.org/markup-compatibility/2006">
          <mc:Choice Requires="x14">
            <control shapeId="13853" r:id="rId812" name="Button 2589">
              <controlPr defaultSize="0" autoFill="0" autoLine="0" autoPict="0" macro="[0]!Sheet1.deleteRow">
                <anchor moveWithCells="1" sizeWithCells="1">
                  <from>
                    <xdr:col>6</xdr:col>
                    <xdr:colOff>0</xdr:colOff>
                    <xdr:row>1541</xdr:row>
                    <xdr:rowOff>0</xdr:rowOff>
                  </from>
                  <to>
                    <xdr:col>7</xdr:col>
                    <xdr:colOff>0</xdr:colOff>
                    <xdr:row>1541</xdr:row>
                    <xdr:rowOff>165100</xdr:rowOff>
                  </to>
                </anchor>
              </controlPr>
            </control>
          </mc:Choice>
        </mc:AlternateContent>
        <mc:AlternateContent xmlns:mc="http://schemas.openxmlformats.org/markup-compatibility/2006">
          <mc:Choice Requires="x14">
            <control shapeId="13852" r:id="rId813" name="Button 2588">
              <controlPr defaultSize="0" autoFill="0" autoLine="0" autoPict="0" macro="[0]!Sheet1.deleteRow">
                <anchor moveWithCells="1" sizeWithCells="1">
                  <from>
                    <xdr:col>6</xdr:col>
                    <xdr:colOff>0</xdr:colOff>
                    <xdr:row>1542</xdr:row>
                    <xdr:rowOff>0</xdr:rowOff>
                  </from>
                  <to>
                    <xdr:col>7</xdr:col>
                    <xdr:colOff>0</xdr:colOff>
                    <xdr:row>1542</xdr:row>
                    <xdr:rowOff>165100</xdr:rowOff>
                  </to>
                </anchor>
              </controlPr>
            </control>
          </mc:Choice>
        </mc:AlternateContent>
        <mc:AlternateContent xmlns:mc="http://schemas.openxmlformats.org/markup-compatibility/2006">
          <mc:Choice Requires="x14">
            <control shapeId="13851" r:id="rId814" name="Button 2587">
              <controlPr defaultSize="0" autoFill="0" autoLine="0" autoPict="0" macro="[0]!Sheet1.deleteRow">
                <anchor moveWithCells="1" sizeWithCells="1">
                  <from>
                    <xdr:col>6</xdr:col>
                    <xdr:colOff>0</xdr:colOff>
                    <xdr:row>1543</xdr:row>
                    <xdr:rowOff>0</xdr:rowOff>
                  </from>
                  <to>
                    <xdr:col>7</xdr:col>
                    <xdr:colOff>0</xdr:colOff>
                    <xdr:row>1543</xdr:row>
                    <xdr:rowOff>165100</xdr:rowOff>
                  </to>
                </anchor>
              </controlPr>
            </control>
          </mc:Choice>
        </mc:AlternateContent>
        <mc:AlternateContent xmlns:mc="http://schemas.openxmlformats.org/markup-compatibility/2006">
          <mc:Choice Requires="x14">
            <control shapeId="13850" r:id="rId815" name="Button 2586">
              <controlPr defaultSize="0" autoFill="0" autoLine="0" autoPict="0" macro="[0]!Sheet1.deleteRow">
                <anchor moveWithCells="1" sizeWithCells="1">
                  <from>
                    <xdr:col>6</xdr:col>
                    <xdr:colOff>0</xdr:colOff>
                    <xdr:row>1544</xdr:row>
                    <xdr:rowOff>0</xdr:rowOff>
                  </from>
                  <to>
                    <xdr:col>7</xdr:col>
                    <xdr:colOff>0</xdr:colOff>
                    <xdr:row>1544</xdr:row>
                    <xdr:rowOff>165100</xdr:rowOff>
                  </to>
                </anchor>
              </controlPr>
            </control>
          </mc:Choice>
        </mc:AlternateContent>
        <mc:AlternateContent xmlns:mc="http://schemas.openxmlformats.org/markup-compatibility/2006">
          <mc:Choice Requires="x14">
            <control shapeId="13849" r:id="rId816" name="Button 2585">
              <controlPr defaultSize="0" autoFill="0" autoLine="0" autoPict="0" macro="[0]!Sheet1.deleteRow">
                <anchor moveWithCells="1" sizeWithCells="1">
                  <from>
                    <xdr:col>6</xdr:col>
                    <xdr:colOff>0</xdr:colOff>
                    <xdr:row>1545</xdr:row>
                    <xdr:rowOff>0</xdr:rowOff>
                  </from>
                  <to>
                    <xdr:col>7</xdr:col>
                    <xdr:colOff>0</xdr:colOff>
                    <xdr:row>1545</xdr:row>
                    <xdr:rowOff>165100</xdr:rowOff>
                  </to>
                </anchor>
              </controlPr>
            </control>
          </mc:Choice>
        </mc:AlternateContent>
        <mc:AlternateContent xmlns:mc="http://schemas.openxmlformats.org/markup-compatibility/2006">
          <mc:Choice Requires="x14">
            <control shapeId="13848" r:id="rId817" name="Button 2584">
              <controlPr defaultSize="0" autoFill="0" autoLine="0" autoPict="0" macro="[0]!Sheet1.deleteRow">
                <anchor moveWithCells="1" sizeWithCells="1">
                  <from>
                    <xdr:col>6</xdr:col>
                    <xdr:colOff>0</xdr:colOff>
                    <xdr:row>1546</xdr:row>
                    <xdr:rowOff>0</xdr:rowOff>
                  </from>
                  <to>
                    <xdr:col>7</xdr:col>
                    <xdr:colOff>0</xdr:colOff>
                    <xdr:row>1546</xdr:row>
                    <xdr:rowOff>165100</xdr:rowOff>
                  </to>
                </anchor>
              </controlPr>
            </control>
          </mc:Choice>
        </mc:AlternateContent>
        <mc:AlternateContent xmlns:mc="http://schemas.openxmlformats.org/markup-compatibility/2006">
          <mc:Choice Requires="x14">
            <control shapeId="13847" r:id="rId818" name="Button 2583">
              <controlPr defaultSize="0" autoFill="0" autoLine="0" autoPict="0" macro="[0]!Sheet1.deleteRow">
                <anchor moveWithCells="1" sizeWithCells="1">
                  <from>
                    <xdr:col>6</xdr:col>
                    <xdr:colOff>0</xdr:colOff>
                    <xdr:row>1547</xdr:row>
                    <xdr:rowOff>0</xdr:rowOff>
                  </from>
                  <to>
                    <xdr:col>7</xdr:col>
                    <xdr:colOff>0</xdr:colOff>
                    <xdr:row>1547</xdr:row>
                    <xdr:rowOff>165100</xdr:rowOff>
                  </to>
                </anchor>
              </controlPr>
            </control>
          </mc:Choice>
        </mc:AlternateContent>
        <mc:AlternateContent xmlns:mc="http://schemas.openxmlformats.org/markup-compatibility/2006">
          <mc:Choice Requires="x14">
            <control shapeId="13846" r:id="rId819" name="Button 2582">
              <controlPr defaultSize="0" autoFill="0" autoLine="0" autoPict="0" macro="[0]!Sheet1.deleteRow">
                <anchor moveWithCells="1" sizeWithCells="1">
                  <from>
                    <xdr:col>6</xdr:col>
                    <xdr:colOff>0</xdr:colOff>
                    <xdr:row>1548</xdr:row>
                    <xdr:rowOff>0</xdr:rowOff>
                  </from>
                  <to>
                    <xdr:col>7</xdr:col>
                    <xdr:colOff>0</xdr:colOff>
                    <xdr:row>1548</xdr:row>
                    <xdr:rowOff>165100</xdr:rowOff>
                  </to>
                </anchor>
              </controlPr>
            </control>
          </mc:Choice>
        </mc:AlternateContent>
        <mc:AlternateContent xmlns:mc="http://schemas.openxmlformats.org/markup-compatibility/2006">
          <mc:Choice Requires="x14">
            <control shapeId="13845" r:id="rId820" name="Button 2581">
              <controlPr defaultSize="0" autoFill="0" autoLine="0" autoPict="0" macro="[0]!Sheet1.deleteRow">
                <anchor moveWithCells="1" sizeWithCells="1">
                  <from>
                    <xdr:col>6</xdr:col>
                    <xdr:colOff>0</xdr:colOff>
                    <xdr:row>1549</xdr:row>
                    <xdr:rowOff>0</xdr:rowOff>
                  </from>
                  <to>
                    <xdr:col>7</xdr:col>
                    <xdr:colOff>0</xdr:colOff>
                    <xdr:row>1549</xdr:row>
                    <xdr:rowOff>165100</xdr:rowOff>
                  </to>
                </anchor>
              </controlPr>
            </control>
          </mc:Choice>
        </mc:AlternateContent>
        <mc:AlternateContent xmlns:mc="http://schemas.openxmlformats.org/markup-compatibility/2006">
          <mc:Choice Requires="x14">
            <control shapeId="13844" r:id="rId821" name="Button 2580">
              <controlPr defaultSize="0" autoFill="0" autoLine="0" autoPict="0" macro="[0]!Sheet1.deleteRow">
                <anchor moveWithCells="1" sizeWithCells="1">
                  <from>
                    <xdr:col>6</xdr:col>
                    <xdr:colOff>0</xdr:colOff>
                    <xdr:row>1550</xdr:row>
                    <xdr:rowOff>0</xdr:rowOff>
                  </from>
                  <to>
                    <xdr:col>7</xdr:col>
                    <xdr:colOff>0</xdr:colOff>
                    <xdr:row>1550</xdr:row>
                    <xdr:rowOff>165100</xdr:rowOff>
                  </to>
                </anchor>
              </controlPr>
            </control>
          </mc:Choice>
        </mc:AlternateContent>
        <mc:AlternateContent xmlns:mc="http://schemas.openxmlformats.org/markup-compatibility/2006">
          <mc:Choice Requires="x14">
            <control shapeId="13843" r:id="rId822" name="Button 2579">
              <controlPr defaultSize="0" autoFill="0" autoLine="0" autoPict="0" macro="[0]!Sheet1.deleteRow">
                <anchor moveWithCells="1" sizeWithCells="1">
                  <from>
                    <xdr:col>6</xdr:col>
                    <xdr:colOff>0</xdr:colOff>
                    <xdr:row>1551</xdr:row>
                    <xdr:rowOff>0</xdr:rowOff>
                  </from>
                  <to>
                    <xdr:col>7</xdr:col>
                    <xdr:colOff>0</xdr:colOff>
                    <xdr:row>1551</xdr:row>
                    <xdr:rowOff>165100</xdr:rowOff>
                  </to>
                </anchor>
              </controlPr>
            </control>
          </mc:Choice>
        </mc:AlternateContent>
        <mc:AlternateContent xmlns:mc="http://schemas.openxmlformats.org/markup-compatibility/2006">
          <mc:Choice Requires="x14">
            <control shapeId="13842" r:id="rId823" name="Button 2578">
              <controlPr defaultSize="0" autoFill="0" autoLine="0" autoPict="0" macro="[0]!Sheet1.deleteRow">
                <anchor moveWithCells="1" sizeWithCells="1">
                  <from>
                    <xdr:col>6</xdr:col>
                    <xdr:colOff>0</xdr:colOff>
                    <xdr:row>1552</xdr:row>
                    <xdr:rowOff>0</xdr:rowOff>
                  </from>
                  <to>
                    <xdr:col>7</xdr:col>
                    <xdr:colOff>0</xdr:colOff>
                    <xdr:row>1552</xdr:row>
                    <xdr:rowOff>165100</xdr:rowOff>
                  </to>
                </anchor>
              </controlPr>
            </control>
          </mc:Choice>
        </mc:AlternateContent>
        <mc:AlternateContent xmlns:mc="http://schemas.openxmlformats.org/markup-compatibility/2006">
          <mc:Choice Requires="x14">
            <control shapeId="13841" r:id="rId824" name="Button 2577">
              <controlPr defaultSize="0" autoFill="0" autoLine="0" autoPict="0" macro="[0]!Sheet1.deleteRow">
                <anchor moveWithCells="1" sizeWithCells="1">
                  <from>
                    <xdr:col>6</xdr:col>
                    <xdr:colOff>0</xdr:colOff>
                    <xdr:row>1553</xdr:row>
                    <xdr:rowOff>0</xdr:rowOff>
                  </from>
                  <to>
                    <xdr:col>7</xdr:col>
                    <xdr:colOff>0</xdr:colOff>
                    <xdr:row>1553</xdr:row>
                    <xdr:rowOff>165100</xdr:rowOff>
                  </to>
                </anchor>
              </controlPr>
            </control>
          </mc:Choice>
        </mc:AlternateContent>
        <mc:AlternateContent xmlns:mc="http://schemas.openxmlformats.org/markup-compatibility/2006">
          <mc:Choice Requires="x14">
            <control shapeId="13840" r:id="rId825" name="Button 2576">
              <controlPr defaultSize="0" autoFill="0" autoLine="0" autoPict="0" macro="[0]!Sheet1.deleteRow">
                <anchor moveWithCells="1" sizeWithCells="1">
                  <from>
                    <xdr:col>6</xdr:col>
                    <xdr:colOff>0</xdr:colOff>
                    <xdr:row>1554</xdr:row>
                    <xdr:rowOff>0</xdr:rowOff>
                  </from>
                  <to>
                    <xdr:col>7</xdr:col>
                    <xdr:colOff>0</xdr:colOff>
                    <xdr:row>1554</xdr:row>
                    <xdr:rowOff>165100</xdr:rowOff>
                  </to>
                </anchor>
              </controlPr>
            </control>
          </mc:Choice>
        </mc:AlternateContent>
        <mc:AlternateContent xmlns:mc="http://schemas.openxmlformats.org/markup-compatibility/2006">
          <mc:Choice Requires="x14">
            <control shapeId="13839" r:id="rId826" name="Button 2575">
              <controlPr defaultSize="0" autoFill="0" autoLine="0" autoPict="0" macro="[0]!Sheet1.deleteRow">
                <anchor moveWithCells="1" sizeWithCells="1">
                  <from>
                    <xdr:col>6</xdr:col>
                    <xdr:colOff>0</xdr:colOff>
                    <xdr:row>1555</xdr:row>
                    <xdr:rowOff>0</xdr:rowOff>
                  </from>
                  <to>
                    <xdr:col>7</xdr:col>
                    <xdr:colOff>0</xdr:colOff>
                    <xdr:row>1555</xdr:row>
                    <xdr:rowOff>165100</xdr:rowOff>
                  </to>
                </anchor>
              </controlPr>
            </control>
          </mc:Choice>
        </mc:AlternateContent>
        <mc:AlternateContent xmlns:mc="http://schemas.openxmlformats.org/markup-compatibility/2006">
          <mc:Choice Requires="x14">
            <control shapeId="13838" r:id="rId827" name="Button 2574">
              <controlPr defaultSize="0" autoFill="0" autoLine="0" autoPict="0" macro="[0]!Sheet1.deleteRow">
                <anchor moveWithCells="1" sizeWithCells="1">
                  <from>
                    <xdr:col>6</xdr:col>
                    <xdr:colOff>0</xdr:colOff>
                    <xdr:row>1556</xdr:row>
                    <xdr:rowOff>0</xdr:rowOff>
                  </from>
                  <to>
                    <xdr:col>7</xdr:col>
                    <xdr:colOff>0</xdr:colOff>
                    <xdr:row>1556</xdr:row>
                    <xdr:rowOff>165100</xdr:rowOff>
                  </to>
                </anchor>
              </controlPr>
            </control>
          </mc:Choice>
        </mc:AlternateContent>
        <mc:AlternateContent xmlns:mc="http://schemas.openxmlformats.org/markup-compatibility/2006">
          <mc:Choice Requires="x14">
            <control shapeId="13837" r:id="rId828" name="Button 2573">
              <controlPr defaultSize="0" autoFill="0" autoLine="0" autoPict="0" macro="[0]!Sheet1.deleteRow">
                <anchor moveWithCells="1" sizeWithCells="1">
                  <from>
                    <xdr:col>6</xdr:col>
                    <xdr:colOff>0</xdr:colOff>
                    <xdr:row>1557</xdr:row>
                    <xdr:rowOff>0</xdr:rowOff>
                  </from>
                  <to>
                    <xdr:col>7</xdr:col>
                    <xdr:colOff>0</xdr:colOff>
                    <xdr:row>1557</xdr:row>
                    <xdr:rowOff>165100</xdr:rowOff>
                  </to>
                </anchor>
              </controlPr>
            </control>
          </mc:Choice>
        </mc:AlternateContent>
        <mc:AlternateContent xmlns:mc="http://schemas.openxmlformats.org/markup-compatibility/2006">
          <mc:Choice Requires="x14">
            <control shapeId="13836" r:id="rId829" name="Button 2572">
              <controlPr defaultSize="0" autoFill="0" autoLine="0" autoPict="0" macro="[0]!Sheet1.deleteRow">
                <anchor moveWithCells="1" sizeWithCells="1">
                  <from>
                    <xdr:col>6</xdr:col>
                    <xdr:colOff>0</xdr:colOff>
                    <xdr:row>1558</xdr:row>
                    <xdr:rowOff>0</xdr:rowOff>
                  </from>
                  <to>
                    <xdr:col>7</xdr:col>
                    <xdr:colOff>0</xdr:colOff>
                    <xdr:row>1558</xdr:row>
                    <xdr:rowOff>165100</xdr:rowOff>
                  </to>
                </anchor>
              </controlPr>
            </control>
          </mc:Choice>
        </mc:AlternateContent>
        <mc:AlternateContent xmlns:mc="http://schemas.openxmlformats.org/markup-compatibility/2006">
          <mc:Choice Requires="x14">
            <control shapeId="13835" r:id="rId830" name="Button 2571">
              <controlPr defaultSize="0" autoFill="0" autoLine="0" autoPict="0" macro="[0]!Sheet1.deleteRow">
                <anchor moveWithCells="1" sizeWithCells="1">
                  <from>
                    <xdr:col>6</xdr:col>
                    <xdr:colOff>0</xdr:colOff>
                    <xdr:row>1559</xdr:row>
                    <xdr:rowOff>0</xdr:rowOff>
                  </from>
                  <to>
                    <xdr:col>7</xdr:col>
                    <xdr:colOff>0</xdr:colOff>
                    <xdr:row>1559</xdr:row>
                    <xdr:rowOff>165100</xdr:rowOff>
                  </to>
                </anchor>
              </controlPr>
            </control>
          </mc:Choice>
        </mc:AlternateContent>
        <mc:AlternateContent xmlns:mc="http://schemas.openxmlformats.org/markup-compatibility/2006">
          <mc:Choice Requires="x14">
            <control shapeId="13834" r:id="rId831" name="Button 2570">
              <controlPr defaultSize="0" autoFill="0" autoLine="0" autoPict="0" macro="[0]!Sheet1.deleteRow">
                <anchor moveWithCells="1" sizeWithCells="1">
                  <from>
                    <xdr:col>6</xdr:col>
                    <xdr:colOff>0</xdr:colOff>
                    <xdr:row>1560</xdr:row>
                    <xdr:rowOff>0</xdr:rowOff>
                  </from>
                  <to>
                    <xdr:col>7</xdr:col>
                    <xdr:colOff>0</xdr:colOff>
                    <xdr:row>1560</xdr:row>
                    <xdr:rowOff>165100</xdr:rowOff>
                  </to>
                </anchor>
              </controlPr>
            </control>
          </mc:Choice>
        </mc:AlternateContent>
        <mc:AlternateContent xmlns:mc="http://schemas.openxmlformats.org/markup-compatibility/2006">
          <mc:Choice Requires="x14">
            <control shapeId="13833" r:id="rId832" name="Button 2569">
              <controlPr defaultSize="0" autoFill="0" autoLine="0" autoPict="0" macro="[0]!Sheet1.deleteRow">
                <anchor moveWithCells="1" sizeWithCells="1">
                  <from>
                    <xdr:col>6</xdr:col>
                    <xdr:colOff>0</xdr:colOff>
                    <xdr:row>1561</xdr:row>
                    <xdr:rowOff>0</xdr:rowOff>
                  </from>
                  <to>
                    <xdr:col>7</xdr:col>
                    <xdr:colOff>0</xdr:colOff>
                    <xdr:row>1561</xdr:row>
                    <xdr:rowOff>165100</xdr:rowOff>
                  </to>
                </anchor>
              </controlPr>
            </control>
          </mc:Choice>
        </mc:AlternateContent>
        <mc:AlternateContent xmlns:mc="http://schemas.openxmlformats.org/markup-compatibility/2006">
          <mc:Choice Requires="x14">
            <control shapeId="13832" r:id="rId833" name="Button 2568">
              <controlPr defaultSize="0" autoFill="0" autoLine="0" autoPict="0" macro="[0]!Sheet1.deleteRow">
                <anchor moveWithCells="1" sizeWithCells="1">
                  <from>
                    <xdr:col>6</xdr:col>
                    <xdr:colOff>0</xdr:colOff>
                    <xdr:row>1562</xdr:row>
                    <xdr:rowOff>0</xdr:rowOff>
                  </from>
                  <to>
                    <xdr:col>7</xdr:col>
                    <xdr:colOff>0</xdr:colOff>
                    <xdr:row>1562</xdr:row>
                    <xdr:rowOff>165100</xdr:rowOff>
                  </to>
                </anchor>
              </controlPr>
            </control>
          </mc:Choice>
        </mc:AlternateContent>
        <mc:AlternateContent xmlns:mc="http://schemas.openxmlformats.org/markup-compatibility/2006">
          <mc:Choice Requires="x14">
            <control shapeId="13831" r:id="rId834" name="Button 2567">
              <controlPr defaultSize="0" autoFill="0" autoLine="0" autoPict="0" macro="[0]!Sheet1.deleteRow">
                <anchor moveWithCells="1" sizeWithCells="1">
                  <from>
                    <xdr:col>6</xdr:col>
                    <xdr:colOff>0</xdr:colOff>
                    <xdr:row>1563</xdr:row>
                    <xdr:rowOff>0</xdr:rowOff>
                  </from>
                  <to>
                    <xdr:col>7</xdr:col>
                    <xdr:colOff>0</xdr:colOff>
                    <xdr:row>1563</xdr:row>
                    <xdr:rowOff>165100</xdr:rowOff>
                  </to>
                </anchor>
              </controlPr>
            </control>
          </mc:Choice>
        </mc:AlternateContent>
        <mc:AlternateContent xmlns:mc="http://schemas.openxmlformats.org/markup-compatibility/2006">
          <mc:Choice Requires="x14">
            <control shapeId="13830" r:id="rId835" name="Button 2566">
              <controlPr defaultSize="0" autoFill="0" autoLine="0" autoPict="0" macro="[0]!Sheet1.deleteRow">
                <anchor moveWithCells="1" sizeWithCells="1">
                  <from>
                    <xdr:col>6</xdr:col>
                    <xdr:colOff>0</xdr:colOff>
                    <xdr:row>1564</xdr:row>
                    <xdr:rowOff>0</xdr:rowOff>
                  </from>
                  <to>
                    <xdr:col>7</xdr:col>
                    <xdr:colOff>0</xdr:colOff>
                    <xdr:row>1564</xdr:row>
                    <xdr:rowOff>165100</xdr:rowOff>
                  </to>
                </anchor>
              </controlPr>
            </control>
          </mc:Choice>
        </mc:AlternateContent>
        <mc:AlternateContent xmlns:mc="http://schemas.openxmlformats.org/markup-compatibility/2006">
          <mc:Choice Requires="x14">
            <control shapeId="13829" r:id="rId836" name="Button 2565">
              <controlPr defaultSize="0" autoFill="0" autoLine="0" autoPict="0" macro="[0]!Sheet1.deleteRow">
                <anchor moveWithCells="1" sizeWithCells="1">
                  <from>
                    <xdr:col>6</xdr:col>
                    <xdr:colOff>0</xdr:colOff>
                    <xdr:row>1565</xdr:row>
                    <xdr:rowOff>0</xdr:rowOff>
                  </from>
                  <to>
                    <xdr:col>7</xdr:col>
                    <xdr:colOff>0</xdr:colOff>
                    <xdr:row>1565</xdr:row>
                    <xdr:rowOff>165100</xdr:rowOff>
                  </to>
                </anchor>
              </controlPr>
            </control>
          </mc:Choice>
        </mc:AlternateContent>
        <mc:AlternateContent xmlns:mc="http://schemas.openxmlformats.org/markup-compatibility/2006">
          <mc:Choice Requires="x14">
            <control shapeId="13828" r:id="rId837" name="Button 2564">
              <controlPr defaultSize="0" autoFill="0" autoLine="0" autoPict="0" macro="[0]!Sheet1.deleteRow">
                <anchor moveWithCells="1" sizeWithCells="1">
                  <from>
                    <xdr:col>6</xdr:col>
                    <xdr:colOff>0</xdr:colOff>
                    <xdr:row>1566</xdr:row>
                    <xdr:rowOff>0</xdr:rowOff>
                  </from>
                  <to>
                    <xdr:col>7</xdr:col>
                    <xdr:colOff>0</xdr:colOff>
                    <xdr:row>1566</xdr:row>
                    <xdr:rowOff>165100</xdr:rowOff>
                  </to>
                </anchor>
              </controlPr>
            </control>
          </mc:Choice>
        </mc:AlternateContent>
        <mc:AlternateContent xmlns:mc="http://schemas.openxmlformats.org/markup-compatibility/2006">
          <mc:Choice Requires="x14">
            <control shapeId="13827" r:id="rId838" name="Button 2563">
              <controlPr defaultSize="0" autoFill="0" autoLine="0" autoPict="0" macro="[0]!Sheet1.deleteProcedure">
                <anchor moveWithCells="1" sizeWithCells="1">
                  <from>
                    <xdr:col>6</xdr:col>
                    <xdr:colOff>0</xdr:colOff>
                    <xdr:row>1569</xdr:row>
                    <xdr:rowOff>0</xdr:rowOff>
                  </from>
                  <to>
                    <xdr:col>7</xdr:col>
                    <xdr:colOff>0</xdr:colOff>
                    <xdr:row>1570</xdr:row>
                    <xdr:rowOff>0</xdr:rowOff>
                  </to>
                </anchor>
              </controlPr>
            </control>
          </mc:Choice>
        </mc:AlternateContent>
        <mc:AlternateContent xmlns:mc="http://schemas.openxmlformats.org/markup-compatibility/2006">
          <mc:Choice Requires="x14">
            <control shapeId="13826" r:id="rId839" name="Button 2562">
              <controlPr defaultSize="0" autoFill="0" autoLine="0" autoPict="0" macro="[0]!Sheet1.InsertNewTableRow">
                <anchor moveWithCells="1" sizeWithCells="1">
                  <from>
                    <xdr:col>6</xdr:col>
                    <xdr:colOff>0</xdr:colOff>
                    <xdr:row>1576</xdr:row>
                    <xdr:rowOff>0</xdr:rowOff>
                  </from>
                  <to>
                    <xdr:col>7</xdr:col>
                    <xdr:colOff>0</xdr:colOff>
                    <xdr:row>1576</xdr:row>
                    <xdr:rowOff>171450</xdr:rowOff>
                  </to>
                </anchor>
              </controlPr>
            </control>
          </mc:Choice>
        </mc:AlternateContent>
        <mc:AlternateContent xmlns:mc="http://schemas.openxmlformats.org/markup-compatibility/2006">
          <mc:Choice Requires="x14">
            <control shapeId="13825" r:id="rId840" name="Button 2561">
              <controlPr defaultSize="0" autoFill="0" autoLine="0" autoPict="0" macro="[0]!Sheet1.deleteRow">
                <anchor moveWithCells="1" sizeWithCells="1">
                  <from>
                    <xdr:col>6</xdr:col>
                    <xdr:colOff>0</xdr:colOff>
                    <xdr:row>1577</xdr:row>
                    <xdr:rowOff>0</xdr:rowOff>
                  </from>
                  <to>
                    <xdr:col>7</xdr:col>
                    <xdr:colOff>0</xdr:colOff>
                    <xdr:row>1577</xdr:row>
                    <xdr:rowOff>165100</xdr:rowOff>
                  </to>
                </anchor>
              </controlPr>
            </control>
          </mc:Choice>
        </mc:AlternateContent>
        <mc:AlternateContent xmlns:mc="http://schemas.openxmlformats.org/markup-compatibility/2006">
          <mc:Choice Requires="x14">
            <control shapeId="13824" r:id="rId841" name="Button 2560">
              <controlPr defaultSize="0" autoFill="0" autoLine="0" autoPict="0" macro="[0]!Sheet1.deleteRow">
                <anchor moveWithCells="1" sizeWithCells="1">
                  <from>
                    <xdr:col>6</xdr:col>
                    <xdr:colOff>0</xdr:colOff>
                    <xdr:row>1578</xdr:row>
                    <xdr:rowOff>0</xdr:rowOff>
                  </from>
                  <to>
                    <xdr:col>7</xdr:col>
                    <xdr:colOff>0</xdr:colOff>
                    <xdr:row>1578</xdr:row>
                    <xdr:rowOff>165100</xdr:rowOff>
                  </to>
                </anchor>
              </controlPr>
            </control>
          </mc:Choice>
        </mc:AlternateContent>
        <mc:AlternateContent xmlns:mc="http://schemas.openxmlformats.org/markup-compatibility/2006">
          <mc:Choice Requires="x14">
            <control shapeId="13823" r:id="rId842" name="Button 2559">
              <controlPr defaultSize="0" autoFill="0" autoLine="0" autoPict="0" macro="[0]!Sheet1.deleteRow">
                <anchor moveWithCells="1" sizeWithCells="1">
                  <from>
                    <xdr:col>6</xdr:col>
                    <xdr:colOff>0</xdr:colOff>
                    <xdr:row>1579</xdr:row>
                    <xdr:rowOff>0</xdr:rowOff>
                  </from>
                  <to>
                    <xdr:col>7</xdr:col>
                    <xdr:colOff>0</xdr:colOff>
                    <xdr:row>1579</xdr:row>
                    <xdr:rowOff>165100</xdr:rowOff>
                  </to>
                </anchor>
              </controlPr>
            </control>
          </mc:Choice>
        </mc:AlternateContent>
        <mc:AlternateContent xmlns:mc="http://schemas.openxmlformats.org/markup-compatibility/2006">
          <mc:Choice Requires="x14">
            <control shapeId="13822" r:id="rId843" name="Button 2558">
              <controlPr defaultSize="0" autoFill="0" autoLine="0" autoPict="0" macro="[0]!Sheet1.deleteRow">
                <anchor moveWithCells="1" sizeWithCells="1">
                  <from>
                    <xdr:col>6</xdr:col>
                    <xdr:colOff>0</xdr:colOff>
                    <xdr:row>1580</xdr:row>
                    <xdr:rowOff>0</xdr:rowOff>
                  </from>
                  <to>
                    <xdr:col>7</xdr:col>
                    <xdr:colOff>0</xdr:colOff>
                    <xdr:row>1580</xdr:row>
                    <xdr:rowOff>165100</xdr:rowOff>
                  </to>
                </anchor>
              </controlPr>
            </control>
          </mc:Choice>
        </mc:AlternateContent>
        <mc:AlternateContent xmlns:mc="http://schemas.openxmlformats.org/markup-compatibility/2006">
          <mc:Choice Requires="x14">
            <control shapeId="13821" r:id="rId844" name="Button 2557">
              <controlPr defaultSize="0" autoFill="0" autoLine="0" autoPict="0" macro="[0]!Sheet1.deleteRow">
                <anchor moveWithCells="1" sizeWithCells="1">
                  <from>
                    <xdr:col>6</xdr:col>
                    <xdr:colOff>0</xdr:colOff>
                    <xdr:row>1581</xdr:row>
                    <xdr:rowOff>0</xdr:rowOff>
                  </from>
                  <to>
                    <xdr:col>7</xdr:col>
                    <xdr:colOff>0</xdr:colOff>
                    <xdr:row>1581</xdr:row>
                    <xdr:rowOff>165100</xdr:rowOff>
                  </to>
                </anchor>
              </controlPr>
            </control>
          </mc:Choice>
        </mc:AlternateContent>
        <mc:AlternateContent xmlns:mc="http://schemas.openxmlformats.org/markup-compatibility/2006">
          <mc:Choice Requires="x14">
            <control shapeId="13820" r:id="rId845" name="Button 2556">
              <controlPr defaultSize="0" autoFill="0" autoLine="0" autoPict="0" macro="[0]!Sheet1.deleteRow">
                <anchor moveWithCells="1" sizeWithCells="1">
                  <from>
                    <xdr:col>6</xdr:col>
                    <xdr:colOff>0</xdr:colOff>
                    <xdr:row>1582</xdr:row>
                    <xdr:rowOff>0</xdr:rowOff>
                  </from>
                  <to>
                    <xdr:col>7</xdr:col>
                    <xdr:colOff>0</xdr:colOff>
                    <xdr:row>1582</xdr:row>
                    <xdr:rowOff>165100</xdr:rowOff>
                  </to>
                </anchor>
              </controlPr>
            </control>
          </mc:Choice>
        </mc:AlternateContent>
        <mc:AlternateContent xmlns:mc="http://schemas.openxmlformats.org/markup-compatibility/2006">
          <mc:Choice Requires="x14">
            <control shapeId="13819" r:id="rId846" name="Button 2555">
              <controlPr defaultSize="0" autoFill="0" autoLine="0" autoPict="0" macro="[0]!Sheet1.deleteRow">
                <anchor moveWithCells="1" sizeWithCells="1">
                  <from>
                    <xdr:col>6</xdr:col>
                    <xdr:colOff>0</xdr:colOff>
                    <xdr:row>1583</xdr:row>
                    <xdr:rowOff>0</xdr:rowOff>
                  </from>
                  <to>
                    <xdr:col>7</xdr:col>
                    <xdr:colOff>0</xdr:colOff>
                    <xdr:row>1583</xdr:row>
                    <xdr:rowOff>165100</xdr:rowOff>
                  </to>
                </anchor>
              </controlPr>
            </control>
          </mc:Choice>
        </mc:AlternateContent>
        <mc:AlternateContent xmlns:mc="http://schemas.openxmlformats.org/markup-compatibility/2006">
          <mc:Choice Requires="x14">
            <control shapeId="13818" r:id="rId847" name="Button 2554">
              <controlPr defaultSize="0" autoFill="0" autoLine="0" autoPict="0" macro="[0]!Sheet1.deleteRow">
                <anchor moveWithCells="1" sizeWithCells="1">
                  <from>
                    <xdr:col>6</xdr:col>
                    <xdr:colOff>0</xdr:colOff>
                    <xdr:row>1584</xdr:row>
                    <xdr:rowOff>0</xdr:rowOff>
                  </from>
                  <to>
                    <xdr:col>7</xdr:col>
                    <xdr:colOff>0</xdr:colOff>
                    <xdr:row>1584</xdr:row>
                    <xdr:rowOff>165100</xdr:rowOff>
                  </to>
                </anchor>
              </controlPr>
            </control>
          </mc:Choice>
        </mc:AlternateContent>
        <mc:AlternateContent xmlns:mc="http://schemas.openxmlformats.org/markup-compatibility/2006">
          <mc:Choice Requires="x14">
            <control shapeId="13817" r:id="rId848" name="Button 2553">
              <controlPr defaultSize="0" autoFill="0" autoLine="0" autoPict="0" macro="[0]!Sheet1.deleteRow">
                <anchor moveWithCells="1" sizeWithCells="1">
                  <from>
                    <xdr:col>6</xdr:col>
                    <xdr:colOff>0</xdr:colOff>
                    <xdr:row>1585</xdr:row>
                    <xdr:rowOff>0</xdr:rowOff>
                  </from>
                  <to>
                    <xdr:col>7</xdr:col>
                    <xdr:colOff>0</xdr:colOff>
                    <xdr:row>1585</xdr:row>
                    <xdr:rowOff>165100</xdr:rowOff>
                  </to>
                </anchor>
              </controlPr>
            </control>
          </mc:Choice>
        </mc:AlternateContent>
        <mc:AlternateContent xmlns:mc="http://schemas.openxmlformats.org/markup-compatibility/2006">
          <mc:Choice Requires="x14">
            <control shapeId="13816" r:id="rId849" name="Button 2552">
              <controlPr defaultSize="0" autoFill="0" autoLine="0" autoPict="0" macro="[0]!Sheet1.deleteRow">
                <anchor moveWithCells="1" sizeWithCells="1">
                  <from>
                    <xdr:col>6</xdr:col>
                    <xdr:colOff>0</xdr:colOff>
                    <xdr:row>1586</xdr:row>
                    <xdr:rowOff>0</xdr:rowOff>
                  </from>
                  <to>
                    <xdr:col>7</xdr:col>
                    <xdr:colOff>0</xdr:colOff>
                    <xdr:row>1586</xdr:row>
                    <xdr:rowOff>165100</xdr:rowOff>
                  </to>
                </anchor>
              </controlPr>
            </control>
          </mc:Choice>
        </mc:AlternateContent>
        <mc:AlternateContent xmlns:mc="http://schemas.openxmlformats.org/markup-compatibility/2006">
          <mc:Choice Requires="x14">
            <control shapeId="13815" r:id="rId850" name="Button 2551">
              <controlPr defaultSize="0" autoFill="0" autoLine="0" autoPict="0" macro="[0]!Sheet1.deleteRow">
                <anchor moveWithCells="1" sizeWithCells="1">
                  <from>
                    <xdr:col>6</xdr:col>
                    <xdr:colOff>0</xdr:colOff>
                    <xdr:row>1587</xdr:row>
                    <xdr:rowOff>0</xdr:rowOff>
                  </from>
                  <to>
                    <xdr:col>7</xdr:col>
                    <xdr:colOff>0</xdr:colOff>
                    <xdr:row>1587</xdr:row>
                    <xdr:rowOff>165100</xdr:rowOff>
                  </to>
                </anchor>
              </controlPr>
            </control>
          </mc:Choice>
        </mc:AlternateContent>
        <mc:AlternateContent xmlns:mc="http://schemas.openxmlformats.org/markup-compatibility/2006">
          <mc:Choice Requires="x14">
            <control shapeId="13814" r:id="rId851" name="Button 2550">
              <controlPr defaultSize="0" autoFill="0" autoLine="0" autoPict="0" macro="[0]!Sheet1.deleteRow">
                <anchor moveWithCells="1" sizeWithCells="1">
                  <from>
                    <xdr:col>6</xdr:col>
                    <xdr:colOff>0</xdr:colOff>
                    <xdr:row>1588</xdr:row>
                    <xdr:rowOff>0</xdr:rowOff>
                  </from>
                  <to>
                    <xdr:col>7</xdr:col>
                    <xdr:colOff>0</xdr:colOff>
                    <xdr:row>1588</xdr:row>
                    <xdr:rowOff>165100</xdr:rowOff>
                  </to>
                </anchor>
              </controlPr>
            </control>
          </mc:Choice>
        </mc:AlternateContent>
        <mc:AlternateContent xmlns:mc="http://schemas.openxmlformats.org/markup-compatibility/2006">
          <mc:Choice Requires="x14">
            <control shapeId="13813" r:id="rId852" name="Button 2549">
              <controlPr defaultSize="0" autoFill="0" autoLine="0" autoPict="0" macro="[0]!Sheet1.deleteRow">
                <anchor moveWithCells="1" sizeWithCells="1">
                  <from>
                    <xdr:col>6</xdr:col>
                    <xdr:colOff>0</xdr:colOff>
                    <xdr:row>1589</xdr:row>
                    <xdr:rowOff>0</xdr:rowOff>
                  </from>
                  <to>
                    <xdr:col>7</xdr:col>
                    <xdr:colOff>0</xdr:colOff>
                    <xdr:row>1589</xdr:row>
                    <xdr:rowOff>165100</xdr:rowOff>
                  </to>
                </anchor>
              </controlPr>
            </control>
          </mc:Choice>
        </mc:AlternateContent>
        <mc:AlternateContent xmlns:mc="http://schemas.openxmlformats.org/markup-compatibility/2006">
          <mc:Choice Requires="x14">
            <control shapeId="13812" r:id="rId853" name="Button 2548">
              <controlPr defaultSize="0" autoFill="0" autoLine="0" autoPict="0" macro="[0]!Sheet1.deleteRow">
                <anchor moveWithCells="1" sizeWithCells="1">
                  <from>
                    <xdr:col>6</xdr:col>
                    <xdr:colOff>0</xdr:colOff>
                    <xdr:row>1590</xdr:row>
                    <xdr:rowOff>0</xdr:rowOff>
                  </from>
                  <to>
                    <xdr:col>7</xdr:col>
                    <xdr:colOff>0</xdr:colOff>
                    <xdr:row>1590</xdr:row>
                    <xdr:rowOff>165100</xdr:rowOff>
                  </to>
                </anchor>
              </controlPr>
            </control>
          </mc:Choice>
        </mc:AlternateContent>
        <mc:AlternateContent xmlns:mc="http://schemas.openxmlformats.org/markup-compatibility/2006">
          <mc:Choice Requires="x14">
            <control shapeId="13811" r:id="rId854" name="Button 2547">
              <controlPr defaultSize="0" autoFill="0" autoLine="0" autoPict="0" macro="[0]!Sheet1.deleteRow">
                <anchor moveWithCells="1" sizeWithCells="1">
                  <from>
                    <xdr:col>6</xdr:col>
                    <xdr:colOff>0</xdr:colOff>
                    <xdr:row>1591</xdr:row>
                    <xdr:rowOff>0</xdr:rowOff>
                  </from>
                  <to>
                    <xdr:col>7</xdr:col>
                    <xdr:colOff>0</xdr:colOff>
                    <xdr:row>1591</xdr:row>
                    <xdr:rowOff>165100</xdr:rowOff>
                  </to>
                </anchor>
              </controlPr>
            </control>
          </mc:Choice>
        </mc:AlternateContent>
        <mc:AlternateContent xmlns:mc="http://schemas.openxmlformats.org/markup-compatibility/2006">
          <mc:Choice Requires="x14">
            <control shapeId="13810" r:id="rId855" name="Button 2546">
              <controlPr defaultSize="0" autoFill="0" autoLine="0" autoPict="0" macro="[0]!Sheet1.deleteRow">
                <anchor moveWithCells="1" sizeWithCells="1">
                  <from>
                    <xdr:col>6</xdr:col>
                    <xdr:colOff>0</xdr:colOff>
                    <xdr:row>1592</xdr:row>
                    <xdr:rowOff>0</xdr:rowOff>
                  </from>
                  <to>
                    <xdr:col>7</xdr:col>
                    <xdr:colOff>0</xdr:colOff>
                    <xdr:row>1592</xdr:row>
                    <xdr:rowOff>165100</xdr:rowOff>
                  </to>
                </anchor>
              </controlPr>
            </control>
          </mc:Choice>
        </mc:AlternateContent>
        <mc:AlternateContent xmlns:mc="http://schemas.openxmlformats.org/markup-compatibility/2006">
          <mc:Choice Requires="x14">
            <control shapeId="13809" r:id="rId856" name="Button 2545">
              <controlPr defaultSize="0" autoFill="0" autoLine="0" autoPict="0" macro="[0]!Sheet1.deleteRow">
                <anchor moveWithCells="1" sizeWithCells="1">
                  <from>
                    <xdr:col>6</xdr:col>
                    <xdr:colOff>0</xdr:colOff>
                    <xdr:row>1593</xdr:row>
                    <xdr:rowOff>0</xdr:rowOff>
                  </from>
                  <to>
                    <xdr:col>7</xdr:col>
                    <xdr:colOff>0</xdr:colOff>
                    <xdr:row>1593</xdr:row>
                    <xdr:rowOff>165100</xdr:rowOff>
                  </to>
                </anchor>
              </controlPr>
            </control>
          </mc:Choice>
        </mc:AlternateContent>
        <mc:AlternateContent xmlns:mc="http://schemas.openxmlformats.org/markup-compatibility/2006">
          <mc:Choice Requires="x14">
            <control shapeId="13808" r:id="rId857" name="Button 2544">
              <controlPr defaultSize="0" autoFill="0" autoLine="0" autoPict="0" macro="[0]!Sheet1.deleteRow">
                <anchor moveWithCells="1" sizeWithCells="1">
                  <from>
                    <xdr:col>6</xdr:col>
                    <xdr:colOff>0</xdr:colOff>
                    <xdr:row>1594</xdr:row>
                    <xdr:rowOff>0</xdr:rowOff>
                  </from>
                  <to>
                    <xdr:col>7</xdr:col>
                    <xdr:colOff>0</xdr:colOff>
                    <xdr:row>1594</xdr:row>
                    <xdr:rowOff>165100</xdr:rowOff>
                  </to>
                </anchor>
              </controlPr>
            </control>
          </mc:Choice>
        </mc:AlternateContent>
        <mc:AlternateContent xmlns:mc="http://schemas.openxmlformats.org/markup-compatibility/2006">
          <mc:Choice Requires="x14">
            <control shapeId="13807" r:id="rId858" name="Button 2543">
              <controlPr defaultSize="0" autoFill="0" autoLine="0" autoPict="0" macro="[0]!Sheet1.deleteRow">
                <anchor moveWithCells="1" sizeWithCells="1">
                  <from>
                    <xdr:col>6</xdr:col>
                    <xdr:colOff>0</xdr:colOff>
                    <xdr:row>1595</xdr:row>
                    <xdr:rowOff>0</xdr:rowOff>
                  </from>
                  <to>
                    <xdr:col>7</xdr:col>
                    <xdr:colOff>0</xdr:colOff>
                    <xdr:row>1595</xdr:row>
                    <xdr:rowOff>165100</xdr:rowOff>
                  </to>
                </anchor>
              </controlPr>
            </control>
          </mc:Choice>
        </mc:AlternateContent>
        <mc:AlternateContent xmlns:mc="http://schemas.openxmlformats.org/markup-compatibility/2006">
          <mc:Choice Requires="x14">
            <control shapeId="13806" r:id="rId859" name="Button 2542">
              <controlPr defaultSize="0" autoFill="0" autoLine="0" autoPict="0" macro="[0]!Sheet1.deleteRow">
                <anchor moveWithCells="1" sizeWithCells="1">
                  <from>
                    <xdr:col>6</xdr:col>
                    <xdr:colOff>0</xdr:colOff>
                    <xdr:row>1596</xdr:row>
                    <xdr:rowOff>0</xdr:rowOff>
                  </from>
                  <to>
                    <xdr:col>7</xdr:col>
                    <xdr:colOff>0</xdr:colOff>
                    <xdr:row>1596</xdr:row>
                    <xdr:rowOff>165100</xdr:rowOff>
                  </to>
                </anchor>
              </controlPr>
            </control>
          </mc:Choice>
        </mc:AlternateContent>
        <mc:AlternateContent xmlns:mc="http://schemas.openxmlformats.org/markup-compatibility/2006">
          <mc:Choice Requires="x14">
            <control shapeId="13805" r:id="rId860" name="Button 2541">
              <controlPr defaultSize="0" autoFill="0" autoLine="0" autoPict="0" macro="[0]!Sheet1.deleteRow">
                <anchor moveWithCells="1" sizeWithCells="1">
                  <from>
                    <xdr:col>6</xdr:col>
                    <xdr:colOff>0</xdr:colOff>
                    <xdr:row>1597</xdr:row>
                    <xdr:rowOff>0</xdr:rowOff>
                  </from>
                  <to>
                    <xdr:col>7</xdr:col>
                    <xdr:colOff>0</xdr:colOff>
                    <xdr:row>1597</xdr:row>
                    <xdr:rowOff>165100</xdr:rowOff>
                  </to>
                </anchor>
              </controlPr>
            </control>
          </mc:Choice>
        </mc:AlternateContent>
        <mc:AlternateContent xmlns:mc="http://schemas.openxmlformats.org/markup-compatibility/2006">
          <mc:Choice Requires="x14">
            <control shapeId="13804" r:id="rId861" name="Button 2540">
              <controlPr defaultSize="0" autoFill="0" autoLine="0" autoPict="0" macro="[0]!Sheet1.deleteRow">
                <anchor moveWithCells="1" sizeWithCells="1">
                  <from>
                    <xdr:col>6</xdr:col>
                    <xdr:colOff>0</xdr:colOff>
                    <xdr:row>1598</xdr:row>
                    <xdr:rowOff>0</xdr:rowOff>
                  </from>
                  <to>
                    <xdr:col>7</xdr:col>
                    <xdr:colOff>0</xdr:colOff>
                    <xdr:row>1598</xdr:row>
                    <xdr:rowOff>165100</xdr:rowOff>
                  </to>
                </anchor>
              </controlPr>
            </control>
          </mc:Choice>
        </mc:AlternateContent>
        <mc:AlternateContent xmlns:mc="http://schemas.openxmlformats.org/markup-compatibility/2006">
          <mc:Choice Requires="x14">
            <control shapeId="13803" r:id="rId862" name="Button 2539">
              <controlPr defaultSize="0" autoFill="0" autoLine="0" autoPict="0" macro="[0]!Sheet1.deleteRow">
                <anchor moveWithCells="1" sizeWithCells="1">
                  <from>
                    <xdr:col>6</xdr:col>
                    <xdr:colOff>0</xdr:colOff>
                    <xdr:row>1599</xdr:row>
                    <xdr:rowOff>0</xdr:rowOff>
                  </from>
                  <to>
                    <xdr:col>7</xdr:col>
                    <xdr:colOff>0</xdr:colOff>
                    <xdr:row>1599</xdr:row>
                    <xdr:rowOff>165100</xdr:rowOff>
                  </to>
                </anchor>
              </controlPr>
            </control>
          </mc:Choice>
        </mc:AlternateContent>
        <mc:AlternateContent xmlns:mc="http://schemas.openxmlformats.org/markup-compatibility/2006">
          <mc:Choice Requires="x14">
            <control shapeId="13802" r:id="rId863" name="Button 2538">
              <controlPr defaultSize="0" autoFill="0" autoLine="0" autoPict="0" macro="[0]!Sheet1.deleteRow">
                <anchor moveWithCells="1" sizeWithCells="1">
                  <from>
                    <xdr:col>6</xdr:col>
                    <xdr:colOff>0</xdr:colOff>
                    <xdr:row>1600</xdr:row>
                    <xdr:rowOff>0</xdr:rowOff>
                  </from>
                  <to>
                    <xdr:col>7</xdr:col>
                    <xdr:colOff>0</xdr:colOff>
                    <xdr:row>1600</xdr:row>
                    <xdr:rowOff>165100</xdr:rowOff>
                  </to>
                </anchor>
              </controlPr>
            </control>
          </mc:Choice>
        </mc:AlternateContent>
        <mc:AlternateContent xmlns:mc="http://schemas.openxmlformats.org/markup-compatibility/2006">
          <mc:Choice Requires="x14">
            <control shapeId="13801" r:id="rId864" name="Button 2537">
              <controlPr defaultSize="0" autoFill="0" autoLine="0" autoPict="0" macro="[0]!Sheet1.deleteRow">
                <anchor moveWithCells="1" sizeWithCells="1">
                  <from>
                    <xdr:col>6</xdr:col>
                    <xdr:colOff>0</xdr:colOff>
                    <xdr:row>1601</xdr:row>
                    <xdr:rowOff>0</xdr:rowOff>
                  </from>
                  <to>
                    <xdr:col>7</xdr:col>
                    <xdr:colOff>0</xdr:colOff>
                    <xdr:row>1601</xdr:row>
                    <xdr:rowOff>165100</xdr:rowOff>
                  </to>
                </anchor>
              </controlPr>
            </control>
          </mc:Choice>
        </mc:AlternateContent>
        <mc:AlternateContent xmlns:mc="http://schemas.openxmlformats.org/markup-compatibility/2006">
          <mc:Choice Requires="x14">
            <control shapeId="13800" r:id="rId865" name="Button 2536">
              <controlPr defaultSize="0" autoFill="0" autoLine="0" autoPict="0" macro="[0]!Sheet1.deleteRow">
                <anchor moveWithCells="1" sizeWithCells="1">
                  <from>
                    <xdr:col>6</xdr:col>
                    <xdr:colOff>0</xdr:colOff>
                    <xdr:row>1602</xdr:row>
                    <xdr:rowOff>0</xdr:rowOff>
                  </from>
                  <to>
                    <xdr:col>7</xdr:col>
                    <xdr:colOff>0</xdr:colOff>
                    <xdr:row>1602</xdr:row>
                    <xdr:rowOff>165100</xdr:rowOff>
                  </to>
                </anchor>
              </controlPr>
            </control>
          </mc:Choice>
        </mc:AlternateContent>
        <mc:AlternateContent xmlns:mc="http://schemas.openxmlformats.org/markup-compatibility/2006">
          <mc:Choice Requires="x14">
            <control shapeId="13799" r:id="rId866" name="Button 2535">
              <controlPr defaultSize="0" autoFill="0" autoLine="0" autoPict="0" macro="[0]!Sheet1.deleteRow">
                <anchor moveWithCells="1" sizeWithCells="1">
                  <from>
                    <xdr:col>6</xdr:col>
                    <xdr:colOff>0</xdr:colOff>
                    <xdr:row>1603</xdr:row>
                    <xdr:rowOff>0</xdr:rowOff>
                  </from>
                  <to>
                    <xdr:col>7</xdr:col>
                    <xdr:colOff>0</xdr:colOff>
                    <xdr:row>1603</xdr:row>
                    <xdr:rowOff>165100</xdr:rowOff>
                  </to>
                </anchor>
              </controlPr>
            </control>
          </mc:Choice>
        </mc:AlternateContent>
        <mc:AlternateContent xmlns:mc="http://schemas.openxmlformats.org/markup-compatibility/2006">
          <mc:Choice Requires="x14">
            <control shapeId="13798" r:id="rId867" name="Button 2534">
              <controlPr defaultSize="0" autoFill="0" autoLine="0" autoPict="0" macro="[0]!Sheet1.deleteRow">
                <anchor moveWithCells="1" sizeWithCells="1">
                  <from>
                    <xdr:col>6</xdr:col>
                    <xdr:colOff>0</xdr:colOff>
                    <xdr:row>1604</xdr:row>
                    <xdr:rowOff>0</xdr:rowOff>
                  </from>
                  <to>
                    <xdr:col>7</xdr:col>
                    <xdr:colOff>0</xdr:colOff>
                    <xdr:row>1604</xdr:row>
                    <xdr:rowOff>165100</xdr:rowOff>
                  </to>
                </anchor>
              </controlPr>
            </control>
          </mc:Choice>
        </mc:AlternateContent>
        <mc:AlternateContent xmlns:mc="http://schemas.openxmlformats.org/markup-compatibility/2006">
          <mc:Choice Requires="x14">
            <control shapeId="13797" r:id="rId868" name="Button 2533">
              <controlPr defaultSize="0" autoFill="0" autoLine="0" autoPict="0" macro="[0]!Sheet1.deleteRow">
                <anchor moveWithCells="1" sizeWithCells="1">
                  <from>
                    <xdr:col>6</xdr:col>
                    <xdr:colOff>0</xdr:colOff>
                    <xdr:row>1605</xdr:row>
                    <xdr:rowOff>0</xdr:rowOff>
                  </from>
                  <to>
                    <xdr:col>7</xdr:col>
                    <xdr:colOff>0</xdr:colOff>
                    <xdr:row>1605</xdr:row>
                    <xdr:rowOff>165100</xdr:rowOff>
                  </to>
                </anchor>
              </controlPr>
            </control>
          </mc:Choice>
        </mc:AlternateContent>
        <mc:AlternateContent xmlns:mc="http://schemas.openxmlformats.org/markup-compatibility/2006">
          <mc:Choice Requires="x14">
            <control shapeId="13796" r:id="rId869" name="Button 2532">
              <controlPr defaultSize="0" autoFill="0" autoLine="0" autoPict="0" macro="[0]!Sheet1.deleteRow">
                <anchor moveWithCells="1" sizeWithCells="1">
                  <from>
                    <xdr:col>6</xdr:col>
                    <xdr:colOff>0</xdr:colOff>
                    <xdr:row>1606</xdr:row>
                    <xdr:rowOff>0</xdr:rowOff>
                  </from>
                  <to>
                    <xdr:col>7</xdr:col>
                    <xdr:colOff>0</xdr:colOff>
                    <xdr:row>1606</xdr:row>
                    <xdr:rowOff>165100</xdr:rowOff>
                  </to>
                </anchor>
              </controlPr>
            </control>
          </mc:Choice>
        </mc:AlternateContent>
        <mc:AlternateContent xmlns:mc="http://schemas.openxmlformats.org/markup-compatibility/2006">
          <mc:Choice Requires="x14">
            <control shapeId="13795" r:id="rId870" name="Button 2531">
              <controlPr defaultSize="0" autoFill="0" autoLine="0" autoPict="0" macro="[0]!Sheet1.deleteRow">
                <anchor moveWithCells="1" sizeWithCells="1">
                  <from>
                    <xdr:col>6</xdr:col>
                    <xdr:colOff>0</xdr:colOff>
                    <xdr:row>1607</xdr:row>
                    <xdr:rowOff>0</xdr:rowOff>
                  </from>
                  <to>
                    <xdr:col>7</xdr:col>
                    <xdr:colOff>0</xdr:colOff>
                    <xdr:row>1607</xdr:row>
                    <xdr:rowOff>165100</xdr:rowOff>
                  </to>
                </anchor>
              </controlPr>
            </control>
          </mc:Choice>
        </mc:AlternateContent>
        <mc:AlternateContent xmlns:mc="http://schemas.openxmlformats.org/markup-compatibility/2006">
          <mc:Choice Requires="x14">
            <control shapeId="13794" r:id="rId871" name="Button 2530">
              <controlPr defaultSize="0" autoFill="0" autoLine="0" autoPict="0" macro="[0]!Sheet1.deleteRow">
                <anchor moveWithCells="1" sizeWithCells="1">
                  <from>
                    <xdr:col>6</xdr:col>
                    <xdr:colOff>0</xdr:colOff>
                    <xdr:row>1608</xdr:row>
                    <xdr:rowOff>0</xdr:rowOff>
                  </from>
                  <to>
                    <xdr:col>7</xdr:col>
                    <xdr:colOff>0</xdr:colOff>
                    <xdr:row>1608</xdr:row>
                    <xdr:rowOff>165100</xdr:rowOff>
                  </to>
                </anchor>
              </controlPr>
            </control>
          </mc:Choice>
        </mc:AlternateContent>
        <mc:AlternateContent xmlns:mc="http://schemas.openxmlformats.org/markup-compatibility/2006">
          <mc:Choice Requires="x14">
            <control shapeId="13793" r:id="rId872" name="Button 2529">
              <controlPr defaultSize="0" autoFill="0" autoLine="0" autoPict="0" macro="[0]!Sheet1.deleteRow">
                <anchor moveWithCells="1" sizeWithCells="1">
                  <from>
                    <xdr:col>6</xdr:col>
                    <xdr:colOff>0</xdr:colOff>
                    <xdr:row>1609</xdr:row>
                    <xdr:rowOff>0</xdr:rowOff>
                  </from>
                  <to>
                    <xdr:col>7</xdr:col>
                    <xdr:colOff>0</xdr:colOff>
                    <xdr:row>1609</xdr:row>
                    <xdr:rowOff>165100</xdr:rowOff>
                  </to>
                </anchor>
              </controlPr>
            </control>
          </mc:Choice>
        </mc:AlternateContent>
        <mc:AlternateContent xmlns:mc="http://schemas.openxmlformats.org/markup-compatibility/2006">
          <mc:Choice Requires="x14">
            <control shapeId="13792" r:id="rId873" name="Button 2528">
              <controlPr defaultSize="0" autoFill="0" autoLine="0" autoPict="0" macro="[0]!Sheet1.deleteRow">
                <anchor moveWithCells="1" sizeWithCells="1">
                  <from>
                    <xdr:col>6</xdr:col>
                    <xdr:colOff>0</xdr:colOff>
                    <xdr:row>1610</xdr:row>
                    <xdr:rowOff>0</xdr:rowOff>
                  </from>
                  <to>
                    <xdr:col>7</xdr:col>
                    <xdr:colOff>0</xdr:colOff>
                    <xdr:row>1610</xdr:row>
                    <xdr:rowOff>165100</xdr:rowOff>
                  </to>
                </anchor>
              </controlPr>
            </control>
          </mc:Choice>
        </mc:AlternateContent>
        <mc:AlternateContent xmlns:mc="http://schemas.openxmlformats.org/markup-compatibility/2006">
          <mc:Choice Requires="x14">
            <control shapeId="13791" r:id="rId874" name="Button 2527">
              <controlPr defaultSize="0" autoFill="0" autoLine="0" autoPict="0" macro="[0]!Sheet1.deleteRow">
                <anchor moveWithCells="1" sizeWithCells="1">
                  <from>
                    <xdr:col>6</xdr:col>
                    <xdr:colOff>0</xdr:colOff>
                    <xdr:row>1611</xdr:row>
                    <xdr:rowOff>0</xdr:rowOff>
                  </from>
                  <to>
                    <xdr:col>7</xdr:col>
                    <xdr:colOff>0</xdr:colOff>
                    <xdr:row>1611</xdr:row>
                    <xdr:rowOff>165100</xdr:rowOff>
                  </to>
                </anchor>
              </controlPr>
            </control>
          </mc:Choice>
        </mc:AlternateContent>
        <mc:AlternateContent xmlns:mc="http://schemas.openxmlformats.org/markup-compatibility/2006">
          <mc:Choice Requires="x14">
            <control shapeId="13790" r:id="rId875" name="Button 2526">
              <controlPr defaultSize="0" autoFill="0" autoLine="0" autoPict="0" macro="[0]!Sheet1.deleteRow">
                <anchor moveWithCells="1" sizeWithCells="1">
                  <from>
                    <xdr:col>6</xdr:col>
                    <xdr:colOff>0</xdr:colOff>
                    <xdr:row>1612</xdr:row>
                    <xdr:rowOff>0</xdr:rowOff>
                  </from>
                  <to>
                    <xdr:col>7</xdr:col>
                    <xdr:colOff>0</xdr:colOff>
                    <xdr:row>1612</xdr:row>
                    <xdr:rowOff>165100</xdr:rowOff>
                  </to>
                </anchor>
              </controlPr>
            </control>
          </mc:Choice>
        </mc:AlternateContent>
        <mc:AlternateContent xmlns:mc="http://schemas.openxmlformats.org/markup-compatibility/2006">
          <mc:Choice Requires="x14">
            <control shapeId="13789" r:id="rId876" name="Button 2525">
              <controlPr defaultSize="0" autoFill="0" autoLine="0" autoPict="0" macro="[0]!Sheet1.deleteRow">
                <anchor moveWithCells="1" sizeWithCells="1">
                  <from>
                    <xdr:col>6</xdr:col>
                    <xdr:colOff>0</xdr:colOff>
                    <xdr:row>1613</xdr:row>
                    <xdr:rowOff>0</xdr:rowOff>
                  </from>
                  <to>
                    <xdr:col>7</xdr:col>
                    <xdr:colOff>0</xdr:colOff>
                    <xdr:row>1613</xdr:row>
                    <xdr:rowOff>165100</xdr:rowOff>
                  </to>
                </anchor>
              </controlPr>
            </control>
          </mc:Choice>
        </mc:AlternateContent>
        <mc:AlternateContent xmlns:mc="http://schemas.openxmlformats.org/markup-compatibility/2006">
          <mc:Choice Requires="x14">
            <control shapeId="13788" r:id="rId877" name="Button 2524">
              <controlPr defaultSize="0" autoFill="0" autoLine="0" autoPict="0" macro="[0]!Sheet1.deleteRow">
                <anchor moveWithCells="1" sizeWithCells="1">
                  <from>
                    <xdr:col>6</xdr:col>
                    <xdr:colOff>0</xdr:colOff>
                    <xdr:row>1614</xdr:row>
                    <xdr:rowOff>0</xdr:rowOff>
                  </from>
                  <to>
                    <xdr:col>7</xdr:col>
                    <xdr:colOff>0</xdr:colOff>
                    <xdr:row>1614</xdr:row>
                    <xdr:rowOff>165100</xdr:rowOff>
                  </to>
                </anchor>
              </controlPr>
            </control>
          </mc:Choice>
        </mc:AlternateContent>
        <mc:AlternateContent xmlns:mc="http://schemas.openxmlformats.org/markup-compatibility/2006">
          <mc:Choice Requires="x14">
            <control shapeId="13787" r:id="rId878" name="Button 2523">
              <controlPr defaultSize="0" autoFill="0" autoLine="0" autoPict="0" macro="[0]!Sheet1.deleteRow">
                <anchor moveWithCells="1" sizeWithCells="1">
                  <from>
                    <xdr:col>6</xdr:col>
                    <xdr:colOff>0</xdr:colOff>
                    <xdr:row>1615</xdr:row>
                    <xdr:rowOff>0</xdr:rowOff>
                  </from>
                  <to>
                    <xdr:col>7</xdr:col>
                    <xdr:colOff>0</xdr:colOff>
                    <xdr:row>1615</xdr:row>
                    <xdr:rowOff>165100</xdr:rowOff>
                  </to>
                </anchor>
              </controlPr>
            </control>
          </mc:Choice>
        </mc:AlternateContent>
        <mc:AlternateContent xmlns:mc="http://schemas.openxmlformats.org/markup-compatibility/2006">
          <mc:Choice Requires="x14">
            <control shapeId="13786" r:id="rId879" name="Button 2522">
              <controlPr defaultSize="0" autoFill="0" autoLine="0" autoPict="0" macro="[0]!Sheet1.deleteRow">
                <anchor moveWithCells="1" sizeWithCells="1">
                  <from>
                    <xdr:col>6</xdr:col>
                    <xdr:colOff>0</xdr:colOff>
                    <xdr:row>1616</xdr:row>
                    <xdr:rowOff>0</xdr:rowOff>
                  </from>
                  <to>
                    <xdr:col>7</xdr:col>
                    <xdr:colOff>0</xdr:colOff>
                    <xdr:row>1616</xdr:row>
                    <xdr:rowOff>165100</xdr:rowOff>
                  </to>
                </anchor>
              </controlPr>
            </control>
          </mc:Choice>
        </mc:AlternateContent>
        <mc:AlternateContent xmlns:mc="http://schemas.openxmlformats.org/markup-compatibility/2006">
          <mc:Choice Requires="x14">
            <control shapeId="13785" r:id="rId880" name="Button 2521">
              <controlPr defaultSize="0" autoFill="0" autoLine="0" autoPict="0" macro="[0]!Sheet1.deleteRow">
                <anchor moveWithCells="1" sizeWithCells="1">
                  <from>
                    <xdr:col>6</xdr:col>
                    <xdr:colOff>0</xdr:colOff>
                    <xdr:row>1617</xdr:row>
                    <xdr:rowOff>0</xdr:rowOff>
                  </from>
                  <to>
                    <xdr:col>7</xdr:col>
                    <xdr:colOff>0</xdr:colOff>
                    <xdr:row>1617</xdr:row>
                    <xdr:rowOff>165100</xdr:rowOff>
                  </to>
                </anchor>
              </controlPr>
            </control>
          </mc:Choice>
        </mc:AlternateContent>
        <mc:AlternateContent xmlns:mc="http://schemas.openxmlformats.org/markup-compatibility/2006">
          <mc:Choice Requires="x14">
            <control shapeId="13784" r:id="rId881" name="Button 2520">
              <controlPr defaultSize="0" autoFill="0" autoLine="0" autoPict="0" macro="[0]!Sheet1.deleteRow">
                <anchor moveWithCells="1" sizeWithCells="1">
                  <from>
                    <xdr:col>6</xdr:col>
                    <xdr:colOff>0</xdr:colOff>
                    <xdr:row>1618</xdr:row>
                    <xdr:rowOff>0</xdr:rowOff>
                  </from>
                  <to>
                    <xdr:col>7</xdr:col>
                    <xdr:colOff>0</xdr:colOff>
                    <xdr:row>1618</xdr:row>
                    <xdr:rowOff>165100</xdr:rowOff>
                  </to>
                </anchor>
              </controlPr>
            </control>
          </mc:Choice>
        </mc:AlternateContent>
        <mc:AlternateContent xmlns:mc="http://schemas.openxmlformats.org/markup-compatibility/2006">
          <mc:Choice Requires="x14">
            <control shapeId="13783" r:id="rId882" name="Button 2519">
              <controlPr defaultSize="0" autoFill="0" autoLine="0" autoPict="0" macro="[0]!Sheet1.deleteRow">
                <anchor moveWithCells="1" sizeWithCells="1">
                  <from>
                    <xdr:col>6</xdr:col>
                    <xdr:colOff>0</xdr:colOff>
                    <xdr:row>1619</xdr:row>
                    <xdr:rowOff>0</xdr:rowOff>
                  </from>
                  <to>
                    <xdr:col>7</xdr:col>
                    <xdr:colOff>0</xdr:colOff>
                    <xdr:row>1619</xdr:row>
                    <xdr:rowOff>165100</xdr:rowOff>
                  </to>
                </anchor>
              </controlPr>
            </control>
          </mc:Choice>
        </mc:AlternateContent>
        <mc:AlternateContent xmlns:mc="http://schemas.openxmlformats.org/markup-compatibility/2006">
          <mc:Choice Requires="x14">
            <control shapeId="13782" r:id="rId883" name="Button 2518">
              <controlPr defaultSize="0" autoFill="0" autoLine="0" autoPict="0" macro="[0]!Sheet1.deleteRow">
                <anchor moveWithCells="1" sizeWithCells="1">
                  <from>
                    <xdr:col>6</xdr:col>
                    <xdr:colOff>0</xdr:colOff>
                    <xdr:row>1620</xdr:row>
                    <xdr:rowOff>0</xdr:rowOff>
                  </from>
                  <to>
                    <xdr:col>7</xdr:col>
                    <xdr:colOff>0</xdr:colOff>
                    <xdr:row>1620</xdr:row>
                    <xdr:rowOff>165100</xdr:rowOff>
                  </to>
                </anchor>
              </controlPr>
            </control>
          </mc:Choice>
        </mc:AlternateContent>
        <mc:AlternateContent xmlns:mc="http://schemas.openxmlformats.org/markup-compatibility/2006">
          <mc:Choice Requires="x14">
            <control shapeId="13781" r:id="rId884" name="Button 2517">
              <controlPr defaultSize="0" autoFill="0" autoLine="0" autoPict="0" macro="[0]!Sheet1.deleteRow">
                <anchor moveWithCells="1" sizeWithCells="1">
                  <from>
                    <xdr:col>6</xdr:col>
                    <xdr:colOff>0</xdr:colOff>
                    <xdr:row>1621</xdr:row>
                    <xdr:rowOff>0</xdr:rowOff>
                  </from>
                  <to>
                    <xdr:col>7</xdr:col>
                    <xdr:colOff>0</xdr:colOff>
                    <xdr:row>1621</xdr:row>
                    <xdr:rowOff>165100</xdr:rowOff>
                  </to>
                </anchor>
              </controlPr>
            </control>
          </mc:Choice>
        </mc:AlternateContent>
        <mc:AlternateContent xmlns:mc="http://schemas.openxmlformats.org/markup-compatibility/2006">
          <mc:Choice Requires="x14">
            <control shapeId="13780" r:id="rId885" name="Button 2516">
              <controlPr defaultSize="0" autoFill="0" autoLine="0" autoPict="0" macro="[0]!Sheet1.deleteRow">
                <anchor moveWithCells="1" sizeWithCells="1">
                  <from>
                    <xdr:col>6</xdr:col>
                    <xdr:colOff>0</xdr:colOff>
                    <xdr:row>1622</xdr:row>
                    <xdr:rowOff>0</xdr:rowOff>
                  </from>
                  <to>
                    <xdr:col>7</xdr:col>
                    <xdr:colOff>0</xdr:colOff>
                    <xdr:row>1622</xdr:row>
                    <xdr:rowOff>165100</xdr:rowOff>
                  </to>
                </anchor>
              </controlPr>
            </control>
          </mc:Choice>
        </mc:AlternateContent>
        <mc:AlternateContent xmlns:mc="http://schemas.openxmlformats.org/markup-compatibility/2006">
          <mc:Choice Requires="x14">
            <control shapeId="13779" r:id="rId886" name="Button 2515">
              <controlPr defaultSize="0" autoFill="0" autoLine="0" autoPict="0" macro="[0]!Sheet1.deleteRow">
                <anchor moveWithCells="1" sizeWithCells="1">
                  <from>
                    <xdr:col>6</xdr:col>
                    <xdr:colOff>0</xdr:colOff>
                    <xdr:row>1623</xdr:row>
                    <xdr:rowOff>0</xdr:rowOff>
                  </from>
                  <to>
                    <xdr:col>7</xdr:col>
                    <xdr:colOff>0</xdr:colOff>
                    <xdr:row>1623</xdr:row>
                    <xdr:rowOff>165100</xdr:rowOff>
                  </to>
                </anchor>
              </controlPr>
            </control>
          </mc:Choice>
        </mc:AlternateContent>
        <mc:AlternateContent xmlns:mc="http://schemas.openxmlformats.org/markup-compatibility/2006">
          <mc:Choice Requires="x14">
            <control shapeId="13778" r:id="rId887" name="Button 2514">
              <controlPr defaultSize="0" autoFill="0" autoLine="0" autoPict="0" macro="[0]!Sheet1.deleteRow">
                <anchor moveWithCells="1" sizeWithCells="1">
                  <from>
                    <xdr:col>6</xdr:col>
                    <xdr:colOff>0</xdr:colOff>
                    <xdr:row>1624</xdr:row>
                    <xdr:rowOff>0</xdr:rowOff>
                  </from>
                  <to>
                    <xdr:col>7</xdr:col>
                    <xdr:colOff>0</xdr:colOff>
                    <xdr:row>1624</xdr:row>
                    <xdr:rowOff>165100</xdr:rowOff>
                  </to>
                </anchor>
              </controlPr>
            </control>
          </mc:Choice>
        </mc:AlternateContent>
        <mc:AlternateContent xmlns:mc="http://schemas.openxmlformats.org/markup-compatibility/2006">
          <mc:Choice Requires="x14">
            <control shapeId="13777" r:id="rId888" name="Button 2513">
              <controlPr defaultSize="0" autoFill="0" autoLine="0" autoPict="0" macro="[0]!Sheet1.deleteRow">
                <anchor moveWithCells="1" sizeWithCells="1">
                  <from>
                    <xdr:col>6</xdr:col>
                    <xdr:colOff>0</xdr:colOff>
                    <xdr:row>1625</xdr:row>
                    <xdr:rowOff>0</xdr:rowOff>
                  </from>
                  <to>
                    <xdr:col>7</xdr:col>
                    <xdr:colOff>0</xdr:colOff>
                    <xdr:row>1625</xdr:row>
                    <xdr:rowOff>165100</xdr:rowOff>
                  </to>
                </anchor>
              </controlPr>
            </control>
          </mc:Choice>
        </mc:AlternateContent>
        <mc:AlternateContent xmlns:mc="http://schemas.openxmlformats.org/markup-compatibility/2006">
          <mc:Choice Requires="x14">
            <control shapeId="13776" r:id="rId889" name="Button 2512">
              <controlPr defaultSize="0" autoFill="0" autoLine="0" autoPict="0" macro="[0]!Sheet1.deleteRow">
                <anchor moveWithCells="1" sizeWithCells="1">
                  <from>
                    <xdr:col>6</xdr:col>
                    <xdr:colOff>0</xdr:colOff>
                    <xdr:row>1626</xdr:row>
                    <xdr:rowOff>0</xdr:rowOff>
                  </from>
                  <to>
                    <xdr:col>7</xdr:col>
                    <xdr:colOff>0</xdr:colOff>
                    <xdr:row>1626</xdr:row>
                    <xdr:rowOff>165100</xdr:rowOff>
                  </to>
                </anchor>
              </controlPr>
            </control>
          </mc:Choice>
        </mc:AlternateContent>
        <mc:AlternateContent xmlns:mc="http://schemas.openxmlformats.org/markup-compatibility/2006">
          <mc:Choice Requires="x14">
            <control shapeId="13775" r:id="rId890" name="Button 2511">
              <controlPr defaultSize="0" autoFill="0" autoLine="0" autoPict="0" macro="[0]!Sheet1.deleteRow">
                <anchor moveWithCells="1" sizeWithCells="1">
                  <from>
                    <xdr:col>6</xdr:col>
                    <xdr:colOff>0</xdr:colOff>
                    <xdr:row>1627</xdr:row>
                    <xdr:rowOff>0</xdr:rowOff>
                  </from>
                  <to>
                    <xdr:col>7</xdr:col>
                    <xdr:colOff>0</xdr:colOff>
                    <xdr:row>1627</xdr:row>
                    <xdr:rowOff>165100</xdr:rowOff>
                  </to>
                </anchor>
              </controlPr>
            </control>
          </mc:Choice>
        </mc:AlternateContent>
        <mc:AlternateContent xmlns:mc="http://schemas.openxmlformats.org/markup-compatibility/2006">
          <mc:Choice Requires="x14">
            <control shapeId="13774" r:id="rId891" name="Button 2510">
              <controlPr defaultSize="0" autoFill="0" autoLine="0" autoPict="0" macro="[0]!Sheet1.deleteRow">
                <anchor moveWithCells="1" sizeWithCells="1">
                  <from>
                    <xdr:col>6</xdr:col>
                    <xdr:colOff>0</xdr:colOff>
                    <xdr:row>1628</xdr:row>
                    <xdr:rowOff>0</xdr:rowOff>
                  </from>
                  <to>
                    <xdr:col>7</xdr:col>
                    <xdr:colOff>0</xdr:colOff>
                    <xdr:row>1628</xdr:row>
                    <xdr:rowOff>165100</xdr:rowOff>
                  </to>
                </anchor>
              </controlPr>
            </control>
          </mc:Choice>
        </mc:AlternateContent>
        <mc:AlternateContent xmlns:mc="http://schemas.openxmlformats.org/markup-compatibility/2006">
          <mc:Choice Requires="x14">
            <control shapeId="13773" r:id="rId892" name="Button 2509">
              <controlPr defaultSize="0" autoFill="0" autoLine="0" autoPict="0" macro="[0]!Sheet1.deleteProcedure">
                <anchor moveWithCells="1" sizeWithCells="1">
                  <from>
                    <xdr:col>6</xdr:col>
                    <xdr:colOff>0</xdr:colOff>
                    <xdr:row>1631</xdr:row>
                    <xdr:rowOff>0</xdr:rowOff>
                  </from>
                  <to>
                    <xdr:col>7</xdr:col>
                    <xdr:colOff>0</xdr:colOff>
                    <xdr:row>1632</xdr:row>
                    <xdr:rowOff>0</xdr:rowOff>
                  </to>
                </anchor>
              </controlPr>
            </control>
          </mc:Choice>
        </mc:AlternateContent>
        <mc:AlternateContent xmlns:mc="http://schemas.openxmlformats.org/markup-compatibility/2006">
          <mc:Choice Requires="x14">
            <control shapeId="13772" r:id="rId893" name="Button 2508">
              <controlPr defaultSize="0" autoFill="0" autoLine="0" autoPict="0" macro="[0]!Sheet1.InsertNewTableRow">
                <anchor moveWithCells="1" sizeWithCells="1">
                  <from>
                    <xdr:col>6</xdr:col>
                    <xdr:colOff>0</xdr:colOff>
                    <xdr:row>1638</xdr:row>
                    <xdr:rowOff>0</xdr:rowOff>
                  </from>
                  <to>
                    <xdr:col>7</xdr:col>
                    <xdr:colOff>0</xdr:colOff>
                    <xdr:row>1638</xdr:row>
                    <xdr:rowOff>171450</xdr:rowOff>
                  </to>
                </anchor>
              </controlPr>
            </control>
          </mc:Choice>
        </mc:AlternateContent>
        <mc:AlternateContent xmlns:mc="http://schemas.openxmlformats.org/markup-compatibility/2006">
          <mc:Choice Requires="x14">
            <control shapeId="13771" r:id="rId894" name="Button 2507">
              <controlPr defaultSize="0" autoFill="0" autoLine="0" autoPict="0" macro="[0]!Sheet1.deleteRow">
                <anchor moveWithCells="1" sizeWithCells="1">
                  <from>
                    <xdr:col>6</xdr:col>
                    <xdr:colOff>0</xdr:colOff>
                    <xdr:row>1639</xdr:row>
                    <xdr:rowOff>0</xdr:rowOff>
                  </from>
                  <to>
                    <xdr:col>7</xdr:col>
                    <xdr:colOff>0</xdr:colOff>
                    <xdr:row>1639</xdr:row>
                    <xdr:rowOff>165100</xdr:rowOff>
                  </to>
                </anchor>
              </controlPr>
            </control>
          </mc:Choice>
        </mc:AlternateContent>
        <mc:AlternateContent xmlns:mc="http://schemas.openxmlformats.org/markup-compatibility/2006">
          <mc:Choice Requires="x14">
            <control shapeId="13770" r:id="rId895" name="Button 2506">
              <controlPr defaultSize="0" autoFill="0" autoLine="0" autoPict="0" macro="[0]!Sheet1.deleteRow">
                <anchor moveWithCells="1" sizeWithCells="1">
                  <from>
                    <xdr:col>6</xdr:col>
                    <xdr:colOff>0</xdr:colOff>
                    <xdr:row>1640</xdr:row>
                    <xdr:rowOff>0</xdr:rowOff>
                  </from>
                  <to>
                    <xdr:col>7</xdr:col>
                    <xdr:colOff>0</xdr:colOff>
                    <xdr:row>1640</xdr:row>
                    <xdr:rowOff>165100</xdr:rowOff>
                  </to>
                </anchor>
              </controlPr>
            </control>
          </mc:Choice>
        </mc:AlternateContent>
        <mc:AlternateContent xmlns:mc="http://schemas.openxmlformats.org/markup-compatibility/2006">
          <mc:Choice Requires="x14">
            <control shapeId="13769" r:id="rId896" name="Button 2505">
              <controlPr defaultSize="0" autoFill="0" autoLine="0" autoPict="0" macro="[0]!Sheet1.deleteRow">
                <anchor moveWithCells="1" sizeWithCells="1">
                  <from>
                    <xdr:col>6</xdr:col>
                    <xdr:colOff>0</xdr:colOff>
                    <xdr:row>1641</xdr:row>
                    <xdr:rowOff>0</xdr:rowOff>
                  </from>
                  <to>
                    <xdr:col>7</xdr:col>
                    <xdr:colOff>0</xdr:colOff>
                    <xdr:row>1641</xdr:row>
                    <xdr:rowOff>165100</xdr:rowOff>
                  </to>
                </anchor>
              </controlPr>
            </control>
          </mc:Choice>
        </mc:AlternateContent>
        <mc:AlternateContent xmlns:mc="http://schemas.openxmlformats.org/markup-compatibility/2006">
          <mc:Choice Requires="x14">
            <control shapeId="13768" r:id="rId897" name="Button 2504">
              <controlPr defaultSize="0" autoFill="0" autoLine="0" autoPict="0" macro="[0]!Sheet1.deleteRow">
                <anchor moveWithCells="1" sizeWithCells="1">
                  <from>
                    <xdr:col>6</xdr:col>
                    <xdr:colOff>0</xdr:colOff>
                    <xdr:row>1642</xdr:row>
                    <xdr:rowOff>0</xdr:rowOff>
                  </from>
                  <to>
                    <xdr:col>7</xdr:col>
                    <xdr:colOff>0</xdr:colOff>
                    <xdr:row>1642</xdr:row>
                    <xdr:rowOff>165100</xdr:rowOff>
                  </to>
                </anchor>
              </controlPr>
            </control>
          </mc:Choice>
        </mc:AlternateContent>
        <mc:AlternateContent xmlns:mc="http://schemas.openxmlformats.org/markup-compatibility/2006">
          <mc:Choice Requires="x14">
            <control shapeId="13767" r:id="rId898" name="Button 2503">
              <controlPr defaultSize="0" autoFill="0" autoLine="0" autoPict="0" macro="[0]!Sheet1.deleteRow">
                <anchor moveWithCells="1" sizeWithCells="1">
                  <from>
                    <xdr:col>6</xdr:col>
                    <xdr:colOff>0</xdr:colOff>
                    <xdr:row>1643</xdr:row>
                    <xdr:rowOff>0</xdr:rowOff>
                  </from>
                  <to>
                    <xdr:col>7</xdr:col>
                    <xdr:colOff>0</xdr:colOff>
                    <xdr:row>1643</xdr:row>
                    <xdr:rowOff>165100</xdr:rowOff>
                  </to>
                </anchor>
              </controlPr>
            </control>
          </mc:Choice>
        </mc:AlternateContent>
        <mc:AlternateContent xmlns:mc="http://schemas.openxmlformats.org/markup-compatibility/2006">
          <mc:Choice Requires="x14">
            <control shapeId="13766" r:id="rId899" name="Button 2502">
              <controlPr defaultSize="0" autoFill="0" autoLine="0" autoPict="0" macro="[0]!Sheet1.deleteRow">
                <anchor moveWithCells="1" sizeWithCells="1">
                  <from>
                    <xdr:col>6</xdr:col>
                    <xdr:colOff>0</xdr:colOff>
                    <xdr:row>1644</xdr:row>
                    <xdr:rowOff>0</xdr:rowOff>
                  </from>
                  <to>
                    <xdr:col>7</xdr:col>
                    <xdr:colOff>0</xdr:colOff>
                    <xdr:row>1644</xdr:row>
                    <xdr:rowOff>165100</xdr:rowOff>
                  </to>
                </anchor>
              </controlPr>
            </control>
          </mc:Choice>
        </mc:AlternateContent>
        <mc:AlternateContent xmlns:mc="http://schemas.openxmlformats.org/markup-compatibility/2006">
          <mc:Choice Requires="x14">
            <control shapeId="13765" r:id="rId900" name="Button 2501">
              <controlPr defaultSize="0" autoFill="0" autoLine="0" autoPict="0" macro="[0]!Sheet1.deleteRow">
                <anchor moveWithCells="1" sizeWithCells="1">
                  <from>
                    <xdr:col>6</xdr:col>
                    <xdr:colOff>0</xdr:colOff>
                    <xdr:row>1645</xdr:row>
                    <xdr:rowOff>0</xdr:rowOff>
                  </from>
                  <to>
                    <xdr:col>7</xdr:col>
                    <xdr:colOff>0</xdr:colOff>
                    <xdr:row>1645</xdr:row>
                    <xdr:rowOff>165100</xdr:rowOff>
                  </to>
                </anchor>
              </controlPr>
            </control>
          </mc:Choice>
        </mc:AlternateContent>
        <mc:AlternateContent xmlns:mc="http://schemas.openxmlformats.org/markup-compatibility/2006">
          <mc:Choice Requires="x14">
            <control shapeId="13764" r:id="rId901" name="Button 2500">
              <controlPr defaultSize="0" autoFill="0" autoLine="0" autoPict="0" macro="[0]!Sheet1.deleteRow">
                <anchor moveWithCells="1" sizeWithCells="1">
                  <from>
                    <xdr:col>6</xdr:col>
                    <xdr:colOff>0</xdr:colOff>
                    <xdr:row>1646</xdr:row>
                    <xdr:rowOff>0</xdr:rowOff>
                  </from>
                  <to>
                    <xdr:col>7</xdr:col>
                    <xdr:colOff>0</xdr:colOff>
                    <xdr:row>1646</xdr:row>
                    <xdr:rowOff>165100</xdr:rowOff>
                  </to>
                </anchor>
              </controlPr>
            </control>
          </mc:Choice>
        </mc:AlternateContent>
        <mc:AlternateContent xmlns:mc="http://schemas.openxmlformats.org/markup-compatibility/2006">
          <mc:Choice Requires="x14">
            <control shapeId="13763" r:id="rId902" name="Button 2499">
              <controlPr defaultSize="0" autoFill="0" autoLine="0" autoPict="0" macro="[0]!Sheet1.deleteRow">
                <anchor moveWithCells="1" sizeWithCells="1">
                  <from>
                    <xdr:col>6</xdr:col>
                    <xdr:colOff>0</xdr:colOff>
                    <xdr:row>1647</xdr:row>
                    <xdr:rowOff>0</xdr:rowOff>
                  </from>
                  <to>
                    <xdr:col>7</xdr:col>
                    <xdr:colOff>0</xdr:colOff>
                    <xdr:row>1647</xdr:row>
                    <xdr:rowOff>165100</xdr:rowOff>
                  </to>
                </anchor>
              </controlPr>
            </control>
          </mc:Choice>
        </mc:AlternateContent>
        <mc:AlternateContent xmlns:mc="http://schemas.openxmlformats.org/markup-compatibility/2006">
          <mc:Choice Requires="x14">
            <control shapeId="13762" r:id="rId903" name="Button 2498">
              <controlPr defaultSize="0" autoFill="0" autoLine="0" autoPict="0" macro="[0]!Sheet1.deleteRow">
                <anchor moveWithCells="1" sizeWithCells="1">
                  <from>
                    <xdr:col>6</xdr:col>
                    <xdr:colOff>0</xdr:colOff>
                    <xdr:row>1648</xdr:row>
                    <xdr:rowOff>0</xdr:rowOff>
                  </from>
                  <to>
                    <xdr:col>7</xdr:col>
                    <xdr:colOff>0</xdr:colOff>
                    <xdr:row>1648</xdr:row>
                    <xdr:rowOff>165100</xdr:rowOff>
                  </to>
                </anchor>
              </controlPr>
            </control>
          </mc:Choice>
        </mc:AlternateContent>
        <mc:AlternateContent xmlns:mc="http://schemas.openxmlformats.org/markup-compatibility/2006">
          <mc:Choice Requires="x14">
            <control shapeId="13761" r:id="rId904" name="Button 2497">
              <controlPr defaultSize="0" autoFill="0" autoLine="0" autoPict="0" macro="[0]!Sheet1.deleteRow">
                <anchor moveWithCells="1" sizeWithCells="1">
                  <from>
                    <xdr:col>6</xdr:col>
                    <xdr:colOff>0</xdr:colOff>
                    <xdr:row>1649</xdr:row>
                    <xdr:rowOff>0</xdr:rowOff>
                  </from>
                  <to>
                    <xdr:col>7</xdr:col>
                    <xdr:colOff>0</xdr:colOff>
                    <xdr:row>1649</xdr:row>
                    <xdr:rowOff>165100</xdr:rowOff>
                  </to>
                </anchor>
              </controlPr>
            </control>
          </mc:Choice>
        </mc:AlternateContent>
        <mc:AlternateContent xmlns:mc="http://schemas.openxmlformats.org/markup-compatibility/2006">
          <mc:Choice Requires="x14">
            <control shapeId="13760" r:id="rId905" name="Button 2496">
              <controlPr defaultSize="0" autoFill="0" autoLine="0" autoPict="0" macro="[0]!Sheet1.deleteRow">
                <anchor moveWithCells="1" sizeWithCells="1">
                  <from>
                    <xdr:col>6</xdr:col>
                    <xdr:colOff>0</xdr:colOff>
                    <xdr:row>1650</xdr:row>
                    <xdr:rowOff>0</xdr:rowOff>
                  </from>
                  <to>
                    <xdr:col>7</xdr:col>
                    <xdr:colOff>0</xdr:colOff>
                    <xdr:row>1650</xdr:row>
                    <xdr:rowOff>165100</xdr:rowOff>
                  </to>
                </anchor>
              </controlPr>
            </control>
          </mc:Choice>
        </mc:AlternateContent>
        <mc:AlternateContent xmlns:mc="http://schemas.openxmlformats.org/markup-compatibility/2006">
          <mc:Choice Requires="x14">
            <control shapeId="13759" r:id="rId906" name="Button 2495">
              <controlPr defaultSize="0" autoFill="0" autoLine="0" autoPict="0" macro="[0]!Sheet1.deleteRow">
                <anchor moveWithCells="1" sizeWithCells="1">
                  <from>
                    <xdr:col>6</xdr:col>
                    <xdr:colOff>0</xdr:colOff>
                    <xdr:row>1651</xdr:row>
                    <xdr:rowOff>0</xdr:rowOff>
                  </from>
                  <to>
                    <xdr:col>7</xdr:col>
                    <xdr:colOff>0</xdr:colOff>
                    <xdr:row>1651</xdr:row>
                    <xdr:rowOff>165100</xdr:rowOff>
                  </to>
                </anchor>
              </controlPr>
            </control>
          </mc:Choice>
        </mc:AlternateContent>
        <mc:AlternateContent xmlns:mc="http://schemas.openxmlformats.org/markup-compatibility/2006">
          <mc:Choice Requires="x14">
            <control shapeId="13758" r:id="rId907" name="Button 2494">
              <controlPr defaultSize="0" autoFill="0" autoLine="0" autoPict="0" macro="[0]!Sheet1.deleteRow">
                <anchor moveWithCells="1" sizeWithCells="1">
                  <from>
                    <xdr:col>6</xdr:col>
                    <xdr:colOff>0</xdr:colOff>
                    <xdr:row>1652</xdr:row>
                    <xdr:rowOff>0</xdr:rowOff>
                  </from>
                  <to>
                    <xdr:col>7</xdr:col>
                    <xdr:colOff>0</xdr:colOff>
                    <xdr:row>1652</xdr:row>
                    <xdr:rowOff>165100</xdr:rowOff>
                  </to>
                </anchor>
              </controlPr>
            </control>
          </mc:Choice>
        </mc:AlternateContent>
        <mc:AlternateContent xmlns:mc="http://schemas.openxmlformats.org/markup-compatibility/2006">
          <mc:Choice Requires="x14">
            <control shapeId="13757" r:id="rId908" name="Button 2493">
              <controlPr defaultSize="0" autoFill="0" autoLine="0" autoPict="0" macro="[0]!Sheet1.deleteRow">
                <anchor moveWithCells="1" sizeWithCells="1">
                  <from>
                    <xdr:col>6</xdr:col>
                    <xdr:colOff>0</xdr:colOff>
                    <xdr:row>1653</xdr:row>
                    <xdr:rowOff>0</xdr:rowOff>
                  </from>
                  <to>
                    <xdr:col>7</xdr:col>
                    <xdr:colOff>0</xdr:colOff>
                    <xdr:row>1653</xdr:row>
                    <xdr:rowOff>165100</xdr:rowOff>
                  </to>
                </anchor>
              </controlPr>
            </control>
          </mc:Choice>
        </mc:AlternateContent>
        <mc:AlternateContent xmlns:mc="http://schemas.openxmlformats.org/markup-compatibility/2006">
          <mc:Choice Requires="x14">
            <control shapeId="13756" r:id="rId909" name="Button 2492">
              <controlPr defaultSize="0" autoFill="0" autoLine="0" autoPict="0" macro="[0]!Sheet1.deleteRow">
                <anchor moveWithCells="1" sizeWithCells="1">
                  <from>
                    <xdr:col>6</xdr:col>
                    <xdr:colOff>0</xdr:colOff>
                    <xdr:row>1654</xdr:row>
                    <xdr:rowOff>0</xdr:rowOff>
                  </from>
                  <to>
                    <xdr:col>7</xdr:col>
                    <xdr:colOff>0</xdr:colOff>
                    <xdr:row>1654</xdr:row>
                    <xdr:rowOff>165100</xdr:rowOff>
                  </to>
                </anchor>
              </controlPr>
            </control>
          </mc:Choice>
        </mc:AlternateContent>
        <mc:AlternateContent xmlns:mc="http://schemas.openxmlformats.org/markup-compatibility/2006">
          <mc:Choice Requires="x14">
            <control shapeId="13755" r:id="rId910" name="Button 2491">
              <controlPr defaultSize="0" autoFill="0" autoLine="0" autoPict="0" macro="[0]!Sheet1.deleteRow">
                <anchor moveWithCells="1" sizeWithCells="1">
                  <from>
                    <xdr:col>6</xdr:col>
                    <xdr:colOff>0</xdr:colOff>
                    <xdr:row>1655</xdr:row>
                    <xdr:rowOff>0</xdr:rowOff>
                  </from>
                  <to>
                    <xdr:col>7</xdr:col>
                    <xdr:colOff>0</xdr:colOff>
                    <xdr:row>1655</xdr:row>
                    <xdr:rowOff>165100</xdr:rowOff>
                  </to>
                </anchor>
              </controlPr>
            </control>
          </mc:Choice>
        </mc:AlternateContent>
        <mc:AlternateContent xmlns:mc="http://schemas.openxmlformats.org/markup-compatibility/2006">
          <mc:Choice Requires="x14">
            <control shapeId="13754" r:id="rId911" name="Button 2490">
              <controlPr defaultSize="0" autoFill="0" autoLine="0" autoPict="0" macro="[0]!Sheet1.deleteRow">
                <anchor moveWithCells="1" sizeWithCells="1">
                  <from>
                    <xdr:col>6</xdr:col>
                    <xdr:colOff>0</xdr:colOff>
                    <xdr:row>1656</xdr:row>
                    <xdr:rowOff>0</xdr:rowOff>
                  </from>
                  <to>
                    <xdr:col>7</xdr:col>
                    <xdr:colOff>0</xdr:colOff>
                    <xdr:row>1656</xdr:row>
                    <xdr:rowOff>165100</xdr:rowOff>
                  </to>
                </anchor>
              </controlPr>
            </control>
          </mc:Choice>
        </mc:AlternateContent>
        <mc:AlternateContent xmlns:mc="http://schemas.openxmlformats.org/markup-compatibility/2006">
          <mc:Choice Requires="x14">
            <control shapeId="13753" r:id="rId912" name="Button 2489">
              <controlPr defaultSize="0" autoFill="0" autoLine="0" autoPict="0" macro="[0]!Sheet1.deleteRow">
                <anchor moveWithCells="1" sizeWithCells="1">
                  <from>
                    <xdr:col>6</xdr:col>
                    <xdr:colOff>0</xdr:colOff>
                    <xdr:row>1657</xdr:row>
                    <xdr:rowOff>0</xdr:rowOff>
                  </from>
                  <to>
                    <xdr:col>7</xdr:col>
                    <xdr:colOff>0</xdr:colOff>
                    <xdr:row>1657</xdr:row>
                    <xdr:rowOff>165100</xdr:rowOff>
                  </to>
                </anchor>
              </controlPr>
            </control>
          </mc:Choice>
        </mc:AlternateContent>
        <mc:AlternateContent xmlns:mc="http://schemas.openxmlformats.org/markup-compatibility/2006">
          <mc:Choice Requires="x14">
            <control shapeId="13752" r:id="rId913" name="Button 2488">
              <controlPr defaultSize="0" autoFill="0" autoLine="0" autoPict="0" macro="[0]!Sheet1.deleteRow">
                <anchor moveWithCells="1" sizeWithCells="1">
                  <from>
                    <xdr:col>6</xdr:col>
                    <xdr:colOff>0</xdr:colOff>
                    <xdr:row>1658</xdr:row>
                    <xdr:rowOff>0</xdr:rowOff>
                  </from>
                  <to>
                    <xdr:col>7</xdr:col>
                    <xdr:colOff>0</xdr:colOff>
                    <xdr:row>1658</xdr:row>
                    <xdr:rowOff>165100</xdr:rowOff>
                  </to>
                </anchor>
              </controlPr>
            </control>
          </mc:Choice>
        </mc:AlternateContent>
        <mc:AlternateContent xmlns:mc="http://schemas.openxmlformats.org/markup-compatibility/2006">
          <mc:Choice Requires="x14">
            <control shapeId="13751" r:id="rId914" name="Button 2487">
              <controlPr defaultSize="0" autoFill="0" autoLine="0" autoPict="0" macro="[0]!Sheet1.deleteRow">
                <anchor moveWithCells="1" sizeWithCells="1">
                  <from>
                    <xdr:col>6</xdr:col>
                    <xdr:colOff>0</xdr:colOff>
                    <xdr:row>1659</xdr:row>
                    <xdr:rowOff>0</xdr:rowOff>
                  </from>
                  <to>
                    <xdr:col>7</xdr:col>
                    <xdr:colOff>0</xdr:colOff>
                    <xdr:row>1659</xdr:row>
                    <xdr:rowOff>165100</xdr:rowOff>
                  </to>
                </anchor>
              </controlPr>
            </control>
          </mc:Choice>
        </mc:AlternateContent>
        <mc:AlternateContent xmlns:mc="http://schemas.openxmlformats.org/markup-compatibility/2006">
          <mc:Choice Requires="x14">
            <control shapeId="13750" r:id="rId915" name="Button 2486">
              <controlPr defaultSize="0" autoFill="0" autoLine="0" autoPict="0" macro="[0]!Sheet1.deleteRow">
                <anchor moveWithCells="1" sizeWithCells="1">
                  <from>
                    <xdr:col>6</xdr:col>
                    <xdr:colOff>0</xdr:colOff>
                    <xdr:row>1660</xdr:row>
                    <xdr:rowOff>0</xdr:rowOff>
                  </from>
                  <to>
                    <xdr:col>7</xdr:col>
                    <xdr:colOff>0</xdr:colOff>
                    <xdr:row>1660</xdr:row>
                    <xdr:rowOff>165100</xdr:rowOff>
                  </to>
                </anchor>
              </controlPr>
            </control>
          </mc:Choice>
        </mc:AlternateContent>
        <mc:AlternateContent xmlns:mc="http://schemas.openxmlformats.org/markup-compatibility/2006">
          <mc:Choice Requires="x14">
            <control shapeId="13749" r:id="rId916" name="Button 2485">
              <controlPr defaultSize="0" autoFill="0" autoLine="0" autoPict="0" macro="[0]!Sheet1.deleteRow">
                <anchor moveWithCells="1" sizeWithCells="1">
                  <from>
                    <xdr:col>6</xdr:col>
                    <xdr:colOff>0</xdr:colOff>
                    <xdr:row>1661</xdr:row>
                    <xdr:rowOff>0</xdr:rowOff>
                  </from>
                  <to>
                    <xdr:col>7</xdr:col>
                    <xdr:colOff>0</xdr:colOff>
                    <xdr:row>1661</xdr:row>
                    <xdr:rowOff>165100</xdr:rowOff>
                  </to>
                </anchor>
              </controlPr>
            </control>
          </mc:Choice>
        </mc:AlternateContent>
        <mc:AlternateContent xmlns:mc="http://schemas.openxmlformats.org/markup-compatibility/2006">
          <mc:Choice Requires="x14">
            <control shapeId="13748" r:id="rId917" name="Button 2484">
              <controlPr defaultSize="0" autoFill="0" autoLine="0" autoPict="0" macro="[0]!Sheet1.deleteRow">
                <anchor moveWithCells="1" sizeWithCells="1">
                  <from>
                    <xdr:col>6</xdr:col>
                    <xdr:colOff>0</xdr:colOff>
                    <xdr:row>1662</xdr:row>
                    <xdr:rowOff>0</xdr:rowOff>
                  </from>
                  <to>
                    <xdr:col>7</xdr:col>
                    <xdr:colOff>0</xdr:colOff>
                    <xdr:row>1662</xdr:row>
                    <xdr:rowOff>165100</xdr:rowOff>
                  </to>
                </anchor>
              </controlPr>
            </control>
          </mc:Choice>
        </mc:AlternateContent>
        <mc:AlternateContent xmlns:mc="http://schemas.openxmlformats.org/markup-compatibility/2006">
          <mc:Choice Requires="x14">
            <control shapeId="13747" r:id="rId918" name="Button 2483">
              <controlPr defaultSize="0" autoFill="0" autoLine="0" autoPict="0" macro="[0]!Sheet1.deleteRow">
                <anchor moveWithCells="1" sizeWithCells="1">
                  <from>
                    <xdr:col>6</xdr:col>
                    <xdr:colOff>0</xdr:colOff>
                    <xdr:row>1663</xdr:row>
                    <xdr:rowOff>0</xdr:rowOff>
                  </from>
                  <to>
                    <xdr:col>7</xdr:col>
                    <xdr:colOff>0</xdr:colOff>
                    <xdr:row>1663</xdr:row>
                    <xdr:rowOff>165100</xdr:rowOff>
                  </to>
                </anchor>
              </controlPr>
            </control>
          </mc:Choice>
        </mc:AlternateContent>
        <mc:AlternateContent xmlns:mc="http://schemas.openxmlformats.org/markup-compatibility/2006">
          <mc:Choice Requires="x14">
            <control shapeId="13746" r:id="rId919" name="Button 2482">
              <controlPr defaultSize="0" autoFill="0" autoLine="0" autoPict="0" macro="[0]!Sheet1.deleteRow">
                <anchor moveWithCells="1" sizeWithCells="1">
                  <from>
                    <xdr:col>6</xdr:col>
                    <xdr:colOff>0</xdr:colOff>
                    <xdr:row>1664</xdr:row>
                    <xdr:rowOff>0</xdr:rowOff>
                  </from>
                  <to>
                    <xdr:col>7</xdr:col>
                    <xdr:colOff>0</xdr:colOff>
                    <xdr:row>1664</xdr:row>
                    <xdr:rowOff>165100</xdr:rowOff>
                  </to>
                </anchor>
              </controlPr>
            </control>
          </mc:Choice>
        </mc:AlternateContent>
        <mc:AlternateContent xmlns:mc="http://schemas.openxmlformats.org/markup-compatibility/2006">
          <mc:Choice Requires="x14">
            <control shapeId="13745" r:id="rId920" name="Button 2481">
              <controlPr defaultSize="0" autoFill="0" autoLine="0" autoPict="0" macro="[0]!Sheet1.deleteRow">
                <anchor moveWithCells="1" sizeWithCells="1">
                  <from>
                    <xdr:col>6</xdr:col>
                    <xdr:colOff>0</xdr:colOff>
                    <xdr:row>1665</xdr:row>
                    <xdr:rowOff>0</xdr:rowOff>
                  </from>
                  <to>
                    <xdr:col>7</xdr:col>
                    <xdr:colOff>0</xdr:colOff>
                    <xdr:row>1665</xdr:row>
                    <xdr:rowOff>165100</xdr:rowOff>
                  </to>
                </anchor>
              </controlPr>
            </control>
          </mc:Choice>
        </mc:AlternateContent>
        <mc:AlternateContent xmlns:mc="http://schemas.openxmlformats.org/markup-compatibility/2006">
          <mc:Choice Requires="x14">
            <control shapeId="13744" r:id="rId921" name="Button 2480">
              <controlPr defaultSize="0" autoFill="0" autoLine="0" autoPict="0" macro="[0]!Sheet1.deleteRow">
                <anchor moveWithCells="1" sizeWithCells="1">
                  <from>
                    <xdr:col>6</xdr:col>
                    <xdr:colOff>0</xdr:colOff>
                    <xdr:row>1666</xdr:row>
                    <xdr:rowOff>0</xdr:rowOff>
                  </from>
                  <to>
                    <xdr:col>7</xdr:col>
                    <xdr:colOff>0</xdr:colOff>
                    <xdr:row>1666</xdr:row>
                    <xdr:rowOff>165100</xdr:rowOff>
                  </to>
                </anchor>
              </controlPr>
            </control>
          </mc:Choice>
        </mc:AlternateContent>
        <mc:AlternateContent xmlns:mc="http://schemas.openxmlformats.org/markup-compatibility/2006">
          <mc:Choice Requires="x14">
            <control shapeId="13743" r:id="rId922" name="Button 2479">
              <controlPr defaultSize="0" autoFill="0" autoLine="0" autoPict="0" macro="[0]!Sheet1.deleteRow">
                <anchor moveWithCells="1" sizeWithCells="1">
                  <from>
                    <xdr:col>6</xdr:col>
                    <xdr:colOff>0</xdr:colOff>
                    <xdr:row>1667</xdr:row>
                    <xdr:rowOff>0</xdr:rowOff>
                  </from>
                  <to>
                    <xdr:col>7</xdr:col>
                    <xdr:colOff>0</xdr:colOff>
                    <xdr:row>1667</xdr:row>
                    <xdr:rowOff>165100</xdr:rowOff>
                  </to>
                </anchor>
              </controlPr>
            </control>
          </mc:Choice>
        </mc:AlternateContent>
        <mc:AlternateContent xmlns:mc="http://schemas.openxmlformats.org/markup-compatibility/2006">
          <mc:Choice Requires="x14">
            <control shapeId="13742" r:id="rId923" name="Button 2478">
              <controlPr defaultSize="0" autoFill="0" autoLine="0" autoPict="0" macro="[0]!Sheet1.deleteRow">
                <anchor moveWithCells="1" sizeWithCells="1">
                  <from>
                    <xdr:col>6</xdr:col>
                    <xdr:colOff>0</xdr:colOff>
                    <xdr:row>1668</xdr:row>
                    <xdr:rowOff>0</xdr:rowOff>
                  </from>
                  <to>
                    <xdr:col>7</xdr:col>
                    <xdr:colOff>0</xdr:colOff>
                    <xdr:row>1668</xdr:row>
                    <xdr:rowOff>165100</xdr:rowOff>
                  </to>
                </anchor>
              </controlPr>
            </control>
          </mc:Choice>
        </mc:AlternateContent>
        <mc:AlternateContent xmlns:mc="http://schemas.openxmlformats.org/markup-compatibility/2006">
          <mc:Choice Requires="x14">
            <control shapeId="13741" r:id="rId924" name="Button 2477">
              <controlPr defaultSize="0" autoFill="0" autoLine="0" autoPict="0" macro="[0]!Sheet1.deleteRow">
                <anchor moveWithCells="1" sizeWithCells="1">
                  <from>
                    <xdr:col>6</xdr:col>
                    <xdr:colOff>0</xdr:colOff>
                    <xdr:row>1669</xdr:row>
                    <xdr:rowOff>0</xdr:rowOff>
                  </from>
                  <to>
                    <xdr:col>7</xdr:col>
                    <xdr:colOff>0</xdr:colOff>
                    <xdr:row>1669</xdr:row>
                    <xdr:rowOff>165100</xdr:rowOff>
                  </to>
                </anchor>
              </controlPr>
            </control>
          </mc:Choice>
        </mc:AlternateContent>
        <mc:AlternateContent xmlns:mc="http://schemas.openxmlformats.org/markup-compatibility/2006">
          <mc:Choice Requires="x14">
            <control shapeId="13740" r:id="rId925" name="Button 2476">
              <controlPr defaultSize="0" autoFill="0" autoLine="0" autoPict="0" macro="[0]!Sheet1.deleteRow">
                <anchor moveWithCells="1" sizeWithCells="1">
                  <from>
                    <xdr:col>6</xdr:col>
                    <xdr:colOff>0</xdr:colOff>
                    <xdr:row>1670</xdr:row>
                    <xdr:rowOff>0</xdr:rowOff>
                  </from>
                  <to>
                    <xdr:col>7</xdr:col>
                    <xdr:colOff>0</xdr:colOff>
                    <xdr:row>1670</xdr:row>
                    <xdr:rowOff>165100</xdr:rowOff>
                  </to>
                </anchor>
              </controlPr>
            </control>
          </mc:Choice>
        </mc:AlternateContent>
        <mc:AlternateContent xmlns:mc="http://schemas.openxmlformats.org/markup-compatibility/2006">
          <mc:Choice Requires="x14">
            <control shapeId="13739" r:id="rId926" name="Button 2475">
              <controlPr defaultSize="0" autoFill="0" autoLine="0" autoPict="0" macro="[0]!Sheet1.deleteRow">
                <anchor moveWithCells="1" sizeWithCells="1">
                  <from>
                    <xdr:col>6</xdr:col>
                    <xdr:colOff>0</xdr:colOff>
                    <xdr:row>1671</xdr:row>
                    <xdr:rowOff>0</xdr:rowOff>
                  </from>
                  <to>
                    <xdr:col>7</xdr:col>
                    <xdr:colOff>0</xdr:colOff>
                    <xdr:row>1671</xdr:row>
                    <xdr:rowOff>165100</xdr:rowOff>
                  </to>
                </anchor>
              </controlPr>
            </control>
          </mc:Choice>
        </mc:AlternateContent>
        <mc:AlternateContent xmlns:mc="http://schemas.openxmlformats.org/markup-compatibility/2006">
          <mc:Choice Requires="x14">
            <control shapeId="13738" r:id="rId927" name="Button 2474">
              <controlPr defaultSize="0" autoFill="0" autoLine="0" autoPict="0" macro="[0]!Sheet1.deleteRow">
                <anchor moveWithCells="1" sizeWithCells="1">
                  <from>
                    <xdr:col>6</xdr:col>
                    <xdr:colOff>0</xdr:colOff>
                    <xdr:row>1672</xdr:row>
                    <xdr:rowOff>0</xdr:rowOff>
                  </from>
                  <to>
                    <xdr:col>7</xdr:col>
                    <xdr:colOff>0</xdr:colOff>
                    <xdr:row>1672</xdr:row>
                    <xdr:rowOff>165100</xdr:rowOff>
                  </to>
                </anchor>
              </controlPr>
            </control>
          </mc:Choice>
        </mc:AlternateContent>
        <mc:AlternateContent xmlns:mc="http://schemas.openxmlformats.org/markup-compatibility/2006">
          <mc:Choice Requires="x14">
            <control shapeId="13737" r:id="rId928" name="Button 2473">
              <controlPr defaultSize="0" autoFill="0" autoLine="0" autoPict="0" macro="[0]!Sheet1.deleteRow">
                <anchor moveWithCells="1" sizeWithCells="1">
                  <from>
                    <xdr:col>6</xdr:col>
                    <xdr:colOff>0</xdr:colOff>
                    <xdr:row>1673</xdr:row>
                    <xdr:rowOff>0</xdr:rowOff>
                  </from>
                  <to>
                    <xdr:col>7</xdr:col>
                    <xdr:colOff>0</xdr:colOff>
                    <xdr:row>1673</xdr:row>
                    <xdr:rowOff>165100</xdr:rowOff>
                  </to>
                </anchor>
              </controlPr>
            </control>
          </mc:Choice>
        </mc:AlternateContent>
        <mc:AlternateContent xmlns:mc="http://schemas.openxmlformats.org/markup-compatibility/2006">
          <mc:Choice Requires="x14">
            <control shapeId="13736" r:id="rId929" name="Button 2472">
              <controlPr defaultSize="0" autoFill="0" autoLine="0" autoPict="0" macro="[0]!Sheet1.deleteRow">
                <anchor moveWithCells="1" sizeWithCells="1">
                  <from>
                    <xdr:col>6</xdr:col>
                    <xdr:colOff>0</xdr:colOff>
                    <xdr:row>1674</xdr:row>
                    <xdr:rowOff>0</xdr:rowOff>
                  </from>
                  <to>
                    <xdr:col>7</xdr:col>
                    <xdr:colOff>0</xdr:colOff>
                    <xdr:row>1674</xdr:row>
                    <xdr:rowOff>165100</xdr:rowOff>
                  </to>
                </anchor>
              </controlPr>
            </control>
          </mc:Choice>
        </mc:AlternateContent>
        <mc:AlternateContent xmlns:mc="http://schemas.openxmlformats.org/markup-compatibility/2006">
          <mc:Choice Requires="x14">
            <control shapeId="13735" r:id="rId930" name="Button 2471">
              <controlPr defaultSize="0" autoFill="0" autoLine="0" autoPict="0" macro="[0]!Sheet1.deleteRow">
                <anchor moveWithCells="1" sizeWithCells="1">
                  <from>
                    <xdr:col>6</xdr:col>
                    <xdr:colOff>0</xdr:colOff>
                    <xdr:row>1675</xdr:row>
                    <xdr:rowOff>0</xdr:rowOff>
                  </from>
                  <to>
                    <xdr:col>7</xdr:col>
                    <xdr:colOff>0</xdr:colOff>
                    <xdr:row>1675</xdr:row>
                    <xdr:rowOff>165100</xdr:rowOff>
                  </to>
                </anchor>
              </controlPr>
            </control>
          </mc:Choice>
        </mc:AlternateContent>
        <mc:AlternateContent xmlns:mc="http://schemas.openxmlformats.org/markup-compatibility/2006">
          <mc:Choice Requires="x14">
            <control shapeId="13734" r:id="rId931" name="Button 2470">
              <controlPr defaultSize="0" autoFill="0" autoLine="0" autoPict="0" macro="[0]!Sheet1.deleteRow">
                <anchor moveWithCells="1" sizeWithCells="1">
                  <from>
                    <xdr:col>6</xdr:col>
                    <xdr:colOff>0</xdr:colOff>
                    <xdr:row>1676</xdr:row>
                    <xdr:rowOff>0</xdr:rowOff>
                  </from>
                  <to>
                    <xdr:col>7</xdr:col>
                    <xdr:colOff>0</xdr:colOff>
                    <xdr:row>1676</xdr:row>
                    <xdr:rowOff>165100</xdr:rowOff>
                  </to>
                </anchor>
              </controlPr>
            </control>
          </mc:Choice>
        </mc:AlternateContent>
        <mc:AlternateContent xmlns:mc="http://schemas.openxmlformats.org/markup-compatibility/2006">
          <mc:Choice Requires="x14">
            <control shapeId="13733" r:id="rId932" name="Button 2469">
              <controlPr defaultSize="0" autoFill="0" autoLine="0" autoPict="0" macro="[0]!Sheet1.deleteRow">
                <anchor moveWithCells="1" sizeWithCells="1">
                  <from>
                    <xdr:col>6</xdr:col>
                    <xdr:colOff>0</xdr:colOff>
                    <xdr:row>1677</xdr:row>
                    <xdr:rowOff>0</xdr:rowOff>
                  </from>
                  <to>
                    <xdr:col>7</xdr:col>
                    <xdr:colOff>0</xdr:colOff>
                    <xdr:row>1677</xdr:row>
                    <xdr:rowOff>165100</xdr:rowOff>
                  </to>
                </anchor>
              </controlPr>
            </control>
          </mc:Choice>
        </mc:AlternateContent>
        <mc:AlternateContent xmlns:mc="http://schemas.openxmlformats.org/markup-compatibility/2006">
          <mc:Choice Requires="x14">
            <control shapeId="13732" r:id="rId933" name="Button 2468">
              <controlPr defaultSize="0" autoFill="0" autoLine="0" autoPict="0" macro="[0]!Sheet1.deleteRow">
                <anchor moveWithCells="1" sizeWithCells="1">
                  <from>
                    <xdr:col>6</xdr:col>
                    <xdr:colOff>0</xdr:colOff>
                    <xdr:row>1678</xdr:row>
                    <xdr:rowOff>0</xdr:rowOff>
                  </from>
                  <to>
                    <xdr:col>7</xdr:col>
                    <xdr:colOff>0</xdr:colOff>
                    <xdr:row>1678</xdr:row>
                    <xdr:rowOff>165100</xdr:rowOff>
                  </to>
                </anchor>
              </controlPr>
            </control>
          </mc:Choice>
        </mc:AlternateContent>
        <mc:AlternateContent xmlns:mc="http://schemas.openxmlformats.org/markup-compatibility/2006">
          <mc:Choice Requires="x14">
            <control shapeId="13731" r:id="rId934" name="Button 2467">
              <controlPr defaultSize="0" autoFill="0" autoLine="0" autoPict="0" macro="[0]!Sheet1.deleteRow">
                <anchor moveWithCells="1" sizeWithCells="1">
                  <from>
                    <xdr:col>6</xdr:col>
                    <xdr:colOff>0</xdr:colOff>
                    <xdr:row>1679</xdr:row>
                    <xdr:rowOff>0</xdr:rowOff>
                  </from>
                  <to>
                    <xdr:col>7</xdr:col>
                    <xdr:colOff>0</xdr:colOff>
                    <xdr:row>1679</xdr:row>
                    <xdr:rowOff>165100</xdr:rowOff>
                  </to>
                </anchor>
              </controlPr>
            </control>
          </mc:Choice>
        </mc:AlternateContent>
        <mc:AlternateContent xmlns:mc="http://schemas.openxmlformats.org/markup-compatibility/2006">
          <mc:Choice Requires="x14">
            <control shapeId="13730" r:id="rId935" name="Button 2466">
              <controlPr defaultSize="0" autoFill="0" autoLine="0" autoPict="0" macro="[0]!Sheet1.deleteRow">
                <anchor moveWithCells="1" sizeWithCells="1">
                  <from>
                    <xdr:col>6</xdr:col>
                    <xdr:colOff>0</xdr:colOff>
                    <xdr:row>1680</xdr:row>
                    <xdr:rowOff>0</xdr:rowOff>
                  </from>
                  <to>
                    <xdr:col>7</xdr:col>
                    <xdr:colOff>0</xdr:colOff>
                    <xdr:row>1680</xdr:row>
                    <xdr:rowOff>165100</xdr:rowOff>
                  </to>
                </anchor>
              </controlPr>
            </control>
          </mc:Choice>
        </mc:AlternateContent>
        <mc:AlternateContent xmlns:mc="http://schemas.openxmlformats.org/markup-compatibility/2006">
          <mc:Choice Requires="x14">
            <control shapeId="13729" r:id="rId936" name="Button 2465">
              <controlPr defaultSize="0" autoFill="0" autoLine="0" autoPict="0" macro="[0]!Sheet1.deleteRow">
                <anchor moveWithCells="1" sizeWithCells="1">
                  <from>
                    <xdr:col>6</xdr:col>
                    <xdr:colOff>0</xdr:colOff>
                    <xdr:row>1681</xdr:row>
                    <xdr:rowOff>0</xdr:rowOff>
                  </from>
                  <to>
                    <xdr:col>7</xdr:col>
                    <xdr:colOff>0</xdr:colOff>
                    <xdr:row>1681</xdr:row>
                    <xdr:rowOff>165100</xdr:rowOff>
                  </to>
                </anchor>
              </controlPr>
            </control>
          </mc:Choice>
        </mc:AlternateContent>
        <mc:AlternateContent xmlns:mc="http://schemas.openxmlformats.org/markup-compatibility/2006">
          <mc:Choice Requires="x14">
            <control shapeId="13728" r:id="rId937" name="Button 2464">
              <controlPr defaultSize="0" autoFill="0" autoLine="0" autoPict="0" macro="[0]!Sheet1.deleteRow">
                <anchor moveWithCells="1" sizeWithCells="1">
                  <from>
                    <xdr:col>6</xdr:col>
                    <xdr:colOff>0</xdr:colOff>
                    <xdr:row>1682</xdr:row>
                    <xdr:rowOff>0</xdr:rowOff>
                  </from>
                  <to>
                    <xdr:col>7</xdr:col>
                    <xdr:colOff>0</xdr:colOff>
                    <xdr:row>1682</xdr:row>
                    <xdr:rowOff>165100</xdr:rowOff>
                  </to>
                </anchor>
              </controlPr>
            </control>
          </mc:Choice>
        </mc:AlternateContent>
        <mc:AlternateContent xmlns:mc="http://schemas.openxmlformats.org/markup-compatibility/2006">
          <mc:Choice Requires="x14">
            <control shapeId="13727" r:id="rId938" name="Button 2463">
              <controlPr defaultSize="0" autoFill="0" autoLine="0" autoPict="0" macro="[0]!Sheet1.deleteRow">
                <anchor moveWithCells="1" sizeWithCells="1">
                  <from>
                    <xdr:col>6</xdr:col>
                    <xdr:colOff>0</xdr:colOff>
                    <xdr:row>1683</xdr:row>
                    <xdr:rowOff>0</xdr:rowOff>
                  </from>
                  <to>
                    <xdr:col>7</xdr:col>
                    <xdr:colOff>0</xdr:colOff>
                    <xdr:row>1683</xdr:row>
                    <xdr:rowOff>165100</xdr:rowOff>
                  </to>
                </anchor>
              </controlPr>
            </control>
          </mc:Choice>
        </mc:AlternateContent>
        <mc:AlternateContent xmlns:mc="http://schemas.openxmlformats.org/markup-compatibility/2006">
          <mc:Choice Requires="x14">
            <control shapeId="13726" r:id="rId939" name="Button 2462">
              <controlPr defaultSize="0" autoFill="0" autoLine="0" autoPict="0" macro="[0]!Sheet1.deleteRow">
                <anchor moveWithCells="1" sizeWithCells="1">
                  <from>
                    <xdr:col>6</xdr:col>
                    <xdr:colOff>0</xdr:colOff>
                    <xdr:row>1684</xdr:row>
                    <xdr:rowOff>0</xdr:rowOff>
                  </from>
                  <to>
                    <xdr:col>7</xdr:col>
                    <xdr:colOff>0</xdr:colOff>
                    <xdr:row>1684</xdr:row>
                    <xdr:rowOff>165100</xdr:rowOff>
                  </to>
                </anchor>
              </controlPr>
            </control>
          </mc:Choice>
        </mc:AlternateContent>
        <mc:AlternateContent xmlns:mc="http://schemas.openxmlformats.org/markup-compatibility/2006">
          <mc:Choice Requires="x14">
            <control shapeId="13725" r:id="rId940" name="Button 2461">
              <controlPr defaultSize="0" autoFill="0" autoLine="0" autoPict="0" macro="[0]!Sheet1.deleteRow">
                <anchor moveWithCells="1" sizeWithCells="1">
                  <from>
                    <xdr:col>6</xdr:col>
                    <xdr:colOff>0</xdr:colOff>
                    <xdr:row>1685</xdr:row>
                    <xdr:rowOff>0</xdr:rowOff>
                  </from>
                  <to>
                    <xdr:col>7</xdr:col>
                    <xdr:colOff>0</xdr:colOff>
                    <xdr:row>1685</xdr:row>
                    <xdr:rowOff>165100</xdr:rowOff>
                  </to>
                </anchor>
              </controlPr>
            </control>
          </mc:Choice>
        </mc:AlternateContent>
        <mc:AlternateContent xmlns:mc="http://schemas.openxmlformats.org/markup-compatibility/2006">
          <mc:Choice Requires="x14">
            <control shapeId="13724" r:id="rId941" name="Button 2460">
              <controlPr defaultSize="0" autoFill="0" autoLine="0" autoPict="0" macro="[0]!Sheet1.deleteRow">
                <anchor moveWithCells="1" sizeWithCells="1">
                  <from>
                    <xdr:col>6</xdr:col>
                    <xdr:colOff>0</xdr:colOff>
                    <xdr:row>1686</xdr:row>
                    <xdr:rowOff>0</xdr:rowOff>
                  </from>
                  <to>
                    <xdr:col>7</xdr:col>
                    <xdr:colOff>0</xdr:colOff>
                    <xdr:row>1686</xdr:row>
                    <xdr:rowOff>165100</xdr:rowOff>
                  </to>
                </anchor>
              </controlPr>
            </control>
          </mc:Choice>
        </mc:AlternateContent>
        <mc:AlternateContent xmlns:mc="http://schemas.openxmlformats.org/markup-compatibility/2006">
          <mc:Choice Requires="x14">
            <control shapeId="13723" r:id="rId942" name="Button 2459">
              <controlPr defaultSize="0" autoFill="0" autoLine="0" autoPict="0" macro="[0]!Sheet1.deleteProcedure">
                <anchor moveWithCells="1" sizeWithCells="1">
                  <from>
                    <xdr:col>6</xdr:col>
                    <xdr:colOff>0</xdr:colOff>
                    <xdr:row>1689</xdr:row>
                    <xdr:rowOff>0</xdr:rowOff>
                  </from>
                  <to>
                    <xdr:col>7</xdr:col>
                    <xdr:colOff>0</xdr:colOff>
                    <xdr:row>1690</xdr:row>
                    <xdr:rowOff>0</xdr:rowOff>
                  </to>
                </anchor>
              </controlPr>
            </control>
          </mc:Choice>
        </mc:AlternateContent>
        <mc:AlternateContent xmlns:mc="http://schemas.openxmlformats.org/markup-compatibility/2006">
          <mc:Choice Requires="x14">
            <control shapeId="13722" r:id="rId943" name="Button 2458">
              <controlPr defaultSize="0" autoFill="0" autoLine="0" autoPict="0" macro="[0]!Sheet1.InsertNewTableRow">
                <anchor moveWithCells="1" sizeWithCells="1">
                  <from>
                    <xdr:col>6</xdr:col>
                    <xdr:colOff>0</xdr:colOff>
                    <xdr:row>1696</xdr:row>
                    <xdr:rowOff>0</xdr:rowOff>
                  </from>
                  <to>
                    <xdr:col>7</xdr:col>
                    <xdr:colOff>0</xdr:colOff>
                    <xdr:row>1696</xdr:row>
                    <xdr:rowOff>171450</xdr:rowOff>
                  </to>
                </anchor>
              </controlPr>
            </control>
          </mc:Choice>
        </mc:AlternateContent>
        <mc:AlternateContent xmlns:mc="http://schemas.openxmlformats.org/markup-compatibility/2006">
          <mc:Choice Requires="x14">
            <control shapeId="13721" r:id="rId944" name="Button 2457">
              <controlPr defaultSize="0" autoFill="0" autoLine="0" autoPict="0" macro="[0]!Sheet1.deleteRow">
                <anchor moveWithCells="1" sizeWithCells="1">
                  <from>
                    <xdr:col>6</xdr:col>
                    <xdr:colOff>0</xdr:colOff>
                    <xdr:row>1697</xdr:row>
                    <xdr:rowOff>0</xdr:rowOff>
                  </from>
                  <to>
                    <xdr:col>7</xdr:col>
                    <xdr:colOff>0</xdr:colOff>
                    <xdr:row>1697</xdr:row>
                    <xdr:rowOff>165100</xdr:rowOff>
                  </to>
                </anchor>
              </controlPr>
            </control>
          </mc:Choice>
        </mc:AlternateContent>
        <mc:AlternateContent xmlns:mc="http://schemas.openxmlformats.org/markup-compatibility/2006">
          <mc:Choice Requires="x14">
            <control shapeId="13720" r:id="rId945" name="Button 2456">
              <controlPr defaultSize="0" autoFill="0" autoLine="0" autoPict="0" macro="[0]!Sheet1.deleteRow">
                <anchor moveWithCells="1" sizeWithCells="1">
                  <from>
                    <xdr:col>6</xdr:col>
                    <xdr:colOff>0</xdr:colOff>
                    <xdr:row>1698</xdr:row>
                    <xdr:rowOff>0</xdr:rowOff>
                  </from>
                  <to>
                    <xdr:col>7</xdr:col>
                    <xdr:colOff>0</xdr:colOff>
                    <xdr:row>1698</xdr:row>
                    <xdr:rowOff>165100</xdr:rowOff>
                  </to>
                </anchor>
              </controlPr>
            </control>
          </mc:Choice>
        </mc:AlternateContent>
        <mc:AlternateContent xmlns:mc="http://schemas.openxmlformats.org/markup-compatibility/2006">
          <mc:Choice Requires="x14">
            <control shapeId="13719" r:id="rId946" name="Button 2455">
              <controlPr defaultSize="0" autoFill="0" autoLine="0" autoPict="0" macro="[0]!Sheet1.deleteRow">
                <anchor moveWithCells="1" sizeWithCells="1">
                  <from>
                    <xdr:col>6</xdr:col>
                    <xdr:colOff>0</xdr:colOff>
                    <xdr:row>1699</xdr:row>
                    <xdr:rowOff>0</xdr:rowOff>
                  </from>
                  <to>
                    <xdr:col>7</xdr:col>
                    <xdr:colOff>0</xdr:colOff>
                    <xdr:row>1699</xdr:row>
                    <xdr:rowOff>165100</xdr:rowOff>
                  </to>
                </anchor>
              </controlPr>
            </control>
          </mc:Choice>
        </mc:AlternateContent>
        <mc:AlternateContent xmlns:mc="http://schemas.openxmlformats.org/markup-compatibility/2006">
          <mc:Choice Requires="x14">
            <control shapeId="13718" r:id="rId947" name="Button 2454">
              <controlPr defaultSize="0" autoFill="0" autoLine="0" autoPict="0" macro="[0]!Sheet1.deleteRow">
                <anchor moveWithCells="1" sizeWithCells="1">
                  <from>
                    <xdr:col>6</xdr:col>
                    <xdr:colOff>0</xdr:colOff>
                    <xdr:row>1700</xdr:row>
                    <xdr:rowOff>0</xdr:rowOff>
                  </from>
                  <to>
                    <xdr:col>7</xdr:col>
                    <xdr:colOff>0</xdr:colOff>
                    <xdr:row>1700</xdr:row>
                    <xdr:rowOff>165100</xdr:rowOff>
                  </to>
                </anchor>
              </controlPr>
            </control>
          </mc:Choice>
        </mc:AlternateContent>
        <mc:AlternateContent xmlns:mc="http://schemas.openxmlformats.org/markup-compatibility/2006">
          <mc:Choice Requires="x14">
            <control shapeId="13717" r:id="rId948" name="Button 2453">
              <controlPr defaultSize="0" autoFill="0" autoLine="0" autoPict="0" macro="[0]!Sheet1.deleteRow">
                <anchor moveWithCells="1" sizeWithCells="1">
                  <from>
                    <xdr:col>6</xdr:col>
                    <xdr:colOff>0</xdr:colOff>
                    <xdr:row>1701</xdr:row>
                    <xdr:rowOff>0</xdr:rowOff>
                  </from>
                  <to>
                    <xdr:col>7</xdr:col>
                    <xdr:colOff>0</xdr:colOff>
                    <xdr:row>1701</xdr:row>
                    <xdr:rowOff>165100</xdr:rowOff>
                  </to>
                </anchor>
              </controlPr>
            </control>
          </mc:Choice>
        </mc:AlternateContent>
        <mc:AlternateContent xmlns:mc="http://schemas.openxmlformats.org/markup-compatibility/2006">
          <mc:Choice Requires="x14">
            <control shapeId="13716" r:id="rId949" name="Button 2452">
              <controlPr defaultSize="0" autoFill="0" autoLine="0" autoPict="0" macro="[0]!Sheet1.deleteRow">
                <anchor moveWithCells="1" sizeWithCells="1">
                  <from>
                    <xdr:col>6</xdr:col>
                    <xdr:colOff>0</xdr:colOff>
                    <xdr:row>1702</xdr:row>
                    <xdr:rowOff>0</xdr:rowOff>
                  </from>
                  <to>
                    <xdr:col>7</xdr:col>
                    <xdr:colOff>0</xdr:colOff>
                    <xdr:row>1702</xdr:row>
                    <xdr:rowOff>165100</xdr:rowOff>
                  </to>
                </anchor>
              </controlPr>
            </control>
          </mc:Choice>
        </mc:AlternateContent>
        <mc:AlternateContent xmlns:mc="http://schemas.openxmlformats.org/markup-compatibility/2006">
          <mc:Choice Requires="x14">
            <control shapeId="13715" r:id="rId950" name="Button 2451">
              <controlPr defaultSize="0" autoFill="0" autoLine="0" autoPict="0" macro="[0]!Sheet1.deleteRow">
                <anchor moveWithCells="1" sizeWithCells="1">
                  <from>
                    <xdr:col>6</xdr:col>
                    <xdr:colOff>0</xdr:colOff>
                    <xdr:row>1703</xdr:row>
                    <xdr:rowOff>0</xdr:rowOff>
                  </from>
                  <to>
                    <xdr:col>7</xdr:col>
                    <xdr:colOff>0</xdr:colOff>
                    <xdr:row>1703</xdr:row>
                    <xdr:rowOff>165100</xdr:rowOff>
                  </to>
                </anchor>
              </controlPr>
            </control>
          </mc:Choice>
        </mc:AlternateContent>
        <mc:AlternateContent xmlns:mc="http://schemas.openxmlformats.org/markup-compatibility/2006">
          <mc:Choice Requires="x14">
            <control shapeId="13714" r:id="rId951" name="Button 2450">
              <controlPr defaultSize="0" autoFill="0" autoLine="0" autoPict="0" macro="[0]!Sheet1.deleteRow">
                <anchor moveWithCells="1" sizeWithCells="1">
                  <from>
                    <xdr:col>6</xdr:col>
                    <xdr:colOff>0</xdr:colOff>
                    <xdr:row>1704</xdr:row>
                    <xdr:rowOff>0</xdr:rowOff>
                  </from>
                  <to>
                    <xdr:col>7</xdr:col>
                    <xdr:colOff>0</xdr:colOff>
                    <xdr:row>1704</xdr:row>
                    <xdr:rowOff>165100</xdr:rowOff>
                  </to>
                </anchor>
              </controlPr>
            </control>
          </mc:Choice>
        </mc:AlternateContent>
        <mc:AlternateContent xmlns:mc="http://schemas.openxmlformats.org/markup-compatibility/2006">
          <mc:Choice Requires="x14">
            <control shapeId="13713" r:id="rId952" name="Button 2449">
              <controlPr defaultSize="0" autoFill="0" autoLine="0" autoPict="0" macro="[0]!Sheet1.deleteRow">
                <anchor moveWithCells="1" sizeWithCells="1">
                  <from>
                    <xdr:col>6</xdr:col>
                    <xdr:colOff>0</xdr:colOff>
                    <xdr:row>1705</xdr:row>
                    <xdr:rowOff>0</xdr:rowOff>
                  </from>
                  <to>
                    <xdr:col>7</xdr:col>
                    <xdr:colOff>0</xdr:colOff>
                    <xdr:row>1705</xdr:row>
                    <xdr:rowOff>165100</xdr:rowOff>
                  </to>
                </anchor>
              </controlPr>
            </control>
          </mc:Choice>
        </mc:AlternateContent>
        <mc:AlternateContent xmlns:mc="http://schemas.openxmlformats.org/markup-compatibility/2006">
          <mc:Choice Requires="x14">
            <control shapeId="13712" r:id="rId953" name="Button 2448">
              <controlPr defaultSize="0" autoFill="0" autoLine="0" autoPict="0" macro="[0]!Sheet1.deleteRow">
                <anchor moveWithCells="1" sizeWithCells="1">
                  <from>
                    <xdr:col>6</xdr:col>
                    <xdr:colOff>0</xdr:colOff>
                    <xdr:row>1706</xdr:row>
                    <xdr:rowOff>0</xdr:rowOff>
                  </from>
                  <to>
                    <xdr:col>7</xdr:col>
                    <xdr:colOff>0</xdr:colOff>
                    <xdr:row>1706</xdr:row>
                    <xdr:rowOff>165100</xdr:rowOff>
                  </to>
                </anchor>
              </controlPr>
            </control>
          </mc:Choice>
        </mc:AlternateContent>
        <mc:AlternateContent xmlns:mc="http://schemas.openxmlformats.org/markup-compatibility/2006">
          <mc:Choice Requires="x14">
            <control shapeId="13711" r:id="rId954" name="Button 2447">
              <controlPr defaultSize="0" autoFill="0" autoLine="0" autoPict="0" macro="[0]!Sheet1.deleteRow">
                <anchor moveWithCells="1" sizeWithCells="1">
                  <from>
                    <xdr:col>6</xdr:col>
                    <xdr:colOff>0</xdr:colOff>
                    <xdr:row>1707</xdr:row>
                    <xdr:rowOff>0</xdr:rowOff>
                  </from>
                  <to>
                    <xdr:col>7</xdr:col>
                    <xdr:colOff>0</xdr:colOff>
                    <xdr:row>1707</xdr:row>
                    <xdr:rowOff>165100</xdr:rowOff>
                  </to>
                </anchor>
              </controlPr>
            </control>
          </mc:Choice>
        </mc:AlternateContent>
        <mc:AlternateContent xmlns:mc="http://schemas.openxmlformats.org/markup-compatibility/2006">
          <mc:Choice Requires="x14">
            <control shapeId="13710" r:id="rId955" name="Button 2446">
              <controlPr defaultSize="0" autoFill="0" autoLine="0" autoPict="0" macro="[0]!Sheet1.deleteRow">
                <anchor moveWithCells="1" sizeWithCells="1">
                  <from>
                    <xdr:col>6</xdr:col>
                    <xdr:colOff>0</xdr:colOff>
                    <xdr:row>1708</xdr:row>
                    <xdr:rowOff>0</xdr:rowOff>
                  </from>
                  <to>
                    <xdr:col>7</xdr:col>
                    <xdr:colOff>0</xdr:colOff>
                    <xdr:row>1708</xdr:row>
                    <xdr:rowOff>165100</xdr:rowOff>
                  </to>
                </anchor>
              </controlPr>
            </control>
          </mc:Choice>
        </mc:AlternateContent>
        <mc:AlternateContent xmlns:mc="http://schemas.openxmlformats.org/markup-compatibility/2006">
          <mc:Choice Requires="x14">
            <control shapeId="13709" r:id="rId956" name="Button 2445">
              <controlPr defaultSize="0" autoFill="0" autoLine="0" autoPict="0" macro="[0]!Sheet1.deleteRow">
                <anchor moveWithCells="1" sizeWithCells="1">
                  <from>
                    <xdr:col>6</xdr:col>
                    <xdr:colOff>0</xdr:colOff>
                    <xdr:row>1709</xdr:row>
                    <xdr:rowOff>0</xdr:rowOff>
                  </from>
                  <to>
                    <xdr:col>7</xdr:col>
                    <xdr:colOff>0</xdr:colOff>
                    <xdr:row>1709</xdr:row>
                    <xdr:rowOff>165100</xdr:rowOff>
                  </to>
                </anchor>
              </controlPr>
            </control>
          </mc:Choice>
        </mc:AlternateContent>
        <mc:AlternateContent xmlns:mc="http://schemas.openxmlformats.org/markup-compatibility/2006">
          <mc:Choice Requires="x14">
            <control shapeId="13708" r:id="rId957" name="Button 2444">
              <controlPr defaultSize="0" autoFill="0" autoLine="0" autoPict="0" macro="[0]!Sheet1.deleteRow">
                <anchor moveWithCells="1" sizeWithCells="1">
                  <from>
                    <xdr:col>6</xdr:col>
                    <xdr:colOff>0</xdr:colOff>
                    <xdr:row>1710</xdr:row>
                    <xdr:rowOff>0</xdr:rowOff>
                  </from>
                  <to>
                    <xdr:col>7</xdr:col>
                    <xdr:colOff>0</xdr:colOff>
                    <xdr:row>1710</xdr:row>
                    <xdr:rowOff>165100</xdr:rowOff>
                  </to>
                </anchor>
              </controlPr>
            </control>
          </mc:Choice>
        </mc:AlternateContent>
        <mc:AlternateContent xmlns:mc="http://schemas.openxmlformats.org/markup-compatibility/2006">
          <mc:Choice Requires="x14">
            <control shapeId="13707" r:id="rId958" name="Button 2443">
              <controlPr defaultSize="0" autoFill="0" autoLine="0" autoPict="0" macro="[0]!Sheet1.deleteRow">
                <anchor moveWithCells="1" sizeWithCells="1">
                  <from>
                    <xdr:col>6</xdr:col>
                    <xdr:colOff>0</xdr:colOff>
                    <xdr:row>1711</xdr:row>
                    <xdr:rowOff>0</xdr:rowOff>
                  </from>
                  <to>
                    <xdr:col>7</xdr:col>
                    <xdr:colOff>0</xdr:colOff>
                    <xdr:row>1711</xdr:row>
                    <xdr:rowOff>165100</xdr:rowOff>
                  </to>
                </anchor>
              </controlPr>
            </control>
          </mc:Choice>
        </mc:AlternateContent>
        <mc:AlternateContent xmlns:mc="http://schemas.openxmlformats.org/markup-compatibility/2006">
          <mc:Choice Requires="x14">
            <control shapeId="13706" r:id="rId959" name="Button 2442">
              <controlPr defaultSize="0" autoFill="0" autoLine="0" autoPict="0" macro="[0]!Sheet1.deleteRow">
                <anchor moveWithCells="1" sizeWithCells="1">
                  <from>
                    <xdr:col>6</xdr:col>
                    <xdr:colOff>0</xdr:colOff>
                    <xdr:row>1712</xdr:row>
                    <xdr:rowOff>0</xdr:rowOff>
                  </from>
                  <to>
                    <xdr:col>7</xdr:col>
                    <xdr:colOff>0</xdr:colOff>
                    <xdr:row>1712</xdr:row>
                    <xdr:rowOff>165100</xdr:rowOff>
                  </to>
                </anchor>
              </controlPr>
            </control>
          </mc:Choice>
        </mc:AlternateContent>
        <mc:AlternateContent xmlns:mc="http://schemas.openxmlformats.org/markup-compatibility/2006">
          <mc:Choice Requires="x14">
            <control shapeId="13705" r:id="rId960" name="Button 2441">
              <controlPr defaultSize="0" autoFill="0" autoLine="0" autoPict="0" macro="[0]!Sheet1.deleteRow">
                <anchor moveWithCells="1" sizeWithCells="1">
                  <from>
                    <xdr:col>6</xdr:col>
                    <xdr:colOff>0</xdr:colOff>
                    <xdr:row>1713</xdr:row>
                    <xdr:rowOff>0</xdr:rowOff>
                  </from>
                  <to>
                    <xdr:col>7</xdr:col>
                    <xdr:colOff>0</xdr:colOff>
                    <xdr:row>1713</xdr:row>
                    <xdr:rowOff>165100</xdr:rowOff>
                  </to>
                </anchor>
              </controlPr>
            </control>
          </mc:Choice>
        </mc:AlternateContent>
        <mc:AlternateContent xmlns:mc="http://schemas.openxmlformats.org/markup-compatibility/2006">
          <mc:Choice Requires="x14">
            <control shapeId="13704" r:id="rId961" name="Button 2440">
              <controlPr defaultSize="0" autoFill="0" autoLine="0" autoPict="0" macro="[0]!Sheet1.deleteRow">
                <anchor moveWithCells="1" sizeWithCells="1">
                  <from>
                    <xdr:col>6</xdr:col>
                    <xdr:colOff>0</xdr:colOff>
                    <xdr:row>1714</xdr:row>
                    <xdr:rowOff>0</xdr:rowOff>
                  </from>
                  <to>
                    <xdr:col>7</xdr:col>
                    <xdr:colOff>0</xdr:colOff>
                    <xdr:row>1714</xdr:row>
                    <xdr:rowOff>165100</xdr:rowOff>
                  </to>
                </anchor>
              </controlPr>
            </control>
          </mc:Choice>
        </mc:AlternateContent>
        <mc:AlternateContent xmlns:mc="http://schemas.openxmlformats.org/markup-compatibility/2006">
          <mc:Choice Requires="x14">
            <control shapeId="13703" r:id="rId962" name="Button 2439">
              <controlPr defaultSize="0" autoFill="0" autoLine="0" autoPict="0" macro="[0]!Sheet1.deleteRow">
                <anchor moveWithCells="1" sizeWithCells="1">
                  <from>
                    <xdr:col>6</xdr:col>
                    <xdr:colOff>0</xdr:colOff>
                    <xdr:row>1715</xdr:row>
                    <xdr:rowOff>0</xdr:rowOff>
                  </from>
                  <to>
                    <xdr:col>7</xdr:col>
                    <xdr:colOff>0</xdr:colOff>
                    <xdr:row>1715</xdr:row>
                    <xdr:rowOff>165100</xdr:rowOff>
                  </to>
                </anchor>
              </controlPr>
            </control>
          </mc:Choice>
        </mc:AlternateContent>
        <mc:AlternateContent xmlns:mc="http://schemas.openxmlformats.org/markup-compatibility/2006">
          <mc:Choice Requires="x14">
            <control shapeId="13702" r:id="rId963" name="Button 2438">
              <controlPr defaultSize="0" autoFill="0" autoLine="0" autoPict="0" macro="[0]!Sheet1.deleteRow">
                <anchor moveWithCells="1" sizeWithCells="1">
                  <from>
                    <xdr:col>6</xdr:col>
                    <xdr:colOff>0</xdr:colOff>
                    <xdr:row>1716</xdr:row>
                    <xdr:rowOff>0</xdr:rowOff>
                  </from>
                  <to>
                    <xdr:col>7</xdr:col>
                    <xdr:colOff>0</xdr:colOff>
                    <xdr:row>1716</xdr:row>
                    <xdr:rowOff>165100</xdr:rowOff>
                  </to>
                </anchor>
              </controlPr>
            </control>
          </mc:Choice>
        </mc:AlternateContent>
        <mc:AlternateContent xmlns:mc="http://schemas.openxmlformats.org/markup-compatibility/2006">
          <mc:Choice Requires="x14">
            <control shapeId="13701" r:id="rId964" name="Button 2437">
              <controlPr defaultSize="0" autoFill="0" autoLine="0" autoPict="0" macro="[0]!Sheet1.deleteRow">
                <anchor moveWithCells="1" sizeWithCells="1">
                  <from>
                    <xdr:col>6</xdr:col>
                    <xdr:colOff>0</xdr:colOff>
                    <xdr:row>1717</xdr:row>
                    <xdr:rowOff>0</xdr:rowOff>
                  </from>
                  <to>
                    <xdr:col>7</xdr:col>
                    <xdr:colOff>0</xdr:colOff>
                    <xdr:row>1717</xdr:row>
                    <xdr:rowOff>165100</xdr:rowOff>
                  </to>
                </anchor>
              </controlPr>
            </control>
          </mc:Choice>
        </mc:AlternateContent>
        <mc:AlternateContent xmlns:mc="http://schemas.openxmlformats.org/markup-compatibility/2006">
          <mc:Choice Requires="x14">
            <control shapeId="13700" r:id="rId965" name="Button 2436">
              <controlPr defaultSize="0" autoFill="0" autoLine="0" autoPict="0" macro="[0]!Sheet1.deleteRow">
                <anchor moveWithCells="1" sizeWithCells="1">
                  <from>
                    <xdr:col>6</xdr:col>
                    <xdr:colOff>0</xdr:colOff>
                    <xdr:row>1718</xdr:row>
                    <xdr:rowOff>0</xdr:rowOff>
                  </from>
                  <to>
                    <xdr:col>7</xdr:col>
                    <xdr:colOff>0</xdr:colOff>
                    <xdr:row>1718</xdr:row>
                    <xdr:rowOff>165100</xdr:rowOff>
                  </to>
                </anchor>
              </controlPr>
            </control>
          </mc:Choice>
        </mc:AlternateContent>
        <mc:AlternateContent xmlns:mc="http://schemas.openxmlformats.org/markup-compatibility/2006">
          <mc:Choice Requires="x14">
            <control shapeId="13699" r:id="rId966" name="Button 2435">
              <controlPr defaultSize="0" autoFill="0" autoLine="0" autoPict="0" macro="[0]!Sheet1.deleteRow">
                <anchor moveWithCells="1" sizeWithCells="1">
                  <from>
                    <xdr:col>6</xdr:col>
                    <xdr:colOff>0</xdr:colOff>
                    <xdr:row>1719</xdr:row>
                    <xdr:rowOff>0</xdr:rowOff>
                  </from>
                  <to>
                    <xdr:col>7</xdr:col>
                    <xdr:colOff>0</xdr:colOff>
                    <xdr:row>1719</xdr:row>
                    <xdr:rowOff>165100</xdr:rowOff>
                  </to>
                </anchor>
              </controlPr>
            </control>
          </mc:Choice>
        </mc:AlternateContent>
        <mc:AlternateContent xmlns:mc="http://schemas.openxmlformats.org/markup-compatibility/2006">
          <mc:Choice Requires="x14">
            <control shapeId="13698" r:id="rId967" name="Button 2434">
              <controlPr defaultSize="0" autoFill="0" autoLine="0" autoPict="0" macro="[0]!Sheet1.deleteRow">
                <anchor moveWithCells="1" sizeWithCells="1">
                  <from>
                    <xdr:col>6</xdr:col>
                    <xdr:colOff>0</xdr:colOff>
                    <xdr:row>1720</xdr:row>
                    <xdr:rowOff>0</xdr:rowOff>
                  </from>
                  <to>
                    <xdr:col>7</xdr:col>
                    <xdr:colOff>0</xdr:colOff>
                    <xdr:row>1720</xdr:row>
                    <xdr:rowOff>165100</xdr:rowOff>
                  </to>
                </anchor>
              </controlPr>
            </control>
          </mc:Choice>
        </mc:AlternateContent>
        <mc:AlternateContent xmlns:mc="http://schemas.openxmlformats.org/markup-compatibility/2006">
          <mc:Choice Requires="x14">
            <control shapeId="13697" r:id="rId968" name="Button 2433">
              <controlPr defaultSize="0" autoFill="0" autoLine="0" autoPict="0" macro="[0]!Sheet1.deleteRow">
                <anchor moveWithCells="1" sizeWithCells="1">
                  <from>
                    <xdr:col>6</xdr:col>
                    <xdr:colOff>0</xdr:colOff>
                    <xdr:row>1721</xdr:row>
                    <xdr:rowOff>0</xdr:rowOff>
                  </from>
                  <to>
                    <xdr:col>7</xdr:col>
                    <xdr:colOff>0</xdr:colOff>
                    <xdr:row>1721</xdr:row>
                    <xdr:rowOff>165100</xdr:rowOff>
                  </to>
                </anchor>
              </controlPr>
            </control>
          </mc:Choice>
        </mc:AlternateContent>
        <mc:AlternateContent xmlns:mc="http://schemas.openxmlformats.org/markup-compatibility/2006">
          <mc:Choice Requires="x14">
            <control shapeId="13696" r:id="rId969" name="Button 2432">
              <controlPr defaultSize="0" autoFill="0" autoLine="0" autoPict="0" macro="[0]!Sheet1.deleteRow">
                <anchor moveWithCells="1" sizeWithCells="1">
                  <from>
                    <xdr:col>6</xdr:col>
                    <xdr:colOff>0</xdr:colOff>
                    <xdr:row>1722</xdr:row>
                    <xdr:rowOff>0</xdr:rowOff>
                  </from>
                  <to>
                    <xdr:col>7</xdr:col>
                    <xdr:colOff>0</xdr:colOff>
                    <xdr:row>1722</xdr:row>
                    <xdr:rowOff>165100</xdr:rowOff>
                  </to>
                </anchor>
              </controlPr>
            </control>
          </mc:Choice>
        </mc:AlternateContent>
        <mc:AlternateContent xmlns:mc="http://schemas.openxmlformats.org/markup-compatibility/2006">
          <mc:Choice Requires="x14">
            <control shapeId="13695" r:id="rId970" name="Button 2431">
              <controlPr defaultSize="0" autoFill="0" autoLine="0" autoPict="0" macro="[0]!Sheet1.deleteRow">
                <anchor moveWithCells="1" sizeWithCells="1">
                  <from>
                    <xdr:col>6</xdr:col>
                    <xdr:colOff>0</xdr:colOff>
                    <xdr:row>1723</xdr:row>
                    <xdr:rowOff>0</xdr:rowOff>
                  </from>
                  <to>
                    <xdr:col>7</xdr:col>
                    <xdr:colOff>0</xdr:colOff>
                    <xdr:row>1723</xdr:row>
                    <xdr:rowOff>165100</xdr:rowOff>
                  </to>
                </anchor>
              </controlPr>
            </control>
          </mc:Choice>
        </mc:AlternateContent>
        <mc:AlternateContent xmlns:mc="http://schemas.openxmlformats.org/markup-compatibility/2006">
          <mc:Choice Requires="x14">
            <control shapeId="13694" r:id="rId971" name="Button 2430">
              <controlPr defaultSize="0" autoFill="0" autoLine="0" autoPict="0" macro="[0]!Sheet1.deleteRow">
                <anchor moveWithCells="1" sizeWithCells="1">
                  <from>
                    <xdr:col>6</xdr:col>
                    <xdr:colOff>0</xdr:colOff>
                    <xdr:row>1724</xdr:row>
                    <xdr:rowOff>0</xdr:rowOff>
                  </from>
                  <to>
                    <xdr:col>7</xdr:col>
                    <xdr:colOff>0</xdr:colOff>
                    <xdr:row>1724</xdr:row>
                    <xdr:rowOff>165100</xdr:rowOff>
                  </to>
                </anchor>
              </controlPr>
            </control>
          </mc:Choice>
        </mc:AlternateContent>
        <mc:AlternateContent xmlns:mc="http://schemas.openxmlformats.org/markup-compatibility/2006">
          <mc:Choice Requires="x14">
            <control shapeId="13693" r:id="rId972" name="Button 2429">
              <controlPr defaultSize="0" autoFill="0" autoLine="0" autoPict="0" macro="[0]!Sheet1.deleteRow">
                <anchor moveWithCells="1" sizeWithCells="1">
                  <from>
                    <xdr:col>6</xdr:col>
                    <xdr:colOff>0</xdr:colOff>
                    <xdr:row>1725</xdr:row>
                    <xdr:rowOff>0</xdr:rowOff>
                  </from>
                  <to>
                    <xdr:col>7</xdr:col>
                    <xdr:colOff>0</xdr:colOff>
                    <xdr:row>1725</xdr:row>
                    <xdr:rowOff>165100</xdr:rowOff>
                  </to>
                </anchor>
              </controlPr>
            </control>
          </mc:Choice>
        </mc:AlternateContent>
        <mc:AlternateContent xmlns:mc="http://schemas.openxmlformats.org/markup-compatibility/2006">
          <mc:Choice Requires="x14">
            <control shapeId="13692" r:id="rId973" name="Button 2428">
              <controlPr defaultSize="0" autoFill="0" autoLine="0" autoPict="0" macro="[0]!Sheet1.deleteRow">
                <anchor moveWithCells="1" sizeWithCells="1">
                  <from>
                    <xdr:col>6</xdr:col>
                    <xdr:colOff>0</xdr:colOff>
                    <xdr:row>1726</xdr:row>
                    <xdr:rowOff>0</xdr:rowOff>
                  </from>
                  <to>
                    <xdr:col>7</xdr:col>
                    <xdr:colOff>0</xdr:colOff>
                    <xdr:row>1726</xdr:row>
                    <xdr:rowOff>165100</xdr:rowOff>
                  </to>
                </anchor>
              </controlPr>
            </control>
          </mc:Choice>
        </mc:AlternateContent>
        <mc:AlternateContent xmlns:mc="http://schemas.openxmlformats.org/markup-compatibility/2006">
          <mc:Choice Requires="x14">
            <control shapeId="13691" r:id="rId974" name="Button 2427">
              <controlPr defaultSize="0" autoFill="0" autoLine="0" autoPict="0" macro="[0]!Sheet1.deleteRow">
                <anchor moveWithCells="1" sizeWithCells="1">
                  <from>
                    <xdr:col>6</xdr:col>
                    <xdr:colOff>0</xdr:colOff>
                    <xdr:row>1727</xdr:row>
                    <xdr:rowOff>0</xdr:rowOff>
                  </from>
                  <to>
                    <xdr:col>7</xdr:col>
                    <xdr:colOff>0</xdr:colOff>
                    <xdr:row>1727</xdr:row>
                    <xdr:rowOff>165100</xdr:rowOff>
                  </to>
                </anchor>
              </controlPr>
            </control>
          </mc:Choice>
        </mc:AlternateContent>
        <mc:AlternateContent xmlns:mc="http://schemas.openxmlformats.org/markup-compatibility/2006">
          <mc:Choice Requires="x14">
            <control shapeId="13690" r:id="rId975" name="Button 2426">
              <controlPr defaultSize="0" autoFill="0" autoLine="0" autoPict="0" macro="[0]!Sheet1.deleteRow">
                <anchor moveWithCells="1" sizeWithCells="1">
                  <from>
                    <xdr:col>6</xdr:col>
                    <xdr:colOff>0</xdr:colOff>
                    <xdr:row>1728</xdr:row>
                    <xdr:rowOff>0</xdr:rowOff>
                  </from>
                  <to>
                    <xdr:col>7</xdr:col>
                    <xdr:colOff>0</xdr:colOff>
                    <xdr:row>1728</xdr:row>
                    <xdr:rowOff>165100</xdr:rowOff>
                  </to>
                </anchor>
              </controlPr>
            </control>
          </mc:Choice>
        </mc:AlternateContent>
        <mc:AlternateContent xmlns:mc="http://schemas.openxmlformats.org/markup-compatibility/2006">
          <mc:Choice Requires="x14">
            <control shapeId="13689" r:id="rId976" name="Button 2425">
              <controlPr defaultSize="0" autoFill="0" autoLine="0" autoPict="0" macro="[0]!Sheet1.deleteRow">
                <anchor moveWithCells="1" sizeWithCells="1">
                  <from>
                    <xdr:col>6</xdr:col>
                    <xdr:colOff>0</xdr:colOff>
                    <xdr:row>1729</xdr:row>
                    <xdr:rowOff>0</xdr:rowOff>
                  </from>
                  <to>
                    <xdr:col>7</xdr:col>
                    <xdr:colOff>0</xdr:colOff>
                    <xdr:row>1729</xdr:row>
                    <xdr:rowOff>165100</xdr:rowOff>
                  </to>
                </anchor>
              </controlPr>
            </control>
          </mc:Choice>
        </mc:AlternateContent>
        <mc:AlternateContent xmlns:mc="http://schemas.openxmlformats.org/markup-compatibility/2006">
          <mc:Choice Requires="x14">
            <control shapeId="13688" r:id="rId977" name="Button 2424">
              <controlPr defaultSize="0" autoFill="0" autoLine="0" autoPict="0" macro="[0]!Sheet1.deleteRow">
                <anchor moveWithCells="1" sizeWithCells="1">
                  <from>
                    <xdr:col>6</xdr:col>
                    <xdr:colOff>0</xdr:colOff>
                    <xdr:row>1730</xdr:row>
                    <xdr:rowOff>0</xdr:rowOff>
                  </from>
                  <to>
                    <xdr:col>7</xdr:col>
                    <xdr:colOff>0</xdr:colOff>
                    <xdr:row>1730</xdr:row>
                    <xdr:rowOff>165100</xdr:rowOff>
                  </to>
                </anchor>
              </controlPr>
            </control>
          </mc:Choice>
        </mc:AlternateContent>
        <mc:AlternateContent xmlns:mc="http://schemas.openxmlformats.org/markup-compatibility/2006">
          <mc:Choice Requires="x14">
            <control shapeId="13687" r:id="rId978" name="Button 2423">
              <controlPr defaultSize="0" autoFill="0" autoLine="0" autoPict="0" macro="[0]!Sheet1.deleteRow">
                <anchor moveWithCells="1" sizeWithCells="1">
                  <from>
                    <xdr:col>6</xdr:col>
                    <xdr:colOff>0</xdr:colOff>
                    <xdr:row>1731</xdr:row>
                    <xdr:rowOff>0</xdr:rowOff>
                  </from>
                  <to>
                    <xdr:col>7</xdr:col>
                    <xdr:colOff>0</xdr:colOff>
                    <xdr:row>1731</xdr:row>
                    <xdr:rowOff>165100</xdr:rowOff>
                  </to>
                </anchor>
              </controlPr>
            </control>
          </mc:Choice>
        </mc:AlternateContent>
        <mc:AlternateContent xmlns:mc="http://schemas.openxmlformats.org/markup-compatibility/2006">
          <mc:Choice Requires="x14">
            <control shapeId="13686" r:id="rId979" name="Button 2422">
              <controlPr defaultSize="0" autoFill="0" autoLine="0" autoPict="0" macro="[0]!Sheet1.deleteRow">
                <anchor moveWithCells="1" sizeWithCells="1">
                  <from>
                    <xdr:col>6</xdr:col>
                    <xdr:colOff>0</xdr:colOff>
                    <xdr:row>1732</xdr:row>
                    <xdr:rowOff>0</xdr:rowOff>
                  </from>
                  <to>
                    <xdr:col>7</xdr:col>
                    <xdr:colOff>0</xdr:colOff>
                    <xdr:row>1732</xdr:row>
                    <xdr:rowOff>165100</xdr:rowOff>
                  </to>
                </anchor>
              </controlPr>
            </control>
          </mc:Choice>
        </mc:AlternateContent>
        <mc:AlternateContent xmlns:mc="http://schemas.openxmlformats.org/markup-compatibility/2006">
          <mc:Choice Requires="x14">
            <control shapeId="13685" r:id="rId980" name="Button 2421">
              <controlPr defaultSize="0" autoFill="0" autoLine="0" autoPict="0" macro="[0]!Sheet1.deleteRow">
                <anchor moveWithCells="1" sizeWithCells="1">
                  <from>
                    <xdr:col>6</xdr:col>
                    <xdr:colOff>0</xdr:colOff>
                    <xdr:row>1733</xdr:row>
                    <xdr:rowOff>0</xdr:rowOff>
                  </from>
                  <to>
                    <xdr:col>7</xdr:col>
                    <xdr:colOff>0</xdr:colOff>
                    <xdr:row>1733</xdr:row>
                    <xdr:rowOff>165100</xdr:rowOff>
                  </to>
                </anchor>
              </controlPr>
            </control>
          </mc:Choice>
        </mc:AlternateContent>
        <mc:AlternateContent xmlns:mc="http://schemas.openxmlformats.org/markup-compatibility/2006">
          <mc:Choice Requires="x14">
            <control shapeId="13684" r:id="rId981" name="Button 2420">
              <controlPr defaultSize="0" autoFill="0" autoLine="0" autoPict="0" macro="[0]!Sheet1.deleteRow">
                <anchor moveWithCells="1" sizeWithCells="1">
                  <from>
                    <xdr:col>6</xdr:col>
                    <xdr:colOff>0</xdr:colOff>
                    <xdr:row>1734</xdr:row>
                    <xdr:rowOff>0</xdr:rowOff>
                  </from>
                  <to>
                    <xdr:col>7</xdr:col>
                    <xdr:colOff>0</xdr:colOff>
                    <xdr:row>1734</xdr:row>
                    <xdr:rowOff>165100</xdr:rowOff>
                  </to>
                </anchor>
              </controlPr>
            </control>
          </mc:Choice>
        </mc:AlternateContent>
        <mc:AlternateContent xmlns:mc="http://schemas.openxmlformats.org/markup-compatibility/2006">
          <mc:Choice Requires="x14">
            <control shapeId="13683" r:id="rId982" name="Button 2419">
              <controlPr defaultSize="0" autoFill="0" autoLine="0" autoPict="0" macro="[0]!Sheet1.deleteRow">
                <anchor moveWithCells="1" sizeWithCells="1">
                  <from>
                    <xdr:col>6</xdr:col>
                    <xdr:colOff>0</xdr:colOff>
                    <xdr:row>1735</xdr:row>
                    <xdr:rowOff>0</xdr:rowOff>
                  </from>
                  <to>
                    <xdr:col>7</xdr:col>
                    <xdr:colOff>0</xdr:colOff>
                    <xdr:row>1735</xdr:row>
                    <xdr:rowOff>165100</xdr:rowOff>
                  </to>
                </anchor>
              </controlPr>
            </control>
          </mc:Choice>
        </mc:AlternateContent>
        <mc:AlternateContent xmlns:mc="http://schemas.openxmlformats.org/markup-compatibility/2006">
          <mc:Choice Requires="x14">
            <control shapeId="13682" r:id="rId983" name="Button 2418">
              <controlPr defaultSize="0" autoFill="0" autoLine="0" autoPict="0" macro="[0]!Sheet1.deleteRow">
                <anchor moveWithCells="1" sizeWithCells="1">
                  <from>
                    <xdr:col>6</xdr:col>
                    <xdr:colOff>0</xdr:colOff>
                    <xdr:row>1736</xdr:row>
                    <xdr:rowOff>0</xdr:rowOff>
                  </from>
                  <to>
                    <xdr:col>7</xdr:col>
                    <xdr:colOff>0</xdr:colOff>
                    <xdr:row>1736</xdr:row>
                    <xdr:rowOff>165100</xdr:rowOff>
                  </to>
                </anchor>
              </controlPr>
            </control>
          </mc:Choice>
        </mc:AlternateContent>
        <mc:AlternateContent xmlns:mc="http://schemas.openxmlformats.org/markup-compatibility/2006">
          <mc:Choice Requires="x14">
            <control shapeId="13681" r:id="rId984" name="Button 2417">
              <controlPr defaultSize="0" autoFill="0" autoLine="0" autoPict="0" macro="[0]!Sheet1.deleteRow">
                <anchor moveWithCells="1" sizeWithCells="1">
                  <from>
                    <xdr:col>6</xdr:col>
                    <xdr:colOff>0</xdr:colOff>
                    <xdr:row>1737</xdr:row>
                    <xdr:rowOff>0</xdr:rowOff>
                  </from>
                  <to>
                    <xdr:col>7</xdr:col>
                    <xdr:colOff>0</xdr:colOff>
                    <xdr:row>1737</xdr:row>
                    <xdr:rowOff>165100</xdr:rowOff>
                  </to>
                </anchor>
              </controlPr>
            </control>
          </mc:Choice>
        </mc:AlternateContent>
        <mc:AlternateContent xmlns:mc="http://schemas.openxmlformats.org/markup-compatibility/2006">
          <mc:Choice Requires="x14">
            <control shapeId="13680" r:id="rId985" name="Button 2416">
              <controlPr defaultSize="0" autoFill="0" autoLine="0" autoPict="0" macro="[0]!Sheet1.deleteRow">
                <anchor moveWithCells="1" sizeWithCells="1">
                  <from>
                    <xdr:col>6</xdr:col>
                    <xdr:colOff>0</xdr:colOff>
                    <xdr:row>1738</xdr:row>
                    <xdr:rowOff>0</xdr:rowOff>
                  </from>
                  <to>
                    <xdr:col>7</xdr:col>
                    <xdr:colOff>0</xdr:colOff>
                    <xdr:row>1738</xdr:row>
                    <xdr:rowOff>165100</xdr:rowOff>
                  </to>
                </anchor>
              </controlPr>
            </control>
          </mc:Choice>
        </mc:AlternateContent>
        <mc:AlternateContent xmlns:mc="http://schemas.openxmlformats.org/markup-compatibility/2006">
          <mc:Choice Requires="x14">
            <control shapeId="13679" r:id="rId986" name="Button 2415">
              <controlPr defaultSize="0" autoFill="0" autoLine="0" autoPict="0" macro="[0]!Sheet1.deleteRow">
                <anchor moveWithCells="1" sizeWithCells="1">
                  <from>
                    <xdr:col>6</xdr:col>
                    <xdr:colOff>0</xdr:colOff>
                    <xdr:row>1739</xdr:row>
                    <xdr:rowOff>0</xdr:rowOff>
                  </from>
                  <to>
                    <xdr:col>7</xdr:col>
                    <xdr:colOff>0</xdr:colOff>
                    <xdr:row>1739</xdr:row>
                    <xdr:rowOff>165100</xdr:rowOff>
                  </to>
                </anchor>
              </controlPr>
            </control>
          </mc:Choice>
        </mc:AlternateContent>
        <mc:AlternateContent xmlns:mc="http://schemas.openxmlformats.org/markup-compatibility/2006">
          <mc:Choice Requires="x14">
            <control shapeId="13678" r:id="rId987" name="Button 2414">
              <controlPr defaultSize="0" autoFill="0" autoLine="0" autoPict="0" macro="[0]!Sheet1.deleteRow">
                <anchor moveWithCells="1" sizeWithCells="1">
                  <from>
                    <xdr:col>6</xdr:col>
                    <xdr:colOff>0</xdr:colOff>
                    <xdr:row>1740</xdr:row>
                    <xdr:rowOff>0</xdr:rowOff>
                  </from>
                  <to>
                    <xdr:col>7</xdr:col>
                    <xdr:colOff>0</xdr:colOff>
                    <xdr:row>1740</xdr:row>
                    <xdr:rowOff>165100</xdr:rowOff>
                  </to>
                </anchor>
              </controlPr>
            </control>
          </mc:Choice>
        </mc:AlternateContent>
        <mc:AlternateContent xmlns:mc="http://schemas.openxmlformats.org/markup-compatibility/2006">
          <mc:Choice Requires="x14">
            <control shapeId="13677" r:id="rId988" name="Button 2413">
              <controlPr defaultSize="0" autoFill="0" autoLine="0" autoPict="0" macro="[0]!Sheet1.deleteRow">
                <anchor moveWithCells="1" sizeWithCells="1">
                  <from>
                    <xdr:col>6</xdr:col>
                    <xdr:colOff>0</xdr:colOff>
                    <xdr:row>1741</xdr:row>
                    <xdr:rowOff>0</xdr:rowOff>
                  </from>
                  <to>
                    <xdr:col>7</xdr:col>
                    <xdr:colOff>0</xdr:colOff>
                    <xdr:row>1741</xdr:row>
                    <xdr:rowOff>165100</xdr:rowOff>
                  </to>
                </anchor>
              </controlPr>
            </control>
          </mc:Choice>
        </mc:AlternateContent>
        <mc:AlternateContent xmlns:mc="http://schemas.openxmlformats.org/markup-compatibility/2006">
          <mc:Choice Requires="x14">
            <control shapeId="13676" r:id="rId989" name="Button 2412">
              <controlPr defaultSize="0" autoFill="0" autoLine="0" autoPict="0" macro="[0]!Sheet1.deleteRow">
                <anchor moveWithCells="1" sizeWithCells="1">
                  <from>
                    <xdr:col>6</xdr:col>
                    <xdr:colOff>0</xdr:colOff>
                    <xdr:row>1742</xdr:row>
                    <xdr:rowOff>0</xdr:rowOff>
                  </from>
                  <to>
                    <xdr:col>7</xdr:col>
                    <xdr:colOff>0</xdr:colOff>
                    <xdr:row>1742</xdr:row>
                    <xdr:rowOff>165100</xdr:rowOff>
                  </to>
                </anchor>
              </controlPr>
            </control>
          </mc:Choice>
        </mc:AlternateContent>
        <mc:AlternateContent xmlns:mc="http://schemas.openxmlformats.org/markup-compatibility/2006">
          <mc:Choice Requires="x14">
            <control shapeId="13675" r:id="rId990" name="Button 2411">
              <controlPr defaultSize="0" autoFill="0" autoLine="0" autoPict="0" macro="[0]!Sheet1.deleteRow">
                <anchor moveWithCells="1" sizeWithCells="1">
                  <from>
                    <xdr:col>6</xdr:col>
                    <xdr:colOff>0</xdr:colOff>
                    <xdr:row>1743</xdr:row>
                    <xdr:rowOff>0</xdr:rowOff>
                  </from>
                  <to>
                    <xdr:col>7</xdr:col>
                    <xdr:colOff>0</xdr:colOff>
                    <xdr:row>1743</xdr:row>
                    <xdr:rowOff>165100</xdr:rowOff>
                  </to>
                </anchor>
              </controlPr>
            </control>
          </mc:Choice>
        </mc:AlternateContent>
        <mc:AlternateContent xmlns:mc="http://schemas.openxmlformats.org/markup-compatibility/2006">
          <mc:Choice Requires="x14">
            <control shapeId="13674" r:id="rId991" name="Button 2410">
              <controlPr defaultSize="0" autoFill="0" autoLine="0" autoPict="0" macro="[0]!Sheet1.deleteRow">
                <anchor moveWithCells="1" sizeWithCells="1">
                  <from>
                    <xdr:col>6</xdr:col>
                    <xdr:colOff>0</xdr:colOff>
                    <xdr:row>1744</xdr:row>
                    <xdr:rowOff>0</xdr:rowOff>
                  </from>
                  <to>
                    <xdr:col>7</xdr:col>
                    <xdr:colOff>0</xdr:colOff>
                    <xdr:row>1744</xdr:row>
                    <xdr:rowOff>165100</xdr:rowOff>
                  </to>
                </anchor>
              </controlPr>
            </control>
          </mc:Choice>
        </mc:AlternateContent>
        <mc:AlternateContent xmlns:mc="http://schemas.openxmlformats.org/markup-compatibility/2006">
          <mc:Choice Requires="x14">
            <control shapeId="13673" r:id="rId992" name="Button 2409">
              <controlPr defaultSize="0" autoFill="0" autoLine="0" autoPict="0" macro="[0]!Sheet1.deleteProcedure">
                <anchor moveWithCells="1" sizeWithCells="1">
                  <from>
                    <xdr:col>6</xdr:col>
                    <xdr:colOff>0</xdr:colOff>
                    <xdr:row>1747</xdr:row>
                    <xdr:rowOff>0</xdr:rowOff>
                  </from>
                  <to>
                    <xdr:col>7</xdr:col>
                    <xdr:colOff>0</xdr:colOff>
                    <xdr:row>1748</xdr:row>
                    <xdr:rowOff>0</xdr:rowOff>
                  </to>
                </anchor>
              </controlPr>
            </control>
          </mc:Choice>
        </mc:AlternateContent>
        <mc:AlternateContent xmlns:mc="http://schemas.openxmlformats.org/markup-compatibility/2006">
          <mc:Choice Requires="x14">
            <control shapeId="13672" r:id="rId993" name="Button 2408">
              <controlPr defaultSize="0" autoFill="0" autoLine="0" autoPict="0" macro="[0]!Sheet1.InsertNewTableRow">
                <anchor moveWithCells="1" sizeWithCells="1">
                  <from>
                    <xdr:col>6</xdr:col>
                    <xdr:colOff>0</xdr:colOff>
                    <xdr:row>1754</xdr:row>
                    <xdr:rowOff>0</xdr:rowOff>
                  </from>
                  <to>
                    <xdr:col>7</xdr:col>
                    <xdr:colOff>0</xdr:colOff>
                    <xdr:row>1754</xdr:row>
                    <xdr:rowOff>171450</xdr:rowOff>
                  </to>
                </anchor>
              </controlPr>
            </control>
          </mc:Choice>
        </mc:AlternateContent>
        <mc:AlternateContent xmlns:mc="http://schemas.openxmlformats.org/markup-compatibility/2006">
          <mc:Choice Requires="x14">
            <control shapeId="13671" r:id="rId994" name="Button 2407">
              <controlPr defaultSize="0" autoFill="0" autoLine="0" autoPict="0" macro="[0]!Sheet1.deleteRow">
                <anchor moveWithCells="1" sizeWithCells="1">
                  <from>
                    <xdr:col>6</xdr:col>
                    <xdr:colOff>0</xdr:colOff>
                    <xdr:row>1755</xdr:row>
                    <xdr:rowOff>0</xdr:rowOff>
                  </from>
                  <to>
                    <xdr:col>7</xdr:col>
                    <xdr:colOff>0</xdr:colOff>
                    <xdr:row>1755</xdr:row>
                    <xdr:rowOff>165100</xdr:rowOff>
                  </to>
                </anchor>
              </controlPr>
            </control>
          </mc:Choice>
        </mc:AlternateContent>
        <mc:AlternateContent xmlns:mc="http://schemas.openxmlformats.org/markup-compatibility/2006">
          <mc:Choice Requires="x14">
            <control shapeId="13670" r:id="rId995" name="Button 2406">
              <controlPr defaultSize="0" autoFill="0" autoLine="0" autoPict="0" macro="[0]!Sheet1.deleteRow">
                <anchor moveWithCells="1" sizeWithCells="1">
                  <from>
                    <xdr:col>6</xdr:col>
                    <xdr:colOff>0</xdr:colOff>
                    <xdr:row>1756</xdr:row>
                    <xdr:rowOff>0</xdr:rowOff>
                  </from>
                  <to>
                    <xdr:col>7</xdr:col>
                    <xdr:colOff>0</xdr:colOff>
                    <xdr:row>1756</xdr:row>
                    <xdr:rowOff>165100</xdr:rowOff>
                  </to>
                </anchor>
              </controlPr>
            </control>
          </mc:Choice>
        </mc:AlternateContent>
        <mc:AlternateContent xmlns:mc="http://schemas.openxmlformats.org/markup-compatibility/2006">
          <mc:Choice Requires="x14">
            <control shapeId="13669" r:id="rId996" name="Button 2405">
              <controlPr defaultSize="0" autoFill="0" autoLine="0" autoPict="0" macro="[0]!Sheet1.deleteRow">
                <anchor moveWithCells="1" sizeWithCells="1">
                  <from>
                    <xdr:col>6</xdr:col>
                    <xdr:colOff>0</xdr:colOff>
                    <xdr:row>1757</xdr:row>
                    <xdr:rowOff>0</xdr:rowOff>
                  </from>
                  <to>
                    <xdr:col>7</xdr:col>
                    <xdr:colOff>0</xdr:colOff>
                    <xdr:row>1757</xdr:row>
                    <xdr:rowOff>165100</xdr:rowOff>
                  </to>
                </anchor>
              </controlPr>
            </control>
          </mc:Choice>
        </mc:AlternateContent>
        <mc:AlternateContent xmlns:mc="http://schemas.openxmlformats.org/markup-compatibility/2006">
          <mc:Choice Requires="x14">
            <control shapeId="13668" r:id="rId997" name="Button 2404">
              <controlPr defaultSize="0" autoFill="0" autoLine="0" autoPict="0" macro="[0]!Sheet1.deleteRow">
                <anchor moveWithCells="1" sizeWithCells="1">
                  <from>
                    <xdr:col>6</xdr:col>
                    <xdr:colOff>0</xdr:colOff>
                    <xdr:row>1758</xdr:row>
                    <xdr:rowOff>0</xdr:rowOff>
                  </from>
                  <to>
                    <xdr:col>7</xdr:col>
                    <xdr:colOff>0</xdr:colOff>
                    <xdr:row>1758</xdr:row>
                    <xdr:rowOff>165100</xdr:rowOff>
                  </to>
                </anchor>
              </controlPr>
            </control>
          </mc:Choice>
        </mc:AlternateContent>
        <mc:AlternateContent xmlns:mc="http://schemas.openxmlformats.org/markup-compatibility/2006">
          <mc:Choice Requires="x14">
            <control shapeId="13667" r:id="rId998" name="Button 2403">
              <controlPr defaultSize="0" autoFill="0" autoLine="0" autoPict="0" macro="[0]!Sheet1.deleteProcedure">
                <anchor moveWithCells="1" sizeWithCells="1">
                  <from>
                    <xdr:col>6</xdr:col>
                    <xdr:colOff>0</xdr:colOff>
                    <xdr:row>1761</xdr:row>
                    <xdr:rowOff>0</xdr:rowOff>
                  </from>
                  <to>
                    <xdr:col>7</xdr:col>
                    <xdr:colOff>0</xdr:colOff>
                    <xdr:row>1762</xdr:row>
                    <xdr:rowOff>0</xdr:rowOff>
                  </to>
                </anchor>
              </controlPr>
            </control>
          </mc:Choice>
        </mc:AlternateContent>
        <mc:AlternateContent xmlns:mc="http://schemas.openxmlformats.org/markup-compatibility/2006">
          <mc:Choice Requires="x14">
            <control shapeId="13666" r:id="rId999" name="Button 2402">
              <controlPr defaultSize="0" autoFill="0" autoLine="0" autoPict="0" macro="[0]!Sheet1.InsertNewTableRow">
                <anchor moveWithCells="1" sizeWithCells="1">
                  <from>
                    <xdr:col>6</xdr:col>
                    <xdr:colOff>0</xdr:colOff>
                    <xdr:row>1768</xdr:row>
                    <xdr:rowOff>0</xdr:rowOff>
                  </from>
                  <to>
                    <xdr:col>7</xdr:col>
                    <xdr:colOff>0</xdr:colOff>
                    <xdr:row>1768</xdr:row>
                    <xdr:rowOff>171450</xdr:rowOff>
                  </to>
                </anchor>
              </controlPr>
            </control>
          </mc:Choice>
        </mc:AlternateContent>
        <mc:AlternateContent xmlns:mc="http://schemas.openxmlformats.org/markup-compatibility/2006">
          <mc:Choice Requires="x14">
            <control shapeId="13665" r:id="rId1000" name="Button 2401">
              <controlPr defaultSize="0" autoFill="0" autoLine="0" autoPict="0" macro="[0]!Sheet1.deleteRow">
                <anchor moveWithCells="1" sizeWithCells="1">
                  <from>
                    <xdr:col>6</xdr:col>
                    <xdr:colOff>0</xdr:colOff>
                    <xdr:row>1769</xdr:row>
                    <xdr:rowOff>0</xdr:rowOff>
                  </from>
                  <to>
                    <xdr:col>7</xdr:col>
                    <xdr:colOff>0</xdr:colOff>
                    <xdr:row>1769</xdr:row>
                    <xdr:rowOff>165100</xdr:rowOff>
                  </to>
                </anchor>
              </controlPr>
            </control>
          </mc:Choice>
        </mc:AlternateContent>
        <mc:AlternateContent xmlns:mc="http://schemas.openxmlformats.org/markup-compatibility/2006">
          <mc:Choice Requires="x14">
            <control shapeId="13664" r:id="rId1001" name="Button 2400">
              <controlPr defaultSize="0" autoFill="0" autoLine="0" autoPict="0" macro="[0]!Sheet1.deleteRow">
                <anchor moveWithCells="1" sizeWithCells="1">
                  <from>
                    <xdr:col>6</xdr:col>
                    <xdr:colOff>0</xdr:colOff>
                    <xdr:row>1770</xdr:row>
                    <xdr:rowOff>0</xdr:rowOff>
                  </from>
                  <to>
                    <xdr:col>7</xdr:col>
                    <xdr:colOff>0</xdr:colOff>
                    <xdr:row>1770</xdr:row>
                    <xdr:rowOff>165100</xdr:rowOff>
                  </to>
                </anchor>
              </controlPr>
            </control>
          </mc:Choice>
        </mc:AlternateContent>
        <mc:AlternateContent xmlns:mc="http://schemas.openxmlformats.org/markup-compatibility/2006">
          <mc:Choice Requires="x14">
            <control shapeId="13663" r:id="rId1002" name="Button 2399">
              <controlPr defaultSize="0" autoFill="0" autoLine="0" autoPict="0" macro="[0]!Sheet1.deleteProcedure">
                <anchor moveWithCells="1" sizeWithCells="1">
                  <from>
                    <xdr:col>6</xdr:col>
                    <xdr:colOff>0</xdr:colOff>
                    <xdr:row>1773</xdr:row>
                    <xdr:rowOff>0</xdr:rowOff>
                  </from>
                  <to>
                    <xdr:col>7</xdr:col>
                    <xdr:colOff>0</xdr:colOff>
                    <xdr:row>1774</xdr:row>
                    <xdr:rowOff>0</xdr:rowOff>
                  </to>
                </anchor>
              </controlPr>
            </control>
          </mc:Choice>
        </mc:AlternateContent>
        <mc:AlternateContent xmlns:mc="http://schemas.openxmlformats.org/markup-compatibility/2006">
          <mc:Choice Requires="x14">
            <control shapeId="13662" r:id="rId1003" name="Button 2398">
              <controlPr defaultSize="0" autoFill="0" autoLine="0" autoPict="0" macro="[0]!Sheet1.InsertNewTableRow">
                <anchor moveWithCells="1" sizeWithCells="1">
                  <from>
                    <xdr:col>6</xdr:col>
                    <xdr:colOff>0</xdr:colOff>
                    <xdr:row>1780</xdr:row>
                    <xdr:rowOff>0</xdr:rowOff>
                  </from>
                  <to>
                    <xdr:col>7</xdr:col>
                    <xdr:colOff>0</xdr:colOff>
                    <xdr:row>1780</xdr:row>
                    <xdr:rowOff>171450</xdr:rowOff>
                  </to>
                </anchor>
              </controlPr>
            </control>
          </mc:Choice>
        </mc:AlternateContent>
        <mc:AlternateContent xmlns:mc="http://schemas.openxmlformats.org/markup-compatibility/2006">
          <mc:Choice Requires="x14">
            <control shapeId="13661" r:id="rId1004" name="Button 2397">
              <controlPr defaultSize="0" autoFill="0" autoLine="0" autoPict="0" macro="[0]!Sheet1.deleteRow">
                <anchor moveWithCells="1" sizeWithCells="1">
                  <from>
                    <xdr:col>6</xdr:col>
                    <xdr:colOff>0</xdr:colOff>
                    <xdr:row>1781</xdr:row>
                    <xdr:rowOff>0</xdr:rowOff>
                  </from>
                  <to>
                    <xdr:col>7</xdr:col>
                    <xdr:colOff>0</xdr:colOff>
                    <xdr:row>1781</xdr:row>
                    <xdr:rowOff>165100</xdr:rowOff>
                  </to>
                </anchor>
              </controlPr>
            </control>
          </mc:Choice>
        </mc:AlternateContent>
        <mc:AlternateContent xmlns:mc="http://schemas.openxmlformats.org/markup-compatibility/2006">
          <mc:Choice Requires="x14">
            <control shapeId="13660" r:id="rId1005" name="Button 2396">
              <controlPr defaultSize="0" autoFill="0" autoLine="0" autoPict="0" macro="[0]!Sheet1.deleteRow">
                <anchor moveWithCells="1" sizeWithCells="1">
                  <from>
                    <xdr:col>6</xdr:col>
                    <xdr:colOff>0</xdr:colOff>
                    <xdr:row>1782</xdr:row>
                    <xdr:rowOff>0</xdr:rowOff>
                  </from>
                  <to>
                    <xdr:col>7</xdr:col>
                    <xdr:colOff>0</xdr:colOff>
                    <xdr:row>1782</xdr:row>
                    <xdr:rowOff>165100</xdr:rowOff>
                  </to>
                </anchor>
              </controlPr>
            </control>
          </mc:Choice>
        </mc:AlternateContent>
        <mc:AlternateContent xmlns:mc="http://schemas.openxmlformats.org/markup-compatibility/2006">
          <mc:Choice Requires="x14">
            <control shapeId="13659" r:id="rId1006" name="Button 2395">
              <controlPr defaultSize="0" autoFill="0" autoLine="0" autoPict="0" macro="[0]!Sheet1.deleteRow">
                <anchor moveWithCells="1" sizeWithCells="1">
                  <from>
                    <xdr:col>6</xdr:col>
                    <xdr:colOff>0</xdr:colOff>
                    <xdr:row>1783</xdr:row>
                    <xdr:rowOff>0</xdr:rowOff>
                  </from>
                  <to>
                    <xdr:col>7</xdr:col>
                    <xdr:colOff>0</xdr:colOff>
                    <xdr:row>1783</xdr:row>
                    <xdr:rowOff>165100</xdr:rowOff>
                  </to>
                </anchor>
              </controlPr>
            </control>
          </mc:Choice>
        </mc:AlternateContent>
        <mc:AlternateContent xmlns:mc="http://schemas.openxmlformats.org/markup-compatibility/2006">
          <mc:Choice Requires="x14">
            <control shapeId="13658" r:id="rId1007" name="Button 2394">
              <controlPr defaultSize="0" autoFill="0" autoLine="0" autoPict="0" macro="[0]!Sheet1.deleteRow">
                <anchor moveWithCells="1" sizeWithCells="1">
                  <from>
                    <xdr:col>6</xdr:col>
                    <xdr:colOff>0</xdr:colOff>
                    <xdr:row>1784</xdr:row>
                    <xdr:rowOff>0</xdr:rowOff>
                  </from>
                  <to>
                    <xdr:col>7</xdr:col>
                    <xdr:colOff>0</xdr:colOff>
                    <xdr:row>1784</xdr:row>
                    <xdr:rowOff>165100</xdr:rowOff>
                  </to>
                </anchor>
              </controlPr>
            </control>
          </mc:Choice>
        </mc:AlternateContent>
        <mc:AlternateContent xmlns:mc="http://schemas.openxmlformats.org/markup-compatibility/2006">
          <mc:Choice Requires="x14">
            <control shapeId="13657" r:id="rId1008" name="Button 2393">
              <controlPr defaultSize="0" autoFill="0" autoLine="0" autoPict="0" macro="[0]!Sheet1.deleteRow">
                <anchor moveWithCells="1" sizeWithCells="1">
                  <from>
                    <xdr:col>6</xdr:col>
                    <xdr:colOff>0</xdr:colOff>
                    <xdr:row>1785</xdr:row>
                    <xdr:rowOff>0</xdr:rowOff>
                  </from>
                  <to>
                    <xdr:col>7</xdr:col>
                    <xdr:colOff>0</xdr:colOff>
                    <xdr:row>1785</xdr:row>
                    <xdr:rowOff>165100</xdr:rowOff>
                  </to>
                </anchor>
              </controlPr>
            </control>
          </mc:Choice>
        </mc:AlternateContent>
        <mc:AlternateContent xmlns:mc="http://schemas.openxmlformats.org/markup-compatibility/2006">
          <mc:Choice Requires="x14">
            <control shapeId="13656" r:id="rId1009" name="Button 2392">
              <controlPr defaultSize="0" autoFill="0" autoLine="0" autoPict="0" macro="[0]!Sheet1.deleteRow">
                <anchor moveWithCells="1" sizeWithCells="1">
                  <from>
                    <xdr:col>6</xdr:col>
                    <xdr:colOff>0</xdr:colOff>
                    <xdr:row>1786</xdr:row>
                    <xdr:rowOff>0</xdr:rowOff>
                  </from>
                  <to>
                    <xdr:col>7</xdr:col>
                    <xdr:colOff>0</xdr:colOff>
                    <xdr:row>1786</xdr:row>
                    <xdr:rowOff>165100</xdr:rowOff>
                  </to>
                </anchor>
              </controlPr>
            </control>
          </mc:Choice>
        </mc:AlternateContent>
        <mc:AlternateContent xmlns:mc="http://schemas.openxmlformats.org/markup-compatibility/2006">
          <mc:Choice Requires="x14">
            <control shapeId="13655" r:id="rId1010" name="Button 2391">
              <controlPr defaultSize="0" autoFill="0" autoLine="0" autoPict="0" macro="[0]!Sheet1.deleteRow">
                <anchor moveWithCells="1" sizeWithCells="1">
                  <from>
                    <xdr:col>6</xdr:col>
                    <xdr:colOff>0</xdr:colOff>
                    <xdr:row>1787</xdr:row>
                    <xdr:rowOff>0</xdr:rowOff>
                  </from>
                  <to>
                    <xdr:col>7</xdr:col>
                    <xdr:colOff>0</xdr:colOff>
                    <xdr:row>1787</xdr:row>
                    <xdr:rowOff>165100</xdr:rowOff>
                  </to>
                </anchor>
              </controlPr>
            </control>
          </mc:Choice>
        </mc:AlternateContent>
        <mc:AlternateContent xmlns:mc="http://schemas.openxmlformats.org/markup-compatibility/2006">
          <mc:Choice Requires="x14">
            <control shapeId="13654" r:id="rId1011" name="Button 2390">
              <controlPr defaultSize="0" autoFill="0" autoLine="0" autoPict="0" macro="[0]!Sheet1.deleteRow">
                <anchor moveWithCells="1" sizeWithCells="1">
                  <from>
                    <xdr:col>6</xdr:col>
                    <xdr:colOff>0</xdr:colOff>
                    <xdr:row>1788</xdr:row>
                    <xdr:rowOff>0</xdr:rowOff>
                  </from>
                  <to>
                    <xdr:col>7</xdr:col>
                    <xdr:colOff>0</xdr:colOff>
                    <xdr:row>1788</xdr:row>
                    <xdr:rowOff>165100</xdr:rowOff>
                  </to>
                </anchor>
              </controlPr>
            </control>
          </mc:Choice>
        </mc:AlternateContent>
        <mc:AlternateContent xmlns:mc="http://schemas.openxmlformats.org/markup-compatibility/2006">
          <mc:Choice Requires="x14">
            <control shapeId="13653" r:id="rId1012" name="Button 2389">
              <controlPr defaultSize="0" autoFill="0" autoLine="0" autoPict="0" macro="[0]!Sheet1.deleteRow">
                <anchor moveWithCells="1" sizeWithCells="1">
                  <from>
                    <xdr:col>6</xdr:col>
                    <xdr:colOff>0</xdr:colOff>
                    <xdr:row>1789</xdr:row>
                    <xdr:rowOff>0</xdr:rowOff>
                  </from>
                  <to>
                    <xdr:col>7</xdr:col>
                    <xdr:colOff>0</xdr:colOff>
                    <xdr:row>1789</xdr:row>
                    <xdr:rowOff>165100</xdr:rowOff>
                  </to>
                </anchor>
              </controlPr>
            </control>
          </mc:Choice>
        </mc:AlternateContent>
        <mc:AlternateContent xmlns:mc="http://schemas.openxmlformats.org/markup-compatibility/2006">
          <mc:Choice Requires="x14">
            <control shapeId="13652" r:id="rId1013" name="Button 2388">
              <controlPr defaultSize="0" autoFill="0" autoLine="0" autoPict="0" macro="[0]!Sheet1.deleteRow">
                <anchor moveWithCells="1" sizeWithCells="1">
                  <from>
                    <xdr:col>6</xdr:col>
                    <xdr:colOff>0</xdr:colOff>
                    <xdr:row>1790</xdr:row>
                    <xdr:rowOff>0</xdr:rowOff>
                  </from>
                  <to>
                    <xdr:col>7</xdr:col>
                    <xdr:colOff>0</xdr:colOff>
                    <xdr:row>1790</xdr:row>
                    <xdr:rowOff>165100</xdr:rowOff>
                  </to>
                </anchor>
              </controlPr>
            </control>
          </mc:Choice>
        </mc:AlternateContent>
        <mc:AlternateContent xmlns:mc="http://schemas.openxmlformats.org/markup-compatibility/2006">
          <mc:Choice Requires="x14">
            <control shapeId="13651" r:id="rId1014" name="Button 2387">
              <controlPr defaultSize="0" autoFill="0" autoLine="0" autoPict="0" macro="[0]!Sheet1.deleteRow">
                <anchor moveWithCells="1" sizeWithCells="1">
                  <from>
                    <xdr:col>6</xdr:col>
                    <xdr:colOff>0</xdr:colOff>
                    <xdr:row>1791</xdr:row>
                    <xdr:rowOff>0</xdr:rowOff>
                  </from>
                  <to>
                    <xdr:col>7</xdr:col>
                    <xdr:colOff>0</xdr:colOff>
                    <xdr:row>1791</xdr:row>
                    <xdr:rowOff>165100</xdr:rowOff>
                  </to>
                </anchor>
              </controlPr>
            </control>
          </mc:Choice>
        </mc:AlternateContent>
        <mc:AlternateContent xmlns:mc="http://schemas.openxmlformats.org/markup-compatibility/2006">
          <mc:Choice Requires="x14">
            <control shapeId="13650" r:id="rId1015" name="Button 2386">
              <controlPr defaultSize="0" autoFill="0" autoLine="0" autoPict="0" macro="[0]!Sheet1.deleteRow">
                <anchor moveWithCells="1" sizeWithCells="1">
                  <from>
                    <xdr:col>6</xdr:col>
                    <xdr:colOff>0</xdr:colOff>
                    <xdr:row>1792</xdr:row>
                    <xdr:rowOff>0</xdr:rowOff>
                  </from>
                  <to>
                    <xdr:col>7</xdr:col>
                    <xdr:colOff>0</xdr:colOff>
                    <xdr:row>1792</xdr:row>
                    <xdr:rowOff>165100</xdr:rowOff>
                  </to>
                </anchor>
              </controlPr>
            </control>
          </mc:Choice>
        </mc:AlternateContent>
        <mc:AlternateContent xmlns:mc="http://schemas.openxmlformats.org/markup-compatibility/2006">
          <mc:Choice Requires="x14">
            <control shapeId="13649" r:id="rId1016" name="Button 2385">
              <controlPr defaultSize="0" autoFill="0" autoLine="0" autoPict="0" macro="[0]!Sheet1.deleteRow">
                <anchor moveWithCells="1" sizeWithCells="1">
                  <from>
                    <xdr:col>6</xdr:col>
                    <xdr:colOff>0</xdr:colOff>
                    <xdr:row>1793</xdr:row>
                    <xdr:rowOff>0</xdr:rowOff>
                  </from>
                  <to>
                    <xdr:col>7</xdr:col>
                    <xdr:colOff>0</xdr:colOff>
                    <xdr:row>1793</xdr:row>
                    <xdr:rowOff>165100</xdr:rowOff>
                  </to>
                </anchor>
              </controlPr>
            </control>
          </mc:Choice>
        </mc:AlternateContent>
        <mc:AlternateContent xmlns:mc="http://schemas.openxmlformats.org/markup-compatibility/2006">
          <mc:Choice Requires="x14">
            <control shapeId="13648" r:id="rId1017" name="Button 2384">
              <controlPr defaultSize="0" autoFill="0" autoLine="0" autoPict="0" macro="[0]!Sheet1.deleteRow">
                <anchor moveWithCells="1" sizeWithCells="1">
                  <from>
                    <xdr:col>6</xdr:col>
                    <xdr:colOff>0</xdr:colOff>
                    <xdr:row>1794</xdr:row>
                    <xdr:rowOff>0</xdr:rowOff>
                  </from>
                  <to>
                    <xdr:col>7</xdr:col>
                    <xdr:colOff>0</xdr:colOff>
                    <xdr:row>1794</xdr:row>
                    <xdr:rowOff>165100</xdr:rowOff>
                  </to>
                </anchor>
              </controlPr>
            </control>
          </mc:Choice>
        </mc:AlternateContent>
        <mc:AlternateContent xmlns:mc="http://schemas.openxmlformats.org/markup-compatibility/2006">
          <mc:Choice Requires="x14">
            <control shapeId="13647" r:id="rId1018" name="Button 2383">
              <controlPr defaultSize="0" autoFill="0" autoLine="0" autoPict="0" macro="[0]!Sheet1.deleteRow">
                <anchor moveWithCells="1" sizeWithCells="1">
                  <from>
                    <xdr:col>6</xdr:col>
                    <xdr:colOff>0</xdr:colOff>
                    <xdr:row>1795</xdr:row>
                    <xdr:rowOff>0</xdr:rowOff>
                  </from>
                  <to>
                    <xdr:col>7</xdr:col>
                    <xdr:colOff>0</xdr:colOff>
                    <xdr:row>1795</xdr:row>
                    <xdr:rowOff>165100</xdr:rowOff>
                  </to>
                </anchor>
              </controlPr>
            </control>
          </mc:Choice>
        </mc:AlternateContent>
        <mc:AlternateContent xmlns:mc="http://schemas.openxmlformats.org/markup-compatibility/2006">
          <mc:Choice Requires="x14">
            <control shapeId="13646" r:id="rId1019" name="Button 2382">
              <controlPr defaultSize="0" autoFill="0" autoLine="0" autoPict="0" macro="[0]!Sheet1.deleteRow">
                <anchor moveWithCells="1" sizeWithCells="1">
                  <from>
                    <xdr:col>6</xdr:col>
                    <xdr:colOff>0</xdr:colOff>
                    <xdr:row>1796</xdr:row>
                    <xdr:rowOff>0</xdr:rowOff>
                  </from>
                  <to>
                    <xdr:col>7</xdr:col>
                    <xdr:colOff>0</xdr:colOff>
                    <xdr:row>1796</xdr:row>
                    <xdr:rowOff>165100</xdr:rowOff>
                  </to>
                </anchor>
              </controlPr>
            </control>
          </mc:Choice>
        </mc:AlternateContent>
        <mc:AlternateContent xmlns:mc="http://schemas.openxmlformats.org/markup-compatibility/2006">
          <mc:Choice Requires="x14">
            <control shapeId="13645" r:id="rId1020" name="Button 2381">
              <controlPr defaultSize="0" autoFill="0" autoLine="0" autoPict="0" macro="[0]!Sheet1.deleteRow">
                <anchor moveWithCells="1" sizeWithCells="1">
                  <from>
                    <xdr:col>6</xdr:col>
                    <xdr:colOff>0</xdr:colOff>
                    <xdr:row>1797</xdr:row>
                    <xdr:rowOff>0</xdr:rowOff>
                  </from>
                  <to>
                    <xdr:col>7</xdr:col>
                    <xdr:colOff>0</xdr:colOff>
                    <xdr:row>1797</xdr:row>
                    <xdr:rowOff>165100</xdr:rowOff>
                  </to>
                </anchor>
              </controlPr>
            </control>
          </mc:Choice>
        </mc:AlternateContent>
        <mc:AlternateContent xmlns:mc="http://schemas.openxmlformats.org/markup-compatibility/2006">
          <mc:Choice Requires="x14">
            <control shapeId="13644" r:id="rId1021" name="Button 2380">
              <controlPr defaultSize="0" autoFill="0" autoLine="0" autoPict="0" macro="[0]!Sheet1.deleteRow">
                <anchor moveWithCells="1" sizeWithCells="1">
                  <from>
                    <xdr:col>6</xdr:col>
                    <xdr:colOff>0</xdr:colOff>
                    <xdr:row>1798</xdr:row>
                    <xdr:rowOff>0</xdr:rowOff>
                  </from>
                  <to>
                    <xdr:col>7</xdr:col>
                    <xdr:colOff>0</xdr:colOff>
                    <xdr:row>1798</xdr:row>
                    <xdr:rowOff>165100</xdr:rowOff>
                  </to>
                </anchor>
              </controlPr>
            </control>
          </mc:Choice>
        </mc:AlternateContent>
        <mc:AlternateContent xmlns:mc="http://schemas.openxmlformats.org/markup-compatibility/2006">
          <mc:Choice Requires="x14">
            <control shapeId="13643" r:id="rId1022" name="Button 2379">
              <controlPr defaultSize="0" autoFill="0" autoLine="0" autoPict="0" macro="[0]!Sheet1.deleteRow">
                <anchor moveWithCells="1" sizeWithCells="1">
                  <from>
                    <xdr:col>6</xdr:col>
                    <xdr:colOff>0</xdr:colOff>
                    <xdr:row>1799</xdr:row>
                    <xdr:rowOff>0</xdr:rowOff>
                  </from>
                  <to>
                    <xdr:col>7</xdr:col>
                    <xdr:colOff>0</xdr:colOff>
                    <xdr:row>1799</xdr:row>
                    <xdr:rowOff>165100</xdr:rowOff>
                  </to>
                </anchor>
              </controlPr>
            </control>
          </mc:Choice>
        </mc:AlternateContent>
        <mc:AlternateContent xmlns:mc="http://schemas.openxmlformats.org/markup-compatibility/2006">
          <mc:Choice Requires="x14">
            <control shapeId="13642" r:id="rId1023" name="Button 2378">
              <controlPr defaultSize="0" autoFill="0" autoLine="0" autoPict="0" macro="[0]!Sheet1.deleteRow">
                <anchor moveWithCells="1" sizeWithCells="1">
                  <from>
                    <xdr:col>6</xdr:col>
                    <xdr:colOff>0</xdr:colOff>
                    <xdr:row>1800</xdr:row>
                    <xdr:rowOff>0</xdr:rowOff>
                  </from>
                  <to>
                    <xdr:col>7</xdr:col>
                    <xdr:colOff>0</xdr:colOff>
                    <xdr:row>1800</xdr:row>
                    <xdr:rowOff>165100</xdr:rowOff>
                  </to>
                </anchor>
              </controlPr>
            </control>
          </mc:Choice>
        </mc:AlternateContent>
        <mc:AlternateContent xmlns:mc="http://schemas.openxmlformats.org/markup-compatibility/2006">
          <mc:Choice Requires="x14">
            <control shapeId="13641" r:id="rId1024" name="Button 2377">
              <controlPr defaultSize="0" autoFill="0" autoLine="0" autoPict="0" macro="[0]!Sheet1.deleteRow">
                <anchor moveWithCells="1" sizeWithCells="1">
                  <from>
                    <xdr:col>6</xdr:col>
                    <xdr:colOff>0</xdr:colOff>
                    <xdr:row>1801</xdr:row>
                    <xdr:rowOff>0</xdr:rowOff>
                  </from>
                  <to>
                    <xdr:col>7</xdr:col>
                    <xdr:colOff>0</xdr:colOff>
                    <xdr:row>1801</xdr:row>
                    <xdr:rowOff>165100</xdr:rowOff>
                  </to>
                </anchor>
              </controlPr>
            </control>
          </mc:Choice>
        </mc:AlternateContent>
        <mc:AlternateContent xmlns:mc="http://schemas.openxmlformats.org/markup-compatibility/2006">
          <mc:Choice Requires="x14">
            <control shapeId="13640" r:id="rId1025" name="Button 2376">
              <controlPr defaultSize="0" autoFill="0" autoLine="0" autoPict="0" macro="[0]!Sheet1.deleteRow">
                <anchor moveWithCells="1" sizeWithCells="1">
                  <from>
                    <xdr:col>6</xdr:col>
                    <xdr:colOff>0</xdr:colOff>
                    <xdr:row>1802</xdr:row>
                    <xdr:rowOff>0</xdr:rowOff>
                  </from>
                  <to>
                    <xdr:col>7</xdr:col>
                    <xdr:colOff>0</xdr:colOff>
                    <xdr:row>1802</xdr:row>
                    <xdr:rowOff>165100</xdr:rowOff>
                  </to>
                </anchor>
              </controlPr>
            </control>
          </mc:Choice>
        </mc:AlternateContent>
        <mc:AlternateContent xmlns:mc="http://schemas.openxmlformats.org/markup-compatibility/2006">
          <mc:Choice Requires="x14">
            <control shapeId="13639" r:id="rId1026" name="Button 2375">
              <controlPr defaultSize="0" autoFill="0" autoLine="0" autoPict="0" macro="[0]!Sheet1.deleteRow">
                <anchor moveWithCells="1" sizeWithCells="1">
                  <from>
                    <xdr:col>6</xdr:col>
                    <xdr:colOff>0</xdr:colOff>
                    <xdr:row>1803</xdr:row>
                    <xdr:rowOff>0</xdr:rowOff>
                  </from>
                  <to>
                    <xdr:col>7</xdr:col>
                    <xdr:colOff>0</xdr:colOff>
                    <xdr:row>1803</xdr:row>
                    <xdr:rowOff>165100</xdr:rowOff>
                  </to>
                </anchor>
              </controlPr>
            </control>
          </mc:Choice>
        </mc:AlternateContent>
        <mc:AlternateContent xmlns:mc="http://schemas.openxmlformats.org/markup-compatibility/2006">
          <mc:Choice Requires="x14">
            <control shapeId="13638" r:id="rId1027" name="Button 2374">
              <controlPr defaultSize="0" autoFill="0" autoLine="0" autoPict="0" macro="[0]!Sheet1.deleteRow">
                <anchor moveWithCells="1" sizeWithCells="1">
                  <from>
                    <xdr:col>6</xdr:col>
                    <xdr:colOff>0</xdr:colOff>
                    <xdr:row>1804</xdr:row>
                    <xdr:rowOff>0</xdr:rowOff>
                  </from>
                  <to>
                    <xdr:col>7</xdr:col>
                    <xdr:colOff>0</xdr:colOff>
                    <xdr:row>1804</xdr:row>
                    <xdr:rowOff>165100</xdr:rowOff>
                  </to>
                </anchor>
              </controlPr>
            </control>
          </mc:Choice>
        </mc:AlternateContent>
        <mc:AlternateContent xmlns:mc="http://schemas.openxmlformats.org/markup-compatibility/2006">
          <mc:Choice Requires="x14">
            <control shapeId="13637" r:id="rId1028" name="Button 2373">
              <controlPr defaultSize="0" autoFill="0" autoLine="0" autoPict="0" macro="[0]!Sheet1.deleteRow">
                <anchor moveWithCells="1" sizeWithCells="1">
                  <from>
                    <xdr:col>6</xdr:col>
                    <xdr:colOff>0</xdr:colOff>
                    <xdr:row>1805</xdr:row>
                    <xdr:rowOff>0</xdr:rowOff>
                  </from>
                  <to>
                    <xdr:col>7</xdr:col>
                    <xdr:colOff>0</xdr:colOff>
                    <xdr:row>1805</xdr:row>
                    <xdr:rowOff>165100</xdr:rowOff>
                  </to>
                </anchor>
              </controlPr>
            </control>
          </mc:Choice>
        </mc:AlternateContent>
        <mc:AlternateContent xmlns:mc="http://schemas.openxmlformats.org/markup-compatibility/2006">
          <mc:Choice Requires="x14">
            <control shapeId="13636" r:id="rId1029" name="Button 2372">
              <controlPr defaultSize="0" autoFill="0" autoLine="0" autoPict="0" macro="[0]!Sheet1.deleteRow">
                <anchor moveWithCells="1" sizeWithCells="1">
                  <from>
                    <xdr:col>6</xdr:col>
                    <xdr:colOff>0</xdr:colOff>
                    <xdr:row>1806</xdr:row>
                    <xdr:rowOff>0</xdr:rowOff>
                  </from>
                  <to>
                    <xdr:col>7</xdr:col>
                    <xdr:colOff>0</xdr:colOff>
                    <xdr:row>1806</xdr:row>
                    <xdr:rowOff>165100</xdr:rowOff>
                  </to>
                </anchor>
              </controlPr>
            </control>
          </mc:Choice>
        </mc:AlternateContent>
        <mc:AlternateContent xmlns:mc="http://schemas.openxmlformats.org/markup-compatibility/2006">
          <mc:Choice Requires="x14">
            <control shapeId="13635" r:id="rId1030" name="Button 2371">
              <controlPr defaultSize="0" autoFill="0" autoLine="0" autoPict="0" macro="[0]!Sheet1.deleteRow">
                <anchor moveWithCells="1" sizeWithCells="1">
                  <from>
                    <xdr:col>6</xdr:col>
                    <xdr:colOff>0</xdr:colOff>
                    <xdr:row>1807</xdr:row>
                    <xdr:rowOff>0</xdr:rowOff>
                  </from>
                  <to>
                    <xdr:col>7</xdr:col>
                    <xdr:colOff>0</xdr:colOff>
                    <xdr:row>1807</xdr:row>
                    <xdr:rowOff>165100</xdr:rowOff>
                  </to>
                </anchor>
              </controlPr>
            </control>
          </mc:Choice>
        </mc:AlternateContent>
        <mc:AlternateContent xmlns:mc="http://schemas.openxmlformats.org/markup-compatibility/2006">
          <mc:Choice Requires="x14">
            <control shapeId="13634" r:id="rId1031" name="Button 2370">
              <controlPr defaultSize="0" autoFill="0" autoLine="0" autoPict="0" macro="[0]!Sheet1.deleteRow">
                <anchor moveWithCells="1" sizeWithCells="1">
                  <from>
                    <xdr:col>6</xdr:col>
                    <xdr:colOff>0</xdr:colOff>
                    <xdr:row>1808</xdr:row>
                    <xdr:rowOff>0</xdr:rowOff>
                  </from>
                  <to>
                    <xdr:col>7</xdr:col>
                    <xdr:colOff>0</xdr:colOff>
                    <xdr:row>1808</xdr:row>
                    <xdr:rowOff>165100</xdr:rowOff>
                  </to>
                </anchor>
              </controlPr>
            </control>
          </mc:Choice>
        </mc:AlternateContent>
        <mc:AlternateContent xmlns:mc="http://schemas.openxmlformats.org/markup-compatibility/2006">
          <mc:Choice Requires="x14">
            <control shapeId="13633" r:id="rId1032" name="Button 2369">
              <controlPr defaultSize="0" autoFill="0" autoLine="0" autoPict="0" macro="[0]!Sheet1.deleteRow">
                <anchor moveWithCells="1" sizeWithCells="1">
                  <from>
                    <xdr:col>6</xdr:col>
                    <xdr:colOff>0</xdr:colOff>
                    <xdr:row>1809</xdr:row>
                    <xdr:rowOff>0</xdr:rowOff>
                  </from>
                  <to>
                    <xdr:col>7</xdr:col>
                    <xdr:colOff>0</xdr:colOff>
                    <xdr:row>1809</xdr:row>
                    <xdr:rowOff>165100</xdr:rowOff>
                  </to>
                </anchor>
              </controlPr>
            </control>
          </mc:Choice>
        </mc:AlternateContent>
        <mc:AlternateContent xmlns:mc="http://schemas.openxmlformats.org/markup-compatibility/2006">
          <mc:Choice Requires="x14">
            <control shapeId="13632" r:id="rId1033" name="Button 2368">
              <controlPr defaultSize="0" autoFill="0" autoLine="0" autoPict="0" macro="[0]!Sheet1.deleteRow">
                <anchor moveWithCells="1" sizeWithCells="1">
                  <from>
                    <xdr:col>6</xdr:col>
                    <xdr:colOff>0</xdr:colOff>
                    <xdr:row>1810</xdr:row>
                    <xdr:rowOff>0</xdr:rowOff>
                  </from>
                  <to>
                    <xdr:col>7</xdr:col>
                    <xdr:colOff>0</xdr:colOff>
                    <xdr:row>1810</xdr:row>
                    <xdr:rowOff>165100</xdr:rowOff>
                  </to>
                </anchor>
              </controlPr>
            </control>
          </mc:Choice>
        </mc:AlternateContent>
        <mc:AlternateContent xmlns:mc="http://schemas.openxmlformats.org/markup-compatibility/2006">
          <mc:Choice Requires="x14">
            <control shapeId="13631" r:id="rId1034" name="Button 2367">
              <controlPr defaultSize="0" autoFill="0" autoLine="0" autoPict="0" macro="[0]!Sheet1.deleteRow">
                <anchor moveWithCells="1" sizeWithCells="1">
                  <from>
                    <xdr:col>6</xdr:col>
                    <xdr:colOff>0</xdr:colOff>
                    <xdr:row>1811</xdr:row>
                    <xdr:rowOff>0</xdr:rowOff>
                  </from>
                  <to>
                    <xdr:col>7</xdr:col>
                    <xdr:colOff>0</xdr:colOff>
                    <xdr:row>1811</xdr:row>
                    <xdr:rowOff>165100</xdr:rowOff>
                  </to>
                </anchor>
              </controlPr>
            </control>
          </mc:Choice>
        </mc:AlternateContent>
        <mc:AlternateContent xmlns:mc="http://schemas.openxmlformats.org/markup-compatibility/2006">
          <mc:Choice Requires="x14">
            <control shapeId="13630" r:id="rId1035" name="Button 2366">
              <controlPr defaultSize="0" autoFill="0" autoLine="0" autoPict="0" macro="[0]!Sheet1.deleteRow">
                <anchor moveWithCells="1" sizeWithCells="1">
                  <from>
                    <xdr:col>6</xdr:col>
                    <xdr:colOff>0</xdr:colOff>
                    <xdr:row>1812</xdr:row>
                    <xdr:rowOff>0</xdr:rowOff>
                  </from>
                  <to>
                    <xdr:col>7</xdr:col>
                    <xdr:colOff>0</xdr:colOff>
                    <xdr:row>1812</xdr:row>
                    <xdr:rowOff>165100</xdr:rowOff>
                  </to>
                </anchor>
              </controlPr>
            </control>
          </mc:Choice>
        </mc:AlternateContent>
        <mc:AlternateContent xmlns:mc="http://schemas.openxmlformats.org/markup-compatibility/2006">
          <mc:Choice Requires="x14">
            <control shapeId="13629" r:id="rId1036" name="Button 2365">
              <controlPr defaultSize="0" autoFill="0" autoLine="0" autoPict="0" macro="[0]!Sheet1.deleteRow">
                <anchor moveWithCells="1" sizeWithCells="1">
                  <from>
                    <xdr:col>6</xdr:col>
                    <xdr:colOff>0</xdr:colOff>
                    <xdr:row>1813</xdr:row>
                    <xdr:rowOff>0</xdr:rowOff>
                  </from>
                  <to>
                    <xdr:col>7</xdr:col>
                    <xdr:colOff>0</xdr:colOff>
                    <xdr:row>1813</xdr:row>
                    <xdr:rowOff>165100</xdr:rowOff>
                  </to>
                </anchor>
              </controlPr>
            </control>
          </mc:Choice>
        </mc:AlternateContent>
        <mc:AlternateContent xmlns:mc="http://schemas.openxmlformats.org/markup-compatibility/2006">
          <mc:Choice Requires="x14">
            <control shapeId="13628" r:id="rId1037" name="Button 2364">
              <controlPr defaultSize="0" autoFill="0" autoLine="0" autoPict="0" macro="[0]!Sheet1.deleteRow">
                <anchor moveWithCells="1" sizeWithCells="1">
                  <from>
                    <xdr:col>6</xdr:col>
                    <xdr:colOff>0</xdr:colOff>
                    <xdr:row>1814</xdr:row>
                    <xdr:rowOff>0</xdr:rowOff>
                  </from>
                  <to>
                    <xdr:col>7</xdr:col>
                    <xdr:colOff>0</xdr:colOff>
                    <xdr:row>1814</xdr:row>
                    <xdr:rowOff>165100</xdr:rowOff>
                  </to>
                </anchor>
              </controlPr>
            </control>
          </mc:Choice>
        </mc:AlternateContent>
        <mc:AlternateContent xmlns:mc="http://schemas.openxmlformats.org/markup-compatibility/2006">
          <mc:Choice Requires="x14">
            <control shapeId="13627" r:id="rId1038" name="Button 2363">
              <controlPr defaultSize="0" autoFill="0" autoLine="0" autoPict="0" macro="[0]!Sheet1.deleteRow">
                <anchor moveWithCells="1" sizeWithCells="1">
                  <from>
                    <xdr:col>6</xdr:col>
                    <xdr:colOff>0</xdr:colOff>
                    <xdr:row>1815</xdr:row>
                    <xdr:rowOff>0</xdr:rowOff>
                  </from>
                  <to>
                    <xdr:col>7</xdr:col>
                    <xdr:colOff>0</xdr:colOff>
                    <xdr:row>1815</xdr:row>
                    <xdr:rowOff>165100</xdr:rowOff>
                  </to>
                </anchor>
              </controlPr>
            </control>
          </mc:Choice>
        </mc:AlternateContent>
        <mc:AlternateContent xmlns:mc="http://schemas.openxmlformats.org/markup-compatibility/2006">
          <mc:Choice Requires="x14">
            <control shapeId="13626" r:id="rId1039" name="Button 2362">
              <controlPr defaultSize="0" autoFill="0" autoLine="0" autoPict="0" macro="[0]!Sheet1.deleteRow">
                <anchor moveWithCells="1" sizeWithCells="1">
                  <from>
                    <xdr:col>6</xdr:col>
                    <xdr:colOff>0</xdr:colOff>
                    <xdr:row>1816</xdr:row>
                    <xdr:rowOff>0</xdr:rowOff>
                  </from>
                  <to>
                    <xdr:col>7</xdr:col>
                    <xdr:colOff>0</xdr:colOff>
                    <xdr:row>1816</xdr:row>
                    <xdr:rowOff>165100</xdr:rowOff>
                  </to>
                </anchor>
              </controlPr>
            </control>
          </mc:Choice>
        </mc:AlternateContent>
        <mc:AlternateContent xmlns:mc="http://schemas.openxmlformats.org/markup-compatibility/2006">
          <mc:Choice Requires="x14">
            <control shapeId="13625" r:id="rId1040" name="Button 2361">
              <controlPr defaultSize="0" autoFill="0" autoLine="0" autoPict="0" macro="[0]!Sheet1.deleteRow">
                <anchor moveWithCells="1" sizeWithCells="1">
                  <from>
                    <xdr:col>6</xdr:col>
                    <xdr:colOff>0</xdr:colOff>
                    <xdr:row>1817</xdr:row>
                    <xdr:rowOff>0</xdr:rowOff>
                  </from>
                  <to>
                    <xdr:col>7</xdr:col>
                    <xdr:colOff>0</xdr:colOff>
                    <xdr:row>1817</xdr:row>
                    <xdr:rowOff>165100</xdr:rowOff>
                  </to>
                </anchor>
              </controlPr>
            </control>
          </mc:Choice>
        </mc:AlternateContent>
        <mc:AlternateContent xmlns:mc="http://schemas.openxmlformats.org/markup-compatibility/2006">
          <mc:Choice Requires="x14">
            <control shapeId="13624" r:id="rId1041" name="Button 2360">
              <controlPr defaultSize="0" autoFill="0" autoLine="0" autoPict="0" macro="[0]!Sheet1.deleteRow">
                <anchor moveWithCells="1" sizeWithCells="1">
                  <from>
                    <xdr:col>6</xdr:col>
                    <xdr:colOff>0</xdr:colOff>
                    <xdr:row>1818</xdr:row>
                    <xdr:rowOff>0</xdr:rowOff>
                  </from>
                  <to>
                    <xdr:col>7</xdr:col>
                    <xdr:colOff>0</xdr:colOff>
                    <xdr:row>1818</xdr:row>
                    <xdr:rowOff>165100</xdr:rowOff>
                  </to>
                </anchor>
              </controlPr>
            </control>
          </mc:Choice>
        </mc:AlternateContent>
        <mc:AlternateContent xmlns:mc="http://schemas.openxmlformats.org/markup-compatibility/2006">
          <mc:Choice Requires="x14">
            <control shapeId="13623" r:id="rId1042" name="Button 2359">
              <controlPr defaultSize="0" autoFill="0" autoLine="0" autoPict="0" macro="[0]!Sheet1.deleteRow">
                <anchor moveWithCells="1" sizeWithCells="1">
                  <from>
                    <xdr:col>6</xdr:col>
                    <xdr:colOff>0</xdr:colOff>
                    <xdr:row>1819</xdr:row>
                    <xdr:rowOff>0</xdr:rowOff>
                  </from>
                  <to>
                    <xdr:col>7</xdr:col>
                    <xdr:colOff>0</xdr:colOff>
                    <xdr:row>1819</xdr:row>
                    <xdr:rowOff>165100</xdr:rowOff>
                  </to>
                </anchor>
              </controlPr>
            </control>
          </mc:Choice>
        </mc:AlternateContent>
        <mc:AlternateContent xmlns:mc="http://schemas.openxmlformats.org/markup-compatibility/2006">
          <mc:Choice Requires="x14">
            <control shapeId="13622" r:id="rId1043" name="Button 2358">
              <controlPr defaultSize="0" autoFill="0" autoLine="0" autoPict="0" macro="[0]!Sheet1.deleteRow">
                <anchor moveWithCells="1" sizeWithCells="1">
                  <from>
                    <xdr:col>6</xdr:col>
                    <xdr:colOff>0</xdr:colOff>
                    <xdr:row>1820</xdr:row>
                    <xdr:rowOff>0</xdr:rowOff>
                  </from>
                  <to>
                    <xdr:col>7</xdr:col>
                    <xdr:colOff>0</xdr:colOff>
                    <xdr:row>1820</xdr:row>
                    <xdr:rowOff>165100</xdr:rowOff>
                  </to>
                </anchor>
              </controlPr>
            </control>
          </mc:Choice>
        </mc:AlternateContent>
        <mc:AlternateContent xmlns:mc="http://schemas.openxmlformats.org/markup-compatibility/2006">
          <mc:Choice Requires="x14">
            <control shapeId="13621" r:id="rId1044" name="Button 2357">
              <controlPr defaultSize="0" autoFill="0" autoLine="0" autoPict="0" macro="[0]!Sheet1.deleteRow">
                <anchor moveWithCells="1" sizeWithCells="1">
                  <from>
                    <xdr:col>6</xdr:col>
                    <xdr:colOff>0</xdr:colOff>
                    <xdr:row>1821</xdr:row>
                    <xdr:rowOff>0</xdr:rowOff>
                  </from>
                  <to>
                    <xdr:col>7</xdr:col>
                    <xdr:colOff>0</xdr:colOff>
                    <xdr:row>1821</xdr:row>
                    <xdr:rowOff>165100</xdr:rowOff>
                  </to>
                </anchor>
              </controlPr>
            </control>
          </mc:Choice>
        </mc:AlternateContent>
        <mc:AlternateContent xmlns:mc="http://schemas.openxmlformats.org/markup-compatibility/2006">
          <mc:Choice Requires="x14">
            <control shapeId="13620" r:id="rId1045" name="Button 2356">
              <controlPr defaultSize="0" autoFill="0" autoLine="0" autoPict="0" macro="[0]!Sheet1.deleteRow">
                <anchor moveWithCells="1" sizeWithCells="1">
                  <from>
                    <xdr:col>6</xdr:col>
                    <xdr:colOff>0</xdr:colOff>
                    <xdr:row>1822</xdr:row>
                    <xdr:rowOff>0</xdr:rowOff>
                  </from>
                  <to>
                    <xdr:col>7</xdr:col>
                    <xdr:colOff>0</xdr:colOff>
                    <xdr:row>1822</xdr:row>
                    <xdr:rowOff>165100</xdr:rowOff>
                  </to>
                </anchor>
              </controlPr>
            </control>
          </mc:Choice>
        </mc:AlternateContent>
        <mc:AlternateContent xmlns:mc="http://schemas.openxmlformats.org/markup-compatibility/2006">
          <mc:Choice Requires="x14">
            <control shapeId="13619" r:id="rId1046" name="Button 2355">
              <controlPr defaultSize="0" autoFill="0" autoLine="0" autoPict="0" macro="[0]!Sheet1.deleteRow">
                <anchor moveWithCells="1" sizeWithCells="1">
                  <from>
                    <xdr:col>6</xdr:col>
                    <xdr:colOff>0</xdr:colOff>
                    <xdr:row>1823</xdr:row>
                    <xdr:rowOff>0</xdr:rowOff>
                  </from>
                  <to>
                    <xdr:col>7</xdr:col>
                    <xdr:colOff>0</xdr:colOff>
                    <xdr:row>1823</xdr:row>
                    <xdr:rowOff>165100</xdr:rowOff>
                  </to>
                </anchor>
              </controlPr>
            </control>
          </mc:Choice>
        </mc:AlternateContent>
        <mc:AlternateContent xmlns:mc="http://schemas.openxmlformats.org/markup-compatibility/2006">
          <mc:Choice Requires="x14">
            <control shapeId="13618" r:id="rId1047" name="Button 2354">
              <controlPr defaultSize="0" autoFill="0" autoLine="0" autoPict="0" macro="[0]!Sheet1.deleteRow">
                <anchor moveWithCells="1" sizeWithCells="1">
                  <from>
                    <xdr:col>6</xdr:col>
                    <xdr:colOff>0</xdr:colOff>
                    <xdr:row>1824</xdr:row>
                    <xdr:rowOff>0</xdr:rowOff>
                  </from>
                  <to>
                    <xdr:col>7</xdr:col>
                    <xdr:colOff>0</xdr:colOff>
                    <xdr:row>1824</xdr:row>
                    <xdr:rowOff>165100</xdr:rowOff>
                  </to>
                </anchor>
              </controlPr>
            </control>
          </mc:Choice>
        </mc:AlternateContent>
        <mc:AlternateContent xmlns:mc="http://schemas.openxmlformats.org/markup-compatibility/2006">
          <mc:Choice Requires="x14">
            <control shapeId="13617" r:id="rId1048" name="Button 2353">
              <controlPr defaultSize="0" autoFill="0" autoLine="0" autoPict="0" macro="[0]!Sheet1.deleteProcedure">
                <anchor moveWithCells="1" sizeWithCells="1">
                  <from>
                    <xdr:col>6</xdr:col>
                    <xdr:colOff>0</xdr:colOff>
                    <xdr:row>1827</xdr:row>
                    <xdr:rowOff>0</xdr:rowOff>
                  </from>
                  <to>
                    <xdr:col>7</xdr:col>
                    <xdr:colOff>0</xdr:colOff>
                    <xdr:row>1828</xdr:row>
                    <xdr:rowOff>0</xdr:rowOff>
                  </to>
                </anchor>
              </controlPr>
            </control>
          </mc:Choice>
        </mc:AlternateContent>
        <mc:AlternateContent xmlns:mc="http://schemas.openxmlformats.org/markup-compatibility/2006">
          <mc:Choice Requires="x14">
            <control shapeId="13616" r:id="rId1049" name="Button 2352">
              <controlPr defaultSize="0" autoFill="0" autoLine="0" autoPict="0" macro="[0]!Sheet1.InsertNewTableRow">
                <anchor moveWithCells="1" sizeWithCells="1">
                  <from>
                    <xdr:col>6</xdr:col>
                    <xdr:colOff>0</xdr:colOff>
                    <xdr:row>1834</xdr:row>
                    <xdr:rowOff>0</xdr:rowOff>
                  </from>
                  <to>
                    <xdr:col>7</xdr:col>
                    <xdr:colOff>0</xdr:colOff>
                    <xdr:row>1834</xdr:row>
                    <xdr:rowOff>171450</xdr:rowOff>
                  </to>
                </anchor>
              </controlPr>
            </control>
          </mc:Choice>
        </mc:AlternateContent>
        <mc:AlternateContent xmlns:mc="http://schemas.openxmlformats.org/markup-compatibility/2006">
          <mc:Choice Requires="x14">
            <control shapeId="13615" r:id="rId1050" name="Button 2351">
              <controlPr defaultSize="0" autoFill="0" autoLine="0" autoPict="0" macro="[0]!Sheet1.deleteRow">
                <anchor moveWithCells="1" sizeWithCells="1">
                  <from>
                    <xdr:col>6</xdr:col>
                    <xdr:colOff>0</xdr:colOff>
                    <xdr:row>1835</xdr:row>
                    <xdr:rowOff>0</xdr:rowOff>
                  </from>
                  <to>
                    <xdr:col>7</xdr:col>
                    <xdr:colOff>0</xdr:colOff>
                    <xdr:row>1835</xdr:row>
                    <xdr:rowOff>165100</xdr:rowOff>
                  </to>
                </anchor>
              </controlPr>
            </control>
          </mc:Choice>
        </mc:AlternateContent>
        <mc:AlternateContent xmlns:mc="http://schemas.openxmlformats.org/markup-compatibility/2006">
          <mc:Choice Requires="x14">
            <control shapeId="13614" r:id="rId1051" name="Button 2350">
              <controlPr defaultSize="0" autoFill="0" autoLine="0" autoPict="0" macro="[0]!Sheet1.deleteRow">
                <anchor moveWithCells="1" sizeWithCells="1">
                  <from>
                    <xdr:col>6</xdr:col>
                    <xdr:colOff>0</xdr:colOff>
                    <xdr:row>1836</xdr:row>
                    <xdr:rowOff>0</xdr:rowOff>
                  </from>
                  <to>
                    <xdr:col>7</xdr:col>
                    <xdr:colOff>0</xdr:colOff>
                    <xdr:row>1836</xdr:row>
                    <xdr:rowOff>165100</xdr:rowOff>
                  </to>
                </anchor>
              </controlPr>
            </control>
          </mc:Choice>
        </mc:AlternateContent>
        <mc:AlternateContent xmlns:mc="http://schemas.openxmlformats.org/markup-compatibility/2006">
          <mc:Choice Requires="x14">
            <control shapeId="13613" r:id="rId1052" name="Button 2349">
              <controlPr defaultSize="0" autoFill="0" autoLine="0" autoPict="0" macro="[0]!Sheet1.deleteRow">
                <anchor moveWithCells="1" sizeWithCells="1">
                  <from>
                    <xdr:col>6</xdr:col>
                    <xdr:colOff>0</xdr:colOff>
                    <xdr:row>1837</xdr:row>
                    <xdr:rowOff>0</xdr:rowOff>
                  </from>
                  <to>
                    <xdr:col>7</xdr:col>
                    <xdr:colOff>0</xdr:colOff>
                    <xdr:row>1837</xdr:row>
                    <xdr:rowOff>165100</xdr:rowOff>
                  </to>
                </anchor>
              </controlPr>
            </control>
          </mc:Choice>
        </mc:AlternateContent>
        <mc:AlternateContent xmlns:mc="http://schemas.openxmlformats.org/markup-compatibility/2006">
          <mc:Choice Requires="x14">
            <control shapeId="13612" r:id="rId1053" name="Button 2348">
              <controlPr defaultSize="0" autoFill="0" autoLine="0" autoPict="0" macro="[0]!Sheet1.deleteRow">
                <anchor moveWithCells="1" sizeWithCells="1">
                  <from>
                    <xdr:col>6</xdr:col>
                    <xdr:colOff>0</xdr:colOff>
                    <xdr:row>1838</xdr:row>
                    <xdr:rowOff>0</xdr:rowOff>
                  </from>
                  <to>
                    <xdr:col>7</xdr:col>
                    <xdr:colOff>0</xdr:colOff>
                    <xdr:row>1838</xdr:row>
                    <xdr:rowOff>165100</xdr:rowOff>
                  </to>
                </anchor>
              </controlPr>
            </control>
          </mc:Choice>
        </mc:AlternateContent>
        <mc:AlternateContent xmlns:mc="http://schemas.openxmlformats.org/markup-compatibility/2006">
          <mc:Choice Requires="x14">
            <control shapeId="13611" r:id="rId1054" name="Button 2347">
              <controlPr defaultSize="0" autoFill="0" autoLine="0" autoPict="0" macro="[0]!Sheet1.deleteRow">
                <anchor moveWithCells="1" sizeWithCells="1">
                  <from>
                    <xdr:col>6</xdr:col>
                    <xdr:colOff>0</xdr:colOff>
                    <xdr:row>1839</xdr:row>
                    <xdr:rowOff>0</xdr:rowOff>
                  </from>
                  <to>
                    <xdr:col>7</xdr:col>
                    <xdr:colOff>0</xdr:colOff>
                    <xdr:row>1839</xdr:row>
                    <xdr:rowOff>165100</xdr:rowOff>
                  </to>
                </anchor>
              </controlPr>
            </control>
          </mc:Choice>
        </mc:AlternateContent>
        <mc:AlternateContent xmlns:mc="http://schemas.openxmlformats.org/markup-compatibility/2006">
          <mc:Choice Requires="x14">
            <control shapeId="13610" r:id="rId1055" name="Button 2346">
              <controlPr defaultSize="0" autoFill="0" autoLine="0" autoPict="0" macro="[0]!Sheet1.deleteRow">
                <anchor moveWithCells="1" sizeWithCells="1">
                  <from>
                    <xdr:col>6</xdr:col>
                    <xdr:colOff>0</xdr:colOff>
                    <xdr:row>1840</xdr:row>
                    <xdr:rowOff>0</xdr:rowOff>
                  </from>
                  <to>
                    <xdr:col>7</xdr:col>
                    <xdr:colOff>0</xdr:colOff>
                    <xdr:row>1840</xdr:row>
                    <xdr:rowOff>165100</xdr:rowOff>
                  </to>
                </anchor>
              </controlPr>
            </control>
          </mc:Choice>
        </mc:AlternateContent>
        <mc:AlternateContent xmlns:mc="http://schemas.openxmlformats.org/markup-compatibility/2006">
          <mc:Choice Requires="x14">
            <control shapeId="13609" r:id="rId1056" name="Button 2345">
              <controlPr defaultSize="0" autoFill="0" autoLine="0" autoPict="0" macro="[0]!Sheet1.deleteRow">
                <anchor moveWithCells="1" sizeWithCells="1">
                  <from>
                    <xdr:col>6</xdr:col>
                    <xdr:colOff>0</xdr:colOff>
                    <xdr:row>1841</xdr:row>
                    <xdr:rowOff>0</xdr:rowOff>
                  </from>
                  <to>
                    <xdr:col>7</xdr:col>
                    <xdr:colOff>0</xdr:colOff>
                    <xdr:row>1841</xdr:row>
                    <xdr:rowOff>165100</xdr:rowOff>
                  </to>
                </anchor>
              </controlPr>
            </control>
          </mc:Choice>
        </mc:AlternateContent>
        <mc:AlternateContent xmlns:mc="http://schemas.openxmlformats.org/markup-compatibility/2006">
          <mc:Choice Requires="x14">
            <control shapeId="13608" r:id="rId1057" name="Button 2344">
              <controlPr defaultSize="0" autoFill="0" autoLine="0" autoPict="0" macro="[0]!Sheet1.deleteRow">
                <anchor moveWithCells="1" sizeWithCells="1">
                  <from>
                    <xdr:col>6</xdr:col>
                    <xdr:colOff>0</xdr:colOff>
                    <xdr:row>1842</xdr:row>
                    <xdr:rowOff>0</xdr:rowOff>
                  </from>
                  <to>
                    <xdr:col>7</xdr:col>
                    <xdr:colOff>0</xdr:colOff>
                    <xdr:row>1842</xdr:row>
                    <xdr:rowOff>165100</xdr:rowOff>
                  </to>
                </anchor>
              </controlPr>
            </control>
          </mc:Choice>
        </mc:AlternateContent>
        <mc:AlternateContent xmlns:mc="http://schemas.openxmlformats.org/markup-compatibility/2006">
          <mc:Choice Requires="x14">
            <control shapeId="13607" r:id="rId1058" name="Button 2343">
              <controlPr defaultSize="0" autoFill="0" autoLine="0" autoPict="0" macro="[0]!Sheet1.deleteRow">
                <anchor moveWithCells="1" sizeWithCells="1">
                  <from>
                    <xdr:col>6</xdr:col>
                    <xdr:colOff>0</xdr:colOff>
                    <xdr:row>1843</xdr:row>
                    <xdr:rowOff>0</xdr:rowOff>
                  </from>
                  <to>
                    <xdr:col>7</xdr:col>
                    <xdr:colOff>0</xdr:colOff>
                    <xdr:row>1843</xdr:row>
                    <xdr:rowOff>165100</xdr:rowOff>
                  </to>
                </anchor>
              </controlPr>
            </control>
          </mc:Choice>
        </mc:AlternateContent>
        <mc:AlternateContent xmlns:mc="http://schemas.openxmlformats.org/markup-compatibility/2006">
          <mc:Choice Requires="x14">
            <control shapeId="13606" r:id="rId1059" name="Button 2342">
              <controlPr defaultSize="0" autoFill="0" autoLine="0" autoPict="0" macro="[0]!Sheet1.deleteRow">
                <anchor moveWithCells="1" sizeWithCells="1">
                  <from>
                    <xdr:col>6</xdr:col>
                    <xdr:colOff>0</xdr:colOff>
                    <xdr:row>1844</xdr:row>
                    <xdr:rowOff>0</xdr:rowOff>
                  </from>
                  <to>
                    <xdr:col>7</xdr:col>
                    <xdr:colOff>0</xdr:colOff>
                    <xdr:row>1844</xdr:row>
                    <xdr:rowOff>165100</xdr:rowOff>
                  </to>
                </anchor>
              </controlPr>
            </control>
          </mc:Choice>
        </mc:AlternateContent>
        <mc:AlternateContent xmlns:mc="http://schemas.openxmlformats.org/markup-compatibility/2006">
          <mc:Choice Requires="x14">
            <control shapeId="13605" r:id="rId1060" name="Button 2341">
              <controlPr defaultSize="0" autoFill="0" autoLine="0" autoPict="0" macro="[0]!Sheet1.deleteRow">
                <anchor moveWithCells="1" sizeWithCells="1">
                  <from>
                    <xdr:col>6</xdr:col>
                    <xdr:colOff>0</xdr:colOff>
                    <xdr:row>1845</xdr:row>
                    <xdr:rowOff>0</xdr:rowOff>
                  </from>
                  <to>
                    <xdr:col>7</xdr:col>
                    <xdr:colOff>0</xdr:colOff>
                    <xdr:row>1845</xdr:row>
                    <xdr:rowOff>165100</xdr:rowOff>
                  </to>
                </anchor>
              </controlPr>
            </control>
          </mc:Choice>
        </mc:AlternateContent>
        <mc:AlternateContent xmlns:mc="http://schemas.openxmlformats.org/markup-compatibility/2006">
          <mc:Choice Requires="x14">
            <control shapeId="13604" r:id="rId1061" name="Button 2340">
              <controlPr defaultSize="0" autoFill="0" autoLine="0" autoPict="0" macro="[0]!Sheet1.deleteRow">
                <anchor moveWithCells="1" sizeWithCells="1">
                  <from>
                    <xdr:col>6</xdr:col>
                    <xdr:colOff>0</xdr:colOff>
                    <xdr:row>1846</xdr:row>
                    <xdr:rowOff>0</xdr:rowOff>
                  </from>
                  <to>
                    <xdr:col>7</xdr:col>
                    <xdr:colOff>0</xdr:colOff>
                    <xdr:row>1846</xdr:row>
                    <xdr:rowOff>165100</xdr:rowOff>
                  </to>
                </anchor>
              </controlPr>
            </control>
          </mc:Choice>
        </mc:AlternateContent>
        <mc:AlternateContent xmlns:mc="http://schemas.openxmlformats.org/markup-compatibility/2006">
          <mc:Choice Requires="x14">
            <control shapeId="13603" r:id="rId1062" name="Button 2339">
              <controlPr defaultSize="0" autoFill="0" autoLine="0" autoPict="0" macro="[0]!Sheet1.deleteRow">
                <anchor moveWithCells="1" sizeWithCells="1">
                  <from>
                    <xdr:col>6</xdr:col>
                    <xdr:colOff>0</xdr:colOff>
                    <xdr:row>1847</xdr:row>
                    <xdr:rowOff>0</xdr:rowOff>
                  </from>
                  <to>
                    <xdr:col>7</xdr:col>
                    <xdr:colOff>0</xdr:colOff>
                    <xdr:row>1847</xdr:row>
                    <xdr:rowOff>165100</xdr:rowOff>
                  </to>
                </anchor>
              </controlPr>
            </control>
          </mc:Choice>
        </mc:AlternateContent>
        <mc:AlternateContent xmlns:mc="http://schemas.openxmlformats.org/markup-compatibility/2006">
          <mc:Choice Requires="x14">
            <control shapeId="13602" r:id="rId1063" name="Button 2338">
              <controlPr defaultSize="0" autoFill="0" autoLine="0" autoPict="0" macro="[0]!Sheet1.deleteRow">
                <anchor moveWithCells="1" sizeWithCells="1">
                  <from>
                    <xdr:col>6</xdr:col>
                    <xdr:colOff>0</xdr:colOff>
                    <xdr:row>1848</xdr:row>
                    <xdr:rowOff>0</xdr:rowOff>
                  </from>
                  <to>
                    <xdr:col>7</xdr:col>
                    <xdr:colOff>0</xdr:colOff>
                    <xdr:row>1848</xdr:row>
                    <xdr:rowOff>165100</xdr:rowOff>
                  </to>
                </anchor>
              </controlPr>
            </control>
          </mc:Choice>
        </mc:AlternateContent>
        <mc:AlternateContent xmlns:mc="http://schemas.openxmlformats.org/markup-compatibility/2006">
          <mc:Choice Requires="x14">
            <control shapeId="13601" r:id="rId1064" name="Button 2337">
              <controlPr defaultSize="0" autoFill="0" autoLine="0" autoPict="0" macro="[0]!Sheet1.deleteRow">
                <anchor moveWithCells="1" sizeWithCells="1">
                  <from>
                    <xdr:col>6</xdr:col>
                    <xdr:colOff>0</xdr:colOff>
                    <xdr:row>1849</xdr:row>
                    <xdr:rowOff>0</xdr:rowOff>
                  </from>
                  <to>
                    <xdr:col>7</xdr:col>
                    <xdr:colOff>0</xdr:colOff>
                    <xdr:row>1849</xdr:row>
                    <xdr:rowOff>165100</xdr:rowOff>
                  </to>
                </anchor>
              </controlPr>
            </control>
          </mc:Choice>
        </mc:AlternateContent>
        <mc:AlternateContent xmlns:mc="http://schemas.openxmlformats.org/markup-compatibility/2006">
          <mc:Choice Requires="x14">
            <control shapeId="13600" r:id="rId1065" name="Button 2336">
              <controlPr defaultSize="0" autoFill="0" autoLine="0" autoPict="0" macro="[0]!Sheet1.deleteRow">
                <anchor moveWithCells="1" sizeWithCells="1">
                  <from>
                    <xdr:col>6</xdr:col>
                    <xdr:colOff>0</xdr:colOff>
                    <xdr:row>1850</xdr:row>
                    <xdr:rowOff>0</xdr:rowOff>
                  </from>
                  <to>
                    <xdr:col>7</xdr:col>
                    <xdr:colOff>0</xdr:colOff>
                    <xdr:row>1850</xdr:row>
                    <xdr:rowOff>165100</xdr:rowOff>
                  </to>
                </anchor>
              </controlPr>
            </control>
          </mc:Choice>
        </mc:AlternateContent>
        <mc:AlternateContent xmlns:mc="http://schemas.openxmlformats.org/markup-compatibility/2006">
          <mc:Choice Requires="x14">
            <control shapeId="13599" r:id="rId1066" name="Button 2335">
              <controlPr defaultSize="0" autoFill="0" autoLine="0" autoPict="0" macro="[0]!Sheet1.deleteRow">
                <anchor moveWithCells="1" sizeWithCells="1">
                  <from>
                    <xdr:col>6</xdr:col>
                    <xdr:colOff>0</xdr:colOff>
                    <xdr:row>1851</xdr:row>
                    <xdr:rowOff>0</xdr:rowOff>
                  </from>
                  <to>
                    <xdr:col>7</xdr:col>
                    <xdr:colOff>0</xdr:colOff>
                    <xdr:row>1851</xdr:row>
                    <xdr:rowOff>165100</xdr:rowOff>
                  </to>
                </anchor>
              </controlPr>
            </control>
          </mc:Choice>
        </mc:AlternateContent>
        <mc:AlternateContent xmlns:mc="http://schemas.openxmlformats.org/markup-compatibility/2006">
          <mc:Choice Requires="x14">
            <control shapeId="13598" r:id="rId1067" name="Button 2334">
              <controlPr defaultSize="0" autoFill="0" autoLine="0" autoPict="0" macro="[0]!Sheet1.deleteRow">
                <anchor moveWithCells="1" sizeWithCells="1">
                  <from>
                    <xdr:col>6</xdr:col>
                    <xdr:colOff>0</xdr:colOff>
                    <xdr:row>1852</xdr:row>
                    <xdr:rowOff>0</xdr:rowOff>
                  </from>
                  <to>
                    <xdr:col>7</xdr:col>
                    <xdr:colOff>0</xdr:colOff>
                    <xdr:row>1852</xdr:row>
                    <xdr:rowOff>165100</xdr:rowOff>
                  </to>
                </anchor>
              </controlPr>
            </control>
          </mc:Choice>
        </mc:AlternateContent>
        <mc:AlternateContent xmlns:mc="http://schemas.openxmlformats.org/markup-compatibility/2006">
          <mc:Choice Requires="x14">
            <control shapeId="13597" r:id="rId1068" name="Button 2333">
              <controlPr defaultSize="0" autoFill="0" autoLine="0" autoPict="0" macro="[0]!Sheet1.deleteRow">
                <anchor moveWithCells="1" sizeWithCells="1">
                  <from>
                    <xdr:col>6</xdr:col>
                    <xdr:colOff>0</xdr:colOff>
                    <xdr:row>1853</xdr:row>
                    <xdr:rowOff>0</xdr:rowOff>
                  </from>
                  <to>
                    <xdr:col>7</xdr:col>
                    <xdr:colOff>0</xdr:colOff>
                    <xdr:row>1853</xdr:row>
                    <xdr:rowOff>165100</xdr:rowOff>
                  </to>
                </anchor>
              </controlPr>
            </control>
          </mc:Choice>
        </mc:AlternateContent>
        <mc:AlternateContent xmlns:mc="http://schemas.openxmlformats.org/markup-compatibility/2006">
          <mc:Choice Requires="x14">
            <control shapeId="13596" r:id="rId1069" name="Button 2332">
              <controlPr defaultSize="0" autoFill="0" autoLine="0" autoPict="0" macro="[0]!Sheet1.deleteRow">
                <anchor moveWithCells="1" sizeWithCells="1">
                  <from>
                    <xdr:col>6</xdr:col>
                    <xdr:colOff>0</xdr:colOff>
                    <xdr:row>1854</xdr:row>
                    <xdr:rowOff>0</xdr:rowOff>
                  </from>
                  <to>
                    <xdr:col>7</xdr:col>
                    <xdr:colOff>0</xdr:colOff>
                    <xdr:row>1854</xdr:row>
                    <xdr:rowOff>165100</xdr:rowOff>
                  </to>
                </anchor>
              </controlPr>
            </control>
          </mc:Choice>
        </mc:AlternateContent>
        <mc:AlternateContent xmlns:mc="http://schemas.openxmlformats.org/markup-compatibility/2006">
          <mc:Choice Requires="x14">
            <control shapeId="13595" r:id="rId1070" name="Button 2331">
              <controlPr defaultSize="0" autoFill="0" autoLine="0" autoPict="0" macro="[0]!Sheet1.deleteRow">
                <anchor moveWithCells="1" sizeWithCells="1">
                  <from>
                    <xdr:col>6</xdr:col>
                    <xdr:colOff>0</xdr:colOff>
                    <xdr:row>1855</xdr:row>
                    <xdr:rowOff>0</xdr:rowOff>
                  </from>
                  <to>
                    <xdr:col>7</xdr:col>
                    <xdr:colOff>0</xdr:colOff>
                    <xdr:row>1855</xdr:row>
                    <xdr:rowOff>165100</xdr:rowOff>
                  </to>
                </anchor>
              </controlPr>
            </control>
          </mc:Choice>
        </mc:AlternateContent>
        <mc:AlternateContent xmlns:mc="http://schemas.openxmlformats.org/markup-compatibility/2006">
          <mc:Choice Requires="x14">
            <control shapeId="13594" r:id="rId1071" name="Button 2330">
              <controlPr defaultSize="0" autoFill="0" autoLine="0" autoPict="0" macro="[0]!Sheet1.deleteRow">
                <anchor moveWithCells="1" sizeWithCells="1">
                  <from>
                    <xdr:col>6</xdr:col>
                    <xdr:colOff>0</xdr:colOff>
                    <xdr:row>1856</xdr:row>
                    <xdr:rowOff>0</xdr:rowOff>
                  </from>
                  <to>
                    <xdr:col>7</xdr:col>
                    <xdr:colOff>0</xdr:colOff>
                    <xdr:row>1856</xdr:row>
                    <xdr:rowOff>165100</xdr:rowOff>
                  </to>
                </anchor>
              </controlPr>
            </control>
          </mc:Choice>
        </mc:AlternateContent>
        <mc:AlternateContent xmlns:mc="http://schemas.openxmlformats.org/markup-compatibility/2006">
          <mc:Choice Requires="x14">
            <control shapeId="13593" r:id="rId1072" name="Button 2329">
              <controlPr defaultSize="0" autoFill="0" autoLine="0" autoPict="0" macro="[0]!Sheet1.deleteRow">
                <anchor moveWithCells="1" sizeWithCells="1">
                  <from>
                    <xdr:col>6</xdr:col>
                    <xdr:colOff>0</xdr:colOff>
                    <xdr:row>1857</xdr:row>
                    <xdr:rowOff>0</xdr:rowOff>
                  </from>
                  <to>
                    <xdr:col>7</xdr:col>
                    <xdr:colOff>0</xdr:colOff>
                    <xdr:row>1857</xdr:row>
                    <xdr:rowOff>165100</xdr:rowOff>
                  </to>
                </anchor>
              </controlPr>
            </control>
          </mc:Choice>
        </mc:AlternateContent>
        <mc:AlternateContent xmlns:mc="http://schemas.openxmlformats.org/markup-compatibility/2006">
          <mc:Choice Requires="x14">
            <control shapeId="13592" r:id="rId1073" name="Button 2328">
              <controlPr defaultSize="0" autoFill="0" autoLine="0" autoPict="0" macro="[0]!Sheet1.deleteRow">
                <anchor moveWithCells="1" sizeWithCells="1">
                  <from>
                    <xdr:col>6</xdr:col>
                    <xdr:colOff>0</xdr:colOff>
                    <xdr:row>1858</xdr:row>
                    <xdr:rowOff>0</xdr:rowOff>
                  </from>
                  <to>
                    <xdr:col>7</xdr:col>
                    <xdr:colOff>0</xdr:colOff>
                    <xdr:row>1858</xdr:row>
                    <xdr:rowOff>165100</xdr:rowOff>
                  </to>
                </anchor>
              </controlPr>
            </control>
          </mc:Choice>
        </mc:AlternateContent>
        <mc:AlternateContent xmlns:mc="http://schemas.openxmlformats.org/markup-compatibility/2006">
          <mc:Choice Requires="x14">
            <control shapeId="13591" r:id="rId1074" name="Button 2327">
              <controlPr defaultSize="0" autoFill="0" autoLine="0" autoPict="0" macro="[0]!Sheet1.deleteRow">
                <anchor moveWithCells="1" sizeWithCells="1">
                  <from>
                    <xdr:col>6</xdr:col>
                    <xdr:colOff>0</xdr:colOff>
                    <xdr:row>1859</xdr:row>
                    <xdr:rowOff>0</xdr:rowOff>
                  </from>
                  <to>
                    <xdr:col>7</xdr:col>
                    <xdr:colOff>0</xdr:colOff>
                    <xdr:row>1859</xdr:row>
                    <xdr:rowOff>165100</xdr:rowOff>
                  </to>
                </anchor>
              </controlPr>
            </control>
          </mc:Choice>
        </mc:AlternateContent>
        <mc:AlternateContent xmlns:mc="http://schemas.openxmlformats.org/markup-compatibility/2006">
          <mc:Choice Requires="x14">
            <control shapeId="13590" r:id="rId1075" name="Button 2326">
              <controlPr defaultSize="0" autoFill="0" autoLine="0" autoPict="0" macro="[0]!Sheet1.deleteRow">
                <anchor moveWithCells="1" sizeWithCells="1">
                  <from>
                    <xdr:col>6</xdr:col>
                    <xdr:colOff>0</xdr:colOff>
                    <xdr:row>1860</xdr:row>
                    <xdr:rowOff>0</xdr:rowOff>
                  </from>
                  <to>
                    <xdr:col>7</xdr:col>
                    <xdr:colOff>0</xdr:colOff>
                    <xdr:row>1860</xdr:row>
                    <xdr:rowOff>165100</xdr:rowOff>
                  </to>
                </anchor>
              </controlPr>
            </control>
          </mc:Choice>
        </mc:AlternateContent>
        <mc:AlternateContent xmlns:mc="http://schemas.openxmlformats.org/markup-compatibility/2006">
          <mc:Choice Requires="x14">
            <control shapeId="13589" r:id="rId1076" name="Button 2325">
              <controlPr defaultSize="0" autoFill="0" autoLine="0" autoPict="0" macro="[0]!Sheet1.deleteRow">
                <anchor moveWithCells="1" sizeWithCells="1">
                  <from>
                    <xdr:col>6</xdr:col>
                    <xdr:colOff>0</xdr:colOff>
                    <xdr:row>1861</xdr:row>
                    <xdr:rowOff>0</xdr:rowOff>
                  </from>
                  <to>
                    <xdr:col>7</xdr:col>
                    <xdr:colOff>0</xdr:colOff>
                    <xdr:row>1861</xdr:row>
                    <xdr:rowOff>165100</xdr:rowOff>
                  </to>
                </anchor>
              </controlPr>
            </control>
          </mc:Choice>
        </mc:AlternateContent>
        <mc:AlternateContent xmlns:mc="http://schemas.openxmlformats.org/markup-compatibility/2006">
          <mc:Choice Requires="x14">
            <control shapeId="13588" r:id="rId1077" name="Button 2324">
              <controlPr defaultSize="0" autoFill="0" autoLine="0" autoPict="0" macro="[0]!Sheet1.deleteRow">
                <anchor moveWithCells="1" sizeWithCells="1">
                  <from>
                    <xdr:col>6</xdr:col>
                    <xdr:colOff>0</xdr:colOff>
                    <xdr:row>1862</xdr:row>
                    <xdr:rowOff>0</xdr:rowOff>
                  </from>
                  <to>
                    <xdr:col>7</xdr:col>
                    <xdr:colOff>0</xdr:colOff>
                    <xdr:row>1862</xdr:row>
                    <xdr:rowOff>165100</xdr:rowOff>
                  </to>
                </anchor>
              </controlPr>
            </control>
          </mc:Choice>
        </mc:AlternateContent>
        <mc:AlternateContent xmlns:mc="http://schemas.openxmlformats.org/markup-compatibility/2006">
          <mc:Choice Requires="x14">
            <control shapeId="13587" r:id="rId1078" name="Button 2323">
              <controlPr defaultSize="0" autoFill="0" autoLine="0" autoPict="0" macro="[0]!Sheet1.deleteRow">
                <anchor moveWithCells="1" sizeWithCells="1">
                  <from>
                    <xdr:col>6</xdr:col>
                    <xdr:colOff>0</xdr:colOff>
                    <xdr:row>1863</xdr:row>
                    <xdr:rowOff>0</xdr:rowOff>
                  </from>
                  <to>
                    <xdr:col>7</xdr:col>
                    <xdr:colOff>0</xdr:colOff>
                    <xdr:row>1863</xdr:row>
                    <xdr:rowOff>165100</xdr:rowOff>
                  </to>
                </anchor>
              </controlPr>
            </control>
          </mc:Choice>
        </mc:AlternateContent>
        <mc:AlternateContent xmlns:mc="http://schemas.openxmlformats.org/markup-compatibility/2006">
          <mc:Choice Requires="x14">
            <control shapeId="13586" r:id="rId1079" name="Button 2322">
              <controlPr defaultSize="0" autoFill="0" autoLine="0" autoPict="0" macro="[0]!Sheet1.deleteRow">
                <anchor moveWithCells="1" sizeWithCells="1">
                  <from>
                    <xdr:col>6</xdr:col>
                    <xdr:colOff>0</xdr:colOff>
                    <xdr:row>1864</xdr:row>
                    <xdr:rowOff>0</xdr:rowOff>
                  </from>
                  <to>
                    <xdr:col>7</xdr:col>
                    <xdr:colOff>0</xdr:colOff>
                    <xdr:row>1864</xdr:row>
                    <xdr:rowOff>165100</xdr:rowOff>
                  </to>
                </anchor>
              </controlPr>
            </control>
          </mc:Choice>
        </mc:AlternateContent>
        <mc:AlternateContent xmlns:mc="http://schemas.openxmlformats.org/markup-compatibility/2006">
          <mc:Choice Requires="x14">
            <control shapeId="13585" r:id="rId1080" name="Button 2321">
              <controlPr defaultSize="0" autoFill="0" autoLine="0" autoPict="0" macro="[0]!Sheet1.deleteRow">
                <anchor moveWithCells="1" sizeWithCells="1">
                  <from>
                    <xdr:col>6</xdr:col>
                    <xdr:colOff>0</xdr:colOff>
                    <xdr:row>1865</xdr:row>
                    <xdr:rowOff>0</xdr:rowOff>
                  </from>
                  <to>
                    <xdr:col>7</xdr:col>
                    <xdr:colOff>0</xdr:colOff>
                    <xdr:row>1865</xdr:row>
                    <xdr:rowOff>165100</xdr:rowOff>
                  </to>
                </anchor>
              </controlPr>
            </control>
          </mc:Choice>
        </mc:AlternateContent>
        <mc:AlternateContent xmlns:mc="http://schemas.openxmlformats.org/markup-compatibility/2006">
          <mc:Choice Requires="x14">
            <control shapeId="13584" r:id="rId1081" name="Button 2320">
              <controlPr defaultSize="0" autoFill="0" autoLine="0" autoPict="0" macro="[0]!Sheet1.deleteRow">
                <anchor moveWithCells="1" sizeWithCells="1">
                  <from>
                    <xdr:col>6</xdr:col>
                    <xdr:colOff>0</xdr:colOff>
                    <xdr:row>1866</xdr:row>
                    <xdr:rowOff>0</xdr:rowOff>
                  </from>
                  <to>
                    <xdr:col>7</xdr:col>
                    <xdr:colOff>0</xdr:colOff>
                    <xdr:row>1866</xdr:row>
                    <xdr:rowOff>165100</xdr:rowOff>
                  </to>
                </anchor>
              </controlPr>
            </control>
          </mc:Choice>
        </mc:AlternateContent>
        <mc:AlternateContent xmlns:mc="http://schemas.openxmlformats.org/markup-compatibility/2006">
          <mc:Choice Requires="x14">
            <control shapeId="13583" r:id="rId1082" name="Button 2319">
              <controlPr defaultSize="0" autoFill="0" autoLine="0" autoPict="0" macro="[0]!Sheet1.deleteRow">
                <anchor moveWithCells="1" sizeWithCells="1">
                  <from>
                    <xdr:col>6</xdr:col>
                    <xdr:colOff>0</xdr:colOff>
                    <xdr:row>1867</xdr:row>
                    <xdr:rowOff>0</xdr:rowOff>
                  </from>
                  <to>
                    <xdr:col>7</xdr:col>
                    <xdr:colOff>0</xdr:colOff>
                    <xdr:row>1867</xdr:row>
                    <xdr:rowOff>165100</xdr:rowOff>
                  </to>
                </anchor>
              </controlPr>
            </control>
          </mc:Choice>
        </mc:AlternateContent>
        <mc:AlternateContent xmlns:mc="http://schemas.openxmlformats.org/markup-compatibility/2006">
          <mc:Choice Requires="x14">
            <control shapeId="13582" r:id="rId1083" name="Button 2318">
              <controlPr defaultSize="0" autoFill="0" autoLine="0" autoPict="0" macro="[0]!Sheet1.deleteRow">
                <anchor moveWithCells="1" sizeWithCells="1">
                  <from>
                    <xdr:col>6</xdr:col>
                    <xdr:colOff>0</xdr:colOff>
                    <xdr:row>1868</xdr:row>
                    <xdr:rowOff>0</xdr:rowOff>
                  </from>
                  <to>
                    <xdr:col>7</xdr:col>
                    <xdr:colOff>0</xdr:colOff>
                    <xdr:row>1868</xdr:row>
                    <xdr:rowOff>165100</xdr:rowOff>
                  </to>
                </anchor>
              </controlPr>
            </control>
          </mc:Choice>
        </mc:AlternateContent>
        <mc:AlternateContent xmlns:mc="http://schemas.openxmlformats.org/markup-compatibility/2006">
          <mc:Choice Requires="x14">
            <control shapeId="13581" r:id="rId1084" name="Button 2317">
              <controlPr defaultSize="0" autoFill="0" autoLine="0" autoPict="0" macro="[0]!Sheet1.deleteRow">
                <anchor moveWithCells="1" sizeWithCells="1">
                  <from>
                    <xdr:col>6</xdr:col>
                    <xdr:colOff>0</xdr:colOff>
                    <xdr:row>1869</xdr:row>
                    <xdr:rowOff>0</xdr:rowOff>
                  </from>
                  <to>
                    <xdr:col>7</xdr:col>
                    <xdr:colOff>0</xdr:colOff>
                    <xdr:row>1869</xdr:row>
                    <xdr:rowOff>165100</xdr:rowOff>
                  </to>
                </anchor>
              </controlPr>
            </control>
          </mc:Choice>
        </mc:AlternateContent>
        <mc:AlternateContent xmlns:mc="http://schemas.openxmlformats.org/markup-compatibility/2006">
          <mc:Choice Requires="x14">
            <control shapeId="13580" r:id="rId1085" name="Button 2316">
              <controlPr defaultSize="0" autoFill="0" autoLine="0" autoPict="0" macro="[0]!Sheet1.deleteRow">
                <anchor moveWithCells="1" sizeWithCells="1">
                  <from>
                    <xdr:col>6</xdr:col>
                    <xdr:colOff>0</xdr:colOff>
                    <xdr:row>1870</xdr:row>
                    <xdr:rowOff>0</xdr:rowOff>
                  </from>
                  <to>
                    <xdr:col>7</xdr:col>
                    <xdr:colOff>0</xdr:colOff>
                    <xdr:row>1870</xdr:row>
                    <xdr:rowOff>165100</xdr:rowOff>
                  </to>
                </anchor>
              </controlPr>
            </control>
          </mc:Choice>
        </mc:AlternateContent>
        <mc:AlternateContent xmlns:mc="http://schemas.openxmlformats.org/markup-compatibility/2006">
          <mc:Choice Requires="x14">
            <control shapeId="13579" r:id="rId1086" name="Button 2315">
              <controlPr defaultSize="0" autoFill="0" autoLine="0" autoPict="0" macro="[0]!Sheet1.deleteRow">
                <anchor moveWithCells="1" sizeWithCells="1">
                  <from>
                    <xdr:col>6</xdr:col>
                    <xdr:colOff>0</xdr:colOff>
                    <xdr:row>1871</xdr:row>
                    <xdr:rowOff>0</xdr:rowOff>
                  </from>
                  <to>
                    <xdr:col>7</xdr:col>
                    <xdr:colOff>0</xdr:colOff>
                    <xdr:row>1871</xdr:row>
                    <xdr:rowOff>165100</xdr:rowOff>
                  </to>
                </anchor>
              </controlPr>
            </control>
          </mc:Choice>
        </mc:AlternateContent>
        <mc:AlternateContent xmlns:mc="http://schemas.openxmlformats.org/markup-compatibility/2006">
          <mc:Choice Requires="x14">
            <control shapeId="13578" r:id="rId1087" name="Button 2314">
              <controlPr defaultSize="0" autoFill="0" autoLine="0" autoPict="0" macro="[0]!Sheet1.deleteProcedure">
                <anchor moveWithCells="1" sizeWithCells="1">
                  <from>
                    <xdr:col>6</xdr:col>
                    <xdr:colOff>0</xdr:colOff>
                    <xdr:row>1874</xdr:row>
                    <xdr:rowOff>0</xdr:rowOff>
                  </from>
                  <to>
                    <xdr:col>7</xdr:col>
                    <xdr:colOff>0</xdr:colOff>
                    <xdr:row>1875</xdr:row>
                    <xdr:rowOff>0</xdr:rowOff>
                  </to>
                </anchor>
              </controlPr>
            </control>
          </mc:Choice>
        </mc:AlternateContent>
        <mc:AlternateContent xmlns:mc="http://schemas.openxmlformats.org/markup-compatibility/2006">
          <mc:Choice Requires="x14">
            <control shapeId="13577" r:id="rId1088" name="Button 2313">
              <controlPr defaultSize="0" autoFill="0" autoLine="0" autoPict="0" macro="[0]!Sheet1.InsertNewTableRow">
                <anchor moveWithCells="1" sizeWithCells="1">
                  <from>
                    <xdr:col>6</xdr:col>
                    <xdr:colOff>0</xdr:colOff>
                    <xdr:row>1881</xdr:row>
                    <xdr:rowOff>0</xdr:rowOff>
                  </from>
                  <to>
                    <xdr:col>7</xdr:col>
                    <xdr:colOff>0</xdr:colOff>
                    <xdr:row>1881</xdr:row>
                    <xdr:rowOff>171450</xdr:rowOff>
                  </to>
                </anchor>
              </controlPr>
            </control>
          </mc:Choice>
        </mc:AlternateContent>
        <mc:AlternateContent xmlns:mc="http://schemas.openxmlformats.org/markup-compatibility/2006">
          <mc:Choice Requires="x14">
            <control shapeId="13576" r:id="rId1089" name="Button 2312">
              <controlPr defaultSize="0" autoFill="0" autoLine="0" autoPict="0" macro="[0]!Sheet1.deleteRow">
                <anchor moveWithCells="1" sizeWithCells="1">
                  <from>
                    <xdr:col>6</xdr:col>
                    <xdr:colOff>0</xdr:colOff>
                    <xdr:row>1882</xdr:row>
                    <xdr:rowOff>0</xdr:rowOff>
                  </from>
                  <to>
                    <xdr:col>7</xdr:col>
                    <xdr:colOff>0</xdr:colOff>
                    <xdr:row>1882</xdr:row>
                    <xdr:rowOff>165100</xdr:rowOff>
                  </to>
                </anchor>
              </controlPr>
            </control>
          </mc:Choice>
        </mc:AlternateContent>
        <mc:AlternateContent xmlns:mc="http://schemas.openxmlformats.org/markup-compatibility/2006">
          <mc:Choice Requires="x14">
            <control shapeId="13575" r:id="rId1090" name="Button 2311">
              <controlPr defaultSize="0" autoFill="0" autoLine="0" autoPict="0" macro="[0]!Sheet1.deleteRow">
                <anchor moveWithCells="1" sizeWithCells="1">
                  <from>
                    <xdr:col>6</xdr:col>
                    <xdr:colOff>0</xdr:colOff>
                    <xdr:row>1883</xdr:row>
                    <xdr:rowOff>0</xdr:rowOff>
                  </from>
                  <to>
                    <xdr:col>7</xdr:col>
                    <xdr:colOff>0</xdr:colOff>
                    <xdr:row>1883</xdr:row>
                    <xdr:rowOff>165100</xdr:rowOff>
                  </to>
                </anchor>
              </controlPr>
            </control>
          </mc:Choice>
        </mc:AlternateContent>
        <mc:AlternateContent xmlns:mc="http://schemas.openxmlformats.org/markup-compatibility/2006">
          <mc:Choice Requires="x14">
            <control shapeId="13574" r:id="rId1091" name="Button 2310">
              <controlPr defaultSize="0" autoFill="0" autoLine="0" autoPict="0" macro="[0]!Sheet1.deleteRow">
                <anchor moveWithCells="1" sizeWithCells="1">
                  <from>
                    <xdr:col>6</xdr:col>
                    <xdr:colOff>0</xdr:colOff>
                    <xdr:row>1884</xdr:row>
                    <xdr:rowOff>0</xdr:rowOff>
                  </from>
                  <to>
                    <xdr:col>7</xdr:col>
                    <xdr:colOff>0</xdr:colOff>
                    <xdr:row>1884</xdr:row>
                    <xdr:rowOff>165100</xdr:rowOff>
                  </to>
                </anchor>
              </controlPr>
            </control>
          </mc:Choice>
        </mc:AlternateContent>
        <mc:AlternateContent xmlns:mc="http://schemas.openxmlformats.org/markup-compatibility/2006">
          <mc:Choice Requires="x14">
            <control shapeId="13573" r:id="rId1092" name="Button 2309">
              <controlPr defaultSize="0" autoFill="0" autoLine="0" autoPict="0" macro="[0]!Sheet1.deleteRow">
                <anchor moveWithCells="1" sizeWithCells="1">
                  <from>
                    <xdr:col>6</xdr:col>
                    <xdr:colOff>0</xdr:colOff>
                    <xdr:row>1885</xdr:row>
                    <xdr:rowOff>0</xdr:rowOff>
                  </from>
                  <to>
                    <xdr:col>7</xdr:col>
                    <xdr:colOff>0</xdr:colOff>
                    <xdr:row>1885</xdr:row>
                    <xdr:rowOff>165100</xdr:rowOff>
                  </to>
                </anchor>
              </controlPr>
            </control>
          </mc:Choice>
        </mc:AlternateContent>
        <mc:AlternateContent xmlns:mc="http://schemas.openxmlformats.org/markup-compatibility/2006">
          <mc:Choice Requires="x14">
            <control shapeId="13572" r:id="rId1093" name="Button 2308">
              <controlPr defaultSize="0" autoFill="0" autoLine="0" autoPict="0" macro="[0]!Sheet1.deleteProcedure">
                <anchor moveWithCells="1" sizeWithCells="1">
                  <from>
                    <xdr:col>6</xdr:col>
                    <xdr:colOff>0</xdr:colOff>
                    <xdr:row>1888</xdr:row>
                    <xdr:rowOff>0</xdr:rowOff>
                  </from>
                  <to>
                    <xdr:col>7</xdr:col>
                    <xdr:colOff>0</xdr:colOff>
                    <xdr:row>1889</xdr:row>
                    <xdr:rowOff>0</xdr:rowOff>
                  </to>
                </anchor>
              </controlPr>
            </control>
          </mc:Choice>
        </mc:AlternateContent>
        <mc:AlternateContent xmlns:mc="http://schemas.openxmlformats.org/markup-compatibility/2006">
          <mc:Choice Requires="x14">
            <control shapeId="13571" r:id="rId1094" name="Button 2307">
              <controlPr defaultSize="0" autoFill="0" autoLine="0" autoPict="0" macro="[0]!Sheet1.InsertNewTableRow">
                <anchor moveWithCells="1" sizeWithCells="1">
                  <from>
                    <xdr:col>6</xdr:col>
                    <xdr:colOff>0</xdr:colOff>
                    <xdr:row>1895</xdr:row>
                    <xdr:rowOff>0</xdr:rowOff>
                  </from>
                  <to>
                    <xdr:col>7</xdr:col>
                    <xdr:colOff>0</xdr:colOff>
                    <xdr:row>1895</xdr:row>
                    <xdr:rowOff>171450</xdr:rowOff>
                  </to>
                </anchor>
              </controlPr>
            </control>
          </mc:Choice>
        </mc:AlternateContent>
        <mc:AlternateContent xmlns:mc="http://schemas.openxmlformats.org/markup-compatibility/2006">
          <mc:Choice Requires="x14">
            <control shapeId="13570" r:id="rId1095" name="Button 2306">
              <controlPr defaultSize="0" autoFill="0" autoLine="0" autoPict="0" macro="[0]!Sheet1.deleteRow">
                <anchor moveWithCells="1" sizeWithCells="1">
                  <from>
                    <xdr:col>6</xdr:col>
                    <xdr:colOff>0</xdr:colOff>
                    <xdr:row>1896</xdr:row>
                    <xdr:rowOff>0</xdr:rowOff>
                  </from>
                  <to>
                    <xdr:col>7</xdr:col>
                    <xdr:colOff>0</xdr:colOff>
                    <xdr:row>1896</xdr:row>
                    <xdr:rowOff>165100</xdr:rowOff>
                  </to>
                </anchor>
              </controlPr>
            </control>
          </mc:Choice>
        </mc:AlternateContent>
        <mc:AlternateContent xmlns:mc="http://schemas.openxmlformats.org/markup-compatibility/2006">
          <mc:Choice Requires="x14">
            <control shapeId="13569" r:id="rId1096" name="Button 2305">
              <controlPr defaultSize="0" autoFill="0" autoLine="0" autoPict="0" macro="[0]!Sheet1.deleteProcedure">
                <anchor moveWithCells="1" sizeWithCells="1">
                  <from>
                    <xdr:col>6</xdr:col>
                    <xdr:colOff>0</xdr:colOff>
                    <xdr:row>1899</xdr:row>
                    <xdr:rowOff>0</xdr:rowOff>
                  </from>
                  <to>
                    <xdr:col>7</xdr:col>
                    <xdr:colOff>0</xdr:colOff>
                    <xdr:row>1900</xdr:row>
                    <xdr:rowOff>0</xdr:rowOff>
                  </to>
                </anchor>
              </controlPr>
            </control>
          </mc:Choice>
        </mc:AlternateContent>
        <mc:AlternateContent xmlns:mc="http://schemas.openxmlformats.org/markup-compatibility/2006">
          <mc:Choice Requires="x14">
            <control shapeId="13568" r:id="rId1097" name="Button 2304">
              <controlPr defaultSize="0" autoFill="0" autoLine="0" autoPict="0" macro="[0]!Sheet1.InsertNewTableRow">
                <anchor moveWithCells="1" sizeWithCells="1">
                  <from>
                    <xdr:col>6</xdr:col>
                    <xdr:colOff>0</xdr:colOff>
                    <xdr:row>1906</xdr:row>
                    <xdr:rowOff>0</xdr:rowOff>
                  </from>
                  <to>
                    <xdr:col>7</xdr:col>
                    <xdr:colOff>0</xdr:colOff>
                    <xdr:row>1906</xdr:row>
                    <xdr:rowOff>171450</xdr:rowOff>
                  </to>
                </anchor>
              </controlPr>
            </control>
          </mc:Choice>
        </mc:AlternateContent>
        <mc:AlternateContent xmlns:mc="http://schemas.openxmlformats.org/markup-compatibility/2006">
          <mc:Choice Requires="x14">
            <control shapeId="13567" r:id="rId1098" name="Button 2303">
              <controlPr defaultSize="0" autoFill="0" autoLine="0" autoPict="0" macro="[0]!Sheet1.deleteRow">
                <anchor moveWithCells="1" sizeWithCells="1">
                  <from>
                    <xdr:col>6</xdr:col>
                    <xdr:colOff>0</xdr:colOff>
                    <xdr:row>1907</xdr:row>
                    <xdr:rowOff>0</xdr:rowOff>
                  </from>
                  <to>
                    <xdr:col>7</xdr:col>
                    <xdr:colOff>0</xdr:colOff>
                    <xdr:row>1907</xdr:row>
                    <xdr:rowOff>165100</xdr:rowOff>
                  </to>
                </anchor>
              </controlPr>
            </control>
          </mc:Choice>
        </mc:AlternateContent>
        <mc:AlternateContent xmlns:mc="http://schemas.openxmlformats.org/markup-compatibility/2006">
          <mc:Choice Requires="x14">
            <control shapeId="13566" r:id="rId1099" name="Button 2302">
              <controlPr defaultSize="0" autoFill="0" autoLine="0" autoPict="0" macro="[0]!Sheet1.deleteRow">
                <anchor moveWithCells="1" sizeWithCells="1">
                  <from>
                    <xdr:col>6</xdr:col>
                    <xdr:colOff>0</xdr:colOff>
                    <xdr:row>1908</xdr:row>
                    <xdr:rowOff>0</xdr:rowOff>
                  </from>
                  <to>
                    <xdr:col>7</xdr:col>
                    <xdr:colOff>0</xdr:colOff>
                    <xdr:row>1908</xdr:row>
                    <xdr:rowOff>165100</xdr:rowOff>
                  </to>
                </anchor>
              </controlPr>
            </control>
          </mc:Choice>
        </mc:AlternateContent>
        <mc:AlternateContent xmlns:mc="http://schemas.openxmlformats.org/markup-compatibility/2006">
          <mc:Choice Requires="x14">
            <control shapeId="13565" r:id="rId1100" name="Button 2301">
              <controlPr defaultSize="0" autoFill="0" autoLine="0" autoPict="0" macro="[0]!Sheet1.deleteRow">
                <anchor moveWithCells="1" sizeWithCells="1">
                  <from>
                    <xdr:col>6</xdr:col>
                    <xdr:colOff>0</xdr:colOff>
                    <xdr:row>1909</xdr:row>
                    <xdr:rowOff>0</xdr:rowOff>
                  </from>
                  <to>
                    <xdr:col>7</xdr:col>
                    <xdr:colOff>0</xdr:colOff>
                    <xdr:row>1909</xdr:row>
                    <xdr:rowOff>165100</xdr:rowOff>
                  </to>
                </anchor>
              </controlPr>
            </control>
          </mc:Choice>
        </mc:AlternateContent>
        <mc:AlternateContent xmlns:mc="http://schemas.openxmlformats.org/markup-compatibility/2006">
          <mc:Choice Requires="x14">
            <control shapeId="13564" r:id="rId1101" name="Button 2300">
              <controlPr defaultSize="0" autoFill="0" autoLine="0" autoPict="0" macro="[0]!Sheet1.deleteRow">
                <anchor moveWithCells="1" sizeWithCells="1">
                  <from>
                    <xdr:col>6</xdr:col>
                    <xdr:colOff>0</xdr:colOff>
                    <xdr:row>1910</xdr:row>
                    <xdr:rowOff>0</xdr:rowOff>
                  </from>
                  <to>
                    <xdr:col>7</xdr:col>
                    <xdr:colOff>0</xdr:colOff>
                    <xdr:row>1910</xdr:row>
                    <xdr:rowOff>165100</xdr:rowOff>
                  </to>
                </anchor>
              </controlPr>
            </control>
          </mc:Choice>
        </mc:AlternateContent>
        <mc:AlternateContent xmlns:mc="http://schemas.openxmlformats.org/markup-compatibility/2006">
          <mc:Choice Requires="x14">
            <control shapeId="13563" r:id="rId1102" name="Button 2299">
              <controlPr defaultSize="0" autoFill="0" autoLine="0" autoPict="0" macro="[0]!Sheet1.deleteProcedure">
                <anchor moveWithCells="1" sizeWithCells="1">
                  <from>
                    <xdr:col>6</xdr:col>
                    <xdr:colOff>0</xdr:colOff>
                    <xdr:row>1913</xdr:row>
                    <xdr:rowOff>0</xdr:rowOff>
                  </from>
                  <to>
                    <xdr:col>7</xdr:col>
                    <xdr:colOff>0</xdr:colOff>
                    <xdr:row>1914</xdr:row>
                    <xdr:rowOff>0</xdr:rowOff>
                  </to>
                </anchor>
              </controlPr>
            </control>
          </mc:Choice>
        </mc:AlternateContent>
        <mc:AlternateContent xmlns:mc="http://schemas.openxmlformats.org/markup-compatibility/2006">
          <mc:Choice Requires="x14">
            <control shapeId="13562" r:id="rId1103" name="Button 2298">
              <controlPr defaultSize="0" autoFill="0" autoLine="0" autoPict="0" macro="[0]!Sheet1.InsertNewTableRow">
                <anchor moveWithCells="1" sizeWithCells="1">
                  <from>
                    <xdr:col>6</xdr:col>
                    <xdr:colOff>0</xdr:colOff>
                    <xdr:row>1920</xdr:row>
                    <xdr:rowOff>0</xdr:rowOff>
                  </from>
                  <to>
                    <xdr:col>7</xdr:col>
                    <xdr:colOff>0</xdr:colOff>
                    <xdr:row>1920</xdr:row>
                    <xdr:rowOff>171450</xdr:rowOff>
                  </to>
                </anchor>
              </controlPr>
            </control>
          </mc:Choice>
        </mc:AlternateContent>
        <mc:AlternateContent xmlns:mc="http://schemas.openxmlformats.org/markup-compatibility/2006">
          <mc:Choice Requires="x14">
            <control shapeId="13561" r:id="rId1104" name="Button 2297">
              <controlPr defaultSize="0" autoFill="0" autoLine="0" autoPict="0" macro="[0]!Sheet1.deleteRow">
                <anchor moveWithCells="1" sizeWithCells="1">
                  <from>
                    <xdr:col>6</xdr:col>
                    <xdr:colOff>0</xdr:colOff>
                    <xdr:row>1921</xdr:row>
                    <xdr:rowOff>0</xdr:rowOff>
                  </from>
                  <to>
                    <xdr:col>7</xdr:col>
                    <xdr:colOff>0</xdr:colOff>
                    <xdr:row>1921</xdr:row>
                    <xdr:rowOff>165100</xdr:rowOff>
                  </to>
                </anchor>
              </controlPr>
            </control>
          </mc:Choice>
        </mc:AlternateContent>
        <mc:AlternateContent xmlns:mc="http://schemas.openxmlformats.org/markup-compatibility/2006">
          <mc:Choice Requires="x14">
            <control shapeId="13560" r:id="rId1105" name="Button 2296">
              <controlPr defaultSize="0" autoFill="0" autoLine="0" autoPict="0" macro="[0]!Sheet1.deleteProcedure">
                <anchor moveWithCells="1" sizeWithCells="1">
                  <from>
                    <xdr:col>6</xdr:col>
                    <xdr:colOff>0</xdr:colOff>
                    <xdr:row>1924</xdr:row>
                    <xdr:rowOff>0</xdr:rowOff>
                  </from>
                  <to>
                    <xdr:col>7</xdr:col>
                    <xdr:colOff>0</xdr:colOff>
                    <xdr:row>1925</xdr:row>
                    <xdr:rowOff>0</xdr:rowOff>
                  </to>
                </anchor>
              </controlPr>
            </control>
          </mc:Choice>
        </mc:AlternateContent>
        <mc:AlternateContent xmlns:mc="http://schemas.openxmlformats.org/markup-compatibility/2006">
          <mc:Choice Requires="x14">
            <control shapeId="13559" r:id="rId1106" name="Button 2295">
              <controlPr defaultSize="0" autoFill="0" autoLine="0" autoPict="0" macro="[0]!Sheet1.InsertNewTableRow">
                <anchor moveWithCells="1" sizeWithCells="1">
                  <from>
                    <xdr:col>6</xdr:col>
                    <xdr:colOff>0</xdr:colOff>
                    <xdr:row>1931</xdr:row>
                    <xdr:rowOff>0</xdr:rowOff>
                  </from>
                  <to>
                    <xdr:col>7</xdr:col>
                    <xdr:colOff>0</xdr:colOff>
                    <xdr:row>1931</xdr:row>
                    <xdr:rowOff>171450</xdr:rowOff>
                  </to>
                </anchor>
              </controlPr>
            </control>
          </mc:Choice>
        </mc:AlternateContent>
        <mc:AlternateContent xmlns:mc="http://schemas.openxmlformats.org/markup-compatibility/2006">
          <mc:Choice Requires="x14">
            <control shapeId="13558" r:id="rId1107" name="Button 2294">
              <controlPr defaultSize="0" autoFill="0" autoLine="0" autoPict="0" macro="[0]!Sheet1.deleteRow">
                <anchor moveWithCells="1" sizeWithCells="1">
                  <from>
                    <xdr:col>6</xdr:col>
                    <xdr:colOff>0</xdr:colOff>
                    <xdr:row>1932</xdr:row>
                    <xdr:rowOff>0</xdr:rowOff>
                  </from>
                  <to>
                    <xdr:col>7</xdr:col>
                    <xdr:colOff>0</xdr:colOff>
                    <xdr:row>1932</xdr:row>
                    <xdr:rowOff>165100</xdr:rowOff>
                  </to>
                </anchor>
              </controlPr>
            </control>
          </mc:Choice>
        </mc:AlternateContent>
        <mc:AlternateContent xmlns:mc="http://schemas.openxmlformats.org/markup-compatibility/2006">
          <mc:Choice Requires="x14">
            <control shapeId="13557" r:id="rId1108" name="Button 2293">
              <controlPr defaultSize="0" autoFill="0" autoLine="0" autoPict="0" macro="[0]!Sheet1.deleteRow">
                <anchor moveWithCells="1" sizeWithCells="1">
                  <from>
                    <xdr:col>6</xdr:col>
                    <xdr:colOff>0</xdr:colOff>
                    <xdr:row>1933</xdr:row>
                    <xdr:rowOff>0</xdr:rowOff>
                  </from>
                  <to>
                    <xdr:col>7</xdr:col>
                    <xdr:colOff>0</xdr:colOff>
                    <xdr:row>1933</xdr:row>
                    <xdr:rowOff>165100</xdr:rowOff>
                  </to>
                </anchor>
              </controlPr>
            </control>
          </mc:Choice>
        </mc:AlternateContent>
        <mc:AlternateContent xmlns:mc="http://schemas.openxmlformats.org/markup-compatibility/2006">
          <mc:Choice Requires="x14">
            <control shapeId="13556" r:id="rId1109" name="Button 2292">
              <controlPr defaultSize="0" autoFill="0" autoLine="0" autoPict="0" macro="[0]!Sheet1.deleteRow">
                <anchor moveWithCells="1" sizeWithCells="1">
                  <from>
                    <xdr:col>6</xdr:col>
                    <xdr:colOff>0</xdr:colOff>
                    <xdr:row>1934</xdr:row>
                    <xdr:rowOff>0</xdr:rowOff>
                  </from>
                  <to>
                    <xdr:col>7</xdr:col>
                    <xdr:colOff>0</xdr:colOff>
                    <xdr:row>1934</xdr:row>
                    <xdr:rowOff>165100</xdr:rowOff>
                  </to>
                </anchor>
              </controlPr>
            </control>
          </mc:Choice>
        </mc:AlternateContent>
        <mc:AlternateContent xmlns:mc="http://schemas.openxmlformats.org/markup-compatibility/2006">
          <mc:Choice Requires="x14">
            <control shapeId="13555" r:id="rId1110" name="Button 2291">
              <controlPr defaultSize="0" autoFill="0" autoLine="0" autoPict="0" macro="[0]!Sheet1.deleteRow">
                <anchor moveWithCells="1" sizeWithCells="1">
                  <from>
                    <xdr:col>6</xdr:col>
                    <xdr:colOff>0</xdr:colOff>
                    <xdr:row>1935</xdr:row>
                    <xdr:rowOff>0</xdr:rowOff>
                  </from>
                  <to>
                    <xdr:col>7</xdr:col>
                    <xdr:colOff>0</xdr:colOff>
                    <xdr:row>1935</xdr:row>
                    <xdr:rowOff>165100</xdr:rowOff>
                  </to>
                </anchor>
              </controlPr>
            </control>
          </mc:Choice>
        </mc:AlternateContent>
        <mc:AlternateContent xmlns:mc="http://schemas.openxmlformats.org/markup-compatibility/2006">
          <mc:Choice Requires="x14">
            <control shapeId="13554" r:id="rId1111" name="Button 2290">
              <controlPr defaultSize="0" autoFill="0" autoLine="0" autoPict="0" macro="[0]!Sheet1.deleteRow">
                <anchor moveWithCells="1" sizeWithCells="1">
                  <from>
                    <xdr:col>6</xdr:col>
                    <xdr:colOff>0</xdr:colOff>
                    <xdr:row>1936</xdr:row>
                    <xdr:rowOff>0</xdr:rowOff>
                  </from>
                  <to>
                    <xdr:col>7</xdr:col>
                    <xdr:colOff>0</xdr:colOff>
                    <xdr:row>1936</xdr:row>
                    <xdr:rowOff>165100</xdr:rowOff>
                  </to>
                </anchor>
              </controlPr>
            </control>
          </mc:Choice>
        </mc:AlternateContent>
        <mc:AlternateContent xmlns:mc="http://schemas.openxmlformats.org/markup-compatibility/2006">
          <mc:Choice Requires="x14">
            <control shapeId="13553" r:id="rId1112" name="Button 2289">
              <controlPr defaultSize="0" autoFill="0" autoLine="0" autoPict="0" macro="[0]!Sheet1.deleteRow">
                <anchor moveWithCells="1" sizeWithCells="1">
                  <from>
                    <xdr:col>6</xdr:col>
                    <xdr:colOff>0</xdr:colOff>
                    <xdr:row>1937</xdr:row>
                    <xdr:rowOff>0</xdr:rowOff>
                  </from>
                  <to>
                    <xdr:col>7</xdr:col>
                    <xdr:colOff>0</xdr:colOff>
                    <xdr:row>1937</xdr:row>
                    <xdr:rowOff>165100</xdr:rowOff>
                  </to>
                </anchor>
              </controlPr>
            </control>
          </mc:Choice>
        </mc:AlternateContent>
        <mc:AlternateContent xmlns:mc="http://schemas.openxmlformats.org/markup-compatibility/2006">
          <mc:Choice Requires="x14">
            <control shapeId="13552" r:id="rId1113" name="Button 2288">
              <controlPr defaultSize="0" autoFill="0" autoLine="0" autoPict="0" macro="[0]!Sheet1.deleteRow">
                <anchor moveWithCells="1" sizeWithCells="1">
                  <from>
                    <xdr:col>6</xdr:col>
                    <xdr:colOff>0</xdr:colOff>
                    <xdr:row>1938</xdr:row>
                    <xdr:rowOff>0</xdr:rowOff>
                  </from>
                  <to>
                    <xdr:col>7</xdr:col>
                    <xdr:colOff>0</xdr:colOff>
                    <xdr:row>1938</xdr:row>
                    <xdr:rowOff>165100</xdr:rowOff>
                  </to>
                </anchor>
              </controlPr>
            </control>
          </mc:Choice>
        </mc:AlternateContent>
        <mc:AlternateContent xmlns:mc="http://schemas.openxmlformats.org/markup-compatibility/2006">
          <mc:Choice Requires="x14">
            <control shapeId="13551" r:id="rId1114" name="Button 2287">
              <controlPr defaultSize="0" autoFill="0" autoLine="0" autoPict="0" macro="[0]!Sheet1.deleteRow">
                <anchor moveWithCells="1" sizeWithCells="1">
                  <from>
                    <xdr:col>6</xdr:col>
                    <xdr:colOff>0</xdr:colOff>
                    <xdr:row>1939</xdr:row>
                    <xdr:rowOff>0</xdr:rowOff>
                  </from>
                  <to>
                    <xdr:col>7</xdr:col>
                    <xdr:colOff>0</xdr:colOff>
                    <xdr:row>1939</xdr:row>
                    <xdr:rowOff>165100</xdr:rowOff>
                  </to>
                </anchor>
              </controlPr>
            </control>
          </mc:Choice>
        </mc:AlternateContent>
        <mc:AlternateContent xmlns:mc="http://schemas.openxmlformats.org/markup-compatibility/2006">
          <mc:Choice Requires="x14">
            <control shapeId="13550" r:id="rId1115" name="Button 2286">
              <controlPr defaultSize="0" autoFill="0" autoLine="0" autoPict="0" macro="[0]!Sheet1.deleteRow">
                <anchor moveWithCells="1" sizeWithCells="1">
                  <from>
                    <xdr:col>6</xdr:col>
                    <xdr:colOff>0</xdr:colOff>
                    <xdr:row>1940</xdr:row>
                    <xdr:rowOff>0</xdr:rowOff>
                  </from>
                  <to>
                    <xdr:col>7</xdr:col>
                    <xdr:colOff>0</xdr:colOff>
                    <xdr:row>1940</xdr:row>
                    <xdr:rowOff>165100</xdr:rowOff>
                  </to>
                </anchor>
              </controlPr>
            </control>
          </mc:Choice>
        </mc:AlternateContent>
        <mc:AlternateContent xmlns:mc="http://schemas.openxmlformats.org/markup-compatibility/2006">
          <mc:Choice Requires="x14">
            <control shapeId="13549" r:id="rId1116" name="Button 2285">
              <controlPr defaultSize="0" autoFill="0" autoLine="0" autoPict="0" macro="[0]!Sheet1.deleteRow">
                <anchor moveWithCells="1" sizeWithCells="1">
                  <from>
                    <xdr:col>6</xdr:col>
                    <xdr:colOff>0</xdr:colOff>
                    <xdr:row>1941</xdr:row>
                    <xdr:rowOff>0</xdr:rowOff>
                  </from>
                  <to>
                    <xdr:col>7</xdr:col>
                    <xdr:colOff>0</xdr:colOff>
                    <xdr:row>1941</xdr:row>
                    <xdr:rowOff>165100</xdr:rowOff>
                  </to>
                </anchor>
              </controlPr>
            </control>
          </mc:Choice>
        </mc:AlternateContent>
        <mc:AlternateContent xmlns:mc="http://schemas.openxmlformats.org/markup-compatibility/2006">
          <mc:Choice Requires="x14">
            <control shapeId="13548" r:id="rId1117" name="Button 2284">
              <controlPr defaultSize="0" autoFill="0" autoLine="0" autoPict="0" macro="[0]!Sheet1.deleteRow">
                <anchor moveWithCells="1" sizeWithCells="1">
                  <from>
                    <xdr:col>6</xdr:col>
                    <xdr:colOff>0</xdr:colOff>
                    <xdr:row>1942</xdr:row>
                    <xdr:rowOff>0</xdr:rowOff>
                  </from>
                  <to>
                    <xdr:col>7</xdr:col>
                    <xdr:colOff>0</xdr:colOff>
                    <xdr:row>1942</xdr:row>
                    <xdr:rowOff>165100</xdr:rowOff>
                  </to>
                </anchor>
              </controlPr>
            </control>
          </mc:Choice>
        </mc:AlternateContent>
        <mc:AlternateContent xmlns:mc="http://schemas.openxmlformats.org/markup-compatibility/2006">
          <mc:Choice Requires="x14">
            <control shapeId="13547" r:id="rId1118" name="Button 2283">
              <controlPr defaultSize="0" autoFill="0" autoLine="0" autoPict="0" macro="[0]!Sheet1.deleteRow">
                <anchor moveWithCells="1" sizeWithCells="1">
                  <from>
                    <xdr:col>6</xdr:col>
                    <xdr:colOff>0</xdr:colOff>
                    <xdr:row>1943</xdr:row>
                    <xdr:rowOff>0</xdr:rowOff>
                  </from>
                  <to>
                    <xdr:col>7</xdr:col>
                    <xdr:colOff>0</xdr:colOff>
                    <xdr:row>1943</xdr:row>
                    <xdr:rowOff>165100</xdr:rowOff>
                  </to>
                </anchor>
              </controlPr>
            </control>
          </mc:Choice>
        </mc:AlternateContent>
        <mc:AlternateContent xmlns:mc="http://schemas.openxmlformats.org/markup-compatibility/2006">
          <mc:Choice Requires="x14">
            <control shapeId="13546" r:id="rId1119" name="Button 2282">
              <controlPr defaultSize="0" autoFill="0" autoLine="0" autoPict="0" macro="[0]!Sheet1.deleteRow">
                <anchor moveWithCells="1" sizeWithCells="1">
                  <from>
                    <xdr:col>6</xdr:col>
                    <xdr:colOff>0</xdr:colOff>
                    <xdr:row>1944</xdr:row>
                    <xdr:rowOff>0</xdr:rowOff>
                  </from>
                  <to>
                    <xdr:col>7</xdr:col>
                    <xdr:colOff>0</xdr:colOff>
                    <xdr:row>1944</xdr:row>
                    <xdr:rowOff>165100</xdr:rowOff>
                  </to>
                </anchor>
              </controlPr>
            </control>
          </mc:Choice>
        </mc:AlternateContent>
        <mc:AlternateContent xmlns:mc="http://schemas.openxmlformats.org/markup-compatibility/2006">
          <mc:Choice Requires="x14">
            <control shapeId="13545" r:id="rId1120" name="Button 2281">
              <controlPr defaultSize="0" autoFill="0" autoLine="0" autoPict="0" macro="[0]!Sheet1.deleteRow">
                <anchor moveWithCells="1" sizeWithCells="1">
                  <from>
                    <xdr:col>6</xdr:col>
                    <xdr:colOff>0</xdr:colOff>
                    <xdr:row>1945</xdr:row>
                    <xdr:rowOff>0</xdr:rowOff>
                  </from>
                  <to>
                    <xdr:col>7</xdr:col>
                    <xdr:colOff>0</xdr:colOff>
                    <xdr:row>1945</xdr:row>
                    <xdr:rowOff>165100</xdr:rowOff>
                  </to>
                </anchor>
              </controlPr>
            </control>
          </mc:Choice>
        </mc:AlternateContent>
        <mc:AlternateContent xmlns:mc="http://schemas.openxmlformats.org/markup-compatibility/2006">
          <mc:Choice Requires="x14">
            <control shapeId="13544" r:id="rId1121" name="Button 2280">
              <controlPr defaultSize="0" autoFill="0" autoLine="0" autoPict="0" macro="[0]!Sheet1.deleteRow">
                <anchor moveWithCells="1" sizeWithCells="1">
                  <from>
                    <xdr:col>6</xdr:col>
                    <xdr:colOff>0</xdr:colOff>
                    <xdr:row>1946</xdr:row>
                    <xdr:rowOff>0</xdr:rowOff>
                  </from>
                  <to>
                    <xdr:col>7</xdr:col>
                    <xdr:colOff>0</xdr:colOff>
                    <xdr:row>1946</xdr:row>
                    <xdr:rowOff>165100</xdr:rowOff>
                  </to>
                </anchor>
              </controlPr>
            </control>
          </mc:Choice>
        </mc:AlternateContent>
        <mc:AlternateContent xmlns:mc="http://schemas.openxmlformats.org/markup-compatibility/2006">
          <mc:Choice Requires="x14">
            <control shapeId="13543" r:id="rId1122" name="Button 2279">
              <controlPr defaultSize="0" autoFill="0" autoLine="0" autoPict="0" macro="[0]!Sheet1.deleteRow">
                <anchor moveWithCells="1" sizeWithCells="1">
                  <from>
                    <xdr:col>6</xdr:col>
                    <xdr:colOff>0</xdr:colOff>
                    <xdr:row>1947</xdr:row>
                    <xdr:rowOff>0</xdr:rowOff>
                  </from>
                  <to>
                    <xdr:col>7</xdr:col>
                    <xdr:colOff>0</xdr:colOff>
                    <xdr:row>1947</xdr:row>
                    <xdr:rowOff>165100</xdr:rowOff>
                  </to>
                </anchor>
              </controlPr>
            </control>
          </mc:Choice>
        </mc:AlternateContent>
        <mc:AlternateContent xmlns:mc="http://schemas.openxmlformats.org/markup-compatibility/2006">
          <mc:Choice Requires="x14">
            <control shapeId="13542" r:id="rId1123" name="Button 2278">
              <controlPr defaultSize="0" autoFill="0" autoLine="0" autoPict="0" macro="[0]!Sheet1.deleteRow">
                <anchor moveWithCells="1" sizeWithCells="1">
                  <from>
                    <xdr:col>6</xdr:col>
                    <xdr:colOff>0</xdr:colOff>
                    <xdr:row>1948</xdr:row>
                    <xdr:rowOff>0</xdr:rowOff>
                  </from>
                  <to>
                    <xdr:col>7</xdr:col>
                    <xdr:colOff>0</xdr:colOff>
                    <xdr:row>1948</xdr:row>
                    <xdr:rowOff>165100</xdr:rowOff>
                  </to>
                </anchor>
              </controlPr>
            </control>
          </mc:Choice>
        </mc:AlternateContent>
        <mc:AlternateContent xmlns:mc="http://schemas.openxmlformats.org/markup-compatibility/2006">
          <mc:Choice Requires="x14">
            <control shapeId="13541" r:id="rId1124" name="Button 2277">
              <controlPr defaultSize="0" autoFill="0" autoLine="0" autoPict="0" macro="[0]!Sheet1.deleteRow">
                <anchor moveWithCells="1" sizeWithCells="1">
                  <from>
                    <xdr:col>6</xdr:col>
                    <xdr:colOff>0</xdr:colOff>
                    <xdr:row>1949</xdr:row>
                    <xdr:rowOff>0</xdr:rowOff>
                  </from>
                  <to>
                    <xdr:col>7</xdr:col>
                    <xdr:colOff>0</xdr:colOff>
                    <xdr:row>1949</xdr:row>
                    <xdr:rowOff>165100</xdr:rowOff>
                  </to>
                </anchor>
              </controlPr>
            </control>
          </mc:Choice>
        </mc:AlternateContent>
        <mc:AlternateContent xmlns:mc="http://schemas.openxmlformats.org/markup-compatibility/2006">
          <mc:Choice Requires="x14">
            <control shapeId="13540" r:id="rId1125" name="Button 2276">
              <controlPr defaultSize="0" autoFill="0" autoLine="0" autoPict="0" macro="[0]!Sheet1.deleteRow">
                <anchor moveWithCells="1" sizeWithCells="1">
                  <from>
                    <xdr:col>6</xdr:col>
                    <xdr:colOff>0</xdr:colOff>
                    <xdr:row>1950</xdr:row>
                    <xdr:rowOff>0</xdr:rowOff>
                  </from>
                  <to>
                    <xdr:col>7</xdr:col>
                    <xdr:colOff>0</xdr:colOff>
                    <xdr:row>1950</xdr:row>
                    <xdr:rowOff>165100</xdr:rowOff>
                  </to>
                </anchor>
              </controlPr>
            </control>
          </mc:Choice>
        </mc:AlternateContent>
        <mc:AlternateContent xmlns:mc="http://schemas.openxmlformats.org/markup-compatibility/2006">
          <mc:Choice Requires="x14">
            <control shapeId="13539" r:id="rId1126" name="Button 2275">
              <controlPr defaultSize="0" autoFill="0" autoLine="0" autoPict="0" macro="[0]!Sheet1.deleteRow">
                <anchor moveWithCells="1" sizeWithCells="1">
                  <from>
                    <xdr:col>6</xdr:col>
                    <xdr:colOff>0</xdr:colOff>
                    <xdr:row>1951</xdr:row>
                    <xdr:rowOff>0</xdr:rowOff>
                  </from>
                  <to>
                    <xdr:col>7</xdr:col>
                    <xdr:colOff>0</xdr:colOff>
                    <xdr:row>1951</xdr:row>
                    <xdr:rowOff>165100</xdr:rowOff>
                  </to>
                </anchor>
              </controlPr>
            </control>
          </mc:Choice>
        </mc:AlternateContent>
        <mc:AlternateContent xmlns:mc="http://schemas.openxmlformats.org/markup-compatibility/2006">
          <mc:Choice Requires="x14">
            <control shapeId="13538" r:id="rId1127" name="Button 2274">
              <controlPr defaultSize="0" autoFill="0" autoLine="0" autoPict="0" macro="[0]!Sheet1.deleteProcedure">
                <anchor moveWithCells="1" sizeWithCells="1">
                  <from>
                    <xdr:col>6</xdr:col>
                    <xdr:colOff>0</xdr:colOff>
                    <xdr:row>1954</xdr:row>
                    <xdr:rowOff>0</xdr:rowOff>
                  </from>
                  <to>
                    <xdr:col>7</xdr:col>
                    <xdr:colOff>0</xdr:colOff>
                    <xdr:row>1955</xdr:row>
                    <xdr:rowOff>0</xdr:rowOff>
                  </to>
                </anchor>
              </controlPr>
            </control>
          </mc:Choice>
        </mc:AlternateContent>
        <mc:AlternateContent xmlns:mc="http://schemas.openxmlformats.org/markup-compatibility/2006">
          <mc:Choice Requires="x14">
            <control shapeId="13537" r:id="rId1128" name="Button 2273">
              <controlPr defaultSize="0" autoFill="0" autoLine="0" autoPict="0" macro="[0]!Sheet1.InsertNewTableRow">
                <anchor moveWithCells="1" sizeWithCells="1">
                  <from>
                    <xdr:col>6</xdr:col>
                    <xdr:colOff>0</xdr:colOff>
                    <xdr:row>1961</xdr:row>
                    <xdr:rowOff>0</xdr:rowOff>
                  </from>
                  <to>
                    <xdr:col>7</xdr:col>
                    <xdr:colOff>0</xdr:colOff>
                    <xdr:row>1961</xdr:row>
                    <xdr:rowOff>171450</xdr:rowOff>
                  </to>
                </anchor>
              </controlPr>
            </control>
          </mc:Choice>
        </mc:AlternateContent>
        <mc:AlternateContent xmlns:mc="http://schemas.openxmlformats.org/markup-compatibility/2006">
          <mc:Choice Requires="x14">
            <control shapeId="13536" r:id="rId1129" name="Button 2272">
              <controlPr defaultSize="0" autoFill="0" autoLine="0" autoPict="0" macro="[0]!Sheet1.deleteRow">
                <anchor moveWithCells="1" sizeWithCells="1">
                  <from>
                    <xdr:col>6</xdr:col>
                    <xdr:colOff>0</xdr:colOff>
                    <xdr:row>1962</xdr:row>
                    <xdr:rowOff>0</xdr:rowOff>
                  </from>
                  <to>
                    <xdr:col>7</xdr:col>
                    <xdr:colOff>0</xdr:colOff>
                    <xdr:row>1962</xdr:row>
                    <xdr:rowOff>165100</xdr:rowOff>
                  </to>
                </anchor>
              </controlPr>
            </control>
          </mc:Choice>
        </mc:AlternateContent>
        <mc:AlternateContent xmlns:mc="http://schemas.openxmlformats.org/markup-compatibility/2006">
          <mc:Choice Requires="x14">
            <control shapeId="13535" r:id="rId1130" name="Button 2271">
              <controlPr defaultSize="0" autoFill="0" autoLine="0" autoPict="0" macro="[0]!Sheet1.deleteRow">
                <anchor moveWithCells="1" sizeWithCells="1">
                  <from>
                    <xdr:col>6</xdr:col>
                    <xdr:colOff>0</xdr:colOff>
                    <xdr:row>1963</xdr:row>
                    <xdr:rowOff>0</xdr:rowOff>
                  </from>
                  <to>
                    <xdr:col>7</xdr:col>
                    <xdr:colOff>0</xdr:colOff>
                    <xdr:row>1963</xdr:row>
                    <xdr:rowOff>165100</xdr:rowOff>
                  </to>
                </anchor>
              </controlPr>
            </control>
          </mc:Choice>
        </mc:AlternateContent>
        <mc:AlternateContent xmlns:mc="http://schemas.openxmlformats.org/markup-compatibility/2006">
          <mc:Choice Requires="x14">
            <control shapeId="13534" r:id="rId1131" name="Button 2270">
              <controlPr defaultSize="0" autoFill="0" autoLine="0" autoPict="0" macro="[0]!Sheet1.deleteRow">
                <anchor moveWithCells="1" sizeWithCells="1">
                  <from>
                    <xdr:col>6</xdr:col>
                    <xdr:colOff>0</xdr:colOff>
                    <xdr:row>1964</xdr:row>
                    <xdr:rowOff>0</xdr:rowOff>
                  </from>
                  <to>
                    <xdr:col>7</xdr:col>
                    <xdr:colOff>0</xdr:colOff>
                    <xdr:row>1964</xdr:row>
                    <xdr:rowOff>165100</xdr:rowOff>
                  </to>
                </anchor>
              </controlPr>
            </control>
          </mc:Choice>
        </mc:AlternateContent>
        <mc:AlternateContent xmlns:mc="http://schemas.openxmlformats.org/markup-compatibility/2006">
          <mc:Choice Requires="x14">
            <control shapeId="13533" r:id="rId1132" name="Button 2269">
              <controlPr defaultSize="0" autoFill="0" autoLine="0" autoPict="0" macro="[0]!Sheet1.deleteRow">
                <anchor moveWithCells="1" sizeWithCells="1">
                  <from>
                    <xdr:col>6</xdr:col>
                    <xdr:colOff>0</xdr:colOff>
                    <xdr:row>1965</xdr:row>
                    <xdr:rowOff>0</xdr:rowOff>
                  </from>
                  <to>
                    <xdr:col>7</xdr:col>
                    <xdr:colOff>0</xdr:colOff>
                    <xdr:row>1965</xdr:row>
                    <xdr:rowOff>165100</xdr:rowOff>
                  </to>
                </anchor>
              </controlPr>
            </control>
          </mc:Choice>
        </mc:AlternateContent>
        <mc:AlternateContent xmlns:mc="http://schemas.openxmlformats.org/markup-compatibility/2006">
          <mc:Choice Requires="x14">
            <control shapeId="13532" r:id="rId1133" name="Button 2268">
              <controlPr defaultSize="0" autoFill="0" autoLine="0" autoPict="0" macro="[0]!Sheet1.deleteRow">
                <anchor moveWithCells="1" sizeWithCells="1">
                  <from>
                    <xdr:col>6</xdr:col>
                    <xdr:colOff>0</xdr:colOff>
                    <xdr:row>1966</xdr:row>
                    <xdr:rowOff>0</xdr:rowOff>
                  </from>
                  <to>
                    <xdr:col>7</xdr:col>
                    <xdr:colOff>0</xdr:colOff>
                    <xdr:row>1966</xdr:row>
                    <xdr:rowOff>165100</xdr:rowOff>
                  </to>
                </anchor>
              </controlPr>
            </control>
          </mc:Choice>
        </mc:AlternateContent>
        <mc:AlternateContent xmlns:mc="http://schemas.openxmlformats.org/markup-compatibility/2006">
          <mc:Choice Requires="x14">
            <control shapeId="13531" r:id="rId1134" name="Button 2267">
              <controlPr defaultSize="0" autoFill="0" autoLine="0" autoPict="0" macro="[0]!Sheet1.deleteRow">
                <anchor moveWithCells="1" sizeWithCells="1">
                  <from>
                    <xdr:col>6</xdr:col>
                    <xdr:colOff>0</xdr:colOff>
                    <xdr:row>1967</xdr:row>
                    <xdr:rowOff>0</xdr:rowOff>
                  </from>
                  <to>
                    <xdr:col>7</xdr:col>
                    <xdr:colOff>0</xdr:colOff>
                    <xdr:row>1967</xdr:row>
                    <xdr:rowOff>165100</xdr:rowOff>
                  </to>
                </anchor>
              </controlPr>
            </control>
          </mc:Choice>
        </mc:AlternateContent>
        <mc:AlternateContent xmlns:mc="http://schemas.openxmlformats.org/markup-compatibility/2006">
          <mc:Choice Requires="x14">
            <control shapeId="13530" r:id="rId1135" name="Button 2266">
              <controlPr defaultSize="0" autoFill="0" autoLine="0" autoPict="0" macro="[0]!Sheet1.deleteProcedure">
                <anchor moveWithCells="1" sizeWithCells="1">
                  <from>
                    <xdr:col>6</xdr:col>
                    <xdr:colOff>0</xdr:colOff>
                    <xdr:row>1970</xdr:row>
                    <xdr:rowOff>0</xdr:rowOff>
                  </from>
                  <to>
                    <xdr:col>7</xdr:col>
                    <xdr:colOff>0</xdr:colOff>
                    <xdr:row>1971</xdr:row>
                    <xdr:rowOff>0</xdr:rowOff>
                  </to>
                </anchor>
              </controlPr>
            </control>
          </mc:Choice>
        </mc:AlternateContent>
        <mc:AlternateContent xmlns:mc="http://schemas.openxmlformats.org/markup-compatibility/2006">
          <mc:Choice Requires="x14">
            <control shapeId="13529" r:id="rId1136" name="Button 2265">
              <controlPr defaultSize="0" autoFill="0" autoLine="0" autoPict="0" macro="[0]!Sheet1.InsertNewTableRow">
                <anchor moveWithCells="1" sizeWithCells="1">
                  <from>
                    <xdr:col>6</xdr:col>
                    <xdr:colOff>0</xdr:colOff>
                    <xdr:row>1977</xdr:row>
                    <xdr:rowOff>0</xdr:rowOff>
                  </from>
                  <to>
                    <xdr:col>7</xdr:col>
                    <xdr:colOff>0</xdr:colOff>
                    <xdr:row>1977</xdr:row>
                    <xdr:rowOff>171450</xdr:rowOff>
                  </to>
                </anchor>
              </controlPr>
            </control>
          </mc:Choice>
        </mc:AlternateContent>
        <mc:AlternateContent xmlns:mc="http://schemas.openxmlformats.org/markup-compatibility/2006">
          <mc:Choice Requires="x14">
            <control shapeId="13528" r:id="rId1137" name="Button 2264">
              <controlPr defaultSize="0" autoFill="0" autoLine="0" autoPict="0" macro="[0]!Sheet1.deleteRow">
                <anchor moveWithCells="1" sizeWithCells="1">
                  <from>
                    <xdr:col>6</xdr:col>
                    <xdr:colOff>0</xdr:colOff>
                    <xdr:row>1978</xdr:row>
                    <xdr:rowOff>0</xdr:rowOff>
                  </from>
                  <to>
                    <xdr:col>7</xdr:col>
                    <xdr:colOff>0</xdr:colOff>
                    <xdr:row>1978</xdr:row>
                    <xdr:rowOff>165100</xdr:rowOff>
                  </to>
                </anchor>
              </controlPr>
            </control>
          </mc:Choice>
        </mc:AlternateContent>
        <mc:AlternateContent xmlns:mc="http://schemas.openxmlformats.org/markup-compatibility/2006">
          <mc:Choice Requires="x14">
            <control shapeId="13527" r:id="rId1138" name="Button 2263">
              <controlPr defaultSize="0" autoFill="0" autoLine="0" autoPict="0" macro="[0]!Sheet1.deleteRow">
                <anchor moveWithCells="1" sizeWithCells="1">
                  <from>
                    <xdr:col>6</xdr:col>
                    <xdr:colOff>0</xdr:colOff>
                    <xdr:row>1979</xdr:row>
                    <xdr:rowOff>0</xdr:rowOff>
                  </from>
                  <to>
                    <xdr:col>7</xdr:col>
                    <xdr:colOff>0</xdr:colOff>
                    <xdr:row>1979</xdr:row>
                    <xdr:rowOff>165100</xdr:rowOff>
                  </to>
                </anchor>
              </controlPr>
            </control>
          </mc:Choice>
        </mc:AlternateContent>
        <mc:AlternateContent xmlns:mc="http://schemas.openxmlformats.org/markup-compatibility/2006">
          <mc:Choice Requires="x14">
            <control shapeId="13526" r:id="rId1139" name="Button 2262">
              <controlPr defaultSize="0" autoFill="0" autoLine="0" autoPict="0" macro="[0]!Sheet1.deleteRow">
                <anchor moveWithCells="1" sizeWithCells="1">
                  <from>
                    <xdr:col>6</xdr:col>
                    <xdr:colOff>0</xdr:colOff>
                    <xdr:row>1980</xdr:row>
                    <xdr:rowOff>0</xdr:rowOff>
                  </from>
                  <to>
                    <xdr:col>7</xdr:col>
                    <xdr:colOff>0</xdr:colOff>
                    <xdr:row>1980</xdr:row>
                    <xdr:rowOff>165100</xdr:rowOff>
                  </to>
                </anchor>
              </controlPr>
            </control>
          </mc:Choice>
        </mc:AlternateContent>
        <mc:AlternateContent xmlns:mc="http://schemas.openxmlformats.org/markup-compatibility/2006">
          <mc:Choice Requires="x14">
            <control shapeId="13525" r:id="rId1140" name="Button 2261">
              <controlPr defaultSize="0" autoFill="0" autoLine="0" autoPict="0" macro="[0]!Sheet1.deleteRow">
                <anchor moveWithCells="1" sizeWithCells="1">
                  <from>
                    <xdr:col>6</xdr:col>
                    <xdr:colOff>0</xdr:colOff>
                    <xdr:row>1981</xdr:row>
                    <xdr:rowOff>0</xdr:rowOff>
                  </from>
                  <to>
                    <xdr:col>7</xdr:col>
                    <xdr:colOff>0</xdr:colOff>
                    <xdr:row>1981</xdr:row>
                    <xdr:rowOff>165100</xdr:rowOff>
                  </to>
                </anchor>
              </controlPr>
            </control>
          </mc:Choice>
        </mc:AlternateContent>
        <mc:AlternateContent xmlns:mc="http://schemas.openxmlformats.org/markup-compatibility/2006">
          <mc:Choice Requires="x14">
            <control shapeId="13524" r:id="rId1141" name="Button 2260">
              <controlPr defaultSize="0" autoFill="0" autoLine="0" autoPict="0" macro="[0]!Sheet1.deleteRow">
                <anchor moveWithCells="1" sizeWithCells="1">
                  <from>
                    <xdr:col>6</xdr:col>
                    <xdr:colOff>0</xdr:colOff>
                    <xdr:row>1982</xdr:row>
                    <xdr:rowOff>0</xdr:rowOff>
                  </from>
                  <to>
                    <xdr:col>7</xdr:col>
                    <xdr:colOff>0</xdr:colOff>
                    <xdr:row>1982</xdr:row>
                    <xdr:rowOff>165100</xdr:rowOff>
                  </to>
                </anchor>
              </controlPr>
            </control>
          </mc:Choice>
        </mc:AlternateContent>
        <mc:AlternateContent xmlns:mc="http://schemas.openxmlformats.org/markup-compatibility/2006">
          <mc:Choice Requires="x14">
            <control shapeId="13523" r:id="rId1142" name="Button 2259">
              <controlPr defaultSize="0" autoFill="0" autoLine="0" autoPict="0" macro="[0]!Sheet1.deleteRow">
                <anchor moveWithCells="1" sizeWithCells="1">
                  <from>
                    <xdr:col>6</xdr:col>
                    <xdr:colOff>0</xdr:colOff>
                    <xdr:row>1983</xdr:row>
                    <xdr:rowOff>0</xdr:rowOff>
                  </from>
                  <to>
                    <xdr:col>7</xdr:col>
                    <xdr:colOff>0</xdr:colOff>
                    <xdr:row>1983</xdr:row>
                    <xdr:rowOff>165100</xdr:rowOff>
                  </to>
                </anchor>
              </controlPr>
            </control>
          </mc:Choice>
        </mc:AlternateContent>
        <mc:AlternateContent xmlns:mc="http://schemas.openxmlformats.org/markup-compatibility/2006">
          <mc:Choice Requires="x14">
            <control shapeId="13522" r:id="rId1143" name="Button 2258">
              <controlPr defaultSize="0" autoFill="0" autoLine="0" autoPict="0" macro="[0]!Sheet1.deleteProcedure">
                <anchor moveWithCells="1" sizeWithCells="1">
                  <from>
                    <xdr:col>6</xdr:col>
                    <xdr:colOff>0</xdr:colOff>
                    <xdr:row>1986</xdr:row>
                    <xdr:rowOff>0</xdr:rowOff>
                  </from>
                  <to>
                    <xdr:col>7</xdr:col>
                    <xdr:colOff>0</xdr:colOff>
                    <xdr:row>1987</xdr:row>
                    <xdr:rowOff>0</xdr:rowOff>
                  </to>
                </anchor>
              </controlPr>
            </control>
          </mc:Choice>
        </mc:AlternateContent>
        <mc:AlternateContent xmlns:mc="http://schemas.openxmlformats.org/markup-compatibility/2006">
          <mc:Choice Requires="x14">
            <control shapeId="13521" r:id="rId1144" name="Button 2257">
              <controlPr defaultSize="0" autoFill="0" autoLine="0" autoPict="0" macro="[0]!Sheet1.InsertNewTableRow">
                <anchor moveWithCells="1" sizeWithCells="1">
                  <from>
                    <xdr:col>6</xdr:col>
                    <xdr:colOff>0</xdr:colOff>
                    <xdr:row>1993</xdr:row>
                    <xdr:rowOff>0</xdr:rowOff>
                  </from>
                  <to>
                    <xdr:col>7</xdr:col>
                    <xdr:colOff>0</xdr:colOff>
                    <xdr:row>1993</xdr:row>
                    <xdr:rowOff>171450</xdr:rowOff>
                  </to>
                </anchor>
              </controlPr>
            </control>
          </mc:Choice>
        </mc:AlternateContent>
        <mc:AlternateContent xmlns:mc="http://schemas.openxmlformats.org/markup-compatibility/2006">
          <mc:Choice Requires="x14">
            <control shapeId="13520" r:id="rId1145" name="Button 2256">
              <controlPr defaultSize="0" autoFill="0" autoLine="0" autoPict="0" macro="[0]!Sheet1.deleteRow">
                <anchor moveWithCells="1" sizeWithCells="1">
                  <from>
                    <xdr:col>6</xdr:col>
                    <xdr:colOff>0</xdr:colOff>
                    <xdr:row>1994</xdr:row>
                    <xdr:rowOff>0</xdr:rowOff>
                  </from>
                  <to>
                    <xdr:col>7</xdr:col>
                    <xdr:colOff>0</xdr:colOff>
                    <xdr:row>1994</xdr:row>
                    <xdr:rowOff>165100</xdr:rowOff>
                  </to>
                </anchor>
              </controlPr>
            </control>
          </mc:Choice>
        </mc:AlternateContent>
        <mc:AlternateContent xmlns:mc="http://schemas.openxmlformats.org/markup-compatibility/2006">
          <mc:Choice Requires="x14">
            <control shapeId="13519" r:id="rId1146" name="Button 2255">
              <controlPr defaultSize="0" autoFill="0" autoLine="0" autoPict="0" macro="[0]!Sheet1.deleteRow">
                <anchor moveWithCells="1" sizeWithCells="1">
                  <from>
                    <xdr:col>6</xdr:col>
                    <xdr:colOff>0</xdr:colOff>
                    <xdr:row>1995</xdr:row>
                    <xdr:rowOff>0</xdr:rowOff>
                  </from>
                  <to>
                    <xdr:col>7</xdr:col>
                    <xdr:colOff>0</xdr:colOff>
                    <xdr:row>1995</xdr:row>
                    <xdr:rowOff>165100</xdr:rowOff>
                  </to>
                </anchor>
              </controlPr>
            </control>
          </mc:Choice>
        </mc:AlternateContent>
        <mc:AlternateContent xmlns:mc="http://schemas.openxmlformats.org/markup-compatibility/2006">
          <mc:Choice Requires="x14">
            <control shapeId="13518" r:id="rId1147" name="Button 2254">
              <controlPr defaultSize="0" autoFill="0" autoLine="0" autoPict="0" macro="[0]!Sheet1.deleteRow">
                <anchor moveWithCells="1" sizeWithCells="1">
                  <from>
                    <xdr:col>6</xdr:col>
                    <xdr:colOff>0</xdr:colOff>
                    <xdr:row>1996</xdr:row>
                    <xdr:rowOff>0</xdr:rowOff>
                  </from>
                  <to>
                    <xdr:col>7</xdr:col>
                    <xdr:colOff>0</xdr:colOff>
                    <xdr:row>1996</xdr:row>
                    <xdr:rowOff>165100</xdr:rowOff>
                  </to>
                </anchor>
              </controlPr>
            </control>
          </mc:Choice>
        </mc:AlternateContent>
        <mc:AlternateContent xmlns:mc="http://schemas.openxmlformats.org/markup-compatibility/2006">
          <mc:Choice Requires="x14">
            <control shapeId="13517" r:id="rId1148" name="Button 2253">
              <controlPr defaultSize="0" autoFill="0" autoLine="0" autoPict="0" macro="[0]!Sheet1.deleteRow">
                <anchor moveWithCells="1" sizeWithCells="1">
                  <from>
                    <xdr:col>6</xdr:col>
                    <xdr:colOff>0</xdr:colOff>
                    <xdr:row>1997</xdr:row>
                    <xdr:rowOff>0</xdr:rowOff>
                  </from>
                  <to>
                    <xdr:col>7</xdr:col>
                    <xdr:colOff>0</xdr:colOff>
                    <xdr:row>1997</xdr:row>
                    <xdr:rowOff>165100</xdr:rowOff>
                  </to>
                </anchor>
              </controlPr>
            </control>
          </mc:Choice>
        </mc:AlternateContent>
        <mc:AlternateContent xmlns:mc="http://schemas.openxmlformats.org/markup-compatibility/2006">
          <mc:Choice Requires="x14">
            <control shapeId="13516" r:id="rId1149" name="Button 2252">
              <controlPr defaultSize="0" autoFill="0" autoLine="0" autoPict="0" macro="[0]!Sheet1.deleteRow">
                <anchor moveWithCells="1" sizeWithCells="1">
                  <from>
                    <xdr:col>6</xdr:col>
                    <xdr:colOff>0</xdr:colOff>
                    <xdr:row>1998</xdr:row>
                    <xdr:rowOff>0</xdr:rowOff>
                  </from>
                  <to>
                    <xdr:col>7</xdr:col>
                    <xdr:colOff>0</xdr:colOff>
                    <xdr:row>1998</xdr:row>
                    <xdr:rowOff>165100</xdr:rowOff>
                  </to>
                </anchor>
              </controlPr>
            </control>
          </mc:Choice>
        </mc:AlternateContent>
        <mc:AlternateContent xmlns:mc="http://schemas.openxmlformats.org/markup-compatibility/2006">
          <mc:Choice Requires="x14">
            <control shapeId="13515" r:id="rId1150" name="Button 2251">
              <controlPr defaultSize="0" autoFill="0" autoLine="0" autoPict="0" macro="[0]!Sheet1.deleteProcedure">
                <anchor moveWithCells="1" sizeWithCells="1">
                  <from>
                    <xdr:col>6</xdr:col>
                    <xdr:colOff>0</xdr:colOff>
                    <xdr:row>2001</xdr:row>
                    <xdr:rowOff>0</xdr:rowOff>
                  </from>
                  <to>
                    <xdr:col>7</xdr:col>
                    <xdr:colOff>0</xdr:colOff>
                    <xdr:row>2002</xdr:row>
                    <xdr:rowOff>0</xdr:rowOff>
                  </to>
                </anchor>
              </controlPr>
            </control>
          </mc:Choice>
        </mc:AlternateContent>
        <mc:AlternateContent xmlns:mc="http://schemas.openxmlformats.org/markup-compatibility/2006">
          <mc:Choice Requires="x14">
            <control shapeId="13514" r:id="rId1151" name="Button 2250">
              <controlPr defaultSize="0" autoFill="0" autoLine="0" autoPict="0" macro="[0]!Sheet1.InsertNewTableRow">
                <anchor moveWithCells="1" sizeWithCells="1">
                  <from>
                    <xdr:col>6</xdr:col>
                    <xdr:colOff>0</xdr:colOff>
                    <xdr:row>2008</xdr:row>
                    <xdr:rowOff>0</xdr:rowOff>
                  </from>
                  <to>
                    <xdr:col>7</xdr:col>
                    <xdr:colOff>0</xdr:colOff>
                    <xdr:row>2008</xdr:row>
                    <xdr:rowOff>171450</xdr:rowOff>
                  </to>
                </anchor>
              </controlPr>
            </control>
          </mc:Choice>
        </mc:AlternateContent>
        <mc:AlternateContent xmlns:mc="http://schemas.openxmlformats.org/markup-compatibility/2006">
          <mc:Choice Requires="x14">
            <control shapeId="13513" r:id="rId1152" name="Button 2249">
              <controlPr defaultSize="0" autoFill="0" autoLine="0" autoPict="0" macro="[0]!Sheet1.deleteRow">
                <anchor moveWithCells="1" sizeWithCells="1">
                  <from>
                    <xdr:col>6</xdr:col>
                    <xdr:colOff>0</xdr:colOff>
                    <xdr:row>2009</xdr:row>
                    <xdr:rowOff>0</xdr:rowOff>
                  </from>
                  <to>
                    <xdr:col>7</xdr:col>
                    <xdr:colOff>0</xdr:colOff>
                    <xdr:row>2009</xdr:row>
                    <xdr:rowOff>165100</xdr:rowOff>
                  </to>
                </anchor>
              </controlPr>
            </control>
          </mc:Choice>
        </mc:AlternateContent>
        <mc:AlternateContent xmlns:mc="http://schemas.openxmlformats.org/markup-compatibility/2006">
          <mc:Choice Requires="x14">
            <control shapeId="13512" r:id="rId1153" name="Button 2248">
              <controlPr defaultSize="0" autoFill="0" autoLine="0" autoPict="0" macro="[0]!Sheet1.deleteRow">
                <anchor moveWithCells="1" sizeWithCells="1">
                  <from>
                    <xdr:col>6</xdr:col>
                    <xdr:colOff>0</xdr:colOff>
                    <xdr:row>2010</xdr:row>
                    <xdr:rowOff>0</xdr:rowOff>
                  </from>
                  <to>
                    <xdr:col>7</xdr:col>
                    <xdr:colOff>0</xdr:colOff>
                    <xdr:row>2010</xdr:row>
                    <xdr:rowOff>165100</xdr:rowOff>
                  </to>
                </anchor>
              </controlPr>
            </control>
          </mc:Choice>
        </mc:AlternateContent>
        <mc:AlternateContent xmlns:mc="http://schemas.openxmlformats.org/markup-compatibility/2006">
          <mc:Choice Requires="x14">
            <control shapeId="13511" r:id="rId1154" name="Button 2247">
              <controlPr defaultSize="0" autoFill="0" autoLine="0" autoPict="0" macro="[0]!Sheet1.deleteRow">
                <anchor moveWithCells="1" sizeWithCells="1">
                  <from>
                    <xdr:col>6</xdr:col>
                    <xdr:colOff>0</xdr:colOff>
                    <xdr:row>2011</xdr:row>
                    <xdr:rowOff>0</xdr:rowOff>
                  </from>
                  <to>
                    <xdr:col>7</xdr:col>
                    <xdr:colOff>0</xdr:colOff>
                    <xdr:row>2011</xdr:row>
                    <xdr:rowOff>165100</xdr:rowOff>
                  </to>
                </anchor>
              </controlPr>
            </control>
          </mc:Choice>
        </mc:AlternateContent>
        <mc:AlternateContent xmlns:mc="http://schemas.openxmlformats.org/markup-compatibility/2006">
          <mc:Choice Requires="x14">
            <control shapeId="13510" r:id="rId1155" name="Button 2246">
              <controlPr defaultSize="0" autoFill="0" autoLine="0" autoPict="0" macro="[0]!Sheet1.deleteRow">
                <anchor moveWithCells="1" sizeWithCells="1">
                  <from>
                    <xdr:col>6</xdr:col>
                    <xdr:colOff>0</xdr:colOff>
                    <xdr:row>2012</xdr:row>
                    <xdr:rowOff>0</xdr:rowOff>
                  </from>
                  <to>
                    <xdr:col>7</xdr:col>
                    <xdr:colOff>0</xdr:colOff>
                    <xdr:row>2012</xdr:row>
                    <xdr:rowOff>165100</xdr:rowOff>
                  </to>
                </anchor>
              </controlPr>
            </control>
          </mc:Choice>
        </mc:AlternateContent>
        <mc:AlternateContent xmlns:mc="http://schemas.openxmlformats.org/markup-compatibility/2006">
          <mc:Choice Requires="x14">
            <control shapeId="13509" r:id="rId1156" name="Button 2245">
              <controlPr defaultSize="0" autoFill="0" autoLine="0" autoPict="0" macro="[0]!Sheet1.deleteRow">
                <anchor moveWithCells="1" sizeWithCells="1">
                  <from>
                    <xdr:col>6</xdr:col>
                    <xdr:colOff>0</xdr:colOff>
                    <xdr:row>2013</xdr:row>
                    <xdr:rowOff>0</xdr:rowOff>
                  </from>
                  <to>
                    <xdr:col>7</xdr:col>
                    <xdr:colOff>0</xdr:colOff>
                    <xdr:row>2013</xdr:row>
                    <xdr:rowOff>165100</xdr:rowOff>
                  </to>
                </anchor>
              </controlPr>
            </control>
          </mc:Choice>
        </mc:AlternateContent>
        <mc:AlternateContent xmlns:mc="http://schemas.openxmlformats.org/markup-compatibility/2006">
          <mc:Choice Requires="x14">
            <control shapeId="13508" r:id="rId1157" name="Button 2244">
              <controlPr defaultSize="0" autoFill="0" autoLine="0" autoPict="0" macro="[0]!Sheet1.deleteRow">
                <anchor moveWithCells="1" sizeWithCells="1">
                  <from>
                    <xdr:col>6</xdr:col>
                    <xdr:colOff>0</xdr:colOff>
                    <xdr:row>2014</xdr:row>
                    <xdr:rowOff>0</xdr:rowOff>
                  </from>
                  <to>
                    <xdr:col>7</xdr:col>
                    <xdr:colOff>0</xdr:colOff>
                    <xdr:row>2014</xdr:row>
                    <xdr:rowOff>165100</xdr:rowOff>
                  </to>
                </anchor>
              </controlPr>
            </control>
          </mc:Choice>
        </mc:AlternateContent>
        <mc:AlternateContent xmlns:mc="http://schemas.openxmlformats.org/markup-compatibility/2006">
          <mc:Choice Requires="x14">
            <control shapeId="13507" r:id="rId1158" name="Button 2243">
              <controlPr defaultSize="0" autoFill="0" autoLine="0" autoPict="0" macro="[0]!Sheet1.deleteRow">
                <anchor moveWithCells="1" sizeWithCells="1">
                  <from>
                    <xdr:col>6</xdr:col>
                    <xdr:colOff>0</xdr:colOff>
                    <xdr:row>2015</xdr:row>
                    <xdr:rowOff>0</xdr:rowOff>
                  </from>
                  <to>
                    <xdr:col>7</xdr:col>
                    <xdr:colOff>0</xdr:colOff>
                    <xdr:row>2015</xdr:row>
                    <xdr:rowOff>165100</xdr:rowOff>
                  </to>
                </anchor>
              </controlPr>
            </control>
          </mc:Choice>
        </mc:AlternateContent>
        <mc:AlternateContent xmlns:mc="http://schemas.openxmlformats.org/markup-compatibility/2006">
          <mc:Choice Requires="x14">
            <control shapeId="13506" r:id="rId1159" name="Button 2242">
              <controlPr defaultSize="0" autoFill="0" autoLine="0" autoPict="0" macro="[0]!Sheet1.deleteRow">
                <anchor moveWithCells="1" sizeWithCells="1">
                  <from>
                    <xdr:col>6</xdr:col>
                    <xdr:colOff>0</xdr:colOff>
                    <xdr:row>2016</xdr:row>
                    <xdr:rowOff>0</xdr:rowOff>
                  </from>
                  <to>
                    <xdr:col>7</xdr:col>
                    <xdr:colOff>0</xdr:colOff>
                    <xdr:row>2016</xdr:row>
                    <xdr:rowOff>165100</xdr:rowOff>
                  </to>
                </anchor>
              </controlPr>
            </control>
          </mc:Choice>
        </mc:AlternateContent>
        <mc:AlternateContent xmlns:mc="http://schemas.openxmlformats.org/markup-compatibility/2006">
          <mc:Choice Requires="x14">
            <control shapeId="13505" r:id="rId1160" name="Button 2241">
              <controlPr defaultSize="0" autoFill="0" autoLine="0" autoPict="0" macro="[0]!Sheet1.deleteRow">
                <anchor moveWithCells="1" sizeWithCells="1">
                  <from>
                    <xdr:col>6</xdr:col>
                    <xdr:colOff>0</xdr:colOff>
                    <xdr:row>2017</xdr:row>
                    <xdr:rowOff>0</xdr:rowOff>
                  </from>
                  <to>
                    <xdr:col>7</xdr:col>
                    <xdr:colOff>0</xdr:colOff>
                    <xdr:row>2017</xdr:row>
                    <xdr:rowOff>165100</xdr:rowOff>
                  </to>
                </anchor>
              </controlPr>
            </control>
          </mc:Choice>
        </mc:AlternateContent>
        <mc:AlternateContent xmlns:mc="http://schemas.openxmlformats.org/markup-compatibility/2006">
          <mc:Choice Requires="x14">
            <control shapeId="13504" r:id="rId1161" name="Button 2240">
              <controlPr defaultSize="0" autoFill="0" autoLine="0" autoPict="0" macro="[0]!Sheet1.deleteRow">
                <anchor moveWithCells="1" sizeWithCells="1">
                  <from>
                    <xdr:col>6</xdr:col>
                    <xdr:colOff>0</xdr:colOff>
                    <xdr:row>2018</xdr:row>
                    <xdr:rowOff>0</xdr:rowOff>
                  </from>
                  <to>
                    <xdr:col>7</xdr:col>
                    <xdr:colOff>0</xdr:colOff>
                    <xdr:row>2018</xdr:row>
                    <xdr:rowOff>165100</xdr:rowOff>
                  </to>
                </anchor>
              </controlPr>
            </control>
          </mc:Choice>
        </mc:AlternateContent>
        <mc:AlternateContent xmlns:mc="http://schemas.openxmlformats.org/markup-compatibility/2006">
          <mc:Choice Requires="x14">
            <control shapeId="13503" r:id="rId1162" name="Button 2239">
              <controlPr defaultSize="0" autoFill="0" autoLine="0" autoPict="0" macro="[0]!Sheet1.deleteRow">
                <anchor moveWithCells="1" sizeWithCells="1">
                  <from>
                    <xdr:col>6</xdr:col>
                    <xdr:colOff>0</xdr:colOff>
                    <xdr:row>2019</xdr:row>
                    <xdr:rowOff>0</xdr:rowOff>
                  </from>
                  <to>
                    <xdr:col>7</xdr:col>
                    <xdr:colOff>0</xdr:colOff>
                    <xdr:row>2019</xdr:row>
                    <xdr:rowOff>165100</xdr:rowOff>
                  </to>
                </anchor>
              </controlPr>
            </control>
          </mc:Choice>
        </mc:AlternateContent>
        <mc:AlternateContent xmlns:mc="http://schemas.openxmlformats.org/markup-compatibility/2006">
          <mc:Choice Requires="x14">
            <control shapeId="13502" r:id="rId1163" name="Button 2238">
              <controlPr defaultSize="0" autoFill="0" autoLine="0" autoPict="0" macro="[0]!Sheet1.deleteRow">
                <anchor moveWithCells="1" sizeWithCells="1">
                  <from>
                    <xdr:col>6</xdr:col>
                    <xdr:colOff>0</xdr:colOff>
                    <xdr:row>2020</xdr:row>
                    <xdr:rowOff>0</xdr:rowOff>
                  </from>
                  <to>
                    <xdr:col>7</xdr:col>
                    <xdr:colOff>0</xdr:colOff>
                    <xdr:row>2020</xdr:row>
                    <xdr:rowOff>165100</xdr:rowOff>
                  </to>
                </anchor>
              </controlPr>
            </control>
          </mc:Choice>
        </mc:AlternateContent>
        <mc:AlternateContent xmlns:mc="http://schemas.openxmlformats.org/markup-compatibility/2006">
          <mc:Choice Requires="x14">
            <control shapeId="13501" r:id="rId1164" name="Button 2237">
              <controlPr defaultSize="0" autoFill="0" autoLine="0" autoPict="0" macro="[0]!Sheet1.deleteRow">
                <anchor moveWithCells="1" sizeWithCells="1">
                  <from>
                    <xdr:col>6</xdr:col>
                    <xdr:colOff>0</xdr:colOff>
                    <xdr:row>2021</xdr:row>
                    <xdr:rowOff>0</xdr:rowOff>
                  </from>
                  <to>
                    <xdr:col>7</xdr:col>
                    <xdr:colOff>0</xdr:colOff>
                    <xdr:row>2021</xdr:row>
                    <xdr:rowOff>165100</xdr:rowOff>
                  </to>
                </anchor>
              </controlPr>
            </control>
          </mc:Choice>
        </mc:AlternateContent>
        <mc:AlternateContent xmlns:mc="http://schemas.openxmlformats.org/markup-compatibility/2006">
          <mc:Choice Requires="x14">
            <control shapeId="13500" r:id="rId1165" name="Button 2236">
              <controlPr defaultSize="0" autoFill="0" autoLine="0" autoPict="0" macro="[0]!Sheet1.deleteRow">
                <anchor moveWithCells="1" sizeWithCells="1">
                  <from>
                    <xdr:col>6</xdr:col>
                    <xdr:colOff>0</xdr:colOff>
                    <xdr:row>2022</xdr:row>
                    <xdr:rowOff>0</xdr:rowOff>
                  </from>
                  <to>
                    <xdr:col>7</xdr:col>
                    <xdr:colOff>0</xdr:colOff>
                    <xdr:row>2022</xdr:row>
                    <xdr:rowOff>165100</xdr:rowOff>
                  </to>
                </anchor>
              </controlPr>
            </control>
          </mc:Choice>
        </mc:AlternateContent>
        <mc:AlternateContent xmlns:mc="http://schemas.openxmlformats.org/markup-compatibility/2006">
          <mc:Choice Requires="x14">
            <control shapeId="13499" r:id="rId1166" name="Button 2235">
              <controlPr defaultSize="0" autoFill="0" autoLine="0" autoPict="0" macro="[0]!Sheet1.deleteRow">
                <anchor moveWithCells="1" sizeWithCells="1">
                  <from>
                    <xdr:col>6</xdr:col>
                    <xdr:colOff>0</xdr:colOff>
                    <xdr:row>2023</xdr:row>
                    <xdr:rowOff>0</xdr:rowOff>
                  </from>
                  <to>
                    <xdr:col>7</xdr:col>
                    <xdr:colOff>0</xdr:colOff>
                    <xdr:row>2023</xdr:row>
                    <xdr:rowOff>165100</xdr:rowOff>
                  </to>
                </anchor>
              </controlPr>
            </control>
          </mc:Choice>
        </mc:AlternateContent>
        <mc:AlternateContent xmlns:mc="http://schemas.openxmlformats.org/markup-compatibility/2006">
          <mc:Choice Requires="x14">
            <control shapeId="13498" r:id="rId1167" name="Button 2234">
              <controlPr defaultSize="0" autoFill="0" autoLine="0" autoPict="0" macro="[0]!Sheet1.deleteRow">
                <anchor moveWithCells="1" sizeWithCells="1">
                  <from>
                    <xdr:col>6</xdr:col>
                    <xdr:colOff>0</xdr:colOff>
                    <xdr:row>2024</xdr:row>
                    <xdr:rowOff>0</xdr:rowOff>
                  </from>
                  <to>
                    <xdr:col>7</xdr:col>
                    <xdr:colOff>0</xdr:colOff>
                    <xdr:row>2024</xdr:row>
                    <xdr:rowOff>165100</xdr:rowOff>
                  </to>
                </anchor>
              </controlPr>
            </control>
          </mc:Choice>
        </mc:AlternateContent>
        <mc:AlternateContent xmlns:mc="http://schemas.openxmlformats.org/markup-compatibility/2006">
          <mc:Choice Requires="x14">
            <control shapeId="13497" r:id="rId1168" name="Button 2233">
              <controlPr defaultSize="0" autoFill="0" autoLine="0" autoPict="0" macro="[0]!Sheet1.deleteRow">
                <anchor moveWithCells="1" sizeWithCells="1">
                  <from>
                    <xdr:col>6</xdr:col>
                    <xdr:colOff>0</xdr:colOff>
                    <xdr:row>2025</xdr:row>
                    <xdr:rowOff>0</xdr:rowOff>
                  </from>
                  <to>
                    <xdr:col>7</xdr:col>
                    <xdr:colOff>0</xdr:colOff>
                    <xdr:row>2025</xdr:row>
                    <xdr:rowOff>165100</xdr:rowOff>
                  </to>
                </anchor>
              </controlPr>
            </control>
          </mc:Choice>
        </mc:AlternateContent>
        <mc:AlternateContent xmlns:mc="http://schemas.openxmlformats.org/markup-compatibility/2006">
          <mc:Choice Requires="x14">
            <control shapeId="13496" r:id="rId1169" name="Button 2232">
              <controlPr defaultSize="0" autoFill="0" autoLine="0" autoPict="0" macro="[0]!Sheet1.deleteRow">
                <anchor moveWithCells="1" sizeWithCells="1">
                  <from>
                    <xdr:col>6</xdr:col>
                    <xdr:colOff>0</xdr:colOff>
                    <xdr:row>2026</xdr:row>
                    <xdr:rowOff>0</xdr:rowOff>
                  </from>
                  <to>
                    <xdr:col>7</xdr:col>
                    <xdr:colOff>0</xdr:colOff>
                    <xdr:row>2026</xdr:row>
                    <xdr:rowOff>165100</xdr:rowOff>
                  </to>
                </anchor>
              </controlPr>
            </control>
          </mc:Choice>
        </mc:AlternateContent>
        <mc:AlternateContent xmlns:mc="http://schemas.openxmlformats.org/markup-compatibility/2006">
          <mc:Choice Requires="x14">
            <control shapeId="13495" r:id="rId1170" name="Button 2231">
              <controlPr defaultSize="0" autoFill="0" autoLine="0" autoPict="0" macro="[0]!Sheet1.deleteRow">
                <anchor moveWithCells="1" sizeWithCells="1">
                  <from>
                    <xdr:col>6</xdr:col>
                    <xdr:colOff>0</xdr:colOff>
                    <xdr:row>2027</xdr:row>
                    <xdr:rowOff>0</xdr:rowOff>
                  </from>
                  <to>
                    <xdr:col>7</xdr:col>
                    <xdr:colOff>0</xdr:colOff>
                    <xdr:row>2027</xdr:row>
                    <xdr:rowOff>165100</xdr:rowOff>
                  </to>
                </anchor>
              </controlPr>
            </control>
          </mc:Choice>
        </mc:AlternateContent>
        <mc:AlternateContent xmlns:mc="http://schemas.openxmlformats.org/markup-compatibility/2006">
          <mc:Choice Requires="x14">
            <control shapeId="13494" r:id="rId1171" name="Button 2230">
              <controlPr defaultSize="0" autoFill="0" autoLine="0" autoPict="0" macro="[0]!Sheet1.deleteRow">
                <anchor moveWithCells="1" sizeWithCells="1">
                  <from>
                    <xdr:col>6</xdr:col>
                    <xdr:colOff>0</xdr:colOff>
                    <xdr:row>2028</xdr:row>
                    <xdr:rowOff>0</xdr:rowOff>
                  </from>
                  <to>
                    <xdr:col>7</xdr:col>
                    <xdr:colOff>0</xdr:colOff>
                    <xdr:row>2028</xdr:row>
                    <xdr:rowOff>165100</xdr:rowOff>
                  </to>
                </anchor>
              </controlPr>
            </control>
          </mc:Choice>
        </mc:AlternateContent>
        <mc:AlternateContent xmlns:mc="http://schemas.openxmlformats.org/markup-compatibility/2006">
          <mc:Choice Requires="x14">
            <control shapeId="13493" r:id="rId1172" name="Button 2229">
              <controlPr defaultSize="0" autoFill="0" autoLine="0" autoPict="0" macro="[0]!Sheet1.deleteRow">
                <anchor moveWithCells="1" sizeWithCells="1">
                  <from>
                    <xdr:col>6</xdr:col>
                    <xdr:colOff>0</xdr:colOff>
                    <xdr:row>2029</xdr:row>
                    <xdr:rowOff>0</xdr:rowOff>
                  </from>
                  <to>
                    <xdr:col>7</xdr:col>
                    <xdr:colOff>0</xdr:colOff>
                    <xdr:row>2029</xdr:row>
                    <xdr:rowOff>165100</xdr:rowOff>
                  </to>
                </anchor>
              </controlPr>
            </control>
          </mc:Choice>
        </mc:AlternateContent>
        <mc:AlternateContent xmlns:mc="http://schemas.openxmlformats.org/markup-compatibility/2006">
          <mc:Choice Requires="x14">
            <control shapeId="13492" r:id="rId1173" name="Button 2228">
              <controlPr defaultSize="0" autoFill="0" autoLine="0" autoPict="0" macro="[0]!Sheet1.deleteRow">
                <anchor moveWithCells="1" sizeWithCells="1">
                  <from>
                    <xdr:col>6</xdr:col>
                    <xdr:colOff>0</xdr:colOff>
                    <xdr:row>2030</xdr:row>
                    <xdr:rowOff>0</xdr:rowOff>
                  </from>
                  <to>
                    <xdr:col>7</xdr:col>
                    <xdr:colOff>0</xdr:colOff>
                    <xdr:row>2030</xdr:row>
                    <xdr:rowOff>165100</xdr:rowOff>
                  </to>
                </anchor>
              </controlPr>
            </control>
          </mc:Choice>
        </mc:AlternateContent>
        <mc:AlternateContent xmlns:mc="http://schemas.openxmlformats.org/markup-compatibility/2006">
          <mc:Choice Requires="x14">
            <control shapeId="13491" r:id="rId1174" name="Button 2227">
              <controlPr defaultSize="0" autoFill="0" autoLine="0" autoPict="0" macro="[0]!Sheet1.deleteRow">
                <anchor moveWithCells="1" sizeWithCells="1">
                  <from>
                    <xdr:col>6</xdr:col>
                    <xdr:colOff>0</xdr:colOff>
                    <xdr:row>2031</xdr:row>
                    <xdr:rowOff>0</xdr:rowOff>
                  </from>
                  <to>
                    <xdr:col>7</xdr:col>
                    <xdr:colOff>0</xdr:colOff>
                    <xdr:row>2031</xdr:row>
                    <xdr:rowOff>165100</xdr:rowOff>
                  </to>
                </anchor>
              </controlPr>
            </control>
          </mc:Choice>
        </mc:AlternateContent>
        <mc:AlternateContent xmlns:mc="http://schemas.openxmlformats.org/markup-compatibility/2006">
          <mc:Choice Requires="x14">
            <control shapeId="13490" r:id="rId1175" name="Button 2226">
              <controlPr defaultSize="0" autoFill="0" autoLine="0" autoPict="0" macro="[0]!Sheet1.deleteRow">
                <anchor moveWithCells="1" sizeWithCells="1">
                  <from>
                    <xdr:col>6</xdr:col>
                    <xdr:colOff>0</xdr:colOff>
                    <xdr:row>2032</xdr:row>
                    <xdr:rowOff>0</xdr:rowOff>
                  </from>
                  <to>
                    <xdr:col>7</xdr:col>
                    <xdr:colOff>0</xdr:colOff>
                    <xdr:row>2032</xdr:row>
                    <xdr:rowOff>165100</xdr:rowOff>
                  </to>
                </anchor>
              </controlPr>
            </control>
          </mc:Choice>
        </mc:AlternateContent>
        <mc:AlternateContent xmlns:mc="http://schemas.openxmlformats.org/markup-compatibility/2006">
          <mc:Choice Requires="x14">
            <control shapeId="13489" r:id="rId1176" name="Button 2225">
              <controlPr defaultSize="0" autoFill="0" autoLine="0" autoPict="0" macro="[0]!Sheet1.deleteRow">
                <anchor moveWithCells="1" sizeWithCells="1">
                  <from>
                    <xdr:col>6</xdr:col>
                    <xdr:colOff>0</xdr:colOff>
                    <xdr:row>2033</xdr:row>
                    <xdr:rowOff>0</xdr:rowOff>
                  </from>
                  <to>
                    <xdr:col>7</xdr:col>
                    <xdr:colOff>0</xdr:colOff>
                    <xdr:row>2033</xdr:row>
                    <xdr:rowOff>165100</xdr:rowOff>
                  </to>
                </anchor>
              </controlPr>
            </control>
          </mc:Choice>
        </mc:AlternateContent>
        <mc:AlternateContent xmlns:mc="http://schemas.openxmlformats.org/markup-compatibility/2006">
          <mc:Choice Requires="x14">
            <control shapeId="13488" r:id="rId1177" name="Button 2224">
              <controlPr defaultSize="0" autoFill="0" autoLine="0" autoPict="0" macro="[0]!Sheet1.deleteRow">
                <anchor moveWithCells="1" sizeWithCells="1">
                  <from>
                    <xdr:col>6</xdr:col>
                    <xdr:colOff>0</xdr:colOff>
                    <xdr:row>2034</xdr:row>
                    <xdr:rowOff>0</xdr:rowOff>
                  </from>
                  <to>
                    <xdr:col>7</xdr:col>
                    <xdr:colOff>0</xdr:colOff>
                    <xdr:row>2034</xdr:row>
                    <xdr:rowOff>165100</xdr:rowOff>
                  </to>
                </anchor>
              </controlPr>
            </control>
          </mc:Choice>
        </mc:AlternateContent>
        <mc:AlternateContent xmlns:mc="http://schemas.openxmlformats.org/markup-compatibility/2006">
          <mc:Choice Requires="x14">
            <control shapeId="13487" r:id="rId1178" name="Button 2223">
              <controlPr defaultSize="0" autoFill="0" autoLine="0" autoPict="0" macro="[0]!Sheet1.deleteProcedure">
                <anchor moveWithCells="1" sizeWithCells="1">
                  <from>
                    <xdr:col>6</xdr:col>
                    <xdr:colOff>0</xdr:colOff>
                    <xdr:row>2037</xdr:row>
                    <xdr:rowOff>0</xdr:rowOff>
                  </from>
                  <to>
                    <xdr:col>7</xdr:col>
                    <xdr:colOff>0</xdr:colOff>
                    <xdr:row>2038</xdr:row>
                    <xdr:rowOff>0</xdr:rowOff>
                  </to>
                </anchor>
              </controlPr>
            </control>
          </mc:Choice>
        </mc:AlternateContent>
        <mc:AlternateContent xmlns:mc="http://schemas.openxmlformats.org/markup-compatibility/2006">
          <mc:Choice Requires="x14">
            <control shapeId="13486" r:id="rId1179" name="Button 2222">
              <controlPr defaultSize="0" autoFill="0" autoLine="0" autoPict="0" macro="[0]!Sheet1.InsertNewTableRow">
                <anchor moveWithCells="1" sizeWithCells="1">
                  <from>
                    <xdr:col>6</xdr:col>
                    <xdr:colOff>0</xdr:colOff>
                    <xdr:row>2044</xdr:row>
                    <xdr:rowOff>0</xdr:rowOff>
                  </from>
                  <to>
                    <xdr:col>7</xdr:col>
                    <xdr:colOff>0</xdr:colOff>
                    <xdr:row>2044</xdr:row>
                    <xdr:rowOff>171450</xdr:rowOff>
                  </to>
                </anchor>
              </controlPr>
            </control>
          </mc:Choice>
        </mc:AlternateContent>
        <mc:AlternateContent xmlns:mc="http://schemas.openxmlformats.org/markup-compatibility/2006">
          <mc:Choice Requires="x14">
            <control shapeId="13485" r:id="rId1180" name="Button 2221">
              <controlPr defaultSize="0" autoFill="0" autoLine="0" autoPict="0" macro="[0]!Sheet1.deleteRow">
                <anchor moveWithCells="1" sizeWithCells="1">
                  <from>
                    <xdr:col>6</xdr:col>
                    <xdr:colOff>0</xdr:colOff>
                    <xdr:row>2045</xdr:row>
                    <xdr:rowOff>0</xdr:rowOff>
                  </from>
                  <to>
                    <xdr:col>7</xdr:col>
                    <xdr:colOff>0</xdr:colOff>
                    <xdr:row>2045</xdr:row>
                    <xdr:rowOff>165100</xdr:rowOff>
                  </to>
                </anchor>
              </controlPr>
            </control>
          </mc:Choice>
        </mc:AlternateContent>
        <mc:AlternateContent xmlns:mc="http://schemas.openxmlformats.org/markup-compatibility/2006">
          <mc:Choice Requires="x14">
            <control shapeId="13484" r:id="rId1181" name="Button 2220">
              <controlPr defaultSize="0" autoFill="0" autoLine="0" autoPict="0" macro="[0]!Sheet1.deleteRow">
                <anchor moveWithCells="1" sizeWithCells="1">
                  <from>
                    <xdr:col>6</xdr:col>
                    <xdr:colOff>0</xdr:colOff>
                    <xdr:row>2046</xdr:row>
                    <xdr:rowOff>0</xdr:rowOff>
                  </from>
                  <to>
                    <xdr:col>7</xdr:col>
                    <xdr:colOff>0</xdr:colOff>
                    <xdr:row>2046</xdr:row>
                    <xdr:rowOff>165100</xdr:rowOff>
                  </to>
                </anchor>
              </controlPr>
            </control>
          </mc:Choice>
        </mc:AlternateContent>
        <mc:AlternateContent xmlns:mc="http://schemas.openxmlformats.org/markup-compatibility/2006">
          <mc:Choice Requires="x14">
            <control shapeId="13483" r:id="rId1182" name="Button 2219">
              <controlPr defaultSize="0" autoFill="0" autoLine="0" autoPict="0" macro="[0]!Sheet1.deleteRow">
                <anchor moveWithCells="1" sizeWithCells="1">
                  <from>
                    <xdr:col>6</xdr:col>
                    <xdr:colOff>0</xdr:colOff>
                    <xdr:row>2047</xdr:row>
                    <xdr:rowOff>0</xdr:rowOff>
                  </from>
                  <to>
                    <xdr:col>7</xdr:col>
                    <xdr:colOff>0</xdr:colOff>
                    <xdr:row>2047</xdr:row>
                    <xdr:rowOff>165100</xdr:rowOff>
                  </to>
                </anchor>
              </controlPr>
            </control>
          </mc:Choice>
        </mc:AlternateContent>
        <mc:AlternateContent xmlns:mc="http://schemas.openxmlformats.org/markup-compatibility/2006">
          <mc:Choice Requires="x14">
            <control shapeId="13482" r:id="rId1183" name="Button 2218">
              <controlPr defaultSize="0" autoFill="0" autoLine="0" autoPict="0" macro="[0]!Sheet1.deleteRow">
                <anchor moveWithCells="1" sizeWithCells="1">
                  <from>
                    <xdr:col>6</xdr:col>
                    <xdr:colOff>0</xdr:colOff>
                    <xdr:row>2048</xdr:row>
                    <xdr:rowOff>0</xdr:rowOff>
                  </from>
                  <to>
                    <xdr:col>7</xdr:col>
                    <xdr:colOff>0</xdr:colOff>
                    <xdr:row>2048</xdr:row>
                    <xdr:rowOff>165100</xdr:rowOff>
                  </to>
                </anchor>
              </controlPr>
            </control>
          </mc:Choice>
        </mc:AlternateContent>
        <mc:AlternateContent xmlns:mc="http://schemas.openxmlformats.org/markup-compatibility/2006">
          <mc:Choice Requires="x14">
            <control shapeId="13481" r:id="rId1184" name="Button 2217">
              <controlPr defaultSize="0" autoFill="0" autoLine="0" autoPict="0" macro="[0]!Sheet1.deleteRow">
                <anchor moveWithCells="1" sizeWithCells="1">
                  <from>
                    <xdr:col>6</xdr:col>
                    <xdr:colOff>0</xdr:colOff>
                    <xdr:row>2049</xdr:row>
                    <xdr:rowOff>0</xdr:rowOff>
                  </from>
                  <to>
                    <xdr:col>7</xdr:col>
                    <xdr:colOff>0</xdr:colOff>
                    <xdr:row>2049</xdr:row>
                    <xdr:rowOff>165100</xdr:rowOff>
                  </to>
                </anchor>
              </controlPr>
            </control>
          </mc:Choice>
        </mc:AlternateContent>
        <mc:AlternateContent xmlns:mc="http://schemas.openxmlformats.org/markup-compatibility/2006">
          <mc:Choice Requires="x14">
            <control shapeId="13480" r:id="rId1185" name="Button 2216">
              <controlPr defaultSize="0" autoFill="0" autoLine="0" autoPict="0" macro="[0]!Sheet1.deleteRow">
                <anchor moveWithCells="1" sizeWithCells="1">
                  <from>
                    <xdr:col>6</xdr:col>
                    <xdr:colOff>0</xdr:colOff>
                    <xdr:row>2050</xdr:row>
                    <xdr:rowOff>0</xdr:rowOff>
                  </from>
                  <to>
                    <xdr:col>7</xdr:col>
                    <xdr:colOff>0</xdr:colOff>
                    <xdr:row>2050</xdr:row>
                    <xdr:rowOff>165100</xdr:rowOff>
                  </to>
                </anchor>
              </controlPr>
            </control>
          </mc:Choice>
        </mc:AlternateContent>
        <mc:AlternateContent xmlns:mc="http://schemas.openxmlformats.org/markup-compatibility/2006">
          <mc:Choice Requires="x14">
            <control shapeId="13479" r:id="rId1186" name="Button 2215">
              <controlPr defaultSize="0" autoFill="0" autoLine="0" autoPict="0" macro="[0]!Sheet1.deleteProcedure">
                <anchor moveWithCells="1" sizeWithCells="1">
                  <from>
                    <xdr:col>6</xdr:col>
                    <xdr:colOff>0</xdr:colOff>
                    <xdr:row>2053</xdr:row>
                    <xdr:rowOff>0</xdr:rowOff>
                  </from>
                  <to>
                    <xdr:col>7</xdr:col>
                    <xdr:colOff>0</xdr:colOff>
                    <xdr:row>2054</xdr:row>
                    <xdr:rowOff>0</xdr:rowOff>
                  </to>
                </anchor>
              </controlPr>
            </control>
          </mc:Choice>
        </mc:AlternateContent>
        <mc:AlternateContent xmlns:mc="http://schemas.openxmlformats.org/markup-compatibility/2006">
          <mc:Choice Requires="x14">
            <control shapeId="13478" r:id="rId1187" name="Button 2214">
              <controlPr defaultSize="0" autoFill="0" autoLine="0" autoPict="0" macro="[0]!Sheet1.InsertNewTableRow">
                <anchor moveWithCells="1" sizeWithCells="1">
                  <from>
                    <xdr:col>6</xdr:col>
                    <xdr:colOff>0</xdr:colOff>
                    <xdr:row>2060</xdr:row>
                    <xdr:rowOff>0</xdr:rowOff>
                  </from>
                  <to>
                    <xdr:col>7</xdr:col>
                    <xdr:colOff>0</xdr:colOff>
                    <xdr:row>2060</xdr:row>
                    <xdr:rowOff>171450</xdr:rowOff>
                  </to>
                </anchor>
              </controlPr>
            </control>
          </mc:Choice>
        </mc:AlternateContent>
        <mc:AlternateContent xmlns:mc="http://schemas.openxmlformats.org/markup-compatibility/2006">
          <mc:Choice Requires="x14">
            <control shapeId="13477" r:id="rId1188" name="Button 2213">
              <controlPr defaultSize="0" autoFill="0" autoLine="0" autoPict="0" macro="[0]!Sheet1.deleteRow">
                <anchor moveWithCells="1" sizeWithCells="1">
                  <from>
                    <xdr:col>6</xdr:col>
                    <xdr:colOff>0</xdr:colOff>
                    <xdr:row>2061</xdr:row>
                    <xdr:rowOff>0</xdr:rowOff>
                  </from>
                  <to>
                    <xdr:col>7</xdr:col>
                    <xdr:colOff>0</xdr:colOff>
                    <xdr:row>2061</xdr:row>
                    <xdr:rowOff>165100</xdr:rowOff>
                  </to>
                </anchor>
              </controlPr>
            </control>
          </mc:Choice>
        </mc:AlternateContent>
        <mc:AlternateContent xmlns:mc="http://schemas.openxmlformats.org/markup-compatibility/2006">
          <mc:Choice Requires="x14">
            <control shapeId="13476" r:id="rId1189" name="Button 2212">
              <controlPr defaultSize="0" autoFill="0" autoLine="0" autoPict="0" macro="[0]!Sheet1.deleteRow">
                <anchor moveWithCells="1" sizeWithCells="1">
                  <from>
                    <xdr:col>6</xdr:col>
                    <xdr:colOff>0</xdr:colOff>
                    <xdr:row>2062</xdr:row>
                    <xdr:rowOff>0</xdr:rowOff>
                  </from>
                  <to>
                    <xdr:col>7</xdr:col>
                    <xdr:colOff>0</xdr:colOff>
                    <xdr:row>2062</xdr:row>
                    <xdr:rowOff>165100</xdr:rowOff>
                  </to>
                </anchor>
              </controlPr>
            </control>
          </mc:Choice>
        </mc:AlternateContent>
        <mc:AlternateContent xmlns:mc="http://schemas.openxmlformats.org/markup-compatibility/2006">
          <mc:Choice Requires="x14">
            <control shapeId="13475" r:id="rId1190" name="Button 2211">
              <controlPr defaultSize="0" autoFill="0" autoLine="0" autoPict="0" macro="[0]!Sheet1.deleteProcedure">
                <anchor moveWithCells="1" sizeWithCells="1">
                  <from>
                    <xdr:col>6</xdr:col>
                    <xdr:colOff>0</xdr:colOff>
                    <xdr:row>2065</xdr:row>
                    <xdr:rowOff>0</xdr:rowOff>
                  </from>
                  <to>
                    <xdr:col>7</xdr:col>
                    <xdr:colOff>0</xdr:colOff>
                    <xdr:row>2066</xdr:row>
                    <xdr:rowOff>0</xdr:rowOff>
                  </to>
                </anchor>
              </controlPr>
            </control>
          </mc:Choice>
        </mc:AlternateContent>
        <mc:AlternateContent xmlns:mc="http://schemas.openxmlformats.org/markup-compatibility/2006">
          <mc:Choice Requires="x14">
            <control shapeId="13474" r:id="rId1191" name="Button 2210">
              <controlPr defaultSize="0" autoFill="0" autoLine="0" autoPict="0" macro="[0]!Sheet1.InsertNewTableRow">
                <anchor moveWithCells="1" sizeWithCells="1">
                  <from>
                    <xdr:col>6</xdr:col>
                    <xdr:colOff>0</xdr:colOff>
                    <xdr:row>2072</xdr:row>
                    <xdr:rowOff>0</xdr:rowOff>
                  </from>
                  <to>
                    <xdr:col>7</xdr:col>
                    <xdr:colOff>0</xdr:colOff>
                    <xdr:row>2072</xdr:row>
                    <xdr:rowOff>171450</xdr:rowOff>
                  </to>
                </anchor>
              </controlPr>
            </control>
          </mc:Choice>
        </mc:AlternateContent>
        <mc:AlternateContent xmlns:mc="http://schemas.openxmlformats.org/markup-compatibility/2006">
          <mc:Choice Requires="x14">
            <control shapeId="13473" r:id="rId1192" name="Button 2209">
              <controlPr defaultSize="0" autoFill="0" autoLine="0" autoPict="0" macro="[0]!Sheet1.deleteRow">
                <anchor moveWithCells="1" sizeWithCells="1">
                  <from>
                    <xdr:col>6</xdr:col>
                    <xdr:colOff>0</xdr:colOff>
                    <xdr:row>2073</xdr:row>
                    <xdr:rowOff>0</xdr:rowOff>
                  </from>
                  <to>
                    <xdr:col>7</xdr:col>
                    <xdr:colOff>0</xdr:colOff>
                    <xdr:row>2073</xdr:row>
                    <xdr:rowOff>165100</xdr:rowOff>
                  </to>
                </anchor>
              </controlPr>
            </control>
          </mc:Choice>
        </mc:AlternateContent>
        <mc:AlternateContent xmlns:mc="http://schemas.openxmlformats.org/markup-compatibility/2006">
          <mc:Choice Requires="x14">
            <control shapeId="13472" r:id="rId1193" name="Button 2208">
              <controlPr defaultSize="0" autoFill="0" autoLine="0" autoPict="0" macro="[0]!Sheet1.deleteRow">
                <anchor moveWithCells="1" sizeWithCells="1">
                  <from>
                    <xdr:col>6</xdr:col>
                    <xdr:colOff>0</xdr:colOff>
                    <xdr:row>2074</xdr:row>
                    <xdr:rowOff>0</xdr:rowOff>
                  </from>
                  <to>
                    <xdr:col>7</xdr:col>
                    <xdr:colOff>0</xdr:colOff>
                    <xdr:row>2074</xdr:row>
                    <xdr:rowOff>165100</xdr:rowOff>
                  </to>
                </anchor>
              </controlPr>
            </control>
          </mc:Choice>
        </mc:AlternateContent>
        <mc:AlternateContent xmlns:mc="http://schemas.openxmlformats.org/markup-compatibility/2006">
          <mc:Choice Requires="x14">
            <control shapeId="13471" r:id="rId1194" name="Button 2207">
              <controlPr defaultSize="0" autoFill="0" autoLine="0" autoPict="0" macro="[0]!Sheet1.deleteRow">
                <anchor moveWithCells="1" sizeWithCells="1">
                  <from>
                    <xdr:col>6</xdr:col>
                    <xdr:colOff>0</xdr:colOff>
                    <xdr:row>2075</xdr:row>
                    <xdr:rowOff>0</xdr:rowOff>
                  </from>
                  <to>
                    <xdr:col>7</xdr:col>
                    <xdr:colOff>0</xdr:colOff>
                    <xdr:row>2075</xdr:row>
                    <xdr:rowOff>165100</xdr:rowOff>
                  </to>
                </anchor>
              </controlPr>
            </control>
          </mc:Choice>
        </mc:AlternateContent>
        <mc:AlternateContent xmlns:mc="http://schemas.openxmlformats.org/markup-compatibility/2006">
          <mc:Choice Requires="x14">
            <control shapeId="13470" r:id="rId1195" name="Button 2206">
              <controlPr defaultSize="0" autoFill="0" autoLine="0" autoPict="0" macro="[0]!Sheet1.deleteRow">
                <anchor moveWithCells="1" sizeWithCells="1">
                  <from>
                    <xdr:col>6</xdr:col>
                    <xdr:colOff>0</xdr:colOff>
                    <xdr:row>2076</xdr:row>
                    <xdr:rowOff>0</xdr:rowOff>
                  </from>
                  <to>
                    <xdr:col>7</xdr:col>
                    <xdr:colOff>0</xdr:colOff>
                    <xdr:row>2076</xdr:row>
                    <xdr:rowOff>165100</xdr:rowOff>
                  </to>
                </anchor>
              </controlPr>
            </control>
          </mc:Choice>
        </mc:AlternateContent>
        <mc:AlternateContent xmlns:mc="http://schemas.openxmlformats.org/markup-compatibility/2006">
          <mc:Choice Requires="x14">
            <control shapeId="13469" r:id="rId1196" name="Button 2205">
              <controlPr defaultSize="0" autoFill="0" autoLine="0" autoPict="0" macro="[0]!Sheet1.deleteProcedure">
                <anchor moveWithCells="1" sizeWithCells="1">
                  <from>
                    <xdr:col>6</xdr:col>
                    <xdr:colOff>0</xdr:colOff>
                    <xdr:row>2079</xdr:row>
                    <xdr:rowOff>0</xdr:rowOff>
                  </from>
                  <to>
                    <xdr:col>7</xdr:col>
                    <xdr:colOff>0</xdr:colOff>
                    <xdr:row>2080</xdr:row>
                    <xdr:rowOff>0</xdr:rowOff>
                  </to>
                </anchor>
              </controlPr>
            </control>
          </mc:Choice>
        </mc:AlternateContent>
        <mc:AlternateContent xmlns:mc="http://schemas.openxmlformats.org/markup-compatibility/2006">
          <mc:Choice Requires="x14">
            <control shapeId="13468" r:id="rId1197" name="Button 2204">
              <controlPr defaultSize="0" autoFill="0" autoLine="0" autoPict="0" macro="[0]!Sheet1.InsertNewTableRow">
                <anchor moveWithCells="1" sizeWithCells="1">
                  <from>
                    <xdr:col>6</xdr:col>
                    <xdr:colOff>0</xdr:colOff>
                    <xdr:row>2086</xdr:row>
                    <xdr:rowOff>0</xdr:rowOff>
                  </from>
                  <to>
                    <xdr:col>7</xdr:col>
                    <xdr:colOff>0</xdr:colOff>
                    <xdr:row>2086</xdr:row>
                    <xdr:rowOff>171450</xdr:rowOff>
                  </to>
                </anchor>
              </controlPr>
            </control>
          </mc:Choice>
        </mc:AlternateContent>
        <mc:AlternateContent xmlns:mc="http://schemas.openxmlformats.org/markup-compatibility/2006">
          <mc:Choice Requires="x14">
            <control shapeId="13467" r:id="rId1198" name="Button 2203">
              <controlPr defaultSize="0" autoFill="0" autoLine="0" autoPict="0" macro="[0]!Sheet1.deleteRow">
                <anchor moveWithCells="1" sizeWithCells="1">
                  <from>
                    <xdr:col>6</xdr:col>
                    <xdr:colOff>0</xdr:colOff>
                    <xdr:row>2087</xdr:row>
                    <xdr:rowOff>0</xdr:rowOff>
                  </from>
                  <to>
                    <xdr:col>7</xdr:col>
                    <xdr:colOff>0</xdr:colOff>
                    <xdr:row>2087</xdr:row>
                    <xdr:rowOff>165100</xdr:rowOff>
                  </to>
                </anchor>
              </controlPr>
            </control>
          </mc:Choice>
        </mc:AlternateContent>
        <mc:AlternateContent xmlns:mc="http://schemas.openxmlformats.org/markup-compatibility/2006">
          <mc:Choice Requires="x14">
            <control shapeId="13466" r:id="rId1199" name="Button 2202">
              <controlPr defaultSize="0" autoFill="0" autoLine="0" autoPict="0" macro="[0]!Sheet1.deleteRow">
                <anchor moveWithCells="1" sizeWithCells="1">
                  <from>
                    <xdr:col>6</xdr:col>
                    <xdr:colOff>0</xdr:colOff>
                    <xdr:row>2088</xdr:row>
                    <xdr:rowOff>0</xdr:rowOff>
                  </from>
                  <to>
                    <xdr:col>7</xdr:col>
                    <xdr:colOff>0</xdr:colOff>
                    <xdr:row>2088</xdr:row>
                    <xdr:rowOff>165100</xdr:rowOff>
                  </to>
                </anchor>
              </controlPr>
            </control>
          </mc:Choice>
        </mc:AlternateContent>
        <mc:AlternateContent xmlns:mc="http://schemas.openxmlformats.org/markup-compatibility/2006">
          <mc:Choice Requires="x14">
            <control shapeId="13465" r:id="rId1200" name="Button 2201">
              <controlPr defaultSize="0" autoFill="0" autoLine="0" autoPict="0" macro="[0]!Sheet1.deleteRow">
                <anchor moveWithCells="1" sizeWithCells="1">
                  <from>
                    <xdr:col>6</xdr:col>
                    <xdr:colOff>0</xdr:colOff>
                    <xdr:row>2089</xdr:row>
                    <xdr:rowOff>0</xdr:rowOff>
                  </from>
                  <to>
                    <xdr:col>7</xdr:col>
                    <xdr:colOff>0</xdr:colOff>
                    <xdr:row>2089</xdr:row>
                    <xdr:rowOff>165100</xdr:rowOff>
                  </to>
                </anchor>
              </controlPr>
            </control>
          </mc:Choice>
        </mc:AlternateContent>
        <mc:AlternateContent xmlns:mc="http://schemas.openxmlformats.org/markup-compatibility/2006">
          <mc:Choice Requires="x14">
            <control shapeId="13464" r:id="rId1201" name="Button 2200">
              <controlPr defaultSize="0" autoFill="0" autoLine="0" autoPict="0" macro="[0]!Sheet1.deleteRow">
                <anchor moveWithCells="1" sizeWithCells="1">
                  <from>
                    <xdr:col>6</xdr:col>
                    <xdr:colOff>0</xdr:colOff>
                    <xdr:row>2090</xdr:row>
                    <xdr:rowOff>0</xdr:rowOff>
                  </from>
                  <to>
                    <xdr:col>7</xdr:col>
                    <xdr:colOff>0</xdr:colOff>
                    <xdr:row>2090</xdr:row>
                    <xdr:rowOff>165100</xdr:rowOff>
                  </to>
                </anchor>
              </controlPr>
            </control>
          </mc:Choice>
        </mc:AlternateContent>
        <mc:AlternateContent xmlns:mc="http://schemas.openxmlformats.org/markup-compatibility/2006">
          <mc:Choice Requires="x14">
            <control shapeId="13463" r:id="rId1202" name="Button 2199">
              <controlPr defaultSize="0" autoFill="0" autoLine="0" autoPict="0" macro="[0]!Sheet1.deleteRow">
                <anchor moveWithCells="1" sizeWithCells="1">
                  <from>
                    <xdr:col>6</xdr:col>
                    <xdr:colOff>0</xdr:colOff>
                    <xdr:row>2091</xdr:row>
                    <xdr:rowOff>0</xdr:rowOff>
                  </from>
                  <to>
                    <xdr:col>7</xdr:col>
                    <xdr:colOff>0</xdr:colOff>
                    <xdr:row>2091</xdr:row>
                    <xdr:rowOff>165100</xdr:rowOff>
                  </to>
                </anchor>
              </controlPr>
            </control>
          </mc:Choice>
        </mc:AlternateContent>
        <mc:AlternateContent xmlns:mc="http://schemas.openxmlformats.org/markup-compatibility/2006">
          <mc:Choice Requires="x14">
            <control shapeId="13462" r:id="rId1203" name="Button 2198">
              <controlPr defaultSize="0" autoFill="0" autoLine="0" autoPict="0" macro="[0]!Sheet1.deleteProcedure">
                <anchor moveWithCells="1" sizeWithCells="1">
                  <from>
                    <xdr:col>6</xdr:col>
                    <xdr:colOff>0</xdr:colOff>
                    <xdr:row>2094</xdr:row>
                    <xdr:rowOff>0</xdr:rowOff>
                  </from>
                  <to>
                    <xdr:col>7</xdr:col>
                    <xdr:colOff>0</xdr:colOff>
                    <xdr:row>2095</xdr:row>
                    <xdr:rowOff>0</xdr:rowOff>
                  </to>
                </anchor>
              </controlPr>
            </control>
          </mc:Choice>
        </mc:AlternateContent>
        <mc:AlternateContent xmlns:mc="http://schemas.openxmlformats.org/markup-compatibility/2006">
          <mc:Choice Requires="x14">
            <control shapeId="13461" r:id="rId1204" name="Button 2197">
              <controlPr defaultSize="0" autoFill="0" autoLine="0" autoPict="0" macro="[0]!Sheet1.InsertNewTableRow">
                <anchor moveWithCells="1" sizeWithCells="1">
                  <from>
                    <xdr:col>6</xdr:col>
                    <xdr:colOff>0</xdr:colOff>
                    <xdr:row>2101</xdr:row>
                    <xdr:rowOff>0</xdr:rowOff>
                  </from>
                  <to>
                    <xdr:col>7</xdr:col>
                    <xdr:colOff>0</xdr:colOff>
                    <xdr:row>2101</xdr:row>
                    <xdr:rowOff>171450</xdr:rowOff>
                  </to>
                </anchor>
              </controlPr>
            </control>
          </mc:Choice>
        </mc:AlternateContent>
        <mc:AlternateContent xmlns:mc="http://schemas.openxmlformats.org/markup-compatibility/2006">
          <mc:Choice Requires="x14">
            <control shapeId="13460" r:id="rId1205" name="Button 2196">
              <controlPr defaultSize="0" autoFill="0" autoLine="0" autoPict="0" macro="[0]!Sheet1.deleteRow">
                <anchor moveWithCells="1" sizeWithCells="1">
                  <from>
                    <xdr:col>6</xdr:col>
                    <xdr:colOff>0</xdr:colOff>
                    <xdr:row>2102</xdr:row>
                    <xdr:rowOff>0</xdr:rowOff>
                  </from>
                  <to>
                    <xdr:col>7</xdr:col>
                    <xdr:colOff>0</xdr:colOff>
                    <xdr:row>2102</xdr:row>
                    <xdr:rowOff>165100</xdr:rowOff>
                  </to>
                </anchor>
              </controlPr>
            </control>
          </mc:Choice>
        </mc:AlternateContent>
        <mc:AlternateContent xmlns:mc="http://schemas.openxmlformats.org/markup-compatibility/2006">
          <mc:Choice Requires="x14">
            <control shapeId="13459" r:id="rId1206" name="Button 2195">
              <controlPr defaultSize="0" autoFill="0" autoLine="0" autoPict="0" macro="[0]!Sheet1.deleteRow">
                <anchor moveWithCells="1" sizeWithCells="1">
                  <from>
                    <xdr:col>6</xdr:col>
                    <xdr:colOff>0</xdr:colOff>
                    <xdr:row>2103</xdr:row>
                    <xdr:rowOff>0</xdr:rowOff>
                  </from>
                  <to>
                    <xdr:col>7</xdr:col>
                    <xdr:colOff>0</xdr:colOff>
                    <xdr:row>2103</xdr:row>
                    <xdr:rowOff>165100</xdr:rowOff>
                  </to>
                </anchor>
              </controlPr>
            </control>
          </mc:Choice>
        </mc:AlternateContent>
        <mc:AlternateContent xmlns:mc="http://schemas.openxmlformats.org/markup-compatibility/2006">
          <mc:Choice Requires="x14">
            <control shapeId="13458" r:id="rId1207" name="Button 2194">
              <controlPr defaultSize="0" autoFill="0" autoLine="0" autoPict="0" macro="[0]!Sheet1.deleteRow">
                <anchor moveWithCells="1" sizeWithCells="1">
                  <from>
                    <xdr:col>6</xdr:col>
                    <xdr:colOff>0</xdr:colOff>
                    <xdr:row>2104</xdr:row>
                    <xdr:rowOff>0</xdr:rowOff>
                  </from>
                  <to>
                    <xdr:col>7</xdr:col>
                    <xdr:colOff>0</xdr:colOff>
                    <xdr:row>2104</xdr:row>
                    <xdr:rowOff>165100</xdr:rowOff>
                  </to>
                </anchor>
              </controlPr>
            </control>
          </mc:Choice>
        </mc:AlternateContent>
        <mc:AlternateContent xmlns:mc="http://schemas.openxmlformats.org/markup-compatibility/2006">
          <mc:Choice Requires="x14">
            <control shapeId="13457" r:id="rId1208" name="Button 2193">
              <controlPr defaultSize="0" autoFill="0" autoLine="0" autoPict="0" macro="[0]!Sheet1.deleteRow">
                <anchor moveWithCells="1" sizeWithCells="1">
                  <from>
                    <xdr:col>6</xdr:col>
                    <xdr:colOff>0</xdr:colOff>
                    <xdr:row>2105</xdr:row>
                    <xdr:rowOff>0</xdr:rowOff>
                  </from>
                  <to>
                    <xdr:col>7</xdr:col>
                    <xdr:colOff>0</xdr:colOff>
                    <xdr:row>2105</xdr:row>
                    <xdr:rowOff>165100</xdr:rowOff>
                  </to>
                </anchor>
              </controlPr>
            </control>
          </mc:Choice>
        </mc:AlternateContent>
        <mc:AlternateContent xmlns:mc="http://schemas.openxmlformats.org/markup-compatibility/2006">
          <mc:Choice Requires="x14">
            <control shapeId="13456" r:id="rId1209" name="Button 2192">
              <controlPr defaultSize="0" autoFill="0" autoLine="0" autoPict="0" macro="[0]!Sheet1.deleteProcedure">
                <anchor moveWithCells="1" sizeWithCells="1">
                  <from>
                    <xdr:col>6</xdr:col>
                    <xdr:colOff>0</xdr:colOff>
                    <xdr:row>2108</xdr:row>
                    <xdr:rowOff>0</xdr:rowOff>
                  </from>
                  <to>
                    <xdr:col>7</xdr:col>
                    <xdr:colOff>0</xdr:colOff>
                    <xdr:row>2109</xdr:row>
                    <xdr:rowOff>0</xdr:rowOff>
                  </to>
                </anchor>
              </controlPr>
            </control>
          </mc:Choice>
        </mc:AlternateContent>
        <mc:AlternateContent xmlns:mc="http://schemas.openxmlformats.org/markup-compatibility/2006">
          <mc:Choice Requires="x14">
            <control shapeId="13455" r:id="rId1210" name="Button 2191">
              <controlPr defaultSize="0" autoFill="0" autoLine="0" autoPict="0" macro="[0]!Sheet1.InsertNewTableRow">
                <anchor moveWithCells="1" sizeWithCells="1">
                  <from>
                    <xdr:col>6</xdr:col>
                    <xdr:colOff>0</xdr:colOff>
                    <xdr:row>2115</xdr:row>
                    <xdr:rowOff>0</xdr:rowOff>
                  </from>
                  <to>
                    <xdr:col>7</xdr:col>
                    <xdr:colOff>0</xdr:colOff>
                    <xdr:row>2115</xdr:row>
                    <xdr:rowOff>171450</xdr:rowOff>
                  </to>
                </anchor>
              </controlPr>
            </control>
          </mc:Choice>
        </mc:AlternateContent>
        <mc:AlternateContent xmlns:mc="http://schemas.openxmlformats.org/markup-compatibility/2006">
          <mc:Choice Requires="x14">
            <control shapeId="13454" r:id="rId1211" name="Button 2190">
              <controlPr defaultSize="0" autoFill="0" autoLine="0" autoPict="0" macro="[0]!Sheet1.deleteRow">
                <anchor moveWithCells="1" sizeWithCells="1">
                  <from>
                    <xdr:col>6</xdr:col>
                    <xdr:colOff>0</xdr:colOff>
                    <xdr:row>2116</xdr:row>
                    <xdr:rowOff>0</xdr:rowOff>
                  </from>
                  <to>
                    <xdr:col>7</xdr:col>
                    <xdr:colOff>0</xdr:colOff>
                    <xdr:row>2116</xdr:row>
                    <xdr:rowOff>165100</xdr:rowOff>
                  </to>
                </anchor>
              </controlPr>
            </control>
          </mc:Choice>
        </mc:AlternateContent>
        <mc:AlternateContent xmlns:mc="http://schemas.openxmlformats.org/markup-compatibility/2006">
          <mc:Choice Requires="x14">
            <control shapeId="13453" r:id="rId1212" name="Button 2189">
              <controlPr defaultSize="0" autoFill="0" autoLine="0" autoPict="0" macro="[0]!Sheet1.deleteRow">
                <anchor moveWithCells="1" sizeWithCells="1">
                  <from>
                    <xdr:col>6</xdr:col>
                    <xdr:colOff>0</xdr:colOff>
                    <xdr:row>2117</xdr:row>
                    <xdr:rowOff>0</xdr:rowOff>
                  </from>
                  <to>
                    <xdr:col>7</xdr:col>
                    <xdr:colOff>0</xdr:colOff>
                    <xdr:row>2117</xdr:row>
                    <xdr:rowOff>165100</xdr:rowOff>
                  </to>
                </anchor>
              </controlPr>
            </control>
          </mc:Choice>
        </mc:AlternateContent>
        <mc:AlternateContent xmlns:mc="http://schemas.openxmlformats.org/markup-compatibility/2006">
          <mc:Choice Requires="x14">
            <control shapeId="13452" r:id="rId1213" name="Button 2188">
              <controlPr defaultSize="0" autoFill="0" autoLine="0" autoPict="0" macro="[0]!Sheet1.deleteRow">
                <anchor moveWithCells="1" sizeWithCells="1">
                  <from>
                    <xdr:col>6</xdr:col>
                    <xdr:colOff>0</xdr:colOff>
                    <xdr:row>2118</xdr:row>
                    <xdr:rowOff>0</xdr:rowOff>
                  </from>
                  <to>
                    <xdr:col>7</xdr:col>
                    <xdr:colOff>0</xdr:colOff>
                    <xdr:row>2118</xdr:row>
                    <xdr:rowOff>165100</xdr:rowOff>
                  </to>
                </anchor>
              </controlPr>
            </control>
          </mc:Choice>
        </mc:AlternateContent>
        <mc:AlternateContent xmlns:mc="http://schemas.openxmlformats.org/markup-compatibility/2006">
          <mc:Choice Requires="x14">
            <control shapeId="13451" r:id="rId1214" name="Button 2187">
              <controlPr defaultSize="0" autoFill="0" autoLine="0" autoPict="0" macro="[0]!Sheet1.deleteRow">
                <anchor moveWithCells="1" sizeWithCells="1">
                  <from>
                    <xdr:col>6</xdr:col>
                    <xdr:colOff>0</xdr:colOff>
                    <xdr:row>2119</xdr:row>
                    <xdr:rowOff>0</xdr:rowOff>
                  </from>
                  <to>
                    <xdr:col>7</xdr:col>
                    <xdr:colOff>0</xdr:colOff>
                    <xdr:row>2119</xdr:row>
                    <xdr:rowOff>165100</xdr:rowOff>
                  </to>
                </anchor>
              </controlPr>
            </control>
          </mc:Choice>
        </mc:AlternateContent>
        <mc:AlternateContent xmlns:mc="http://schemas.openxmlformats.org/markup-compatibility/2006">
          <mc:Choice Requires="x14">
            <control shapeId="13450" r:id="rId1215" name="Button 2186">
              <controlPr defaultSize="0" autoFill="0" autoLine="0" autoPict="0" macro="[0]!Sheet1.deleteProcedure">
                <anchor moveWithCells="1" sizeWithCells="1">
                  <from>
                    <xdr:col>6</xdr:col>
                    <xdr:colOff>0</xdr:colOff>
                    <xdr:row>2122</xdr:row>
                    <xdr:rowOff>0</xdr:rowOff>
                  </from>
                  <to>
                    <xdr:col>7</xdr:col>
                    <xdr:colOff>0</xdr:colOff>
                    <xdr:row>2123</xdr:row>
                    <xdr:rowOff>0</xdr:rowOff>
                  </to>
                </anchor>
              </controlPr>
            </control>
          </mc:Choice>
        </mc:AlternateContent>
        <mc:AlternateContent xmlns:mc="http://schemas.openxmlformats.org/markup-compatibility/2006">
          <mc:Choice Requires="x14">
            <control shapeId="13449" r:id="rId1216" name="Button 2185">
              <controlPr defaultSize="0" autoFill="0" autoLine="0" autoPict="0" macro="[0]!Sheet1.InsertNewTableRow">
                <anchor moveWithCells="1" sizeWithCells="1">
                  <from>
                    <xdr:col>6</xdr:col>
                    <xdr:colOff>0</xdr:colOff>
                    <xdr:row>2129</xdr:row>
                    <xdr:rowOff>0</xdr:rowOff>
                  </from>
                  <to>
                    <xdr:col>7</xdr:col>
                    <xdr:colOff>0</xdr:colOff>
                    <xdr:row>2129</xdr:row>
                    <xdr:rowOff>171450</xdr:rowOff>
                  </to>
                </anchor>
              </controlPr>
            </control>
          </mc:Choice>
        </mc:AlternateContent>
        <mc:AlternateContent xmlns:mc="http://schemas.openxmlformats.org/markup-compatibility/2006">
          <mc:Choice Requires="x14">
            <control shapeId="13448" r:id="rId1217" name="Button 2184">
              <controlPr defaultSize="0" autoFill="0" autoLine="0" autoPict="0" macro="[0]!Sheet1.deleteRow">
                <anchor moveWithCells="1" sizeWithCells="1">
                  <from>
                    <xdr:col>6</xdr:col>
                    <xdr:colOff>0</xdr:colOff>
                    <xdr:row>2130</xdr:row>
                    <xdr:rowOff>0</xdr:rowOff>
                  </from>
                  <to>
                    <xdr:col>7</xdr:col>
                    <xdr:colOff>0</xdr:colOff>
                    <xdr:row>2130</xdr:row>
                    <xdr:rowOff>165100</xdr:rowOff>
                  </to>
                </anchor>
              </controlPr>
            </control>
          </mc:Choice>
        </mc:AlternateContent>
        <mc:AlternateContent xmlns:mc="http://schemas.openxmlformats.org/markup-compatibility/2006">
          <mc:Choice Requires="x14">
            <control shapeId="13447" r:id="rId1218" name="Button 2183">
              <controlPr defaultSize="0" autoFill="0" autoLine="0" autoPict="0" macro="[0]!Sheet1.deleteRow">
                <anchor moveWithCells="1" sizeWithCells="1">
                  <from>
                    <xdr:col>6</xdr:col>
                    <xdr:colOff>0</xdr:colOff>
                    <xdr:row>2131</xdr:row>
                    <xdr:rowOff>0</xdr:rowOff>
                  </from>
                  <to>
                    <xdr:col>7</xdr:col>
                    <xdr:colOff>0</xdr:colOff>
                    <xdr:row>2131</xdr:row>
                    <xdr:rowOff>165100</xdr:rowOff>
                  </to>
                </anchor>
              </controlPr>
            </control>
          </mc:Choice>
        </mc:AlternateContent>
        <mc:AlternateContent xmlns:mc="http://schemas.openxmlformats.org/markup-compatibility/2006">
          <mc:Choice Requires="x14">
            <control shapeId="13446" r:id="rId1219" name="Button 2182">
              <controlPr defaultSize="0" autoFill="0" autoLine="0" autoPict="0" macro="[0]!Sheet1.deleteRow">
                <anchor moveWithCells="1" sizeWithCells="1">
                  <from>
                    <xdr:col>6</xdr:col>
                    <xdr:colOff>0</xdr:colOff>
                    <xdr:row>2132</xdr:row>
                    <xdr:rowOff>0</xdr:rowOff>
                  </from>
                  <to>
                    <xdr:col>7</xdr:col>
                    <xdr:colOff>0</xdr:colOff>
                    <xdr:row>2132</xdr:row>
                    <xdr:rowOff>165100</xdr:rowOff>
                  </to>
                </anchor>
              </controlPr>
            </control>
          </mc:Choice>
        </mc:AlternateContent>
        <mc:AlternateContent xmlns:mc="http://schemas.openxmlformats.org/markup-compatibility/2006">
          <mc:Choice Requires="x14">
            <control shapeId="13445" r:id="rId1220" name="Button 2181">
              <controlPr defaultSize="0" autoFill="0" autoLine="0" autoPict="0" macro="[0]!Sheet1.deleteRow">
                <anchor moveWithCells="1" sizeWithCells="1">
                  <from>
                    <xdr:col>6</xdr:col>
                    <xdr:colOff>0</xdr:colOff>
                    <xdr:row>2133</xdr:row>
                    <xdr:rowOff>0</xdr:rowOff>
                  </from>
                  <to>
                    <xdr:col>7</xdr:col>
                    <xdr:colOff>0</xdr:colOff>
                    <xdr:row>2133</xdr:row>
                    <xdr:rowOff>165100</xdr:rowOff>
                  </to>
                </anchor>
              </controlPr>
            </control>
          </mc:Choice>
        </mc:AlternateContent>
        <mc:AlternateContent xmlns:mc="http://schemas.openxmlformats.org/markup-compatibility/2006">
          <mc:Choice Requires="x14">
            <control shapeId="13444" r:id="rId1221" name="Button 2180">
              <controlPr defaultSize="0" autoFill="0" autoLine="0" autoPict="0" macro="[0]!Sheet1.deleteRow">
                <anchor moveWithCells="1" sizeWithCells="1">
                  <from>
                    <xdr:col>6</xdr:col>
                    <xdr:colOff>0</xdr:colOff>
                    <xdr:row>2134</xdr:row>
                    <xdr:rowOff>0</xdr:rowOff>
                  </from>
                  <to>
                    <xdr:col>7</xdr:col>
                    <xdr:colOff>0</xdr:colOff>
                    <xdr:row>2134</xdr:row>
                    <xdr:rowOff>165100</xdr:rowOff>
                  </to>
                </anchor>
              </controlPr>
            </control>
          </mc:Choice>
        </mc:AlternateContent>
        <mc:AlternateContent xmlns:mc="http://schemas.openxmlformats.org/markup-compatibility/2006">
          <mc:Choice Requires="x14">
            <control shapeId="13443" r:id="rId1222" name="Button 2179">
              <controlPr defaultSize="0" autoFill="0" autoLine="0" autoPict="0" macro="[0]!Sheet1.deleteRow">
                <anchor moveWithCells="1" sizeWithCells="1">
                  <from>
                    <xdr:col>6</xdr:col>
                    <xdr:colOff>0</xdr:colOff>
                    <xdr:row>2135</xdr:row>
                    <xdr:rowOff>0</xdr:rowOff>
                  </from>
                  <to>
                    <xdr:col>7</xdr:col>
                    <xdr:colOff>0</xdr:colOff>
                    <xdr:row>2135</xdr:row>
                    <xdr:rowOff>165100</xdr:rowOff>
                  </to>
                </anchor>
              </controlPr>
            </control>
          </mc:Choice>
        </mc:AlternateContent>
        <mc:AlternateContent xmlns:mc="http://schemas.openxmlformats.org/markup-compatibility/2006">
          <mc:Choice Requires="x14">
            <control shapeId="13442" r:id="rId1223" name="Button 2178">
              <controlPr defaultSize="0" autoFill="0" autoLine="0" autoPict="0" macro="[0]!Sheet1.deleteRow">
                <anchor moveWithCells="1" sizeWithCells="1">
                  <from>
                    <xdr:col>6</xdr:col>
                    <xdr:colOff>0</xdr:colOff>
                    <xdr:row>2136</xdr:row>
                    <xdr:rowOff>0</xdr:rowOff>
                  </from>
                  <to>
                    <xdr:col>7</xdr:col>
                    <xdr:colOff>0</xdr:colOff>
                    <xdr:row>2136</xdr:row>
                    <xdr:rowOff>165100</xdr:rowOff>
                  </to>
                </anchor>
              </controlPr>
            </control>
          </mc:Choice>
        </mc:AlternateContent>
        <mc:AlternateContent xmlns:mc="http://schemas.openxmlformats.org/markup-compatibility/2006">
          <mc:Choice Requires="x14">
            <control shapeId="13441" r:id="rId1224" name="Button 2177">
              <controlPr defaultSize="0" autoFill="0" autoLine="0" autoPict="0" macro="[0]!Sheet1.deleteRow">
                <anchor moveWithCells="1" sizeWithCells="1">
                  <from>
                    <xdr:col>6</xdr:col>
                    <xdr:colOff>0</xdr:colOff>
                    <xdr:row>2137</xdr:row>
                    <xdr:rowOff>0</xdr:rowOff>
                  </from>
                  <to>
                    <xdr:col>7</xdr:col>
                    <xdr:colOff>0</xdr:colOff>
                    <xdr:row>2137</xdr:row>
                    <xdr:rowOff>165100</xdr:rowOff>
                  </to>
                </anchor>
              </controlPr>
            </control>
          </mc:Choice>
        </mc:AlternateContent>
        <mc:AlternateContent xmlns:mc="http://schemas.openxmlformats.org/markup-compatibility/2006">
          <mc:Choice Requires="x14">
            <control shapeId="13440" r:id="rId1225" name="Button 2176">
              <controlPr defaultSize="0" autoFill="0" autoLine="0" autoPict="0" macro="[0]!Sheet1.deleteRow">
                <anchor moveWithCells="1" sizeWithCells="1">
                  <from>
                    <xdr:col>6</xdr:col>
                    <xdr:colOff>0</xdr:colOff>
                    <xdr:row>2138</xdr:row>
                    <xdr:rowOff>0</xdr:rowOff>
                  </from>
                  <to>
                    <xdr:col>7</xdr:col>
                    <xdr:colOff>0</xdr:colOff>
                    <xdr:row>2138</xdr:row>
                    <xdr:rowOff>165100</xdr:rowOff>
                  </to>
                </anchor>
              </controlPr>
            </control>
          </mc:Choice>
        </mc:AlternateContent>
        <mc:AlternateContent xmlns:mc="http://schemas.openxmlformats.org/markup-compatibility/2006">
          <mc:Choice Requires="x14">
            <control shapeId="13439" r:id="rId1226" name="Button 2175">
              <controlPr defaultSize="0" autoFill="0" autoLine="0" autoPict="0" macro="[0]!Sheet1.deleteRow">
                <anchor moveWithCells="1" sizeWithCells="1">
                  <from>
                    <xdr:col>6</xdr:col>
                    <xdr:colOff>0</xdr:colOff>
                    <xdr:row>2139</xdr:row>
                    <xdr:rowOff>0</xdr:rowOff>
                  </from>
                  <to>
                    <xdr:col>7</xdr:col>
                    <xdr:colOff>0</xdr:colOff>
                    <xdr:row>2139</xdr:row>
                    <xdr:rowOff>165100</xdr:rowOff>
                  </to>
                </anchor>
              </controlPr>
            </control>
          </mc:Choice>
        </mc:AlternateContent>
        <mc:AlternateContent xmlns:mc="http://schemas.openxmlformats.org/markup-compatibility/2006">
          <mc:Choice Requires="x14">
            <control shapeId="13438" r:id="rId1227" name="Button 2174">
              <controlPr defaultSize="0" autoFill="0" autoLine="0" autoPict="0" macro="[0]!Sheet1.deleteProcedure">
                <anchor moveWithCells="1" sizeWithCells="1">
                  <from>
                    <xdr:col>6</xdr:col>
                    <xdr:colOff>0</xdr:colOff>
                    <xdr:row>2142</xdr:row>
                    <xdr:rowOff>0</xdr:rowOff>
                  </from>
                  <to>
                    <xdr:col>7</xdr:col>
                    <xdr:colOff>0</xdr:colOff>
                    <xdr:row>2143</xdr:row>
                    <xdr:rowOff>0</xdr:rowOff>
                  </to>
                </anchor>
              </controlPr>
            </control>
          </mc:Choice>
        </mc:AlternateContent>
        <mc:AlternateContent xmlns:mc="http://schemas.openxmlformats.org/markup-compatibility/2006">
          <mc:Choice Requires="x14">
            <control shapeId="13437" r:id="rId1228" name="Button 2173">
              <controlPr defaultSize="0" autoFill="0" autoLine="0" autoPict="0" macro="[0]!Sheet1.InsertNewTableRow">
                <anchor moveWithCells="1" sizeWithCells="1">
                  <from>
                    <xdr:col>6</xdr:col>
                    <xdr:colOff>0</xdr:colOff>
                    <xdr:row>2149</xdr:row>
                    <xdr:rowOff>0</xdr:rowOff>
                  </from>
                  <to>
                    <xdr:col>7</xdr:col>
                    <xdr:colOff>0</xdr:colOff>
                    <xdr:row>2149</xdr:row>
                    <xdr:rowOff>171450</xdr:rowOff>
                  </to>
                </anchor>
              </controlPr>
            </control>
          </mc:Choice>
        </mc:AlternateContent>
        <mc:AlternateContent xmlns:mc="http://schemas.openxmlformats.org/markup-compatibility/2006">
          <mc:Choice Requires="x14">
            <control shapeId="13436" r:id="rId1229" name="Button 2172">
              <controlPr defaultSize="0" autoFill="0" autoLine="0" autoPict="0" macro="[0]!Sheet1.deleteRow">
                <anchor moveWithCells="1" sizeWithCells="1">
                  <from>
                    <xdr:col>6</xdr:col>
                    <xdr:colOff>0</xdr:colOff>
                    <xdr:row>2150</xdr:row>
                    <xdr:rowOff>0</xdr:rowOff>
                  </from>
                  <to>
                    <xdr:col>7</xdr:col>
                    <xdr:colOff>0</xdr:colOff>
                    <xdr:row>2150</xdr:row>
                    <xdr:rowOff>165100</xdr:rowOff>
                  </to>
                </anchor>
              </controlPr>
            </control>
          </mc:Choice>
        </mc:AlternateContent>
        <mc:AlternateContent xmlns:mc="http://schemas.openxmlformats.org/markup-compatibility/2006">
          <mc:Choice Requires="x14">
            <control shapeId="13435" r:id="rId1230" name="Button 2171">
              <controlPr defaultSize="0" autoFill="0" autoLine="0" autoPict="0" macro="[0]!Sheet1.deleteRow">
                <anchor moveWithCells="1" sizeWithCells="1">
                  <from>
                    <xdr:col>6</xdr:col>
                    <xdr:colOff>0</xdr:colOff>
                    <xdr:row>2151</xdr:row>
                    <xdr:rowOff>0</xdr:rowOff>
                  </from>
                  <to>
                    <xdr:col>7</xdr:col>
                    <xdr:colOff>0</xdr:colOff>
                    <xdr:row>2151</xdr:row>
                    <xdr:rowOff>165100</xdr:rowOff>
                  </to>
                </anchor>
              </controlPr>
            </control>
          </mc:Choice>
        </mc:AlternateContent>
        <mc:AlternateContent xmlns:mc="http://schemas.openxmlformats.org/markup-compatibility/2006">
          <mc:Choice Requires="x14">
            <control shapeId="13434" r:id="rId1231" name="Button 2170">
              <controlPr defaultSize="0" autoFill="0" autoLine="0" autoPict="0" macro="[0]!Sheet1.deleteRow">
                <anchor moveWithCells="1" sizeWithCells="1">
                  <from>
                    <xdr:col>6</xdr:col>
                    <xdr:colOff>0</xdr:colOff>
                    <xdr:row>2152</xdr:row>
                    <xdr:rowOff>0</xdr:rowOff>
                  </from>
                  <to>
                    <xdr:col>7</xdr:col>
                    <xdr:colOff>0</xdr:colOff>
                    <xdr:row>2152</xdr:row>
                    <xdr:rowOff>165100</xdr:rowOff>
                  </to>
                </anchor>
              </controlPr>
            </control>
          </mc:Choice>
        </mc:AlternateContent>
        <mc:AlternateContent xmlns:mc="http://schemas.openxmlformats.org/markup-compatibility/2006">
          <mc:Choice Requires="x14">
            <control shapeId="13433" r:id="rId1232" name="Button 2169">
              <controlPr defaultSize="0" autoFill="0" autoLine="0" autoPict="0" macro="[0]!Sheet1.deleteProcedure">
                <anchor moveWithCells="1" sizeWithCells="1">
                  <from>
                    <xdr:col>6</xdr:col>
                    <xdr:colOff>0</xdr:colOff>
                    <xdr:row>2155</xdr:row>
                    <xdr:rowOff>0</xdr:rowOff>
                  </from>
                  <to>
                    <xdr:col>7</xdr:col>
                    <xdr:colOff>0</xdr:colOff>
                    <xdr:row>2156</xdr:row>
                    <xdr:rowOff>0</xdr:rowOff>
                  </to>
                </anchor>
              </controlPr>
            </control>
          </mc:Choice>
        </mc:AlternateContent>
        <mc:AlternateContent xmlns:mc="http://schemas.openxmlformats.org/markup-compatibility/2006">
          <mc:Choice Requires="x14">
            <control shapeId="13432" r:id="rId1233" name="Button 2168">
              <controlPr defaultSize="0" autoFill="0" autoLine="0" autoPict="0" macro="[0]!Sheet1.InsertNewTableRow">
                <anchor moveWithCells="1" sizeWithCells="1">
                  <from>
                    <xdr:col>6</xdr:col>
                    <xdr:colOff>0</xdr:colOff>
                    <xdr:row>2162</xdr:row>
                    <xdr:rowOff>0</xdr:rowOff>
                  </from>
                  <to>
                    <xdr:col>7</xdr:col>
                    <xdr:colOff>0</xdr:colOff>
                    <xdr:row>2162</xdr:row>
                    <xdr:rowOff>171450</xdr:rowOff>
                  </to>
                </anchor>
              </controlPr>
            </control>
          </mc:Choice>
        </mc:AlternateContent>
        <mc:AlternateContent xmlns:mc="http://schemas.openxmlformats.org/markup-compatibility/2006">
          <mc:Choice Requires="x14">
            <control shapeId="13431" r:id="rId1234" name="Button 2167">
              <controlPr defaultSize="0" autoFill="0" autoLine="0" autoPict="0" macro="[0]!Sheet1.deleteRow">
                <anchor moveWithCells="1" sizeWithCells="1">
                  <from>
                    <xdr:col>6</xdr:col>
                    <xdr:colOff>0</xdr:colOff>
                    <xdr:row>2163</xdr:row>
                    <xdr:rowOff>0</xdr:rowOff>
                  </from>
                  <to>
                    <xdr:col>7</xdr:col>
                    <xdr:colOff>0</xdr:colOff>
                    <xdr:row>2163</xdr:row>
                    <xdr:rowOff>165100</xdr:rowOff>
                  </to>
                </anchor>
              </controlPr>
            </control>
          </mc:Choice>
        </mc:AlternateContent>
        <mc:AlternateContent xmlns:mc="http://schemas.openxmlformats.org/markup-compatibility/2006">
          <mc:Choice Requires="x14">
            <control shapeId="13430" r:id="rId1235" name="Button 2166">
              <controlPr defaultSize="0" autoFill="0" autoLine="0" autoPict="0" macro="[0]!Sheet1.deleteProcedure">
                <anchor moveWithCells="1" sizeWithCells="1">
                  <from>
                    <xdr:col>6</xdr:col>
                    <xdr:colOff>0</xdr:colOff>
                    <xdr:row>2166</xdr:row>
                    <xdr:rowOff>0</xdr:rowOff>
                  </from>
                  <to>
                    <xdr:col>7</xdr:col>
                    <xdr:colOff>0</xdr:colOff>
                    <xdr:row>2167</xdr:row>
                    <xdr:rowOff>0</xdr:rowOff>
                  </to>
                </anchor>
              </controlPr>
            </control>
          </mc:Choice>
        </mc:AlternateContent>
        <mc:AlternateContent xmlns:mc="http://schemas.openxmlformats.org/markup-compatibility/2006">
          <mc:Choice Requires="x14">
            <control shapeId="13429" r:id="rId1236" name="Button 2165">
              <controlPr defaultSize="0" autoFill="0" autoLine="0" autoPict="0" macro="[0]!Sheet1.InsertNewTableRow">
                <anchor moveWithCells="1" sizeWithCells="1">
                  <from>
                    <xdr:col>6</xdr:col>
                    <xdr:colOff>0</xdr:colOff>
                    <xdr:row>2173</xdr:row>
                    <xdr:rowOff>0</xdr:rowOff>
                  </from>
                  <to>
                    <xdr:col>7</xdr:col>
                    <xdr:colOff>0</xdr:colOff>
                    <xdr:row>2173</xdr:row>
                    <xdr:rowOff>171450</xdr:rowOff>
                  </to>
                </anchor>
              </controlPr>
            </control>
          </mc:Choice>
        </mc:AlternateContent>
        <mc:AlternateContent xmlns:mc="http://schemas.openxmlformats.org/markup-compatibility/2006">
          <mc:Choice Requires="x14">
            <control shapeId="13428" r:id="rId1237" name="Button 2164">
              <controlPr defaultSize="0" autoFill="0" autoLine="0" autoPict="0" macro="[0]!Sheet1.deleteRow">
                <anchor moveWithCells="1" sizeWithCells="1">
                  <from>
                    <xdr:col>6</xdr:col>
                    <xdr:colOff>0</xdr:colOff>
                    <xdr:row>2174</xdr:row>
                    <xdr:rowOff>0</xdr:rowOff>
                  </from>
                  <to>
                    <xdr:col>7</xdr:col>
                    <xdr:colOff>0</xdr:colOff>
                    <xdr:row>2174</xdr:row>
                    <xdr:rowOff>165100</xdr:rowOff>
                  </to>
                </anchor>
              </controlPr>
            </control>
          </mc:Choice>
        </mc:AlternateContent>
        <mc:AlternateContent xmlns:mc="http://schemas.openxmlformats.org/markup-compatibility/2006">
          <mc:Choice Requires="x14">
            <control shapeId="13427" r:id="rId1238" name="Button 2163">
              <controlPr defaultSize="0" autoFill="0" autoLine="0" autoPict="0" macro="[0]!Sheet1.deleteProcedure">
                <anchor moveWithCells="1" sizeWithCells="1">
                  <from>
                    <xdr:col>6</xdr:col>
                    <xdr:colOff>0</xdr:colOff>
                    <xdr:row>2177</xdr:row>
                    <xdr:rowOff>0</xdr:rowOff>
                  </from>
                  <to>
                    <xdr:col>7</xdr:col>
                    <xdr:colOff>0</xdr:colOff>
                    <xdr:row>2178</xdr:row>
                    <xdr:rowOff>0</xdr:rowOff>
                  </to>
                </anchor>
              </controlPr>
            </control>
          </mc:Choice>
        </mc:AlternateContent>
        <mc:AlternateContent xmlns:mc="http://schemas.openxmlformats.org/markup-compatibility/2006">
          <mc:Choice Requires="x14">
            <control shapeId="13426" r:id="rId1239" name="Button 2162">
              <controlPr defaultSize="0" autoFill="0" autoLine="0" autoPict="0" macro="[0]!Sheet1.InsertNewTableRow">
                <anchor moveWithCells="1" sizeWithCells="1">
                  <from>
                    <xdr:col>6</xdr:col>
                    <xdr:colOff>0</xdr:colOff>
                    <xdr:row>2184</xdr:row>
                    <xdr:rowOff>0</xdr:rowOff>
                  </from>
                  <to>
                    <xdr:col>7</xdr:col>
                    <xdr:colOff>0</xdr:colOff>
                    <xdr:row>2184</xdr:row>
                    <xdr:rowOff>171450</xdr:rowOff>
                  </to>
                </anchor>
              </controlPr>
            </control>
          </mc:Choice>
        </mc:AlternateContent>
        <mc:AlternateContent xmlns:mc="http://schemas.openxmlformats.org/markup-compatibility/2006">
          <mc:Choice Requires="x14">
            <control shapeId="13425" r:id="rId1240" name="Button 2161">
              <controlPr defaultSize="0" autoFill="0" autoLine="0" autoPict="0" macro="[0]!Sheet1.deleteRow">
                <anchor moveWithCells="1" sizeWithCells="1">
                  <from>
                    <xdr:col>6</xdr:col>
                    <xdr:colOff>0</xdr:colOff>
                    <xdr:row>2185</xdr:row>
                    <xdr:rowOff>0</xdr:rowOff>
                  </from>
                  <to>
                    <xdr:col>7</xdr:col>
                    <xdr:colOff>0</xdr:colOff>
                    <xdr:row>2185</xdr:row>
                    <xdr:rowOff>165100</xdr:rowOff>
                  </to>
                </anchor>
              </controlPr>
            </control>
          </mc:Choice>
        </mc:AlternateContent>
        <mc:AlternateContent xmlns:mc="http://schemas.openxmlformats.org/markup-compatibility/2006">
          <mc:Choice Requires="x14">
            <control shapeId="13424" r:id="rId1241" name="Button 2160">
              <controlPr defaultSize="0" autoFill="0" autoLine="0" autoPict="0" macro="[0]!Sheet1.deleteProcedure">
                <anchor moveWithCells="1" sizeWithCells="1">
                  <from>
                    <xdr:col>6</xdr:col>
                    <xdr:colOff>0</xdr:colOff>
                    <xdr:row>2188</xdr:row>
                    <xdr:rowOff>0</xdr:rowOff>
                  </from>
                  <to>
                    <xdr:col>7</xdr:col>
                    <xdr:colOff>0</xdr:colOff>
                    <xdr:row>2189</xdr:row>
                    <xdr:rowOff>0</xdr:rowOff>
                  </to>
                </anchor>
              </controlPr>
            </control>
          </mc:Choice>
        </mc:AlternateContent>
        <mc:AlternateContent xmlns:mc="http://schemas.openxmlformats.org/markup-compatibility/2006">
          <mc:Choice Requires="x14">
            <control shapeId="13423" r:id="rId1242" name="Button 2159">
              <controlPr defaultSize="0" autoFill="0" autoLine="0" autoPict="0" macro="[0]!Sheet1.InsertNewTableRow">
                <anchor moveWithCells="1" sizeWithCells="1">
                  <from>
                    <xdr:col>6</xdr:col>
                    <xdr:colOff>0</xdr:colOff>
                    <xdr:row>2195</xdr:row>
                    <xdr:rowOff>0</xdr:rowOff>
                  </from>
                  <to>
                    <xdr:col>7</xdr:col>
                    <xdr:colOff>0</xdr:colOff>
                    <xdr:row>2195</xdr:row>
                    <xdr:rowOff>171450</xdr:rowOff>
                  </to>
                </anchor>
              </controlPr>
            </control>
          </mc:Choice>
        </mc:AlternateContent>
        <mc:AlternateContent xmlns:mc="http://schemas.openxmlformats.org/markup-compatibility/2006">
          <mc:Choice Requires="x14">
            <control shapeId="13422" r:id="rId1243" name="Button 2158">
              <controlPr defaultSize="0" autoFill="0" autoLine="0" autoPict="0" macro="[0]!Sheet1.deleteRow">
                <anchor moveWithCells="1" sizeWithCells="1">
                  <from>
                    <xdr:col>6</xdr:col>
                    <xdr:colOff>0</xdr:colOff>
                    <xdr:row>2196</xdr:row>
                    <xdr:rowOff>0</xdr:rowOff>
                  </from>
                  <to>
                    <xdr:col>7</xdr:col>
                    <xdr:colOff>0</xdr:colOff>
                    <xdr:row>2196</xdr:row>
                    <xdr:rowOff>165100</xdr:rowOff>
                  </to>
                </anchor>
              </controlPr>
            </control>
          </mc:Choice>
        </mc:AlternateContent>
        <mc:AlternateContent xmlns:mc="http://schemas.openxmlformats.org/markup-compatibility/2006">
          <mc:Choice Requires="x14">
            <control shapeId="13421" r:id="rId1244" name="Button 2157">
              <controlPr defaultSize="0" autoFill="0" autoLine="0" autoPict="0" macro="[0]!Sheet1.deleteRow">
                <anchor moveWithCells="1" sizeWithCells="1">
                  <from>
                    <xdr:col>6</xdr:col>
                    <xdr:colOff>0</xdr:colOff>
                    <xdr:row>2197</xdr:row>
                    <xdr:rowOff>0</xdr:rowOff>
                  </from>
                  <to>
                    <xdr:col>7</xdr:col>
                    <xdr:colOff>0</xdr:colOff>
                    <xdr:row>2197</xdr:row>
                    <xdr:rowOff>165100</xdr:rowOff>
                  </to>
                </anchor>
              </controlPr>
            </control>
          </mc:Choice>
        </mc:AlternateContent>
        <mc:AlternateContent xmlns:mc="http://schemas.openxmlformats.org/markup-compatibility/2006">
          <mc:Choice Requires="x14">
            <control shapeId="13420" r:id="rId1245" name="Button 2156">
              <controlPr defaultSize="0" autoFill="0" autoLine="0" autoPict="0" macro="[0]!Sheet1.deleteRow">
                <anchor moveWithCells="1" sizeWithCells="1">
                  <from>
                    <xdr:col>6</xdr:col>
                    <xdr:colOff>0</xdr:colOff>
                    <xdr:row>2198</xdr:row>
                    <xdr:rowOff>0</xdr:rowOff>
                  </from>
                  <to>
                    <xdr:col>7</xdr:col>
                    <xdr:colOff>0</xdr:colOff>
                    <xdr:row>2198</xdr:row>
                    <xdr:rowOff>165100</xdr:rowOff>
                  </to>
                </anchor>
              </controlPr>
            </control>
          </mc:Choice>
        </mc:AlternateContent>
        <mc:AlternateContent xmlns:mc="http://schemas.openxmlformats.org/markup-compatibility/2006">
          <mc:Choice Requires="x14">
            <control shapeId="13419" r:id="rId1246" name="Button 2155">
              <controlPr defaultSize="0" autoFill="0" autoLine="0" autoPict="0" macro="[0]!Sheet1.deleteRow">
                <anchor moveWithCells="1" sizeWithCells="1">
                  <from>
                    <xdr:col>6</xdr:col>
                    <xdr:colOff>0</xdr:colOff>
                    <xdr:row>2199</xdr:row>
                    <xdr:rowOff>0</xdr:rowOff>
                  </from>
                  <to>
                    <xdr:col>7</xdr:col>
                    <xdr:colOff>0</xdr:colOff>
                    <xdr:row>2199</xdr:row>
                    <xdr:rowOff>165100</xdr:rowOff>
                  </to>
                </anchor>
              </controlPr>
            </control>
          </mc:Choice>
        </mc:AlternateContent>
        <mc:AlternateContent xmlns:mc="http://schemas.openxmlformats.org/markup-compatibility/2006">
          <mc:Choice Requires="x14">
            <control shapeId="13418" r:id="rId1247" name="Button 2154">
              <controlPr defaultSize="0" autoFill="0" autoLine="0" autoPict="0" macro="[0]!Sheet1.deleteRow">
                <anchor moveWithCells="1" sizeWithCells="1">
                  <from>
                    <xdr:col>6</xdr:col>
                    <xdr:colOff>0</xdr:colOff>
                    <xdr:row>2200</xdr:row>
                    <xdr:rowOff>0</xdr:rowOff>
                  </from>
                  <to>
                    <xdr:col>7</xdr:col>
                    <xdr:colOff>0</xdr:colOff>
                    <xdr:row>2200</xdr:row>
                    <xdr:rowOff>165100</xdr:rowOff>
                  </to>
                </anchor>
              </controlPr>
            </control>
          </mc:Choice>
        </mc:AlternateContent>
        <mc:AlternateContent xmlns:mc="http://schemas.openxmlformats.org/markup-compatibility/2006">
          <mc:Choice Requires="x14">
            <control shapeId="13417" r:id="rId1248" name="Button 2153">
              <controlPr defaultSize="0" autoFill="0" autoLine="0" autoPict="0" macro="[0]!Sheet1.deleteRow">
                <anchor moveWithCells="1" sizeWithCells="1">
                  <from>
                    <xdr:col>6</xdr:col>
                    <xdr:colOff>0</xdr:colOff>
                    <xdr:row>2201</xdr:row>
                    <xdr:rowOff>0</xdr:rowOff>
                  </from>
                  <to>
                    <xdr:col>7</xdr:col>
                    <xdr:colOff>0</xdr:colOff>
                    <xdr:row>2201</xdr:row>
                    <xdr:rowOff>165100</xdr:rowOff>
                  </to>
                </anchor>
              </controlPr>
            </control>
          </mc:Choice>
        </mc:AlternateContent>
        <mc:AlternateContent xmlns:mc="http://schemas.openxmlformats.org/markup-compatibility/2006">
          <mc:Choice Requires="x14">
            <control shapeId="13416" r:id="rId1249" name="Button 2152">
              <controlPr defaultSize="0" autoFill="0" autoLine="0" autoPict="0" macro="[0]!Sheet1.deleteRow">
                <anchor moveWithCells="1" sizeWithCells="1">
                  <from>
                    <xdr:col>6</xdr:col>
                    <xdr:colOff>0</xdr:colOff>
                    <xdr:row>2202</xdr:row>
                    <xdr:rowOff>0</xdr:rowOff>
                  </from>
                  <to>
                    <xdr:col>7</xdr:col>
                    <xdr:colOff>0</xdr:colOff>
                    <xdr:row>2202</xdr:row>
                    <xdr:rowOff>165100</xdr:rowOff>
                  </to>
                </anchor>
              </controlPr>
            </control>
          </mc:Choice>
        </mc:AlternateContent>
        <mc:AlternateContent xmlns:mc="http://schemas.openxmlformats.org/markup-compatibility/2006">
          <mc:Choice Requires="x14">
            <control shapeId="13415" r:id="rId1250" name="Button 2151">
              <controlPr defaultSize="0" autoFill="0" autoLine="0" autoPict="0" macro="[0]!Sheet1.deleteRow">
                <anchor moveWithCells="1" sizeWithCells="1">
                  <from>
                    <xdr:col>6</xdr:col>
                    <xdr:colOff>0</xdr:colOff>
                    <xdr:row>2203</xdr:row>
                    <xdr:rowOff>0</xdr:rowOff>
                  </from>
                  <to>
                    <xdr:col>7</xdr:col>
                    <xdr:colOff>0</xdr:colOff>
                    <xdr:row>2203</xdr:row>
                    <xdr:rowOff>165100</xdr:rowOff>
                  </to>
                </anchor>
              </controlPr>
            </control>
          </mc:Choice>
        </mc:AlternateContent>
        <mc:AlternateContent xmlns:mc="http://schemas.openxmlformats.org/markup-compatibility/2006">
          <mc:Choice Requires="x14">
            <control shapeId="13414" r:id="rId1251" name="Button 2150">
              <controlPr defaultSize="0" autoFill="0" autoLine="0" autoPict="0" macro="[0]!Sheet1.deleteRow">
                <anchor moveWithCells="1" sizeWithCells="1">
                  <from>
                    <xdr:col>6</xdr:col>
                    <xdr:colOff>0</xdr:colOff>
                    <xdr:row>2204</xdr:row>
                    <xdr:rowOff>0</xdr:rowOff>
                  </from>
                  <to>
                    <xdr:col>7</xdr:col>
                    <xdr:colOff>0</xdr:colOff>
                    <xdr:row>2204</xdr:row>
                    <xdr:rowOff>165100</xdr:rowOff>
                  </to>
                </anchor>
              </controlPr>
            </control>
          </mc:Choice>
        </mc:AlternateContent>
        <mc:AlternateContent xmlns:mc="http://schemas.openxmlformats.org/markup-compatibility/2006">
          <mc:Choice Requires="x14">
            <control shapeId="13413" r:id="rId1252" name="Button 2149">
              <controlPr defaultSize="0" autoFill="0" autoLine="0" autoPict="0" macro="[0]!Sheet1.deleteRow">
                <anchor moveWithCells="1" sizeWithCells="1">
                  <from>
                    <xdr:col>6</xdr:col>
                    <xdr:colOff>0</xdr:colOff>
                    <xdr:row>2205</xdr:row>
                    <xdr:rowOff>0</xdr:rowOff>
                  </from>
                  <to>
                    <xdr:col>7</xdr:col>
                    <xdr:colOff>0</xdr:colOff>
                    <xdr:row>2205</xdr:row>
                    <xdr:rowOff>165100</xdr:rowOff>
                  </to>
                </anchor>
              </controlPr>
            </control>
          </mc:Choice>
        </mc:AlternateContent>
        <mc:AlternateContent xmlns:mc="http://schemas.openxmlformats.org/markup-compatibility/2006">
          <mc:Choice Requires="x14">
            <control shapeId="13412" r:id="rId1253" name="Button 2148">
              <controlPr defaultSize="0" autoFill="0" autoLine="0" autoPict="0" macro="[0]!Sheet1.deleteProcedure">
                <anchor moveWithCells="1" sizeWithCells="1">
                  <from>
                    <xdr:col>6</xdr:col>
                    <xdr:colOff>0</xdr:colOff>
                    <xdr:row>2208</xdr:row>
                    <xdr:rowOff>0</xdr:rowOff>
                  </from>
                  <to>
                    <xdr:col>7</xdr:col>
                    <xdr:colOff>0</xdr:colOff>
                    <xdr:row>2209</xdr:row>
                    <xdr:rowOff>0</xdr:rowOff>
                  </to>
                </anchor>
              </controlPr>
            </control>
          </mc:Choice>
        </mc:AlternateContent>
        <mc:AlternateContent xmlns:mc="http://schemas.openxmlformats.org/markup-compatibility/2006">
          <mc:Choice Requires="x14">
            <control shapeId="13411" r:id="rId1254" name="Button 2147">
              <controlPr defaultSize="0" autoFill="0" autoLine="0" autoPict="0" macro="[0]!Sheet1.InsertNewTableRow">
                <anchor moveWithCells="1" sizeWithCells="1">
                  <from>
                    <xdr:col>6</xdr:col>
                    <xdr:colOff>0</xdr:colOff>
                    <xdr:row>2215</xdr:row>
                    <xdr:rowOff>0</xdr:rowOff>
                  </from>
                  <to>
                    <xdr:col>7</xdr:col>
                    <xdr:colOff>0</xdr:colOff>
                    <xdr:row>2215</xdr:row>
                    <xdr:rowOff>171450</xdr:rowOff>
                  </to>
                </anchor>
              </controlPr>
            </control>
          </mc:Choice>
        </mc:AlternateContent>
        <mc:AlternateContent xmlns:mc="http://schemas.openxmlformats.org/markup-compatibility/2006">
          <mc:Choice Requires="x14">
            <control shapeId="13410" r:id="rId1255" name="Button 2146">
              <controlPr defaultSize="0" autoFill="0" autoLine="0" autoPict="0" macro="[0]!Sheet1.deleteRow">
                <anchor moveWithCells="1" sizeWithCells="1">
                  <from>
                    <xdr:col>6</xdr:col>
                    <xdr:colOff>0</xdr:colOff>
                    <xdr:row>2216</xdr:row>
                    <xdr:rowOff>0</xdr:rowOff>
                  </from>
                  <to>
                    <xdr:col>7</xdr:col>
                    <xdr:colOff>0</xdr:colOff>
                    <xdr:row>2216</xdr:row>
                    <xdr:rowOff>165100</xdr:rowOff>
                  </to>
                </anchor>
              </controlPr>
            </control>
          </mc:Choice>
        </mc:AlternateContent>
        <mc:AlternateContent xmlns:mc="http://schemas.openxmlformats.org/markup-compatibility/2006">
          <mc:Choice Requires="x14">
            <control shapeId="13409" r:id="rId1256" name="Button 2145">
              <controlPr defaultSize="0" autoFill="0" autoLine="0" autoPict="0" macro="[0]!Sheet1.deleteRow">
                <anchor moveWithCells="1" sizeWithCells="1">
                  <from>
                    <xdr:col>6</xdr:col>
                    <xdr:colOff>0</xdr:colOff>
                    <xdr:row>2217</xdr:row>
                    <xdr:rowOff>0</xdr:rowOff>
                  </from>
                  <to>
                    <xdr:col>7</xdr:col>
                    <xdr:colOff>0</xdr:colOff>
                    <xdr:row>2217</xdr:row>
                    <xdr:rowOff>165100</xdr:rowOff>
                  </to>
                </anchor>
              </controlPr>
            </control>
          </mc:Choice>
        </mc:AlternateContent>
        <mc:AlternateContent xmlns:mc="http://schemas.openxmlformats.org/markup-compatibility/2006">
          <mc:Choice Requires="x14">
            <control shapeId="13408" r:id="rId1257" name="Button 2144">
              <controlPr defaultSize="0" autoFill="0" autoLine="0" autoPict="0" macro="[0]!Sheet1.deleteRow">
                <anchor moveWithCells="1" sizeWithCells="1">
                  <from>
                    <xdr:col>6</xdr:col>
                    <xdr:colOff>0</xdr:colOff>
                    <xdr:row>2218</xdr:row>
                    <xdr:rowOff>0</xdr:rowOff>
                  </from>
                  <to>
                    <xdr:col>7</xdr:col>
                    <xdr:colOff>0</xdr:colOff>
                    <xdr:row>2218</xdr:row>
                    <xdr:rowOff>165100</xdr:rowOff>
                  </to>
                </anchor>
              </controlPr>
            </control>
          </mc:Choice>
        </mc:AlternateContent>
        <mc:AlternateContent xmlns:mc="http://schemas.openxmlformats.org/markup-compatibility/2006">
          <mc:Choice Requires="x14">
            <control shapeId="13407" r:id="rId1258" name="Button 2143">
              <controlPr defaultSize="0" autoFill="0" autoLine="0" autoPict="0" macro="[0]!Sheet1.deleteProcedure">
                <anchor moveWithCells="1" sizeWithCells="1">
                  <from>
                    <xdr:col>6</xdr:col>
                    <xdr:colOff>0</xdr:colOff>
                    <xdr:row>2221</xdr:row>
                    <xdr:rowOff>0</xdr:rowOff>
                  </from>
                  <to>
                    <xdr:col>7</xdr:col>
                    <xdr:colOff>0</xdr:colOff>
                    <xdr:row>2222</xdr:row>
                    <xdr:rowOff>0</xdr:rowOff>
                  </to>
                </anchor>
              </controlPr>
            </control>
          </mc:Choice>
        </mc:AlternateContent>
        <mc:AlternateContent xmlns:mc="http://schemas.openxmlformats.org/markup-compatibility/2006">
          <mc:Choice Requires="x14">
            <control shapeId="13406" r:id="rId1259" name="Button 2142">
              <controlPr defaultSize="0" autoFill="0" autoLine="0" autoPict="0" macro="[0]!Sheet1.InsertNewTableRow">
                <anchor moveWithCells="1" sizeWithCells="1">
                  <from>
                    <xdr:col>6</xdr:col>
                    <xdr:colOff>0</xdr:colOff>
                    <xdr:row>2228</xdr:row>
                    <xdr:rowOff>0</xdr:rowOff>
                  </from>
                  <to>
                    <xdr:col>7</xdr:col>
                    <xdr:colOff>0</xdr:colOff>
                    <xdr:row>2228</xdr:row>
                    <xdr:rowOff>171450</xdr:rowOff>
                  </to>
                </anchor>
              </controlPr>
            </control>
          </mc:Choice>
        </mc:AlternateContent>
        <mc:AlternateContent xmlns:mc="http://schemas.openxmlformats.org/markup-compatibility/2006">
          <mc:Choice Requires="x14">
            <control shapeId="13405" r:id="rId1260" name="Button 2141">
              <controlPr defaultSize="0" autoFill="0" autoLine="0" autoPict="0" macro="[0]!Sheet1.deleteRow">
                <anchor moveWithCells="1" sizeWithCells="1">
                  <from>
                    <xdr:col>6</xdr:col>
                    <xdr:colOff>0</xdr:colOff>
                    <xdr:row>2229</xdr:row>
                    <xdr:rowOff>0</xdr:rowOff>
                  </from>
                  <to>
                    <xdr:col>7</xdr:col>
                    <xdr:colOff>0</xdr:colOff>
                    <xdr:row>2229</xdr:row>
                    <xdr:rowOff>165100</xdr:rowOff>
                  </to>
                </anchor>
              </controlPr>
            </control>
          </mc:Choice>
        </mc:AlternateContent>
        <mc:AlternateContent xmlns:mc="http://schemas.openxmlformats.org/markup-compatibility/2006">
          <mc:Choice Requires="x14">
            <control shapeId="13404" r:id="rId1261" name="Button 2140">
              <controlPr defaultSize="0" autoFill="0" autoLine="0" autoPict="0" macro="[0]!Sheet1.deleteRow">
                <anchor moveWithCells="1" sizeWithCells="1">
                  <from>
                    <xdr:col>6</xdr:col>
                    <xdr:colOff>0</xdr:colOff>
                    <xdr:row>2230</xdr:row>
                    <xdr:rowOff>0</xdr:rowOff>
                  </from>
                  <to>
                    <xdr:col>7</xdr:col>
                    <xdr:colOff>0</xdr:colOff>
                    <xdr:row>2230</xdr:row>
                    <xdr:rowOff>165100</xdr:rowOff>
                  </to>
                </anchor>
              </controlPr>
            </control>
          </mc:Choice>
        </mc:AlternateContent>
        <mc:AlternateContent xmlns:mc="http://schemas.openxmlformats.org/markup-compatibility/2006">
          <mc:Choice Requires="x14">
            <control shapeId="13403" r:id="rId1262" name="Button 2139">
              <controlPr defaultSize="0" autoFill="0" autoLine="0" autoPict="0" macro="[0]!Sheet1.deleteProcedure">
                <anchor moveWithCells="1" sizeWithCells="1">
                  <from>
                    <xdr:col>6</xdr:col>
                    <xdr:colOff>0</xdr:colOff>
                    <xdr:row>2233</xdr:row>
                    <xdr:rowOff>0</xdr:rowOff>
                  </from>
                  <to>
                    <xdr:col>7</xdr:col>
                    <xdr:colOff>0</xdr:colOff>
                    <xdr:row>2234</xdr:row>
                    <xdr:rowOff>0</xdr:rowOff>
                  </to>
                </anchor>
              </controlPr>
            </control>
          </mc:Choice>
        </mc:AlternateContent>
        <mc:AlternateContent xmlns:mc="http://schemas.openxmlformats.org/markup-compatibility/2006">
          <mc:Choice Requires="x14">
            <control shapeId="13402" r:id="rId1263" name="Button 2138">
              <controlPr defaultSize="0" autoFill="0" autoLine="0" autoPict="0" macro="[0]!Sheet1.InsertNewTableRow">
                <anchor moveWithCells="1" sizeWithCells="1">
                  <from>
                    <xdr:col>6</xdr:col>
                    <xdr:colOff>0</xdr:colOff>
                    <xdr:row>2240</xdr:row>
                    <xdr:rowOff>0</xdr:rowOff>
                  </from>
                  <to>
                    <xdr:col>7</xdr:col>
                    <xdr:colOff>0</xdr:colOff>
                    <xdr:row>2240</xdr:row>
                    <xdr:rowOff>171450</xdr:rowOff>
                  </to>
                </anchor>
              </controlPr>
            </control>
          </mc:Choice>
        </mc:AlternateContent>
        <mc:AlternateContent xmlns:mc="http://schemas.openxmlformats.org/markup-compatibility/2006">
          <mc:Choice Requires="x14">
            <control shapeId="13401" r:id="rId1264" name="Button 2137">
              <controlPr defaultSize="0" autoFill="0" autoLine="0" autoPict="0" macro="[0]!Sheet1.deleteRow">
                <anchor moveWithCells="1" sizeWithCells="1">
                  <from>
                    <xdr:col>6</xdr:col>
                    <xdr:colOff>0</xdr:colOff>
                    <xdr:row>2241</xdr:row>
                    <xdr:rowOff>0</xdr:rowOff>
                  </from>
                  <to>
                    <xdr:col>7</xdr:col>
                    <xdr:colOff>0</xdr:colOff>
                    <xdr:row>2241</xdr:row>
                    <xdr:rowOff>165100</xdr:rowOff>
                  </to>
                </anchor>
              </controlPr>
            </control>
          </mc:Choice>
        </mc:AlternateContent>
        <mc:AlternateContent xmlns:mc="http://schemas.openxmlformats.org/markup-compatibility/2006">
          <mc:Choice Requires="x14">
            <control shapeId="13400" r:id="rId1265" name="Button 2136">
              <controlPr defaultSize="0" autoFill="0" autoLine="0" autoPict="0" macro="[0]!Sheet1.deleteProcedure">
                <anchor moveWithCells="1" sizeWithCells="1">
                  <from>
                    <xdr:col>6</xdr:col>
                    <xdr:colOff>0</xdr:colOff>
                    <xdr:row>2244</xdr:row>
                    <xdr:rowOff>0</xdr:rowOff>
                  </from>
                  <to>
                    <xdr:col>7</xdr:col>
                    <xdr:colOff>0</xdr:colOff>
                    <xdr:row>2245</xdr:row>
                    <xdr:rowOff>0</xdr:rowOff>
                  </to>
                </anchor>
              </controlPr>
            </control>
          </mc:Choice>
        </mc:AlternateContent>
        <mc:AlternateContent xmlns:mc="http://schemas.openxmlformats.org/markup-compatibility/2006">
          <mc:Choice Requires="x14">
            <control shapeId="13399" r:id="rId1266" name="Button 2135">
              <controlPr defaultSize="0" autoFill="0" autoLine="0" autoPict="0" macro="[0]!Sheet1.InsertNewTableRow">
                <anchor moveWithCells="1" sizeWithCells="1">
                  <from>
                    <xdr:col>6</xdr:col>
                    <xdr:colOff>0</xdr:colOff>
                    <xdr:row>2251</xdr:row>
                    <xdr:rowOff>0</xdr:rowOff>
                  </from>
                  <to>
                    <xdr:col>7</xdr:col>
                    <xdr:colOff>0</xdr:colOff>
                    <xdr:row>2251</xdr:row>
                    <xdr:rowOff>171450</xdr:rowOff>
                  </to>
                </anchor>
              </controlPr>
            </control>
          </mc:Choice>
        </mc:AlternateContent>
        <mc:AlternateContent xmlns:mc="http://schemas.openxmlformats.org/markup-compatibility/2006">
          <mc:Choice Requires="x14">
            <control shapeId="13398" r:id="rId1267" name="Button 2134">
              <controlPr defaultSize="0" autoFill="0" autoLine="0" autoPict="0" macro="[0]!Sheet1.deleteRow">
                <anchor moveWithCells="1" sizeWithCells="1">
                  <from>
                    <xdr:col>6</xdr:col>
                    <xdr:colOff>0</xdr:colOff>
                    <xdr:row>2252</xdr:row>
                    <xdr:rowOff>0</xdr:rowOff>
                  </from>
                  <to>
                    <xdr:col>7</xdr:col>
                    <xdr:colOff>0</xdr:colOff>
                    <xdr:row>2252</xdr:row>
                    <xdr:rowOff>165100</xdr:rowOff>
                  </to>
                </anchor>
              </controlPr>
            </control>
          </mc:Choice>
        </mc:AlternateContent>
        <mc:AlternateContent xmlns:mc="http://schemas.openxmlformats.org/markup-compatibility/2006">
          <mc:Choice Requires="x14">
            <control shapeId="13397" r:id="rId1268" name="Button 2133">
              <controlPr defaultSize="0" autoFill="0" autoLine="0" autoPict="0" macro="[0]!Sheet1.deleteRow">
                <anchor moveWithCells="1" sizeWithCells="1">
                  <from>
                    <xdr:col>6</xdr:col>
                    <xdr:colOff>0</xdr:colOff>
                    <xdr:row>2253</xdr:row>
                    <xdr:rowOff>0</xdr:rowOff>
                  </from>
                  <to>
                    <xdr:col>7</xdr:col>
                    <xdr:colOff>0</xdr:colOff>
                    <xdr:row>2253</xdr:row>
                    <xdr:rowOff>165100</xdr:rowOff>
                  </to>
                </anchor>
              </controlPr>
            </control>
          </mc:Choice>
        </mc:AlternateContent>
        <mc:AlternateContent xmlns:mc="http://schemas.openxmlformats.org/markup-compatibility/2006">
          <mc:Choice Requires="x14">
            <control shapeId="13396" r:id="rId1269" name="Button 2132">
              <controlPr defaultSize="0" autoFill="0" autoLine="0" autoPict="0" macro="[0]!Sheet1.deleteProcedure">
                <anchor moveWithCells="1" sizeWithCells="1">
                  <from>
                    <xdr:col>6</xdr:col>
                    <xdr:colOff>0</xdr:colOff>
                    <xdr:row>2256</xdr:row>
                    <xdr:rowOff>0</xdr:rowOff>
                  </from>
                  <to>
                    <xdr:col>7</xdr:col>
                    <xdr:colOff>0</xdr:colOff>
                    <xdr:row>2257</xdr:row>
                    <xdr:rowOff>0</xdr:rowOff>
                  </to>
                </anchor>
              </controlPr>
            </control>
          </mc:Choice>
        </mc:AlternateContent>
        <mc:AlternateContent xmlns:mc="http://schemas.openxmlformats.org/markup-compatibility/2006">
          <mc:Choice Requires="x14">
            <control shapeId="13395" r:id="rId1270" name="Button 2131">
              <controlPr defaultSize="0" autoFill="0" autoLine="0" autoPict="0" macro="[0]!Sheet1.InsertNewTableRow">
                <anchor moveWithCells="1" sizeWithCells="1">
                  <from>
                    <xdr:col>6</xdr:col>
                    <xdr:colOff>0</xdr:colOff>
                    <xdr:row>2263</xdr:row>
                    <xdr:rowOff>0</xdr:rowOff>
                  </from>
                  <to>
                    <xdr:col>7</xdr:col>
                    <xdr:colOff>0</xdr:colOff>
                    <xdr:row>2263</xdr:row>
                    <xdr:rowOff>171450</xdr:rowOff>
                  </to>
                </anchor>
              </controlPr>
            </control>
          </mc:Choice>
        </mc:AlternateContent>
        <mc:AlternateContent xmlns:mc="http://schemas.openxmlformats.org/markup-compatibility/2006">
          <mc:Choice Requires="x14">
            <control shapeId="13394" r:id="rId1271" name="Button 2130">
              <controlPr defaultSize="0" autoFill="0" autoLine="0" autoPict="0" macro="[0]!Sheet1.deleteRow">
                <anchor moveWithCells="1" sizeWithCells="1">
                  <from>
                    <xdr:col>6</xdr:col>
                    <xdr:colOff>0</xdr:colOff>
                    <xdr:row>2264</xdr:row>
                    <xdr:rowOff>0</xdr:rowOff>
                  </from>
                  <to>
                    <xdr:col>7</xdr:col>
                    <xdr:colOff>0</xdr:colOff>
                    <xdr:row>2264</xdr:row>
                    <xdr:rowOff>165100</xdr:rowOff>
                  </to>
                </anchor>
              </controlPr>
            </control>
          </mc:Choice>
        </mc:AlternateContent>
        <mc:AlternateContent xmlns:mc="http://schemas.openxmlformats.org/markup-compatibility/2006">
          <mc:Choice Requires="x14">
            <control shapeId="13393" r:id="rId1272" name="Button 2129">
              <controlPr defaultSize="0" autoFill="0" autoLine="0" autoPict="0" macro="[0]!Sheet1.deleteRow">
                <anchor moveWithCells="1" sizeWithCells="1">
                  <from>
                    <xdr:col>6</xdr:col>
                    <xdr:colOff>0</xdr:colOff>
                    <xdr:row>2265</xdr:row>
                    <xdr:rowOff>0</xdr:rowOff>
                  </from>
                  <to>
                    <xdr:col>7</xdr:col>
                    <xdr:colOff>0</xdr:colOff>
                    <xdr:row>2265</xdr:row>
                    <xdr:rowOff>165100</xdr:rowOff>
                  </to>
                </anchor>
              </controlPr>
            </control>
          </mc:Choice>
        </mc:AlternateContent>
        <mc:AlternateContent xmlns:mc="http://schemas.openxmlformats.org/markup-compatibility/2006">
          <mc:Choice Requires="x14">
            <control shapeId="13392" r:id="rId1273" name="Button 2128">
              <controlPr defaultSize="0" autoFill="0" autoLine="0" autoPict="0" macro="[0]!Sheet1.deleteRow">
                <anchor moveWithCells="1" sizeWithCells="1">
                  <from>
                    <xdr:col>6</xdr:col>
                    <xdr:colOff>0</xdr:colOff>
                    <xdr:row>2266</xdr:row>
                    <xdr:rowOff>0</xdr:rowOff>
                  </from>
                  <to>
                    <xdr:col>7</xdr:col>
                    <xdr:colOff>0</xdr:colOff>
                    <xdr:row>2266</xdr:row>
                    <xdr:rowOff>165100</xdr:rowOff>
                  </to>
                </anchor>
              </controlPr>
            </control>
          </mc:Choice>
        </mc:AlternateContent>
        <mc:AlternateContent xmlns:mc="http://schemas.openxmlformats.org/markup-compatibility/2006">
          <mc:Choice Requires="x14">
            <control shapeId="13391" r:id="rId1274" name="Button 2127">
              <controlPr defaultSize="0" autoFill="0" autoLine="0" autoPict="0" macro="[0]!Sheet1.deleteRow">
                <anchor moveWithCells="1" sizeWithCells="1">
                  <from>
                    <xdr:col>6</xdr:col>
                    <xdr:colOff>0</xdr:colOff>
                    <xdr:row>2267</xdr:row>
                    <xdr:rowOff>0</xdr:rowOff>
                  </from>
                  <to>
                    <xdr:col>7</xdr:col>
                    <xdr:colOff>0</xdr:colOff>
                    <xdr:row>2267</xdr:row>
                    <xdr:rowOff>165100</xdr:rowOff>
                  </to>
                </anchor>
              </controlPr>
            </control>
          </mc:Choice>
        </mc:AlternateContent>
        <mc:AlternateContent xmlns:mc="http://schemas.openxmlformats.org/markup-compatibility/2006">
          <mc:Choice Requires="x14">
            <control shapeId="13390" r:id="rId1275" name="Button 2126">
              <controlPr defaultSize="0" autoFill="0" autoLine="0" autoPict="0" macro="[0]!Sheet1.deleteRow">
                <anchor moveWithCells="1" sizeWithCells="1">
                  <from>
                    <xdr:col>6</xdr:col>
                    <xdr:colOff>0</xdr:colOff>
                    <xdr:row>2268</xdr:row>
                    <xdr:rowOff>0</xdr:rowOff>
                  </from>
                  <to>
                    <xdr:col>7</xdr:col>
                    <xdr:colOff>0</xdr:colOff>
                    <xdr:row>2268</xdr:row>
                    <xdr:rowOff>165100</xdr:rowOff>
                  </to>
                </anchor>
              </controlPr>
            </control>
          </mc:Choice>
        </mc:AlternateContent>
        <mc:AlternateContent xmlns:mc="http://schemas.openxmlformats.org/markup-compatibility/2006">
          <mc:Choice Requires="x14">
            <control shapeId="13389" r:id="rId1276" name="Button 2125">
              <controlPr defaultSize="0" autoFill="0" autoLine="0" autoPict="0" macro="[0]!Sheet1.deleteProcedure">
                <anchor moveWithCells="1" sizeWithCells="1">
                  <from>
                    <xdr:col>6</xdr:col>
                    <xdr:colOff>0</xdr:colOff>
                    <xdr:row>2271</xdr:row>
                    <xdr:rowOff>0</xdr:rowOff>
                  </from>
                  <to>
                    <xdr:col>7</xdr:col>
                    <xdr:colOff>0</xdr:colOff>
                    <xdr:row>2272</xdr:row>
                    <xdr:rowOff>0</xdr:rowOff>
                  </to>
                </anchor>
              </controlPr>
            </control>
          </mc:Choice>
        </mc:AlternateContent>
        <mc:AlternateContent xmlns:mc="http://schemas.openxmlformats.org/markup-compatibility/2006">
          <mc:Choice Requires="x14">
            <control shapeId="13388" r:id="rId1277" name="Button 2124">
              <controlPr defaultSize="0" autoFill="0" autoLine="0" autoPict="0" macro="[0]!Sheet1.InsertNewTableRow">
                <anchor moveWithCells="1" sizeWithCells="1">
                  <from>
                    <xdr:col>6</xdr:col>
                    <xdr:colOff>0</xdr:colOff>
                    <xdr:row>2278</xdr:row>
                    <xdr:rowOff>0</xdr:rowOff>
                  </from>
                  <to>
                    <xdr:col>7</xdr:col>
                    <xdr:colOff>0</xdr:colOff>
                    <xdr:row>2278</xdr:row>
                    <xdr:rowOff>171450</xdr:rowOff>
                  </to>
                </anchor>
              </controlPr>
            </control>
          </mc:Choice>
        </mc:AlternateContent>
        <mc:AlternateContent xmlns:mc="http://schemas.openxmlformats.org/markup-compatibility/2006">
          <mc:Choice Requires="x14">
            <control shapeId="13387" r:id="rId1278" name="Button 2123">
              <controlPr defaultSize="0" autoFill="0" autoLine="0" autoPict="0" macro="[0]!Sheet1.deleteRow">
                <anchor moveWithCells="1" sizeWithCells="1">
                  <from>
                    <xdr:col>6</xdr:col>
                    <xdr:colOff>0</xdr:colOff>
                    <xdr:row>2279</xdr:row>
                    <xdr:rowOff>0</xdr:rowOff>
                  </from>
                  <to>
                    <xdr:col>7</xdr:col>
                    <xdr:colOff>0</xdr:colOff>
                    <xdr:row>2279</xdr:row>
                    <xdr:rowOff>165100</xdr:rowOff>
                  </to>
                </anchor>
              </controlPr>
            </control>
          </mc:Choice>
        </mc:AlternateContent>
        <mc:AlternateContent xmlns:mc="http://schemas.openxmlformats.org/markup-compatibility/2006">
          <mc:Choice Requires="x14">
            <control shapeId="13386" r:id="rId1279" name="Button 2122">
              <controlPr defaultSize="0" autoFill="0" autoLine="0" autoPict="0" macro="[0]!Sheet1.deleteRow">
                <anchor moveWithCells="1" sizeWithCells="1">
                  <from>
                    <xdr:col>6</xdr:col>
                    <xdr:colOff>0</xdr:colOff>
                    <xdr:row>2280</xdr:row>
                    <xdr:rowOff>0</xdr:rowOff>
                  </from>
                  <to>
                    <xdr:col>7</xdr:col>
                    <xdr:colOff>0</xdr:colOff>
                    <xdr:row>2280</xdr:row>
                    <xdr:rowOff>165100</xdr:rowOff>
                  </to>
                </anchor>
              </controlPr>
            </control>
          </mc:Choice>
        </mc:AlternateContent>
        <mc:AlternateContent xmlns:mc="http://schemas.openxmlformats.org/markup-compatibility/2006">
          <mc:Choice Requires="x14">
            <control shapeId="13385" r:id="rId1280" name="Button 2121">
              <controlPr defaultSize="0" autoFill="0" autoLine="0" autoPict="0" macro="[0]!Sheet1.deleteRow">
                <anchor moveWithCells="1" sizeWithCells="1">
                  <from>
                    <xdr:col>6</xdr:col>
                    <xdr:colOff>0</xdr:colOff>
                    <xdr:row>2281</xdr:row>
                    <xdr:rowOff>0</xdr:rowOff>
                  </from>
                  <to>
                    <xdr:col>7</xdr:col>
                    <xdr:colOff>0</xdr:colOff>
                    <xdr:row>2281</xdr:row>
                    <xdr:rowOff>165100</xdr:rowOff>
                  </to>
                </anchor>
              </controlPr>
            </control>
          </mc:Choice>
        </mc:AlternateContent>
        <mc:AlternateContent xmlns:mc="http://schemas.openxmlformats.org/markup-compatibility/2006">
          <mc:Choice Requires="x14">
            <control shapeId="13384" r:id="rId1281" name="Button 2120">
              <controlPr defaultSize="0" autoFill="0" autoLine="0" autoPict="0" macro="[0]!Sheet1.deleteRow">
                <anchor moveWithCells="1" sizeWithCells="1">
                  <from>
                    <xdr:col>6</xdr:col>
                    <xdr:colOff>0</xdr:colOff>
                    <xdr:row>2282</xdr:row>
                    <xdr:rowOff>0</xdr:rowOff>
                  </from>
                  <to>
                    <xdr:col>7</xdr:col>
                    <xdr:colOff>0</xdr:colOff>
                    <xdr:row>2282</xdr:row>
                    <xdr:rowOff>165100</xdr:rowOff>
                  </to>
                </anchor>
              </controlPr>
            </control>
          </mc:Choice>
        </mc:AlternateContent>
        <mc:AlternateContent xmlns:mc="http://schemas.openxmlformats.org/markup-compatibility/2006">
          <mc:Choice Requires="x14">
            <control shapeId="13383" r:id="rId1282" name="Button 2119">
              <controlPr defaultSize="0" autoFill="0" autoLine="0" autoPict="0" macro="[0]!Sheet1.deleteRow">
                <anchor moveWithCells="1" sizeWithCells="1">
                  <from>
                    <xdr:col>6</xdr:col>
                    <xdr:colOff>0</xdr:colOff>
                    <xdr:row>2283</xdr:row>
                    <xdr:rowOff>0</xdr:rowOff>
                  </from>
                  <to>
                    <xdr:col>7</xdr:col>
                    <xdr:colOff>0</xdr:colOff>
                    <xdr:row>2283</xdr:row>
                    <xdr:rowOff>165100</xdr:rowOff>
                  </to>
                </anchor>
              </controlPr>
            </control>
          </mc:Choice>
        </mc:AlternateContent>
        <mc:AlternateContent xmlns:mc="http://schemas.openxmlformats.org/markup-compatibility/2006">
          <mc:Choice Requires="x14">
            <control shapeId="13382" r:id="rId1283" name="Button 2118">
              <controlPr defaultSize="0" autoFill="0" autoLine="0" autoPict="0" macro="[0]!Sheet1.deleteRow">
                <anchor moveWithCells="1" sizeWithCells="1">
                  <from>
                    <xdr:col>6</xdr:col>
                    <xdr:colOff>0</xdr:colOff>
                    <xdr:row>2284</xdr:row>
                    <xdr:rowOff>0</xdr:rowOff>
                  </from>
                  <to>
                    <xdr:col>7</xdr:col>
                    <xdr:colOff>0</xdr:colOff>
                    <xdr:row>2284</xdr:row>
                    <xdr:rowOff>165100</xdr:rowOff>
                  </to>
                </anchor>
              </controlPr>
            </control>
          </mc:Choice>
        </mc:AlternateContent>
        <mc:AlternateContent xmlns:mc="http://schemas.openxmlformats.org/markup-compatibility/2006">
          <mc:Choice Requires="x14">
            <control shapeId="13381" r:id="rId1284" name="Button 2117">
              <controlPr defaultSize="0" autoFill="0" autoLine="0" autoPict="0" macro="[0]!Sheet1.deleteRow">
                <anchor moveWithCells="1" sizeWithCells="1">
                  <from>
                    <xdr:col>6</xdr:col>
                    <xdr:colOff>0</xdr:colOff>
                    <xdr:row>2285</xdr:row>
                    <xdr:rowOff>0</xdr:rowOff>
                  </from>
                  <to>
                    <xdr:col>7</xdr:col>
                    <xdr:colOff>0</xdr:colOff>
                    <xdr:row>2285</xdr:row>
                    <xdr:rowOff>165100</xdr:rowOff>
                  </to>
                </anchor>
              </controlPr>
            </control>
          </mc:Choice>
        </mc:AlternateContent>
        <mc:AlternateContent xmlns:mc="http://schemas.openxmlformats.org/markup-compatibility/2006">
          <mc:Choice Requires="x14">
            <control shapeId="13380" r:id="rId1285" name="Button 2116">
              <controlPr defaultSize="0" autoFill="0" autoLine="0" autoPict="0" macro="[0]!Sheet1.deleteRow">
                <anchor moveWithCells="1" sizeWithCells="1">
                  <from>
                    <xdr:col>6</xdr:col>
                    <xdr:colOff>0</xdr:colOff>
                    <xdr:row>2286</xdr:row>
                    <xdr:rowOff>0</xdr:rowOff>
                  </from>
                  <to>
                    <xdr:col>7</xdr:col>
                    <xdr:colOff>0</xdr:colOff>
                    <xdr:row>2286</xdr:row>
                    <xdr:rowOff>165100</xdr:rowOff>
                  </to>
                </anchor>
              </controlPr>
            </control>
          </mc:Choice>
        </mc:AlternateContent>
        <mc:AlternateContent xmlns:mc="http://schemas.openxmlformats.org/markup-compatibility/2006">
          <mc:Choice Requires="x14">
            <control shapeId="13379" r:id="rId1286" name="Button 2115">
              <controlPr defaultSize="0" autoFill="0" autoLine="0" autoPict="0" macro="[0]!Sheet1.deleteRow">
                <anchor moveWithCells="1" sizeWithCells="1">
                  <from>
                    <xdr:col>6</xdr:col>
                    <xdr:colOff>0</xdr:colOff>
                    <xdr:row>2287</xdr:row>
                    <xdr:rowOff>0</xdr:rowOff>
                  </from>
                  <to>
                    <xdr:col>7</xdr:col>
                    <xdr:colOff>0</xdr:colOff>
                    <xdr:row>2287</xdr:row>
                    <xdr:rowOff>165100</xdr:rowOff>
                  </to>
                </anchor>
              </controlPr>
            </control>
          </mc:Choice>
        </mc:AlternateContent>
        <mc:AlternateContent xmlns:mc="http://schemas.openxmlformats.org/markup-compatibility/2006">
          <mc:Choice Requires="x14">
            <control shapeId="13378" r:id="rId1287" name="Button 2114">
              <controlPr defaultSize="0" autoFill="0" autoLine="0" autoPict="0" macro="[0]!Sheet1.deleteRow">
                <anchor moveWithCells="1" sizeWithCells="1">
                  <from>
                    <xdr:col>6</xdr:col>
                    <xdr:colOff>0</xdr:colOff>
                    <xdr:row>2288</xdr:row>
                    <xdr:rowOff>0</xdr:rowOff>
                  </from>
                  <to>
                    <xdr:col>7</xdr:col>
                    <xdr:colOff>0</xdr:colOff>
                    <xdr:row>2288</xdr:row>
                    <xdr:rowOff>165100</xdr:rowOff>
                  </to>
                </anchor>
              </controlPr>
            </control>
          </mc:Choice>
        </mc:AlternateContent>
        <mc:AlternateContent xmlns:mc="http://schemas.openxmlformats.org/markup-compatibility/2006">
          <mc:Choice Requires="x14">
            <control shapeId="13377" r:id="rId1288" name="Button 2113">
              <controlPr defaultSize="0" autoFill="0" autoLine="0" autoPict="0" macro="[0]!Sheet1.deleteRow">
                <anchor moveWithCells="1" sizeWithCells="1">
                  <from>
                    <xdr:col>6</xdr:col>
                    <xdr:colOff>0</xdr:colOff>
                    <xdr:row>2289</xdr:row>
                    <xdr:rowOff>0</xdr:rowOff>
                  </from>
                  <to>
                    <xdr:col>7</xdr:col>
                    <xdr:colOff>0</xdr:colOff>
                    <xdr:row>2289</xdr:row>
                    <xdr:rowOff>165100</xdr:rowOff>
                  </to>
                </anchor>
              </controlPr>
            </control>
          </mc:Choice>
        </mc:AlternateContent>
        <mc:AlternateContent xmlns:mc="http://schemas.openxmlformats.org/markup-compatibility/2006">
          <mc:Choice Requires="x14">
            <control shapeId="13376" r:id="rId1289" name="Button 2112">
              <controlPr defaultSize="0" autoFill="0" autoLine="0" autoPict="0" macro="[0]!Sheet1.deleteRow">
                <anchor moveWithCells="1" sizeWithCells="1">
                  <from>
                    <xdr:col>6</xdr:col>
                    <xdr:colOff>0</xdr:colOff>
                    <xdr:row>2290</xdr:row>
                    <xdr:rowOff>0</xdr:rowOff>
                  </from>
                  <to>
                    <xdr:col>7</xdr:col>
                    <xdr:colOff>0</xdr:colOff>
                    <xdr:row>2290</xdr:row>
                    <xdr:rowOff>165100</xdr:rowOff>
                  </to>
                </anchor>
              </controlPr>
            </control>
          </mc:Choice>
        </mc:AlternateContent>
        <mc:AlternateContent xmlns:mc="http://schemas.openxmlformats.org/markup-compatibility/2006">
          <mc:Choice Requires="x14">
            <control shapeId="13375" r:id="rId1290" name="Button 2111">
              <controlPr defaultSize="0" autoFill="0" autoLine="0" autoPict="0" macro="[0]!Sheet1.deleteRow">
                <anchor moveWithCells="1" sizeWithCells="1">
                  <from>
                    <xdr:col>6</xdr:col>
                    <xdr:colOff>0</xdr:colOff>
                    <xdr:row>2291</xdr:row>
                    <xdr:rowOff>0</xdr:rowOff>
                  </from>
                  <to>
                    <xdr:col>7</xdr:col>
                    <xdr:colOff>0</xdr:colOff>
                    <xdr:row>2291</xdr:row>
                    <xdr:rowOff>165100</xdr:rowOff>
                  </to>
                </anchor>
              </controlPr>
            </control>
          </mc:Choice>
        </mc:AlternateContent>
        <mc:AlternateContent xmlns:mc="http://schemas.openxmlformats.org/markup-compatibility/2006">
          <mc:Choice Requires="x14">
            <control shapeId="13374" r:id="rId1291" name="Button 2110">
              <controlPr defaultSize="0" autoFill="0" autoLine="0" autoPict="0" macro="[0]!Sheet1.deleteRow">
                <anchor moveWithCells="1" sizeWithCells="1">
                  <from>
                    <xdr:col>6</xdr:col>
                    <xdr:colOff>0</xdr:colOff>
                    <xdr:row>2292</xdr:row>
                    <xdr:rowOff>0</xdr:rowOff>
                  </from>
                  <to>
                    <xdr:col>7</xdr:col>
                    <xdr:colOff>0</xdr:colOff>
                    <xdr:row>2292</xdr:row>
                    <xdr:rowOff>165100</xdr:rowOff>
                  </to>
                </anchor>
              </controlPr>
            </control>
          </mc:Choice>
        </mc:AlternateContent>
        <mc:AlternateContent xmlns:mc="http://schemas.openxmlformats.org/markup-compatibility/2006">
          <mc:Choice Requires="x14">
            <control shapeId="13373" r:id="rId1292" name="Button 2109">
              <controlPr defaultSize="0" autoFill="0" autoLine="0" autoPict="0" macro="[0]!Sheet1.deleteRow">
                <anchor moveWithCells="1" sizeWithCells="1">
                  <from>
                    <xdr:col>6</xdr:col>
                    <xdr:colOff>0</xdr:colOff>
                    <xdr:row>2293</xdr:row>
                    <xdr:rowOff>0</xdr:rowOff>
                  </from>
                  <to>
                    <xdr:col>7</xdr:col>
                    <xdr:colOff>0</xdr:colOff>
                    <xdr:row>2293</xdr:row>
                    <xdr:rowOff>165100</xdr:rowOff>
                  </to>
                </anchor>
              </controlPr>
            </control>
          </mc:Choice>
        </mc:AlternateContent>
        <mc:AlternateContent xmlns:mc="http://schemas.openxmlformats.org/markup-compatibility/2006">
          <mc:Choice Requires="x14">
            <control shapeId="13372" r:id="rId1293" name="Button 2108">
              <controlPr defaultSize="0" autoFill="0" autoLine="0" autoPict="0" macro="[0]!Sheet1.deleteRow">
                <anchor moveWithCells="1" sizeWithCells="1">
                  <from>
                    <xdr:col>6</xdr:col>
                    <xdr:colOff>0</xdr:colOff>
                    <xdr:row>2294</xdr:row>
                    <xdr:rowOff>0</xdr:rowOff>
                  </from>
                  <to>
                    <xdr:col>7</xdr:col>
                    <xdr:colOff>0</xdr:colOff>
                    <xdr:row>2294</xdr:row>
                    <xdr:rowOff>165100</xdr:rowOff>
                  </to>
                </anchor>
              </controlPr>
            </control>
          </mc:Choice>
        </mc:AlternateContent>
        <mc:AlternateContent xmlns:mc="http://schemas.openxmlformats.org/markup-compatibility/2006">
          <mc:Choice Requires="x14">
            <control shapeId="13371" r:id="rId1294" name="Button 2107">
              <controlPr defaultSize="0" autoFill="0" autoLine="0" autoPict="0" macro="[0]!Sheet1.deleteRow">
                <anchor moveWithCells="1" sizeWithCells="1">
                  <from>
                    <xdr:col>6</xdr:col>
                    <xdr:colOff>0</xdr:colOff>
                    <xdr:row>2295</xdr:row>
                    <xdr:rowOff>0</xdr:rowOff>
                  </from>
                  <to>
                    <xdr:col>7</xdr:col>
                    <xdr:colOff>0</xdr:colOff>
                    <xdr:row>2295</xdr:row>
                    <xdr:rowOff>165100</xdr:rowOff>
                  </to>
                </anchor>
              </controlPr>
            </control>
          </mc:Choice>
        </mc:AlternateContent>
        <mc:AlternateContent xmlns:mc="http://schemas.openxmlformats.org/markup-compatibility/2006">
          <mc:Choice Requires="x14">
            <control shapeId="13370" r:id="rId1295" name="Button 2106">
              <controlPr defaultSize="0" autoFill="0" autoLine="0" autoPict="0" macro="[0]!Sheet1.deleteProcedure">
                <anchor moveWithCells="1" sizeWithCells="1">
                  <from>
                    <xdr:col>6</xdr:col>
                    <xdr:colOff>0</xdr:colOff>
                    <xdr:row>2298</xdr:row>
                    <xdr:rowOff>0</xdr:rowOff>
                  </from>
                  <to>
                    <xdr:col>7</xdr:col>
                    <xdr:colOff>0</xdr:colOff>
                    <xdr:row>2299</xdr:row>
                    <xdr:rowOff>0</xdr:rowOff>
                  </to>
                </anchor>
              </controlPr>
            </control>
          </mc:Choice>
        </mc:AlternateContent>
        <mc:AlternateContent xmlns:mc="http://schemas.openxmlformats.org/markup-compatibility/2006">
          <mc:Choice Requires="x14">
            <control shapeId="13369" r:id="rId1296" name="Button 2105">
              <controlPr defaultSize="0" autoFill="0" autoLine="0" autoPict="0" macro="[0]!Sheet1.InsertNewTableRow">
                <anchor moveWithCells="1" sizeWithCells="1">
                  <from>
                    <xdr:col>6</xdr:col>
                    <xdr:colOff>0</xdr:colOff>
                    <xdr:row>2305</xdr:row>
                    <xdr:rowOff>0</xdr:rowOff>
                  </from>
                  <to>
                    <xdr:col>7</xdr:col>
                    <xdr:colOff>0</xdr:colOff>
                    <xdr:row>2305</xdr:row>
                    <xdr:rowOff>171450</xdr:rowOff>
                  </to>
                </anchor>
              </controlPr>
            </control>
          </mc:Choice>
        </mc:AlternateContent>
        <mc:AlternateContent xmlns:mc="http://schemas.openxmlformats.org/markup-compatibility/2006">
          <mc:Choice Requires="x14">
            <control shapeId="13368" r:id="rId1297" name="Button 2104">
              <controlPr defaultSize="0" autoFill="0" autoLine="0" autoPict="0" macro="[0]!Sheet1.deleteRow">
                <anchor moveWithCells="1" sizeWithCells="1">
                  <from>
                    <xdr:col>6</xdr:col>
                    <xdr:colOff>0</xdr:colOff>
                    <xdr:row>2306</xdr:row>
                    <xdr:rowOff>0</xdr:rowOff>
                  </from>
                  <to>
                    <xdr:col>7</xdr:col>
                    <xdr:colOff>0</xdr:colOff>
                    <xdr:row>2306</xdr:row>
                    <xdr:rowOff>165100</xdr:rowOff>
                  </to>
                </anchor>
              </controlPr>
            </control>
          </mc:Choice>
        </mc:AlternateContent>
        <mc:AlternateContent xmlns:mc="http://schemas.openxmlformats.org/markup-compatibility/2006">
          <mc:Choice Requires="x14">
            <control shapeId="13367" r:id="rId1298" name="Button 2103">
              <controlPr defaultSize="0" autoFill="0" autoLine="0" autoPict="0" macro="[0]!Sheet1.deleteRow">
                <anchor moveWithCells="1" sizeWithCells="1">
                  <from>
                    <xdr:col>6</xdr:col>
                    <xdr:colOff>0</xdr:colOff>
                    <xdr:row>2307</xdr:row>
                    <xdr:rowOff>0</xdr:rowOff>
                  </from>
                  <to>
                    <xdr:col>7</xdr:col>
                    <xdr:colOff>0</xdr:colOff>
                    <xdr:row>2307</xdr:row>
                    <xdr:rowOff>165100</xdr:rowOff>
                  </to>
                </anchor>
              </controlPr>
            </control>
          </mc:Choice>
        </mc:AlternateContent>
        <mc:AlternateContent xmlns:mc="http://schemas.openxmlformats.org/markup-compatibility/2006">
          <mc:Choice Requires="x14">
            <control shapeId="13366" r:id="rId1299" name="Button 2102">
              <controlPr defaultSize="0" autoFill="0" autoLine="0" autoPict="0" macro="[0]!Sheet1.deleteRow">
                <anchor moveWithCells="1" sizeWithCells="1">
                  <from>
                    <xdr:col>6</xdr:col>
                    <xdr:colOff>0</xdr:colOff>
                    <xdr:row>2308</xdr:row>
                    <xdr:rowOff>0</xdr:rowOff>
                  </from>
                  <to>
                    <xdr:col>7</xdr:col>
                    <xdr:colOff>0</xdr:colOff>
                    <xdr:row>2308</xdr:row>
                    <xdr:rowOff>165100</xdr:rowOff>
                  </to>
                </anchor>
              </controlPr>
            </control>
          </mc:Choice>
        </mc:AlternateContent>
        <mc:AlternateContent xmlns:mc="http://schemas.openxmlformats.org/markup-compatibility/2006">
          <mc:Choice Requires="x14">
            <control shapeId="13365" r:id="rId1300" name="Button 2101">
              <controlPr defaultSize="0" autoFill="0" autoLine="0" autoPict="0" macro="[0]!Sheet1.deleteRow">
                <anchor moveWithCells="1" sizeWithCells="1">
                  <from>
                    <xdr:col>6</xdr:col>
                    <xdr:colOff>0</xdr:colOff>
                    <xdr:row>2309</xdr:row>
                    <xdr:rowOff>0</xdr:rowOff>
                  </from>
                  <to>
                    <xdr:col>7</xdr:col>
                    <xdr:colOff>0</xdr:colOff>
                    <xdr:row>2309</xdr:row>
                    <xdr:rowOff>165100</xdr:rowOff>
                  </to>
                </anchor>
              </controlPr>
            </control>
          </mc:Choice>
        </mc:AlternateContent>
        <mc:AlternateContent xmlns:mc="http://schemas.openxmlformats.org/markup-compatibility/2006">
          <mc:Choice Requires="x14">
            <control shapeId="13364" r:id="rId1301" name="Button 2100">
              <controlPr defaultSize="0" autoFill="0" autoLine="0" autoPict="0" macro="[0]!Sheet1.deleteRow">
                <anchor moveWithCells="1" sizeWithCells="1">
                  <from>
                    <xdr:col>6</xdr:col>
                    <xdr:colOff>0</xdr:colOff>
                    <xdr:row>2310</xdr:row>
                    <xdr:rowOff>0</xdr:rowOff>
                  </from>
                  <to>
                    <xdr:col>7</xdr:col>
                    <xdr:colOff>0</xdr:colOff>
                    <xdr:row>2310</xdr:row>
                    <xdr:rowOff>165100</xdr:rowOff>
                  </to>
                </anchor>
              </controlPr>
            </control>
          </mc:Choice>
        </mc:AlternateContent>
        <mc:AlternateContent xmlns:mc="http://schemas.openxmlformats.org/markup-compatibility/2006">
          <mc:Choice Requires="x14">
            <control shapeId="13363" r:id="rId1302" name="Button 2099">
              <controlPr defaultSize="0" autoFill="0" autoLine="0" autoPict="0" macro="[0]!Sheet1.deleteProcedure">
                <anchor moveWithCells="1" sizeWithCells="1">
                  <from>
                    <xdr:col>6</xdr:col>
                    <xdr:colOff>0</xdr:colOff>
                    <xdr:row>2313</xdr:row>
                    <xdr:rowOff>0</xdr:rowOff>
                  </from>
                  <to>
                    <xdr:col>7</xdr:col>
                    <xdr:colOff>0</xdr:colOff>
                    <xdr:row>2314</xdr:row>
                    <xdr:rowOff>0</xdr:rowOff>
                  </to>
                </anchor>
              </controlPr>
            </control>
          </mc:Choice>
        </mc:AlternateContent>
        <mc:AlternateContent xmlns:mc="http://schemas.openxmlformats.org/markup-compatibility/2006">
          <mc:Choice Requires="x14">
            <control shapeId="13362" r:id="rId1303" name="Button 2098">
              <controlPr defaultSize="0" autoFill="0" autoLine="0" autoPict="0" macro="[0]!Sheet1.InsertNewTableRow">
                <anchor moveWithCells="1" sizeWithCells="1">
                  <from>
                    <xdr:col>6</xdr:col>
                    <xdr:colOff>0</xdr:colOff>
                    <xdr:row>2320</xdr:row>
                    <xdr:rowOff>0</xdr:rowOff>
                  </from>
                  <to>
                    <xdr:col>7</xdr:col>
                    <xdr:colOff>0</xdr:colOff>
                    <xdr:row>2320</xdr:row>
                    <xdr:rowOff>171450</xdr:rowOff>
                  </to>
                </anchor>
              </controlPr>
            </control>
          </mc:Choice>
        </mc:AlternateContent>
        <mc:AlternateContent xmlns:mc="http://schemas.openxmlformats.org/markup-compatibility/2006">
          <mc:Choice Requires="x14">
            <control shapeId="13361" r:id="rId1304" name="Button 2097">
              <controlPr defaultSize="0" autoFill="0" autoLine="0" autoPict="0" macro="[0]!Sheet1.deleteRow">
                <anchor moveWithCells="1" sizeWithCells="1">
                  <from>
                    <xdr:col>6</xdr:col>
                    <xdr:colOff>0</xdr:colOff>
                    <xdr:row>2321</xdr:row>
                    <xdr:rowOff>0</xdr:rowOff>
                  </from>
                  <to>
                    <xdr:col>7</xdr:col>
                    <xdr:colOff>0</xdr:colOff>
                    <xdr:row>2321</xdr:row>
                    <xdr:rowOff>165100</xdr:rowOff>
                  </to>
                </anchor>
              </controlPr>
            </control>
          </mc:Choice>
        </mc:AlternateContent>
        <mc:AlternateContent xmlns:mc="http://schemas.openxmlformats.org/markup-compatibility/2006">
          <mc:Choice Requires="x14">
            <control shapeId="13360" r:id="rId1305" name="Button 2096">
              <controlPr defaultSize="0" autoFill="0" autoLine="0" autoPict="0" macro="[0]!Sheet1.deleteRow">
                <anchor moveWithCells="1" sizeWithCells="1">
                  <from>
                    <xdr:col>6</xdr:col>
                    <xdr:colOff>0</xdr:colOff>
                    <xdr:row>2322</xdr:row>
                    <xdr:rowOff>0</xdr:rowOff>
                  </from>
                  <to>
                    <xdr:col>7</xdr:col>
                    <xdr:colOff>0</xdr:colOff>
                    <xdr:row>2322</xdr:row>
                    <xdr:rowOff>165100</xdr:rowOff>
                  </to>
                </anchor>
              </controlPr>
            </control>
          </mc:Choice>
        </mc:AlternateContent>
        <mc:AlternateContent xmlns:mc="http://schemas.openxmlformats.org/markup-compatibility/2006">
          <mc:Choice Requires="x14">
            <control shapeId="13359" r:id="rId1306" name="Button 2095">
              <controlPr defaultSize="0" autoFill="0" autoLine="0" autoPict="0" macro="[0]!Sheet1.deleteRow">
                <anchor moveWithCells="1" sizeWithCells="1">
                  <from>
                    <xdr:col>6</xdr:col>
                    <xdr:colOff>0</xdr:colOff>
                    <xdr:row>2323</xdr:row>
                    <xdr:rowOff>0</xdr:rowOff>
                  </from>
                  <to>
                    <xdr:col>7</xdr:col>
                    <xdr:colOff>0</xdr:colOff>
                    <xdr:row>2323</xdr:row>
                    <xdr:rowOff>165100</xdr:rowOff>
                  </to>
                </anchor>
              </controlPr>
            </control>
          </mc:Choice>
        </mc:AlternateContent>
        <mc:AlternateContent xmlns:mc="http://schemas.openxmlformats.org/markup-compatibility/2006">
          <mc:Choice Requires="x14">
            <control shapeId="13358" r:id="rId1307" name="Button 2094">
              <controlPr defaultSize="0" autoFill="0" autoLine="0" autoPict="0" macro="[0]!Sheet1.deleteRow">
                <anchor moveWithCells="1" sizeWithCells="1">
                  <from>
                    <xdr:col>6</xdr:col>
                    <xdr:colOff>0</xdr:colOff>
                    <xdr:row>2324</xdr:row>
                    <xdr:rowOff>0</xdr:rowOff>
                  </from>
                  <to>
                    <xdr:col>7</xdr:col>
                    <xdr:colOff>0</xdr:colOff>
                    <xdr:row>2324</xdr:row>
                    <xdr:rowOff>165100</xdr:rowOff>
                  </to>
                </anchor>
              </controlPr>
            </control>
          </mc:Choice>
        </mc:AlternateContent>
        <mc:AlternateContent xmlns:mc="http://schemas.openxmlformats.org/markup-compatibility/2006">
          <mc:Choice Requires="x14">
            <control shapeId="13357" r:id="rId1308" name="Button 2093">
              <controlPr defaultSize="0" autoFill="0" autoLine="0" autoPict="0" macro="[0]!Sheet1.deleteRow">
                <anchor moveWithCells="1" sizeWithCells="1">
                  <from>
                    <xdr:col>6</xdr:col>
                    <xdr:colOff>0</xdr:colOff>
                    <xdr:row>2325</xdr:row>
                    <xdr:rowOff>0</xdr:rowOff>
                  </from>
                  <to>
                    <xdr:col>7</xdr:col>
                    <xdr:colOff>0</xdr:colOff>
                    <xdr:row>2325</xdr:row>
                    <xdr:rowOff>165100</xdr:rowOff>
                  </to>
                </anchor>
              </controlPr>
            </control>
          </mc:Choice>
        </mc:AlternateContent>
        <mc:AlternateContent xmlns:mc="http://schemas.openxmlformats.org/markup-compatibility/2006">
          <mc:Choice Requires="x14">
            <control shapeId="13356" r:id="rId1309" name="Button 2092">
              <controlPr defaultSize="0" autoFill="0" autoLine="0" autoPict="0" macro="[0]!Sheet1.deleteRow">
                <anchor moveWithCells="1" sizeWithCells="1">
                  <from>
                    <xdr:col>6</xdr:col>
                    <xdr:colOff>0</xdr:colOff>
                    <xdr:row>2326</xdr:row>
                    <xdr:rowOff>0</xdr:rowOff>
                  </from>
                  <to>
                    <xdr:col>7</xdr:col>
                    <xdr:colOff>0</xdr:colOff>
                    <xdr:row>2326</xdr:row>
                    <xdr:rowOff>165100</xdr:rowOff>
                  </to>
                </anchor>
              </controlPr>
            </control>
          </mc:Choice>
        </mc:AlternateContent>
        <mc:AlternateContent xmlns:mc="http://schemas.openxmlformats.org/markup-compatibility/2006">
          <mc:Choice Requires="x14">
            <control shapeId="13355" r:id="rId1310" name="Button 2091">
              <controlPr defaultSize="0" autoFill="0" autoLine="0" autoPict="0" macro="[0]!Sheet1.deleteRow">
                <anchor moveWithCells="1" sizeWithCells="1">
                  <from>
                    <xdr:col>6</xdr:col>
                    <xdr:colOff>0</xdr:colOff>
                    <xdr:row>2327</xdr:row>
                    <xdr:rowOff>0</xdr:rowOff>
                  </from>
                  <to>
                    <xdr:col>7</xdr:col>
                    <xdr:colOff>0</xdr:colOff>
                    <xdr:row>2327</xdr:row>
                    <xdr:rowOff>165100</xdr:rowOff>
                  </to>
                </anchor>
              </controlPr>
            </control>
          </mc:Choice>
        </mc:AlternateContent>
        <mc:AlternateContent xmlns:mc="http://schemas.openxmlformats.org/markup-compatibility/2006">
          <mc:Choice Requires="x14">
            <control shapeId="13354" r:id="rId1311" name="Button 2090">
              <controlPr defaultSize="0" autoFill="0" autoLine="0" autoPict="0" macro="[0]!Sheet1.deleteProcedure">
                <anchor moveWithCells="1" sizeWithCells="1">
                  <from>
                    <xdr:col>6</xdr:col>
                    <xdr:colOff>0</xdr:colOff>
                    <xdr:row>2330</xdr:row>
                    <xdr:rowOff>0</xdr:rowOff>
                  </from>
                  <to>
                    <xdr:col>7</xdr:col>
                    <xdr:colOff>0</xdr:colOff>
                    <xdr:row>2331</xdr:row>
                    <xdr:rowOff>0</xdr:rowOff>
                  </to>
                </anchor>
              </controlPr>
            </control>
          </mc:Choice>
        </mc:AlternateContent>
        <mc:AlternateContent xmlns:mc="http://schemas.openxmlformats.org/markup-compatibility/2006">
          <mc:Choice Requires="x14">
            <control shapeId="13353" r:id="rId1312" name="Button 2089">
              <controlPr defaultSize="0" autoFill="0" autoLine="0" autoPict="0" macro="[0]!Sheet1.InsertNewTableRow">
                <anchor moveWithCells="1" sizeWithCells="1">
                  <from>
                    <xdr:col>6</xdr:col>
                    <xdr:colOff>0</xdr:colOff>
                    <xdr:row>2337</xdr:row>
                    <xdr:rowOff>0</xdr:rowOff>
                  </from>
                  <to>
                    <xdr:col>7</xdr:col>
                    <xdr:colOff>0</xdr:colOff>
                    <xdr:row>2337</xdr:row>
                    <xdr:rowOff>171450</xdr:rowOff>
                  </to>
                </anchor>
              </controlPr>
            </control>
          </mc:Choice>
        </mc:AlternateContent>
        <mc:AlternateContent xmlns:mc="http://schemas.openxmlformats.org/markup-compatibility/2006">
          <mc:Choice Requires="x14">
            <control shapeId="13352" r:id="rId1313" name="Button 2088">
              <controlPr defaultSize="0" autoFill="0" autoLine="0" autoPict="0" macro="[0]!Sheet1.deleteRow">
                <anchor moveWithCells="1" sizeWithCells="1">
                  <from>
                    <xdr:col>6</xdr:col>
                    <xdr:colOff>0</xdr:colOff>
                    <xdr:row>2338</xdr:row>
                    <xdr:rowOff>0</xdr:rowOff>
                  </from>
                  <to>
                    <xdr:col>7</xdr:col>
                    <xdr:colOff>0</xdr:colOff>
                    <xdr:row>2338</xdr:row>
                    <xdr:rowOff>165100</xdr:rowOff>
                  </to>
                </anchor>
              </controlPr>
            </control>
          </mc:Choice>
        </mc:AlternateContent>
        <mc:AlternateContent xmlns:mc="http://schemas.openxmlformats.org/markup-compatibility/2006">
          <mc:Choice Requires="x14">
            <control shapeId="13351" r:id="rId1314" name="Button 2087">
              <controlPr defaultSize="0" autoFill="0" autoLine="0" autoPict="0" macro="[0]!Sheet1.deleteRow">
                <anchor moveWithCells="1" sizeWithCells="1">
                  <from>
                    <xdr:col>6</xdr:col>
                    <xdr:colOff>0</xdr:colOff>
                    <xdr:row>2339</xdr:row>
                    <xdr:rowOff>0</xdr:rowOff>
                  </from>
                  <to>
                    <xdr:col>7</xdr:col>
                    <xdr:colOff>0</xdr:colOff>
                    <xdr:row>2339</xdr:row>
                    <xdr:rowOff>165100</xdr:rowOff>
                  </to>
                </anchor>
              </controlPr>
            </control>
          </mc:Choice>
        </mc:AlternateContent>
        <mc:AlternateContent xmlns:mc="http://schemas.openxmlformats.org/markup-compatibility/2006">
          <mc:Choice Requires="x14">
            <control shapeId="13350" r:id="rId1315" name="Button 2086">
              <controlPr defaultSize="0" autoFill="0" autoLine="0" autoPict="0" macro="[0]!Sheet1.deleteRow">
                <anchor moveWithCells="1" sizeWithCells="1">
                  <from>
                    <xdr:col>6</xdr:col>
                    <xdr:colOff>0</xdr:colOff>
                    <xdr:row>2340</xdr:row>
                    <xdr:rowOff>0</xdr:rowOff>
                  </from>
                  <to>
                    <xdr:col>7</xdr:col>
                    <xdr:colOff>0</xdr:colOff>
                    <xdr:row>2340</xdr:row>
                    <xdr:rowOff>165100</xdr:rowOff>
                  </to>
                </anchor>
              </controlPr>
            </control>
          </mc:Choice>
        </mc:AlternateContent>
        <mc:AlternateContent xmlns:mc="http://schemas.openxmlformats.org/markup-compatibility/2006">
          <mc:Choice Requires="x14">
            <control shapeId="13349" r:id="rId1316" name="Button 2085">
              <controlPr defaultSize="0" autoFill="0" autoLine="0" autoPict="0" macro="[0]!Sheet1.deleteRow">
                <anchor moveWithCells="1" sizeWithCells="1">
                  <from>
                    <xdr:col>6</xdr:col>
                    <xdr:colOff>0</xdr:colOff>
                    <xdr:row>2341</xdr:row>
                    <xdr:rowOff>0</xdr:rowOff>
                  </from>
                  <to>
                    <xdr:col>7</xdr:col>
                    <xdr:colOff>0</xdr:colOff>
                    <xdr:row>2341</xdr:row>
                    <xdr:rowOff>165100</xdr:rowOff>
                  </to>
                </anchor>
              </controlPr>
            </control>
          </mc:Choice>
        </mc:AlternateContent>
        <mc:AlternateContent xmlns:mc="http://schemas.openxmlformats.org/markup-compatibility/2006">
          <mc:Choice Requires="x14">
            <control shapeId="13348" r:id="rId1317" name="Button 2084">
              <controlPr defaultSize="0" autoFill="0" autoLine="0" autoPict="0" macro="[0]!Sheet1.deleteRow">
                <anchor moveWithCells="1" sizeWithCells="1">
                  <from>
                    <xdr:col>6</xdr:col>
                    <xdr:colOff>0</xdr:colOff>
                    <xdr:row>2342</xdr:row>
                    <xdr:rowOff>0</xdr:rowOff>
                  </from>
                  <to>
                    <xdr:col>7</xdr:col>
                    <xdr:colOff>0</xdr:colOff>
                    <xdr:row>2342</xdr:row>
                    <xdr:rowOff>165100</xdr:rowOff>
                  </to>
                </anchor>
              </controlPr>
            </control>
          </mc:Choice>
        </mc:AlternateContent>
        <mc:AlternateContent xmlns:mc="http://schemas.openxmlformats.org/markup-compatibility/2006">
          <mc:Choice Requires="x14">
            <control shapeId="13347" r:id="rId1318" name="Button 2083">
              <controlPr defaultSize="0" autoFill="0" autoLine="0" autoPict="0" macro="[0]!Sheet1.deleteRow">
                <anchor moveWithCells="1" sizeWithCells="1">
                  <from>
                    <xdr:col>6</xdr:col>
                    <xdr:colOff>0</xdr:colOff>
                    <xdr:row>2343</xdr:row>
                    <xdr:rowOff>0</xdr:rowOff>
                  </from>
                  <to>
                    <xdr:col>7</xdr:col>
                    <xdr:colOff>0</xdr:colOff>
                    <xdr:row>2343</xdr:row>
                    <xdr:rowOff>165100</xdr:rowOff>
                  </to>
                </anchor>
              </controlPr>
            </control>
          </mc:Choice>
        </mc:AlternateContent>
        <mc:AlternateContent xmlns:mc="http://schemas.openxmlformats.org/markup-compatibility/2006">
          <mc:Choice Requires="x14">
            <control shapeId="13346" r:id="rId1319" name="Button 2082">
              <controlPr defaultSize="0" autoFill="0" autoLine="0" autoPict="0" macro="[0]!Sheet1.deleteRow">
                <anchor moveWithCells="1" sizeWithCells="1">
                  <from>
                    <xdr:col>6</xdr:col>
                    <xdr:colOff>0</xdr:colOff>
                    <xdr:row>2344</xdr:row>
                    <xdr:rowOff>0</xdr:rowOff>
                  </from>
                  <to>
                    <xdr:col>7</xdr:col>
                    <xdr:colOff>0</xdr:colOff>
                    <xdr:row>2344</xdr:row>
                    <xdr:rowOff>165100</xdr:rowOff>
                  </to>
                </anchor>
              </controlPr>
            </control>
          </mc:Choice>
        </mc:AlternateContent>
        <mc:AlternateContent xmlns:mc="http://schemas.openxmlformats.org/markup-compatibility/2006">
          <mc:Choice Requires="x14">
            <control shapeId="13345" r:id="rId1320" name="Button 2081">
              <controlPr defaultSize="0" autoFill="0" autoLine="0" autoPict="0" macro="[0]!Sheet1.deleteRow">
                <anchor moveWithCells="1" sizeWithCells="1">
                  <from>
                    <xdr:col>6</xdr:col>
                    <xdr:colOff>0</xdr:colOff>
                    <xdr:row>2345</xdr:row>
                    <xdr:rowOff>0</xdr:rowOff>
                  </from>
                  <to>
                    <xdr:col>7</xdr:col>
                    <xdr:colOff>0</xdr:colOff>
                    <xdr:row>2345</xdr:row>
                    <xdr:rowOff>165100</xdr:rowOff>
                  </to>
                </anchor>
              </controlPr>
            </control>
          </mc:Choice>
        </mc:AlternateContent>
        <mc:AlternateContent xmlns:mc="http://schemas.openxmlformats.org/markup-compatibility/2006">
          <mc:Choice Requires="x14">
            <control shapeId="13344" r:id="rId1321" name="Button 2080">
              <controlPr defaultSize="0" autoFill="0" autoLine="0" autoPict="0" macro="[0]!Sheet1.deleteRow">
                <anchor moveWithCells="1" sizeWithCells="1">
                  <from>
                    <xdr:col>6</xdr:col>
                    <xdr:colOff>0</xdr:colOff>
                    <xdr:row>2346</xdr:row>
                    <xdr:rowOff>0</xdr:rowOff>
                  </from>
                  <to>
                    <xdr:col>7</xdr:col>
                    <xdr:colOff>0</xdr:colOff>
                    <xdr:row>2346</xdr:row>
                    <xdr:rowOff>165100</xdr:rowOff>
                  </to>
                </anchor>
              </controlPr>
            </control>
          </mc:Choice>
        </mc:AlternateContent>
        <mc:AlternateContent xmlns:mc="http://schemas.openxmlformats.org/markup-compatibility/2006">
          <mc:Choice Requires="x14">
            <control shapeId="13343" r:id="rId1322" name="Button 2079">
              <controlPr defaultSize="0" autoFill="0" autoLine="0" autoPict="0" macro="[0]!Sheet1.deleteRow">
                <anchor moveWithCells="1" sizeWithCells="1">
                  <from>
                    <xdr:col>6</xdr:col>
                    <xdr:colOff>0</xdr:colOff>
                    <xdr:row>2347</xdr:row>
                    <xdr:rowOff>0</xdr:rowOff>
                  </from>
                  <to>
                    <xdr:col>7</xdr:col>
                    <xdr:colOff>0</xdr:colOff>
                    <xdr:row>2347</xdr:row>
                    <xdr:rowOff>165100</xdr:rowOff>
                  </to>
                </anchor>
              </controlPr>
            </control>
          </mc:Choice>
        </mc:AlternateContent>
        <mc:AlternateContent xmlns:mc="http://schemas.openxmlformats.org/markup-compatibility/2006">
          <mc:Choice Requires="x14">
            <control shapeId="13342" r:id="rId1323" name="Button 2078">
              <controlPr defaultSize="0" autoFill="0" autoLine="0" autoPict="0" macro="[0]!Sheet1.deleteRow">
                <anchor moveWithCells="1" sizeWithCells="1">
                  <from>
                    <xdr:col>6</xdr:col>
                    <xdr:colOff>0</xdr:colOff>
                    <xdr:row>2348</xdr:row>
                    <xdr:rowOff>0</xdr:rowOff>
                  </from>
                  <to>
                    <xdr:col>7</xdr:col>
                    <xdr:colOff>0</xdr:colOff>
                    <xdr:row>2348</xdr:row>
                    <xdr:rowOff>165100</xdr:rowOff>
                  </to>
                </anchor>
              </controlPr>
            </control>
          </mc:Choice>
        </mc:AlternateContent>
        <mc:AlternateContent xmlns:mc="http://schemas.openxmlformats.org/markup-compatibility/2006">
          <mc:Choice Requires="x14">
            <control shapeId="13341" r:id="rId1324" name="Button 2077">
              <controlPr defaultSize="0" autoFill="0" autoLine="0" autoPict="0" macro="[0]!Sheet1.deleteRow">
                <anchor moveWithCells="1" sizeWithCells="1">
                  <from>
                    <xdr:col>6</xdr:col>
                    <xdr:colOff>0</xdr:colOff>
                    <xdr:row>2349</xdr:row>
                    <xdr:rowOff>0</xdr:rowOff>
                  </from>
                  <to>
                    <xdr:col>7</xdr:col>
                    <xdr:colOff>0</xdr:colOff>
                    <xdr:row>2349</xdr:row>
                    <xdr:rowOff>165100</xdr:rowOff>
                  </to>
                </anchor>
              </controlPr>
            </control>
          </mc:Choice>
        </mc:AlternateContent>
        <mc:AlternateContent xmlns:mc="http://schemas.openxmlformats.org/markup-compatibility/2006">
          <mc:Choice Requires="x14">
            <control shapeId="13340" r:id="rId1325" name="Button 2076">
              <controlPr defaultSize="0" autoFill="0" autoLine="0" autoPict="0" macro="[0]!Sheet1.deleteRow">
                <anchor moveWithCells="1" sizeWithCells="1">
                  <from>
                    <xdr:col>6</xdr:col>
                    <xdr:colOff>0</xdr:colOff>
                    <xdr:row>2350</xdr:row>
                    <xdr:rowOff>0</xdr:rowOff>
                  </from>
                  <to>
                    <xdr:col>7</xdr:col>
                    <xdr:colOff>0</xdr:colOff>
                    <xdr:row>2350</xdr:row>
                    <xdr:rowOff>165100</xdr:rowOff>
                  </to>
                </anchor>
              </controlPr>
            </control>
          </mc:Choice>
        </mc:AlternateContent>
        <mc:AlternateContent xmlns:mc="http://schemas.openxmlformats.org/markup-compatibility/2006">
          <mc:Choice Requires="x14">
            <control shapeId="13339" r:id="rId1326" name="Button 2075">
              <controlPr defaultSize="0" autoFill="0" autoLine="0" autoPict="0" macro="[0]!Sheet1.deleteRow">
                <anchor moveWithCells="1" sizeWithCells="1">
                  <from>
                    <xdr:col>6</xdr:col>
                    <xdr:colOff>0</xdr:colOff>
                    <xdr:row>2351</xdr:row>
                    <xdr:rowOff>0</xdr:rowOff>
                  </from>
                  <to>
                    <xdr:col>7</xdr:col>
                    <xdr:colOff>0</xdr:colOff>
                    <xdr:row>2351</xdr:row>
                    <xdr:rowOff>165100</xdr:rowOff>
                  </to>
                </anchor>
              </controlPr>
            </control>
          </mc:Choice>
        </mc:AlternateContent>
        <mc:AlternateContent xmlns:mc="http://schemas.openxmlformats.org/markup-compatibility/2006">
          <mc:Choice Requires="x14">
            <control shapeId="13338" r:id="rId1327" name="Button 2074">
              <controlPr defaultSize="0" autoFill="0" autoLine="0" autoPict="0" macro="[0]!Sheet1.deleteRow">
                <anchor moveWithCells="1" sizeWithCells="1">
                  <from>
                    <xdr:col>6</xdr:col>
                    <xdr:colOff>0</xdr:colOff>
                    <xdr:row>2352</xdr:row>
                    <xdr:rowOff>0</xdr:rowOff>
                  </from>
                  <to>
                    <xdr:col>7</xdr:col>
                    <xdr:colOff>0</xdr:colOff>
                    <xdr:row>2352</xdr:row>
                    <xdr:rowOff>165100</xdr:rowOff>
                  </to>
                </anchor>
              </controlPr>
            </control>
          </mc:Choice>
        </mc:AlternateContent>
        <mc:AlternateContent xmlns:mc="http://schemas.openxmlformats.org/markup-compatibility/2006">
          <mc:Choice Requires="x14">
            <control shapeId="13337" r:id="rId1328" name="Button 2073">
              <controlPr defaultSize="0" autoFill="0" autoLine="0" autoPict="0" macro="[0]!Sheet1.deleteRow">
                <anchor moveWithCells="1" sizeWithCells="1">
                  <from>
                    <xdr:col>6</xdr:col>
                    <xdr:colOff>0</xdr:colOff>
                    <xdr:row>2353</xdr:row>
                    <xdr:rowOff>0</xdr:rowOff>
                  </from>
                  <to>
                    <xdr:col>7</xdr:col>
                    <xdr:colOff>0</xdr:colOff>
                    <xdr:row>2353</xdr:row>
                    <xdr:rowOff>165100</xdr:rowOff>
                  </to>
                </anchor>
              </controlPr>
            </control>
          </mc:Choice>
        </mc:AlternateContent>
        <mc:AlternateContent xmlns:mc="http://schemas.openxmlformats.org/markup-compatibility/2006">
          <mc:Choice Requires="x14">
            <control shapeId="13336" r:id="rId1329" name="Button 2072">
              <controlPr defaultSize="0" autoFill="0" autoLine="0" autoPict="0" macro="[0]!Sheet1.deleteRow">
                <anchor moveWithCells="1" sizeWithCells="1">
                  <from>
                    <xdr:col>6</xdr:col>
                    <xdr:colOff>0</xdr:colOff>
                    <xdr:row>2354</xdr:row>
                    <xdr:rowOff>0</xdr:rowOff>
                  </from>
                  <to>
                    <xdr:col>7</xdr:col>
                    <xdr:colOff>0</xdr:colOff>
                    <xdr:row>2354</xdr:row>
                    <xdr:rowOff>165100</xdr:rowOff>
                  </to>
                </anchor>
              </controlPr>
            </control>
          </mc:Choice>
        </mc:AlternateContent>
        <mc:AlternateContent xmlns:mc="http://schemas.openxmlformats.org/markup-compatibility/2006">
          <mc:Choice Requires="x14">
            <control shapeId="13335" r:id="rId1330" name="Button 2071">
              <controlPr defaultSize="0" autoFill="0" autoLine="0" autoPict="0" macro="[0]!Sheet1.deleteRow">
                <anchor moveWithCells="1" sizeWithCells="1">
                  <from>
                    <xdr:col>6</xdr:col>
                    <xdr:colOff>0</xdr:colOff>
                    <xdr:row>2355</xdr:row>
                    <xdr:rowOff>0</xdr:rowOff>
                  </from>
                  <to>
                    <xdr:col>7</xdr:col>
                    <xdr:colOff>0</xdr:colOff>
                    <xdr:row>2355</xdr:row>
                    <xdr:rowOff>165100</xdr:rowOff>
                  </to>
                </anchor>
              </controlPr>
            </control>
          </mc:Choice>
        </mc:AlternateContent>
        <mc:AlternateContent xmlns:mc="http://schemas.openxmlformats.org/markup-compatibility/2006">
          <mc:Choice Requires="x14">
            <control shapeId="13334" r:id="rId1331" name="Button 2070">
              <controlPr defaultSize="0" autoFill="0" autoLine="0" autoPict="0" macro="[0]!Sheet1.deleteRow">
                <anchor moveWithCells="1" sizeWithCells="1">
                  <from>
                    <xdr:col>6</xdr:col>
                    <xdr:colOff>0</xdr:colOff>
                    <xdr:row>2356</xdr:row>
                    <xdr:rowOff>0</xdr:rowOff>
                  </from>
                  <to>
                    <xdr:col>7</xdr:col>
                    <xdr:colOff>0</xdr:colOff>
                    <xdr:row>2356</xdr:row>
                    <xdr:rowOff>165100</xdr:rowOff>
                  </to>
                </anchor>
              </controlPr>
            </control>
          </mc:Choice>
        </mc:AlternateContent>
        <mc:AlternateContent xmlns:mc="http://schemas.openxmlformats.org/markup-compatibility/2006">
          <mc:Choice Requires="x14">
            <control shapeId="13333" r:id="rId1332" name="Button 2069">
              <controlPr defaultSize="0" autoFill="0" autoLine="0" autoPict="0" macro="[0]!Sheet1.deleteRow">
                <anchor moveWithCells="1" sizeWithCells="1">
                  <from>
                    <xdr:col>6</xdr:col>
                    <xdr:colOff>0</xdr:colOff>
                    <xdr:row>2357</xdr:row>
                    <xdr:rowOff>0</xdr:rowOff>
                  </from>
                  <to>
                    <xdr:col>7</xdr:col>
                    <xdr:colOff>0</xdr:colOff>
                    <xdr:row>2357</xdr:row>
                    <xdr:rowOff>165100</xdr:rowOff>
                  </to>
                </anchor>
              </controlPr>
            </control>
          </mc:Choice>
        </mc:AlternateContent>
        <mc:AlternateContent xmlns:mc="http://schemas.openxmlformats.org/markup-compatibility/2006">
          <mc:Choice Requires="x14">
            <control shapeId="13332" r:id="rId1333" name="Button 2068">
              <controlPr defaultSize="0" autoFill="0" autoLine="0" autoPict="0" macro="[0]!Sheet1.deleteRow">
                <anchor moveWithCells="1" sizeWithCells="1">
                  <from>
                    <xdr:col>6</xdr:col>
                    <xdr:colOff>0</xdr:colOff>
                    <xdr:row>2358</xdr:row>
                    <xdr:rowOff>0</xdr:rowOff>
                  </from>
                  <to>
                    <xdr:col>7</xdr:col>
                    <xdr:colOff>0</xdr:colOff>
                    <xdr:row>2358</xdr:row>
                    <xdr:rowOff>165100</xdr:rowOff>
                  </to>
                </anchor>
              </controlPr>
            </control>
          </mc:Choice>
        </mc:AlternateContent>
        <mc:AlternateContent xmlns:mc="http://schemas.openxmlformats.org/markup-compatibility/2006">
          <mc:Choice Requires="x14">
            <control shapeId="13331" r:id="rId1334" name="Button 2067">
              <controlPr defaultSize="0" autoFill="0" autoLine="0" autoPict="0" macro="[0]!Sheet1.deleteRow">
                <anchor moveWithCells="1" sizeWithCells="1">
                  <from>
                    <xdr:col>6</xdr:col>
                    <xdr:colOff>0</xdr:colOff>
                    <xdr:row>2359</xdr:row>
                    <xdr:rowOff>0</xdr:rowOff>
                  </from>
                  <to>
                    <xdr:col>7</xdr:col>
                    <xdr:colOff>0</xdr:colOff>
                    <xdr:row>2359</xdr:row>
                    <xdr:rowOff>165100</xdr:rowOff>
                  </to>
                </anchor>
              </controlPr>
            </control>
          </mc:Choice>
        </mc:AlternateContent>
        <mc:AlternateContent xmlns:mc="http://schemas.openxmlformats.org/markup-compatibility/2006">
          <mc:Choice Requires="x14">
            <control shapeId="13330" r:id="rId1335" name="Button 2066">
              <controlPr defaultSize="0" autoFill="0" autoLine="0" autoPict="0" macro="[0]!Sheet1.deleteRow">
                <anchor moveWithCells="1" sizeWithCells="1">
                  <from>
                    <xdr:col>6</xdr:col>
                    <xdr:colOff>0</xdr:colOff>
                    <xdr:row>2360</xdr:row>
                    <xdr:rowOff>0</xdr:rowOff>
                  </from>
                  <to>
                    <xdr:col>7</xdr:col>
                    <xdr:colOff>0</xdr:colOff>
                    <xdr:row>2360</xdr:row>
                    <xdr:rowOff>165100</xdr:rowOff>
                  </to>
                </anchor>
              </controlPr>
            </control>
          </mc:Choice>
        </mc:AlternateContent>
        <mc:AlternateContent xmlns:mc="http://schemas.openxmlformats.org/markup-compatibility/2006">
          <mc:Choice Requires="x14">
            <control shapeId="13329" r:id="rId1336" name="Button 2065">
              <controlPr defaultSize="0" autoFill="0" autoLine="0" autoPict="0" macro="[0]!Sheet1.deleteRow">
                <anchor moveWithCells="1" sizeWithCells="1">
                  <from>
                    <xdr:col>6</xdr:col>
                    <xdr:colOff>0</xdr:colOff>
                    <xdr:row>2361</xdr:row>
                    <xdr:rowOff>0</xdr:rowOff>
                  </from>
                  <to>
                    <xdr:col>7</xdr:col>
                    <xdr:colOff>0</xdr:colOff>
                    <xdr:row>2361</xdr:row>
                    <xdr:rowOff>165100</xdr:rowOff>
                  </to>
                </anchor>
              </controlPr>
            </control>
          </mc:Choice>
        </mc:AlternateContent>
        <mc:AlternateContent xmlns:mc="http://schemas.openxmlformats.org/markup-compatibility/2006">
          <mc:Choice Requires="x14">
            <control shapeId="13328" r:id="rId1337" name="Button 2064">
              <controlPr defaultSize="0" autoFill="0" autoLine="0" autoPict="0" macro="[0]!Sheet1.deleteRow">
                <anchor moveWithCells="1" sizeWithCells="1">
                  <from>
                    <xdr:col>6</xdr:col>
                    <xdr:colOff>0</xdr:colOff>
                    <xdr:row>2362</xdr:row>
                    <xdr:rowOff>0</xdr:rowOff>
                  </from>
                  <to>
                    <xdr:col>7</xdr:col>
                    <xdr:colOff>0</xdr:colOff>
                    <xdr:row>2362</xdr:row>
                    <xdr:rowOff>165100</xdr:rowOff>
                  </to>
                </anchor>
              </controlPr>
            </control>
          </mc:Choice>
        </mc:AlternateContent>
        <mc:AlternateContent xmlns:mc="http://schemas.openxmlformats.org/markup-compatibility/2006">
          <mc:Choice Requires="x14">
            <control shapeId="13327" r:id="rId1338" name="Button 2063">
              <controlPr defaultSize="0" autoFill="0" autoLine="0" autoPict="0" macro="[0]!Sheet1.deleteRow">
                <anchor moveWithCells="1" sizeWithCells="1">
                  <from>
                    <xdr:col>6</xdr:col>
                    <xdr:colOff>0</xdr:colOff>
                    <xdr:row>2363</xdr:row>
                    <xdr:rowOff>0</xdr:rowOff>
                  </from>
                  <to>
                    <xdr:col>7</xdr:col>
                    <xdr:colOff>0</xdr:colOff>
                    <xdr:row>2363</xdr:row>
                    <xdr:rowOff>165100</xdr:rowOff>
                  </to>
                </anchor>
              </controlPr>
            </control>
          </mc:Choice>
        </mc:AlternateContent>
        <mc:AlternateContent xmlns:mc="http://schemas.openxmlformats.org/markup-compatibility/2006">
          <mc:Choice Requires="x14">
            <control shapeId="13326" r:id="rId1339" name="Button 2062">
              <controlPr defaultSize="0" autoFill="0" autoLine="0" autoPict="0" macro="[0]!Sheet1.deleteRow">
                <anchor moveWithCells="1" sizeWithCells="1">
                  <from>
                    <xdr:col>6</xdr:col>
                    <xdr:colOff>0</xdr:colOff>
                    <xdr:row>2364</xdr:row>
                    <xdr:rowOff>0</xdr:rowOff>
                  </from>
                  <to>
                    <xdr:col>7</xdr:col>
                    <xdr:colOff>0</xdr:colOff>
                    <xdr:row>2364</xdr:row>
                    <xdr:rowOff>165100</xdr:rowOff>
                  </to>
                </anchor>
              </controlPr>
            </control>
          </mc:Choice>
        </mc:AlternateContent>
        <mc:AlternateContent xmlns:mc="http://schemas.openxmlformats.org/markup-compatibility/2006">
          <mc:Choice Requires="x14">
            <control shapeId="13325" r:id="rId1340" name="Button 2061">
              <controlPr defaultSize="0" autoFill="0" autoLine="0" autoPict="0" macro="[0]!Sheet1.deleteRow">
                <anchor moveWithCells="1" sizeWithCells="1">
                  <from>
                    <xdr:col>6</xdr:col>
                    <xdr:colOff>0</xdr:colOff>
                    <xdr:row>2365</xdr:row>
                    <xdr:rowOff>0</xdr:rowOff>
                  </from>
                  <to>
                    <xdr:col>7</xdr:col>
                    <xdr:colOff>0</xdr:colOff>
                    <xdr:row>2365</xdr:row>
                    <xdr:rowOff>165100</xdr:rowOff>
                  </to>
                </anchor>
              </controlPr>
            </control>
          </mc:Choice>
        </mc:AlternateContent>
        <mc:AlternateContent xmlns:mc="http://schemas.openxmlformats.org/markup-compatibility/2006">
          <mc:Choice Requires="x14">
            <control shapeId="13324" r:id="rId1341" name="Button 2060">
              <controlPr defaultSize="0" autoFill="0" autoLine="0" autoPict="0" macro="[0]!Sheet1.deleteRow">
                <anchor moveWithCells="1" sizeWithCells="1">
                  <from>
                    <xdr:col>6</xdr:col>
                    <xdr:colOff>0</xdr:colOff>
                    <xdr:row>2366</xdr:row>
                    <xdr:rowOff>0</xdr:rowOff>
                  </from>
                  <to>
                    <xdr:col>7</xdr:col>
                    <xdr:colOff>0</xdr:colOff>
                    <xdr:row>2366</xdr:row>
                    <xdr:rowOff>165100</xdr:rowOff>
                  </to>
                </anchor>
              </controlPr>
            </control>
          </mc:Choice>
        </mc:AlternateContent>
        <mc:AlternateContent xmlns:mc="http://schemas.openxmlformats.org/markup-compatibility/2006">
          <mc:Choice Requires="x14">
            <control shapeId="13323" r:id="rId1342" name="Button 2059">
              <controlPr defaultSize="0" autoFill="0" autoLine="0" autoPict="0" macro="[0]!Sheet1.deleteRow">
                <anchor moveWithCells="1" sizeWithCells="1">
                  <from>
                    <xdr:col>6</xdr:col>
                    <xdr:colOff>0</xdr:colOff>
                    <xdr:row>2367</xdr:row>
                    <xdr:rowOff>0</xdr:rowOff>
                  </from>
                  <to>
                    <xdr:col>7</xdr:col>
                    <xdr:colOff>0</xdr:colOff>
                    <xdr:row>2367</xdr:row>
                    <xdr:rowOff>165100</xdr:rowOff>
                  </to>
                </anchor>
              </controlPr>
            </control>
          </mc:Choice>
        </mc:AlternateContent>
        <mc:AlternateContent xmlns:mc="http://schemas.openxmlformats.org/markup-compatibility/2006">
          <mc:Choice Requires="x14">
            <control shapeId="13322" r:id="rId1343" name="Button 2058">
              <controlPr defaultSize="0" autoFill="0" autoLine="0" autoPict="0" macro="[0]!Sheet1.deleteRow">
                <anchor moveWithCells="1" sizeWithCells="1">
                  <from>
                    <xdr:col>6</xdr:col>
                    <xdr:colOff>0</xdr:colOff>
                    <xdr:row>2368</xdr:row>
                    <xdr:rowOff>0</xdr:rowOff>
                  </from>
                  <to>
                    <xdr:col>7</xdr:col>
                    <xdr:colOff>0</xdr:colOff>
                    <xdr:row>2368</xdr:row>
                    <xdr:rowOff>165100</xdr:rowOff>
                  </to>
                </anchor>
              </controlPr>
            </control>
          </mc:Choice>
        </mc:AlternateContent>
        <mc:AlternateContent xmlns:mc="http://schemas.openxmlformats.org/markup-compatibility/2006">
          <mc:Choice Requires="x14">
            <control shapeId="13321" r:id="rId1344" name="Button 2057">
              <controlPr defaultSize="0" autoFill="0" autoLine="0" autoPict="0" macro="[0]!Sheet1.deleteRow">
                <anchor moveWithCells="1" sizeWithCells="1">
                  <from>
                    <xdr:col>6</xdr:col>
                    <xdr:colOff>0</xdr:colOff>
                    <xdr:row>2369</xdr:row>
                    <xdr:rowOff>0</xdr:rowOff>
                  </from>
                  <to>
                    <xdr:col>7</xdr:col>
                    <xdr:colOff>0</xdr:colOff>
                    <xdr:row>2369</xdr:row>
                    <xdr:rowOff>165100</xdr:rowOff>
                  </to>
                </anchor>
              </controlPr>
            </control>
          </mc:Choice>
        </mc:AlternateContent>
        <mc:AlternateContent xmlns:mc="http://schemas.openxmlformats.org/markup-compatibility/2006">
          <mc:Choice Requires="x14">
            <control shapeId="13320" r:id="rId1345" name="Button 2056">
              <controlPr defaultSize="0" autoFill="0" autoLine="0" autoPict="0" macro="[0]!Sheet1.deleteRow">
                <anchor moveWithCells="1" sizeWithCells="1">
                  <from>
                    <xdr:col>6</xdr:col>
                    <xdr:colOff>0</xdr:colOff>
                    <xdr:row>2370</xdr:row>
                    <xdr:rowOff>0</xdr:rowOff>
                  </from>
                  <to>
                    <xdr:col>7</xdr:col>
                    <xdr:colOff>0</xdr:colOff>
                    <xdr:row>2370</xdr:row>
                    <xdr:rowOff>165100</xdr:rowOff>
                  </to>
                </anchor>
              </controlPr>
            </control>
          </mc:Choice>
        </mc:AlternateContent>
        <mc:AlternateContent xmlns:mc="http://schemas.openxmlformats.org/markup-compatibility/2006">
          <mc:Choice Requires="x14">
            <control shapeId="13319" r:id="rId1346" name="Button 2055">
              <controlPr defaultSize="0" autoFill="0" autoLine="0" autoPict="0" macro="[0]!Sheet1.deleteRow">
                <anchor moveWithCells="1" sizeWithCells="1">
                  <from>
                    <xdr:col>6</xdr:col>
                    <xdr:colOff>0</xdr:colOff>
                    <xdr:row>2371</xdr:row>
                    <xdr:rowOff>0</xdr:rowOff>
                  </from>
                  <to>
                    <xdr:col>7</xdr:col>
                    <xdr:colOff>0</xdr:colOff>
                    <xdr:row>2371</xdr:row>
                    <xdr:rowOff>165100</xdr:rowOff>
                  </to>
                </anchor>
              </controlPr>
            </control>
          </mc:Choice>
        </mc:AlternateContent>
        <mc:AlternateContent xmlns:mc="http://schemas.openxmlformats.org/markup-compatibility/2006">
          <mc:Choice Requires="x14">
            <control shapeId="13318" r:id="rId1347" name="Button 2054">
              <controlPr defaultSize="0" autoFill="0" autoLine="0" autoPict="0" macro="[0]!Sheet1.deleteRow">
                <anchor moveWithCells="1" sizeWithCells="1">
                  <from>
                    <xdr:col>6</xdr:col>
                    <xdr:colOff>0</xdr:colOff>
                    <xdr:row>2372</xdr:row>
                    <xdr:rowOff>0</xdr:rowOff>
                  </from>
                  <to>
                    <xdr:col>7</xdr:col>
                    <xdr:colOff>0</xdr:colOff>
                    <xdr:row>2372</xdr:row>
                    <xdr:rowOff>165100</xdr:rowOff>
                  </to>
                </anchor>
              </controlPr>
            </control>
          </mc:Choice>
        </mc:AlternateContent>
        <mc:AlternateContent xmlns:mc="http://schemas.openxmlformats.org/markup-compatibility/2006">
          <mc:Choice Requires="x14">
            <control shapeId="13317" r:id="rId1348" name="Button 2053">
              <controlPr defaultSize="0" autoFill="0" autoLine="0" autoPict="0" macro="[0]!Sheet1.deleteRow">
                <anchor moveWithCells="1" sizeWithCells="1">
                  <from>
                    <xdr:col>6</xdr:col>
                    <xdr:colOff>0</xdr:colOff>
                    <xdr:row>2373</xdr:row>
                    <xdr:rowOff>0</xdr:rowOff>
                  </from>
                  <to>
                    <xdr:col>7</xdr:col>
                    <xdr:colOff>0</xdr:colOff>
                    <xdr:row>2373</xdr:row>
                    <xdr:rowOff>165100</xdr:rowOff>
                  </to>
                </anchor>
              </controlPr>
            </control>
          </mc:Choice>
        </mc:AlternateContent>
        <mc:AlternateContent xmlns:mc="http://schemas.openxmlformats.org/markup-compatibility/2006">
          <mc:Choice Requires="x14">
            <control shapeId="13316" r:id="rId1349" name="Button 2052">
              <controlPr defaultSize="0" autoFill="0" autoLine="0" autoPict="0" macro="[0]!Sheet1.deleteRow">
                <anchor moveWithCells="1" sizeWithCells="1">
                  <from>
                    <xdr:col>6</xdr:col>
                    <xdr:colOff>0</xdr:colOff>
                    <xdr:row>2374</xdr:row>
                    <xdr:rowOff>0</xdr:rowOff>
                  </from>
                  <to>
                    <xdr:col>7</xdr:col>
                    <xdr:colOff>0</xdr:colOff>
                    <xdr:row>2374</xdr:row>
                    <xdr:rowOff>165100</xdr:rowOff>
                  </to>
                </anchor>
              </controlPr>
            </control>
          </mc:Choice>
        </mc:AlternateContent>
        <mc:AlternateContent xmlns:mc="http://schemas.openxmlformats.org/markup-compatibility/2006">
          <mc:Choice Requires="x14">
            <control shapeId="13315" r:id="rId1350" name="Button 2051">
              <controlPr defaultSize="0" autoFill="0" autoLine="0" autoPict="0" macro="[0]!Sheet1.deleteRow">
                <anchor moveWithCells="1" sizeWithCells="1">
                  <from>
                    <xdr:col>6</xdr:col>
                    <xdr:colOff>0</xdr:colOff>
                    <xdr:row>2375</xdr:row>
                    <xdr:rowOff>0</xdr:rowOff>
                  </from>
                  <to>
                    <xdr:col>7</xdr:col>
                    <xdr:colOff>0</xdr:colOff>
                    <xdr:row>2375</xdr:row>
                    <xdr:rowOff>165100</xdr:rowOff>
                  </to>
                </anchor>
              </controlPr>
            </control>
          </mc:Choice>
        </mc:AlternateContent>
        <mc:AlternateContent xmlns:mc="http://schemas.openxmlformats.org/markup-compatibility/2006">
          <mc:Choice Requires="x14">
            <control shapeId="13314" r:id="rId1351" name="Button 2050">
              <controlPr defaultSize="0" autoFill="0" autoLine="0" autoPict="0" macro="[0]!Sheet1.deleteRow">
                <anchor moveWithCells="1" sizeWithCells="1">
                  <from>
                    <xdr:col>6</xdr:col>
                    <xdr:colOff>0</xdr:colOff>
                    <xdr:row>2376</xdr:row>
                    <xdr:rowOff>0</xdr:rowOff>
                  </from>
                  <to>
                    <xdr:col>7</xdr:col>
                    <xdr:colOff>0</xdr:colOff>
                    <xdr:row>2376</xdr:row>
                    <xdr:rowOff>165100</xdr:rowOff>
                  </to>
                </anchor>
              </controlPr>
            </control>
          </mc:Choice>
        </mc:AlternateContent>
        <mc:AlternateContent xmlns:mc="http://schemas.openxmlformats.org/markup-compatibility/2006">
          <mc:Choice Requires="x14">
            <control shapeId="13313" r:id="rId1352" name="Button 2049">
              <controlPr defaultSize="0" autoFill="0" autoLine="0" autoPict="0" macro="[0]!Sheet1.deleteRow">
                <anchor moveWithCells="1" sizeWithCells="1">
                  <from>
                    <xdr:col>6</xdr:col>
                    <xdr:colOff>0</xdr:colOff>
                    <xdr:row>2377</xdr:row>
                    <xdr:rowOff>0</xdr:rowOff>
                  </from>
                  <to>
                    <xdr:col>7</xdr:col>
                    <xdr:colOff>0</xdr:colOff>
                    <xdr:row>2377</xdr:row>
                    <xdr:rowOff>165100</xdr:rowOff>
                  </to>
                </anchor>
              </controlPr>
            </control>
          </mc:Choice>
        </mc:AlternateContent>
        <mc:AlternateContent xmlns:mc="http://schemas.openxmlformats.org/markup-compatibility/2006">
          <mc:Choice Requires="x14">
            <control shapeId="13312" r:id="rId1353" name="Button 2048">
              <controlPr defaultSize="0" autoFill="0" autoLine="0" autoPict="0" macro="[0]!Sheet1.deleteRow">
                <anchor moveWithCells="1" sizeWithCells="1">
                  <from>
                    <xdr:col>6</xdr:col>
                    <xdr:colOff>0</xdr:colOff>
                    <xdr:row>2378</xdr:row>
                    <xdr:rowOff>0</xdr:rowOff>
                  </from>
                  <to>
                    <xdr:col>7</xdr:col>
                    <xdr:colOff>0</xdr:colOff>
                    <xdr:row>2378</xdr:row>
                    <xdr:rowOff>165100</xdr:rowOff>
                  </to>
                </anchor>
              </controlPr>
            </control>
          </mc:Choice>
        </mc:AlternateContent>
        <mc:AlternateContent xmlns:mc="http://schemas.openxmlformats.org/markup-compatibility/2006">
          <mc:Choice Requires="x14">
            <control shapeId="2047" r:id="rId1354" name="Button 1023">
              <controlPr defaultSize="0" autoFill="0" autoLine="0" autoPict="0" macro="[0]!Sheet1.deleteRow">
                <anchor moveWithCells="1" sizeWithCells="1">
                  <from>
                    <xdr:col>6</xdr:col>
                    <xdr:colOff>0</xdr:colOff>
                    <xdr:row>2379</xdr:row>
                    <xdr:rowOff>0</xdr:rowOff>
                  </from>
                  <to>
                    <xdr:col>7</xdr:col>
                    <xdr:colOff>0</xdr:colOff>
                    <xdr:row>2379</xdr:row>
                    <xdr:rowOff>165100</xdr:rowOff>
                  </to>
                </anchor>
              </controlPr>
            </control>
          </mc:Choice>
        </mc:AlternateContent>
        <mc:AlternateContent xmlns:mc="http://schemas.openxmlformats.org/markup-compatibility/2006">
          <mc:Choice Requires="x14">
            <control shapeId="2046" r:id="rId1355" name="Button 1022">
              <controlPr defaultSize="0" autoFill="0" autoLine="0" autoPict="0" macro="[0]!Sheet1.deleteRow">
                <anchor moveWithCells="1" sizeWithCells="1">
                  <from>
                    <xdr:col>6</xdr:col>
                    <xdr:colOff>0</xdr:colOff>
                    <xdr:row>2380</xdr:row>
                    <xdr:rowOff>0</xdr:rowOff>
                  </from>
                  <to>
                    <xdr:col>7</xdr:col>
                    <xdr:colOff>0</xdr:colOff>
                    <xdr:row>2380</xdr:row>
                    <xdr:rowOff>165100</xdr:rowOff>
                  </to>
                </anchor>
              </controlPr>
            </control>
          </mc:Choice>
        </mc:AlternateContent>
        <mc:AlternateContent xmlns:mc="http://schemas.openxmlformats.org/markup-compatibility/2006">
          <mc:Choice Requires="x14">
            <control shapeId="2045" r:id="rId1356" name="Button 1021">
              <controlPr defaultSize="0" autoFill="0" autoLine="0" autoPict="0" macro="[0]!Sheet1.deleteRow">
                <anchor moveWithCells="1" sizeWithCells="1">
                  <from>
                    <xdr:col>6</xdr:col>
                    <xdr:colOff>0</xdr:colOff>
                    <xdr:row>2381</xdr:row>
                    <xdr:rowOff>0</xdr:rowOff>
                  </from>
                  <to>
                    <xdr:col>7</xdr:col>
                    <xdr:colOff>0</xdr:colOff>
                    <xdr:row>2381</xdr:row>
                    <xdr:rowOff>165100</xdr:rowOff>
                  </to>
                </anchor>
              </controlPr>
            </control>
          </mc:Choice>
        </mc:AlternateContent>
        <mc:AlternateContent xmlns:mc="http://schemas.openxmlformats.org/markup-compatibility/2006">
          <mc:Choice Requires="x14">
            <control shapeId="2044" r:id="rId1357" name="Button 1020">
              <controlPr defaultSize="0" autoFill="0" autoLine="0" autoPict="0" macro="[0]!Sheet1.deleteRow">
                <anchor moveWithCells="1" sizeWithCells="1">
                  <from>
                    <xdr:col>6</xdr:col>
                    <xdr:colOff>0</xdr:colOff>
                    <xdr:row>2382</xdr:row>
                    <xdr:rowOff>0</xdr:rowOff>
                  </from>
                  <to>
                    <xdr:col>7</xdr:col>
                    <xdr:colOff>0</xdr:colOff>
                    <xdr:row>2382</xdr:row>
                    <xdr:rowOff>165100</xdr:rowOff>
                  </to>
                </anchor>
              </controlPr>
            </control>
          </mc:Choice>
        </mc:AlternateContent>
        <mc:AlternateContent xmlns:mc="http://schemas.openxmlformats.org/markup-compatibility/2006">
          <mc:Choice Requires="x14">
            <control shapeId="2043" r:id="rId1358" name="Button 1019">
              <controlPr defaultSize="0" autoFill="0" autoLine="0" autoPict="0" macro="[0]!Sheet1.deleteRow">
                <anchor moveWithCells="1" sizeWithCells="1">
                  <from>
                    <xdr:col>6</xdr:col>
                    <xdr:colOff>0</xdr:colOff>
                    <xdr:row>2383</xdr:row>
                    <xdr:rowOff>0</xdr:rowOff>
                  </from>
                  <to>
                    <xdr:col>7</xdr:col>
                    <xdr:colOff>0</xdr:colOff>
                    <xdr:row>2383</xdr:row>
                    <xdr:rowOff>165100</xdr:rowOff>
                  </to>
                </anchor>
              </controlPr>
            </control>
          </mc:Choice>
        </mc:AlternateContent>
        <mc:AlternateContent xmlns:mc="http://schemas.openxmlformats.org/markup-compatibility/2006">
          <mc:Choice Requires="x14">
            <control shapeId="2042" r:id="rId1359" name="Button 1018">
              <controlPr defaultSize="0" autoFill="0" autoLine="0" autoPict="0" macro="[0]!Sheet1.deleteRow">
                <anchor moveWithCells="1" sizeWithCells="1">
                  <from>
                    <xdr:col>6</xdr:col>
                    <xdr:colOff>0</xdr:colOff>
                    <xdr:row>2384</xdr:row>
                    <xdr:rowOff>0</xdr:rowOff>
                  </from>
                  <to>
                    <xdr:col>7</xdr:col>
                    <xdr:colOff>0</xdr:colOff>
                    <xdr:row>2384</xdr:row>
                    <xdr:rowOff>165100</xdr:rowOff>
                  </to>
                </anchor>
              </controlPr>
            </control>
          </mc:Choice>
        </mc:AlternateContent>
        <mc:AlternateContent xmlns:mc="http://schemas.openxmlformats.org/markup-compatibility/2006">
          <mc:Choice Requires="x14">
            <control shapeId="2041" r:id="rId1360" name="Button 1017">
              <controlPr defaultSize="0" autoFill="0" autoLine="0" autoPict="0" macro="[0]!Sheet1.deleteRow">
                <anchor moveWithCells="1" sizeWithCells="1">
                  <from>
                    <xdr:col>6</xdr:col>
                    <xdr:colOff>0</xdr:colOff>
                    <xdr:row>2385</xdr:row>
                    <xdr:rowOff>0</xdr:rowOff>
                  </from>
                  <to>
                    <xdr:col>7</xdr:col>
                    <xdr:colOff>0</xdr:colOff>
                    <xdr:row>2385</xdr:row>
                    <xdr:rowOff>165100</xdr:rowOff>
                  </to>
                </anchor>
              </controlPr>
            </control>
          </mc:Choice>
        </mc:AlternateContent>
        <mc:AlternateContent xmlns:mc="http://schemas.openxmlformats.org/markup-compatibility/2006">
          <mc:Choice Requires="x14">
            <control shapeId="2040" r:id="rId1361" name="Button 1016">
              <controlPr defaultSize="0" autoFill="0" autoLine="0" autoPict="0" macro="[0]!Sheet1.deleteRow">
                <anchor moveWithCells="1" sizeWithCells="1">
                  <from>
                    <xdr:col>6</xdr:col>
                    <xdr:colOff>0</xdr:colOff>
                    <xdr:row>2386</xdr:row>
                    <xdr:rowOff>0</xdr:rowOff>
                  </from>
                  <to>
                    <xdr:col>7</xdr:col>
                    <xdr:colOff>0</xdr:colOff>
                    <xdr:row>2386</xdr:row>
                    <xdr:rowOff>165100</xdr:rowOff>
                  </to>
                </anchor>
              </controlPr>
            </control>
          </mc:Choice>
        </mc:AlternateContent>
        <mc:AlternateContent xmlns:mc="http://schemas.openxmlformats.org/markup-compatibility/2006">
          <mc:Choice Requires="x14">
            <control shapeId="2039" r:id="rId1362" name="Button 1015">
              <controlPr defaultSize="0" autoFill="0" autoLine="0" autoPict="0" macro="[0]!Sheet1.deleteRow">
                <anchor moveWithCells="1" sizeWithCells="1">
                  <from>
                    <xdr:col>6</xdr:col>
                    <xdr:colOff>0</xdr:colOff>
                    <xdr:row>2387</xdr:row>
                    <xdr:rowOff>0</xdr:rowOff>
                  </from>
                  <to>
                    <xdr:col>7</xdr:col>
                    <xdr:colOff>0</xdr:colOff>
                    <xdr:row>2387</xdr:row>
                    <xdr:rowOff>165100</xdr:rowOff>
                  </to>
                </anchor>
              </controlPr>
            </control>
          </mc:Choice>
        </mc:AlternateContent>
        <mc:AlternateContent xmlns:mc="http://schemas.openxmlformats.org/markup-compatibility/2006">
          <mc:Choice Requires="x14">
            <control shapeId="2038" r:id="rId1363" name="Button 1014">
              <controlPr defaultSize="0" autoFill="0" autoLine="0" autoPict="0" macro="[0]!Sheet1.deleteRow">
                <anchor moveWithCells="1" sizeWithCells="1">
                  <from>
                    <xdr:col>6</xdr:col>
                    <xdr:colOff>0</xdr:colOff>
                    <xdr:row>2388</xdr:row>
                    <xdr:rowOff>0</xdr:rowOff>
                  </from>
                  <to>
                    <xdr:col>7</xdr:col>
                    <xdr:colOff>0</xdr:colOff>
                    <xdr:row>2388</xdr:row>
                    <xdr:rowOff>165100</xdr:rowOff>
                  </to>
                </anchor>
              </controlPr>
            </control>
          </mc:Choice>
        </mc:AlternateContent>
        <mc:AlternateContent xmlns:mc="http://schemas.openxmlformats.org/markup-compatibility/2006">
          <mc:Choice Requires="x14">
            <control shapeId="2037" r:id="rId1364" name="Button 1013">
              <controlPr defaultSize="0" autoFill="0" autoLine="0" autoPict="0" macro="[0]!Sheet1.deleteRow">
                <anchor moveWithCells="1" sizeWithCells="1">
                  <from>
                    <xdr:col>6</xdr:col>
                    <xdr:colOff>0</xdr:colOff>
                    <xdr:row>2389</xdr:row>
                    <xdr:rowOff>0</xdr:rowOff>
                  </from>
                  <to>
                    <xdr:col>7</xdr:col>
                    <xdr:colOff>0</xdr:colOff>
                    <xdr:row>2389</xdr:row>
                    <xdr:rowOff>165100</xdr:rowOff>
                  </to>
                </anchor>
              </controlPr>
            </control>
          </mc:Choice>
        </mc:AlternateContent>
        <mc:AlternateContent xmlns:mc="http://schemas.openxmlformats.org/markup-compatibility/2006">
          <mc:Choice Requires="x14">
            <control shapeId="2036" r:id="rId1365" name="Button 1012">
              <controlPr defaultSize="0" autoFill="0" autoLine="0" autoPict="0" macro="[0]!Sheet1.deleteRow">
                <anchor moveWithCells="1" sizeWithCells="1">
                  <from>
                    <xdr:col>6</xdr:col>
                    <xdr:colOff>0</xdr:colOff>
                    <xdr:row>2390</xdr:row>
                    <xdr:rowOff>0</xdr:rowOff>
                  </from>
                  <to>
                    <xdr:col>7</xdr:col>
                    <xdr:colOff>0</xdr:colOff>
                    <xdr:row>2390</xdr:row>
                    <xdr:rowOff>165100</xdr:rowOff>
                  </to>
                </anchor>
              </controlPr>
            </control>
          </mc:Choice>
        </mc:AlternateContent>
        <mc:AlternateContent xmlns:mc="http://schemas.openxmlformats.org/markup-compatibility/2006">
          <mc:Choice Requires="x14">
            <control shapeId="2035" r:id="rId1366" name="Button 1011">
              <controlPr defaultSize="0" autoFill="0" autoLine="0" autoPict="0" macro="[0]!Sheet1.deleteRow">
                <anchor moveWithCells="1" sizeWithCells="1">
                  <from>
                    <xdr:col>6</xdr:col>
                    <xdr:colOff>0</xdr:colOff>
                    <xdr:row>2391</xdr:row>
                    <xdr:rowOff>0</xdr:rowOff>
                  </from>
                  <to>
                    <xdr:col>7</xdr:col>
                    <xdr:colOff>0</xdr:colOff>
                    <xdr:row>2391</xdr:row>
                    <xdr:rowOff>165100</xdr:rowOff>
                  </to>
                </anchor>
              </controlPr>
            </control>
          </mc:Choice>
        </mc:AlternateContent>
        <mc:AlternateContent xmlns:mc="http://schemas.openxmlformats.org/markup-compatibility/2006">
          <mc:Choice Requires="x14">
            <control shapeId="2034" r:id="rId1367" name="Button 1010">
              <controlPr defaultSize="0" autoFill="0" autoLine="0" autoPict="0" macro="[0]!Sheet1.deleteRow">
                <anchor moveWithCells="1" sizeWithCells="1">
                  <from>
                    <xdr:col>6</xdr:col>
                    <xdr:colOff>0</xdr:colOff>
                    <xdr:row>2392</xdr:row>
                    <xdr:rowOff>0</xdr:rowOff>
                  </from>
                  <to>
                    <xdr:col>7</xdr:col>
                    <xdr:colOff>0</xdr:colOff>
                    <xdr:row>2392</xdr:row>
                    <xdr:rowOff>165100</xdr:rowOff>
                  </to>
                </anchor>
              </controlPr>
            </control>
          </mc:Choice>
        </mc:AlternateContent>
        <mc:AlternateContent xmlns:mc="http://schemas.openxmlformats.org/markup-compatibility/2006">
          <mc:Choice Requires="x14">
            <control shapeId="2033" r:id="rId1368" name="Button 1009">
              <controlPr defaultSize="0" autoFill="0" autoLine="0" autoPict="0" macro="[0]!Sheet1.deleteRow">
                <anchor moveWithCells="1" sizeWithCells="1">
                  <from>
                    <xdr:col>6</xdr:col>
                    <xdr:colOff>0</xdr:colOff>
                    <xdr:row>2393</xdr:row>
                    <xdr:rowOff>0</xdr:rowOff>
                  </from>
                  <to>
                    <xdr:col>7</xdr:col>
                    <xdr:colOff>0</xdr:colOff>
                    <xdr:row>2393</xdr:row>
                    <xdr:rowOff>165100</xdr:rowOff>
                  </to>
                </anchor>
              </controlPr>
            </control>
          </mc:Choice>
        </mc:AlternateContent>
        <mc:AlternateContent xmlns:mc="http://schemas.openxmlformats.org/markup-compatibility/2006">
          <mc:Choice Requires="x14">
            <control shapeId="2032" r:id="rId1369" name="Button 1008">
              <controlPr defaultSize="0" autoFill="0" autoLine="0" autoPict="0" macro="[0]!Sheet1.deleteRow">
                <anchor moveWithCells="1" sizeWithCells="1">
                  <from>
                    <xdr:col>6</xdr:col>
                    <xdr:colOff>0</xdr:colOff>
                    <xdr:row>2394</xdr:row>
                    <xdr:rowOff>0</xdr:rowOff>
                  </from>
                  <to>
                    <xdr:col>7</xdr:col>
                    <xdr:colOff>0</xdr:colOff>
                    <xdr:row>2394</xdr:row>
                    <xdr:rowOff>165100</xdr:rowOff>
                  </to>
                </anchor>
              </controlPr>
            </control>
          </mc:Choice>
        </mc:AlternateContent>
        <mc:AlternateContent xmlns:mc="http://schemas.openxmlformats.org/markup-compatibility/2006">
          <mc:Choice Requires="x14">
            <control shapeId="2031" r:id="rId1370" name="Button 1007">
              <controlPr defaultSize="0" autoFill="0" autoLine="0" autoPict="0" macro="[0]!Sheet1.deleteRow">
                <anchor moveWithCells="1" sizeWithCells="1">
                  <from>
                    <xdr:col>6</xdr:col>
                    <xdr:colOff>0</xdr:colOff>
                    <xdr:row>2395</xdr:row>
                    <xdr:rowOff>0</xdr:rowOff>
                  </from>
                  <to>
                    <xdr:col>7</xdr:col>
                    <xdr:colOff>0</xdr:colOff>
                    <xdr:row>2395</xdr:row>
                    <xdr:rowOff>165100</xdr:rowOff>
                  </to>
                </anchor>
              </controlPr>
            </control>
          </mc:Choice>
        </mc:AlternateContent>
        <mc:AlternateContent xmlns:mc="http://schemas.openxmlformats.org/markup-compatibility/2006">
          <mc:Choice Requires="x14">
            <control shapeId="2030" r:id="rId1371" name="Button 1006">
              <controlPr defaultSize="0" autoFill="0" autoLine="0" autoPict="0" macro="[0]!Sheet1.deleteRow">
                <anchor moveWithCells="1" sizeWithCells="1">
                  <from>
                    <xdr:col>6</xdr:col>
                    <xdr:colOff>0</xdr:colOff>
                    <xdr:row>2396</xdr:row>
                    <xdr:rowOff>0</xdr:rowOff>
                  </from>
                  <to>
                    <xdr:col>7</xdr:col>
                    <xdr:colOff>0</xdr:colOff>
                    <xdr:row>2396</xdr:row>
                    <xdr:rowOff>165100</xdr:rowOff>
                  </to>
                </anchor>
              </controlPr>
            </control>
          </mc:Choice>
        </mc:AlternateContent>
        <mc:AlternateContent xmlns:mc="http://schemas.openxmlformats.org/markup-compatibility/2006">
          <mc:Choice Requires="x14">
            <control shapeId="2029" r:id="rId1372" name="Button 1005">
              <controlPr defaultSize="0" autoFill="0" autoLine="0" autoPict="0" macro="[0]!Sheet1.deleteRow">
                <anchor moveWithCells="1" sizeWithCells="1">
                  <from>
                    <xdr:col>6</xdr:col>
                    <xdr:colOff>0</xdr:colOff>
                    <xdr:row>2397</xdr:row>
                    <xdr:rowOff>0</xdr:rowOff>
                  </from>
                  <to>
                    <xdr:col>7</xdr:col>
                    <xdr:colOff>0</xdr:colOff>
                    <xdr:row>2397</xdr:row>
                    <xdr:rowOff>165100</xdr:rowOff>
                  </to>
                </anchor>
              </controlPr>
            </control>
          </mc:Choice>
        </mc:AlternateContent>
        <mc:AlternateContent xmlns:mc="http://schemas.openxmlformats.org/markup-compatibility/2006">
          <mc:Choice Requires="x14">
            <control shapeId="2028" r:id="rId1373" name="Button 1004">
              <controlPr defaultSize="0" autoFill="0" autoLine="0" autoPict="0" macro="[0]!Sheet1.deleteRow">
                <anchor moveWithCells="1" sizeWithCells="1">
                  <from>
                    <xdr:col>6</xdr:col>
                    <xdr:colOff>0</xdr:colOff>
                    <xdr:row>2398</xdr:row>
                    <xdr:rowOff>0</xdr:rowOff>
                  </from>
                  <to>
                    <xdr:col>7</xdr:col>
                    <xdr:colOff>0</xdr:colOff>
                    <xdr:row>2398</xdr:row>
                    <xdr:rowOff>165100</xdr:rowOff>
                  </to>
                </anchor>
              </controlPr>
            </control>
          </mc:Choice>
        </mc:AlternateContent>
        <mc:AlternateContent xmlns:mc="http://schemas.openxmlformats.org/markup-compatibility/2006">
          <mc:Choice Requires="x14">
            <control shapeId="2027" r:id="rId1374" name="Button 1003">
              <controlPr defaultSize="0" autoFill="0" autoLine="0" autoPict="0" macro="[0]!Sheet1.deleteRow">
                <anchor moveWithCells="1" sizeWithCells="1">
                  <from>
                    <xdr:col>6</xdr:col>
                    <xdr:colOff>0</xdr:colOff>
                    <xdr:row>2399</xdr:row>
                    <xdr:rowOff>0</xdr:rowOff>
                  </from>
                  <to>
                    <xdr:col>7</xdr:col>
                    <xdr:colOff>0</xdr:colOff>
                    <xdr:row>2399</xdr:row>
                    <xdr:rowOff>165100</xdr:rowOff>
                  </to>
                </anchor>
              </controlPr>
            </control>
          </mc:Choice>
        </mc:AlternateContent>
        <mc:AlternateContent xmlns:mc="http://schemas.openxmlformats.org/markup-compatibility/2006">
          <mc:Choice Requires="x14">
            <control shapeId="2026" r:id="rId1375" name="Button 1002">
              <controlPr defaultSize="0" autoFill="0" autoLine="0" autoPict="0" macro="[0]!Sheet1.deleteRow">
                <anchor moveWithCells="1" sizeWithCells="1">
                  <from>
                    <xdr:col>6</xdr:col>
                    <xdr:colOff>0</xdr:colOff>
                    <xdr:row>2400</xdr:row>
                    <xdr:rowOff>0</xdr:rowOff>
                  </from>
                  <to>
                    <xdr:col>7</xdr:col>
                    <xdr:colOff>0</xdr:colOff>
                    <xdr:row>2400</xdr:row>
                    <xdr:rowOff>165100</xdr:rowOff>
                  </to>
                </anchor>
              </controlPr>
            </control>
          </mc:Choice>
        </mc:AlternateContent>
        <mc:AlternateContent xmlns:mc="http://schemas.openxmlformats.org/markup-compatibility/2006">
          <mc:Choice Requires="x14">
            <control shapeId="2025" r:id="rId1376" name="Button 1001">
              <controlPr defaultSize="0" autoFill="0" autoLine="0" autoPict="0" macro="[0]!Sheet1.deleteRow">
                <anchor moveWithCells="1" sizeWithCells="1">
                  <from>
                    <xdr:col>6</xdr:col>
                    <xdr:colOff>0</xdr:colOff>
                    <xdr:row>2401</xdr:row>
                    <xdr:rowOff>0</xdr:rowOff>
                  </from>
                  <to>
                    <xdr:col>7</xdr:col>
                    <xdr:colOff>0</xdr:colOff>
                    <xdr:row>2401</xdr:row>
                    <xdr:rowOff>165100</xdr:rowOff>
                  </to>
                </anchor>
              </controlPr>
            </control>
          </mc:Choice>
        </mc:AlternateContent>
        <mc:AlternateContent xmlns:mc="http://schemas.openxmlformats.org/markup-compatibility/2006">
          <mc:Choice Requires="x14">
            <control shapeId="2024" r:id="rId1377" name="Button 1000">
              <controlPr defaultSize="0" autoFill="0" autoLine="0" autoPict="0" macro="[0]!Sheet1.deleteRow">
                <anchor moveWithCells="1" sizeWithCells="1">
                  <from>
                    <xdr:col>6</xdr:col>
                    <xdr:colOff>0</xdr:colOff>
                    <xdr:row>2402</xdr:row>
                    <xdr:rowOff>0</xdr:rowOff>
                  </from>
                  <to>
                    <xdr:col>7</xdr:col>
                    <xdr:colOff>0</xdr:colOff>
                    <xdr:row>2402</xdr:row>
                    <xdr:rowOff>165100</xdr:rowOff>
                  </to>
                </anchor>
              </controlPr>
            </control>
          </mc:Choice>
        </mc:AlternateContent>
        <mc:AlternateContent xmlns:mc="http://schemas.openxmlformats.org/markup-compatibility/2006">
          <mc:Choice Requires="x14">
            <control shapeId="2023" r:id="rId1378" name="Button 999">
              <controlPr defaultSize="0" autoFill="0" autoLine="0" autoPict="0" macro="[0]!Sheet1.deleteRow">
                <anchor moveWithCells="1" sizeWithCells="1">
                  <from>
                    <xdr:col>6</xdr:col>
                    <xdr:colOff>0</xdr:colOff>
                    <xdr:row>2403</xdr:row>
                    <xdr:rowOff>0</xdr:rowOff>
                  </from>
                  <to>
                    <xdr:col>7</xdr:col>
                    <xdr:colOff>0</xdr:colOff>
                    <xdr:row>2403</xdr:row>
                    <xdr:rowOff>165100</xdr:rowOff>
                  </to>
                </anchor>
              </controlPr>
            </control>
          </mc:Choice>
        </mc:AlternateContent>
        <mc:AlternateContent xmlns:mc="http://schemas.openxmlformats.org/markup-compatibility/2006">
          <mc:Choice Requires="x14">
            <control shapeId="2022" r:id="rId1379" name="Button 998">
              <controlPr defaultSize="0" autoFill="0" autoLine="0" autoPict="0" macro="[0]!Sheet1.deleteRow">
                <anchor moveWithCells="1" sizeWithCells="1">
                  <from>
                    <xdr:col>6</xdr:col>
                    <xdr:colOff>0</xdr:colOff>
                    <xdr:row>2404</xdr:row>
                    <xdr:rowOff>0</xdr:rowOff>
                  </from>
                  <to>
                    <xdr:col>7</xdr:col>
                    <xdr:colOff>0</xdr:colOff>
                    <xdr:row>2404</xdr:row>
                    <xdr:rowOff>165100</xdr:rowOff>
                  </to>
                </anchor>
              </controlPr>
            </control>
          </mc:Choice>
        </mc:AlternateContent>
        <mc:AlternateContent xmlns:mc="http://schemas.openxmlformats.org/markup-compatibility/2006">
          <mc:Choice Requires="x14">
            <control shapeId="2021" r:id="rId1380" name="Button 997">
              <controlPr defaultSize="0" autoFill="0" autoLine="0" autoPict="0" macro="[0]!Sheet1.deleteRow">
                <anchor moveWithCells="1" sizeWithCells="1">
                  <from>
                    <xdr:col>6</xdr:col>
                    <xdr:colOff>0</xdr:colOff>
                    <xdr:row>2405</xdr:row>
                    <xdr:rowOff>0</xdr:rowOff>
                  </from>
                  <to>
                    <xdr:col>7</xdr:col>
                    <xdr:colOff>0</xdr:colOff>
                    <xdr:row>2405</xdr:row>
                    <xdr:rowOff>165100</xdr:rowOff>
                  </to>
                </anchor>
              </controlPr>
            </control>
          </mc:Choice>
        </mc:AlternateContent>
        <mc:AlternateContent xmlns:mc="http://schemas.openxmlformats.org/markup-compatibility/2006">
          <mc:Choice Requires="x14">
            <control shapeId="2020" r:id="rId1381" name="Button 996">
              <controlPr defaultSize="0" autoFill="0" autoLine="0" autoPict="0" macro="[0]!Sheet1.deleteRow">
                <anchor moveWithCells="1" sizeWithCells="1">
                  <from>
                    <xdr:col>6</xdr:col>
                    <xdr:colOff>0</xdr:colOff>
                    <xdr:row>2406</xdr:row>
                    <xdr:rowOff>0</xdr:rowOff>
                  </from>
                  <to>
                    <xdr:col>7</xdr:col>
                    <xdr:colOff>0</xdr:colOff>
                    <xdr:row>2406</xdr:row>
                    <xdr:rowOff>165100</xdr:rowOff>
                  </to>
                </anchor>
              </controlPr>
            </control>
          </mc:Choice>
        </mc:AlternateContent>
        <mc:AlternateContent xmlns:mc="http://schemas.openxmlformats.org/markup-compatibility/2006">
          <mc:Choice Requires="x14">
            <control shapeId="2019" r:id="rId1382" name="Button 995">
              <controlPr defaultSize="0" autoFill="0" autoLine="0" autoPict="0" macro="[0]!Sheet1.deleteRow">
                <anchor moveWithCells="1" sizeWithCells="1">
                  <from>
                    <xdr:col>6</xdr:col>
                    <xdr:colOff>0</xdr:colOff>
                    <xdr:row>2407</xdr:row>
                    <xdr:rowOff>0</xdr:rowOff>
                  </from>
                  <to>
                    <xdr:col>7</xdr:col>
                    <xdr:colOff>0</xdr:colOff>
                    <xdr:row>2407</xdr:row>
                    <xdr:rowOff>165100</xdr:rowOff>
                  </to>
                </anchor>
              </controlPr>
            </control>
          </mc:Choice>
        </mc:AlternateContent>
        <mc:AlternateContent xmlns:mc="http://schemas.openxmlformats.org/markup-compatibility/2006">
          <mc:Choice Requires="x14">
            <control shapeId="2018" r:id="rId1383" name="Button 994">
              <controlPr defaultSize="0" autoFill="0" autoLine="0" autoPict="0" macro="[0]!Sheet1.deleteRow">
                <anchor moveWithCells="1" sizeWithCells="1">
                  <from>
                    <xdr:col>6</xdr:col>
                    <xdr:colOff>0</xdr:colOff>
                    <xdr:row>2408</xdr:row>
                    <xdr:rowOff>0</xdr:rowOff>
                  </from>
                  <to>
                    <xdr:col>7</xdr:col>
                    <xdr:colOff>0</xdr:colOff>
                    <xdr:row>2408</xdr:row>
                    <xdr:rowOff>165100</xdr:rowOff>
                  </to>
                </anchor>
              </controlPr>
            </control>
          </mc:Choice>
        </mc:AlternateContent>
        <mc:AlternateContent xmlns:mc="http://schemas.openxmlformats.org/markup-compatibility/2006">
          <mc:Choice Requires="x14">
            <control shapeId="2017" r:id="rId1384" name="Button 993">
              <controlPr defaultSize="0" autoFill="0" autoLine="0" autoPict="0" macro="[0]!Sheet1.deleteRow">
                <anchor moveWithCells="1" sizeWithCells="1">
                  <from>
                    <xdr:col>6</xdr:col>
                    <xdr:colOff>0</xdr:colOff>
                    <xdr:row>2409</xdr:row>
                    <xdr:rowOff>0</xdr:rowOff>
                  </from>
                  <to>
                    <xdr:col>7</xdr:col>
                    <xdr:colOff>0</xdr:colOff>
                    <xdr:row>2409</xdr:row>
                    <xdr:rowOff>165100</xdr:rowOff>
                  </to>
                </anchor>
              </controlPr>
            </control>
          </mc:Choice>
        </mc:AlternateContent>
        <mc:AlternateContent xmlns:mc="http://schemas.openxmlformats.org/markup-compatibility/2006">
          <mc:Choice Requires="x14">
            <control shapeId="2016" r:id="rId1385" name="Button 992">
              <controlPr defaultSize="0" autoFill="0" autoLine="0" autoPict="0" macro="[0]!Sheet1.deleteRow">
                <anchor moveWithCells="1" sizeWithCells="1">
                  <from>
                    <xdr:col>6</xdr:col>
                    <xdr:colOff>0</xdr:colOff>
                    <xdr:row>2410</xdr:row>
                    <xdr:rowOff>0</xdr:rowOff>
                  </from>
                  <to>
                    <xdr:col>7</xdr:col>
                    <xdr:colOff>0</xdr:colOff>
                    <xdr:row>2410</xdr:row>
                    <xdr:rowOff>165100</xdr:rowOff>
                  </to>
                </anchor>
              </controlPr>
            </control>
          </mc:Choice>
        </mc:AlternateContent>
        <mc:AlternateContent xmlns:mc="http://schemas.openxmlformats.org/markup-compatibility/2006">
          <mc:Choice Requires="x14">
            <control shapeId="2015" r:id="rId1386" name="Button 991">
              <controlPr defaultSize="0" autoFill="0" autoLine="0" autoPict="0" macro="[0]!Sheet1.deleteRow">
                <anchor moveWithCells="1" sizeWithCells="1">
                  <from>
                    <xdr:col>6</xdr:col>
                    <xdr:colOff>0</xdr:colOff>
                    <xdr:row>2411</xdr:row>
                    <xdr:rowOff>0</xdr:rowOff>
                  </from>
                  <to>
                    <xdr:col>7</xdr:col>
                    <xdr:colOff>0</xdr:colOff>
                    <xdr:row>2411</xdr:row>
                    <xdr:rowOff>165100</xdr:rowOff>
                  </to>
                </anchor>
              </controlPr>
            </control>
          </mc:Choice>
        </mc:AlternateContent>
        <mc:AlternateContent xmlns:mc="http://schemas.openxmlformats.org/markup-compatibility/2006">
          <mc:Choice Requires="x14">
            <control shapeId="2014" r:id="rId1387" name="Button 990">
              <controlPr defaultSize="0" autoFill="0" autoLine="0" autoPict="0" macro="[0]!Sheet1.deleteRow">
                <anchor moveWithCells="1" sizeWithCells="1">
                  <from>
                    <xdr:col>6</xdr:col>
                    <xdr:colOff>0</xdr:colOff>
                    <xdr:row>2412</xdr:row>
                    <xdr:rowOff>0</xdr:rowOff>
                  </from>
                  <to>
                    <xdr:col>7</xdr:col>
                    <xdr:colOff>0</xdr:colOff>
                    <xdr:row>2412</xdr:row>
                    <xdr:rowOff>165100</xdr:rowOff>
                  </to>
                </anchor>
              </controlPr>
            </control>
          </mc:Choice>
        </mc:AlternateContent>
        <mc:AlternateContent xmlns:mc="http://schemas.openxmlformats.org/markup-compatibility/2006">
          <mc:Choice Requires="x14">
            <control shapeId="2013" r:id="rId1388" name="Button 989">
              <controlPr defaultSize="0" autoFill="0" autoLine="0" autoPict="0" macro="[0]!Sheet1.deleteRow">
                <anchor moveWithCells="1" sizeWithCells="1">
                  <from>
                    <xdr:col>6</xdr:col>
                    <xdr:colOff>0</xdr:colOff>
                    <xdr:row>2413</xdr:row>
                    <xdr:rowOff>0</xdr:rowOff>
                  </from>
                  <to>
                    <xdr:col>7</xdr:col>
                    <xdr:colOff>0</xdr:colOff>
                    <xdr:row>2413</xdr:row>
                    <xdr:rowOff>165100</xdr:rowOff>
                  </to>
                </anchor>
              </controlPr>
            </control>
          </mc:Choice>
        </mc:AlternateContent>
        <mc:AlternateContent xmlns:mc="http://schemas.openxmlformats.org/markup-compatibility/2006">
          <mc:Choice Requires="x14">
            <control shapeId="2012" r:id="rId1389" name="Button 988">
              <controlPr defaultSize="0" autoFill="0" autoLine="0" autoPict="0" macro="[0]!Sheet1.deleteRow">
                <anchor moveWithCells="1" sizeWithCells="1">
                  <from>
                    <xdr:col>6</xdr:col>
                    <xdr:colOff>0</xdr:colOff>
                    <xdr:row>2414</xdr:row>
                    <xdr:rowOff>0</xdr:rowOff>
                  </from>
                  <to>
                    <xdr:col>7</xdr:col>
                    <xdr:colOff>0</xdr:colOff>
                    <xdr:row>2414</xdr:row>
                    <xdr:rowOff>165100</xdr:rowOff>
                  </to>
                </anchor>
              </controlPr>
            </control>
          </mc:Choice>
        </mc:AlternateContent>
        <mc:AlternateContent xmlns:mc="http://schemas.openxmlformats.org/markup-compatibility/2006">
          <mc:Choice Requires="x14">
            <control shapeId="2011" r:id="rId1390" name="Button 987">
              <controlPr defaultSize="0" autoFill="0" autoLine="0" autoPict="0" macro="[0]!Sheet1.deleteRow">
                <anchor moveWithCells="1" sizeWithCells="1">
                  <from>
                    <xdr:col>6</xdr:col>
                    <xdr:colOff>0</xdr:colOff>
                    <xdr:row>2415</xdr:row>
                    <xdr:rowOff>0</xdr:rowOff>
                  </from>
                  <to>
                    <xdr:col>7</xdr:col>
                    <xdr:colOff>0</xdr:colOff>
                    <xdr:row>2415</xdr:row>
                    <xdr:rowOff>165100</xdr:rowOff>
                  </to>
                </anchor>
              </controlPr>
            </control>
          </mc:Choice>
        </mc:AlternateContent>
        <mc:AlternateContent xmlns:mc="http://schemas.openxmlformats.org/markup-compatibility/2006">
          <mc:Choice Requires="x14">
            <control shapeId="2010" r:id="rId1391" name="Button 986">
              <controlPr defaultSize="0" autoFill="0" autoLine="0" autoPict="0" macro="[0]!Sheet1.deleteRow">
                <anchor moveWithCells="1" sizeWithCells="1">
                  <from>
                    <xdr:col>6</xdr:col>
                    <xdr:colOff>0</xdr:colOff>
                    <xdr:row>2416</xdr:row>
                    <xdr:rowOff>0</xdr:rowOff>
                  </from>
                  <to>
                    <xdr:col>7</xdr:col>
                    <xdr:colOff>0</xdr:colOff>
                    <xdr:row>2416</xdr:row>
                    <xdr:rowOff>165100</xdr:rowOff>
                  </to>
                </anchor>
              </controlPr>
            </control>
          </mc:Choice>
        </mc:AlternateContent>
        <mc:AlternateContent xmlns:mc="http://schemas.openxmlformats.org/markup-compatibility/2006">
          <mc:Choice Requires="x14">
            <control shapeId="2009" r:id="rId1392" name="Button 985">
              <controlPr defaultSize="0" autoFill="0" autoLine="0" autoPict="0" macro="[0]!Sheet1.deleteRow">
                <anchor moveWithCells="1" sizeWithCells="1">
                  <from>
                    <xdr:col>6</xdr:col>
                    <xdr:colOff>0</xdr:colOff>
                    <xdr:row>2417</xdr:row>
                    <xdr:rowOff>0</xdr:rowOff>
                  </from>
                  <to>
                    <xdr:col>7</xdr:col>
                    <xdr:colOff>0</xdr:colOff>
                    <xdr:row>2417</xdr:row>
                    <xdr:rowOff>165100</xdr:rowOff>
                  </to>
                </anchor>
              </controlPr>
            </control>
          </mc:Choice>
        </mc:AlternateContent>
        <mc:AlternateContent xmlns:mc="http://schemas.openxmlformats.org/markup-compatibility/2006">
          <mc:Choice Requires="x14">
            <control shapeId="2008" r:id="rId1393" name="Button 984">
              <controlPr defaultSize="0" autoFill="0" autoLine="0" autoPict="0" macro="[0]!Sheet1.deleteRow">
                <anchor moveWithCells="1" sizeWithCells="1">
                  <from>
                    <xdr:col>6</xdr:col>
                    <xdr:colOff>0</xdr:colOff>
                    <xdr:row>2418</xdr:row>
                    <xdr:rowOff>0</xdr:rowOff>
                  </from>
                  <to>
                    <xdr:col>7</xdr:col>
                    <xdr:colOff>0</xdr:colOff>
                    <xdr:row>2418</xdr:row>
                    <xdr:rowOff>165100</xdr:rowOff>
                  </to>
                </anchor>
              </controlPr>
            </control>
          </mc:Choice>
        </mc:AlternateContent>
        <mc:AlternateContent xmlns:mc="http://schemas.openxmlformats.org/markup-compatibility/2006">
          <mc:Choice Requires="x14">
            <control shapeId="2007" r:id="rId1394" name="Button 983">
              <controlPr defaultSize="0" autoFill="0" autoLine="0" autoPict="0" macro="[0]!Sheet1.deleteRow">
                <anchor moveWithCells="1" sizeWithCells="1">
                  <from>
                    <xdr:col>6</xdr:col>
                    <xdr:colOff>0</xdr:colOff>
                    <xdr:row>2419</xdr:row>
                    <xdr:rowOff>0</xdr:rowOff>
                  </from>
                  <to>
                    <xdr:col>7</xdr:col>
                    <xdr:colOff>0</xdr:colOff>
                    <xdr:row>2419</xdr:row>
                    <xdr:rowOff>165100</xdr:rowOff>
                  </to>
                </anchor>
              </controlPr>
            </control>
          </mc:Choice>
        </mc:AlternateContent>
        <mc:AlternateContent xmlns:mc="http://schemas.openxmlformats.org/markup-compatibility/2006">
          <mc:Choice Requires="x14">
            <control shapeId="2006" r:id="rId1395" name="Button 982">
              <controlPr defaultSize="0" autoFill="0" autoLine="0" autoPict="0" macro="[0]!Sheet1.deleteRow">
                <anchor moveWithCells="1" sizeWithCells="1">
                  <from>
                    <xdr:col>6</xdr:col>
                    <xdr:colOff>0</xdr:colOff>
                    <xdr:row>2420</xdr:row>
                    <xdr:rowOff>0</xdr:rowOff>
                  </from>
                  <to>
                    <xdr:col>7</xdr:col>
                    <xdr:colOff>0</xdr:colOff>
                    <xdr:row>2420</xdr:row>
                    <xdr:rowOff>165100</xdr:rowOff>
                  </to>
                </anchor>
              </controlPr>
            </control>
          </mc:Choice>
        </mc:AlternateContent>
        <mc:AlternateContent xmlns:mc="http://schemas.openxmlformats.org/markup-compatibility/2006">
          <mc:Choice Requires="x14">
            <control shapeId="2005" r:id="rId1396" name="Button 981">
              <controlPr defaultSize="0" autoFill="0" autoLine="0" autoPict="0" macro="[0]!Sheet1.deleteRow">
                <anchor moveWithCells="1" sizeWithCells="1">
                  <from>
                    <xdr:col>6</xdr:col>
                    <xdr:colOff>0</xdr:colOff>
                    <xdr:row>2421</xdr:row>
                    <xdr:rowOff>0</xdr:rowOff>
                  </from>
                  <to>
                    <xdr:col>7</xdr:col>
                    <xdr:colOff>0</xdr:colOff>
                    <xdr:row>2421</xdr:row>
                    <xdr:rowOff>165100</xdr:rowOff>
                  </to>
                </anchor>
              </controlPr>
            </control>
          </mc:Choice>
        </mc:AlternateContent>
        <mc:AlternateContent xmlns:mc="http://schemas.openxmlformats.org/markup-compatibility/2006">
          <mc:Choice Requires="x14">
            <control shapeId="2004" r:id="rId1397" name="Button 980">
              <controlPr defaultSize="0" autoFill="0" autoLine="0" autoPict="0" macro="[0]!Sheet1.deleteRow">
                <anchor moveWithCells="1" sizeWithCells="1">
                  <from>
                    <xdr:col>6</xdr:col>
                    <xdr:colOff>0</xdr:colOff>
                    <xdr:row>2422</xdr:row>
                    <xdr:rowOff>0</xdr:rowOff>
                  </from>
                  <to>
                    <xdr:col>7</xdr:col>
                    <xdr:colOff>0</xdr:colOff>
                    <xdr:row>2422</xdr:row>
                    <xdr:rowOff>165100</xdr:rowOff>
                  </to>
                </anchor>
              </controlPr>
            </control>
          </mc:Choice>
        </mc:AlternateContent>
        <mc:AlternateContent xmlns:mc="http://schemas.openxmlformats.org/markup-compatibility/2006">
          <mc:Choice Requires="x14">
            <control shapeId="2003" r:id="rId1398" name="Button 979">
              <controlPr defaultSize="0" autoFill="0" autoLine="0" autoPict="0" macro="[0]!Sheet1.deleteRow">
                <anchor moveWithCells="1" sizeWithCells="1">
                  <from>
                    <xdr:col>6</xdr:col>
                    <xdr:colOff>0</xdr:colOff>
                    <xdr:row>2423</xdr:row>
                    <xdr:rowOff>0</xdr:rowOff>
                  </from>
                  <to>
                    <xdr:col>7</xdr:col>
                    <xdr:colOff>0</xdr:colOff>
                    <xdr:row>2423</xdr:row>
                    <xdr:rowOff>165100</xdr:rowOff>
                  </to>
                </anchor>
              </controlPr>
            </control>
          </mc:Choice>
        </mc:AlternateContent>
        <mc:AlternateContent xmlns:mc="http://schemas.openxmlformats.org/markup-compatibility/2006">
          <mc:Choice Requires="x14">
            <control shapeId="2002" r:id="rId1399" name="Button 978">
              <controlPr defaultSize="0" autoFill="0" autoLine="0" autoPict="0" macro="[0]!Sheet1.deleteRow">
                <anchor moveWithCells="1" sizeWithCells="1">
                  <from>
                    <xdr:col>6</xdr:col>
                    <xdr:colOff>0</xdr:colOff>
                    <xdr:row>2424</xdr:row>
                    <xdr:rowOff>0</xdr:rowOff>
                  </from>
                  <to>
                    <xdr:col>7</xdr:col>
                    <xdr:colOff>0</xdr:colOff>
                    <xdr:row>2424</xdr:row>
                    <xdr:rowOff>165100</xdr:rowOff>
                  </to>
                </anchor>
              </controlPr>
            </control>
          </mc:Choice>
        </mc:AlternateContent>
        <mc:AlternateContent xmlns:mc="http://schemas.openxmlformats.org/markup-compatibility/2006">
          <mc:Choice Requires="x14">
            <control shapeId="2001" r:id="rId1400" name="Button 977">
              <controlPr defaultSize="0" autoFill="0" autoLine="0" autoPict="0" macro="[0]!Sheet1.deleteRow">
                <anchor moveWithCells="1" sizeWithCells="1">
                  <from>
                    <xdr:col>6</xdr:col>
                    <xdr:colOff>0</xdr:colOff>
                    <xdr:row>2425</xdr:row>
                    <xdr:rowOff>0</xdr:rowOff>
                  </from>
                  <to>
                    <xdr:col>7</xdr:col>
                    <xdr:colOff>0</xdr:colOff>
                    <xdr:row>2425</xdr:row>
                    <xdr:rowOff>165100</xdr:rowOff>
                  </to>
                </anchor>
              </controlPr>
            </control>
          </mc:Choice>
        </mc:AlternateContent>
        <mc:AlternateContent xmlns:mc="http://schemas.openxmlformats.org/markup-compatibility/2006">
          <mc:Choice Requires="x14">
            <control shapeId="2000" r:id="rId1401" name="Button 976">
              <controlPr defaultSize="0" autoFill="0" autoLine="0" autoPict="0" macro="[0]!Sheet1.deleteRow">
                <anchor moveWithCells="1" sizeWithCells="1">
                  <from>
                    <xdr:col>6</xdr:col>
                    <xdr:colOff>0</xdr:colOff>
                    <xdr:row>2426</xdr:row>
                    <xdr:rowOff>0</xdr:rowOff>
                  </from>
                  <to>
                    <xdr:col>7</xdr:col>
                    <xdr:colOff>0</xdr:colOff>
                    <xdr:row>2426</xdr:row>
                    <xdr:rowOff>165100</xdr:rowOff>
                  </to>
                </anchor>
              </controlPr>
            </control>
          </mc:Choice>
        </mc:AlternateContent>
        <mc:AlternateContent xmlns:mc="http://schemas.openxmlformats.org/markup-compatibility/2006">
          <mc:Choice Requires="x14">
            <control shapeId="1999" r:id="rId1402" name="Button 975">
              <controlPr defaultSize="0" autoFill="0" autoLine="0" autoPict="0" macro="[0]!Sheet1.deleteRow">
                <anchor moveWithCells="1" sizeWithCells="1">
                  <from>
                    <xdr:col>6</xdr:col>
                    <xdr:colOff>0</xdr:colOff>
                    <xdr:row>2427</xdr:row>
                    <xdr:rowOff>0</xdr:rowOff>
                  </from>
                  <to>
                    <xdr:col>7</xdr:col>
                    <xdr:colOff>0</xdr:colOff>
                    <xdr:row>2427</xdr:row>
                    <xdr:rowOff>165100</xdr:rowOff>
                  </to>
                </anchor>
              </controlPr>
            </control>
          </mc:Choice>
        </mc:AlternateContent>
        <mc:AlternateContent xmlns:mc="http://schemas.openxmlformats.org/markup-compatibility/2006">
          <mc:Choice Requires="x14">
            <control shapeId="1998" r:id="rId1403" name="Button 974">
              <controlPr defaultSize="0" autoFill="0" autoLine="0" autoPict="0" macro="[0]!Sheet1.deleteRow">
                <anchor moveWithCells="1" sizeWithCells="1">
                  <from>
                    <xdr:col>6</xdr:col>
                    <xdr:colOff>0</xdr:colOff>
                    <xdr:row>2428</xdr:row>
                    <xdr:rowOff>0</xdr:rowOff>
                  </from>
                  <to>
                    <xdr:col>7</xdr:col>
                    <xdr:colOff>0</xdr:colOff>
                    <xdr:row>2428</xdr:row>
                    <xdr:rowOff>165100</xdr:rowOff>
                  </to>
                </anchor>
              </controlPr>
            </control>
          </mc:Choice>
        </mc:AlternateContent>
        <mc:AlternateContent xmlns:mc="http://schemas.openxmlformats.org/markup-compatibility/2006">
          <mc:Choice Requires="x14">
            <control shapeId="1997" r:id="rId1404" name="Button 973">
              <controlPr defaultSize="0" autoFill="0" autoLine="0" autoPict="0" macro="[0]!Sheet1.deleteRow">
                <anchor moveWithCells="1" sizeWithCells="1">
                  <from>
                    <xdr:col>6</xdr:col>
                    <xdr:colOff>0</xdr:colOff>
                    <xdr:row>2429</xdr:row>
                    <xdr:rowOff>0</xdr:rowOff>
                  </from>
                  <to>
                    <xdr:col>7</xdr:col>
                    <xdr:colOff>0</xdr:colOff>
                    <xdr:row>2429</xdr:row>
                    <xdr:rowOff>165100</xdr:rowOff>
                  </to>
                </anchor>
              </controlPr>
            </control>
          </mc:Choice>
        </mc:AlternateContent>
        <mc:AlternateContent xmlns:mc="http://schemas.openxmlformats.org/markup-compatibility/2006">
          <mc:Choice Requires="x14">
            <control shapeId="1996" r:id="rId1405" name="Button 972">
              <controlPr defaultSize="0" autoFill="0" autoLine="0" autoPict="0" macro="[0]!Sheet1.deleteRow">
                <anchor moveWithCells="1" sizeWithCells="1">
                  <from>
                    <xdr:col>6</xdr:col>
                    <xdr:colOff>0</xdr:colOff>
                    <xdr:row>2430</xdr:row>
                    <xdr:rowOff>0</xdr:rowOff>
                  </from>
                  <to>
                    <xdr:col>7</xdr:col>
                    <xdr:colOff>0</xdr:colOff>
                    <xdr:row>2430</xdr:row>
                    <xdr:rowOff>165100</xdr:rowOff>
                  </to>
                </anchor>
              </controlPr>
            </control>
          </mc:Choice>
        </mc:AlternateContent>
        <mc:AlternateContent xmlns:mc="http://schemas.openxmlformats.org/markup-compatibility/2006">
          <mc:Choice Requires="x14">
            <control shapeId="1995" r:id="rId1406" name="Button 971">
              <controlPr defaultSize="0" autoFill="0" autoLine="0" autoPict="0" macro="[0]!Sheet1.deleteRow">
                <anchor moveWithCells="1" sizeWithCells="1">
                  <from>
                    <xdr:col>6</xdr:col>
                    <xdr:colOff>0</xdr:colOff>
                    <xdr:row>2431</xdr:row>
                    <xdr:rowOff>0</xdr:rowOff>
                  </from>
                  <to>
                    <xdr:col>7</xdr:col>
                    <xdr:colOff>0</xdr:colOff>
                    <xdr:row>2431</xdr:row>
                    <xdr:rowOff>165100</xdr:rowOff>
                  </to>
                </anchor>
              </controlPr>
            </control>
          </mc:Choice>
        </mc:AlternateContent>
        <mc:AlternateContent xmlns:mc="http://schemas.openxmlformats.org/markup-compatibility/2006">
          <mc:Choice Requires="x14">
            <control shapeId="1994" r:id="rId1407" name="Button 970">
              <controlPr defaultSize="0" autoFill="0" autoLine="0" autoPict="0" macro="[0]!Sheet1.deleteRow">
                <anchor moveWithCells="1" sizeWithCells="1">
                  <from>
                    <xdr:col>6</xdr:col>
                    <xdr:colOff>0</xdr:colOff>
                    <xdr:row>2432</xdr:row>
                    <xdr:rowOff>0</xdr:rowOff>
                  </from>
                  <to>
                    <xdr:col>7</xdr:col>
                    <xdr:colOff>0</xdr:colOff>
                    <xdr:row>2432</xdr:row>
                    <xdr:rowOff>165100</xdr:rowOff>
                  </to>
                </anchor>
              </controlPr>
            </control>
          </mc:Choice>
        </mc:AlternateContent>
        <mc:AlternateContent xmlns:mc="http://schemas.openxmlformats.org/markup-compatibility/2006">
          <mc:Choice Requires="x14">
            <control shapeId="1993" r:id="rId1408" name="Button 969">
              <controlPr defaultSize="0" autoFill="0" autoLine="0" autoPict="0" macro="[0]!Sheet1.deleteRow">
                <anchor moveWithCells="1" sizeWithCells="1">
                  <from>
                    <xdr:col>6</xdr:col>
                    <xdr:colOff>0</xdr:colOff>
                    <xdr:row>2433</xdr:row>
                    <xdr:rowOff>0</xdr:rowOff>
                  </from>
                  <to>
                    <xdr:col>7</xdr:col>
                    <xdr:colOff>0</xdr:colOff>
                    <xdr:row>2433</xdr:row>
                    <xdr:rowOff>165100</xdr:rowOff>
                  </to>
                </anchor>
              </controlPr>
            </control>
          </mc:Choice>
        </mc:AlternateContent>
        <mc:AlternateContent xmlns:mc="http://schemas.openxmlformats.org/markup-compatibility/2006">
          <mc:Choice Requires="x14">
            <control shapeId="1992" r:id="rId1409" name="Button 968">
              <controlPr defaultSize="0" autoFill="0" autoLine="0" autoPict="0" macro="[0]!Sheet1.deleteRow">
                <anchor moveWithCells="1" sizeWithCells="1">
                  <from>
                    <xdr:col>6</xdr:col>
                    <xdr:colOff>0</xdr:colOff>
                    <xdr:row>2434</xdr:row>
                    <xdr:rowOff>0</xdr:rowOff>
                  </from>
                  <to>
                    <xdr:col>7</xdr:col>
                    <xdr:colOff>0</xdr:colOff>
                    <xdr:row>2434</xdr:row>
                    <xdr:rowOff>165100</xdr:rowOff>
                  </to>
                </anchor>
              </controlPr>
            </control>
          </mc:Choice>
        </mc:AlternateContent>
        <mc:AlternateContent xmlns:mc="http://schemas.openxmlformats.org/markup-compatibility/2006">
          <mc:Choice Requires="x14">
            <control shapeId="1991" r:id="rId1410" name="Button 967">
              <controlPr defaultSize="0" autoFill="0" autoLine="0" autoPict="0" macro="[0]!Sheet1.deleteRow">
                <anchor moveWithCells="1" sizeWithCells="1">
                  <from>
                    <xdr:col>6</xdr:col>
                    <xdr:colOff>0</xdr:colOff>
                    <xdr:row>2435</xdr:row>
                    <xdr:rowOff>0</xdr:rowOff>
                  </from>
                  <to>
                    <xdr:col>7</xdr:col>
                    <xdr:colOff>0</xdr:colOff>
                    <xdr:row>2435</xdr:row>
                    <xdr:rowOff>165100</xdr:rowOff>
                  </to>
                </anchor>
              </controlPr>
            </control>
          </mc:Choice>
        </mc:AlternateContent>
        <mc:AlternateContent xmlns:mc="http://schemas.openxmlformats.org/markup-compatibility/2006">
          <mc:Choice Requires="x14">
            <control shapeId="1990" r:id="rId1411" name="Button 966">
              <controlPr defaultSize="0" autoFill="0" autoLine="0" autoPict="0" macro="[0]!Sheet1.deleteRow">
                <anchor moveWithCells="1" sizeWithCells="1">
                  <from>
                    <xdr:col>6</xdr:col>
                    <xdr:colOff>0</xdr:colOff>
                    <xdr:row>2436</xdr:row>
                    <xdr:rowOff>0</xdr:rowOff>
                  </from>
                  <to>
                    <xdr:col>7</xdr:col>
                    <xdr:colOff>0</xdr:colOff>
                    <xdr:row>2436</xdr:row>
                    <xdr:rowOff>165100</xdr:rowOff>
                  </to>
                </anchor>
              </controlPr>
            </control>
          </mc:Choice>
        </mc:AlternateContent>
        <mc:AlternateContent xmlns:mc="http://schemas.openxmlformats.org/markup-compatibility/2006">
          <mc:Choice Requires="x14">
            <control shapeId="1989" r:id="rId1412" name="Button 965">
              <controlPr defaultSize="0" autoFill="0" autoLine="0" autoPict="0" macro="[0]!Sheet1.deleteRow">
                <anchor moveWithCells="1" sizeWithCells="1">
                  <from>
                    <xdr:col>6</xdr:col>
                    <xdr:colOff>0</xdr:colOff>
                    <xdr:row>2437</xdr:row>
                    <xdr:rowOff>0</xdr:rowOff>
                  </from>
                  <to>
                    <xdr:col>7</xdr:col>
                    <xdr:colOff>0</xdr:colOff>
                    <xdr:row>2437</xdr:row>
                    <xdr:rowOff>165100</xdr:rowOff>
                  </to>
                </anchor>
              </controlPr>
            </control>
          </mc:Choice>
        </mc:AlternateContent>
        <mc:AlternateContent xmlns:mc="http://schemas.openxmlformats.org/markup-compatibility/2006">
          <mc:Choice Requires="x14">
            <control shapeId="1988" r:id="rId1413" name="Button 964">
              <controlPr defaultSize="0" autoFill="0" autoLine="0" autoPict="0" macro="[0]!Sheet1.deleteRow">
                <anchor moveWithCells="1" sizeWithCells="1">
                  <from>
                    <xdr:col>6</xdr:col>
                    <xdr:colOff>0</xdr:colOff>
                    <xdr:row>2438</xdr:row>
                    <xdr:rowOff>0</xdr:rowOff>
                  </from>
                  <to>
                    <xdr:col>7</xdr:col>
                    <xdr:colOff>0</xdr:colOff>
                    <xdr:row>2438</xdr:row>
                    <xdr:rowOff>165100</xdr:rowOff>
                  </to>
                </anchor>
              </controlPr>
            </control>
          </mc:Choice>
        </mc:AlternateContent>
        <mc:AlternateContent xmlns:mc="http://schemas.openxmlformats.org/markup-compatibility/2006">
          <mc:Choice Requires="x14">
            <control shapeId="1987" r:id="rId1414" name="Button 963">
              <controlPr defaultSize="0" autoFill="0" autoLine="0" autoPict="0" macro="[0]!Sheet1.deleteRow">
                <anchor moveWithCells="1" sizeWithCells="1">
                  <from>
                    <xdr:col>6</xdr:col>
                    <xdr:colOff>0</xdr:colOff>
                    <xdr:row>2439</xdr:row>
                    <xdr:rowOff>0</xdr:rowOff>
                  </from>
                  <to>
                    <xdr:col>7</xdr:col>
                    <xdr:colOff>0</xdr:colOff>
                    <xdr:row>2439</xdr:row>
                    <xdr:rowOff>165100</xdr:rowOff>
                  </to>
                </anchor>
              </controlPr>
            </control>
          </mc:Choice>
        </mc:AlternateContent>
        <mc:AlternateContent xmlns:mc="http://schemas.openxmlformats.org/markup-compatibility/2006">
          <mc:Choice Requires="x14">
            <control shapeId="1986" r:id="rId1415" name="Button 962">
              <controlPr defaultSize="0" autoFill="0" autoLine="0" autoPict="0" macro="[0]!Sheet1.deleteRow">
                <anchor moveWithCells="1" sizeWithCells="1">
                  <from>
                    <xdr:col>6</xdr:col>
                    <xdr:colOff>0</xdr:colOff>
                    <xdr:row>2440</xdr:row>
                    <xdr:rowOff>0</xdr:rowOff>
                  </from>
                  <to>
                    <xdr:col>7</xdr:col>
                    <xdr:colOff>0</xdr:colOff>
                    <xdr:row>2440</xdr:row>
                    <xdr:rowOff>165100</xdr:rowOff>
                  </to>
                </anchor>
              </controlPr>
            </control>
          </mc:Choice>
        </mc:AlternateContent>
        <mc:AlternateContent xmlns:mc="http://schemas.openxmlformats.org/markup-compatibility/2006">
          <mc:Choice Requires="x14">
            <control shapeId="1985" r:id="rId1416" name="Button 961">
              <controlPr defaultSize="0" autoFill="0" autoLine="0" autoPict="0" macro="[0]!Sheet1.deleteRow">
                <anchor moveWithCells="1" sizeWithCells="1">
                  <from>
                    <xdr:col>6</xdr:col>
                    <xdr:colOff>0</xdr:colOff>
                    <xdr:row>2441</xdr:row>
                    <xdr:rowOff>0</xdr:rowOff>
                  </from>
                  <to>
                    <xdr:col>7</xdr:col>
                    <xdr:colOff>0</xdr:colOff>
                    <xdr:row>2441</xdr:row>
                    <xdr:rowOff>165100</xdr:rowOff>
                  </to>
                </anchor>
              </controlPr>
            </control>
          </mc:Choice>
        </mc:AlternateContent>
        <mc:AlternateContent xmlns:mc="http://schemas.openxmlformats.org/markup-compatibility/2006">
          <mc:Choice Requires="x14">
            <control shapeId="1984" r:id="rId1417" name="Button 960">
              <controlPr defaultSize="0" autoFill="0" autoLine="0" autoPict="0" macro="[0]!Sheet1.deleteRow">
                <anchor moveWithCells="1" sizeWithCells="1">
                  <from>
                    <xdr:col>6</xdr:col>
                    <xdr:colOff>0</xdr:colOff>
                    <xdr:row>2442</xdr:row>
                    <xdr:rowOff>0</xdr:rowOff>
                  </from>
                  <to>
                    <xdr:col>7</xdr:col>
                    <xdr:colOff>0</xdr:colOff>
                    <xdr:row>2442</xdr:row>
                    <xdr:rowOff>165100</xdr:rowOff>
                  </to>
                </anchor>
              </controlPr>
            </control>
          </mc:Choice>
        </mc:AlternateContent>
        <mc:AlternateContent xmlns:mc="http://schemas.openxmlformats.org/markup-compatibility/2006">
          <mc:Choice Requires="x14">
            <control shapeId="1983" r:id="rId1418" name="Button 959">
              <controlPr defaultSize="0" autoFill="0" autoLine="0" autoPict="0" macro="[0]!Sheet1.deleteRow">
                <anchor moveWithCells="1" sizeWithCells="1">
                  <from>
                    <xdr:col>6</xdr:col>
                    <xdr:colOff>0</xdr:colOff>
                    <xdr:row>2443</xdr:row>
                    <xdr:rowOff>0</xdr:rowOff>
                  </from>
                  <to>
                    <xdr:col>7</xdr:col>
                    <xdr:colOff>0</xdr:colOff>
                    <xdr:row>2443</xdr:row>
                    <xdr:rowOff>165100</xdr:rowOff>
                  </to>
                </anchor>
              </controlPr>
            </control>
          </mc:Choice>
        </mc:AlternateContent>
        <mc:AlternateContent xmlns:mc="http://schemas.openxmlformats.org/markup-compatibility/2006">
          <mc:Choice Requires="x14">
            <control shapeId="1982" r:id="rId1419" name="Button 958">
              <controlPr defaultSize="0" autoFill="0" autoLine="0" autoPict="0" macro="[0]!Sheet1.deleteRow">
                <anchor moveWithCells="1" sizeWithCells="1">
                  <from>
                    <xdr:col>6</xdr:col>
                    <xdr:colOff>0</xdr:colOff>
                    <xdr:row>2444</xdr:row>
                    <xdr:rowOff>0</xdr:rowOff>
                  </from>
                  <to>
                    <xdr:col>7</xdr:col>
                    <xdr:colOff>0</xdr:colOff>
                    <xdr:row>2444</xdr:row>
                    <xdr:rowOff>165100</xdr:rowOff>
                  </to>
                </anchor>
              </controlPr>
            </control>
          </mc:Choice>
        </mc:AlternateContent>
        <mc:AlternateContent xmlns:mc="http://schemas.openxmlformats.org/markup-compatibility/2006">
          <mc:Choice Requires="x14">
            <control shapeId="1981" r:id="rId1420" name="Button 957">
              <controlPr defaultSize="0" autoFill="0" autoLine="0" autoPict="0" macro="[0]!Sheet1.deleteRow">
                <anchor moveWithCells="1" sizeWithCells="1">
                  <from>
                    <xdr:col>6</xdr:col>
                    <xdr:colOff>0</xdr:colOff>
                    <xdr:row>2445</xdr:row>
                    <xdr:rowOff>0</xdr:rowOff>
                  </from>
                  <to>
                    <xdr:col>7</xdr:col>
                    <xdr:colOff>0</xdr:colOff>
                    <xdr:row>2445</xdr:row>
                    <xdr:rowOff>165100</xdr:rowOff>
                  </to>
                </anchor>
              </controlPr>
            </control>
          </mc:Choice>
        </mc:AlternateContent>
        <mc:AlternateContent xmlns:mc="http://schemas.openxmlformats.org/markup-compatibility/2006">
          <mc:Choice Requires="x14">
            <control shapeId="1980" r:id="rId1421" name="Button 956">
              <controlPr defaultSize="0" autoFill="0" autoLine="0" autoPict="0" macro="[0]!Sheet1.deleteRow">
                <anchor moveWithCells="1" sizeWithCells="1">
                  <from>
                    <xdr:col>6</xdr:col>
                    <xdr:colOff>0</xdr:colOff>
                    <xdr:row>2446</xdr:row>
                    <xdr:rowOff>0</xdr:rowOff>
                  </from>
                  <to>
                    <xdr:col>7</xdr:col>
                    <xdr:colOff>0</xdr:colOff>
                    <xdr:row>2446</xdr:row>
                    <xdr:rowOff>165100</xdr:rowOff>
                  </to>
                </anchor>
              </controlPr>
            </control>
          </mc:Choice>
        </mc:AlternateContent>
        <mc:AlternateContent xmlns:mc="http://schemas.openxmlformats.org/markup-compatibility/2006">
          <mc:Choice Requires="x14">
            <control shapeId="1979" r:id="rId1422" name="Button 955">
              <controlPr defaultSize="0" autoFill="0" autoLine="0" autoPict="0" macro="[0]!Sheet1.deleteRow">
                <anchor moveWithCells="1" sizeWithCells="1">
                  <from>
                    <xdr:col>6</xdr:col>
                    <xdr:colOff>0</xdr:colOff>
                    <xdr:row>2447</xdr:row>
                    <xdr:rowOff>0</xdr:rowOff>
                  </from>
                  <to>
                    <xdr:col>7</xdr:col>
                    <xdr:colOff>0</xdr:colOff>
                    <xdr:row>2447</xdr:row>
                    <xdr:rowOff>165100</xdr:rowOff>
                  </to>
                </anchor>
              </controlPr>
            </control>
          </mc:Choice>
        </mc:AlternateContent>
        <mc:AlternateContent xmlns:mc="http://schemas.openxmlformats.org/markup-compatibility/2006">
          <mc:Choice Requires="x14">
            <control shapeId="1978" r:id="rId1423" name="Button 954">
              <controlPr defaultSize="0" autoFill="0" autoLine="0" autoPict="0" macro="[0]!Sheet1.deleteRow">
                <anchor moveWithCells="1" sizeWithCells="1">
                  <from>
                    <xdr:col>6</xdr:col>
                    <xdr:colOff>0</xdr:colOff>
                    <xdr:row>2448</xdr:row>
                    <xdr:rowOff>0</xdr:rowOff>
                  </from>
                  <to>
                    <xdr:col>7</xdr:col>
                    <xdr:colOff>0</xdr:colOff>
                    <xdr:row>2448</xdr:row>
                    <xdr:rowOff>165100</xdr:rowOff>
                  </to>
                </anchor>
              </controlPr>
            </control>
          </mc:Choice>
        </mc:AlternateContent>
        <mc:AlternateContent xmlns:mc="http://schemas.openxmlformats.org/markup-compatibility/2006">
          <mc:Choice Requires="x14">
            <control shapeId="1977" r:id="rId1424" name="Button 953">
              <controlPr defaultSize="0" autoFill="0" autoLine="0" autoPict="0" macro="[0]!Sheet1.deleteRow">
                <anchor moveWithCells="1" sizeWithCells="1">
                  <from>
                    <xdr:col>6</xdr:col>
                    <xdr:colOff>0</xdr:colOff>
                    <xdr:row>2449</xdr:row>
                    <xdr:rowOff>0</xdr:rowOff>
                  </from>
                  <to>
                    <xdr:col>7</xdr:col>
                    <xdr:colOff>0</xdr:colOff>
                    <xdr:row>2449</xdr:row>
                    <xdr:rowOff>165100</xdr:rowOff>
                  </to>
                </anchor>
              </controlPr>
            </control>
          </mc:Choice>
        </mc:AlternateContent>
        <mc:AlternateContent xmlns:mc="http://schemas.openxmlformats.org/markup-compatibility/2006">
          <mc:Choice Requires="x14">
            <control shapeId="1976" r:id="rId1425" name="Button 952">
              <controlPr defaultSize="0" autoFill="0" autoLine="0" autoPict="0" macro="[0]!Sheet1.deleteRow">
                <anchor moveWithCells="1" sizeWithCells="1">
                  <from>
                    <xdr:col>6</xdr:col>
                    <xdr:colOff>0</xdr:colOff>
                    <xdr:row>2450</xdr:row>
                    <xdr:rowOff>0</xdr:rowOff>
                  </from>
                  <to>
                    <xdr:col>7</xdr:col>
                    <xdr:colOff>0</xdr:colOff>
                    <xdr:row>2450</xdr:row>
                    <xdr:rowOff>165100</xdr:rowOff>
                  </to>
                </anchor>
              </controlPr>
            </control>
          </mc:Choice>
        </mc:AlternateContent>
        <mc:AlternateContent xmlns:mc="http://schemas.openxmlformats.org/markup-compatibility/2006">
          <mc:Choice Requires="x14">
            <control shapeId="1975" r:id="rId1426" name="Button 951">
              <controlPr defaultSize="0" autoFill="0" autoLine="0" autoPict="0" macro="[0]!Sheet1.deleteRow">
                <anchor moveWithCells="1" sizeWithCells="1">
                  <from>
                    <xdr:col>6</xdr:col>
                    <xdr:colOff>0</xdr:colOff>
                    <xdr:row>2451</xdr:row>
                    <xdr:rowOff>0</xdr:rowOff>
                  </from>
                  <to>
                    <xdr:col>7</xdr:col>
                    <xdr:colOff>0</xdr:colOff>
                    <xdr:row>2451</xdr:row>
                    <xdr:rowOff>165100</xdr:rowOff>
                  </to>
                </anchor>
              </controlPr>
            </control>
          </mc:Choice>
        </mc:AlternateContent>
        <mc:AlternateContent xmlns:mc="http://schemas.openxmlformats.org/markup-compatibility/2006">
          <mc:Choice Requires="x14">
            <control shapeId="1974" r:id="rId1427" name="Button 950">
              <controlPr defaultSize="0" autoFill="0" autoLine="0" autoPict="0" macro="[0]!Sheet1.deleteRow">
                <anchor moveWithCells="1" sizeWithCells="1">
                  <from>
                    <xdr:col>6</xdr:col>
                    <xdr:colOff>0</xdr:colOff>
                    <xdr:row>2452</xdr:row>
                    <xdr:rowOff>0</xdr:rowOff>
                  </from>
                  <to>
                    <xdr:col>7</xdr:col>
                    <xdr:colOff>0</xdr:colOff>
                    <xdr:row>2452</xdr:row>
                    <xdr:rowOff>165100</xdr:rowOff>
                  </to>
                </anchor>
              </controlPr>
            </control>
          </mc:Choice>
        </mc:AlternateContent>
        <mc:AlternateContent xmlns:mc="http://schemas.openxmlformats.org/markup-compatibility/2006">
          <mc:Choice Requires="x14">
            <control shapeId="1973" r:id="rId1428" name="Button 949">
              <controlPr defaultSize="0" autoFill="0" autoLine="0" autoPict="0" macro="[0]!Sheet1.deleteRow">
                <anchor moveWithCells="1" sizeWithCells="1">
                  <from>
                    <xdr:col>6</xdr:col>
                    <xdr:colOff>0</xdr:colOff>
                    <xdr:row>2453</xdr:row>
                    <xdr:rowOff>0</xdr:rowOff>
                  </from>
                  <to>
                    <xdr:col>7</xdr:col>
                    <xdr:colOff>0</xdr:colOff>
                    <xdr:row>2453</xdr:row>
                    <xdr:rowOff>165100</xdr:rowOff>
                  </to>
                </anchor>
              </controlPr>
            </control>
          </mc:Choice>
        </mc:AlternateContent>
        <mc:AlternateContent xmlns:mc="http://schemas.openxmlformats.org/markup-compatibility/2006">
          <mc:Choice Requires="x14">
            <control shapeId="1972" r:id="rId1429" name="Button 948">
              <controlPr defaultSize="0" autoFill="0" autoLine="0" autoPict="0" macro="[0]!Sheet1.deleteRow">
                <anchor moveWithCells="1" sizeWithCells="1">
                  <from>
                    <xdr:col>6</xdr:col>
                    <xdr:colOff>0</xdr:colOff>
                    <xdr:row>2454</xdr:row>
                    <xdr:rowOff>0</xdr:rowOff>
                  </from>
                  <to>
                    <xdr:col>7</xdr:col>
                    <xdr:colOff>0</xdr:colOff>
                    <xdr:row>2454</xdr:row>
                    <xdr:rowOff>165100</xdr:rowOff>
                  </to>
                </anchor>
              </controlPr>
            </control>
          </mc:Choice>
        </mc:AlternateContent>
        <mc:AlternateContent xmlns:mc="http://schemas.openxmlformats.org/markup-compatibility/2006">
          <mc:Choice Requires="x14">
            <control shapeId="1971" r:id="rId1430" name="Button 947">
              <controlPr defaultSize="0" autoFill="0" autoLine="0" autoPict="0" macro="[0]!Sheet1.deleteRow">
                <anchor moveWithCells="1" sizeWithCells="1">
                  <from>
                    <xdr:col>6</xdr:col>
                    <xdr:colOff>0</xdr:colOff>
                    <xdr:row>2455</xdr:row>
                    <xdr:rowOff>0</xdr:rowOff>
                  </from>
                  <to>
                    <xdr:col>7</xdr:col>
                    <xdr:colOff>0</xdr:colOff>
                    <xdr:row>2455</xdr:row>
                    <xdr:rowOff>165100</xdr:rowOff>
                  </to>
                </anchor>
              </controlPr>
            </control>
          </mc:Choice>
        </mc:AlternateContent>
        <mc:AlternateContent xmlns:mc="http://schemas.openxmlformats.org/markup-compatibility/2006">
          <mc:Choice Requires="x14">
            <control shapeId="1970" r:id="rId1431" name="Button 946">
              <controlPr defaultSize="0" autoFill="0" autoLine="0" autoPict="0" macro="[0]!Sheet1.deleteRow">
                <anchor moveWithCells="1" sizeWithCells="1">
                  <from>
                    <xdr:col>6</xdr:col>
                    <xdr:colOff>0</xdr:colOff>
                    <xdr:row>2456</xdr:row>
                    <xdr:rowOff>0</xdr:rowOff>
                  </from>
                  <to>
                    <xdr:col>7</xdr:col>
                    <xdr:colOff>0</xdr:colOff>
                    <xdr:row>2456</xdr:row>
                    <xdr:rowOff>165100</xdr:rowOff>
                  </to>
                </anchor>
              </controlPr>
            </control>
          </mc:Choice>
        </mc:AlternateContent>
        <mc:AlternateContent xmlns:mc="http://schemas.openxmlformats.org/markup-compatibility/2006">
          <mc:Choice Requires="x14">
            <control shapeId="1969" r:id="rId1432" name="Button 945">
              <controlPr defaultSize="0" autoFill="0" autoLine="0" autoPict="0" macro="[0]!Sheet1.deleteRow">
                <anchor moveWithCells="1" sizeWithCells="1">
                  <from>
                    <xdr:col>6</xdr:col>
                    <xdr:colOff>0</xdr:colOff>
                    <xdr:row>2457</xdr:row>
                    <xdr:rowOff>0</xdr:rowOff>
                  </from>
                  <to>
                    <xdr:col>7</xdr:col>
                    <xdr:colOff>0</xdr:colOff>
                    <xdr:row>2457</xdr:row>
                    <xdr:rowOff>165100</xdr:rowOff>
                  </to>
                </anchor>
              </controlPr>
            </control>
          </mc:Choice>
        </mc:AlternateContent>
        <mc:AlternateContent xmlns:mc="http://schemas.openxmlformats.org/markup-compatibility/2006">
          <mc:Choice Requires="x14">
            <control shapeId="1968" r:id="rId1433" name="Button 944">
              <controlPr defaultSize="0" autoFill="0" autoLine="0" autoPict="0" macro="[0]!Sheet1.deleteRow">
                <anchor moveWithCells="1" sizeWithCells="1">
                  <from>
                    <xdr:col>6</xdr:col>
                    <xdr:colOff>0</xdr:colOff>
                    <xdr:row>2458</xdr:row>
                    <xdr:rowOff>0</xdr:rowOff>
                  </from>
                  <to>
                    <xdr:col>7</xdr:col>
                    <xdr:colOff>0</xdr:colOff>
                    <xdr:row>2458</xdr:row>
                    <xdr:rowOff>165100</xdr:rowOff>
                  </to>
                </anchor>
              </controlPr>
            </control>
          </mc:Choice>
        </mc:AlternateContent>
        <mc:AlternateContent xmlns:mc="http://schemas.openxmlformats.org/markup-compatibility/2006">
          <mc:Choice Requires="x14">
            <control shapeId="1967" r:id="rId1434" name="Button 943">
              <controlPr defaultSize="0" autoFill="0" autoLine="0" autoPict="0" macro="[0]!Sheet1.deleteRow">
                <anchor moveWithCells="1" sizeWithCells="1">
                  <from>
                    <xdr:col>6</xdr:col>
                    <xdr:colOff>0</xdr:colOff>
                    <xdr:row>2459</xdr:row>
                    <xdr:rowOff>0</xdr:rowOff>
                  </from>
                  <to>
                    <xdr:col>7</xdr:col>
                    <xdr:colOff>0</xdr:colOff>
                    <xdr:row>2459</xdr:row>
                    <xdr:rowOff>165100</xdr:rowOff>
                  </to>
                </anchor>
              </controlPr>
            </control>
          </mc:Choice>
        </mc:AlternateContent>
        <mc:AlternateContent xmlns:mc="http://schemas.openxmlformats.org/markup-compatibility/2006">
          <mc:Choice Requires="x14">
            <control shapeId="1966" r:id="rId1435" name="Button 942">
              <controlPr defaultSize="0" autoFill="0" autoLine="0" autoPict="0" macro="[0]!Sheet1.deleteRow">
                <anchor moveWithCells="1" sizeWithCells="1">
                  <from>
                    <xdr:col>6</xdr:col>
                    <xdr:colOff>0</xdr:colOff>
                    <xdr:row>2460</xdr:row>
                    <xdr:rowOff>0</xdr:rowOff>
                  </from>
                  <to>
                    <xdr:col>7</xdr:col>
                    <xdr:colOff>0</xdr:colOff>
                    <xdr:row>2460</xdr:row>
                    <xdr:rowOff>165100</xdr:rowOff>
                  </to>
                </anchor>
              </controlPr>
            </control>
          </mc:Choice>
        </mc:AlternateContent>
        <mc:AlternateContent xmlns:mc="http://schemas.openxmlformats.org/markup-compatibility/2006">
          <mc:Choice Requires="x14">
            <control shapeId="1965" r:id="rId1436" name="Button 941">
              <controlPr defaultSize="0" autoFill="0" autoLine="0" autoPict="0" macro="[0]!Sheet1.deleteRow">
                <anchor moveWithCells="1" sizeWithCells="1">
                  <from>
                    <xdr:col>6</xdr:col>
                    <xdr:colOff>0</xdr:colOff>
                    <xdr:row>2461</xdr:row>
                    <xdr:rowOff>0</xdr:rowOff>
                  </from>
                  <to>
                    <xdr:col>7</xdr:col>
                    <xdr:colOff>0</xdr:colOff>
                    <xdr:row>2461</xdr:row>
                    <xdr:rowOff>165100</xdr:rowOff>
                  </to>
                </anchor>
              </controlPr>
            </control>
          </mc:Choice>
        </mc:AlternateContent>
        <mc:AlternateContent xmlns:mc="http://schemas.openxmlformats.org/markup-compatibility/2006">
          <mc:Choice Requires="x14">
            <control shapeId="1964" r:id="rId1437" name="Button 940">
              <controlPr defaultSize="0" autoFill="0" autoLine="0" autoPict="0" macro="[0]!Sheet1.deleteRow">
                <anchor moveWithCells="1" sizeWithCells="1">
                  <from>
                    <xdr:col>6</xdr:col>
                    <xdr:colOff>0</xdr:colOff>
                    <xdr:row>2462</xdr:row>
                    <xdr:rowOff>0</xdr:rowOff>
                  </from>
                  <to>
                    <xdr:col>7</xdr:col>
                    <xdr:colOff>0</xdr:colOff>
                    <xdr:row>2462</xdr:row>
                    <xdr:rowOff>165100</xdr:rowOff>
                  </to>
                </anchor>
              </controlPr>
            </control>
          </mc:Choice>
        </mc:AlternateContent>
        <mc:AlternateContent xmlns:mc="http://schemas.openxmlformats.org/markup-compatibility/2006">
          <mc:Choice Requires="x14">
            <control shapeId="1963" r:id="rId1438" name="Button 939">
              <controlPr defaultSize="0" autoFill="0" autoLine="0" autoPict="0" macro="[0]!Sheet1.deleteRow">
                <anchor moveWithCells="1" sizeWithCells="1">
                  <from>
                    <xdr:col>6</xdr:col>
                    <xdr:colOff>0</xdr:colOff>
                    <xdr:row>2463</xdr:row>
                    <xdr:rowOff>0</xdr:rowOff>
                  </from>
                  <to>
                    <xdr:col>7</xdr:col>
                    <xdr:colOff>0</xdr:colOff>
                    <xdr:row>2463</xdr:row>
                    <xdr:rowOff>165100</xdr:rowOff>
                  </to>
                </anchor>
              </controlPr>
            </control>
          </mc:Choice>
        </mc:AlternateContent>
        <mc:AlternateContent xmlns:mc="http://schemas.openxmlformats.org/markup-compatibility/2006">
          <mc:Choice Requires="x14">
            <control shapeId="1962" r:id="rId1439" name="Button 938">
              <controlPr defaultSize="0" autoFill="0" autoLine="0" autoPict="0" macro="[0]!Sheet1.deleteRow">
                <anchor moveWithCells="1" sizeWithCells="1">
                  <from>
                    <xdr:col>6</xdr:col>
                    <xdr:colOff>0</xdr:colOff>
                    <xdr:row>2464</xdr:row>
                    <xdr:rowOff>0</xdr:rowOff>
                  </from>
                  <to>
                    <xdr:col>7</xdr:col>
                    <xdr:colOff>0</xdr:colOff>
                    <xdr:row>2464</xdr:row>
                    <xdr:rowOff>165100</xdr:rowOff>
                  </to>
                </anchor>
              </controlPr>
            </control>
          </mc:Choice>
        </mc:AlternateContent>
        <mc:AlternateContent xmlns:mc="http://schemas.openxmlformats.org/markup-compatibility/2006">
          <mc:Choice Requires="x14">
            <control shapeId="1961" r:id="rId1440" name="Button 937">
              <controlPr defaultSize="0" autoFill="0" autoLine="0" autoPict="0" macro="[0]!Sheet1.deleteRow">
                <anchor moveWithCells="1" sizeWithCells="1">
                  <from>
                    <xdr:col>6</xdr:col>
                    <xdr:colOff>0</xdr:colOff>
                    <xdr:row>2465</xdr:row>
                    <xdr:rowOff>0</xdr:rowOff>
                  </from>
                  <to>
                    <xdr:col>7</xdr:col>
                    <xdr:colOff>0</xdr:colOff>
                    <xdr:row>2465</xdr:row>
                    <xdr:rowOff>165100</xdr:rowOff>
                  </to>
                </anchor>
              </controlPr>
            </control>
          </mc:Choice>
        </mc:AlternateContent>
        <mc:AlternateContent xmlns:mc="http://schemas.openxmlformats.org/markup-compatibility/2006">
          <mc:Choice Requires="x14">
            <control shapeId="1960" r:id="rId1441" name="Button 936">
              <controlPr defaultSize="0" autoFill="0" autoLine="0" autoPict="0" macro="[0]!Sheet1.deleteRow">
                <anchor moveWithCells="1" sizeWithCells="1">
                  <from>
                    <xdr:col>6</xdr:col>
                    <xdr:colOff>0</xdr:colOff>
                    <xdr:row>2466</xdr:row>
                    <xdr:rowOff>0</xdr:rowOff>
                  </from>
                  <to>
                    <xdr:col>7</xdr:col>
                    <xdr:colOff>0</xdr:colOff>
                    <xdr:row>2466</xdr:row>
                    <xdr:rowOff>165100</xdr:rowOff>
                  </to>
                </anchor>
              </controlPr>
            </control>
          </mc:Choice>
        </mc:AlternateContent>
        <mc:AlternateContent xmlns:mc="http://schemas.openxmlformats.org/markup-compatibility/2006">
          <mc:Choice Requires="x14">
            <control shapeId="1959" r:id="rId1442" name="Button 935">
              <controlPr defaultSize="0" autoFill="0" autoLine="0" autoPict="0" macro="[0]!Sheet1.deleteRow">
                <anchor moveWithCells="1" sizeWithCells="1">
                  <from>
                    <xdr:col>6</xdr:col>
                    <xdr:colOff>0</xdr:colOff>
                    <xdr:row>2467</xdr:row>
                    <xdr:rowOff>0</xdr:rowOff>
                  </from>
                  <to>
                    <xdr:col>7</xdr:col>
                    <xdr:colOff>0</xdr:colOff>
                    <xdr:row>2467</xdr:row>
                    <xdr:rowOff>165100</xdr:rowOff>
                  </to>
                </anchor>
              </controlPr>
            </control>
          </mc:Choice>
        </mc:AlternateContent>
        <mc:AlternateContent xmlns:mc="http://schemas.openxmlformats.org/markup-compatibility/2006">
          <mc:Choice Requires="x14">
            <control shapeId="1958" r:id="rId1443" name="Button 934">
              <controlPr defaultSize="0" autoFill="0" autoLine="0" autoPict="0" macro="[0]!Sheet1.deleteRow">
                <anchor moveWithCells="1" sizeWithCells="1">
                  <from>
                    <xdr:col>6</xdr:col>
                    <xdr:colOff>0</xdr:colOff>
                    <xdr:row>2468</xdr:row>
                    <xdr:rowOff>0</xdr:rowOff>
                  </from>
                  <to>
                    <xdr:col>7</xdr:col>
                    <xdr:colOff>0</xdr:colOff>
                    <xdr:row>2468</xdr:row>
                    <xdr:rowOff>165100</xdr:rowOff>
                  </to>
                </anchor>
              </controlPr>
            </control>
          </mc:Choice>
        </mc:AlternateContent>
        <mc:AlternateContent xmlns:mc="http://schemas.openxmlformats.org/markup-compatibility/2006">
          <mc:Choice Requires="x14">
            <control shapeId="1957" r:id="rId1444" name="Button 933">
              <controlPr defaultSize="0" autoFill="0" autoLine="0" autoPict="0" macro="[0]!Sheet1.deleteRow">
                <anchor moveWithCells="1" sizeWithCells="1">
                  <from>
                    <xdr:col>6</xdr:col>
                    <xdr:colOff>0</xdr:colOff>
                    <xdr:row>2469</xdr:row>
                    <xdr:rowOff>0</xdr:rowOff>
                  </from>
                  <to>
                    <xdr:col>7</xdr:col>
                    <xdr:colOff>0</xdr:colOff>
                    <xdr:row>2469</xdr:row>
                    <xdr:rowOff>165100</xdr:rowOff>
                  </to>
                </anchor>
              </controlPr>
            </control>
          </mc:Choice>
        </mc:AlternateContent>
        <mc:AlternateContent xmlns:mc="http://schemas.openxmlformats.org/markup-compatibility/2006">
          <mc:Choice Requires="x14">
            <control shapeId="1956" r:id="rId1445" name="Button 932">
              <controlPr defaultSize="0" autoFill="0" autoLine="0" autoPict="0" macro="[0]!Sheet1.deleteRow">
                <anchor moveWithCells="1" sizeWithCells="1">
                  <from>
                    <xdr:col>6</xdr:col>
                    <xdr:colOff>0</xdr:colOff>
                    <xdr:row>2470</xdr:row>
                    <xdr:rowOff>0</xdr:rowOff>
                  </from>
                  <to>
                    <xdr:col>7</xdr:col>
                    <xdr:colOff>0</xdr:colOff>
                    <xdr:row>2470</xdr:row>
                    <xdr:rowOff>165100</xdr:rowOff>
                  </to>
                </anchor>
              </controlPr>
            </control>
          </mc:Choice>
        </mc:AlternateContent>
        <mc:AlternateContent xmlns:mc="http://schemas.openxmlformats.org/markup-compatibility/2006">
          <mc:Choice Requires="x14">
            <control shapeId="1955" r:id="rId1446" name="Button 931">
              <controlPr defaultSize="0" autoFill="0" autoLine="0" autoPict="0" macro="[0]!Sheet1.deleteRow">
                <anchor moveWithCells="1" sizeWithCells="1">
                  <from>
                    <xdr:col>6</xdr:col>
                    <xdr:colOff>0</xdr:colOff>
                    <xdr:row>2471</xdr:row>
                    <xdr:rowOff>0</xdr:rowOff>
                  </from>
                  <to>
                    <xdr:col>7</xdr:col>
                    <xdr:colOff>0</xdr:colOff>
                    <xdr:row>2471</xdr:row>
                    <xdr:rowOff>165100</xdr:rowOff>
                  </to>
                </anchor>
              </controlPr>
            </control>
          </mc:Choice>
        </mc:AlternateContent>
        <mc:AlternateContent xmlns:mc="http://schemas.openxmlformats.org/markup-compatibility/2006">
          <mc:Choice Requires="x14">
            <control shapeId="1954" r:id="rId1447" name="Button 930">
              <controlPr defaultSize="0" autoFill="0" autoLine="0" autoPict="0" macro="[0]!Sheet1.deleteRow">
                <anchor moveWithCells="1" sizeWithCells="1">
                  <from>
                    <xdr:col>6</xdr:col>
                    <xdr:colOff>0</xdr:colOff>
                    <xdr:row>2472</xdr:row>
                    <xdr:rowOff>0</xdr:rowOff>
                  </from>
                  <to>
                    <xdr:col>7</xdr:col>
                    <xdr:colOff>0</xdr:colOff>
                    <xdr:row>2472</xdr:row>
                    <xdr:rowOff>165100</xdr:rowOff>
                  </to>
                </anchor>
              </controlPr>
            </control>
          </mc:Choice>
        </mc:AlternateContent>
        <mc:AlternateContent xmlns:mc="http://schemas.openxmlformats.org/markup-compatibility/2006">
          <mc:Choice Requires="x14">
            <control shapeId="1953" r:id="rId1448" name="Button 929">
              <controlPr defaultSize="0" autoFill="0" autoLine="0" autoPict="0" macro="[0]!Sheet1.deleteRow">
                <anchor moveWithCells="1" sizeWithCells="1">
                  <from>
                    <xdr:col>6</xdr:col>
                    <xdr:colOff>0</xdr:colOff>
                    <xdr:row>2473</xdr:row>
                    <xdr:rowOff>0</xdr:rowOff>
                  </from>
                  <to>
                    <xdr:col>7</xdr:col>
                    <xdr:colOff>0</xdr:colOff>
                    <xdr:row>2473</xdr:row>
                    <xdr:rowOff>165100</xdr:rowOff>
                  </to>
                </anchor>
              </controlPr>
            </control>
          </mc:Choice>
        </mc:AlternateContent>
        <mc:AlternateContent xmlns:mc="http://schemas.openxmlformats.org/markup-compatibility/2006">
          <mc:Choice Requires="x14">
            <control shapeId="1952" r:id="rId1449" name="Button 928">
              <controlPr defaultSize="0" autoFill="0" autoLine="0" autoPict="0" macro="[0]!Sheet1.deleteRow">
                <anchor moveWithCells="1" sizeWithCells="1">
                  <from>
                    <xdr:col>6</xdr:col>
                    <xdr:colOff>0</xdr:colOff>
                    <xdr:row>2474</xdr:row>
                    <xdr:rowOff>0</xdr:rowOff>
                  </from>
                  <to>
                    <xdr:col>7</xdr:col>
                    <xdr:colOff>0</xdr:colOff>
                    <xdr:row>2474</xdr:row>
                    <xdr:rowOff>165100</xdr:rowOff>
                  </to>
                </anchor>
              </controlPr>
            </control>
          </mc:Choice>
        </mc:AlternateContent>
        <mc:AlternateContent xmlns:mc="http://schemas.openxmlformats.org/markup-compatibility/2006">
          <mc:Choice Requires="x14">
            <control shapeId="1951" r:id="rId1450" name="Button 927">
              <controlPr defaultSize="0" autoFill="0" autoLine="0" autoPict="0" macro="[0]!Sheet1.deleteRow">
                <anchor moveWithCells="1" sizeWithCells="1">
                  <from>
                    <xdr:col>6</xdr:col>
                    <xdr:colOff>0</xdr:colOff>
                    <xdr:row>2475</xdr:row>
                    <xdr:rowOff>0</xdr:rowOff>
                  </from>
                  <to>
                    <xdr:col>7</xdr:col>
                    <xdr:colOff>0</xdr:colOff>
                    <xdr:row>2475</xdr:row>
                    <xdr:rowOff>165100</xdr:rowOff>
                  </to>
                </anchor>
              </controlPr>
            </control>
          </mc:Choice>
        </mc:AlternateContent>
        <mc:AlternateContent xmlns:mc="http://schemas.openxmlformats.org/markup-compatibility/2006">
          <mc:Choice Requires="x14">
            <control shapeId="1950" r:id="rId1451" name="Button 926">
              <controlPr defaultSize="0" autoFill="0" autoLine="0" autoPict="0" macro="[0]!Sheet1.deleteRow">
                <anchor moveWithCells="1" sizeWithCells="1">
                  <from>
                    <xdr:col>6</xdr:col>
                    <xdr:colOff>0</xdr:colOff>
                    <xdr:row>2476</xdr:row>
                    <xdr:rowOff>0</xdr:rowOff>
                  </from>
                  <to>
                    <xdr:col>7</xdr:col>
                    <xdr:colOff>0</xdr:colOff>
                    <xdr:row>2476</xdr:row>
                    <xdr:rowOff>165100</xdr:rowOff>
                  </to>
                </anchor>
              </controlPr>
            </control>
          </mc:Choice>
        </mc:AlternateContent>
        <mc:AlternateContent xmlns:mc="http://schemas.openxmlformats.org/markup-compatibility/2006">
          <mc:Choice Requires="x14">
            <control shapeId="1949" r:id="rId1452" name="Button 925">
              <controlPr defaultSize="0" autoFill="0" autoLine="0" autoPict="0" macro="[0]!Sheet1.deleteRow">
                <anchor moveWithCells="1" sizeWithCells="1">
                  <from>
                    <xdr:col>6</xdr:col>
                    <xdr:colOff>0</xdr:colOff>
                    <xdr:row>2477</xdr:row>
                    <xdr:rowOff>0</xdr:rowOff>
                  </from>
                  <to>
                    <xdr:col>7</xdr:col>
                    <xdr:colOff>0</xdr:colOff>
                    <xdr:row>2477</xdr:row>
                    <xdr:rowOff>165100</xdr:rowOff>
                  </to>
                </anchor>
              </controlPr>
            </control>
          </mc:Choice>
        </mc:AlternateContent>
        <mc:AlternateContent xmlns:mc="http://schemas.openxmlformats.org/markup-compatibility/2006">
          <mc:Choice Requires="x14">
            <control shapeId="1948" r:id="rId1453" name="Button 924">
              <controlPr defaultSize="0" autoFill="0" autoLine="0" autoPict="0" macro="[0]!Sheet1.deleteRow">
                <anchor moveWithCells="1" sizeWithCells="1">
                  <from>
                    <xdr:col>6</xdr:col>
                    <xdr:colOff>0</xdr:colOff>
                    <xdr:row>2478</xdr:row>
                    <xdr:rowOff>0</xdr:rowOff>
                  </from>
                  <to>
                    <xdr:col>7</xdr:col>
                    <xdr:colOff>0</xdr:colOff>
                    <xdr:row>2478</xdr:row>
                    <xdr:rowOff>165100</xdr:rowOff>
                  </to>
                </anchor>
              </controlPr>
            </control>
          </mc:Choice>
        </mc:AlternateContent>
        <mc:AlternateContent xmlns:mc="http://schemas.openxmlformats.org/markup-compatibility/2006">
          <mc:Choice Requires="x14">
            <control shapeId="1947" r:id="rId1454" name="Button 923">
              <controlPr defaultSize="0" autoFill="0" autoLine="0" autoPict="0" macro="[0]!Sheet1.deleteRow">
                <anchor moveWithCells="1" sizeWithCells="1">
                  <from>
                    <xdr:col>6</xdr:col>
                    <xdr:colOff>0</xdr:colOff>
                    <xdr:row>2479</xdr:row>
                    <xdr:rowOff>0</xdr:rowOff>
                  </from>
                  <to>
                    <xdr:col>7</xdr:col>
                    <xdr:colOff>0</xdr:colOff>
                    <xdr:row>2479</xdr:row>
                    <xdr:rowOff>165100</xdr:rowOff>
                  </to>
                </anchor>
              </controlPr>
            </control>
          </mc:Choice>
        </mc:AlternateContent>
        <mc:AlternateContent xmlns:mc="http://schemas.openxmlformats.org/markup-compatibility/2006">
          <mc:Choice Requires="x14">
            <control shapeId="1946" r:id="rId1455" name="Button 922">
              <controlPr defaultSize="0" autoFill="0" autoLine="0" autoPict="0" macro="[0]!Sheet1.deleteRow">
                <anchor moveWithCells="1" sizeWithCells="1">
                  <from>
                    <xdr:col>6</xdr:col>
                    <xdr:colOff>0</xdr:colOff>
                    <xdr:row>2480</xdr:row>
                    <xdr:rowOff>0</xdr:rowOff>
                  </from>
                  <to>
                    <xdr:col>7</xdr:col>
                    <xdr:colOff>0</xdr:colOff>
                    <xdr:row>2480</xdr:row>
                    <xdr:rowOff>165100</xdr:rowOff>
                  </to>
                </anchor>
              </controlPr>
            </control>
          </mc:Choice>
        </mc:AlternateContent>
        <mc:AlternateContent xmlns:mc="http://schemas.openxmlformats.org/markup-compatibility/2006">
          <mc:Choice Requires="x14">
            <control shapeId="1945" r:id="rId1456" name="Button 921">
              <controlPr defaultSize="0" autoFill="0" autoLine="0" autoPict="0" macro="[0]!Sheet1.deleteRow">
                <anchor moveWithCells="1" sizeWithCells="1">
                  <from>
                    <xdr:col>6</xdr:col>
                    <xdr:colOff>0</xdr:colOff>
                    <xdr:row>2481</xdr:row>
                    <xdr:rowOff>0</xdr:rowOff>
                  </from>
                  <to>
                    <xdr:col>7</xdr:col>
                    <xdr:colOff>0</xdr:colOff>
                    <xdr:row>2481</xdr:row>
                    <xdr:rowOff>165100</xdr:rowOff>
                  </to>
                </anchor>
              </controlPr>
            </control>
          </mc:Choice>
        </mc:AlternateContent>
        <mc:AlternateContent xmlns:mc="http://schemas.openxmlformats.org/markup-compatibility/2006">
          <mc:Choice Requires="x14">
            <control shapeId="1944" r:id="rId1457" name="Button 920">
              <controlPr defaultSize="0" autoFill="0" autoLine="0" autoPict="0" macro="[0]!Sheet1.deleteRow">
                <anchor moveWithCells="1" sizeWithCells="1">
                  <from>
                    <xdr:col>6</xdr:col>
                    <xdr:colOff>0</xdr:colOff>
                    <xdr:row>2482</xdr:row>
                    <xdr:rowOff>0</xdr:rowOff>
                  </from>
                  <to>
                    <xdr:col>7</xdr:col>
                    <xdr:colOff>0</xdr:colOff>
                    <xdr:row>2482</xdr:row>
                    <xdr:rowOff>165100</xdr:rowOff>
                  </to>
                </anchor>
              </controlPr>
            </control>
          </mc:Choice>
        </mc:AlternateContent>
        <mc:AlternateContent xmlns:mc="http://schemas.openxmlformats.org/markup-compatibility/2006">
          <mc:Choice Requires="x14">
            <control shapeId="1943" r:id="rId1458" name="Button 919">
              <controlPr defaultSize="0" autoFill="0" autoLine="0" autoPict="0" macro="[0]!Sheet1.deleteRow">
                <anchor moveWithCells="1" sizeWithCells="1">
                  <from>
                    <xdr:col>6</xdr:col>
                    <xdr:colOff>0</xdr:colOff>
                    <xdr:row>2483</xdr:row>
                    <xdr:rowOff>0</xdr:rowOff>
                  </from>
                  <to>
                    <xdr:col>7</xdr:col>
                    <xdr:colOff>0</xdr:colOff>
                    <xdr:row>2483</xdr:row>
                    <xdr:rowOff>165100</xdr:rowOff>
                  </to>
                </anchor>
              </controlPr>
            </control>
          </mc:Choice>
        </mc:AlternateContent>
        <mc:AlternateContent xmlns:mc="http://schemas.openxmlformats.org/markup-compatibility/2006">
          <mc:Choice Requires="x14">
            <control shapeId="1942" r:id="rId1459" name="Button 918">
              <controlPr defaultSize="0" autoFill="0" autoLine="0" autoPict="0" macro="[0]!Sheet1.deleteRow">
                <anchor moveWithCells="1" sizeWithCells="1">
                  <from>
                    <xdr:col>6</xdr:col>
                    <xdr:colOff>0</xdr:colOff>
                    <xdr:row>2484</xdr:row>
                    <xdr:rowOff>0</xdr:rowOff>
                  </from>
                  <to>
                    <xdr:col>7</xdr:col>
                    <xdr:colOff>0</xdr:colOff>
                    <xdr:row>2484</xdr:row>
                    <xdr:rowOff>165100</xdr:rowOff>
                  </to>
                </anchor>
              </controlPr>
            </control>
          </mc:Choice>
        </mc:AlternateContent>
        <mc:AlternateContent xmlns:mc="http://schemas.openxmlformats.org/markup-compatibility/2006">
          <mc:Choice Requires="x14">
            <control shapeId="1941" r:id="rId1460" name="Button 917">
              <controlPr defaultSize="0" autoFill="0" autoLine="0" autoPict="0" macro="[0]!Sheet1.deleteRow">
                <anchor moveWithCells="1" sizeWithCells="1">
                  <from>
                    <xdr:col>6</xdr:col>
                    <xdr:colOff>0</xdr:colOff>
                    <xdr:row>2485</xdr:row>
                    <xdr:rowOff>0</xdr:rowOff>
                  </from>
                  <to>
                    <xdr:col>7</xdr:col>
                    <xdr:colOff>0</xdr:colOff>
                    <xdr:row>2485</xdr:row>
                    <xdr:rowOff>165100</xdr:rowOff>
                  </to>
                </anchor>
              </controlPr>
            </control>
          </mc:Choice>
        </mc:AlternateContent>
        <mc:AlternateContent xmlns:mc="http://schemas.openxmlformats.org/markup-compatibility/2006">
          <mc:Choice Requires="x14">
            <control shapeId="1940" r:id="rId1461" name="Button 916">
              <controlPr defaultSize="0" autoFill="0" autoLine="0" autoPict="0" macro="[0]!Sheet1.deleteRow">
                <anchor moveWithCells="1" sizeWithCells="1">
                  <from>
                    <xdr:col>6</xdr:col>
                    <xdr:colOff>0</xdr:colOff>
                    <xdr:row>2486</xdr:row>
                    <xdr:rowOff>0</xdr:rowOff>
                  </from>
                  <to>
                    <xdr:col>7</xdr:col>
                    <xdr:colOff>0</xdr:colOff>
                    <xdr:row>2486</xdr:row>
                    <xdr:rowOff>165100</xdr:rowOff>
                  </to>
                </anchor>
              </controlPr>
            </control>
          </mc:Choice>
        </mc:AlternateContent>
        <mc:AlternateContent xmlns:mc="http://schemas.openxmlformats.org/markup-compatibility/2006">
          <mc:Choice Requires="x14">
            <control shapeId="1939" r:id="rId1462" name="Button 915">
              <controlPr defaultSize="0" autoFill="0" autoLine="0" autoPict="0" macro="[0]!Sheet1.deleteRow">
                <anchor moveWithCells="1" sizeWithCells="1">
                  <from>
                    <xdr:col>6</xdr:col>
                    <xdr:colOff>0</xdr:colOff>
                    <xdr:row>2487</xdr:row>
                    <xdr:rowOff>0</xdr:rowOff>
                  </from>
                  <to>
                    <xdr:col>7</xdr:col>
                    <xdr:colOff>0</xdr:colOff>
                    <xdr:row>2487</xdr:row>
                    <xdr:rowOff>165100</xdr:rowOff>
                  </to>
                </anchor>
              </controlPr>
            </control>
          </mc:Choice>
        </mc:AlternateContent>
        <mc:AlternateContent xmlns:mc="http://schemas.openxmlformats.org/markup-compatibility/2006">
          <mc:Choice Requires="x14">
            <control shapeId="1938" r:id="rId1463" name="Button 914">
              <controlPr defaultSize="0" autoFill="0" autoLine="0" autoPict="0" macro="[0]!Sheet1.deleteRow">
                <anchor moveWithCells="1" sizeWithCells="1">
                  <from>
                    <xdr:col>6</xdr:col>
                    <xdr:colOff>0</xdr:colOff>
                    <xdr:row>2488</xdr:row>
                    <xdr:rowOff>0</xdr:rowOff>
                  </from>
                  <to>
                    <xdr:col>7</xdr:col>
                    <xdr:colOff>0</xdr:colOff>
                    <xdr:row>2488</xdr:row>
                    <xdr:rowOff>165100</xdr:rowOff>
                  </to>
                </anchor>
              </controlPr>
            </control>
          </mc:Choice>
        </mc:AlternateContent>
        <mc:AlternateContent xmlns:mc="http://schemas.openxmlformats.org/markup-compatibility/2006">
          <mc:Choice Requires="x14">
            <control shapeId="1937" r:id="rId1464" name="Button 913">
              <controlPr defaultSize="0" autoFill="0" autoLine="0" autoPict="0" macro="[0]!Sheet1.deleteRow">
                <anchor moveWithCells="1" sizeWithCells="1">
                  <from>
                    <xdr:col>6</xdr:col>
                    <xdr:colOff>0</xdr:colOff>
                    <xdr:row>2489</xdr:row>
                    <xdr:rowOff>0</xdr:rowOff>
                  </from>
                  <to>
                    <xdr:col>7</xdr:col>
                    <xdr:colOff>0</xdr:colOff>
                    <xdr:row>2489</xdr:row>
                    <xdr:rowOff>165100</xdr:rowOff>
                  </to>
                </anchor>
              </controlPr>
            </control>
          </mc:Choice>
        </mc:AlternateContent>
        <mc:AlternateContent xmlns:mc="http://schemas.openxmlformats.org/markup-compatibility/2006">
          <mc:Choice Requires="x14">
            <control shapeId="1936" r:id="rId1465" name="Button 912">
              <controlPr defaultSize="0" autoFill="0" autoLine="0" autoPict="0" macro="[0]!Sheet1.deleteRow">
                <anchor moveWithCells="1" sizeWithCells="1">
                  <from>
                    <xdr:col>6</xdr:col>
                    <xdr:colOff>0</xdr:colOff>
                    <xdr:row>2490</xdr:row>
                    <xdr:rowOff>0</xdr:rowOff>
                  </from>
                  <to>
                    <xdr:col>7</xdr:col>
                    <xdr:colOff>0</xdr:colOff>
                    <xdr:row>2490</xdr:row>
                    <xdr:rowOff>165100</xdr:rowOff>
                  </to>
                </anchor>
              </controlPr>
            </control>
          </mc:Choice>
        </mc:AlternateContent>
        <mc:AlternateContent xmlns:mc="http://schemas.openxmlformats.org/markup-compatibility/2006">
          <mc:Choice Requires="x14">
            <control shapeId="1935" r:id="rId1466" name="Button 911">
              <controlPr defaultSize="0" autoFill="0" autoLine="0" autoPict="0" macro="[0]!Sheet1.deleteRow">
                <anchor moveWithCells="1" sizeWithCells="1">
                  <from>
                    <xdr:col>6</xdr:col>
                    <xdr:colOff>0</xdr:colOff>
                    <xdr:row>2491</xdr:row>
                    <xdr:rowOff>0</xdr:rowOff>
                  </from>
                  <to>
                    <xdr:col>7</xdr:col>
                    <xdr:colOff>0</xdr:colOff>
                    <xdr:row>2491</xdr:row>
                    <xdr:rowOff>165100</xdr:rowOff>
                  </to>
                </anchor>
              </controlPr>
            </control>
          </mc:Choice>
        </mc:AlternateContent>
        <mc:AlternateContent xmlns:mc="http://schemas.openxmlformats.org/markup-compatibility/2006">
          <mc:Choice Requires="x14">
            <control shapeId="1934" r:id="rId1467" name="Button 910">
              <controlPr defaultSize="0" autoFill="0" autoLine="0" autoPict="0" macro="[0]!Sheet1.deleteRow">
                <anchor moveWithCells="1" sizeWithCells="1">
                  <from>
                    <xdr:col>6</xdr:col>
                    <xdr:colOff>0</xdr:colOff>
                    <xdr:row>2492</xdr:row>
                    <xdr:rowOff>0</xdr:rowOff>
                  </from>
                  <to>
                    <xdr:col>7</xdr:col>
                    <xdr:colOff>0</xdr:colOff>
                    <xdr:row>2492</xdr:row>
                    <xdr:rowOff>165100</xdr:rowOff>
                  </to>
                </anchor>
              </controlPr>
            </control>
          </mc:Choice>
        </mc:AlternateContent>
        <mc:AlternateContent xmlns:mc="http://schemas.openxmlformats.org/markup-compatibility/2006">
          <mc:Choice Requires="x14">
            <control shapeId="1933" r:id="rId1468" name="Button 909">
              <controlPr defaultSize="0" autoFill="0" autoLine="0" autoPict="0" macro="[0]!Sheet1.deleteRow">
                <anchor moveWithCells="1" sizeWithCells="1">
                  <from>
                    <xdr:col>6</xdr:col>
                    <xdr:colOff>0</xdr:colOff>
                    <xdr:row>2493</xdr:row>
                    <xdr:rowOff>0</xdr:rowOff>
                  </from>
                  <to>
                    <xdr:col>7</xdr:col>
                    <xdr:colOff>0</xdr:colOff>
                    <xdr:row>2493</xdr:row>
                    <xdr:rowOff>165100</xdr:rowOff>
                  </to>
                </anchor>
              </controlPr>
            </control>
          </mc:Choice>
        </mc:AlternateContent>
        <mc:AlternateContent xmlns:mc="http://schemas.openxmlformats.org/markup-compatibility/2006">
          <mc:Choice Requires="x14">
            <control shapeId="1932" r:id="rId1469" name="Button 908">
              <controlPr defaultSize="0" autoFill="0" autoLine="0" autoPict="0" macro="[0]!Sheet1.deleteRow">
                <anchor moveWithCells="1" sizeWithCells="1">
                  <from>
                    <xdr:col>6</xdr:col>
                    <xdr:colOff>0</xdr:colOff>
                    <xdr:row>2494</xdr:row>
                    <xdr:rowOff>0</xdr:rowOff>
                  </from>
                  <to>
                    <xdr:col>7</xdr:col>
                    <xdr:colOff>0</xdr:colOff>
                    <xdr:row>2494</xdr:row>
                    <xdr:rowOff>165100</xdr:rowOff>
                  </to>
                </anchor>
              </controlPr>
            </control>
          </mc:Choice>
        </mc:AlternateContent>
        <mc:AlternateContent xmlns:mc="http://schemas.openxmlformats.org/markup-compatibility/2006">
          <mc:Choice Requires="x14">
            <control shapeId="1931" r:id="rId1470" name="Button 907">
              <controlPr defaultSize="0" autoFill="0" autoLine="0" autoPict="0" macro="[0]!Sheet1.deleteRow">
                <anchor moveWithCells="1" sizeWithCells="1">
                  <from>
                    <xdr:col>6</xdr:col>
                    <xdr:colOff>0</xdr:colOff>
                    <xdr:row>2495</xdr:row>
                    <xdr:rowOff>0</xdr:rowOff>
                  </from>
                  <to>
                    <xdr:col>7</xdr:col>
                    <xdr:colOff>0</xdr:colOff>
                    <xdr:row>2495</xdr:row>
                    <xdr:rowOff>165100</xdr:rowOff>
                  </to>
                </anchor>
              </controlPr>
            </control>
          </mc:Choice>
        </mc:AlternateContent>
        <mc:AlternateContent xmlns:mc="http://schemas.openxmlformats.org/markup-compatibility/2006">
          <mc:Choice Requires="x14">
            <control shapeId="1930" r:id="rId1471" name="Button 906">
              <controlPr defaultSize="0" autoFill="0" autoLine="0" autoPict="0" macro="[0]!Sheet1.deleteRow">
                <anchor moveWithCells="1" sizeWithCells="1">
                  <from>
                    <xdr:col>6</xdr:col>
                    <xdr:colOff>0</xdr:colOff>
                    <xdr:row>2496</xdr:row>
                    <xdr:rowOff>0</xdr:rowOff>
                  </from>
                  <to>
                    <xdr:col>7</xdr:col>
                    <xdr:colOff>0</xdr:colOff>
                    <xdr:row>2496</xdr:row>
                    <xdr:rowOff>165100</xdr:rowOff>
                  </to>
                </anchor>
              </controlPr>
            </control>
          </mc:Choice>
        </mc:AlternateContent>
        <mc:AlternateContent xmlns:mc="http://schemas.openxmlformats.org/markup-compatibility/2006">
          <mc:Choice Requires="x14">
            <control shapeId="1929" r:id="rId1472" name="Button 905">
              <controlPr defaultSize="0" autoFill="0" autoLine="0" autoPict="0" macro="[0]!Sheet1.deleteRow">
                <anchor moveWithCells="1" sizeWithCells="1">
                  <from>
                    <xdr:col>6</xdr:col>
                    <xdr:colOff>0</xdr:colOff>
                    <xdr:row>2497</xdr:row>
                    <xdr:rowOff>0</xdr:rowOff>
                  </from>
                  <to>
                    <xdr:col>7</xdr:col>
                    <xdr:colOff>0</xdr:colOff>
                    <xdr:row>2497</xdr:row>
                    <xdr:rowOff>165100</xdr:rowOff>
                  </to>
                </anchor>
              </controlPr>
            </control>
          </mc:Choice>
        </mc:AlternateContent>
        <mc:AlternateContent xmlns:mc="http://schemas.openxmlformats.org/markup-compatibility/2006">
          <mc:Choice Requires="x14">
            <control shapeId="1928" r:id="rId1473" name="Button 904">
              <controlPr defaultSize="0" autoFill="0" autoLine="0" autoPict="0" macro="[0]!Sheet1.deleteRow">
                <anchor moveWithCells="1" sizeWithCells="1">
                  <from>
                    <xdr:col>6</xdr:col>
                    <xdr:colOff>0</xdr:colOff>
                    <xdr:row>2498</xdr:row>
                    <xdr:rowOff>0</xdr:rowOff>
                  </from>
                  <to>
                    <xdr:col>7</xdr:col>
                    <xdr:colOff>0</xdr:colOff>
                    <xdr:row>2498</xdr:row>
                    <xdr:rowOff>165100</xdr:rowOff>
                  </to>
                </anchor>
              </controlPr>
            </control>
          </mc:Choice>
        </mc:AlternateContent>
        <mc:AlternateContent xmlns:mc="http://schemas.openxmlformats.org/markup-compatibility/2006">
          <mc:Choice Requires="x14">
            <control shapeId="1927" r:id="rId1474" name="Button 903">
              <controlPr defaultSize="0" autoFill="0" autoLine="0" autoPict="0" macro="[0]!Sheet1.deleteRow">
                <anchor moveWithCells="1" sizeWithCells="1">
                  <from>
                    <xdr:col>6</xdr:col>
                    <xdr:colOff>0</xdr:colOff>
                    <xdr:row>2499</xdr:row>
                    <xdr:rowOff>0</xdr:rowOff>
                  </from>
                  <to>
                    <xdr:col>7</xdr:col>
                    <xdr:colOff>0</xdr:colOff>
                    <xdr:row>2499</xdr:row>
                    <xdr:rowOff>165100</xdr:rowOff>
                  </to>
                </anchor>
              </controlPr>
            </control>
          </mc:Choice>
        </mc:AlternateContent>
        <mc:AlternateContent xmlns:mc="http://schemas.openxmlformats.org/markup-compatibility/2006">
          <mc:Choice Requires="x14">
            <control shapeId="1926" r:id="rId1475" name="Button 902">
              <controlPr defaultSize="0" autoFill="0" autoLine="0" autoPict="0" macro="[0]!Sheet1.deleteRow">
                <anchor moveWithCells="1" sizeWithCells="1">
                  <from>
                    <xdr:col>6</xdr:col>
                    <xdr:colOff>0</xdr:colOff>
                    <xdr:row>2500</xdr:row>
                    <xdr:rowOff>0</xdr:rowOff>
                  </from>
                  <to>
                    <xdr:col>7</xdr:col>
                    <xdr:colOff>0</xdr:colOff>
                    <xdr:row>2500</xdr:row>
                    <xdr:rowOff>165100</xdr:rowOff>
                  </to>
                </anchor>
              </controlPr>
            </control>
          </mc:Choice>
        </mc:AlternateContent>
        <mc:AlternateContent xmlns:mc="http://schemas.openxmlformats.org/markup-compatibility/2006">
          <mc:Choice Requires="x14">
            <control shapeId="1925" r:id="rId1476" name="Button 901">
              <controlPr defaultSize="0" autoFill="0" autoLine="0" autoPict="0" macro="[0]!Sheet1.deleteRow">
                <anchor moveWithCells="1" sizeWithCells="1">
                  <from>
                    <xdr:col>6</xdr:col>
                    <xdr:colOff>0</xdr:colOff>
                    <xdr:row>2501</xdr:row>
                    <xdr:rowOff>0</xdr:rowOff>
                  </from>
                  <to>
                    <xdr:col>7</xdr:col>
                    <xdr:colOff>0</xdr:colOff>
                    <xdr:row>2501</xdr:row>
                    <xdr:rowOff>165100</xdr:rowOff>
                  </to>
                </anchor>
              </controlPr>
            </control>
          </mc:Choice>
        </mc:AlternateContent>
        <mc:AlternateContent xmlns:mc="http://schemas.openxmlformats.org/markup-compatibility/2006">
          <mc:Choice Requires="x14">
            <control shapeId="1924" r:id="rId1477" name="Button 900">
              <controlPr defaultSize="0" autoFill="0" autoLine="0" autoPict="0" macro="[0]!Sheet1.deleteRow">
                <anchor moveWithCells="1" sizeWithCells="1">
                  <from>
                    <xdr:col>6</xdr:col>
                    <xdr:colOff>0</xdr:colOff>
                    <xdr:row>2502</xdr:row>
                    <xdr:rowOff>0</xdr:rowOff>
                  </from>
                  <to>
                    <xdr:col>7</xdr:col>
                    <xdr:colOff>0</xdr:colOff>
                    <xdr:row>2502</xdr:row>
                    <xdr:rowOff>165100</xdr:rowOff>
                  </to>
                </anchor>
              </controlPr>
            </control>
          </mc:Choice>
        </mc:AlternateContent>
        <mc:AlternateContent xmlns:mc="http://schemas.openxmlformats.org/markup-compatibility/2006">
          <mc:Choice Requires="x14">
            <control shapeId="1923" r:id="rId1478" name="Button 899">
              <controlPr defaultSize="0" autoFill="0" autoLine="0" autoPict="0" macro="[0]!Sheet1.deleteRow">
                <anchor moveWithCells="1" sizeWithCells="1">
                  <from>
                    <xdr:col>6</xdr:col>
                    <xdr:colOff>0</xdr:colOff>
                    <xdr:row>2503</xdr:row>
                    <xdr:rowOff>0</xdr:rowOff>
                  </from>
                  <to>
                    <xdr:col>7</xdr:col>
                    <xdr:colOff>0</xdr:colOff>
                    <xdr:row>2503</xdr:row>
                    <xdr:rowOff>165100</xdr:rowOff>
                  </to>
                </anchor>
              </controlPr>
            </control>
          </mc:Choice>
        </mc:AlternateContent>
        <mc:AlternateContent xmlns:mc="http://schemas.openxmlformats.org/markup-compatibility/2006">
          <mc:Choice Requires="x14">
            <control shapeId="1922" r:id="rId1479" name="Button 898">
              <controlPr defaultSize="0" autoFill="0" autoLine="0" autoPict="0" macro="[0]!Sheet1.deleteRow">
                <anchor moveWithCells="1" sizeWithCells="1">
                  <from>
                    <xdr:col>6</xdr:col>
                    <xdr:colOff>0</xdr:colOff>
                    <xdr:row>2504</xdr:row>
                    <xdr:rowOff>0</xdr:rowOff>
                  </from>
                  <to>
                    <xdr:col>7</xdr:col>
                    <xdr:colOff>0</xdr:colOff>
                    <xdr:row>2504</xdr:row>
                    <xdr:rowOff>165100</xdr:rowOff>
                  </to>
                </anchor>
              </controlPr>
            </control>
          </mc:Choice>
        </mc:AlternateContent>
        <mc:AlternateContent xmlns:mc="http://schemas.openxmlformats.org/markup-compatibility/2006">
          <mc:Choice Requires="x14">
            <control shapeId="1921" r:id="rId1480" name="Button 897">
              <controlPr defaultSize="0" autoFill="0" autoLine="0" autoPict="0" macro="[0]!Sheet1.deleteRow">
                <anchor moveWithCells="1" sizeWithCells="1">
                  <from>
                    <xdr:col>6</xdr:col>
                    <xdr:colOff>0</xdr:colOff>
                    <xdr:row>2505</xdr:row>
                    <xdr:rowOff>0</xdr:rowOff>
                  </from>
                  <to>
                    <xdr:col>7</xdr:col>
                    <xdr:colOff>0</xdr:colOff>
                    <xdr:row>2505</xdr:row>
                    <xdr:rowOff>165100</xdr:rowOff>
                  </to>
                </anchor>
              </controlPr>
            </control>
          </mc:Choice>
        </mc:AlternateContent>
        <mc:AlternateContent xmlns:mc="http://schemas.openxmlformats.org/markup-compatibility/2006">
          <mc:Choice Requires="x14">
            <control shapeId="1920" r:id="rId1481" name="Button 896">
              <controlPr defaultSize="0" autoFill="0" autoLine="0" autoPict="0" macro="[0]!Sheet1.deleteRow">
                <anchor moveWithCells="1" sizeWithCells="1">
                  <from>
                    <xdr:col>6</xdr:col>
                    <xdr:colOff>0</xdr:colOff>
                    <xdr:row>2506</xdr:row>
                    <xdr:rowOff>0</xdr:rowOff>
                  </from>
                  <to>
                    <xdr:col>7</xdr:col>
                    <xdr:colOff>0</xdr:colOff>
                    <xdr:row>2506</xdr:row>
                    <xdr:rowOff>165100</xdr:rowOff>
                  </to>
                </anchor>
              </controlPr>
            </control>
          </mc:Choice>
        </mc:AlternateContent>
        <mc:AlternateContent xmlns:mc="http://schemas.openxmlformats.org/markup-compatibility/2006">
          <mc:Choice Requires="x14">
            <control shapeId="1919" r:id="rId1482" name="Button 895">
              <controlPr defaultSize="0" autoFill="0" autoLine="0" autoPict="0" macro="[0]!Sheet1.deleteRow">
                <anchor moveWithCells="1" sizeWithCells="1">
                  <from>
                    <xdr:col>6</xdr:col>
                    <xdr:colOff>0</xdr:colOff>
                    <xdr:row>2507</xdr:row>
                    <xdr:rowOff>0</xdr:rowOff>
                  </from>
                  <to>
                    <xdr:col>7</xdr:col>
                    <xdr:colOff>0</xdr:colOff>
                    <xdr:row>2507</xdr:row>
                    <xdr:rowOff>165100</xdr:rowOff>
                  </to>
                </anchor>
              </controlPr>
            </control>
          </mc:Choice>
        </mc:AlternateContent>
        <mc:AlternateContent xmlns:mc="http://schemas.openxmlformats.org/markup-compatibility/2006">
          <mc:Choice Requires="x14">
            <control shapeId="1918" r:id="rId1483" name="Button 894">
              <controlPr defaultSize="0" autoFill="0" autoLine="0" autoPict="0" macro="[0]!Sheet1.deleteRow">
                <anchor moveWithCells="1" sizeWithCells="1">
                  <from>
                    <xdr:col>6</xdr:col>
                    <xdr:colOff>0</xdr:colOff>
                    <xdr:row>2508</xdr:row>
                    <xdr:rowOff>0</xdr:rowOff>
                  </from>
                  <to>
                    <xdr:col>7</xdr:col>
                    <xdr:colOff>0</xdr:colOff>
                    <xdr:row>2508</xdr:row>
                    <xdr:rowOff>165100</xdr:rowOff>
                  </to>
                </anchor>
              </controlPr>
            </control>
          </mc:Choice>
        </mc:AlternateContent>
        <mc:AlternateContent xmlns:mc="http://schemas.openxmlformats.org/markup-compatibility/2006">
          <mc:Choice Requires="x14">
            <control shapeId="1917" r:id="rId1484" name="Button 893">
              <controlPr defaultSize="0" autoFill="0" autoLine="0" autoPict="0" macro="[0]!Sheet1.deleteRow">
                <anchor moveWithCells="1" sizeWithCells="1">
                  <from>
                    <xdr:col>6</xdr:col>
                    <xdr:colOff>0</xdr:colOff>
                    <xdr:row>2509</xdr:row>
                    <xdr:rowOff>0</xdr:rowOff>
                  </from>
                  <to>
                    <xdr:col>7</xdr:col>
                    <xdr:colOff>0</xdr:colOff>
                    <xdr:row>2509</xdr:row>
                    <xdr:rowOff>165100</xdr:rowOff>
                  </to>
                </anchor>
              </controlPr>
            </control>
          </mc:Choice>
        </mc:AlternateContent>
        <mc:AlternateContent xmlns:mc="http://schemas.openxmlformats.org/markup-compatibility/2006">
          <mc:Choice Requires="x14">
            <control shapeId="1916" r:id="rId1485" name="Button 892">
              <controlPr defaultSize="0" autoFill="0" autoLine="0" autoPict="0" macro="[0]!Sheet1.deleteRow">
                <anchor moveWithCells="1" sizeWithCells="1">
                  <from>
                    <xdr:col>6</xdr:col>
                    <xdr:colOff>0</xdr:colOff>
                    <xdr:row>2510</xdr:row>
                    <xdr:rowOff>0</xdr:rowOff>
                  </from>
                  <to>
                    <xdr:col>7</xdr:col>
                    <xdr:colOff>0</xdr:colOff>
                    <xdr:row>2510</xdr:row>
                    <xdr:rowOff>165100</xdr:rowOff>
                  </to>
                </anchor>
              </controlPr>
            </control>
          </mc:Choice>
        </mc:AlternateContent>
        <mc:AlternateContent xmlns:mc="http://schemas.openxmlformats.org/markup-compatibility/2006">
          <mc:Choice Requires="x14">
            <control shapeId="1915" r:id="rId1486" name="Button 891">
              <controlPr defaultSize="0" autoFill="0" autoLine="0" autoPict="0" macro="[0]!Sheet1.deleteRow">
                <anchor moveWithCells="1" sizeWithCells="1">
                  <from>
                    <xdr:col>6</xdr:col>
                    <xdr:colOff>0</xdr:colOff>
                    <xdr:row>2511</xdr:row>
                    <xdr:rowOff>0</xdr:rowOff>
                  </from>
                  <to>
                    <xdr:col>7</xdr:col>
                    <xdr:colOff>0</xdr:colOff>
                    <xdr:row>2511</xdr:row>
                    <xdr:rowOff>165100</xdr:rowOff>
                  </to>
                </anchor>
              </controlPr>
            </control>
          </mc:Choice>
        </mc:AlternateContent>
        <mc:AlternateContent xmlns:mc="http://schemas.openxmlformats.org/markup-compatibility/2006">
          <mc:Choice Requires="x14">
            <control shapeId="1914" r:id="rId1487" name="Button 890">
              <controlPr defaultSize="0" autoFill="0" autoLine="0" autoPict="0" macro="[0]!Sheet1.deleteRow">
                <anchor moveWithCells="1" sizeWithCells="1">
                  <from>
                    <xdr:col>6</xdr:col>
                    <xdr:colOff>0</xdr:colOff>
                    <xdr:row>2512</xdr:row>
                    <xdr:rowOff>0</xdr:rowOff>
                  </from>
                  <to>
                    <xdr:col>7</xdr:col>
                    <xdr:colOff>0</xdr:colOff>
                    <xdr:row>2512</xdr:row>
                    <xdr:rowOff>165100</xdr:rowOff>
                  </to>
                </anchor>
              </controlPr>
            </control>
          </mc:Choice>
        </mc:AlternateContent>
        <mc:AlternateContent xmlns:mc="http://schemas.openxmlformats.org/markup-compatibility/2006">
          <mc:Choice Requires="x14">
            <control shapeId="1913" r:id="rId1488" name="Button 889">
              <controlPr defaultSize="0" autoFill="0" autoLine="0" autoPict="0" macro="[0]!Sheet1.deleteRow">
                <anchor moveWithCells="1" sizeWithCells="1">
                  <from>
                    <xdr:col>6</xdr:col>
                    <xdr:colOff>0</xdr:colOff>
                    <xdr:row>2513</xdr:row>
                    <xdr:rowOff>0</xdr:rowOff>
                  </from>
                  <to>
                    <xdr:col>7</xdr:col>
                    <xdr:colOff>0</xdr:colOff>
                    <xdr:row>2513</xdr:row>
                    <xdr:rowOff>165100</xdr:rowOff>
                  </to>
                </anchor>
              </controlPr>
            </control>
          </mc:Choice>
        </mc:AlternateContent>
        <mc:AlternateContent xmlns:mc="http://schemas.openxmlformats.org/markup-compatibility/2006">
          <mc:Choice Requires="x14">
            <control shapeId="1912" r:id="rId1489" name="Button 888">
              <controlPr defaultSize="0" autoFill="0" autoLine="0" autoPict="0" macro="[0]!Sheet1.deleteRow">
                <anchor moveWithCells="1" sizeWithCells="1">
                  <from>
                    <xdr:col>6</xdr:col>
                    <xdr:colOff>0</xdr:colOff>
                    <xdr:row>2514</xdr:row>
                    <xdr:rowOff>0</xdr:rowOff>
                  </from>
                  <to>
                    <xdr:col>7</xdr:col>
                    <xdr:colOff>0</xdr:colOff>
                    <xdr:row>2514</xdr:row>
                    <xdr:rowOff>165100</xdr:rowOff>
                  </to>
                </anchor>
              </controlPr>
            </control>
          </mc:Choice>
        </mc:AlternateContent>
        <mc:AlternateContent xmlns:mc="http://schemas.openxmlformats.org/markup-compatibility/2006">
          <mc:Choice Requires="x14">
            <control shapeId="1911" r:id="rId1490" name="Button 887">
              <controlPr defaultSize="0" autoFill="0" autoLine="0" autoPict="0" macro="[0]!Sheet1.deleteRow">
                <anchor moveWithCells="1" sizeWithCells="1">
                  <from>
                    <xdr:col>6</xdr:col>
                    <xdr:colOff>0</xdr:colOff>
                    <xdr:row>2515</xdr:row>
                    <xdr:rowOff>0</xdr:rowOff>
                  </from>
                  <to>
                    <xdr:col>7</xdr:col>
                    <xdr:colOff>0</xdr:colOff>
                    <xdr:row>2515</xdr:row>
                    <xdr:rowOff>165100</xdr:rowOff>
                  </to>
                </anchor>
              </controlPr>
            </control>
          </mc:Choice>
        </mc:AlternateContent>
        <mc:AlternateContent xmlns:mc="http://schemas.openxmlformats.org/markup-compatibility/2006">
          <mc:Choice Requires="x14">
            <control shapeId="1910" r:id="rId1491" name="Button 886">
              <controlPr defaultSize="0" autoFill="0" autoLine="0" autoPict="0" macro="[0]!Sheet1.deleteRow">
                <anchor moveWithCells="1" sizeWithCells="1">
                  <from>
                    <xdr:col>6</xdr:col>
                    <xdr:colOff>0</xdr:colOff>
                    <xdr:row>2516</xdr:row>
                    <xdr:rowOff>0</xdr:rowOff>
                  </from>
                  <to>
                    <xdr:col>7</xdr:col>
                    <xdr:colOff>0</xdr:colOff>
                    <xdr:row>2516</xdr:row>
                    <xdr:rowOff>165100</xdr:rowOff>
                  </to>
                </anchor>
              </controlPr>
            </control>
          </mc:Choice>
        </mc:AlternateContent>
        <mc:AlternateContent xmlns:mc="http://schemas.openxmlformats.org/markup-compatibility/2006">
          <mc:Choice Requires="x14">
            <control shapeId="1909" r:id="rId1492" name="Button 885">
              <controlPr defaultSize="0" autoFill="0" autoLine="0" autoPict="0" macro="[0]!Sheet1.deleteRow">
                <anchor moveWithCells="1" sizeWithCells="1">
                  <from>
                    <xdr:col>6</xdr:col>
                    <xdr:colOff>0</xdr:colOff>
                    <xdr:row>2517</xdr:row>
                    <xdr:rowOff>0</xdr:rowOff>
                  </from>
                  <to>
                    <xdr:col>7</xdr:col>
                    <xdr:colOff>0</xdr:colOff>
                    <xdr:row>2517</xdr:row>
                    <xdr:rowOff>165100</xdr:rowOff>
                  </to>
                </anchor>
              </controlPr>
            </control>
          </mc:Choice>
        </mc:AlternateContent>
        <mc:AlternateContent xmlns:mc="http://schemas.openxmlformats.org/markup-compatibility/2006">
          <mc:Choice Requires="x14">
            <control shapeId="1908" r:id="rId1493" name="Button 884">
              <controlPr defaultSize="0" autoFill="0" autoLine="0" autoPict="0" macro="[0]!Sheet1.deleteRow">
                <anchor moveWithCells="1" sizeWithCells="1">
                  <from>
                    <xdr:col>6</xdr:col>
                    <xdr:colOff>0</xdr:colOff>
                    <xdr:row>2518</xdr:row>
                    <xdr:rowOff>0</xdr:rowOff>
                  </from>
                  <to>
                    <xdr:col>7</xdr:col>
                    <xdr:colOff>0</xdr:colOff>
                    <xdr:row>2518</xdr:row>
                    <xdr:rowOff>165100</xdr:rowOff>
                  </to>
                </anchor>
              </controlPr>
            </control>
          </mc:Choice>
        </mc:AlternateContent>
        <mc:AlternateContent xmlns:mc="http://schemas.openxmlformats.org/markup-compatibility/2006">
          <mc:Choice Requires="x14">
            <control shapeId="1907" r:id="rId1494" name="Button 883">
              <controlPr defaultSize="0" autoFill="0" autoLine="0" autoPict="0" macro="[0]!Sheet1.deleteRow">
                <anchor moveWithCells="1" sizeWithCells="1">
                  <from>
                    <xdr:col>6</xdr:col>
                    <xdr:colOff>0</xdr:colOff>
                    <xdr:row>2519</xdr:row>
                    <xdr:rowOff>0</xdr:rowOff>
                  </from>
                  <to>
                    <xdr:col>7</xdr:col>
                    <xdr:colOff>0</xdr:colOff>
                    <xdr:row>2519</xdr:row>
                    <xdr:rowOff>165100</xdr:rowOff>
                  </to>
                </anchor>
              </controlPr>
            </control>
          </mc:Choice>
        </mc:AlternateContent>
        <mc:AlternateContent xmlns:mc="http://schemas.openxmlformats.org/markup-compatibility/2006">
          <mc:Choice Requires="x14">
            <control shapeId="1906" r:id="rId1495" name="Button 882">
              <controlPr defaultSize="0" autoFill="0" autoLine="0" autoPict="0" macro="[0]!Sheet1.deleteRow">
                <anchor moveWithCells="1" sizeWithCells="1">
                  <from>
                    <xdr:col>6</xdr:col>
                    <xdr:colOff>0</xdr:colOff>
                    <xdr:row>2520</xdr:row>
                    <xdr:rowOff>0</xdr:rowOff>
                  </from>
                  <to>
                    <xdr:col>7</xdr:col>
                    <xdr:colOff>0</xdr:colOff>
                    <xdr:row>2520</xdr:row>
                    <xdr:rowOff>165100</xdr:rowOff>
                  </to>
                </anchor>
              </controlPr>
            </control>
          </mc:Choice>
        </mc:AlternateContent>
        <mc:AlternateContent xmlns:mc="http://schemas.openxmlformats.org/markup-compatibility/2006">
          <mc:Choice Requires="x14">
            <control shapeId="1905" r:id="rId1496" name="Button 881">
              <controlPr defaultSize="0" autoFill="0" autoLine="0" autoPict="0" macro="[0]!Sheet1.deleteRow">
                <anchor moveWithCells="1" sizeWithCells="1">
                  <from>
                    <xdr:col>6</xdr:col>
                    <xdr:colOff>0</xdr:colOff>
                    <xdr:row>2521</xdr:row>
                    <xdr:rowOff>0</xdr:rowOff>
                  </from>
                  <to>
                    <xdr:col>7</xdr:col>
                    <xdr:colOff>0</xdr:colOff>
                    <xdr:row>2521</xdr:row>
                    <xdr:rowOff>165100</xdr:rowOff>
                  </to>
                </anchor>
              </controlPr>
            </control>
          </mc:Choice>
        </mc:AlternateContent>
        <mc:AlternateContent xmlns:mc="http://schemas.openxmlformats.org/markup-compatibility/2006">
          <mc:Choice Requires="x14">
            <control shapeId="1904" r:id="rId1497" name="Button 880">
              <controlPr defaultSize="0" autoFill="0" autoLine="0" autoPict="0" macro="[0]!Sheet1.deleteRow">
                <anchor moveWithCells="1" sizeWithCells="1">
                  <from>
                    <xdr:col>6</xdr:col>
                    <xdr:colOff>0</xdr:colOff>
                    <xdr:row>2522</xdr:row>
                    <xdr:rowOff>0</xdr:rowOff>
                  </from>
                  <to>
                    <xdr:col>7</xdr:col>
                    <xdr:colOff>0</xdr:colOff>
                    <xdr:row>2522</xdr:row>
                    <xdr:rowOff>165100</xdr:rowOff>
                  </to>
                </anchor>
              </controlPr>
            </control>
          </mc:Choice>
        </mc:AlternateContent>
        <mc:AlternateContent xmlns:mc="http://schemas.openxmlformats.org/markup-compatibility/2006">
          <mc:Choice Requires="x14">
            <control shapeId="1903" r:id="rId1498" name="Button 879">
              <controlPr defaultSize="0" autoFill="0" autoLine="0" autoPict="0" macro="[0]!Sheet1.deleteRow">
                <anchor moveWithCells="1" sizeWithCells="1">
                  <from>
                    <xdr:col>6</xdr:col>
                    <xdr:colOff>0</xdr:colOff>
                    <xdr:row>2523</xdr:row>
                    <xdr:rowOff>0</xdr:rowOff>
                  </from>
                  <to>
                    <xdr:col>7</xdr:col>
                    <xdr:colOff>0</xdr:colOff>
                    <xdr:row>2523</xdr:row>
                    <xdr:rowOff>165100</xdr:rowOff>
                  </to>
                </anchor>
              </controlPr>
            </control>
          </mc:Choice>
        </mc:AlternateContent>
        <mc:AlternateContent xmlns:mc="http://schemas.openxmlformats.org/markup-compatibility/2006">
          <mc:Choice Requires="x14">
            <control shapeId="1902" r:id="rId1499" name="Button 878">
              <controlPr defaultSize="0" autoFill="0" autoLine="0" autoPict="0" macro="[0]!Sheet1.deleteRow">
                <anchor moveWithCells="1" sizeWithCells="1">
                  <from>
                    <xdr:col>6</xdr:col>
                    <xdr:colOff>0</xdr:colOff>
                    <xdr:row>2524</xdr:row>
                    <xdr:rowOff>0</xdr:rowOff>
                  </from>
                  <to>
                    <xdr:col>7</xdr:col>
                    <xdr:colOff>0</xdr:colOff>
                    <xdr:row>2524</xdr:row>
                    <xdr:rowOff>165100</xdr:rowOff>
                  </to>
                </anchor>
              </controlPr>
            </control>
          </mc:Choice>
        </mc:AlternateContent>
        <mc:AlternateContent xmlns:mc="http://schemas.openxmlformats.org/markup-compatibility/2006">
          <mc:Choice Requires="x14">
            <control shapeId="1901" r:id="rId1500" name="Button 877">
              <controlPr defaultSize="0" autoFill="0" autoLine="0" autoPict="0" macro="[0]!Sheet1.deleteRow">
                <anchor moveWithCells="1" sizeWithCells="1">
                  <from>
                    <xdr:col>6</xdr:col>
                    <xdr:colOff>0</xdr:colOff>
                    <xdr:row>2525</xdr:row>
                    <xdr:rowOff>0</xdr:rowOff>
                  </from>
                  <to>
                    <xdr:col>7</xdr:col>
                    <xdr:colOff>0</xdr:colOff>
                    <xdr:row>2525</xdr:row>
                    <xdr:rowOff>165100</xdr:rowOff>
                  </to>
                </anchor>
              </controlPr>
            </control>
          </mc:Choice>
        </mc:AlternateContent>
        <mc:AlternateContent xmlns:mc="http://schemas.openxmlformats.org/markup-compatibility/2006">
          <mc:Choice Requires="x14">
            <control shapeId="1900" r:id="rId1501" name="Button 876">
              <controlPr defaultSize="0" autoFill="0" autoLine="0" autoPict="0" macro="[0]!Sheet1.deleteRow">
                <anchor moveWithCells="1" sizeWithCells="1">
                  <from>
                    <xdr:col>6</xdr:col>
                    <xdr:colOff>0</xdr:colOff>
                    <xdr:row>2526</xdr:row>
                    <xdr:rowOff>0</xdr:rowOff>
                  </from>
                  <to>
                    <xdr:col>7</xdr:col>
                    <xdr:colOff>0</xdr:colOff>
                    <xdr:row>2526</xdr:row>
                    <xdr:rowOff>165100</xdr:rowOff>
                  </to>
                </anchor>
              </controlPr>
            </control>
          </mc:Choice>
        </mc:AlternateContent>
        <mc:AlternateContent xmlns:mc="http://schemas.openxmlformats.org/markup-compatibility/2006">
          <mc:Choice Requires="x14">
            <control shapeId="1899" r:id="rId1502" name="Button 875">
              <controlPr defaultSize="0" autoFill="0" autoLine="0" autoPict="0" macro="[0]!Sheet1.deleteRow">
                <anchor moveWithCells="1" sizeWithCells="1">
                  <from>
                    <xdr:col>6</xdr:col>
                    <xdr:colOff>0</xdr:colOff>
                    <xdr:row>2527</xdr:row>
                    <xdr:rowOff>0</xdr:rowOff>
                  </from>
                  <to>
                    <xdr:col>7</xdr:col>
                    <xdr:colOff>0</xdr:colOff>
                    <xdr:row>2527</xdr:row>
                    <xdr:rowOff>165100</xdr:rowOff>
                  </to>
                </anchor>
              </controlPr>
            </control>
          </mc:Choice>
        </mc:AlternateContent>
        <mc:AlternateContent xmlns:mc="http://schemas.openxmlformats.org/markup-compatibility/2006">
          <mc:Choice Requires="x14">
            <control shapeId="1898" r:id="rId1503" name="Button 874">
              <controlPr defaultSize="0" autoFill="0" autoLine="0" autoPict="0" macro="[0]!Sheet1.deleteRow">
                <anchor moveWithCells="1" sizeWithCells="1">
                  <from>
                    <xdr:col>6</xdr:col>
                    <xdr:colOff>0</xdr:colOff>
                    <xdr:row>2528</xdr:row>
                    <xdr:rowOff>0</xdr:rowOff>
                  </from>
                  <to>
                    <xdr:col>7</xdr:col>
                    <xdr:colOff>0</xdr:colOff>
                    <xdr:row>2528</xdr:row>
                    <xdr:rowOff>165100</xdr:rowOff>
                  </to>
                </anchor>
              </controlPr>
            </control>
          </mc:Choice>
        </mc:AlternateContent>
        <mc:AlternateContent xmlns:mc="http://schemas.openxmlformats.org/markup-compatibility/2006">
          <mc:Choice Requires="x14">
            <control shapeId="1897" r:id="rId1504" name="Button 873">
              <controlPr defaultSize="0" autoFill="0" autoLine="0" autoPict="0" macro="[0]!Sheet1.deleteRow">
                <anchor moveWithCells="1" sizeWithCells="1">
                  <from>
                    <xdr:col>6</xdr:col>
                    <xdr:colOff>0</xdr:colOff>
                    <xdr:row>2529</xdr:row>
                    <xdr:rowOff>0</xdr:rowOff>
                  </from>
                  <to>
                    <xdr:col>7</xdr:col>
                    <xdr:colOff>0</xdr:colOff>
                    <xdr:row>2529</xdr:row>
                    <xdr:rowOff>165100</xdr:rowOff>
                  </to>
                </anchor>
              </controlPr>
            </control>
          </mc:Choice>
        </mc:AlternateContent>
        <mc:AlternateContent xmlns:mc="http://schemas.openxmlformats.org/markup-compatibility/2006">
          <mc:Choice Requires="x14">
            <control shapeId="1896" r:id="rId1505" name="Button 872">
              <controlPr defaultSize="0" autoFill="0" autoLine="0" autoPict="0" macro="[0]!Sheet1.deleteRow">
                <anchor moveWithCells="1" sizeWithCells="1">
                  <from>
                    <xdr:col>6</xdr:col>
                    <xdr:colOff>0</xdr:colOff>
                    <xdr:row>2530</xdr:row>
                    <xdr:rowOff>0</xdr:rowOff>
                  </from>
                  <to>
                    <xdr:col>7</xdr:col>
                    <xdr:colOff>0</xdr:colOff>
                    <xdr:row>2530</xdr:row>
                    <xdr:rowOff>165100</xdr:rowOff>
                  </to>
                </anchor>
              </controlPr>
            </control>
          </mc:Choice>
        </mc:AlternateContent>
        <mc:AlternateContent xmlns:mc="http://schemas.openxmlformats.org/markup-compatibility/2006">
          <mc:Choice Requires="x14">
            <control shapeId="1895" r:id="rId1506" name="Button 871">
              <controlPr defaultSize="0" autoFill="0" autoLine="0" autoPict="0" macro="[0]!Sheet1.deleteRow">
                <anchor moveWithCells="1" sizeWithCells="1">
                  <from>
                    <xdr:col>6</xdr:col>
                    <xdr:colOff>0</xdr:colOff>
                    <xdr:row>2531</xdr:row>
                    <xdr:rowOff>0</xdr:rowOff>
                  </from>
                  <to>
                    <xdr:col>7</xdr:col>
                    <xdr:colOff>0</xdr:colOff>
                    <xdr:row>2531</xdr:row>
                    <xdr:rowOff>165100</xdr:rowOff>
                  </to>
                </anchor>
              </controlPr>
            </control>
          </mc:Choice>
        </mc:AlternateContent>
        <mc:AlternateContent xmlns:mc="http://schemas.openxmlformats.org/markup-compatibility/2006">
          <mc:Choice Requires="x14">
            <control shapeId="1894" r:id="rId1507" name="Button 870">
              <controlPr defaultSize="0" autoFill="0" autoLine="0" autoPict="0" macro="[0]!Sheet1.deleteRow">
                <anchor moveWithCells="1" sizeWithCells="1">
                  <from>
                    <xdr:col>6</xdr:col>
                    <xdr:colOff>0</xdr:colOff>
                    <xdr:row>2532</xdr:row>
                    <xdr:rowOff>0</xdr:rowOff>
                  </from>
                  <to>
                    <xdr:col>7</xdr:col>
                    <xdr:colOff>0</xdr:colOff>
                    <xdr:row>2532</xdr:row>
                    <xdr:rowOff>165100</xdr:rowOff>
                  </to>
                </anchor>
              </controlPr>
            </control>
          </mc:Choice>
        </mc:AlternateContent>
        <mc:AlternateContent xmlns:mc="http://schemas.openxmlformats.org/markup-compatibility/2006">
          <mc:Choice Requires="x14">
            <control shapeId="1893" r:id="rId1508" name="Button 869">
              <controlPr defaultSize="0" autoFill="0" autoLine="0" autoPict="0" macro="[0]!Sheet1.deleteRow">
                <anchor moveWithCells="1" sizeWithCells="1">
                  <from>
                    <xdr:col>6</xdr:col>
                    <xdr:colOff>0</xdr:colOff>
                    <xdr:row>2533</xdr:row>
                    <xdr:rowOff>0</xdr:rowOff>
                  </from>
                  <to>
                    <xdr:col>7</xdr:col>
                    <xdr:colOff>0</xdr:colOff>
                    <xdr:row>2533</xdr:row>
                    <xdr:rowOff>165100</xdr:rowOff>
                  </to>
                </anchor>
              </controlPr>
            </control>
          </mc:Choice>
        </mc:AlternateContent>
        <mc:AlternateContent xmlns:mc="http://schemas.openxmlformats.org/markup-compatibility/2006">
          <mc:Choice Requires="x14">
            <control shapeId="1892" r:id="rId1509" name="Button 868">
              <controlPr defaultSize="0" autoFill="0" autoLine="0" autoPict="0" macro="[0]!Sheet1.deleteRow">
                <anchor moveWithCells="1" sizeWithCells="1">
                  <from>
                    <xdr:col>6</xdr:col>
                    <xdr:colOff>0</xdr:colOff>
                    <xdr:row>2534</xdr:row>
                    <xdr:rowOff>0</xdr:rowOff>
                  </from>
                  <to>
                    <xdr:col>7</xdr:col>
                    <xdr:colOff>0</xdr:colOff>
                    <xdr:row>2534</xdr:row>
                    <xdr:rowOff>165100</xdr:rowOff>
                  </to>
                </anchor>
              </controlPr>
            </control>
          </mc:Choice>
        </mc:AlternateContent>
        <mc:AlternateContent xmlns:mc="http://schemas.openxmlformats.org/markup-compatibility/2006">
          <mc:Choice Requires="x14">
            <control shapeId="1891" r:id="rId1510" name="Button 867">
              <controlPr defaultSize="0" autoFill="0" autoLine="0" autoPict="0" macro="[0]!Sheet1.deleteRow">
                <anchor moveWithCells="1" sizeWithCells="1">
                  <from>
                    <xdr:col>6</xdr:col>
                    <xdr:colOff>0</xdr:colOff>
                    <xdr:row>2535</xdr:row>
                    <xdr:rowOff>0</xdr:rowOff>
                  </from>
                  <to>
                    <xdr:col>7</xdr:col>
                    <xdr:colOff>0</xdr:colOff>
                    <xdr:row>2535</xdr:row>
                    <xdr:rowOff>165100</xdr:rowOff>
                  </to>
                </anchor>
              </controlPr>
            </control>
          </mc:Choice>
        </mc:AlternateContent>
        <mc:AlternateContent xmlns:mc="http://schemas.openxmlformats.org/markup-compatibility/2006">
          <mc:Choice Requires="x14">
            <control shapeId="1890" r:id="rId1511" name="Button 866">
              <controlPr defaultSize="0" autoFill="0" autoLine="0" autoPict="0" macro="[0]!Sheet1.deleteRow">
                <anchor moveWithCells="1" sizeWithCells="1">
                  <from>
                    <xdr:col>6</xdr:col>
                    <xdr:colOff>0</xdr:colOff>
                    <xdr:row>2536</xdr:row>
                    <xdr:rowOff>0</xdr:rowOff>
                  </from>
                  <to>
                    <xdr:col>7</xdr:col>
                    <xdr:colOff>0</xdr:colOff>
                    <xdr:row>2536</xdr:row>
                    <xdr:rowOff>165100</xdr:rowOff>
                  </to>
                </anchor>
              </controlPr>
            </control>
          </mc:Choice>
        </mc:AlternateContent>
        <mc:AlternateContent xmlns:mc="http://schemas.openxmlformats.org/markup-compatibility/2006">
          <mc:Choice Requires="x14">
            <control shapeId="1889" r:id="rId1512" name="Button 865">
              <controlPr defaultSize="0" autoFill="0" autoLine="0" autoPict="0" macro="[0]!Sheet1.deleteRow">
                <anchor moveWithCells="1" sizeWithCells="1">
                  <from>
                    <xdr:col>6</xdr:col>
                    <xdr:colOff>0</xdr:colOff>
                    <xdr:row>2537</xdr:row>
                    <xdr:rowOff>0</xdr:rowOff>
                  </from>
                  <to>
                    <xdr:col>7</xdr:col>
                    <xdr:colOff>0</xdr:colOff>
                    <xdr:row>2537</xdr:row>
                    <xdr:rowOff>165100</xdr:rowOff>
                  </to>
                </anchor>
              </controlPr>
            </control>
          </mc:Choice>
        </mc:AlternateContent>
        <mc:AlternateContent xmlns:mc="http://schemas.openxmlformats.org/markup-compatibility/2006">
          <mc:Choice Requires="x14">
            <control shapeId="1888" r:id="rId1513" name="Button 864">
              <controlPr defaultSize="0" autoFill="0" autoLine="0" autoPict="0" macro="[0]!Sheet1.deleteRow">
                <anchor moveWithCells="1" sizeWithCells="1">
                  <from>
                    <xdr:col>6</xdr:col>
                    <xdr:colOff>0</xdr:colOff>
                    <xdr:row>2538</xdr:row>
                    <xdr:rowOff>0</xdr:rowOff>
                  </from>
                  <to>
                    <xdr:col>7</xdr:col>
                    <xdr:colOff>0</xdr:colOff>
                    <xdr:row>2538</xdr:row>
                    <xdr:rowOff>165100</xdr:rowOff>
                  </to>
                </anchor>
              </controlPr>
            </control>
          </mc:Choice>
        </mc:AlternateContent>
        <mc:AlternateContent xmlns:mc="http://schemas.openxmlformats.org/markup-compatibility/2006">
          <mc:Choice Requires="x14">
            <control shapeId="1887" r:id="rId1514" name="Button 863">
              <controlPr defaultSize="0" autoFill="0" autoLine="0" autoPict="0" macro="[0]!Sheet1.deleteRow">
                <anchor moveWithCells="1" sizeWithCells="1">
                  <from>
                    <xdr:col>6</xdr:col>
                    <xdr:colOff>0</xdr:colOff>
                    <xdr:row>2539</xdr:row>
                    <xdr:rowOff>0</xdr:rowOff>
                  </from>
                  <to>
                    <xdr:col>7</xdr:col>
                    <xdr:colOff>0</xdr:colOff>
                    <xdr:row>2539</xdr:row>
                    <xdr:rowOff>165100</xdr:rowOff>
                  </to>
                </anchor>
              </controlPr>
            </control>
          </mc:Choice>
        </mc:AlternateContent>
        <mc:AlternateContent xmlns:mc="http://schemas.openxmlformats.org/markup-compatibility/2006">
          <mc:Choice Requires="x14">
            <control shapeId="1886" r:id="rId1515" name="Button 862">
              <controlPr defaultSize="0" autoFill="0" autoLine="0" autoPict="0" macro="[0]!Sheet1.deleteRow">
                <anchor moveWithCells="1" sizeWithCells="1">
                  <from>
                    <xdr:col>6</xdr:col>
                    <xdr:colOff>0</xdr:colOff>
                    <xdr:row>2540</xdr:row>
                    <xdr:rowOff>0</xdr:rowOff>
                  </from>
                  <to>
                    <xdr:col>7</xdr:col>
                    <xdr:colOff>0</xdr:colOff>
                    <xdr:row>2540</xdr:row>
                    <xdr:rowOff>165100</xdr:rowOff>
                  </to>
                </anchor>
              </controlPr>
            </control>
          </mc:Choice>
        </mc:AlternateContent>
        <mc:AlternateContent xmlns:mc="http://schemas.openxmlformats.org/markup-compatibility/2006">
          <mc:Choice Requires="x14">
            <control shapeId="1885" r:id="rId1516" name="Button 861">
              <controlPr defaultSize="0" autoFill="0" autoLine="0" autoPict="0" macro="[0]!Sheet1.deleteRow">
                <anchor moveWithCells="1" sizeWithCells="1">
                  <from>
                    <xdr:col>6</xdr:col>
                    <xdr:colOff>0</xdr:colOff>
                    <xdr:row>2541</xdr:row>
                    <xdr:rowOff>0</xdr:rowOff>
                  </from>
                  <to>
                    <xdr:col>7</xdr:col>
                    <xdr:colOff>0</xdr:colOff>
                    <xdr:row>2541</xdr:row>
                    <xdr:rowOff>165100</xdr:rowOff>
                  </to>
                </anchor>
              </controlPr>
            </control>
          </mc:Choice>
        </mc:AlternateContent>
        <mc:AlternateContent xmlns:mc="http://schemas.openxmlformats.org/markup-compatibility/2006">
          <mc:Choice Requires="x14">
            <control shapeId="1884" r:id="rId1517" name="Button 860">
              <controlPr defaultSize="0" autoFill="0" autoLine="0" autoPict="0" macro="[0]!Sheet1.deleteRow">
                <anchor moveWithCells="1" sizeWithCells="1">
                  <from>
                    <xdr:col>6</xdr:col>
                    <xdr:colOff>0</xdr:colOff>
                    <xdr:row>2542</xdr:row>
                    <xdr:rowOff>0</xdr:rowOff>
                  </from>
                  <to>
                    <xdr:col>7</xdr:col>
                    <xdr:colOff>0</xdr:colOff>
                    <xdr:row>2542</xdr:row>
                    <xdr:rowOff>165100</xdr:rowOff>
                  </to>
                </anchor>
              </controlPr>
            </control>
          </mc:Choice>
        </mc:AlternateContent>
        <mc:AlternateContent xmlns:mc="http://schemas.openxmlformats.org/markup-compatibility/2006">
          <mc:Choice Requires="x14">
            <control shapeId="1883" r:id="rId1518" name="Button 859">
              <controlPr defaultSize="0" autoFill="0" autoLine="0" autoPict="0" macro="[0]!Sheet1.deleteRow">
                <anchor moveWithCells="1" sizeWithCells="1">
                  <from>
                    <xdr:col>6</xdr:col>
                    <xdr:colOff>0</xdr:colOff>
                    <xdr:row>2543</xdr:row>
                    <xdr:rowOff>0</xdr:rowOff>
                  </from>
                  <to>
                    <xdr:col>7</xdr:col>
                    <xdr:colOff>0</xdr:colOff>
                    <xdr:row>2543</xdr:row>
                    <xdr:rowOff>165100</xdr:rowOff>
                  </to>
                </anchor>
              </controlPr>
            </control>
          </mc:Choice>
        </mc:AlternateContent>
        <mc:AlternateContent xmlns:mc="http://schemas.openxmlformats.org/markup-compatibility/2006">
          <mc:Choice Requires="x14">
            <control shapeId="1882" r:id="rId1519" name="Button 858">
              <controlPr defaultSize="0" autoFill="0" autoLine="0" autoPict="0" macro="[0]!Sheet1.deleteRow">
                <anchor moveWithCells="1" sizeWithCells="1">
                  <from>
                    <xdr:col>6</xdr:col>
                    <xdr:colOff>0</xdr:colOff>
                    <xdr:row>2544</xdr:row>
                    <xdr:rowOff>0</xdr:rowOff>
                  </from>
                  <to>
                    <xdr:col>7</xdr:col>
                    <xdr:colOff>0</xdr:colOff>
                    <xdr:row>2544</xdr:row>
                    <xdr:rowOff>165100</xdr:rowOff>
                  </to>
                </anchor>
              </controlPr>
            </control>
          </mc:Choice>
        </mc:AlternateContent>
        <mc:AlternateContent xmlns:mc="http://schemas.openxmlformats.org/markup-compatibility/2006">
          <mc:Choice Requires="x14">
            <control shapeId="1881" r:id="rId1520" name="Button 857">
              <controlPr defaultSize="0" autoFill="0" autoLine="0" autoPict="0" macro="[0]!Sheet1.deleteRow">
                <anchor moveWithCells="1" sizeWithCells="1">
                  <from>
                    <xdr:col>6</xdr:col>
                    <xdr:colOff>0</xdr:colOff>
                    <xdr:row>2545</xdr:row>
                    <xdr:rowOff>0</xdr:rowOff>
                  </from>
                  <to>
                    <xdr:col>7</xdr:col>
                    <xdr:colOff>0</xdr:colOff>
                    <xdr:row>2545</xdr:row>
                    <xdr:rowOff>165100</xdr:rowOff>
                  </to>
                </anchor>
              </controlPr>
            </control>
          </mc:Choice>
        </mc:AlternateContent>
        <mc:AlternateContent xmlns:mc="http://schemas.openxmlformats.org/markup-compatibility/2006">
          <mc:Choice Requires="x14">
            <control shapeId="1880" r:id="rId1521" name="Button 856">
              <controlPr defaultSize="0" autoFill="0" autoLine="0" autoPict="0" macro="[0]!Sheet1.deleteRow">
                <anchor moveWithCells="1" sizeWithCells="1">
                  <from>
                    <xdr:col>6</xdr:col>
                    <xdr:colOff>0</xdr:colOff>
                    <xdr:row>2546</xdr:row>
                    <xdr:rowOff>0</xdr:rowOff>
                  </from>
                  <to>
                    <xdr:col>7</xdr:col>
                    <xdr:colOff>0</xdr:colOff>
                    <xdr:row>2546</xdr:row>
                    <xdr:rowOff>165100</xdr:rowOff>
                  </to>
                </anchor>
              </controlPr>
            </control>
          </mc:Choice>
        </mc:AlternateContent>
        <mc:AlternateContent xmlns:mc="http://schemas.openxmlformats.org/markup-compatibility/2006">
          <mc:Choice Requires="x14">
            <control shapeId="1879" r:id="rId1522" name="Button 855">
              <controlPr defaultSize="0" autoFill="0" autoLine="0" autoPict="0" macro="[0]!Sheet1.deleteRow">
                <anchor moveWithCells="1" sizeWithCells="1">
                  <from>
                    <xdr:col>6</xdr:col>
                    <xdr:colOff>0</xdr:colOff>
                    <xdr:row>2547</xdr:row>
                    <xdr:rowOff>0</xdr:rowOff>
                  </from>
                  <to>
                    <xdr:col>7</xdr:col>
                    <xdr:colOff>0</xdr:colOff>
                    <xdr:row>2547</xdr:row>
                    <xdr:rowOff>165100</xdr:rowOff>
                  </to>
                </anchor>
              </controlPr>
            </control>
          </mc:Choice>
        </mc:AlternateContent>
        <mc:AlternateContent xmlns:mc="http://schemas.openxmlformats.org/markup-compatibility/2006">
          <mc:Choice Requires="x14">
            <control shapeId="1878" r:id="rId1523" name="Button 854">
              <controlPr defaultSize="0" autoFill="0" autoLine="0" autoPict="0" macro="[0]!Sheet1.deleteRow">
                <anchor moveWithCells="1" sizeWithCells="1">
                  <from>
                    <xdr:col>6</xdr:col>
                    <xdr:colOff>0</xdr:colOff>
                    <xdr:row>2548</xdr:row>
                    <xdr:rowOff>0</xdr:rowOff>
                  </from>
                  <to>
                    <xdr:col>7</xdr:col>
                    <xdr:colOff>0</xdr:colOff>
                    <xdr:row>2548</xdr:row>
                    <xdr:rowOff>165100</xdr:rowOff>
                  </to>
                </anchor>
              </controlPr>
            </control>
          </mc:Choice>
        </mc:AlternateContent>
        <mc:AlternateContent xmlns:mc="http://schemas.openxmlformats.org/markup-compatibility/2006">
          <mc:Choice Requires="x14">
            <control shapeId="1877" r:id="rId1524" name="Button 853">
              <controlPr defaultSize="0" autoFill="0" autoLine="0" autoPict="0" macro="[0]!Sheet1.deleteRow">
                <anchor moveWithCells="1" sizeWithCells="1">
                  <from>
                    <xdr:col>6</xdr:col>
                    <xdr:colOff>0</xdr:colOff>
                    <xdr:row>2549</xdr:row>
                    <xdr:rowOff>0</xdr:rowOff>
                  </from>
                  <to>
                    <xdr:col>7</xdr:col>
                    <xdr:colOff>0</xdr:colOff>
                    <xdr:row>2549</xdr:row>
                    <xdr:rowOff>165100</xdr:rowOff>
                  </to>
                </anchor>
              </controlPr>
            </control>
          </mc:Choice>
        </mc:AlternateContent>
        <mc:AlternateContent xmlns:mc="http://schemas.openxmlformats.org/markup-compatibility/2006">
          <mc:Choice Requires="x14">
            <control shapeId="1876" r:id="rId1525" name="Button 852">
              <controlPr defaultSize="0" autoFill="0" autoLine="0" autoPict="0" macro="[0]!Sheet1.deleteRow">
                <anchor moveWithCells="1" sizeWithCells="1">
                  <from>
                    <xdr:col>6</xdr:col>
                    <xdr:colOff>0</xdr:colOff>
                    <xdr:row>2550</xdr:row>
                    <xdr:rowOff>0</xdr:rowOff>
                  </from>
                  <to>
                    <xdr:col>7</xdr:col>
                    <xdr:colOff>0</xdr:colOff>
                    <xdr:row>2550</xdr:row>
                    <xdr:rowOff>165100</xdr:rowOff>
                  </to>
                </anchor>
              </controlPr>
            </control>
          </mc:Choice>
        </mc:AlternateContent>
        <mc:AlternateContent xmlns:mc="http://schemas.openxmlformats.org/markup-compatibility/2006">
          <mc:Choice Requires="x14">
            <control shapeId="1875" r:id="rId1526" name="Button 851">
              <controlPr defaultSize="0" autoFill="0" autoLine="0" autoPict="0" macro="[0]!Sheet1.deleteRow">
                <anchor moveWithCells="1" sizeWithCells="1">
                  <from>
                    <xdr:col>6</xdr:col>
                    <xdr:colOff>0</xdr:colOff>
                    <xdr:row>2551</xdr:row>
                    <xdr:rowOff>0</xdr:rowOff>
                  </from>
                  <to>
                    <xdr:col>7</xdr:col>
                    <xdr:colOff>0</xdr:colOff>
                    <xdr:row>2551</xdr:row>
                    <xdr:rowOff>165100</xdr:rowOff>
                  </to>
                </anchor>
              </controlPr>
            </control>
          </mc:Choice>
        </mc:AlternateContent>
        <mc:AlternateContent xmlns:mc="http://schemas.openxmlformats.org/markup-compatibility/2006">
          <mc:Choice Requires="x14">
            <control shapeId="1874" r:id="rId1527" name="Button 850">
              <controlPr defaultSize="0" autoFill="0" autoLine="0" autoPict="0" macro="[0]!Sheet1.deleteRow">
                <anchor moveWithCells="1" sizeWithCells="1">
                  <from>
                    <xdr:col>6</xdr:col>
                    <xdr:colOff>0</xdr:colOff>
                    <xdr:row>2552</xdr:row>
                    <xdr:rowOff>0</xdr:rowOff>
                  </from>
                  <to>
                    <xdr:col>7</xdr:col>
                    <xdr:colOff>0</xdr:colOff>
                    <xdr:row>2552</xdr:row>
                    <xdr:rowOff>165100</xdr:rowOff>
                  </to>
                </anchor>
              </controlPr>
            </control>
          </mc:Choice>
        </mc:AlternateContent>
        <mc:AlternateContent xmlns:mc="http://schemas.openxmlformats.org/markup-compatibility/2006">
          <mc:Choice Requires="x14">
            <control shapeId="1873" r:id="rId1528" name="Button 849">
              <controlPr defaultSize="0" autoFill="0" autoLine="0" autoPict="0" macro="[0]!Sheet1.deleteRow">
                <anchor moveWithCells="1" sizeWithCells="1">
                  <from>
                    <xdr:col>6</xdr:col>
                    <xdr:colOff>0</xdr:colOff>
                    <xdr:row>2553</xdr:row>
                    <xdr:rowOff>0</xdr:rowOff>
                  </from>
                  <to>
                    <xdr:col>7</xdr:col>
                    <xdr:colOff>0</xdr:colOff>
                    <xdr:row>2553</xdr:row>
                    <xdr:rowOff>165100</xdr:rowOff>
                  </to>
                </anchor>
              </controlPr>
            </control>
          </mc:Choice>
        </mc:AlternateContent>
        <mc:AlternateContent xmlns:mc="http://schemas.openxmlformats.org/markup-compatibility/2006">
          <mc:Choice Requires="x14">
            <control shapeId="1872" r:id="rId1529" name="Button 848">
              <controlPr defaultSize="0" autoFill="0" autoLine="0" autoPict="0" macro="[0]!Sheet1.deleteRow">
                <anchor moveWithCells="1" sizeWithCells="1">
                  <from>
                    <xdr:col>6</xdr:col>
                    <xdr:colOff>0</xdr:colOff>
                    <xdr:row>2554</xdr:row>
                    <xdr:rowOff>0</xdr:rowOff>
                  </from>
                  <to>
                    <xdr:col>7</xdr:col>
                    <xdr:colOff>0</xdr:colOff>
                    <xdr:row>2554</xdr:row>
                    <xdr:rowOff>165100</xdr:rowOff>
                  </to>
                </anchor>
              </controlPr>
            </control>
          </mc:Choice>
        </mc:AlternateContent>
        <mc:AlternateContent xmlns:mc="http://schemas.openxmlformats.org/markup-compatibility/2006">
          <mc:Choice Requires="x14">
            <control shapeId="1871" r:id="rId1530" name="Button 847">
              <controlPr defaultSize="0" autoFill="0" autoLine="0" autoPict="0" macro="[0]!Sheet1.deleteRow">
                <anchor moveWithCells="1" sizeWithCells="1">
                  <from>
                    <xdr:col>6</xdr:col>
                    <xdr:colOff>0</xdr:colOff>
                    <xdr:row>2555</xdr:row>
                    <xdr:rowOff>0</xdr:rowOff>
                  </from>
                  <to>
                    <xdr:col>7</xdr:col>
                    <xdr:colOff>0</xdr:colOff>
                    <xdr:row>2555</xdr:row>
                    <xdr:rowOff>165100</xdr:rowOff>
                  </to>
                </anchor>
              </controlPr>
            </control>
          </mc:Choice>
        </mc:AlternateContent>
        <mc:AlternateContent xmlns:mc="http://schemas.openxmlformats.org/markup-compatibility/2006">
          <mc:Choice Requires="x14">
            <control shapeId="1870" r:id="rId1531" name="Button 846">
              <controlPr defaultSize="0" autoFill="0" autoLine="0" autoPict="0" macro="[0]!Sheet1.deleteRow">
                <anchor moveWithCells="1" sizeWithCells="1">
                  <from>
                    <xdr:col>6</xdr:col>
                    <xdr:colOff>0</xdr:colOff>
                    <xdr:row>2556</xdr:row>
                    <xdr:rowOff>0</xdr:rowOff>
                  </from>
                  <to>
                    <xdr:col>7</xdr:col>
                    <xdr:colOff>0</xdr:colOff>
                    <xdr:row>2556</xdr:row>
                    <xdr:rowOff>165100</xdr:rowOff>
                  </to>
                </anchor>
              </controlPr>
            </control>
          </mc:Choice>
        </mc:AlternateContent>
        <mc:AlternateContent xmlns:mc="http://schemas.openxmlformats.org/markup-compatibility/2006">
          <mc:Choice Requires="x14">
            <control shapeId="1869" r:id="rId1532" name="Button 845">
              <controlPr defaultSize="0" autoFill="0" autoLine="0" autoPict="0" macro="[0]!Sheet1.deleteRow">
                <anchor moveWithCells="1" sizeWithCells="1">
                  <from>
                    <xdr:col>6</xdr:col>
                    <xdr:colOff>0</xdr:colOff>
                    <xdr:row>2557</xdr:row>
                    <xdr:rowOff>0</xdr:rowOff>
                  </from>
                  <to>
                    <xdr:col>7</xdr:col>
                    <xdr:colOff>0</xdr:colOff>
                    <xdr:row>2557</xdr:row>
                    <xdr:rowOff>165100</xdr:rowOff>
                  </to>
                </anchor>
              </controlPr>
            </control>
          </mc:Choice>
        </mc:AlternateContent>
        <mc:AlternateContent xmlns:mc="http://schemas.openxmlformats.org/markup-compatibility/2006">
          <mc:Choice Requires="x14">
            <control shapeId="1868" r:id="rId1533" name="Button 844">
              <controlPr defaultSize="0" autoFill="0" autoLine="0" autoPict="0" macro="[0]!Sheet1.deleteRow">
                <anchor moveWithCells="1" sizeWithCells="1">
                  <from>
                    <xdr:col>6</xdr:col>
                    <xdr:colOff>0</xdr:colOff>
                    <xdr:row>2558</xdr:row>
                    <xdr:rowOff>0</xdr:rowOff>
                  </from>
                  <to>
                    <xdr:col>7</xdr:col>
                    <xdr:colOff>0</xdr:colOff>
                    <xdr:row>2558</xdr:row>
                    <xdr:rowOff>165100</xdr:rowOff>
                  </to>
                </anchor>
              </controlPr>
            </control>
          </mc:Choice>
        </mc:AlternateContent>
        <mc:AlternateContent xmlns:mc="http://schemas.openxmlformats.org/markup-compatibility/2006">
          <mc:Choice Requires="x14">
            <control shapeId="1867" r:id="rId1534" name="Button 843">
              <controlPr defaultSize="0" autoFill="0" autoLine="0" autoPict="0" macro="[0]!Sheet1.deleteRow">
                <anchor moveWithCells="1" sizeWithCells="1">
                  <from>
                    <xdr:col>6</xdr:col>
                    <xdr:colOff>0</xdr:colOff>
                    <xdr:row>2559</xdr:row>
                    <xdr:rowOff>0</xdr:rowOff>
                  </from>
                  <to>
                    <xdr:col>7</xdr:col>
                    <xdr:colOff>0</xdr:colOff>
                    <xdr:row>2559</xdr:row>
                    <xdr:rowOff>165100</xdr:rowOff>
                  </to>
                </anchor>
              </controlPr>
            </control>
          </mc:Choice>
        </mc:AlternateContent>
        <mc:AlternateContent xmlns:mc="http://schemas.openxmlformats.org/markup-compatibility/2006">
          <mc:Choice Requires="x14">
            <control shapeId="1866" r:id="rId1535" name="Button 842">
              <controlPr defaultSize="0" autoFill="0" autoLine="0" autoPict="0" macro="[0]!Sheet1.deleteRow">
                <anchor moveWithCells="1" sizeWithCells="1">
                  <from>
                    <xdr:col>6</xdr:col>
                    <xdr:colOff>0</xdr:colOff>
                    <xdr:row>2560</xdr:row>
                    <xdr:rowOff>0</xdr:rowOff>
                  </from>
                  <to>
                    <xdr:col>7</xdr:col>
                    <xdr:colOff>0</xdr:colOff>
                    <xdr:row>2560</xdr:row>
                    <xdr:rowOff>165100</xdr:rowOff>
                  </to>
                </anchor>
              </controlPr>
            </control>
          </mc:Choice>
        </mc:AlternateContent>
        <mc:AlternateContent xmlns:mc="http://schemas.openxmlformats.org/markup-compatibility/2006">
          <mc:Choice Requires="x14">
            <control shapeId="1865" r:id="rId1536" name="Button 841">
              <controlPr defaultSize="0" autoFill="0" autoLine="0" autoPict="0" macro="[0]!Sheet1.deleteRow">
                <anchor moveWithCells="1" sizeWithCells="1">
                  <from>
                    <xdr:col>6</xdr:col>
                    <xdr:colOff>0</xdr:colOff>
                    <xdr:row>2561</xdr:row>
                    <xdr:rowOff>0</xdr:rowOff>
                  </from>
                  <to>
                    <xdr:col>7</xdr:col>
                    <xdr:colOff>0</xdr:colOff>
                    <xdr:row>2561</xdr:row>
                    <xdr:rowOff>165100</xdr:rowOff>
                  </to>
                </anchor>
              </controlPr>
            </control>
          </mc:Choice>
        </mc:AlternateContent>
        <mc:AlternateContent xmlns:mc="http://schemas.openxmlformats.org/markup-compatibility/2006">
          <mc:Choice Requires="x14">
            <control shapeId="1864" r:id="rId1537" name="Button 840">
              <controlPr defaultSize="0" autoFill="0" autoLine="0" autoPict="0" macro="[0]!Sheet1.deleteRow">
                <anchor moveWithCells="1" sizeWithCells="1">
                  <from>
                    <xdr:col>6</xdr:col>
                    <xdr:colOff>0</xdr:colOff>
                    <xdr:row>2562</xdr:row>
                    <xdr:rowOff>0</xdr:rowOff>
                  </from>
                  <to>
                    <xdr:col>7</xdr:col>
                    <xdr:colOff>0</xdr:colOff>
                    <xdr:row>2562</xdr:row>
                    <xdr:rowOff>165100</xdr:rowOff>
                  </to>
                </anchor>
              </controlPr>
            </control>
          </mc:Choice>
        </mc:AlternateContent>
        <mc:AlternateContent xmlns:mc="http://schemas.openxmlformats.org/markup-compatibility/2006">
          <mc:Choice Requires="x14">
            <control shapeId="1863" r:id="rId1538" name="Button 839">
              <controlPr defaultSize="0" autoFill="0" autoLine="0" autoPict="0" macro="[0]!Sheet1.deleteRow">
                <anchor moveWithCells="1" sizeWithCells="1">
                  <from>
                    <xdr:col>6</xdr:col>
                    <xdr:colOff>0</xdr:colOff>
                    <xdr:row>2563</xdr:row>
                    <xdr:rowOff>0</xdr:rowOff>
                  </from>
                  <to>
                    <xdr:col>7</xdr:col>
                    <xdr:colOff>0</xdr:colOff>
                    <xdr:row>2563</xdr:row>
                    <xdr:rowOff>165100</xdr:rowOff>
                  </to>
                </anchor>
              </controlPr>
            </control>
          </mc:Choice>
        </mc:AlternateContent>
        <mc:AlternateContent xmlns:mc="http://schemas.openxmlformats.org/markup-compatibility/2006">
          <mc:Choice Requires="x14">
            <control shapeId="1862" r:id="rId1539" name="Button 838">
              <controlPr defaultSize="0" autoFill="0" autoLine="0" autoPict="0" macro="[0]!Sheet1.deleteRow">
                <anchor moveWithCells="1" sizeWithCells="1">
                  <from>
                    <xdr:col>6</xdr:col>
                    <xdr:colOff>0</xdr:colOff>
                    <xdr:row>2564</xdr:row>
                    <xdr:rowOff>0</xdr:rowOff>
                  </from>
                  <to>
                    <xdr:col>7</xdr:col>
                    <xdr:colOff>0</xdr:colOff>
                    <xdr:row>2564</xdr:row>
                    <xdr:rowOff>165100</xdr:rowOff>
                  </to>
                </anchor>
              </controlPr>
            </control>
          </mc:Choice>
        </mc:AlternateContent>
        <mc:AlternateContent xmlns:mc="http://schemas.openxmlformats.org/markup-compatibility/2006">
          <mc:Choice Requires="x14">
            <control shapeId="1861" r:id="rId1540" name="Button 837">
              <controlPr defaultSize="0" autoFill="0" autoLine="0" autoPict="0" macro="[0]!Sheet1.deleteRow">
                <anchor moveWithCells="1" sizeWithCells="1">
                  <from>
                    <xdr:col>6</xdr:col>
                    <xdr:colOff>0</xdr:colOff>
                    <xdr:row>2565</xdr:row>
                    <xdr:rowOff>0</xdr:rowOff>
                  </from>
                  <to>
                    <xdr:col>7</xdr:col>
                    <xdr:colOff>0</xdr:colOff>
                    <xdr:row>2565</xdr:row>
                    <xdr:rowOff>165100</xdr:rowOff>
                  </to>
                </anchor>
              </controlPr>
            </control>
          </mc:Choice>
        </mc:AlternateContent>
        <mc:AlternateContent xmlns:mc="http://schemas.openxmlformats.org/markup-compatibility/2006">
          <mc:Choice Requires="x14">
            <control shapeId="1860" r:id="rId1541" name="Button 836">
              <controlPr defaultSize="0" autoFill="0" autoLine="0" autoPict="0" macro="[0]!Sheet1.deleteRow">
                <anchor moveWithCells="1" sizeWithCells="1">
                  <from>
                    <xdr:col>6</xdr:col>
                    <xdr:colOff>0</xdr:colOff>
                    <xdr:row>2566</xdr:row>
                    <xdr:rowOff>0</xdr:rowOff>
                  </from>
                  <to>
                    <xdr:col>7</xdr:col>
                    <xdr:colOff>0</xdr:colOff>
                    <xdr:row>2566</xdr:row>
                    <xdr:rowOff>165100</xdr:rowOff>
                  </to>
                </anchor>
              </controlPr>
            </control>
          </mc:Choice>
        </mc:AlternateContent>
        <mc:AlternateContent xmlns:mc="http://schemas.openxmlformats.org/markup-compatibility/2006">
          <mc:Choice Requires="x14">
            <control shapeId="1859" r:id="rId1542" name="Button 835">
              <controlPr defaultSize="0" autoFill="0" autoLine="0" autoPict="0" macro="[0]!Sheet1.deleteRow">
                <anchor moveWithCells="1" sizeWithCells="1">
                  <from>
                    <xdr:col>6</xdr:col>
                    <xdr:colOff>0</xdr:colOff>
                    <xdr:row>2567</xdr:row>
                    <xdr:rowOff>0</xdr:rowOff>
                  </from>
                  <to>
                    <xdr:col>7</xdr:col>
                    <xdr:colOff>0</xdr:colOff>
                    <xdr:row>2567</xdr:row>
                    <xdr:rowOff>165100</xdr:rowOff>
                  </to>
                </anchor>
              </controlPr>
            </control>
          </mc:Choice>
        </mc:AlternateContent>
        <mc:AlternateContent xmlns:mc="http://schemas.openxmlformats.org/markup-compatibility/2006">
          <mc:Choice Requires="x14">
            <control shapeId="1858" r:id="rId1543" name="Button 834">
              <controlPr defaultSize="0" autoFill="0" autoLine="0" autoPict="0" macro="[0]!Sheet1.deleteRow">
                <anchor moveWithCells="1" sizeWithCells="1">
                  <from>
                    <xdr:col>6</xdr:col>
                    <xdr:colOff>0</xdr:colOff>
                    <xdr:row>2568</xdr:row>
                    <xdr:rowOff>0</xdr:rowOff>
                  </from>
                  <to>
                    <xdr:col>7</xdr:col>
                    <xdr:colOff>0</xdr:colOff>
                    <xdr:row>2568</xdr:row>
                    <xdr:rowOff>165100</xdr:rowOff>
                  </to>
                </anchor>
              </controlPr>
            </control>
          </mc:Choice>
        </mc:AlternateContent>
        <mc:AlternateContent xmlns:mc="http://schemas.openxmlformats.org/markup-compatibility/2006">
          <mc:Choice Requires="x14">
            <control shapeId="1857" r:id="rId1544" name="Button 833">
              <controlPr defaultSize="0" autoFill="0" autoLine="0" autoPict="0" macro="[0]!Sheet1.deleteRow">
                <anchor moveWithCells="1" sizeWithCells="1">
                  <from>
                    <xdr:col>6</xdr:col>
                    <xdr:colOff>0</xdr:colOff>
                    <xdr:row>2569</xdr:row>
                    <xdr:rowOff>0</xdr:rowOff>
                  </from>
                  <to>
                    <xdr:col>7</xdr:col>
                    <xdr:colOff>0</xdr:colOff>
                    <xdr:row>2569</xdr:row>
                    <xdr:rowOff>165100</xdr:rowOff>
                  </to>
                </anchor>
              </controlPr>
            </control>
          </mc:Choice>
        </mc:AlternateContent>
        <mc:AlternateContent xmlns:mc="http://schemas.openxmlformats.org/markup-compatibility/2006">
          <mc:Choice Requires="x14">
            <control shapeId="1856" r:id="rId1545" name="Button 832">
              <controlPr defaultSize="0" autoFill="0" autoLine="0" autoPict="0" macro="[0]!Sheet1.deleteRow">
                <anchor moveWithCells="1" sizeWithCells="1">
                  <from>
                    <xdr:col>6</xdr:col>
                    <xdr:colOff>0</xdr:colOff>
                    <xdr:row>2570</xdr:row>
                    <xdr:rowOff>0</xdr:rowOff>
                  </from>
                  <to>
                    <xdr:col>7</xdr:col>
                    <xdr:colOff>0</xdr:colOff>
                    <xdr:row>2570</xdr:row>
                    <xdr:rowOff>165100</xdr:rowOff>
                  </to>
                </anchor>
              </controlPr>
            </control>
          </mc:Choice>
        </mc:AlternateContent>
        <mc:AlternateContent xmlns:mc="http://schemas.openxmlformats.org/markup-compatibility/2006">
          <mc:Choice Requires="x14">
            <control shapeId="1855" r:id="rId1546" name="Button 831">
              <controlPr defaultSize="0" autoFill="0" autoLine="0" autoPict="0" macro="[0]!Sheet1.deleteRow">
                <anchor moveWithCells="1" sizeWithCells="1">
                  <from>
                    <xdr:col>6</xdr:col>
                    <xdr:colOff>0</xdr:colOff>
                    <xdr:row>2571</xdr:row>
                    <xdr:rowOff>0</xdr:rowOff>
                  </from>
                  <to>
                    <xdr:col>7</xdr:col>
                    <xdr:colOff>0</xdr:colOff>
                    <xdr:row>2571</xdr:row>
                    <xdr:rowOff>165100</xdr:rowOff>
                  </to>
                </anchor>
              </controlPr>
            </control>
          </mc:Choice>
        </mc:AlternateContent>
        <mc:AlternateContent xmlns:mc="http://schemas.openxmlformats.org/markup-compatibility/2006">
          <mc:Choice Requires="x14">
            <control shapeId="1854" r:id="rId1547" name="Button 830">
              <controlPr defaultSize="0" autoFill="0" autoLine="0" autoPict="0" macro="[0]!Sheet1.deleteRow">
                <anchor moveWithCells="1" sizeWithCells="1">
                  <from>
                    <xdr:col>6</xdr:col>
                    <xdr:colOff>0</xdr:colOff>
                    <xdr:row>2572</xdr:row>
                    <xdr:rowOff>0</xdr:rowOff>
                  </from>
                  <to>
                    <xdr:col>7</xdr:col>
                    <xdr:colOff>0</xdr:colOff>
                    <xdr:row>2572</xdr:row>
                    <xdr:rowOff>165100</xdr:rowOff>
                  </to>
                </anchor>
              </controlPr>
            </control>
          </mc:Choice>
        </mc:AlternateContent>
        <mc:AlternateContent xmlns:mc="http://schemas.openxmlformats.org/markup-compatibility/2006">
          <mc:Choice Requires="x14">
            <control shapeId="1853" r:id="rId1548" name="Button 829">
              <controlPr defaultSize="0" autoFill="0" autoLine="0" autoPict="0" macro="[0]!Sheet1.deleteRow">
                <anchor moveWithCells="1" sizeWithCells="1">
                  <from>
                    <xdr:col>6</xdr:col>
                    <xdr:colOff>0</xdr:colOff>
                    <xdr:row>2573</xdr:row>
                    <xdr:rowOff>0</xdr:rowOff>
                  </from>
                  <to>
                    <xdr:col>7</xdr:col>
                    <xdr:colOff>0</xdr:colOff>
                    <xdr:row>2573</xdr:row>
                    <xdr:rowOff>165100</xdr:rowOff>
                  </to>
                </anchor>
              </controlPr>
            </control>
          </mc:Choice>
        </mc:AlternateContent>
        <mc:AlternateContent xmlns:mc="http://schemas.openxmlformats.org/markup-compatibility/2006">
          <mc:Choice Requires="x14">
            <control shapeId="1852" r:id="rId1549" name="Button 828">
              <controlPr defaultSize="0" autoFill="0" autoLine="0" autoPict="0" macro="[0]!Sheet1.deleteRow">
                <anchor moveWithCells="1" sizeWithCells="1">
                  <from>
                    <xdr:col>6</xdr:col>
                    <xdr:colOff>0</xdr:colOff>
                    <xdr:row>2574</xdr:row>
                    <xdr:rowOff>0</xdr:rowOff>
                  </from>
                  <to>
                    <xdr:col>7</xdr:col>
                    <xdr:colOff>0</xdr:colOff>
                    <xdr:row>2574</xdr:row>
                    <xdr:rowOff>165100</xdr:rowOff>
                  </to>
                </anchor>
              </controlPr>
            </control>
          </mc:Choice>
        </mc:AlternateContent>
        <mc:AlternateContent xmlns:mc="http://schemas.openxmlformats.org/markup-compatibility/2006">
          <mc:Choice Requires="x14">
            <control shapeId="1851" r:id="rId1550" name="Button 827">
              <controlPr defaultSize="0" autoFill="0" autoLine="0" autoPict="0" macro="[0]!Sheet1.deleteRow">
                <anchor moveWithCells="1" sizeWithCells="1">
                  <from>
                    <xdr:col>6</xdr:col>
                    <xdr:colOff>0</xdr:colOff>
                    <xdr:row>2575</xdr:row>
                    <xdr:rowOff>0</xdr:rowOff>
                  </from>
                  <to>
                    <xdr:col>7</xdr:col>
                    <xdr:colOff>0</xdr:colOff>
                    <xdr:row>2575</xdr:row>
                    <xdr:rowOff>165100</xdr:rowOff>
                  </to>
                </anchor>
              </controlPr>
            </control>
          </mc:Choice>
        </mc:AlternateContent>
        <mc:AlternateContent xmlns:mc="http://schemas.openxmlformats.org/markup-compatibility/2006">
          <mc:Choice Requires="x14">
            <control shapeId="1850" r:id="rId1551" name="Button 826">
              <controlPr defaultSize="0" autoFill="0" autoLine="0" autoPict="0" macro="[0]!Sheet1.deleteRow">
                <anchor moveWithCells="1" sizeWithCells="1">
                  <from>
                    <xdr:col>6</xdr:col>
                    <xdr:colOff>0</xdr:colOff>
                    <xdr:row>2576</xdr:row>
                    <xdr:rowOff>0</xdr:rowOff>
                  </from>
                  <to>
                    <xdr:col>7</xdr:col>
                    <xdr:colOff>0</xdr:colOff>
                    <xdr:row>2576</xdr:row>
                    <xdr:rowOff>165100</xdr:rowOff>
                  </to>
                </anchor>
              </controlPr>
            </control>
          </mc:Choice>
        </mc:AlternateContent>
        <mc:AlternateContent xmlns:mc="http://schemas.openxmlformats.org/markup-compatibility/2006">
          <mc:Choice Requires="x14">
            <control shapeId="1849" r:id="rId1552" name="Button 825">
              <controlPr defaultSize="0" autoFill="0" autoLine="0" autoPict="0" macro="[0]!Sheet1.deleteRow">
                <anchor moveWithCells="1" sizeWithCells="1">
                  <from>
                    <xdr:col>6</xdr:col>
                    <xdr:colOff>0</xdr:colOff>
                    <xdr:row>2577</xdr:row>
                    <xdr:rowOff>0</xdr:rowOff>
                  </from>
                  <to>
                    <xdr:col>7</xdr:col>
                    <xdr:colOff>0</xdr:colOff>
                    <xdr:row>2577</xdr:row>
                    <xdr:rowOff>165100</xdr:rowOff>
                  </to>
                </anchor>
              </controlPr>
            </control>
          </mc:Choice>
        </mc:AlternateContent>
        <mc:AlternateContent xmlns:mc="http://schemas.openxmlformats.org/markup-compatibility/2006">
          <mc:Choice Requires="x14">
            <control shapeId="1848" r:id="rId1553" name="Button 824">
              <controlPr defaultSize="0" autoFill="0" autoLine="0" autoPict="0" macro="[0]!Sheet1.deleteRow">
                <anchor moveWithCells="1" sizeWithCells="1">
                  <from>
                    <xdr:col>6</xdr:col>
                    <xdr:colOff>0</xdr:colOff>
                    <xdr:row>2578</xdr:row>
                    <xdr:rowOff>0</xdr:rowOff>
                  </from>
                  <to>
                    <xdr:col>7</xdr:col>
                    <xdr:colOff>0</xdr:colOff>
                    <xdr:row>2578</xdr:row>
                    <xdr:rowOff>165100</xdr:rowOff>
                  </to>
                </anchor>
              </controlPr>
            </control>
          </mc:Choice>
        </mc:AlternateContent>
        <mc:AlternateContent xmlns:mc="http://schemas.openxmlformats.org/markup-compatibility/2006">
          <mc:Choice Requires="x14">
            <control shapeId="1847" r:id="rId1554" name="Button 823">
              <controlPr defaultSize="0" autoFill="0" autoLine="0" autoPict="0" macro="[0]!Sheet1.deleteRow">
                <anchor moveWithCells="1" sizeWithCells="1">
                  <from>
                    <xdr:col>6</xdr:col>
                    <xdr:colOff>0</xdr:colOff>
                    <xdr:row>2579</xdr:row>
                    <xdr:rowOff>0</xdr:rowOff>
                  </from>
                  <to>
                    <xdr:col>7</xdr:col>
                    <xdr:colOff>0</xdr:colOff>
                    <xdr:row>2579</xdr:row>
                    <xdr:rowOff>165100</xdr:rowOff>
                  </to>
                </anchor>
              </controlPr>
            </control>
          </mc:Choice>
        </mc:AlternateContent>
        <mc:AlternateContent xmlns:mc="http://schemas.openxmlformats.org/markup-compatibility/2006">
          <mc:Choice Requires="x14">
            <control shapeId="1846" r:id="rId1555" name="Button 822">
              <controlPr defaultSize="0" autoFill="0" autoLine="0" autoPict="0" macro="[0]!Sheet1.deleteRow">
                <anchor moveWithCells="1" sizeWithCells="1">
                  <from>
                    <xdr:col>6</xdr:col>
                    <xdr:colOff>0</xdr:colOff>
                    <xdr:row>2580</xdr:row>
                    <xdr:rowOff>0</xdr:rowOff>
                  </from>
                  <to>
                    <xdr:col>7</xdr:col>
                    <xdr:colOff>0</xdr:colOff>
                    <xdr:row>2580</xdr:row>
                    <xdr:rowOff>165100</xdr:rowOff>
                  </to>
                </anchor>
              </controlPr>
            </control>
          </mc:Choice>
        </mc:AlternateContent>
        <mc:AlternateContent xmlns:mc="http://schemas.openxmlformats.org/markup-compatibility/2006">
          <mc:Choice Requires="x14">
            <control shapeId="1845" r:id="rId1556" name="Button 821">
              <controlPr defaultSize="0" autoFill="0" autoLine="0" autoPict="0" macro="[0]!Sheet1.deleteRow">
                <anchor moveWithCells="1" sizeWithCells="1">
                  <from>
                    <xdr:col>6</xdr:col>
                    <xdr:colOff>0</xdr:colOff>
                    <xdr:row>2581</xdr:row>
                    <xdr:rowOff>0</xdr:rowOff>
                  </from>
                  <to>
                    <xdr:col>7</xdr:col>
                    <xdr:colOff>0</xdr:colOff>
                    <xdr:row>2581</xdr:row>
                    <xdr:rowOff>165100</xdr:rowOff>
                  </to>
                </anchor>
              </controlPr>
            </control>
          </mc:Choice>
        </mc:AlternateContent>
        <mc:AlternateContent xmlns:mc="http://schemas.openxmlformats.org/markup-compatibility/2006">
          <mc:Choice Requires="x14">
            <control shapeId="1844" r:id="rId1557" name="Button 820">
              <controlPr defaultSize="0" autoFill="0" autoLine="0" autoPict="0" macro="[0]!Sheet1.deleteRow">
                <anchor moveWithCells="1" sizeWithCells="1">
                  <from>
                    <xdr:col>6</xdr:col>
                    <xdr:colOff>0</xdr:colOff>
                    <xdr:row>2582</xdr:row>
                    <xdr:rowOff>0</xdr:rowOff>
                  </from>
                  <to>
                    <xdr:col>7</xdr:col>
                    <xdr:colOff>0</xdr:colOff>
                    <xdr:row>2582</xdr:row>
                    <xdr:rowOff>165100</xdr:rowOff>
                  </to>
                </anchor>
              </controlPr>
            </control>
          </mc:Choice>
        </mc:AlternateContent>
        <mc:AlternateContent xmlns:mc="http://schemas.openxmlformats.org/markup-compatibility/2006">
          <mc:Choice Requires="x14">
            <control shapeId="1843" r:id="rId1558" name="Button 819">
              <controlPr defaultSize="0" autoFill="0" autoLine="0" autoPict="0" macro="[0]!Sheet1.deleteRow">
                <anchor moveWithCells="1" sizeWithCells="1">
                  <from>
                    <xdr:col>6</xdr:col>
                    <xdr:colOff>0</xdr:colOff>
                    <xdr:row>2583</xdr:row>
                    <xdr:rowOff>0</xdr:rowOff>
                  </from>
                  <to>
                    <xdr:col>7</xdr:col>
                    <xdr:colOff>0</xdr:colOff>
                    <xdr:row>2583</xdr:row>
                    <xdr:rowOff>165100</xdr:rowOff>
                  </to>
                </anchor>
              </controlPr>
            </control>
          </mc:Choice>
        </mc:AlternateContent>
        <mc:AlternateContent xmlns:mc="http://schemas.openxmlformats.org/markup-compatibility/2006">
          <mc:Choice Requires="x14">
            <control shapeId="1842" r:id="rId1559" name="Button 818">
              <controlPr defaultSize="0" autoFill="0" autoLine="0" autoPict="0" macro="[0]!Sheet1.deleteRow">
                <anchor moveWithCells="1" sizeWithCells="1">
                  <from>
                    <xdr:col>6</xdr:col>
                    <xdr:colOff>0</xdr:colOff>
                    <xdr:row>2584</xdr:row>
                    <xdr:rowOff>0</xdr:rowOff>
                  </from>
                  <to>
                    <xdr:col>7</xdr:col>
                    <xdr:colOff>0</xdr:colOff>
                    <xdr:row>2584</xdr:row>
                    <xdr:rowOff>165100</xdr:rowOff>
                  </to>
                </anchor>
              </controlPr>
            </control>
          </mc:Choice>
        </mc:AlternateContent>
        <mc:AlternateContent xmlns:mc="http://schemas.openxmlformats.org/markup-compatibility/2006">
          <mc:Choice Requires="x14">
            <control shapeId="1841" r:id="rId1560" name="Button 817">
              <controlPr defaultSize="0" autoFill="0" autoLine="0" autoPict="0" macro="[0]!Sheet1.deleteRow">
                <anchor moveWithCells="1" sizeWithCells="1">
                  <from>
                    <xdr:col>6</xdr:col>
                    <xdr:colOff>0</xdr:colOff>
                    <xdr:row>2585</xdr:row>
                    <xdr:rowOff>0</xdr:rowOff>
                  </from>
                  <to>
                    <xdr:col>7</xdr:col>
                    <xdr:colOff>0</xdr:colOff>
                    <xdr:row>2585</xdr:row>
                    <xdr:rowOff>165100</xdr:rowOff>
                  </to>
                </anchor>
              </controlPr>
            </control>
          </mc:Choice>
        </mc:AlternateContent>
        <mc:AlternateContent xmlns:mc="http://schemas.openxmlformats.org/markup-compatibility/2006">
          <mc:Choice Requires="x14">
            <control shapeId="1840" r:id="rId1561" name="Button 816">
              <controlPr defaultSize="0" autoFill="0" autoLine="0" autoPict="0" macro="[0]!Sheet1.deleteRow">
                <anchor moveWithCells="1" sizeWithCells="1">
                  <from>
                    <xdr:col>6</xdr:col>
                    <xdr:colOff>0</xdr:colOff>
                    <xdr:row>2586</xdr:row>
                    <xdr:rowOff>0</xdr:rowOff>
                  </from>
                  <to>
                    <xdr:col>7</xdr:col>
                    <xdr:colOff>0</xdr:colOff>
                    <xdr:row>2586</xdr:row>
                    <xdr:rowOff>165100</xdr:rowOff>
                  </to>
                </anchor>
              </controlPr>
            </control>
          </mc:Choice>
        </mc:AlternateContent>
        <mc:AlternateContent xmlns:mc="http://schemas.openxmlformats.org/markup-compatibility/2006">
          <mc:Choice Requires="x14">
            <control shapeId="1839" r:id="rId1562" name="Button 815">
              <controlPr defaultSize="0" autoFill="0" autoLine="0" autoPict="0" macro="[0]!Sheet1.deleteRow">
                <anchor moveWithCells="1" sizeWithCells="1">
                  <from>
                    <xdr:col>6</xdr:col>
                    <xdr:colOff>0</xdr:colOff>
                    <xdr:row>2587</xdr:row>
                    <xdr:rowOff>0</xdr:rowOff>
                  </from>
                  <to>
                    <xdr:col>7</xdr:col>
                    <xdr:colOff>0</xdr:colOff>
                    <xdr:row>2587</xdr:row>
                    <xdr:rowOff>165100</xdr:rowOff>
                  </to>
                </anchor>
              </controlPr>
            </control>
          </mc:Choice>
        </mc:AlternateContent>
        <mc:AlternateContent xmlns:mc="http://schemas.openxmlformats.org/markup-compatibility/2006">
          <mc:Choice Requires="x14">
            <control shapeId="1838" r:id="rId1563" name="Button 814">
              <controlPr defaultSize="0" autoFill="0" autoLine="0" autoPict="0" macro="[0]!Sheet1.deleteRow">
                <anchor moveWithCells="1" sizeWithCells="1">
                  <from>
                    <xdr:col>6</xdr:col>
                    <xdr:colOff>0</xdr:colOff>
                    <xdr:row>2588</xdr:row>
                    <xdr:rowOff>0</xdr:rowOff>
                  </from>
                  <to>
                    <xdr:col>7</xdr:col>
                    <xdr:colOff>0</xdr:colOff>
                    <xdr:row>2588</xdr:row>
                    <xdr:rowOff>165100</xdr:rowOff>
                  </to>
                </anchor>
              </controlPr>
            </control>
          </mc:Choice>
        </mc:AlternateContent>
        <mc:AlternateContent xmlns:mc="http://schemas.openxmlformats.org/markup-compatibility/2006">
          <mc:Choice Requires="x14">
            <control shapeId="1837" r:id="rId1564" name="Button 813">
              <controlPr defaultSize="0" autoFill="0" autoLine="0" autoPict="0" macro="[0]!Sheet1.deleteRow">
                <anchor moveWithCells="1" sizeWithCells="1">
                  <from>
                    <xdr:col>6</xdr:col>
                    <xdr:colOff>0</xdr:colOff>
                    <xdr:row>2589</xdr:row>
                    <xdr:rowOff>0</xdr:rowOff>
                  </from>
                  <to>
                    <xdr:col>7</xdr:col>
                    <xdr:colOff>0</xdr:colOff>
                    <xdr:row>2589</xdr:row>
                    <xdr:rowOff>165100</xdr:rowOff>
                  </to>
                </anchor>
              </controlPr>
            </control>
          </mc:Choice>
        </mc:AlternateContent>
        <mc:AlternateContent xmlns:mc="http://schemas.openxmlformats.org/markup-compatibility/2006">
          <mc:Choice Requires="x14">
            <control shapeId="1836" r:id="rId1565" name="Button 812">
              <controlPr defaultSize="0" autoFill="0" autoLine="0" autoPict="0" macro="[0]!Sheet1.deleteRow">
                <anchor moveWithCells="1" sizeWithCells="1">
                  <from>
                    <xdr:col>6</xdr:col>
                    <xdr:colOff>0</xdr:colOff>
                    <xdr:row>2590</xdr:row>
                    <xdr:rowOff>0</xdr:rowOff>
                  </from>
                  <to>
                    <xdr:col>7</xdr:col>
                    <xdr:colOff>0</xdr:colOff>
                    <xdr:row>2590</xdr:row>
                    <xdr:rowOff>165100</xdr:rowOff>
                  </to>
                </anchor>
              </controlPr>
            </control>
          </mc:Choice>
        </mc:AlternateContent>
        <mc:AlternateContent xmlns:mc="http://schemas.openxmlformats.org/markup-compatibility/2006">
          <mc:Choice Requires="x14">
            <control shapeId="1835" r:id="rId1566" name="Button 811">
              <controlPr defaultSize="0" autoFill="0" autoLine="0" autoPict="0" macro="[0]!Sheet1.deleteRow">
                <anchor moveWithCells="1" sizeWithCells="1">
                  <from>
                    <xdr:col>6</xdr:col>
                    <xdr:colOff>0</xdr:colOff>
                    <xdr:row>2591</xdr:row>
                    <xdr:rowOff>0</xdr:rowOff>
                  </from>
                  <to>
                    <xdr:col>7</xdr:col>
                    <xdr:colOff>0</xdr:colOff>
                    <xdr:row>2591</xdr:row>
                    <xdr:rowOff>165100</xdr:rowOff>
                  </to>
                </anchor>
              </controlPr>
            </control>
          </mc:Choice>
        </mc:AlternateContent>
        <mc:AlternateContent xmlns:mc="http://schemas.openxmlformats.org/markup-compatibility/2006">
          <mc:Choice Requires="x14">
            <control shapeId="1834" r:id="rId1567" name="Button 810">
              <controlPr defaultSize="0" autoFill="0" autoLine="0" autoPict="0" macro="[0]!Sheet1.deleteRow">
                <anchor moveWithCells="1" sizeWithCells="1">
                  <from>
                    <xdr:col>6</xdr:col>
                    <xdr:colOff>0</xdr:colOff>
                    <xdr:row>2592</xdr:row>
                    <xdr:rowOff>0</xdr:rowOff>
                  </from>
                  <to>
                    <xdr:col>7</xdr:col>
                    <xdr:colOff>0</xdr:colOff>
                    <xdr:row>2592</xdr:row>
                    <xdr:rowOff>165100</xdr:rowOff>
                  </to>
                </anchor>
              </controlPr>
            </control>
          </mc:Choice>
        </mc:AlternateContent>
        <mc:AlternateContent xmlns:mc="http://schemas.openxmlformats.org/markup-compatibility/2006">
          <mc:Choice Requires="x14">
            <control shapeId="1833" r:id="rId1568" name="Button 809">
              <controlPr defaultSize="0" autoFill="0" autoLine="0" autoPict="0" macro="[0]!Sheet1.deleteRow">
                <anchor moveWithCells="1" sizeWithCells="1">
                  <from>
                    <xdr:col>6</xdr:col>
                    <xdr:colOff>0</xdr:colOff>
                    <xdr:row>2593</xdr:row>
                    <xdr:rowOff>0</xdr:rowOff>
                  </from>
                  <to>
                    <xdr:col>7</xdr:col>
                    <xdr:colOff>0</xdr:colOff>
                    <xdr:row>2593</xdr:row>
                    <xdr:rowOff>165100</xdr:rowOff>
                  </to>
                </anchor>
              </controlPr>
            </control>
          </mc:Choice>
        </mc:AlternateContent>
        <mc:AlternateContent xmlns:mc="http://schemas.openxmlformats.org/markup-compatibility/2006">
          <mc:Choice Requires="x14">
            <control shapeId="1832" r:id="rId1569" name="Button 808">
              <controlPr defaultSize="0" autoFill="0" autoLine="0" autoPict="0" macro="[0]!Sheet1.deleteRow">
                <anchor moveWithCells="1" sizeWithCells="1">
                  <from>
                    <xdr:col>6</xdr:col>
                    <xdr:colOff>0</xdr:colOff>
                    <xdr:row>2594</xdr:row>
                    <xdr:rowOff>0</xdr:rowOff>
                  </from>
                  <to>
                    <xdr:col>7</xdr:col>
                    <xdr:colOff>0</xdr:colOff>
                    <xdr:row>2594</xdr:row>
                    <xdr:rowOff>165100</xdr:rowOff>
                  </to>
                </anchor>
              </controlPr>
            </control>
          </mc:Choice>
        </mc:AlternateContent>
        <mc:AlternateContent xmlns:mc="http://schemas.openxmlformats.org/markup-compatibility/2006">
          <mc:Choice Requires="x14">
            <control shapeId="1831" r:id="rId1570" name="Button 807">
              <controlPr defaultSize="0" autoFill="0" autoLine="0" autoPict="0" macro="[0]!Sheet1.deleteRow">
                <anchor moveWithCells="1" sizeWithCells="1">
                  <from>
                    <xdr:col>6</xdr:col>
                    <xdr:colOff>0</xdr:colOff>
                    <xdr:row>2595</xdr:row>
                    <xdr:rowOff>0</xdr:rowOff>
                  </from>
                  <to>
                    <xdr:col>7</xdr:col>
                    <xdr:colOff>0</xdr:colOff>
                    <xdr:row>2595</xdr:row>
                    <xdr:rowOff>165100</xdr:rowOff>
                  </to>
                </anchor>
              </controlPr>
            </control>
          </mc:Choice>
        </mc:AlternateContent>
        <mc:AlternateContent xmlns:mc="http://schemas.openxmlformats.org/markup-compatibility/2006">
          <mc:Choice Requires="x14">
            <control shapeId="1830" r:id="rId1571" name="Button 806">
              <controlPr defaultSize="0" autoFill="0" autoLine="0" autoPict="0" macro="[0]!Sheet1.deleteRow">
                <anchor moveWithCells="1" sizeWithCells="1">
                  <from>
                    <xdr:col>6</xdr:col>
                    <xdr:colOff>0</xdr:colOff>
                    <xdr:row>2596</xdr:row>
                    <xdr:rowOff>0</xdr:rowOff>
                  </from>
                  <to>
                    <xdr:col>7</xdr:col>
                    <xdr:colOff>0</xdr:colOff>
                    <xdr:row>2596</xdr:row>
                    <xdr:rowOff>165100</xdr:rowOff>
                  </to>
                </anchor>
              </controlPr>
            </control>
          </mc:Choice>
        </mc:AlternateContent>
        <mc:AlternateContent xmlns:mc="http://schemas.openxmlformats.org/markup-compatibility/2006">
          <mc:Choice Requires="x14">
            <control shapeId="1829" r:id="rId1572" name="Button 805">
              <controlPr defaultSize="0" autoFill="0" autoLine="0" autoPict="0" macro="[0]!Sheet1.deleteRow">
                <anchor moveWithCells="1" sizeWithCells="1">
                  <from>
                    <xdr:col>6</xdr:col>
                    <xdr:colOff>0</xdr:colOff>
                    <xdr:row>2597</xdr:row>
                    <xdr:rowOff>0</xdr:rowOff>
                  </from>
                  <to>
                    <xdr:col>7</xdr:col>
                    <xdr:colOff>0</xdr:colOff>
                    <xdr:row>2597</xdr:row>
                    <xdr:rowOff>165100</xdr:rowOff>
                  </to>
                </anchor>
              </controlPr>
            </control>
          </mc:Choice>
        </mc:AlternateContent>
        <mc:AlternateContent xmlns:mc="http://schemas.openxmlformats.org/markup-compatibility/2006">
          <mc:Choice Requires="x14">
            <control shapeId="1828" r:id="rId1573" name="Button 804">
              <controlPr defaultSize="0" autoFill="0" autoLine="0" autoPict="0" macro="[0]!Sheet1.deleteRow">
                <anchor moveWithCells="1" sizeWithCells="1">
                  <from>
                    <xdr:col>6</xdr:col>
                    <xdr:colOff>0</xdr:colOff>
                    <xdr:row>2598</xdr:row>
                    <xdr:rowOff>0</xdr:rowOff>
                  </from>
                  <to>
                    <xdr:col>7</xdr:col>
                    <xdr:colOff>0</xdr:colOff>
                    <xdr:row>2598</xdr:row>
                    <xdr:rowOff>165100</xdr:rowOff>
                  </to>
                </anchor>
              </controlPr>
            </control>
          </mc:Choice>
        </mc:AlternateContent>
        <mc:AlternateContent xmlns:mc="http://schemas.openxmlformats.org/markup-compatibility/2006">
          <mc:Choice Requires="x14">
            <control shapeId="1827" r:id="rId1574" name="Button 803">
              <controlPr defaultSize="0" autoFill="0" autoLine="0" autoPict="0" macro="[0]!Sheet1.deleteRow">
                <anchor moveWithCells="1" sizeWithCells="1">
                  <from>
                    <xdr:col>6</xdr:col>
                    <xdr:colOff>0</xdr:colOff>
                    <xdr:row>2599</xdr:row>
                    <xdr:rowOff>0</xdr:rowOff>
                  </from>
                  <to>
                    <xdr:col>7</xdr:col>
                    <xdr:colOff>0</xdr:colOff>
                    <xdr:row>2599</xdr:row>
                    <xdr:rowOff>165100</xdr:rowOff>
                  </to>
                </anchor>
              </controlPr>
            </control>
          </mc:Choice>
        </mc:AlternateContent>
        <mc:AlternateContent xmlns:mc="http://schemas.openxmlformats.org/markup-compatibility/2006">
          <mc:Choice Requires="x14">
            <control shapeId="1826" r:id="rId1575" name="Button 802">
              <controlPr defaultSize="0" autoFill="0" autoLine="0" autoPict="0" macro="[0]!Sheet1.deleteRow">
                <anchor moveWithCells="1" sizeWithCells="1">
                  <from>
                    <xdr:col>6</xdr:col>
                    <xdr:colOff>0</xdr:colOff>
                    <xdr:row>2600</xdr:row>
                    <xdr:rowOff>0</xdr:rowOff>
                  </from>
                  <to>
                    <xdr:col>7</xdr:col>
                    <xdr:colOff>0</xdr:colOff>
                    <xdr:row>2600</xdr:row>
                    <xdr:rowOff>165100</xdr:rowOff>
                  </to>
                </anchor>
              </controlPr>
            </control>
          </mc:Choice>
        </mc:AlternateContent>
        <mc:AlternateContent xmlns:mc="http://schemas.openxmlformats.org/markup-compatibility/2006">
          <mc:Choice Requires="x14">
            <control shapeId="1825" r:id="rId1576" name="Button 801">
              <controlPr defaultSize="0" autoFill="0" autoLine="0" autoPict="0" macro="[0]!Sheet1.deleteRow">
                <anchor moveWithCells="1" sizeWithCells="1">
                  <from>
                    <xdr:col>6</xdr:col>
                    <xdr:colOff>0</xdr:colOff>
                    <xdr:row>2601</xdr:row>
                    <xdr:rowOff>0</xdr:rowOff>
                  </from>
                  <to>
                    <xdr:col>7</xdr:col>
                    <xdr:colOff>0</xdr:colOff>
                    <xdr:row>2601</xdr:row>
                    <xdr:rowOff>165100</xdr:rowOff>
                  </to>
                </anchor>
              </controlPr>
            </control>
          </mc:Choice>
        </mc:AlternateContent>
        <mc:AlternateContent xmlns:mc="http://schemas.openxmlformats.org/markup-compatibility/2006">
          <mc:Choice Requires="x14">
            <control shapeId="1824" r:id="rId1577" name="Button 800">
              <controlPr defaultSize="0" autoFill="0" autoLine="0" autoPict="0" macro="[0]!Sheet1.deleteRow">
                <anchor moveWithCells="1" sizeWithCells="1">
                  <from>
                    <xdr:col>6</xdr:col>
                    <xdr:colOff>0</xdr:colOff>
                    <xdr:row>2602</xdr:row>
                    <xdr:rowOff>0</xdr:rowOff>
                  </from>
                  <to>
                    <xdr:col>7</xdr:col>
                    <xdr:colOff>0</xdr:colOff>
                    <xdr:row>2602</xdr:row>
                    <xdr:rowOff>165100</xdr:rowOff>
                  </to>
                </anchor>
              </controlPr>
            </control>
          </mc:Choice>
        </mc:AlternateContent>
        <mc:AlternateContent xmlns:mc="http://schemas.openxmlformats.org/markup-compatibility/2006">
          <mc:Choice Requires="x14">
            <control shapeId="1823" r:id="rId1578" name="Button 799">
              <controlPr defaultSize="0" autoFill="0" autoLine="0" autoPict="0" macro="[0]!Sheet1.deleteRow">
                <anchor moveWithCells="1" sizeWithCells="1">
                  <from>
                    <xdr:col>6</xdr:col>
                    <xdr:colOff>0</xdr:colOff>
                    <xdr:row>2603</xdr:row>
                    <xdr:rowOff>0</xdr:rowOff>
                  </from>
                  <to>
                    <xdr:col>7</xdr:col>
                    <xdr:colOff>0</xdr:colOff>
                    <xdr:row>2603</xdr:row>
                    <xdr:rowOff>165100</xdr:rowOff>
                  </to>
                </anchor>
              </controlPr>
            </control>
          </mc:Choice>
        </mc:AlternateContent>
        <mc:AlternateContent xmlns:mc="http://schemas.openxmlformats.org/markup-compatibility/2006">
          <mc:Choice Requires="x14">
            <control shapeId="1822" r:id="rId1579" name="Button 798">
              <controlPr defaultSize="0" autoFill="0" autoLine="0" autoPict="0" macro="[0]!Sheet1.deleteRow">
                <anchor moveWithCells="1" sizeWithCells="1">
                  <from>
                    <xdr:col>6</xdr:col>
                    <xdr:colOff>0</xdr:colOff>
                    <xdr:row>2604</xdr:row>
                    <xdr:rowOff>0</xdr:rowOff>
                  </from>
                  <to>
                    <xdr:col>7</xdr:col>
                    <xdr:colOff>0</xdr:colOff>
                    <xdr:row>2604</xdr:row>
                    <xdr:rowOff>165100</xdr:rowOff>
                  </to>
                </anchor>
              </controlPr>
            </control>
          </mc:Choice>
        </mc:AlternateContent>
        <mc:AlternateContent xmlns:mc="http://schemas.openxmlformats.org/markup-compatibility/2006">
          <mc:Choice Requires="x14">
            <control shapeId="1821" r:id="rId1580" name="Button 797">
              <controlPr defaultSize="0" autoFill="0" autoLine="0" autoPict="0" macro="[0]!Sheet1.deleteRow">
                <anchor moveWithCells="1" sizeWithCells="1">
                  <from>
                    <xdr:col>6</xdr:col>
                    <xdr:colOff>0</xdr:colOff>
                    <xdr:row>2605</xdr:row>
                    <xdr:rowOff>0</xdr:rowOff>
                  </from>
                  <to>
                    <xdr:col>7</xdr:col>
                    <xdr:colOff>0</xdr:colOff>
                    <xdr:row>2605</xdr:row>
                    <xdr:rowOff>165100</xdr:rowOff>
                  </to>
                </anchor>
              </controlPr>
            </control>
          </mc:Choice>
        </mc:AlternateContent>
        <mc:AlternateContent xmlns:mc="http://schemas.openxmlformats.org/markup-compatibility/2006">
          <mc:Choice Requires="x14">
            <control shapeId="1820" r:id="rId1581" name="Button 796">
              <controlPr defaultSize="0" autoFill="0" autoLine="0" autoPict="0" macro="[0]!Sheet1.deleteRow">
                <anchor moveWithCells="1" sizeWithCells="1">
                  <from>
                    <xdr:col>6</xdr:col>
                    <xdr:colOff>0</xdr:colOff>
                    <xdr:row>2606</xdr:row>
                    <xdr:rowOff>0</xdr:rowOff>
                  </from>
                  <to>
                    <xdr:col>7</xdr:col>
                    <xdr:colOff>0</xdr:colOff>
                    <xdr:row>2606</xdr:row>
                    <xdr:rowOff>165100</xdr:rowOff>
                  </to>
                </anchor>
              </controlPr>
            </control>
          </mc:Choice>
        </mc:AlternateContent>
        <mc:AlternateContent xmlns:mc="http://schemas.openxmlformats.org/markup-compatibility/2006">
          <mc:Choice Requires="x14">
            <control shapeId="1819" r:id="rId1582" name="Button 795">
              <controlPr defaultSize="0" autoFill="0" autoLine="0" autoPict="0" macro="[0]!Sheet1.deleteRow">
                <anchor moveWithCells="1" sizeWithCells="1">
                  <from>
                    <xdr:col>6</xdr:col>
                    <xdr:colOff>0</xdr:colOff>
                    <xdr:row>2607</xdr:row>
                    <xdr:rowOff>0</xdr:rowOff>
                  </from>
                  <to>
                    <xdr:col>7</xdr:col>
                    <xdr:colOff>0</xdr:colOff>
                    <xdr:row>2607</xdr:row>
                    <xdr:rowOff>165100</xdr:rowOff>
                  </to>
                </anchor>
              </controlPr>
            </control>
          </mc:Choice>
        </mc:AlternateContent>
        <mc:AlternateContent xmlns:mc="http://schemas.openxmlformats.org/markup-compatibility/2006">
          <mc:Choice Requires="x14">
            <control shapeId="1818" r:id="rId1583" name="Button 794">
              <controlPr defaultSize="0" autoFill="0" autoLine="0" autoPict="0" macro="[0]!Sheet1.deleteRow">
                <anchor moveWithCells="1" sizeWithCells="1">
                  <from>
                    <xdr:col>6</xdr:col>
                    <xdr:colOff>0</xdr:colOff>
                    <xdr:row>2608</xdr:row>
                    <xdr:rowOff>0</xdr:rowOff>
                  </from>
                  <to>
                    <xdr:col>7</xdr:col>
                    <xdr:colOff>0</xdr:colOff>
                    <xdr:row>2608</xdr:row>
                    <xdr:rowOff>165100</xdr:rowOff>
                  </to>
                </anchor>
              </controlPr>
            </control>
          </mc:Choice>
        </mc:AlternateContent>
        <mc:AlternateContent xmlns:mc="http://schemas.openxmlformats.org/markup-compatibility/2006">
          <mc:Choice Requires="x14">
            <control shapeId="1817" r:id="rId1584" name="Button 793">
              <controlPr defaultSize="0" autoFill="0" autoLine="0" autoPict="0" macro="[0]!Sheet1.deleteRow">
                <anchor moveWithCells="1" sizeWithCells="1">
                  <from>
                    <xdr:col>6</xdr:col>
                    <xdr:colOff>0</xdr:colOff>
                    <xdr:row>2609</xdr:row>
                    <xdr:rowOff>0</xdr:rowOff>
                  </from>
                  <to>
                    <xdr:col>7</xdr:col>
                    <xdr:colOff>0</xdr:colOff>
                    <xdr:row>2609</xdr:row>
                    <xdr:rowOff>165100</xdr:rowOff>
                  </to>
                </anchor>
              </controlPr>
            </control>
          </mc:Choice>
        </mc:AlternateContent>
        <mc:AlternateContent xmlns:mc="http://schemas.openxmlformats.org/markup-compatibility/2006">
          <mc:Choice Requires="x14">
            <control shapeId="1816" r:id="rId1585" name="Button 792">
              <controlPr defaultSize="0" autoFill="0" autoLine="0" autoPict="0" macro="[0]!Sheet1.deleteRow">
                <anchor moveWithCells="1" sizeWithCells="1">
                  <from>
                    <xdr:col>6</xdr:col>
                    <xdr:colOff>0</xdr:colOff>
                    <xdr:row>2610</xdr:row>
                    <xdr:rowOff>0</xdr:rowOff>
                  </from>
                  <to>
                    <xdr:col>7</xdr:col>
                    <xdr:colOff>0</xdr:colOff>
                    <xdr:row>2610</xdr:row>
                    <xdr:rowOff>165100</xdr:rowOff>
                  </to>
                </anchor>
              </controlPr>
            </control>
          </mc:Choice>
        </mc:AlternateContent>
        <mc:AlternateContent xmlns:mc="http://schemas.openxmlformats.org/markup-compatibility/2006">
          <mc:Choice Requires="x14">
            <control shapeId="1815" r:id="rId1586" name="Button 791">
              <controlPr defaultSize="0" autoFill="0" autoLine="0" autoPict="0" macro="[0]!Sheet1.deleteRow">
                <anchor moveWithCells="1" sizeWithCells="1">
                  <from>
                    <xdr:col>6</xdr:col>
                    <xdr:colOff>0</xdr:colOff>
                    <xdr:row>2611</xdr:row>
                    <xdr:rowOff>0</xdr:rowOff>
                  </from>
                  <to>
                    <xdr:col>7</xdr:col>
                    <xdr:colOff>0</xdr:colOff>
                    <xdr:row>2611</xdr:row>
                    <xdr:rowOff>165100</xdr:rowOff>
                  </to>
                </anchor>
              </controlPr>
            </control>
          </mc:Choice>
        </mc:AlternateContent>
        <mc:AlternateContent xmlns:mc="http://schemas.openxmlformats.org/markup-compatibility/2006">
          <mc:Choice Requires="x14">
            <control shapeId="1814" r:id="rId1587" name="Button 790">
              <controlPr defaultSize="0" autoFill="0" autoLine="0" autoPict="0" macro="[0]!Sheet1.deleteRow">
                <anchor moveWithCells="1" sizeWithCells="1">
                  <from>
                    <xdr:col>6</xdr:col>
                    <xdr:colOff>0</xdr:colOff>
                    <xdr:row>2612</xdr:row>
                    <xdr:rowOff>0</xdr:rowOff>
                  </from>
                  <to>
                    <xdr:col>7</xdr:col>
                    <xdr:colOff>0</xdr:colOff>
                    <xdr:row>2612</xdr:row>
                    <xdr:rowOff>165100</xdr:rowOff>
                  </to>
                </anchor>
              </controlPr>
            </control>
          </mc:Choice>
        </mc:AlternateContent>
        <mc:AlternateContent xmlns:mc="http://schemas.openxmlformats.org/markup-compatibility/2006">
          <mc:Choice Requires="x14">
            <control shapeId="1813" r:id="rId1588" name="Button 789">
              <controlPr defaultSize="0" autoFill="0" autoLine="0" autoPict="0" macro="[0]!Sheet1.deleteRow">
                <anchor moveWithCells="1" sizeWithCells="1">
                  <from>
                    <xdr:col>6</xdr:col>
                    <xdr:colOff>0</xdr:colOff>
                    <xdr:row>2613</xdr:row>
                    <xdr:rowOff>0</xdr:rowOff>
                  </from>
                  <to>
                    <xdr:col>7</xdr:col>
                    <xdr:colOff>0</xdr:colOff>
                    <xdr:row>2613</xdr:row>
                    <xdr:rowOff>165100</xdr:rowOff>
                  </to>
                </anchor>
              </controlPr>
            </control>
          </mc:Choice>
        </mc:AlternateContent>
        <mc:AlternateContent xmlns:mc="http://schemas.openxmlformats.org/markup-compatibility/2006">
          <mc:Choice Requires="x14">
            <control shapeId="1812" r:id="rId1589" name="Button 788">
              <controlPr defaultSize="0" autoFill="0" autoLine="0" autoPict="0" macro="[0]!Sheet1.deleteRow">
                <anchor moveWithCells="1" sizeWithCells="1">
                  <from>
                    <xdr:col>6</xdr:col>
                    <xdr:colOff>0</xdr:colOff>
                    <xdr:row>2614</xdr:row>
                    <xdr:rowOff>0</xdr:rowOff>
                  </from>
                  <to>
                    <xdr:col>7</xdr:col>
                    <xdr:colOff>0</xdr:colOff>
                    <xdr:row>2614</xdr:row>
                    <xdr:rowOff>165100</xdr:rowOff>
                  </to>
                </anchor>
              </controlPr>
            </control>
          </mc:Choice>
        </mc:AlternateContent>
        <mc:AlternateContent xmlns:mc="http://schemas.openxmlformats.org/markup-compatibility/2006">
          <mc:Choice Requires="x14">
            <control shapeId="1811" r:id="rId1590" name="Button 787">
              <controlPr defaultSize="0" autoFill="0" autoLine="0" autoPict="0" macro="[0]!Sheet1.deleteRow">
                <anchor moveWithCells="1" sizeWithCells="1">
                  <from>
                    <xdr:col>6</xdr:col>
                    <xdr:colOff>0</xdr:colOff>
                    <xdr:row>2615</xdr:row>
                    <xdr:rowOff>0</xdr:rowOff>
                  </from>
                  <to>
                    <xdr:col>7</xdr:col>
                    <xdr:colOff>0</xdr:colOff>
                    <xdr:row>2615</xdr:row>
                    <xdr:rowOff>165100</xdr:rowOff>
                  </to>
                </anchor>
              </controlPr>
            </control>
          </mc:Choice>
        </mc:AlternateContent>
        <mc:AlternateContent xmlns:mc="http://schemas.openxmlformats.org/markup-compatibility/2006">
          <mc:Choice Requires="x14">
            <control shapeId="1810" r:id="rId1591" name="Button 786">
              <controlPr defaultSize="0" autoFill="0" autoLine="0" autoPict="0" macro="[0]!Sheet1.deleteRow">
                <anchor moveWithCells="1" sizeWithCells="1">
                  <from>
                    <xdr:col>6</xdr:col>
                    <xdr:colOff>0</xdr:colOff>
                    <xdr:row>2616</xdr:row>
                    <xdr:rowOff>0</xdr:rowOff>
                  </from>
                  <to>
                    <xdr:col>7</xdr:col>
                    <xdr:colOff>0</xdr:colOff>
                    <xdr:row>2616</xdr:row>
                    <xdr:rowOff>165100</xdr:rowOff>
                  </to>
                </anchor>
              </controlPr>
            </control>
          </mc:Choice>
        </mc:AlternateContent>
        <mc:AlternateContent xmlns:mc="http://schemas.openxmlformats.org/markup-compatibility/2006">
          <mc:Choice Requires="x14">
            <control shapeId="1809" r:id="rId1592" name="Button 785">
              <controlPr defaultSize="0" autoFill="0" autoLine="0" autoPict="0" macro="[0]!Sheet1.deleteRow">
                <anchor moveWithCells="1" sizeWithCells="1">
                  <from>
                    <xdr:col>6</xdr:col>
                    <xdr:colOff>0</xdr:colOff>
                    <xdr:row>2617</xdr:row>
                    <xdr:rowOff>0</xdr:rowOff>
                  </from>
                  <to>
                    <xdr:col>7</xdr:col>
                    <xdr:colOff>0</xdr:colOff>
                    <xdr:row>2617</xdr:row>
                    <xdr:rowOff>165100</xdr:rowOff>
                  </to>
                </anchor>
              </controlPr>
            </control>
          </mc:Choice>
        </mc:AlternateContent>
        <mc:AlternateContent xmlns:mc="http://schemas.openxmlformats.org/markup-compatibility/2006">
          <mc:Choice Requires="x14">
            <control shapeId="1808" r:id="rId1593" name="Button 784">
              <controlPr defaultSize="0" autoFill="0" autoLine="0" autoPict="0" macro="[0]!Sheet1.deleteRow">
                <anchor moveWithCells="1" sizeWithCells="1">
                  <from>
                    <xdr:col>6</xdr:col>
                    <xdr:colOff>0</xdr:colOff>
                    <xdr:row>2618</xdr:row>
                    <xdr:rowOff>0</xdr:rowOff>
                  </from>
                  <to>
                    <xdr:col>7</xdr:col>
                    <xdr:colOff>0</xdr:colOff>
                    <xdr:row>2618</xdr:row>
                    <xdr:rowOff>165100</xdr:rowOff>
                  </to>
                </anchor>
              </controlPr>
            </control>
          </mc:Choice>
        </mc:AlternateContent>
        <mc:AlternateContent xmlns:mc="http://schemas.openxmlformats.org/markup-compatibility/2006">
          <mc:Choice Requires="x14">
            <control shapeId="1807" r:id="rId1594" name="Button 783">
              <controlPr defaultSize="0" autoFill="0" autoLine="0" autoPict="0" macro="[0]!Sheet1.deleteRow">
                <anchor moveWithCells="1" sizeWithCells="1">
                  <from>
                    <xdr:col>6</xdr:col>
                    <xdr:colOff>0</xdr:colOff>
                    <xdr:row>2619</xdr:row>
                    <xdr:rowOff>0</xdr:rowOff>
                  </from>
                  <to>
                    <xdr:col>7</xdr:col>
                    <xdr:colOff>0</xdr:colOff>
                    <xdr:row>2619</xdr:row>
                    <xdr:rowOff>165100</xdr:rowOff>
                  </to>
                </anchor>
              </controlPr>
            </control>
          </mc:Choice>
        </mc:AlternateContent>
        <mc:AlternateContent xmlns:mc="http://schemas.openxmlformats.org/markup-compatibility/2006">
          <mc:Choice Requires="x14">
            <control shapeId="1806" r:id="rId1595" name="Button 782">
              <controlPr defaultSize="0" autoFill="0" autoLine="0" autoPict="0" macro="[0]!Sheet1.deleteRow">
                <anchor moveWithCells="1" sizeWithCells="1">
                  <from>
                    <xdr:col>6</xdr:col>
                    <xdr:colOff>0</xdr:colOff>
                    <xdr:row>2620</xdr:row>
                    <xdr:rowOff>0</xdr:rowOff>
                  </from>
                  <to>
                    <xdr:col>7</xdr:col>
                    <xdr:colOff>0</xdr:colOff>
                    <xdr:row>2620</xdr:row>
                    <xdr:rowOff>165100</xdr:rowOff>
                  </to>
                </anchor>
              </controlPr>
            </control>
          </mc:Choice>
        </mc:AlternateContent>
        <mc:AlternateContent xmlns:mc="http://schemas.openxmlformats.org/markup-compatibility/2006">
          <mc:Choice Requires="x14">
            <control shapeId="1805" r:id="rId1596" name="Button 781">
              <controlPr defaultSize="0" autoFill="0" autoLine="0" autoPict="0" macro="[0]!Sheet1.deleteRow">
                <anchor moveWithCells="1" sizeWithCells="1">
                  <from>
                    <xdr:col>6</xdr:col>
                    <xdr:colOff>0</xdr:colOff>
                    <xdr:row>2621</xdr:row>
                    <xdr:rowOff>0</xdr:rowOff>
                  </from>
                  <to>
                    <xdr:col>7</xdr:col>
                    <xdr:colOff>0</xdr:colOff>
                    <xdr:row>2621</xdr:row>
                    <xdr:rowOff>165100</xdr:rowOff>
                  </to>
                </anchor>
              </controlPr>
            </control>
          </mc:Choice>
        </mc:AlternateContent>
        <mc:AlternateContent xmlns:mc="http://schemas.openxmlformats.org/markup-compatibility/2006">
          <mc:Choice Requires="x14">
            <control shapeId="1804" r:id="rId1597" name="Button 780">
              <controlPr defaultSize="0" autoFill="0" autoLine="0" autoPict="0" macro="[0]!Sheet1.deleteRow">
                <anchor moveWithCells="1" sizeWithCells="1">
                  <from>
                    <xdr:col>6</xdr:col>
                    <xdr:colOff>0</xdr:colOff>
                    <xdr:row>2622</xdr:row>
                    <xdr:rowOff>0</xdr:rowOff>
                  </from>
                  <to>
                    <xdr:col>7</xdr:col>
                    <xdr:colOff>0</xdr:colOff>
                    <xdr:row>2622</xdr:row>
                    <xdr:rowOff>165100</xdr:rowOff>
                  </to>
                </anchor>
              </controlPr>
            </control>
          </mc:Choice>
        </mc:AlternateContent>
        <mc:AlternateContent xmlns:mc="http://schemas.openxmlformats.org/markup-compatibility/2006">
          <mc:Choice Requires="x14">
            <control shapeId="1803" r:id="rId1598" name="Button 779">
              <controlPr defaultSize="0" autoFill="0" autoLine="0" autoPict="0" macro="[0]!Sheet1.deleteRow">
                <anchor moveWithCells="1" sizeWithCells="1">
                  <from>
                    <xdr:col>6</xdr:col>
                    <xdr:colOff>0</xdr:colOff>
                    <xdr:row>2623</xdr:row>
                    <xdr:rowOff>0</xdr:rowOff>
                  </from>
                  <to>
                    <xdr:col>7</xdr:col>
                    <xdr:colOff>0</xdr:colOff>
                    <xdr:row>2623</xdr:row>
                    <xdr:rowOff>165100</xdr:rowOff>
                  </to>
                </anchor>
              </controlPr>
            </control>
          </mc:Choice>
        </mc:AlternateContent>
        <mc:AlternateContent xmlns:mc="http://schemas.openxmlformats.org/markup-compatibility/2006">
          <mc:Choice Requires="x14">
            <control shapeId="1802" r:id="rId1599" name="Button 778">
              <controlPr defaultSize="0" autoFill="0" autoLine="0" autoPict="0" macro="[0]!Sheet1.deleteRow">
                <anchor moveWithCells="1" sizeWithCells="1">
                  <from>
                    <xdr:col>6</xdr:col>
                    <xdr:colOff>0</xdr:colOff>
                    <xdr:row>2624</xdr:row>
                    <xdr:rowOff>0</xdr:rowOff>
                  </from>
                  <to>
                    <xdr:col>7</xdr:col>
                    <xdr:colOff>0</xdr:colOff>
                    <xdr:row>2624</xdr:row>
                    <xdr:rowOff>165100</xdr:rowOff>
                  </to>
                </anchor>
              </controlPr>
            </control>
          </mc:Choice>
        </mc:AlternateContent>
        <mc:AlternateContent xmlns:mc="http://schemas.openxmlformats.org/markup-compatibility/2006">
          <mc:Choice Requires="x14">
            <control shapeId="1801" r:id="rId1600" name="Button 777">
              <controlPr defaultSize="0" autoFill="0" autoLine="0" autoPict="0" macro="[0]!Sheet1.deleteRow">
                <anchor moveWithCells="1" sizeWithCells="1">
                  <from>
                    <xdr:col>6</xdr:col>
                    <xdr:colOff>0</xdr:colOff>
                    <xdr:row>2625</xdr:row>
                    <xdr:rowOff>0</xdr:rowOff>
                  </from>
                  <to>
                    <xdr:col>7</xdr:col>
                    <xdr:colOff>0</xdr:colOff>
                    <xdr:row>2625</xdr:row>
                    <xdr:rowOff>165100</xdr:rowOff>
                  </to>
                </anchor>
              </controlPr>
            </control>
          </mc:Choice>
        </mc:AlternateContent>
        <mc:AlternateContent xmlns:mc="http://schemas.openxmlformats.org/markup-compatibility/2006">
          <mc:Choice Requires="x14">
            <control shapeId="1800" r:id="rId1601" name="Button 776">
              <controlPr defaultSize="0" autoFill="0" autoLine="0" autoPict="0" macro="[0]!Sheet1.deleteRow">
                <anchor moveWithCells="1" sizeWithCells="1">
                  <from>
                    <xdr:col>6</xdr:col>
                    <xdr:colOff>0</xdr:colOff>
                    <xdr:row>2626</xdr:row>
                    <xdr:rowOff>0</xdr:rowOff>
                  </from>
                  <to>
                    <xdr:col>7</xdr:col>
                    <xdr:colOff>0</xdr:colOff>
                    <xdr:row>2626</xdr:row>
                    <xdr:rowOff>165100</xdr:rowOff>
                  </to>
                </anchor>
              </controlPr>
            </control>
          </mc:Choice>
        </mc:AlternateContent>
        <mc:AlternateContent xmlns:mc="http://schemas.openxmlformats.org/markup-compatibility/2006">
          <mc:Choice Requires="x14">
            <control shapeId="1799" r:id="rId1602" name="Button 775">
              <controlPr defaultSize="0" autoFill="0" autoLine="0" autoPict="0" macro="[0]!Sheet1.deleteRow">
                <anchor moveWithCells="1" sizeWithCells="1">
                  <from>
                    <xdr:col>6</xdr:col>
                    <xdr:colOff>0</xdr:colOff>
                    <xdr:row>2627</xdr:row>
                    <xdr:rowOff>0</xdr:rowOff>
                  </from>
                  <to>
                    <xdr:col>7</xdr:col>
                    <xdr:colOff>0</xdr:colOff>
                    <xdr:row>2627</xdr:row>
                    <xdr:rowOff>165100</xdr:rowOff>
                  </to>
                </anchor>
              </controlPr>
            </control>
          </mc:Choice>
        </mc:AlternateContent>
        <mc:AlternateContent xmlns:mc="http://schemas.openxmlformats.org/markup-compatibility/2006">
          <mc:Choice Requires="x14">
            <control shapeId="1798" r:id="rId1603" name="Button 774">
              <controlPr defaultSize="0" autoFill="0" autoLine="0" autoPict="0" macro="[0]!Sheet1.deleteRow">
                <anchor moveWithCells="1" sizeWithCells="1">
                  <from>
                    <xdr:col>6</xdr:col>
                    <xdr:colOff>0</xdr:colOff>
                    <xdr:row>2628</xdr:row>
                    <xdr:rowOff>0</xdr:rowOff>
                  </from>
                  <to>
                    <xdr:col>7</xdr:col>
                    <xdr:colOff>0</xdr:colOff>
                    <xdr:row>2628</xdr:row>
                    <xdr:rowOff>165100</xdr:rowOff>
                  </to>
                </anchor>
              </controlPr>
            </control>
          </mc:Choice>
        </mc:AlternateContent>
        <mc:AlternateContent xmlns:mc="http://schemas.openxmlformats.org/markup-compatibility/2006">
          <mc:Choice Requires="x14">
            <control shapeId="1797" r:id="rId1604" name="Button 773">
              <controlPr defaultSize="0" autoFill="0" autoLine="0" autoPict="0" macro="[0]!Sheet1.deleteRow">
                <anchor moveWithCells="1" sizeWithCells="1">
                  <from>
                    <xdr:col>6</xdr:col>
                    <xdr:colOff>0</xdr:colOff>
                    <xdr:row>2629</xdr:row>
                    <xdr:rowOff>0</xdr:rowOff>
                  </from>
                  <to>
                    <xdr:col>7</xdr:col>
                    <xdr:colOff>0</xdr:colOff>
                    <xdr:row>2629</xdr:row>
                    <xdr:rowOff>165100</xdr:rowOff>
                  </to>
                </anchor>
              </controlPr>
            </control>
          </mc:Choice>
        </mc:AlternateContent>
        <mc:AlternateContent xmlns:mc="http://schemas.openxmlformats.org/markup-compatibility/2006">
          <mc:Choice Requires="x14">
            <control shapeId="1796" r:id="rId1605" name="Button 772">
              <controlPr defaultSize="0" autoFill="0" autoLine="0" autoPict="0" macro="[0]!Sheet1.deleteRow">
                <anchor moveWithCells="1" sizeWithCells="1">
                  <from>
                    <xdr:col>6</xdr:col>
                    <xdr:colOff>0</xdr:colOff>
                    <xdr:row>2630</xdr:row>
                    <xdr:rowOff>0</xdr:rowOff>
                  </from>
                  <to>
                    <xdr:col>7</xdr:col>
                    <xdr:colOff>0</xdr:colOff>
                    <xdr:row>2630</xdr:row>
                    <xdr:rowOff>165100</xdr:rowOff>
                  </to>
                </anchor>
              </controlPr>
            </control>
          </mc:Choice>
        </mc:AlternateContent>
        <mc:AlternateContent xmlns:mc="http://schemas.openxmlformats.org/markup-compatibility/2006">
          <mc:Choice Requires="x14">
            <control shapeId="1795" r:id="rId1606" name="Button 771">
              <controlPr defaultSize="0" autoFill="0" autoLine="0" autoPict="0" macro="[0]!Sheet1.deleteProcedure">
                <anchor moveWithCells="1" sizeWithCells="1">
                  <from>
                    <xdr:col>6</xdr:col>
                    <xdr:colOff>0</xdr:colOff>
                    <xdr:row>2633</xdr:row>
                    <xdr:rowOff>0</xdr:rowOff>
                  </from>
                  <to>
                    <xdr:col>7</xdr:col>
                    <xdr:colOff>0</xdr:colOff>
                    <xdr:row>2634</xdr:row>
                    <xdr:rowOff>0</xdr:rowOff>
                  </to>
                </anchor>
              </controlPr>
            </control>
          </mc:Choice>
        </mc:AlternateContent>
        <mc:AlternateContent xmlns:mc="http://schemas.openxmlformats.org/markup-compatibility/2006">
          <mc:Choice Requires="x14">
            <control shapeId="1794" r:id="rId1607" name="Button 770">
              <controlPr defaultSize="0" autoFill="0" autoLine="0" autoPict="0" macro="[0]!Sheet1.InsertNewTableRow">
                <anchor moveWithCells="1" sizeWithCells="1">
                  <from>
                    <xdr:col>6</xdr:col>
                    <xdr:colOff>0</xdr:colOff>
                    <xdr:row>2640</xdr:row>
                    <xdr:rowOff>0</xdr:rowOff>
                  </from>
                  <to>
                    <xdr:col>7</xdr:col>
                    <xdr:colOff>0</xdr:colOff>
                    <xdr:row>2640</xdr:row>
                    <xdr:rowOff>171450</xdr:rowOff>
                  </to>
                </anchor>
              </controlPr>
            </control>
          </mc:Choice>
        </mc:AlternateContent>
        <mc:AlternateContent xmlns:mc="http://schemas.openxmlformats.org/markup-compatibility/2006">
          <mc:Choice Requires="x14">
            <control shapeId="1793" r:id="rId1608" name="Button 769">
              <controlPr defaultSize="0" autoFill="0" autoLine="0" autoPict="0" macro="[0]!Sheet1.deleteRow">
                <anchor moveWithCells="1" sizeWithCells="1">
                  <from>
                    <xdr:col>6</xdr:col>
                    <xdr:colOff>0</xdr:colOff>
                    <xdr:row>2641</xdr:row>
                    <xdr:rowOff>0</xdr:rowOff>
                  </from>
                  <to>
                    <xdr:col>7</xdr:col>
                    <xdr:colOff>0</xdr:colOff>
                    <xdr:row>2641</xdr:row>
                    <xdr:rowOff>165100</xdr:rowOff>
                  </to>
                </anchor>
              </controlPr>
            </control>
          </mc:Choice>
        </mc:AlternateContent>
        <mc:AlternateContent xmlns:mc="http://schemas.openxmlformats.org/markup-compatibility/2006">
          <mc:Choice Requires="x14">
            <control shapeId="1792" r:id="rId1609" name="Button 768">
              <controlPr defaultSize="0" autoFill="0" autoLine="0" autoPict="0" macro="[0]!Sheet1.deleteRow">
                <anchor moveWithCells="1" sizeWithCells="1">
                  <from>
                    <xdr:col>6</xdr:col>
                    <xdr:colOff>0</xdr:colOff>
                    <xdr:row>2642</xdr:row>
                    <xdr:rowOff>0</xdr:rowOff>
                  </from>
                  <to>
                    <xdr:col>7</xdr:col>
                    <xdr:colOff>0</xdr:colOff>
                    <xdr:row>2642</xdr:row>
                    <xdr:rowOff>165100</xdr:rowOff>
                  </to>
                </anchor>
              </controlPr>
            </control>
          </mc:Choice>
        </mc:AlternateContent>
        <mc:AlternateContent xmlns:mc="http://schemas.openxmlformats.org/markup-compatibility/2006">
          <mc:Choice Requires="x14">
            <control shapeId="1791" r:id="rId1610" name="Button 767">
              <controlPr defaultSize="0" autoFill="0" autoLine="0" autoPict="0" macro="[0]!Sheet1.deleteProcedure">
                <anchor moveWithCells="1" sizeWithCells="1">
                  <from>
                    <xdr:col>6</xdr:col>
                    <xdr:colOff>0</xdr:colOff>
                    <xdr:row>2645</xdr:row>
                    <xdr:rowOff>0</xdr:rowOff>
                  </from>
                  <to>
                    <xdr:col>7</xdr:col>
                    <xdr:colOff>0</xdr:colOff>
                    <xdr:row>2646</xdr:row>
                    <xdr:rowOff>0</xdr:rowOff>
                  </to>
                </anchor>
              </controlPr>
            </control>
          </mc:Choice>
        </mc:AlternateContent>
        <mc:AlternateContent xmlns:mc="http://schemas.openxmlformats.org/markup-compatibility/2006">
          <mc:Choice Requires="x14">
            <control shapeId="1790" r:id="rId1611" name="Button 766">
              <controlPr defaultSize="0" autoFill="0" autoLine="0" autoPict="0" macro="[0]!Sheet1.InsertNewTableRow">
                <anchor moveWithCells="1" sizeWithCells="1">
                  <from>
                    <xdr:col>6</xdr:col>
                    <xdr:colOff>0</xdr:colOff>
                    <xdr:row>2652</xdr:row>
                    <xdr:rowOff>0</xdr:rowOff>
                  </from>
                  <to>
                    <xdr:col>7</xdr:col>
                    <xdr:colOff>0</xdr:colOff>
                    <xdr:row>2652</xdr:row>
                    <xdr:rowOff>171450</xdr:rowOff>
                  </to>
                </anchor>
              </controlPr>
            </control>
          </mc:Choice>
        </mc:AlternateContent>
        <mc:AlternateContent xmlns:mc="http://schemas.openxmlformats.org/markup-compatibility/2006">
          <mc:Choice Requires="x14">
            <control shapeId="1789" r:id="rId1612" name="Button 765">
              <controlPr defaultSize="0" autoFill="0" autoLine="0" autoPict="0" macro="[0]!Sheet1.deleteRow">
                <anchor moveWithCells="1" sizeWithCells="1">
                  <from>
                    <xdr:col>6</xdr:col>
                    <xdr:colOff>0</xdr:colOff>
                    <xdr:row>2653</xdr:row>
                    <xdr:rowOff>0</xdr:rowOff>
                  </from>
                  <to>
                    <xdr:col>7</xdr:col>
                    <xdr:colOff>0</xdr:colOff>
                    <xdr:row>2653</xdr:row>
                    <xdr:rowOff>165100</xdr:rowOff>
                  </to>
                </anchor>
              </controlPr>
            </control>
          </mc:Choice>
        </mc:AlternateContent>
        <mc:AlternateContent xmlns:mc="http://schemas.openxmlformats.org/markup-compatibility/2006">
          <mc:Choice Requires="x14">
            <control shapeId="1788" r:id="rId1613" name="Button 764">
              <controlPr defaultSize="0" autoFill="0" autoLine="0" autoPict="0" macro="[0]!Sheet1.deleteRow">
                <anchor moveWithCells="1" sizeWithCells="1">
                  <from>
                    <xdr:col>6</xdr:col>
                    <xdr:colOff>0</xdr:colOff>
                    <xdr:row>2654</xdr:row>
                    <xdr:rowOff>0</xdr:rowOff>
                  </from>
                  <to>
                    <xdr:col>7</xdr:col>
                    <xdr:colOff>0</xdr:colOff>
                    <xdr:row>2654</xdr:row>
                    <xdr:rowOff>165100</xdr:rowOff>
                  </to>
                </anchor>
              </controlPr>
            </control>
          </mc:Choice>
        </mc:AlternateContent>
        <mc:AlternateContent xmlns:mc="http://schemas.openxmlformats.org/markup-compatibility/2006">
          <mc:Choice Requires="x14">
            <control shapeId="1787" r:id="rId1614" name="Button 763">
              <controlPr defaultSize="0" autoFill="0" autoLine="0" autoPict="0" macro="[0]!Sheet1.deleteRow">
                <anchor moveWithCells="1" sizeWithCells="1">
                  <from>
                    <xdr:col>6</xdr:col>
                    <xdr:colOff>0</xdr:colOff>
                    <xdr:row>2655</xdr:row>
                    <xdr:rowOff>0</xdr:rowOff>
                  </from>
                  <to>
                    <xdr:col>7</xdr:col>
                    <xdr:colOff>0</xdr:colOff>
                    <xdr:row>2655</xdr:row>
                    <xdr:rowOff>165100</xdr:rowOff>
                  </to>
                </anchor>
              </controlPr>
            </control>
          </mc:Choice>
        </mc:AlternateContent>
        <mc:AlternateContent xmlns:mc="http://schemas.openxmlformats.org/markup-compatibility/2006">
          <mc:Choice Requires="x14">
            <control shapeId="1786" r:id="rId1615" name="Button 762">
              <controlPr defaultSize="0" autoFill="0" autoLine="0" autoPict="0" macro="[0]!Sheet1.deleteRow">
                <anchor moveWithCells="1" sizeWithCells="1">
                  <from>
                    <xdr:col>6</xdr:col>
                    <xdr:colOff>0</xdr:colOff>
                    <xdr:row>2656</xdr:row>
                    <xdr:rowOff>0</xdr:rowOff>
                  </from>
                  <to>
                    <xdr:col>7</xdr:col>
                    <xdr:colOff>0</xdr:colOff>
                    <xdr:row>2656</xdr:row>
                    <xdr:rowOff>165100</xdr:rowOff>
                  </to>
                </anchor>
              </controlPr>
            </control>
          </mc:Choice>
        </mc:AlternateContent>
        <mc:AlternateContent xmlns:mc="http://schemas.openxmlformats.org/markup-compatibility/2006">
          <mc:Choice Requires="x14">
            <control shapeId="1785" r:id="rId1616" name="Button 761">
              <controlPr defaultSize="0" autoFill="0" autoLine="0" autoPict="0" macro="[0]!Sheet1.deleteRow">
                <anchor moveWithCells="1" sizeWithCells="1">
                  <from>
                    <xdr:col>6</xdr:col>
                    <xdr:colOff>0</xdr:colOff>
                    <xdr:row>2657</xdr:row>
                    <xdr:rowOff>0</xdr:rowOff>
                  </from>
                  <to>
                    <xdr:col>7</xdr:col>
                    <xdr:colOff>0</xdr:colOff>
                    <xdr:row>2657</xdr:row>
                    <xdr:rowOff>165100</xdr:rowOff>
                  </to>
                </anchor>
              </controlPr>
            </control>
          </mc:Choice>
        </mc:AlternateContent>
        <mc:AlternateContent xmlns:mc="http://schemas.openxmlformats.org/markup-compatibility/2006">
          <mc:Choice Requires="x14">
            <control shapeId="1784" r:id="rId1617" name="Button 760">
              <controlPr defaultSize="0" autoFill="0" autoLine="0" autoPict="0" macro="[0]!Sheet1.deleteRow">
                <anchor moveWithCells="1" sizeWithCells="1">
                  <from>
                    <xdr:col>6</xdr:col>
                    <xdr:colOff>0</xdr:colOff>
                    <xdr:row>2658</xdr:row>
                    <xdr:rowOff>0</xdr:rowOff>
                  </from>
                  <to>
                    <xdr:col>7</xdr:col>
                    <xdr:colOff>0</xdr:colOff>
                    <xdr:row>2658</xdr:row>
                    <xdr:rowOff>165100</xdr:rowOff>
                  </to>
                </anchor>
              </controlPr>
            </control>
          </mc:Choice>
        </mc:AlternateContent>
        <mc:AlternateContent xmlns:mc="http://schemas.openxmlformats.org/markup-compatibility/2006">
          <mc:Choice Requires="x14">
            <control shapeId="1783" r:id="rId1618" name="Button 759">
              <controlPr defaultSize="0" autoFill="0" autoLine="0" autoPict="0" macro="[0]!Sheet1.deleteRow">
                <anchor moveWithCells="1" sizeWithCells="1">
                  <from>
                    <xdr:col>6</xdr:col>
                    <xdr:colOff>0</xdr:colOff>
                    <xdr:row>2659</xdr:row>
                    <xdr:rowOff>0</xdr:rowOff>
                  </from>
                  <to>
                    <xdr:col>7</xdr:col>
                    <xdr:colOff>0</xdr:colOff>
                    <xdr:row>2659</xdr:row>
                    <xdr:rowOff>165100</xdr:rowOff>
                  </to>
                </anchor>
              </controlPr>
            </control>
          </mc:Choice>
        </mc:AlternateContent>
        <mc:AlternateContent xmlns:mc="http://schemas.openxmlformats.org/markup-compatibility/2006">
          <mc:Choice Requires="x14">
            <control shapeId="1782" r:id="rId1619" name="Button 758">
              <controlPr defaultSize="0" autoFill="0" autoLine="0" autoPict="0" macro="[0]!Sheet1.deleteRow">
                <anchor moveWithCells="1" sizeWithCells="1">
                  <from>
                    <xdr:col>6</xdr:col>
                    <xdr:colOff>0</xdr:colOff>
                    <xdr:row>2660</xdr:row>
                    <xdr:rowOff>0</xdr:rowOff>
                  </from>
                  <to>
                    <xdr:col>7</xdr:col>
                    <xdr:colOff>0</xdr:colOff>
                    <xdr:row>2660</xdr:row>
                    <xdr:rowOff>165100</xdr:rowOff>
                  </to>
                </anchor>
              </controlPr>
            </control>
          </mc:Choice>
        </mc:AlternateContent>
        <mc:AlternateContent xmlns:mc="http://schemas.openxmlformats.org/markup-compatibility/2006">
          <mc:Choice Requires="x14">
            <control shapeId="1781" r:id="rId1620" name="Button 757">
              <controlPr defaultSize="0" autoFill="0" autoLine="0" autoPict="0" macro="[0]!Sheet1.deleteRow">
                <anchor moveWithCells="1" sizeWithCells="1">
                  <from>
                    <xdr:col>6</xdr:col>
                    <xdr:colOff>0</xdr:colOff>
                    <xdr:row>2661</xdr:row>
                    <xdr:rowOff>0</xdr:rowOff>
                  </from>
                  <to>
                    <xdr:col>7</xdr:col>
                    <xdr:colOff>0</xdr:colOff>
                    <xdr:row>2661</xdr:row>
                    <xdr:rowOff>165100</xdr:rowOff>
                  </to>
                </anchor>
              </controlPr>
            </control>
          </mc:Choice>
        </mc:AlternateContent>
        <mc:AlternateContent xmlns:mc="http://schemas.openxmlformats.org/markup-compatibility/2006">
          <mc:Choice Requires="x14">
            <control shapeId="1780" r:id="rId1621" name="Button 756">
              <controlPr defaultSize="0" autoFill="0" autoLine="0" autoPict="0" macro="[0]!Sheet1.deleteRow">
                <anchor moveWithCells="1" sizeWithCells="1">
                  <from>
                    <xdr:col>6</xdr:col>
                    <xdr:colOff>0</xdr:colOff>
                    <xdr:row>2662</xdr:row>
                    <xdr:rowOff>0</xdr:rowOff>
                  </from>
                  <to>
                    <xdr:col>7</xdr:col>
                    <xdr:colOff>0</xdr:colOff>
                    <xdr:row>2662</xdr:row>
                    <xdr:rowOff>165100</xdr:rowOff>
                  </to>
                </anchor>
              </controlPr>
            </control>
          </mc:Choice>
        </mc:AlternateContent>
        <mc:AlternateContent xmlns:mc="http://schemas.openxmlformats.org/markup-compatibility/2006">
          <mc:Choice Requires="x14">
            <control shapeId="1779" r:id="rId1622" name="Button 755">
              <controlPr defaultSize="0" autoFill="0" autoLine="0" autoPict="0" macro="[0]!Sheet1.deleteRow">
                <anchor moveWithCells="1" sizeWithCells="1">
                  <from>
                    <xdr:col>6</xdr:col>
                    <xdr:colOff>0</xdr:colOff>
                    <xdr:row>2663</xdr:row>
                    <xdr:rowOff>0</xdr:rowOff>
                  </from>
                  <to>
                    <xdr:col>7</xdr:col>
                    <xdr:colOff>0</xdr:colOff>
                    <xdr:row>2663</xdr:row>
                    <xdr:rowOff>165100</xdr:rowOff>
                  </to>
                </anchor>
              </controlPr>
            </control>
          </mc:Choice>
        </mc:AlternateContent>
        <mc:AlternateContent xmlns:mc="http://schemas.openxmlformats.org/markup-compatibility/2006">
          <mc:Choice Requires="x14">
            <control shapeId="1778" r:id="rId1623" name="Button 754">
              <controlPr defaultSize="0" autoFill="0" autoLine="0" autoPict="0" macro="[0]!Sheet1.deleteRow">
                <anchor moveWithCells="1" sizeWithCells="1">
                  <from>
                    <xdr:col>6</xdr:col>
                    <xdr:colOff>0</xdr:colOff>
                    <xdr:row>2664</xdr:row>
                    <xdr:rowOff>0</xdr:rowOff>
                  </from>
                  <to>
                    <xdr:col>7</xdr:col>
                    <xdr:colOff>0</xdr:colOff>
                    <xdr:row>2664</xdr:row>
                    <xdr:rowOff>165100</xdr:rowOff>
                  </to>
                </anchor>
              </controlPr>
            </control>
          </mc:Choice>
        </mc:AlternateContent>
        <mc:AlternateContent xmlns:mc="http://schemas.openxmlformats.org/markup-compatibility/2006">
          <mc:Choice Requires="x14">
            <control shapeId="1777" r:id="rId1624" name="Button 753">
              <controlPr defaultSize="0" autoFill="0" autoLine="0" autoPict="0" macro="[0]!Sheet1.deleteProcedure">
                <anchor moveWithCells="1" sizeWithCells="1">
                  <from>
                    <xdr:col>6</xdr:col>
                    <xdr:colOff>0</xdr:colOff>
                    <xdr:row>2667</xdr:row>
                    <xdr:rowOff>0</xdr:rowOff>
                  </from>
                  <to>
                    <xdr:col>7</xdr:col>
                    <xdr:colOff>0</xdr:colOff>
                    <xdr:row>2668</xdr:row>
                    <xdr:rowOff>0</xdr:rowOff>
                  </to>
                </anchor>
              </controlPr>
            </control>
          </mc:Choice>
        </mc:AlternateContent>
        <mc:AlternateContent xmlns:mc="http://schemas.openxmlformats.org/markup-compatibility/2006">
          <mc:Choice Requires="x14">
            <control shapeId="1776" r:id="rId1625" name="Button 752">
              <controlPr defaultSize="0" autoFill="0" autoLine="0" autoPict="0" macro="[0]!Sheet1.InsertNewTableRow">
                <anchor moveWithCells="1" sizeWithCells="1">
                  <from>
                    <xdr:col>6</xdr:col>
                    <xdr:colOff>0</xdr:colOff>
                    <xdr:row>2674</xdr:row>
                    <xdr:rowOff>0</xdr:rowOff>
                  </from>
                  <to>
                    <xdr:col>7</xdr:col>
                    <xdr:colOff>0</xdr:colOff>
                    <xdr:row>2674</xdr:row>
                    <xdr:rowOff>171450</xdr:rowOff>
                  </to>
                </anchor>
              </controlPr>
            </control>
          </mc:Choice>
        </mc:AlternateContent>
        <mc:AlternateContent xmlns:mc="http://schemas.openxmlformats.org/markup-compatibility/2006">
          <mc:Choice Requires="x14">
            <control shapeId="1775" r:id="rId1626" name="Button 751">
              <controlPr defaultSize="0" autoFill="0" autoLine="0" autoPict="0" macro="[0]!Sheet1.deleteRow">
                <anchor moveWithCells="1" sizeWithCells="1">
                  <from>
                    <xdr:col>6</xdr:col>
                    <xdr:colOff>0</xdr:colOff>
                    <xdr:row>2675</xdr:row>
                    <xdr:rowOff>0</xdr:rowOff>
                  </from>
                  <to>
                    <xdr:col>7</xdr:col>
                    <xdr:colOff>0</xdr:colOff>
                    <xdr:row>2675</xdr:row>
                    <xdr:rowOff>165100</xdr:rowOff>
                  </to>
                </anchor>
              </controlPr>
            </control>
          </mc:Choice>
        </mc:AlternateContent>
        <mc:AlternateContent xmlns:mc="http://schemas.openxmlformats.org/markup-compatibility/2006">
          <mc:Choice Requires="x14">
            <control shapeId="1774" r:id="rId1627" name="Button 750">
              <controlPr defaultSize="0" autoFill="0" autoLine="0" autoPict="0" macro="[0]!Sheet1.deleteRow">
                <anchor moveWithCells="1" sizeWithCells="1">
                  <from>
                    <xdr:col>6</xdr:col>
                    <xdr:colOff>0</xdr:colOff>
                    <xdr:row>2676</xdr:row>
                    <xdr:rowOff>0</xdr:rowOff>
                  </from>
                  <to>
                    <xdr:col>7</xdr:col>
                    <xdr:colOff>0</xdr:colOff>
                    <xdr:row>2676</xdr:row>
                    <xdr:rowOff>165100</xdr:rowOff>
                  </to>
                </anchor>
              </controlPr>
            </control>
          </mc:Choice>
        </mc:AlternateContent>
        <mc:AlternateContent xmlns:mc="http://schemas.openxmlformats.org/markup-compatibility/2006">
          <mc:Choice Requires="x14">
            <control shapeId="1773" r:id="rId1628" name="Button 749">
              <controlPr defaultSize="0" autoFill="0" autoLine="0" autoPict="0" macro="[0]!Sheet1.deleteRow">
                <anchor moveWithCells="1" sizeWithCells="1">
                  <from>
                    <xdr:col>6</xdr:col>
                    <xdr:colOff>0</xdr:colOff>
                    <xdr:row>2677</xdr:row>
                    <xdr:rowOff>0</xdr:rowOff>
                  </from>
                  <to>
                    <xdr:col>7</xdr:col>
                    <xdr:colOff>0</xdr:colOff>
                    <xdr:row>2677</xdr:row>
                    <xdr:rowOff>165100</xdr:rowOff>
                  </to>
                </anchor>
              </controlPr>
            </control>
          </mc:Choice>
        </mc:AlternateContent>
        <mc:AlternateContent xmlns:mc="http://schemas.openxmlformats.org/markup-compatibility/2006">
          <mc:Choice Requires="x14">
            <control shapeId="1772" r:id="rId1629" name="Button 748">
              <controlPr defaultSize="0" autoFill="0" autoLine="0" autoPict="0" macro="[0]!Sheet1.deleteRow">
                <anchor moveWithCells="1" sizeWithCells="1">
                  <from>
                    <xdr:col>6</xdr:col>
                    <xdr:colOff>0</xdr:colOff>
                    <xdr:row>2678</xdr:row>
                    <xdr:rowOff>0</xdr:rowOff>
                  </from>
                  <to>
                    <xdr:col>7</xdr:col>
                    <xdr:colOff>0</xdr:colOff>
                    <xdr:row>2678</xdr:row>
                    <xdr:rowOff>165100</xdr:rowOff>
                  </to>
                </anchor>
              </controlPr>
            </control>
          </mc:Choice>
        </mc:AlternateContent>
        <mc:AlternateContent xmlns:mc="http://schemas.openxmlformats.org/markup-compatibility/2006">
          <mc:Choice Requires="x14">
            <control shapeId="1771" r:id="rId1630" name="Button 747">
              <controlPr defaultSize="0" autoFill="0" autoLine="0" autoPict="0" macro="[0]!Sheet1.deleteRow">
                <anchor moveWithCells="1" sizeWithCells="1">
                  <from>
                    <xdr:col>6</xdr:col>
                    <xdr:colOff>0</xdr:colOff>
                    <xdr:row>2679</xdr:row>
                    <xdr:rowOff>0</xdr:rowOff>
                  </from>
                  <to>
                    <xdr:col>7</xdr:col>
                    <xdr:colOff>0</xdr:colOff>
                    <xdr:row>2679</xdr:row>
                    <xdr:rowOff>165100</xdr:rowOff>
                  </to>
                </anchor>
              </controlPr>
            </control>
          </mc:Choice>
        </mc:AlternateContent>
        <mc:AlternateContent xmlns:mc="http://schemas.openxmlformats.org/markup-compatibility/2006">
          <mc:Choice Requires="x14">
            <control shapeId="1770" r:id="rId1631" name="Button 746">
              <controlPr defaultSize="0" autoFill="0" autoLine="0" autoPict="0" macro="[0]!Sheet1.deleteRow">
                <anchor moveWithCells="1" sizeWithCells="1">
                  <from>
                    <xdr:col>6</xdr:col>
                    <xdr:colOff>0</xdr:colOff>
                    <xdr:row>2680</xdr:row>
                    <xdr:rowOff>0</xdr:rowOff>
                  </from>
                  <to>
                    <xdr:col>7</xdr:col>
                    <xdr:colOff>0</xdr:colOff>
                    <xdr:row>2680</xdr:row>
                    <xdr:rowOff>165100</xdr:rowOff>
                  </to>
                </anchor>
              </controlPr>
            </control>
          </mc:Choice>
        </mc:AlternateContent>
        <mc:AlternateContent xmlns:mc="http://schemas.openxmlformats.org/markup-compatibility/2006">
          <mc:Choice Requires="x14">
            <control shapeId="1769" r:id="rId1632" name="Button 745">
              <controlPr defaultSize="0" autoFill="0" autoLine="0" autoPict="0" macro="[0]!Sheet1.deleteRow">
                <anchor moveWithCells="1" sizeWithCells="1">
                  <from>
                    <xdr:col>6</xdr:col>
                    <xdr:colOff>0</xdr:colOff>
                    <xdr:row>2681</xdr:row>
                    <xdr:rowOff>0</xdr:rowOff>
                  </from>
                  <to>
                    <xdr:col>7</xdr:col>
                    <xdr:colOff>0</xdr:colOff>
                    <xdr:row>2681</xdr:row>
                    <xdr:rowOff>165100</xdr:rowOff>
                  </to>
                </anchor>
              </controlPr>
            </control>
          </mc:Choice>
        </mc:AlternateContent>
        <mc:AlternateContent xmlns:mc="http://schemas.openxmlformats.org/markup-compatibility/2006">
          <mc:Choice Requires="x14">
            <control shapeId="1768" r:id="rId1633" name="Button 744">
              <controlPr defaultSize="0" autoFill="0" autoLine="0" autoPict="0" macro="[0]!Sheet1.deleteRow">
                <anchor moveWithCells="1" sizeWithCells="1">
                  <from>
                    <xdr:col>6</xdr:col>
                    <xdr:colOff>0</xdr:colOff>
                    <xdr:row>2682</xdr:row>
                    <xdr:rowOff>0</xdr:rowOff>
                  </from>
                  <to>
                    <xdr:col>7</xdr:col>
                    <xdr:colOff>0</xdr:colOff>
                    <xdr:row>2682</xdr:row>
                    <xdr:rowOff>165100</xdr:rowOff>
                  </to>
                </anchor>
              </controlPr>
            </control>
          </mc:Choice>
        </mc:AlternateContent>
        <mc:AlternateContent xmlns:mc="http://schemas.openxmlformats.org/markup-compatibility/2006">
          <mc:Choice Requires="x14">
            <control shapeId="1767" r:id="rId1634" name="Button 743">
              <controlPr defaultSize="0" autoFill="0" autoLine="0" autoPict="0" macro="[0]!Sheet1.deleteRow">
                <anchor moveWithCells="1" sizeWithCells="1">
                  <from>
                    <xdr:col>6</xdr:col>
                    <xdr:colOff>0</xdr:colOff>
                    <xdr:row>2683</xdr:row>
                    <xdr:rowOff>0</xdr:rowOff>
                  </from>
                  <to>
                    <xdr:col>7</xdr:col>
                    <xdr:colOff>0</xdr:colOff>
                    <xdr:row>2683</xdr:row>
                    <xdr:rowOff>165100</xdr:rowOff>
                  </to>
                </anchor>
              </controlPr>
            </control>
          </mc:Choice>
        </mc:AlternateContent>
        <mc:AlternateContent xmlns:mc="http://schemas.openxmlformats.org/markup-compatibility/2006">
          <mc:Choice Requires="x14">
            <control shapeId="1766" r:id="rId1635" name="Button 742">
              <controlPr defaultSize="0" autoFill="0" autoLine="0" autoPict="0" macro="[0]!Sheet1.deleteRow">
                <anchor moveWithCells="1" sizeWithCells="1">
                  <from>
                    <xdr:col>6</xdr:col>
                    <xdr:colOff>0</xdr:colOff>
                    <xdr:row>2684</xdr:row>
                    <xdr:rowOff>0</xdr:rowOff>
                  </from>
                  <to>
                    <xdr:col>7</xdr:col>
                    <xdr:colOff>0</xdr:colOff>
                    <xdr:row>2684</xdr:row>
                    <xdr:rowOff>165100</xdr:rowOff>
                  </to>
                </anchor>
              </controlPr>
            </control>
          </mc:Choice>
        </mc:AlternateContent>
        <mc:AlternateContent xmlns:mc="http://schemas.openxmlformats.org/markup-compatibility/2006">
          <mc:Choice Requires="x14">
            <control shapeId="1765" r:id="rId1636" name="Button 741">
              <controlPr defaultSize="0" autoFill="0" autoLine="0" autoPict="0" macro="[0]!Sheet1.deleteRow">
                <anchor moveWithCells="1" sizeWithCells="1">
                  <from>
                    <xdr:col>6</xdr:col>
                    <xdr:colOff>0</xdr:colOff>
                    <xdr:row>2685</xdr:row>
                    <xdr:rowOff>0</xdr:rowOff>
                  </from>
                  <to>
                    <xdr:col>7</xdr:col>
                    <xdr:colOff>0</xdr:colOff>
                    <xdr:row>2685</xdr:row>
                    <xdr:rowOff>165100</xdr:rowOff>
                  </to>
                </anchor>
              </controlPr>
            </control>
          </mc:Choice>
        </mc:AlternateContent>
        <mc:AlternateContent xmlns:mc="http://schemas.openxmlformats.org/markup-compatibility/2006">
          <mc:Choice Requires="x14">
            <control shapeId="1764" r:id="rId1637" name="Button 740">
              <controlPr defaultSize="0" autoFill="0" autoLine="0" autoPict="0" macro="[0]!Sheet1.deleteRow">
                <anchor moveWithCells="1" sizeWithCells="1">
                  <from>
                    <xdr:col>6</xdr:col>
                    <xdr:colOff>0</xdr:colOff>
                    <xdr:row>2686</xdr:row>
                    <xdr:rowOff>0</xdr:rowOff>
                  </from>
                  <to>
                    <xdr:col>7</xdr:col>
                    <xdr:colOff>0</xdr:colOff>
                    <xdr:row>2686</xdr:row>
                    <xdr:rowOff>165100</xdr:rowOff>
                  </to>
                </anchor>
              </controlPr>
            </control>
          </mc:Choice>
        </mc:AlternateContent>
        <mc:AlternateContent xmlns:mc="http://schemas.openxmlformats.org/markup-compatibility/2006">
          <mc:Choice Requires="x14">
            <control shapeId="1763" r:id="rId1638" name="Button 739">
              <controlPr defaultSize="0" autoFill="0" autoLine="0" autoPict="0" macro="[0]!Sheet1.deleteRow">
                <anchor moveWithCells="1" sizeWithCells="1">
                  <from>
                    <xdr:col>6</xdr:col>
                    <xdr:colOff>0</xdr:colOff>
                    <xdr:row>2687</xdr:row>
                    <xdr:rowOff>0</xdr:rowOff>
                  </from>
                  <to>
                    <xdr:col>7</xdr:col>
                    <xdr:colOff>0</xdr:colOff>
                    <xdr:row>2687</xdr:row>
                    <xdr:rowOff>165100</xdr:rowOff>
                  </to>
                </anchor>
              </controlPr>
            </control>
          </mc:Choice>
        </mc:AlternateContent>
        <mc:AlternateContent xmlns:mc="http://schemas.openxmlformats.org/markup-compatibility/2006">
          <mc:Choice Requires="x14">
            <control shapeId="1762" r:id="rId1639" name="Button 738">
              <controlPr defaultSize="0" autoFill="0" autoLine="0" autoPict="0" macro="[0]!Sheet1.deleteRow">
                <anchor moveWithCells="1" sizeWithCells="1">
                  <from>
                    <xdr:col>6</xdr:col>
                    <xdr:colOff>0</xdr:colOff>
                    <xdr:row>2688</xdr:row>
                    <xdr:rowOff>0</xdr:rowOff>
                  </from>
                  <to>
                    <xdr:col>7</xdr:col>
                    <xdr:colOff>0</xdr:colOff>
                    <xdr:row>2688</xdr:row>
                    <xdr:rowOff>165100</xdr:rowOff>
                  </to>
                </anchor>
              </controlPr>
            </control>
          </mc:Choice>
        </mc:AlternateContent>
        <mc:AlternateContent xmlns:mc="http://schemas.openxmlformats.org/markup-compatibility/2006">
          <mc:Choice Requires="x14">
            <control shapeId="1761" r:id="rId1640" name="Button 737">
              <controlPr defaultSize="0" autoFill="0" autoLine="0" autoPict="0" macro="[0]!Sheet1.deleteRow">
                <anchor moveWithCells="1" sizeWithCells="1">
                  <from>
                    <xdr:col>6</xdr:col>
                    <xdr:colOff>0</xdr:colOff>
                    <xdr:row>2689</xdr:row>
                    <xdr:rowOff>0</xdr:rowOff>
                  </from>
                  <to>
                    <xdr:col>7</xdr:col>
                    <xdr:colOff>0</xdr:colOff>
                    <xdr:row>2689</xdr:row>
                    <xdr:rowOff>165100</xdr:rowOff>
                  </to>
                </anchor>
              </controlPr>
            </control>
          </mc:Choice>
        </mc:AlternateContent>
        <mc:AlternateContent xmlns:mc="http://schemas.openxmlformats.org/markup-compatibility/2006">
          <mc:Choice Requires="x14">
            <control shapeId="1760" r:id="rId1641" name="Button 736">
              <controlPr defaultSize="0" autoFill="0" autoLine="0" autoPict="0" macro="[0]!Sheet1.deleteRow">
                <anchor moveWithCells="1" sizeWithCells="1">
                  <from>
                    <xdr:col>6</xdr:col>
                    <xdr:colOff>0</xdr:colOff>
                    <xdr:row>2690</xdr:row>
                    <xdr:rowOff>0</xdr:rowOff>
                  </from>
                  <to>
                    <xdr:col>7</xdr:col>
                    <xdr:colOff>0</xdr:colOff>
                    <xdr:row>2690</xdr:row>
                    <xdr:rowOff>165100</xdr:rowOff>
                  </to>
                </anchor>
              </controlPr>
            </control>
          </mc:Choice>
        </mc:AlternateContent>
        <mc:AlternateContent xmlns:mc="http://schemas.openxmlformats.org/markup-compatibility/2006">
          <mc:Choice Requires="x14">
            <control shapeId="1759" r:id="rId1642" name="Button 735">
              <controlPr defaultSize="0" autoFill="0" autoLine="0" autoPict="0" macro="[0]!Sheet1.deleteRow">
                <anchor moveWithCells="1" sizeWithCells="1">
                  <from>
                    <xdr:col>6</xdr:col>
                    <xdr:colOff>0</xdr:colOff>
                    <xdr:row>2691</xdr:row>
                    <xdr:rowOff>0</xdr:rowOff>
                  </from>
                  <to>
                    <xdr:col>7</xdr:col>
                    <xdr:colOff>0</xdr:colOff>
                    <xdr:row>2691</xdr:row>
                    <xdr:rowOff>165100</xdr:rowOff>
                  </to>
                </anchor>
              </controlPr>
            </control>
          </mc:Choice>
        </mc:AlternateContent>
        <mc:AlternateContent xmlns:mc="http://schemas.openxmlformats.org/markup-compatibility/2006">
          <mc:Choice Requires="x14">
            <control shapeId="1758" r:id="rId1643" name="Button 734">
              <controlPr defaultSize="0" autoFill="0" autoLine="0" autoPict="0" macro="[0]!Sheet1.deleteRow">
                <anchor moveWithCells="1" sizeWithCells="1">
                  <from>
                    <xdr:col>6</xdr:col>
                    <xdr:colOff>0</xdr:colOff>
                    <xdr:row>2692</xdr:row>
                    <xdr:rowOff>0</xdr:rowOff>
                  </from>
                  <to>
                    <xdr:col>7</xdr:col>
                    <xdr:colOff>0</xdr:colOff>
                    <xdr:row>2692</xdr:row>
                    <xdr:rowOff>165100</xdr:rowOff>
                  </to>
                </anchor>
              </controlPr>
            </control>
          </mc:Choice>
        </mc:AlternateContent>
        <mc:AlternateContent xmlns:mc="http://schemas.openxmlformats.org/markup-compatibility/2006">
          <mc:Choice Requires="x14">
            <control shapeId="1757" r:id="rId1644" name="Button 733">
              <controlPr defaultSize="0" autoFill="0" autoLine="0" autoPict="0" macro="[0]!Sheet1.deleteRow">
                <anchor moveWithCells="1" sizeWithCells="1">
                  <from>
                    <xdr:col>6</xdr:col>
                    <xdr:colOff>0</xdr:colOff>
                    <xdr:row>2693</xdr:row>
                    <xdr:rowOff>0</xdr:rowOff>
                  </from>
                  <to>
                    <xdr:col>7</xdr:col>
                    <xdr:colOff>0</xdr:colOff>
                    <xdr:row>2693</xdr:row>
                    <xdr:rowOff>165100</xdr:rowOff>
                  </to>
                </anchor>
              </controlPr>
            </control>
          </mc:Choice>
        </mc:AlternateContent>
        <mc:AlternateContent xmlns:mc="http://schemas.openxmlformats.org/markup-compatibility/2006">
          <mc:Choice Requires="x14">
            <control shapeId="1756" r:id="rId1645" name="Button 732">
              <controlPr defaultSize="0" autoFill="0" autoLine="0" autoPict="0" macro="[0]!Sheet1.deleteRow">
                <anchor moveWithCells="1" sizeWithCells="1">
                  <from>
                    <xdr:col>6</xdr:col>
                    <xdr:colOff>0</xdr:colOff>
                    <xdr:row>2694</xdr:row>
                    <xdr:rowOff>0</xdr:rowOff>
                  </from>
                  <to>
                    <xdr:col>7</xdr:col>
                    <xdr:colOff>0</xdr:colOff>
                    <xdr:row>2694</xdr:row>
                    <xdr:rowOff>165100</xdr:rowOff>
                  </to>
                </anchor>
              </controlPr>
            </control>
          </mc:Choice>
        </mc:AlternateContent>
        <mc:AlternateContent xmlns:mc="http://schemas.openxmlformats.org/markup-compatibility/2006">
          <mc:Choice Requires="x14">
            <control shapeId="1755" r:id="rId1646" name="Button 731">
              <controlPr defaultSize="0" autoFill="0" autoLine="0" autoPict="0" macro="[0]!Sheet1.deleteRow">
                <anchor moveWithCells="1" sizeWithCells="1">
                  <from>
                    <xdr:col>6</xdr:col>
                    <xdr:colOff>0</xdr:colOff>
                    <xdr:row>2695</xdr:row>
                    <xdr:rowOff>0</xdr:rowOff>
                  </from>
                  <to>
                    <xdr:col>7</xdr:col>
                    <xdr:colOff>0</xdr:colOff>
                    <xdr:row>2695</xdr:row>
                    <xdr:rowOff>165100</xdr:rowOff>
                  </to>
                </anchor>
              </controlPr>
            </control>
          </mc:Choice>
        </mc:AlternateContent>
        <mc:AlternateContent xmlns:mc="http://schemas.openxmlformats.org/markup-compatibility/2006">
          <mc:Choice Requires="x14">
            <control shapeId="1754" r:id="rId1647" name="Button 730">
              <controlPr defaultSize="0" autoFill="0" autoLine="0" autoPict="0" macro="[0]!Sheet1.deleteRow">
                <anchor moveWithCells="1" sizeWithCells="1">
                  <from>
                    <xdr:col>6</xdr:col>
                    <xdr:colOff>0</xdr:colOff>
                    <xdr:row>2696</xdr:row>
                    <xdr:rowOff>0</xdr:rowOff>
                  </from>
                  <to>
                    <xdr:col>7</xdr:col>
                    <xdr:colOff>0</xdr:colOff>
                    <xdr:row>2696</xdr:row>
                    <xdr:rowOff>165100</xdr:rowOff>
                  </to>
                </anchor>
              </controlPr>
            </control>
          </mc:Choice>
        </mc:AlternateContent>
        <mc:AlternateContent xmlns:mc="http://schemas.openxmlformats.org/markup-compatibility/2006">
          <mc:Choice Requires="x14">
            <control shapeId="1753" r:id="rId1648" name="Button 729">
              <controlPr defaultSize="0" autoFill="0" autoLine="0" autoPict="0" macro="[0]!Sheet1.deleteRow">
                <anchor moveWithCells="1" sizeWithCells="1">
                  <from>
                    <xdr:col>6</xdr:col>
                    <xdr:colOff>0</xdr:colOff>
                    <xdr:row>2697</xdr:row>
                    <xdr:rowOff>0</xdr:rowOff>
                  </from>
                  <to>
                    <xdr:col>7</xdr:col>
                    <xdr:colOff>0</xdr:colOff>
                    <xdr:row>2697</xdr:row>
                    <xdr:rowOff>165100</xdr:rowOff>
                  </to>
                </anchor>
              </controlPr>
            </control>
          </mc:Choice>
        </mc:AlternateContent>
        <mc:AlternateContent xmlns:mc="http://schemas.openxmlformats.org/markup-compatibility/2006">
          <mc:Choice Requires="x14">
            <control shapeId="1752" r:id="rId1649" name="Button 728">
              <controlPr defaultSize="0" autoFill="0" autoLine="0" autoPict="0" macro="[0]!Sheet1.deleteRow">
                <anchor moveWithCells="1" sizeWithCells="1">
                  <from>
                    <xdr:col>6</xdr:col>
                    <xdr:colOff>0</xdr:colOff>
                    <xdr:row>2698</xdr:row>
                    <xdr:rowOff>0</xdr:rowOff>
                  </from>
                  <to>
                    <xdr:col>7</xdr:col>
                    <xdr:colOff>0</xdr:colOff>
                    <xdr:row>2698</xdr:row>
                    <xdr:rowOff>165100</xdr:rowOff>
                  </to>
                </anchor>
              </controlPr>
            </control>
          </mc:Choice>
        </mc:AlternateContent>
        <mc:AlternateContent xmlns:mc="http://schemas.openxmlformats.org/markup-compatibility/2006">
          <mc:Choice Requires="x14">
            <control shapeId="1751" r:id="rId1650" name="Button 727">
              <controlPr defaultSize="0" autoFill="0" autoLine="0" autoPict="0" macro="[0]!Sheet1.deleteRow">
                <anchor moveWithCells="1" sizeWithCells="1">
                  <from>
                    <xdr:col>6</xdr:col>
                    <xdr:colOff>0</xdr:colOff>
                    <xdr:row>2699</xdr:row>
                    <xdr:rowOff>0</xdr:rowOff>
                  </from>
                  <to>
                    <xdr:col>7</xdr:col>
                    <xdr:colOff>0</xdr:colOff>
                    <xdr:row>2699</xdr:row>
                    <xdr:rowOff>165100</xdr:rowOff>
                  </to>
                </anchor>
              </controlPr>
            </control>
          </mc:Choice>
        </mc:AlternateContent>
        <mc:AlternateContent xmlns:mc="http://schemas.openxmlformats.org/markup-compatibility/2006">
          <mc:Choice Requires="x14">
            <control shapeId="1750" r:id="rId1651" name="Button 726">
              <controlPr defaultSize="0" autoFill="0" autoLine="0" autoPict="0" macro="[0]!Sheet1.deleteRow">
                <anchor moveWithCells="1" sizeWithCells="1">
                  <from>
                    <xdr:col>6</xdr:col>
                    <xdr:colOff>0</xdr:colOff>
                    <xdr:row>2700</xdr:row>
                    <xdr:rowOff>0</xdr:rowOff>
                  </from>
                  <to>
                    <xdr:col>7</xdr:col>
                    <xdr:colOff>0</xdr:colOff>
                    <xdr:row>2700</xdr:row>
                    <xdr:rowOff>165100</xdr:rowOff>
                  </to>
                </anchor>
              </controlPr>
            </control>
          </mc:Choice>
        </mc:AlternateContent>
        <mc:AlternateContent xmlns:mc="http://schemas.openxmlformats.org/markup-compatibility/2006">
          <mc:Choice Requires="x14">
            <control shapeId="1749" r:id="rId1652" name="Button 725">
              <controlPr defaultSize="0" autoFill="0" autoLine="0" autoPict="0" macro="[0]!Sheet1.deleteRow">
                <anchor moveWithCells="1" sizeWithCells="1">
                  <from>
                    <xdr:col>6</xdr:col>
                    <xdr:colOff>0</xdr:colOff>
                    <xdr:row>2701</xdr:row>
                    <xdr:rowOff>0</xdr:rowOff>
                  </from>
                  <to>
                    <xdr:col>7</xdr:col>
                    <xdr:colOff>0</xdr:colOff>
                    <xdr:row>2701</xdr:row>
                    <xdr:rowOff>165100</xdr:rowOff>
                  </to>
                </anchor>
              </controlPr>
            </control>
          </mc:Choice>
        </mc:AlternateContent>
        <mc:AlternateContent xmlns:mc="http://schemas.openxmlformats.org/markup-compatibility/2006">
          <mc:Choice Requires="x14">
            <control shapeId="1748" r:id="rId1653" name="Button 724">
              <controlPr defaultSize="0" autoFill="0" autoLine="0" autoPict="0" macro="[0]!Sheet1.deleteRow">
                <anchor moveWithCells="1" sizeWithCells="1">
                  <from>
                    <xdr:col>6</xdr:col>
                    <xdr:colOff>0</xdr:colOff>
                    <xdr:row>2702</xdr:row>
                    <xdr:rowOff>0</xdr:rowOff>
                  </from>
                  <to>
                    <xdr:col>7</xdr:col>
                    <xdr:colOff>0</xdr:colOff>
                    <xdr:row>2702</xdr:row>
                    <xdr:rowOff>165100</xdr:rowOff>
                  </to>
                </anchor>
              </controlPr>
            </control>
          </mc:Choice>
        </mc:AlternateContent>
        <mc:AlternateContent xmlns:mc="http://schemas.openxmlformats.org/markup-compatibility/2006">
          <mc:Choice Requires="x14">
            <control shapeId="1747" r:id="rId1654" name="Button 723">
              <controlPr defaultSize="0" autoFill="0" autoLine="0" autoPict="0" macro="[0]!Sheet1.deleteRow">
                <anchor moveWithCells="1" sizeWithCells="1">
                  <from>
                    <xdr:col>6</xdr:col>
                    <xdr:colOff>0</xdr:colOff>
                    <xdr:row>2703</xdr:row>
                    <xdr:rowOff>0</xdr:rowOff>
                  </from>
                  <to>
                    <xdr:col>7</xdr:col>
                    <xdr:colOff>0</xdr:colOff>
                    <xdr:row>2703</xdr:row>
                    <xdr:rowOff>165100</xdr:rowOff>
                  </to>
                </anchor>
              </controlPr>
            </control>
          </mc:Choice>
        </mc:AlternateContent>
        <mc:AlternateContent xmlns:mc="http://schemas.openxmlformats.org/markup-compatibility/2006">
          <mc:Choice Requires="x14">
            <control shapeId="1746" r:id="rId1655" name="Button 722">
              <controlPr defaultSize="0" autoFill="0" autoLine="0" autoPict="0" macro="[0]!Sheet1.deleteRow">
                <anchor moveWithCells="1" sizeWithCells="1">
                  <from>
                    <xdr:col>6</xdr:col>
                    <xdr:colOff>0</xdr:colOff>
                    <xdr:row>2704</xdr:row>
                    <xdr:rowOff>0</xdr:rowOff>
                  </from>
                  <to>
                    <xdr:col>7</xdr:col>
                    <xdr:colOff>0</xdr:colOff>
                    <xdr:row>2704</xdr:row>
                    <xdr:rowOff>165100</xdr:rowOff>
                  </to>
                </anchor>
              </controlPr>
            </control>
          </mc:Choice>
        </mc:AlternateContent>
        <mc:AlternateContent xmlns:mc="http://schemas.openxmlformats.org/markup-compatibility/2006">
          <mc:Choice Requires="x14">
            <control shapeId="1745" r:id="rId1656" name="Button 721">
              <controlPr defaultSize="0" autoFill="0" autoLine="0" autoPict="0" macro="[0]!Sheet1.deleteRow">
                <anchor moveWithCells="1" sizeWithCells="1">
                  <from>
                    <xdr:col>6</xdr:col>
                    <xdr:colOff>0</xdr:colOff>
                    <xdr:row>2705</xdr:row>
                    <xdr:rowOff>0</xdr:rowOff>
                  </from>
                  <to>
                    <xdr:col>7</xdr:col>
                    <xdr:colOff>0</xdr:colOff>
                    <xdr:row>2705</xdr:row>
                    <xdr:rowOff>165100</xdr:rowOff>
                  </to>
                </anchor>
              </controlPr>
            </control>
          </mc:Choice>
        </mc:AlternateContent>
        <mc:AlternateContent xmlns:mc="http://schemas.openxmlformats.org/markup-compatibility/2006">
          <mc:Choice Requires="x14">
            <control shapeId="1744" r:id="rId1657" name="Button 720">
              <controlPr defaultSize="0" autoFill="0" autoLine="0" autoPict="0" macro="[0]!Sheet1.deleteRow">
                <anchor moveWithCells="1" sizeWithCells="1">
                  <from>
                    <xdr:col>6</xdr:col>
                    <xdr:colOff>0</xdr:colOff>
                    <xdr:row>2706</xdr:row>
                    <xdr:rowOff>0</xdr:rowOff>
                  </from>
                  <to>
                    <xdr:col>7</xdr:col>
                    <xdr:colOff>0</xdr:colOff>
                    <xdr:row>2706</xdr:row>
                    <xdr:rowOff>165100</xdr:rowOff>
                  </to>
                </anchor>
              </controlPr>
            </control>
          </mc:Choice>
        </mc:AlternateContent>
        <mc:AlternateContent xmlns:mc="http://schemas.openxmlformats.org/markup-compatibility/2006">
          <mc:Choice Requires="x14">
            <control shapeId="1743" r:id="rId1658" name="Button 719">
              <controlPr defaultSize="0" autoFill="0" autoLine="0" autoPict="0" macro="[0]!Sheet1.deleteRow">
                <anchor moveWithCells="1" sizeWithCells="1">
                  <from>
                    <xdr:col>6</xdr:col>
                    <xdr:colOff>0</xdr:colOff>
                    <xdr:row>2707</xdr:row>
                    <xdr:rowOff>0</xdr:rowOff>
                  </from>
                  <to>
                    <xdr:col>7</xdr:col>
                    <xdr:colOff>0</xdr:colOff>
                    <xdr:row>2707</xdr:row>
                    <xdr:rowOff>165100</xdr:rowOff>
                  </to>
                </anchor>
              </controlPr>
            </control>
          </mc:Choice>
        </mc:AlternateContent>
        <mc:AlternateContent xmlns:mc="http://schemas.openxmlformats.org/markup-compatibility/2006">
          <mc:Choice Requires="x14">
            <control shapeId="1742" r:id="rId1659" name="Button 718">
              <controlPr defaultSize="0" autoFill="0" autoLine="0" autoPict="0" macro="[0]!Sheet1.deleteRow">
                <anchor moveWithCells="1" sizeWithCells="1">
                  <from>
                    <xdr:col>6</xdr:col>
                    <xdr:colOff>0</xdr:colOff>
                    <xdr:row>2708</xdr:row>
                    <xdr:rowOff>0</xdr:rowOff>
                  </from>
                  <to>
                    <xdr:col>7</xdr:col>
                    <xdr:colOff>0</xdr:colOff>
                    <xdr:row>2708</xdr:row>
                    <xdr:rowOff>165100</xdr:rowOff>
                  </to>
                </anchor>
              </controlPr>
            </control>
          </mc:Choice>
        </mc:AlternateContent>
        <mc:AlternateContent xmlns:mc="http://schemas.openxmlformats.org/markup-compatibility/2006">
          <mc:Choice Requires="x14">
            <control shapeId="1741" r:id="rId1660" name="Button 717">
              <controlPr defaultSize="0" autoFill="0" autoLine="0" autoPict="0" macro="[0]!Sheet1.deleteRow">
                <anchor moveWithCells="1" sizeWithCells="1">
                  <from>
                    <xdr:col>6</xdr:col>
                    <xdr:colOff>0</xdr:colOff>
                    <xdr:row>2709</xdr:row>
                    <xdr:rowOff>0</xdr:rowOff>
                  </from>
                  <to>
                    <xdr:col>7</xdr:col>
                    <xdr:colOff>0</xdr:colOff>
                    <xdr:row>2709</xdr:row>
                    <xdr:rowOff>165100</xdr:rowOff>
                  </to>
                </anchor>
              </controlPr>
            </control>
          </mc:Choice>
        </mc:AlternateContent>
        <mc:AlternateContent xmlns:mc="http://schemas.openxmlformats.org/markup-compatibility/2006">
          <mc:Choice Requires="x14">
            <control shapeId="1740" r:id="rId1661" name="Button 716">
              <controlPr defaultSize="0" autoFill="0" autoLine="0" autoPict="0" macro="[0]!Sheet1.deleteRow">
                <anchor moveWithCells="1" sizeWithCells="1">
                  <from>
                    <xdr:col>6</xdr:col>
                    <xdr:colOff>0</xdr:colOff>
                    <xdr:row>2710</xdr:row>
                    <xdr:rowOff>0</xdr:rowOff>
                  </from>
                  <to>
                    <xdr:col>7</xdr:col>
                    <xdr:colOff>0</xdr:colOff>
                    <xdr:row>2710</xdr:row>
                    <xdr:rowOff>165100</xdr:rowOff>
                  </to>
                </anchor>
              </controlPr>
            </control>
          </mc:Choice>
        </mc:AlternateContent>
        <mc:AlternateContent xmlns:mc="http://schemas.openxmlformats.org/markup-compatibility/2006">
          <mc:Choice Requires="x14">
            <control shapeId="1739" r:id="rId1662" name="Button 715">
              <controlPr defaultSize="0" autoFill="0" autoLine="0" autoPict="0" macro="[0]!Sheet1.deleteRow">
                <anchor moveWithCells="1" sizeWithCells="1">
                  <from>
                    <xdr:col>6</xdr:col>
                    <xdr:colOff>0</xdr:colOff>
                    <xdr:row>2711</xdr:row>
                    <xdr:rowOff>0</xdr:rowOff>
                  </from>
                  <to>
                    <xdr:col>7</xdr:col>
                    <xdr:colOff>0</xdr:colOff>
                    <xdr:row>2711</xdr:row>
                    <xdr:rowOff>165100</xdr:rowOff>
                  </to>
                </anchor>
              </controlPr>
            </control>
          </mc:Choice>
        </mc:AlternateContent>
        <mc:AlternateContent xmlns:mc="http://schemas.openxmlformats.org/markup-compatibility/2006">
          <mc:Choice Requires="x14">
            <control shapeId="1738" r:id="rId1663" name="Button 714">
              <controlPr defaultSize="0" autoFill="0" autoLine="0" autoPict="0" macro="[0]!Sheet1.deleteRow">
                <anchor moveWithCells="1" sizeWithCells="1">
                  <from>
                    <xdr:col>6</xdr:col>
                    <xdr:colOff>0</xdr:colOff>
                    <xdr:row>2712</xdr:row>
                    <xdr:rowOff>0</xdr:rowOff>
                  </from>
                  <to>
                    <xdr:col>7</xdr:col>
                    <xdr:colOff>0</xdr:colOff>
                    <xdr:row>2712</xdr:row>
                    <xdr:rowOff>165100</xdr:rowOff>
                  </to>
                </anchor>
              </controlPr>
            </control>
          </mc:Choice>
        </mc:AlternateContent>
        <mc:AlternateContent xmlns:mc="http://schemas.openxmlformats.org/markup-compatibility/2006">
          <mc:Choice Requires="x14">
            <control shapeId="1737" r:id="rId1664" name="Button 713">
              <controlPr defaultSize="0" autoFill="0" autoLine="0" autoPict="0" macro="[0]!Sheet1.deleteRow">
                <anchor moveWithCells="1" sizeWithCells="1">
                  <from>
                    <xdr:col>6</xdr:col>
                    <xdr:colOff>0</xdr:colOff>
                    <xdr:row>2713</xdr:row>
                    <xdr:rowOff>0</xdr:rowOff>
                  </from>
                  <to>
                    <xdr:col>7</xdr:col>
                    <xdr:colOff>0</xdr:colOff>
                    <xdr:row>2713</xdr:row>
                    <xdr:rowOff>165100</xdr:rowOff>
                  </to>
                </anchor>
              </controlPr>
            </control>
          </mc:Choice>
        </mc:AlternateContent>
        <mc:AlternateContent xmlns:mc="http://schemas.openxmlformats.org/markup-compatibility/2006">
          <mc:Choice Requires="x14">
            <control shapeId="1736" r:id="rId1665" name="Button 712">
              <controlPr defaultSize="0" autoFill="0" autoLine="0" autoPict="0" macro="[0]!Sheet1.deleteRow">
                <anchor moveWithCells="1" sizeWithCells="1">
                  <from>
                    <xdr:col>6</xdr:col>
                    <xdr:colOff>0</xdr:colOff>
                    <xdr:row>2714</xdr:row>
                    <xdr:rowOff>0</xdr:rowOff>
                  </from>
                  <to>
                    <xdr:col>7</xdr:col>
                    <xdr:colOff>0</xdr:colOff>
                    <xdr:row>2714</xdr:row>
                    <xdr:rowOff>165100</xdr:rowOff>
                  </to>
                </anchor>
              </controlPr>
            </control>
          </mc:Choice>
        </mc:AlternateContent>
        <mc:AlternateContent xmlns:mc="http://schemas.openxmlformats.org/markup-compatibility/2006">
          <mc:Choice Requires="x14">
            <control shapeId="1735" r:id="rId1666" name="Button 711">
              <controlPr defaultSize="0" autoFill="0" autoLine="0" autoPict="0" macro="[0]!Sheet1.deleteRow">
                <anchor moveWithCells="1" sizeWithCells="1">
                  <from>
                    <xdr:col>6</xdr:col>
                    <xdr:colOff>0</xdr:colOff>
                    <xdr:row>2715</xdr:row>
                    <xdr:rowOff>0</xdr:rowOff>
                  </from>
                  <to>
                    <xdr:col>7</xdr:col>
                    <xdr:colOff>0</xdr:colOff>
                    <xdr:row>2715</xdr:row>
                    <xdr:rowOff>165100</xdr:rowOff>
                  </to>
                </anchor>
              </controlPr>
            </control>
          </mc:Choice>
        </mc:AlternateContent>
        <mc:AlternateContent xmlns:mc="http://schemas.openxmlformats.org/markup-compatibility/2006">
          <mc:Choice Requires="x14">
            <control shapeId="1734" r:id="rId1667" name="Button 710">
              <controlPr defaultSize="0" autoFill="0" autoLine="0" autoPict="0" macro="[0]!Sheet1.deleteRow">
                <anchor moveWithCells="1" sizeWithCells="1">
                  <from>
                    <xdr:col>6</xdr:col>
                    <xdr:colOff>0</xdr:colOff>
                    <xdr:row>2716</xdr:row>
                    <xdr:rowOff>0</xdr:rowOff>
                  </from>
                  <to>
                    <xdr:col>7</xdr:col>
                    <xdr:colOff>0</xdr:colOff>
                    <xdr:row>2716</xdr:row>
                    <xdr:rowOff>165100</xdr:rowOff>
                  </to>
                </anchor>
              </controlPr>
            </control>
          </mc:Choice>
        </mc:AlternateContent>
        <mc:AlternateContent xmlns:mc="http://schemas.openxmlformats.org/markup-compatibility/2006">
          <mc:Choice Requires="x14">
            <control shapeId="1733" r:id="rId1668" name="Button 709">
              <controlPr defaultSize="0" autoFill="0" autoLine="0" autoPict="0" macro="[0]!Sheet1.deleteRow">
                <anchor moveWithCells="1" sizeWithCells="1">
                  <from>
                    <xdr:col>6</xdr:col>
                    <xdr:colOff>0</xdr:colOff>
                    <xdr:row>2717</xdr:row>
                    <xdr:rowOff>0</xdr:rowOff>
                  </from>
                  <to>
                    <xdr:col>7</xdr:col>
                    <xdr:colOff>0</xdr:colOff>
                    <xdr:row>2717</xdr:row>
                    <xdr:rowOff>165100</xdr:rowOff>
                  </to>
                </anchor>
              </controlPr>
            </control>
          </mc:Choice>
        </mc:AlternateContent>
        <mc:AlternateContent xmlns:mc="http://schemas.openxmlformats.org/markup-compatibility/2006">
          <mc:Choice Requires="x14">
            <control shapeId="1732" r:id="rId1669" name="Button 708">
              <controlPr defaultSize="0" autoFill="0" autoLine="0" autoPict="0" macro="[0]!Sheet1.deleteRow">
                <anchor moveWithCells="1" sizeWithCells="1">
                  <from>
                    <xdr:col>6</xdr:col>
                    <xdr:colOff>0</xdr:colOff>
                    <xdr:row>2718</xdr:row>
                    <xdr:rowOff>0</xdr:rowOff>
                  </from>
                  <to>
                    <xdr:col>7</xdr:col>
                    <xdr:colOff>0</xdr:colOff>
                    <xdr:row>2718</xdr:row>
                    <xdr:rowOff>165100</xdr:rowOff>
                  </to>
                </anchor>
              </controlPr>
            </control>
          </mc:Choice>
        </mc:AlternateContent>
        <mc:AlternateContent xmlns:mc="http://schemas.openxmlformats.org/markup-compatibility/2006">
          <mc:Choice Requires="x14">
            <control shapeId="1731" r:id="rId1670" name="Button 707">
              <controlPr defaultSize="0" autoFill="0" autoLine="0" autoPict="0" macro="[0]!Sheet1.deleteProcedure">
                <anchor moveWithCells="1" sizeWithCells="1">
                  <from>
                    <xdr:col>6</xdr:col>
                    <xdr:colOff>0</xdr:colOff>
                    <xdr:row>2721</xdr:row>
                    <xdr:rowOff>0</xdr:rowOff>
                  </from>
                  <to>
                    <xdr:col>7</xdr:col>
                    <xdr:colOff>0</xdr:colOff>
                    <xdr:row>2722</xdr:row>
                    <xdr:rowOff>0</xdr:rowOff>
                  </to>
                </anchor>
              </controlPr>
            </control>
          </mc:Choice>
        </mc:AlternateContent>
        <mc:AlternateContent xmlns:mc="http://schemas.openxmlformats.org/markup-compatibility/2006">
          <mc:Choice Requires="x14">
            <control shapeId="1730" r:id="rId1671" name="Button 706">
              <controlPr defaultSize="0" autoFill="0" autoLine="0" autoPict="0" macro="[0]!Sheet1.InsertNewTableRow">
                <anchor moveWithCells="1" sizeWithCells="1">
                  <from>
                    <xdr:col>6</xdr:col>
                    <xdr:colOff>0</xdr:colOff>
                    <xdr:row>2728</xdr:row>
                    <xdr:rowOff>0</xdr:rowOff>
                  </from>
                  <to>
                    <xdr:col>7</xdr:col>
                    <xdr:colOff>0</xdr:colOff>
                    <xdr:row>2728</xdr:row>
                    <xdr:rowOff>171450</xdr:rowOff>
                  </to>
                </anchor>
              </controlPr>
            </control>
          </mc:Choice>
        </mc:AlternateContent>
        <mc:AlternateContent xmlns:mc="http://schemas.openxmlformats.org/markup-compatibility/2006">
          <mc:Choice Requires="x14">
            <control shapeId="1729" r:id="rId1672" name="Button 705">
              <controlPr defaultSize="0" autoFill="0" autoLine="0" autoPict="0" macro="[0]!Sheet1.deleteRow">
                <anchor moveWithCells="1" sizeWithCells="1">
                  <from>
                    <xdr:col>6</xdr:col>
                    <xdr:colOff>0</xdr:colOff>
                    <xdr:row>2729</xdr:row>
                    <xdr:rowOff>0</xdr:rowOff>
                  </from>
                  <to>
                    <xdr:col>7</xdr:col>
                    <xdr:colOff>0</xdr:colOff>
                    <xdr:row>2729</xdr:row>
                    <xdr:rowOff>165100</xdr:rowOff>
                  </to>
                </anchor>
              </controlPr>
            </control>
          </mc:Choice>
        </mc:AlternateContent>
        <mc:AlternateContent xmlns:mc="http://schemas.openxmlformats.org/markup-compatibility/2006">
          <mc:Choice Requires="x14">
            <control shapeId="1728" r:id="rId1673" name="Button 704">
              <controlPr defaultSize="0" autoFill="0" autoLine="0" autoPict="0" macro="[0]!Sheet1.deleteRow">
                <anchor moveWithCells="1" sizeWithCells="1">
                  <from>
                    <xdr:col>6</xdr:col>
                    <xdr:colOff>0</xdr:colOff>
                    <xdr:row>2730</xdr:row>
                    <xdr:rowOff>0</xdr:rowOff>
                  </from>
                  <to>
                    <xdr:col>7</xdr:col>
                    <xdr:colOff>0</xdr:colOff>
                    <xdr:row>2730</xdr:row>
                    <xdr:rowOff>165100</xdr:rowOff>
                  </to>
                </anchor>
              </controlPr>
            </control>
          </mc:Choice>
        </mc:AlternateContent>
        <mc:AlternateContent xmlns:mc="http://schemas.openxmlformats.org/markup-compatibility/2006">
          <mc:Choice Requires="x14">
            <control shapeId="1727" r:id="rId1674" name="Button 703">
              <controlPr defaultSize="0" autoFill="0" autoLine="0" autoPict="0" macro="[0]!Sheet1.deleteRow">
                <anchor moveWithCells="1" sizeWithCells="1">
                  <from>
                    <xdr:col>6</xdr:col>
                    <xdr:colOff>0</xdr:colOff>
                    <xdr:row>2731</xdr:row>
                    <xdr:rowOff>0</xdr:rowOff>
                  </from>
                  <to>
                    <xdr:col>7</xdr:col>
                    <xdr:colOff>0</xdr:colOff>
                    <xdr:row>2731</xdr:row>
                    <xdr:rowOff>165100</xdr:rowOff>
                  </to>
                </anchor>
              </controlPr>
            </control>
          </mc:Choice>
        </mc:AlternateContent>
        <mc:AlternateContent xmlns:mc="http://schemas.openxmlformats.org/markup-compatibility/2006">
          <mc:Choice Requires="x14">
            <control shapeId="1726" r:id="rId1675" name="Button 702">
              <controlPr defaultSize="0" autoFill="0" autoLine="0" autoPict="0" macro="[0]!Sheet1.deleteRow">
                <anchor moveWithCells="1" sizeWithCells="1">
                  <from>
                    <xdr:col>6</xdr:col>
                    <xdr:colOff>0</xdr:colOff>
                    <xdr:row>2732</xdr:row>
                    <xdr:rowOff>0</xdr:rowOff>
                  </from>
                  <to>
                    <xdr:col>7</xdr:col>
                    <xdr:colOff>0</xdr:colOff>
                    <xdr:row>2732</xdr:row>
                    <xdr:rowOff>165100</xdr:rowOff>
                  </to>
                </anchor>
              </controlPr>
            </control>
          </mc:Choice>
        </mc:AlternateContent>
        <mc:AlternateContent xmlns:mc="http://schemas.openxmlformats.org/markup-compatibility/2006">
          <mc:Choice Requires="x14">
            <control shapeId="1725" r:id="rId1676" name="Button 701">
              <controlPr defaultSize="0" autoFill="0" autoLine="0" autoPict="0" macro="[0]!Sheet1.deleteRow">
                <anchor moveWithCells="1" sizeWithCells="1">
                  <from>
                    <xdr:col>6</xdr:col>
                    <xdr:colOff>0</xdr:colOff>
                    <xdr:row>2733</xdr:row>
                    <xdr:rowOff>0</xdr:rowOff>
                  </from>
                  <to>
                    <xdr:col>7</xdr:col>
                    <xdr:colOff>0</xdr:colOff>
                    <xdr:row>2733</xdr:row>
                    <xdr:rowOff>165100</xdr:rowOff>
                  </to>
                </anchor>
              </controlPr>
            </control>
          </mc:Choice>
        </mc:AlternateContent>
        <mc:AlternateContent xmlns:mc="http://schemas.openxmlformats.org/markup-compatibility/2006">
          <mc:Choice Requires="x14">
            <control shapeId="1724" r:id="rId1677" name="Button 700">
              <controlPr defaultSize="0" autoFill="0" autoLine="0" autoPict="0" macro="[0]!Sheet1.deleteRow">
                <anchor moveWithCells="1" sizeWithCells="1">
                  <from>
                    <xdr:col>6</xdr:col>
                    <xdr:colOff>0</xdr:colOff>
                    <xdr:row>2734</xdr:row>
                    <xdr:rowOff>0</xdr:rowOff>
                  </from>
                  <to>
                    <xdr:col>7</xdr:col>
                    <xdr:colOff>0</xdr:colOff>
                    <xdr:row>2734</xdr:row>
                    <xdr:rowOff>165100</xdr:rowOff>
                  </to>
                </anchor>
              </controlPr>
            </control>
          </mc:Choice>
        </mc:AlternateContent>
        <mc:AlternateContent xmlns:mc="http://schemas.openxmlformats.org/markup-compatibility/2006">
          <mc:Choice Requires="x14">
            <control shapeId="1723" r:id="rId1678" name="Button 699">
              <controlPr defaultSize="0" autoFill="0" autoLine="0" autoPict="0" macro="[0]!Sheet1.deleteRow">
                <anchor moveWithCells="1" sizeWithCells="1">
                  <from>
                    <xdr:col>6</xdr:col>
                    <xdr:colOff>0</xdr:colOff>
                    <xdr:row>2735</xdr:row>
                    <xdr:rowOff>0</xdr:rowOff>
                  </from>
                  <to>
                    <xdr:col>7</xdr:col>
                    <xdr:colOff>0</xdr:colOff>
                    <xdr:row>2735</xdr:row>
                    <xdr:rowOff>165100</xdr:rowOff>
                  </to>
                </anchor>
              </controlPr>
            </control>
          </mc:Choice>
        </mc:AlternateContent>
        <mc:AlternateContent xmlns:mc="http://schemas.openxmlformats.org/markup-compatibility/2006">
          <mc:Choice Requires="x14">
            <control shapeId="1722" r:id="rId1679" name="Button 698">
              <controlPr defaultSize="0" autoFill="0" autoLine="0" autoPict="0" macro="[0]!Sheet1.deleteRow">
                <anchor moveWithCells="1" sizeWithCells="1">
                  <from>
                    <xdr:col>6</xdr:col>
                    <xdr:colOff>0</xdr:colOff>
                    <xdr:row>2736</xdr:row>
                    <xdr:rowOff>0</xdr:rowOff>
                  </from>
                  <to>
                    <xdr:col>7</xdr:col>
                    <xdr:colOff>0</xdr:colOff>
                    <xdr:row>2736</xdr:row>
                    <xdr:rowOff>165100</xdr:rowOff>
                  </to>
                </anchor>
              </controlPr>
            </control>
          </mc:Choice>
        </mc:AlternateContent>
        <mc:AlternateContent xmlns:mc="http://schemas.openxmlformats.org/markup-compatibility/2006">
          <mc:Choice Requires="x14">
            <control shapeId="1721" r:id="rId1680" name="Button 697">
              <controlPr defaultSize="0" autoFill="0" autoLine="0" autoPict="0" macro="[0]!Sheet1.deleteRow">
                <anchor moveWithCells="1" sizeWithCells="1">
                  <from>
                    <xdr:col>6</xdr:col>
                    <xdr:colOff>0</xdr:colOff>
                    <xdr:row>2737</xdr:row>
                    <xdr:rowOff>0</xdr:rowOff>
                  </from>
                  <to>
                    <xdr:col>7</xdr:col>
                    <xdr:colOff>0</xdr:colOff>
                    <xdr:row>2737</xdr:row>
                    <xdr:rowOff>165100</xdr:rowOff>
                  </to>
                </anchor>
              </controlPr>
            </control>
          </mc:Choice>
        </mc:AlternateContent>
        <mc:AlternateContent xmlns:mc="http://schemas.openxmlformats.org/markup-compatibility/2006">
          <mc:Choice Requires="x14">
            <control shapeId="1720" r:id="rId1681" name="Button 696">
              <controlPr defaultSize="0" autoFill="0" autoLine="0" autoPict="0" macro="[0]!Sheet1.deleteRow">
                <anchor moveWithCells="1" sizeWithCells="1">
                  <from>
                    <xdr:col>6</xdr:col>
                    <xdr:colOff>0</xdr:colOff>
                    <xdr:row>2738</xdr:row>
                    <xdr:rowOff>0</xdr:rowOff>
                  </from>
                  <to>
                    <xdr:col>7</xdr:col>
                    <xdr:colOff>0</xdr:colOff>
                    <xdr:row>2738</xdr:row>
                    <xdr:rowOff>165100</xdr:rowOff>
                  </to>
                </anchor>
              </controlPr>
            </control>
          </mc:Choice>
        </mc:AlternateContent>
        <mc:AlternateContent xmlns:mc="http://schemas.openxmlformats.org/markup-compatibility/2006">
          <mc:Choice Requires="x14">
            <control shapeId="1719" r:id="rId1682" name="Button 695">
              <controlPr defaultSize="0" autoFill="0" autoLine="0" autoPict="0" macro="[0]!Sheet1.deleteRow">
                <anchor moveWithCells="1" sizeWithCells="1">
                  <from>
                    <xdr:col>6</xdr:col>
                    <xdr:colOff>0</xdr:colOff>
                    <xdr:row>2739</xdr:row>
                    <xdr:rowOff>0</xdr:rowOff>
                  </from>
                  <to>
                    <xdr:col>7</xdr:col>
                    <xdr:colOff>0</xdr:colOff>
                    <xdr:row>2739</xdr:row>
                    <xdr:rowOff>165100</xdr:rowOff>
                  </to>
                </anchor>
              </controlPr>
            </control>
          </mc:Choice>
        </mc:AlternateContent>
        <mc:AlternateContent xmlns:mc="http://schemas.openxmlformats.org/markup-compatibility/2006">
          <mc:Choice Requires="x14">
            <control shapeId="1718" r:id="rId1683" name="Button 694">
              <controlPr defaultSize="0" autoFill="0" autoLine="0" autoPict="0" macro="[0]!Sheet1.deleteRow">
                <anchor moveWithCells="1" sizeWithCells="1">
                  <from>
                    <xdr:col>6</xdr:col>
                    <xdr:colOff>0</xdr:colOff>
                    <xdr:row>2740</xdr:row>
                    <xdr:rowOff>0</xdr:rowOff>
                  </from>
                  <to>
                    <xdr:col>7</xdr:col>
                    <xdr:colOff>0</xdr:colOff>
                    <xdr:row>2740</xdr:row>
                    <xdr:rowOff>165100</xdr:rowOff>
                  </to>
                </anchor>
              </controlPr>
            </control>
          </mc:Choice>
        </mc:AlternateContent>
        <mc:AlternateContent xmlns:mc="http://schemas.openxmlformats.org/markup-compatibility/2006">
          <mc:Choice Requires="x14">
            <control shapeId="1717" r:id="rId1684" name="Button 693">
              <controlPr defaultSize="0" autoFill="0" autoLine="0" autoPict="0" macro="[0]!Sheet1.deleteRow">
                <anchor moveWithCells="1" sizeWithCells="1">
                  <from>
                    <xdr:col>6</xdr:col>
                    <xdr:colOff>0</xdr:colOff>
                    <xdr:row>2741</xdr:row>
                    <xdr:rowOff>0</xdr:rowOff>
                  </from>
                  <to>
                    <xdr:col>7</xdr:col>
                    <xdr:colOff>0</xdr:colOff>
                    <xdr:row>2741</xdr:row>
                    <xdr:rowOff>165100</xdr:rowOff>
                  </to>
                </anchor>
              </controlPr>
            </control>
          </mc:Choice>
        </mc:AlternateContent>
        <mc:AlternateContent xmlns:mc="http://schemas.openxmlformats.org/markup-compatibility/2006">
          <mc:Choice Requires="x14">
            <control shapeId="1716" r:id="rId1685" name="Button 692">
              <controlPr defaultSize="0" autoFill="0" autoLine="0" autoPict="0" macro="[0]!Sheet1.deleteRow">
                <anchor moveWithCells="1" sizeWithCells="1">
                  <from>
                    <xdr:col>6</xdr:col>
                    <xdr:colOff>0</xdr:colOff>
                    <xdr:row>2742</xdr:row>
                    <xdr:rowOff>0</xdr:rowOff>
                  </from>
                  <to>
                    <xdr:col>7</xdr:col>
                    <xdr:colOff>0</xdr:colOff>
                    <xdr:row>2742</xdr:row>
                    <xdr:rowOff>165100</xdr:rowOff>
                  </to>
                </anchor>
              </controlPr>
            </control>
          </mc:Choice>
        </mc:AlternateContent>
        <mc:AlternateContent xmlns:mc="http://schemas.openxmlformats.org/markup-compatibility/2006">
          <mc:Choice Requires="x14">
            <control shapeId="1715" r:id="rId1686" name="Button 691">
              <controlPr defaultSize="0" autoFill="0" autoLine="0" autoPict="0" macro="[0]!Sheet1.deleteRow">
                <anchor moveWithCells="1" sizeWithCells="1">
                  <from>
                    <xdr:col>6</xdr:col>
                    <xdr:colOff>0</xdr:colOff>
                    <xdr:row>2743</xdr:row>
                    <xdr:rowOff>0</xdr:rowOff>
                  </from>
                  <to>
                    <xdr:col>7</xdr:col>
                    <xdr:colOff>0</xdr:colOff>
                    <xdr:row>2743</xdr:row>
                    <xdr:rowOff>165100</xdr:rowOff>
                  </to>
                </anchor>
              </controlPr>
            </control>
          </mc:Choice>
        </mc:AlternateContent>
        <mc:AlternateContent xmlns:mc="http://schemas.openxmlformats.org/markup-compatibility/2006">
          <mc:Choice Requires="x14">
            <control shapeId="1714" r:id="rId1687" name="Button 690">
              <controlPr defaultSize="0" autoFill="0" autoLine="0" autoPict="0" macro="[0]!Sheet1.deleteRow">
                <anchor moveWithCells="1" sizeWithCells="1">
                  <from>
                    <xdr:col>6</xdr:col>
                    <xdr:colOff>0</xdr:colOff>
                    <xdr:row>2744</xdr:row>
                    <xdr:rowOff>0</xdr:rowOff>
                  </from>
                  <to>
                    <xdr:col>7</xdr:col>
                    <xdr:colOff>0</xdr:colOff>
                    <xdr:row>2744</xdr:row>
                    <xdr:rowOff>165100</xdr:rowOff>
                  </to>
                </anchor>
              </controlPr>
            </control>
          </mc:Choice>
        </mc:AlternateContent>
        <mc:AlternateContent xmlns:mc="http://schemas.openxmlformats.org/markup-compatibility/2006">
          <mc:Choice Requires="x14">
            <control shapeId="1713" r:id="rId1688" name="Button 689">
              <controlPr defaultSize="0" autoFill="0" autoLine="0" autoPict="0" macro="[0]!Sheet1.deleteRow">
                <anchor moveWithCells="1" sizeWithCells="1">
                  <from>
                    <xdr:col>6</xdr:col>
                    <xdr:colOff>0</xdr:colOff>
                    <xdr:row>2745</xdr:row>
                    <xdr:rowOff>0</xdr:rowOff>
                  </from>
                  <to>
                    <xdr:col>7</xdr:col>
                    <xdr:colOff>0</xdr:colOff>
                    <xdr:row>2745</xdr:row>
                    <xdr:rowOff>165100</xdr:rowOff>
                  </to>
                </anchor>
              </controlPr>
            </control>
          </mc:Choice>
        </mc:AlternateContent>
        <mc:AlternateContent xmlns:mc="http://schemas.openxmlformats.org/markup-compatibility/2006">
          <mc:Choice Requires="x14">
            <control shapeId="1712" r:id="rId1689" name="Button 688">
              <controlPr defaultSize="0" autoFill="0" autoLine="0" autoPict="0" macro="[0]!Sheet1.deleteRow">
                <anchor moveWithCells="1" sizeWithCells="1">
                  <from>
                    <xdr:col>6</xdr:col>
                    <xdr:colOff>0</xdr:colOff>
                    <xdr:row>2746</xdr:row>
                    <xdr:rowOff>0</xdr:rowOff>
                  </from>
                  <to>
                    <xdr:col>7</xdr:col>
                    <xdr:colOff>0</xdr:colOff>
                    <xdr:row>2746</xdr:row>
                    <xdr:rowOff>165100</xdr:rowOff>
                  </to>
                </anchor>
              </controlPr>
            </control>
          </mc:Choice>
        </mc:AlternateContent>
        <mc:AlternateContent xmlns:mc="http://schemas.openxmlformats.org/markup-compatibility/2006">
          <mc:Choice Requires="x14">
            <control shapeId="1711" r:id="rId1690" name="Button 687">
              <controlPr defaultSize="0" autoFill="0" autoLine="0" autoPict="0" macro="[0]!Sheet1.deleteRow">
                <anchor moveWithCells="1" sizeWithCells="1">
                  <from>
                    <xdr:col>6</xdr:col>
                    <xdr:colOff>0</xdr:colOff>
                    <xdr:row>2747</xdr:row>
                    <xdr:rowOff>0</xdr:rowOff>
                  </from>
                  <to>
                    <xdr:col>7</xdr:col>
                    <xdr:colOff>0</xdr:colOff>
                    <xdr:row>2747</xdr:row>
                    <xdr:rowOff>165100</xdr:rowOff>
                  </to>
                </anchor>
              </controlPr>
            </control>
          </mc:Choice>
        </mc:AlternateContent>
        <mc:AlternateContent xmlns:mc="http://schemas.openxmlformats.org/markup-compatibility/2006">
          <mc:Choice Requires="x14">
            <control shapeId="1710" r:id="rId1691" name="Button 686">
              <controlPr defaultSize="0" autoFill="0" autoLine="0" autoPict="0" macro="[0]!Sheet1.deleteRow">
                <anchor moveWithCells="1" sizeWithCells="1">
                  <from>
                    <xdr:col>6</xdr:col>
                    <xdr:colOff>0</xdr:colOff>
                    <xdr:row>2748</xdr:row>
                    <xdr:rowOff>0</xdr:rowOff>
                  </from>
                  <to>
                    <xdr:col>7</xdr:col>
                    <xdr:colOff>0</xdr:colOff>
                    <xdr:row>2748</xdr:row>
                    <xdr:rowOff>165100</xdr:rowOff>
                  </to>
                </anchor>
              </controlPr>
            </control>
          </mc:Choice>
        </mc:AlternateContent>
        <mc:AlternateContent xmlns:mc="http://schemas.openxmlformats.org/markup-compatibility/2006">
          <mc:Choice Requires="x14">
            <control shapeId="1709" r:id="rId1692" name="Button 685">
              <controlPr defaultSize="0" autoFill="0" autoLine="0" autoPict="0" macro="[0]!Sheet1.deleteRow">
                <anchor moveWithCells="1" sizeWithCells="1">
                  <from>
                    <xdr:col>6</xdr:col>
                    <xdr:colOff>0</xdr:colOff>
                    <xdr:row>2749</xdr:row>
                    <xdr:rowOff>0</xdr:rowOff>
                  </from>
                  <to>
                    <xdr:col>7</xdr:col>
                    <xdr:colOff>0</xdr:colOff>
                    <xdr:row>2749</xdr:row>
                    <xdr:rowOff>165100</xdr:rowOff>
                  </to>
                </anchor>
              </controlPr>
            </control>
          </mc:Choice>
        </mc:AlternateContent>
        <mc:AlternateContent xmlns:mc="http://schemas.openxmlformats.org/markup-compatibility/2006">
          <mc:Choice Requires="x14">
            <control shapeId="1708" r:id="rId1693" name="Button 684">
              <controlPr defaultSize="0" autoFill="0" autoLine="0" autoPict="0" macro="[0]!Sheet1.deleteRow">
                <anchor moveWithCells="1" sizeWithCells="1">
                  <from>
                    <xdr:col>6</xdr:col>
                    <xdr:colOff>0</xdr:colOff>
                    <xdr:row>2750</xdr:row>
                    <xdr:rowOff>0</xdr:rowOff>
                  </from>
                  <to>
                    <xdr:col>7</xdr:col>
                    <xdr:colOff>0</xdr:colOff>
                    <xdr:row>2750</xdr:row>
                    <xdr:rowOff>165100</xdr:rowOff>
                  </to>
                </anchor>
              </controlPr>
            </control>
          </mc:Choice>
        </mc:AlternateContent>
        <mc:AlternateContent xmlns:mc="http://schemas.openxmlformats.org/markup-compatibility/2006">
          <mc:Choice Requires="x14">
            <control shapeId="1707" r:id="rId1694" name="Button 683">
              <controlPr defaultSize="0" autoFill="0" autoLine="0" autoPict="0" macro="[0]!Sheet1.deleteRow">
                <anchor moveWithCells="1" sizeWithCells="1">
                  <from>
                    <xdr:col>6</xdr:col>
                    <xdr:colOff>0</xdr:colOff>
                    <xdr:row>2751</xdr:row>
                    <xdr:rowOff>0</xdr:rowOff>
                  </from>
                  <to>
                    <xdr:col>7</xdr:col>
                    <xdr:colOff>0</xdr:colOff>
                    <xdr:row>2751</xdr:row>
                    <xdr:rowOff>165100</xdr:rowOff>
                  </to>
                </anchor>
              </controlPr>
            </control>
          </mc:Choice>
        </mc:AlternateContent>
        <mc:AlternateContent xmlns:mc="http://schemas.openxmlformats.org/markup-compatibility/2006">
          <mc:Choice Requires="x14">
            <control shapeId="1706" r:id="rId1695" name="Button 682">
              <controlPr defaultSize="0" autoFill="0" autoLine="0" autoPict="0" macro="[0]!Sheet1.deleteRow">
                <anchor moveWithCells="1" sizeWithCells="1">
                  <from>
                    <xdr:col>6</xdr:col>
                    <xdr:colOff>0</xdr:colOff>
                    <xdr:row>2752</xdr:row>
                    <xdr:rowOff>0</xdr:rowOff>
                  </from>
                  <to>
                    <xdr:col>7</xdr:col>
                    <xdr:colOff>0</xdr:colOff>
                    <xdr:row>2752</xdr:row>
                    <xdr:rowOff>165100</xdr:rowOff>
                  </to>
                </anchor>
              </controlPr>
            </control>
          </mc:Choice>
        </mc:AlternateContent>
        <mc:AlternateContent xmlns:mc="http://schemas.openxmlformats.org/markup-compatibility/2006">
          <mc:Choice Requires="x14">
            <control shapeId="1705" r:id="rId1696" name="Button 681">
              <controlPr defaultSize="0" autoFill="0" autoLine="0" autoPict="0" macro="[0]!Sheet1.deleteRow">
                <anchor moveWithCells="1" sizeWithCells="1">
                  <from>
                    <xdr:col>6</xdr:col>
                    <xdr:colOff>0</xdr:colOff>
                    <xdr:row>2753</xdr:row>
                    <xdr:rowOff>0</xdr:rowOff>
                  </from>
                  <to>
                    <xdr:col>7</xdr:col>
                    <xdr:colOff>0</xdr:colOff>
                    <xdr:row>2753</xdr:row>
                    <xdr:rowOff>165100</xdr:rowOff>
                  </to>
                </anchor>
              </controlPr>
            </control>
          </mc:Choice>
        </mc:AlternateContent>
        <mc:AlternateContent xmlns:mc="http://schemas.openxmlformats.org/markup-compatibility/2006">
          <mc:Choice Requires="x14">
            <control shapeId="1704" r:id="rId1697" name="Button 680">
              <controlPr defaultSize="0" autoFill="0" autoLine="0" autoPict="0" macro="[0]!Sheet1.deleteRow">
                <anchor moveWithCells="1" sizeWithCells="1">
                  <from>
                    <xdr:col>6</xdr:col>
                    <xdr:colOff>0</xdr:colOff>
                    <xdr:row>2754</xdr:row>
                    <xdr:rowOff>0</xdr:rowOff>
                  </from>
                  <to>
                    <xdr:col>7</xdr:col>
                    <xdr:colOff>0</xdr:colOff>
                    <xdr:row>2754</xdr:row>
                    <xdr:rowOff>165100</xdr:rowOff>
                  </to>
                </anchor>
              </controlPr>
            </control>
          </mc:Choice>
        </mc:AlternateContent>
        <mc:AlternateContent xmlns:mc="http://schemas.openxmlformats.org/markup-compatibility/2006">
          <mc:Choice Requires="x14">
            <control shapeId="1703" r:id="rId1698" name="Button 679">
              <controlPr defaultSize="0" autoFill="0" autoLine="0" autoPict="0" macro="[0]!Sheet1.deleteRow">
                <anchor moveWithCells="1" sizeWithCells="1">
                  <from>
                    <xdr:col>6</xdr:col>
                    <xdr:colOff>0</xdr:colOff>
                    <xdr:row>2755</xdr:row>
                    <xdr:rowOff>0</xdr:rowOff>
                  </from>
                  <to>
                    <xdr:col>7</xdr:col>
                    <xdr:colOff>0</xdr:colOff>
                    <xdr:row>2755</xdr:row>
                    <xdr:rowOff>165100</xdr:rowOff>
                  </to>
                </anchor>
              </controlPr>
            </control>
          </mc:Choice>
        </mc:AlternateContent>
        <mc:AlternateContent xmlns:mc="http://schemas.openxmlformats.org/markup-compatibility/2006">
          <mc:Choice Requires="x14">
            <control shapeId="1702" r:id="rId1699" name="Button 678">
              <controlPr defaultSize="0" autoFill="0" autoLine="0" autoPict="0" macro="[0]!Sheet1.deleteRow">
                <anchor moveWithCells="1" sizeWithCells="1">
                  <from>
                    <xdr:col>6</xdr:col>
                    <xdr:colOff>0</xdr:colOff>
                    <xdr:row>2756</xdr:row>
                    <xdr:rowOff>0</xdr:rowOff>
                  </from>
                  <to>
                    <xdr:col>7</xdr:col>
                    <xdr:colOff>0</xdr:colOff>
                    <xdr:row>2756</xdr:row>
                    <xdr:rowOff>165100</xdr:rowOff>
                  </to>
                </anchor>
              </controlPr>
            </control>
          </mc:Choice>
        </mc:AlternateContent>
        <mc:AlternateContent xmlns:mc="http://schemas.openxmlformats.org/markup-compatibility/2006">
          <mc:Choice Requires="x14">
            <control shapeId="1701" r:id="rId1700" name="Button 677">
              <controlPr defaultSize="0" autoFill="0" autoLine="0" autoPict="0" macro="[0]!Sheet1.deleteRow">
                <anchor moveWithCells="1" sizeWithCells="1">
                  <from>
                    <xdr:col>6</xdr:col>
                    <xdr:colOff>0</xdr:colOff>
                    <xdr:row>2757</xdr:row>
                    <xdr:rowOff>0</xdr:rowOff>
                  </from>
                  <to>
                    <xdr:col>7</xdr:col>
                    <xdr:colOff>0</xdr:colOff>
                    <xdr:row>2757</xdr:row>
                    <xdr:rowOff>165100</xdr:rowOff>
                  </to>
                </anchor>
              </controlPr>
            </control>
          </mc:Choice>
        </mc:AlternateContent>
        <mc:AlternateContent xmlns:mc="http://schemas.openxmlformats.org/markup-compatibility/2006">
          <mc:Choice Requires="x14">
            <control shapeId="1700" r:id="rId1701" name="Button 676">
              <controlPr defaultSize="0" autoFill="0" autoLine="0" autoPict="0" macro="[0]!Sheet1.deleteRow">
                <anchor moveWithCells="1" sizeWithCells="1">
                  <from>
                    <xdr:col>6</xdr:col>
                    <xdr:colOff>0</xdr:colOff>
                    <xdr:row>2758</xdr:row>
                    <xdr:rowOff>0</xdr:rowOff>
                  </from>
                  <to>
                    <xdr:col>7</xdr:col>
                    <xdr:colOff>0</xdr:colOff>
                    <xdr:row>2758</xdr:row>
                    <xdr:rowOff>165100</xdr:rowOff>
                  </to>
                </anchor>
              </controlPr>
            </control>
          </mc:Choice>
        </mc:AlternateContent>
        <mc:AlternateContent xmlns:mc="http://schemas.openxmlformats.org/markup-compatibility/2006">
          <mc:Choice Requires="x14">
            <control shapeId="1699" r:id="rId1702" name="Button 675">
              <controlPr defaultSize="0" autoFill="0" autoLine="0" autoPict="0" macro="[0]!Sheet1.deleteRow">
                <anchor moveWithCells="1" sizeWithCells="1">
                  <from>
                    <xdr:col>6</xdr:col>
                    <xdr:colOff>0</xdr:colOff>
                    <xdr:row>2759</xdr:row>
                    <xdr:rowOff>0</xdr:rowOff>
                  </from>
                  <to>
                    <xdr:col>7</xdr:col>
                    <xdr:colOff>0</xdr:colOff>
                    <xdr:row>2759</xdr:row>
                    <xdr:rowOff>165100</xdr:rowOff>
                  </to>
                </anchor>
              </controlPr>
            </control>
          </mc:Choice>
        </mc:AlternateContent>
        <mc:AlternateContent xmlns:mc="http://schemas.openxmlformats.org/markup-compatibility/2006">
          <mc:Choice Requires="x14">
            <control shapeId="1698" r:id="rId1703" name="Button 674">
              <controlPr defaultSize="0" autoFill="0" autoLine="0" autoPict="0" macro="[0]!Sheet1.deleteRow">
                <anchor moveWithCells="1" sizeWithCells="1">
                  <from>
                    <xdr:col>6</xdr:col>
                    <xdr:colOff>0</xdr:colOff>
                    <xdr:row>2760</xdr:row>
                    <xdr:rowOff>0</xdr:rowOff>
                  </from>
                  <to>
                    <xdr:col>7</xdr:col>
                    <xdr:colOff>0</xdr:colOff>
                    <xdr:row>2760</xdr:row>
                    <xdr:rowOff>165100</xdr:rowOff>
                  </to>
                </anchor>
              </controlPr>
            </control>
          </mc:Choice>
        </mc:AlternateContent>
        <mc:AlternateContent xmlns:mc="http://schemas.openxmlformats.org/markup-compatibility/2006">
          <mc:Choice Requires="x14">
            <control shapeId="1697" r:id="rId1704" name="Button 673">
              <controlPr defaultSize="0" autoFill="0" autoLine="0" autoPict="0" macro="[0]!Sheet1.deleteRow">
                <anchor moveWithCells="1" sizeWithCells="1">
                  <from>
                    <xdr:col>6</xdr:col>
                    <xdr:colOff>0</xdr:colOff>
                    <xdr:row>2761</xdr:row>
                    <xdr:rowOff>0</xdr:rowOff>
                  </from>
                  <to>
                    <xdr:col>7</xdr:col>
                    <xdr:colOff>0</xdr:colOff>
                    <xdr:row>2761</xdr:row>
                    <xdr:rowOff>165100</xdr:rowOff>
                  </to>
                </anchor>
              </controlPr>
            </control>
          </mc:Choice>
        </mc:AlternateContent>
        <mc:AlternateContent xmlns:mc="http://schemas.openxmlformats.org/markup-compatibility/2006">
          <mc:Choice Requires="x14">
            <control shapeId="1696" r:id="rId1705" name="Button 672">
              <controlPr defaultSize="0" autoFill="0" autoLine="0" autoPict="0" macro="[0]!Sheet1.deleteRow">
                <anchor moveWithCells="1" sizeWithCells="1">
                  <from>
                    <xdr:col>6</xdr:col>
                    <xdr:colOff>0</xdr:colOff>
                    <xdr:row>2762</xdr:row>
                    <xdr:rowOff>0</xdr:rowOff>
                  </from>
                  <to>
                    <xdr:col>7</xdr:col>
                    <xdr:colOff>0</xdr:colOff>
                    <xdr:row>2762</xdr:row>
                    <xdr:rowOff>165100</xdr:rowOff>
                  </to>
                </anchor>
              </controlPr>
            </control>
          </mc:Choice>
        </mc:AlternateContent>
        <mc:AlternateContent xmlns:mc="http://schemas.openxmlformats.org/markup-compatibility/2006">
          <mc:Choice Requires="x14">
            <control shapeId="1695" r:id="rId1706" name="Button 671">
              <controlPr defaultSize="0" autoFill="0" autoLine="0" autoPict="0" macro="[0]!Sheet1.deleteRow">
                <anchor moveWithCells="1" sizeWithCells="1">
                  <from>
                    <xdr:col>6</xdr:col>
                    <xdr:colOff>0</xdr:colOff>
                    <xdr:row>2763</xdr:row>
                    <xdr:rowOff>0</xdr:rowOff>
                  </from>
                  <to>
                    <xdr:col>7</xdr:col>
                    <xdr:colOff>0</xdr:colOff>
                    <xdr:row>2763</xdr:row>
                    <xdr:rowOff>165100</xdr:rowOff>
                  </to>
                </anchor>
              </controlPr>
            </control>
          </mc:Choice>
        </mc:AlternateContent>
        <mc:AlternateContent xmlns:mc="http://schemas.openxmlformats.org/markup-compatibility/2006">
          <mc:Choice Requires="x14">
            <control shapeId="1694" r:id="rId1707" name="Button 670">
              <controlPr defaultSize="0" autoFill="0" autoLine="0" autoPict="0" macro="[0]!Sheet1.deleteRow">
                <anchor moveWithCells="1" sizeWithCells="1">
                  <from>
                    <xdr:col>6</xdr:col>
                    <xdr:colOff>0</xdr:colOff>
                    <xdr:row>2764</xdr:row>
                    <xdr:rowOff>0</xdr:rowOff>
                  </from>
                  <to>
                    <xdr:col>7</xdr:col>
                    <xdr:colOff>0</xdr:colOff>
                    <xdr:row>2764</xdr:row>
                    <xdr:rowOff>165100</xdr:rowOff>
                  </to>
                </anchor>
              </controlPr>
            </control>
          </mc:Choice>
        </mc:AlternateContent>
        <mc:AlternateContent xmlns:mc="http://schemas.openxmlformats.org/markup-compatibility/2006">
          <mc:Choice Requires="x14">
            <control shapeId="1693" r:id="rId1708" name="Button 669">
              <controlPr defaultSize="0" autoFill="0" autoLine="0" autoPict="0" macro="[0]!Sheet1.deleteRow">
                <anchor moveWithCells="1" sizeWithCells="1">
                  <from>
                    <xdr:col>6</xdr:col>
                    <xdr:colOff>0</xdr:colOff>
                    <xdr:row>2765</xdr:row>
                    <xdr:rowOff>0</xdr:rowOff>
                  </from>
                  <to>
                    <xdr:col>7</xdr:col>
                    <xdr:colOff>0</xdr:colOff>
                    <xdr:row>2765</xdr:row>
                    <xdr:rowOff>165100</xdr:rowOff>
                  </to>
                </anchor>
              </controlPr>
            </control>
          </mc:Choice>
        </mc:AlternateContent>
        <mc:AlternateContent xmlns:mc="http://schemas.openxmlformats.org/markup-compatibility/2006">
          <mc:Choice Requires="x14">
            <control shapeId="1692" r:id="rId1709" name="Button 668">
              <controlPr defaultSize="0" autoFill="0" autoLine="0" autoPict="0" macro="[0]!Sheet1.deleteRow">
                <anchor moveWithCells="1" sizeWithCells="1">
                  <from>
                    <xdr:col>6</xdr:col>
                    <xdr:colOff>0</xdr:colOff>
                    <xdr:row>2766</xdr:row>
                    <xdr:rowOff>0</xdr:rowOff>
                  </from>
                  <to>
                    <xdr:col>7</xdr:col>
                    <xdr:colOff>0</xdr:colOff>
                    <xdr:row>2766</xdr:row>
                    <xdr:rowOff>165100</xdr:rowOff>
                  </to>
                </anchor>
              </controlPr>
            </control>
          </mc:Choice>
        </mc:AlternateContent>
        <mc:AlternateContent xmlns:mc="http://schemas.openxmlformats.org/markup-compatibility/2006">
          <mc:Choice Requires="x14">
            <control shapeId="1691" r:id="rId1710" name="Button 667">
              <controlPr defaultSize="0" autoFill="0" autoLine="0" autoPict="0" macro="[0]!Sheet1.deleteRow">
                <anchor moveWithCells="1" sizeWithCells="1">
                  <from>
                    <xdr:col>6</xdr:col>
                    <xdr:colOff>0</xdr:colOff>
                    <xdr:row>2767</xdr:row>
                    <xdr:rowOff>0</xdr:rowOff>
                  </from>
                  <to>
                    <xdr:col>7</xdr:col>
                    <xdr:colOff>0</xdr:colOff>
                    <xdr:row>2767</xdr:row>
                    <xdr:rowOff>165100</xdr:rowOff>
                  </to>
                </anchor>
              </controlPr>
            </control>
          </mc:Choice>
        </mc:AlternateContent>
        <mc:AlternateContent xmlns:mc="http://schemas.openxmlformats.org/markup-compatibility/2006">
          <mc:Choice Requires="x14">
            <control shapeId="1690" r:id="rId1711" name="Button 666">
              <controlPr defaultSize="0" autoFill="0" autoLine="0" autoPict="0" macro="[0]!Sheet1.deleteRow">
                <anchor moveWithCells="1" sizeWithCells="1">
                  <from>
                    <xdr:col>6</xdr:col>
                    <xdr:colOff>0</xdr:colOff>
                    <xdr:row>2768</xdr:row>
                    <xdr:rowOff>0</xdr:rowOff>
                  </from>
                  <to>
                    <xdr:col>7</xdr:col>
                    <xdr:colOff>0</xdr:colOff>
                    <xdr:row>2768</xdr:row>
                    <xdr:rowOff>165100</xdr:rowOff>
                  </to>
                </anchor>
              </controlPr>
            </control>
          </mc:Choice>
        </mc:AlternateContent>
        <mc:AlternateContent xmlns:mc="http://schemas.openxmlformats.org/markup-compatibility/2006">
          <mc:Choice Requires="x14">
            <control shapeId="1689" r:id="rId1712" name="Button 665">
              <controlPr defaultSize="0" autoFill="0" autoLine="0" autoPict="0" macro="[0]!Sheet1.deleteRow">
                <anchor moveWithCells="1" sizeWithCells="1">
                  <from>
                    <xdr:col>6</xdr:col>
                    <xdr:colOff>0</xdr:colOff>
                    <xdr:row>2769</xdr:row>
                    <xdr:rowOff>0</xdr:rowOff>
                  </from>
                  <to>
                    <xdr:col>7</xdr:col>
                    <xdr:colOff>0</xdr:colOff>
                    <xdr:row>2769</xdr:row>
                    <xdr:rowOff>165100</xdr:rowOff>
                  </to>
                </anchor>
              </controlPr>
            </control>
          </mc:Choice>
        </mc:AlternateContent>
        <mc:AlternateContent xmlns:mc="http://schemas.openxmlformats.org/markup-compatibility/2006">
          <mc:Choice Requires="x14">
            <control shapeId="1688" r:id="rId1713" name="Button 664">
              <controlPr defaultSize="0" autoFill="0" autoLine="0" autoPict="0" macro="[0]!Sheet1.deleteRow">
                <anchor moveWithCells="1" sizeWithCells="1">
                  <from>
                    <xdr:col>6</xdr:col>
                    <xdr:colOff>0</xdr:colOff>
                    <xdr:row>2770</xdr:row>
                    <xdr:rowOff>0</xdr:rowOff>
                  </from>
                  <to>
                    <xdr:col>7</xdr:col>
                    <xdr:colOff>0</xdr:colOff>
                    <xdr:row>2770</xdr:row>
                    <xdr:rowOff>165100</xdr:rowOff>
                  </to>
                </anchor>
              </controlPr>
            </control>
          </mc:Choice>
        </mc:AlternateContent>
        <mc:AlternateContent xmlns:mc="http://schemas.openxmlformats.org/markup-compatibility/2006">
          <mc:Choice Requires="x14">
            <control shapeId="1687" r:id="rId1714" name="Button 663">
              <controlPr defaultSize="0" autoFill="0" autoLine="0" autoPict="0" macro="[0]!Sheet1.deleteRow">
                <anchor moveWithCells="1" sizeWithCells="1">
                  <from>
                    <xdr:col>6</xdr:col>
                    <xdr:colOff>0</xdr:colOff>
                    <xdr:row>2771</xdr:row>
                    <xdr:rowOff>0</xdr:rowOff>
                  </from>
                  <to>
                    <xdr:col>7</xdr:col>
                    <xdr:colOff>0</xdr:colOff>
                    <xdr:row>2771</xdr:row>
                    <xdr:rowOff>165100</xdr:rowOff>
                  </to>
                </anchor>
              </controlPr>
            </control>
          </mc:Choice>
        </mc:AlternateContent>
        <mc:AlternateContent xmlns:mc="http://schemas.openxmlformats.org/markup-compatibility/2006">
          <mc:Choice Requires="x14">
            <control shapeId="1686" r:id="rId1715" name="Button 662">
              <controlPr defaultSize="0" autoFill="0" autoLine="0" autoPict="0" macro="[0]!Sheet1.deleteRow">
                <anchor moveWithCells="1" sizeWithCells="1">
                  <from>
                    <xdr:col>6</xdr:col>
                    <xdr:colOff>0</xdr:colOff>
                    <xdr:row>2772</xdr:row>
                    <xdr:rowOff>0</xdr:rowOff>
                  </from>
                  <to>
                    <xdr:col>7</xdr:col>
                    <xdr:colOff>0</xdr:colOff>
                    <xdr:row>2772</xdr:row>
                    <xdr:rowOff>165100</xdr:rowOff>
                  </to>
                </anchor>
              </controlPr>
            </control>
          </mc:Choice>
        </mc:AlternateContent>
        <mc:AlternateContent xmlns:mc="http://schemas.openxmlformats.org/markup-compatibility/2006">
          <mc:Choice Requires="x14">
            <control shapeId="1685" r:id="rId1716" name="Button 661">
              <controlPr defaultSize="0" autoFill="0" autoLine="0" autoPict="0" macro="[0]!Sheet1.deleteRow">
                <anchor moveWithCells="1" sizeWithCells="1">
                  <from>
                    <xdr:col>6</xdr:col>
                    <xdr:colOff>0</xdr:colOff>
                    <xdr:row>2773</xdr:row>
                    <xdr:rowOff>0</xdr:rowOff>
                  </from>
                  <to>
                    <xdr:col>7</xdr:col>
                    <xdr:colOff>0</xdr:colOff>
                    <xdr:row>2773</xdr:row>
                    <xdr:rowOff>165100</xdr:rowOff>
                  </to>
                </anchor>
              </controlPr>
            </control>
          </mc:Choice>
        </mc:AlternateContent>
        <mc:AlternateContent xmlns:mc="http://schemas.openxmlformats.org/markup-compatibility/2006">
          <mc:Choice Requires="x14">
            <control shapeId="1684" r:id="rId1717" name="Button 660">
              <controlPr defaultSize="0" autoFill="0" autoLine="0" autoPict="0" macro="[0]!Sheet1.deleteRow">
                <anchor moveWithCells="1" sizeWithCells="1">
                  <from>
                    <xdr:col>6</xdr:col>
                    <xdr:colOff>0</xdr:colOff>
                    <xdr:row>2774</xdr:row>
                    <xdr:rowOff>0</xdr:rowOff>
                  </from>
                  <to>
                    <xdr:col>7</xdr:col>
                    <xdr:colOff>0</xdr:colOff>
                    <xdr:row>2774</xdr:row>
                    <xdr:rowOff>165100</xdr:rowOff>
                  </to>
                </anchor>
              </controlPr>
            </control>
          </mc:Choice>
        </mc:AlternateContent>
        <mc:AlternateContent xmlns:mc="http://schemas.openxmlformats.org/markup-compatibility/2006">
          <mc:Choice Requires="x14">
            <control shapeId="1683" r:id="rId1718" name="Button 659">
              <controlPr defaultSize="0" autoFill="0" autoLine="0" autoPict="0" macro="[0]!Sheet1.deleteRow">
                <anchor moveWithCells="1" sizeWithCells="1">
                  <from>
                    <xdr:col>6</xdr:col>
                    <xdr:colOff>0</xdr:colOff>
                    <xdr:row>2775</xdr:row>
                    <xdr:rowOff>0</xdr:rowOff>
                  </from>
                  <to>
                    <xdr:col>7</xdr:col>
                    <xdr:colOff>0</xdr:colOff>
                    <xdr:row>2775</xdr:row>
                    <xdr:rowOff>165100</xdr:rowOff>
                  </to>
                </anchor>
              </controlPr>
            </control>
          </mc:Choice>
        </mc:AlternateContent>
        <mc:AlternateContent xmlns:mc="http://schemas.openxmlformats.org/markup-compatibility/2006">
          <mc:Choice Requires="x14">
            <control shapeId="1682" r:id="rId1719" name="Button 658">
              <controlPr defaultSize="0" autoFill="0" autoLine="0" autoPict="0" macro="[0]!Sheet1.deleteRow">
                <anchor moveWithCells="1" sizeWithCells="1">
                  <from>
                    <xdr:col>6</xdr:col>
                    <xdr:colOff>0</xdr:colOff>
                    <xdr:row>2776</xdr:row>
                    <xdr:rowOff>0</xdr:rowOff>
                  </from>
                  <to>
                    <xdr:col>7</xdr:col>
                    <xdr:colOff>0</xdr:colOff>
                    <xdr:row>2776</xdr:row>
                    <xdr:rowOff>165100</xdr:rowOff>
                  </to>
                </anchor>
              </controlPr>
            </control>
          </mc:Choice>
        </mc:AlternateContent>
        <mc:AlternateContent xmlns:mc="http://schemas.openxmlformats.org/markup-compatibility/2006">
          <mc:Choice Requires="x14">
            <control shapeId="1681" r:id="rId1720" name="Button 657">
              <controlPr defaultSize="0" autoFill="0" autoLine="0" autoPict="0" macro="[0]!Sheet1.deleteRow">
                <anchor moveWithCells="1" sizeWithCells="1">
                  <from>
                    <xdr:col>6</xdr:col>
                    <xdr:colOff>0</xdr:colOff>
                    <xdr:row>2777</xdr:row>
                    <xdr:rowOff>0</xdr:rowOff>
                  </from>
                  <to>
                    <xdr:col>7</xdr:col>
                    <xdr:colOff>0</xdr:colOff>
                    <xdr:row>2777</xdr:row>
                    <xdr:rowOff>165100</xdr:rowOff>
                  </to>
                </anchor>
              </controlPr>
            </control>
          </mc:Choice>
        </mc:AlternateContent>
        <mc:AlternateContent xmlns:mc="http://schemas.openxmlformats.org/markup-compatibility/2006">
          <mc:Choice Requires="x14">
            <control shapeId="1680" r:id="rId1721" name="Button 656">
              <controlPr defaultSize="0" autoFill="0" autoLine="0" autoPict="0" macro="[0]!Sheet1.deleteRow">
                <anchor moveWithCells="1" sizeWithCells="1">
                  <from>
                    <xdr:col>6</xdr:col>
                    <xdr:colOff>0</xdr:colOff>
                    <xdr:row>2778</xdr:row>
                    <xdr:rowOff>0</xdr:rowOff>
                  </from>
                  <to>
                    <xdr:col>7</xdr:col>
                    <xdr:colOff>0</xdr:colOff>
                    <xdr:row>2778</xdr:row>
                    <xdr:rowOff>165100</xdr:rowOff>
                  </to>
                </anchor>
              </controlPr>
            </control>
          </mc:Choice>
        </mc:AlternateContent>
        <mc:AlternateContent xmlns:mc="http://schemas.openxmlformats.org/markup-compatibility/2006">
          <mc:Choice Requires="x14">
            <control shapeId="1679" r:id="rId1722" name="Button 655">
              <controlPr defaultSize="0" autoFill="0" autoLine="0" autoPict="0" macro="[0]!Sheet1.deleteRow">
                <anchor moveWithCells="1" sizeWithCells="1">
                  <from>
                    <xdr:col>6</xdr:col>
                    <xdr:colOff>0</xdr:colOff>
                    <xdr:row>2779</xdr:row>
                    <xdr:rowOff>0</xdr:rowOff>
                  </from>
                  <to>
                    <xdr:col>7</xdr:col>
                    <xdr:colOff>0</xdr:colOff>
                    <xdr:row>2779</xdr:row>
                    <xdr:rowOff>165100</xdr:rowOff>
                  </to>
                </anchor>
              </controlPr>
            </control>
          </mc:Choice>
        </mc:AlternateContent>
        <mc:AlternateContent xmlns:mc="http://schemas.openxmlformats.org/markup-compatibility/2006">
          <mc:Choice Requires="x14">
            <control shapeId="1678" r:id="rId1723" name="Button 654">
              <controlPr defaultSize="0" autoFill="0" autoLine="0" autoPict="0" macro="[0]!Sheet1.deleteRow">
                <anchor moveWithCells="1" sizeWithCells="1">
                  <from>
                    <xdr:col>6</xdr:col>
                    <xdr:colOff>0</xdr:colOff>
                    <xdr:row>2780</xdr:row>
                    <xdr:rowOff>0</xdr:rowOff>
                  </from>
                  <to>
                    <xdr:col>7</xdr:col>
                    <xdr:colOff>0</xdr:colOff>
                    <xdr:row>2780</xdr:row>
                    <xdr:rowOff>165100</xdr:rowOff>
                  </to>
                </anchor>
              </controlPr>
            </control>
          </mc:Choice>
        </mc:AlternateContent>
        <mc:AlternateContent xmlns:mc="http://schemas.openxmlformats.org/markup-compatibility/2006">
          <mc:Choice Requires="x14">
            <control shapeId="1677" r:id="rId1724" name="Button 653">
              <controlPr defaultSize="0" autoFill="0" autoLine="0" autoPict="0" macro="[0]!Sheet1.deleteRow">
                <anchor moveWithCells="1" sizeWithCells="1">
                  <from>
                    <xdr:col>6</xdr:col>
                    <xdr:colOff>0</xdr:colOff>
                    <xdr:row>2781</xdr:row>
                    <xdr:rowOff>0</xdr:rowOff>
                  </from>
                  <to>
                    <xdr:col>7</xdr:col>
                    <xdr:colOff>0</xdr:colOff>
                    <xdr:row>2781</xdr:row>
                    <xdr:rowOff>165100</xdr:rowOff>
                  </to>
                </anchor>
              </controlPr>
            </control>
          </mc:Choice>
        </mc:AlternateContent>
        <mc:AlternateContent xmlns:mc="http://schemas.openxmlformats.org/markup-compatibility/2006">
          <mc:Choice Requires="x14">
            <control shapeId="1676" r:id="rId1725" name="Button 652">
              <controlPr defaultSize="0" autoFill="0" autoLine="0" autoPict="0" macro="[0]!Sheet1.deleteRow">
                <anchor moveWithCells="1" sizeWithCells="1">
                  <from>
                    <xdr:col>6</xdr:col>
                    <xdr:colOff>0</xdr:colOff>
                    <xdr:row>2782</xdr:row>
                    <xdr:rowOff>0</xdr:rowOff>
                  </from>
                  <to>
                    <xdr:col>7</xdr:col>
                    <xdr:colOff>0</xdr:colOff>
                    <xdr:row>2782</xdr:row>
                    <xdr:rowOff>165100</xdr:rowOff>
                  </to>
                </anchor>
              </controlPr>
            </control>
          </mc:Choice>
        </mc:AlternateContent>
        <mc:AlternateContent xmlns:mc="http://schemas.openxmlformats.org/markup-compatibility/2006">
          <mc:Choice Requires="x14">
            <control shapeId="1675" r:id="rId1726" name="Button 651">
              <controlPr defaultSize="0" autoFill="0" autoLine="0" autoPict="0" macro="[0]!Sheet1.deleteRow">
                <anchor moveWithCells="1" sizeWithCells="1">
                  <from>
                    <xdr:col>6</xdr:col>
                    <xdr:colOff>0</xdr:colOff>
                    <xdr:row>2783</xdr:row>
                    <xdr:rowOff>0</xdr:rowOff>
                  </from>
                  <to>
                    <xdr:col>7</xdr:col>
                    <xdr:colOff>0</xdr:colOff>
                    <xdr:row>2783</xdr:row>
                    <xdr:rowOff>165100</xdr:rowOff>
                  </to>
                </anchor>
              </controlPr>
            </control>
          </mc:Choice>
        </mc:AlternateContent>
        <mc:AlternateContent xmlns:mc="http://schemas.openxmlformats.org/markup-compatibility/2006">
          <mc:Choice Requires="x14">
            <control shapeId="1674" r:id="rId1727" name="Button 650">
              <controlPr defaultSize="0" autoFill="0" autoLine="0" autoPict="0" macro="[0]!Sheet1.deleteRow">
                <anchor moveWithCells="1" sizeWithCells="1">
                  <from>
                    <xdr:col>6</xdr:col>
                    <xdr:colOff>0</xdr:colOff>
                    <xdr:row>2784</xdr:row>
                    <xdr:rowOff>0</xdr:rowOff>
                  </from>
                  <to>
                    <xdr:col>7</xdr:col>
                    <xdr:colOff>0</xdr:colOff>
                    <xdr:row>2784</xdr:row>
                    <xdr:rowOff>165100</xdr:rowOff>
                  </to>
                </anchor>
              </controlPr>
            </control>
          </mc:Choice>
        </mc:AlternateContent>
        <mc:AlternateContent xmlns:mc="http://schemas.openxmlformats.org/markup-compatibility/2006">
          <mc:Choice Requires="x14">
            <control shapeId="1673" r:id="rId1728" name="Button 649">
              <controlPr defaultSize="0" autoFill="0" autoLine="0" autoPict="0" macro="[0]!Sheet1.deleteRow">
                <anchor moveWithCells="1" sizeWithCells="1">
                  <from>
                    <xdr:col>6</xdr:col>
                    <xdr:colOff>0</xdr:colOff>
                    <xdr:row>2785</xdr:row>
                    <xdr:rowOff>0</xdr:rowOff>
                  </from>
                  <to>
                    <xdr:col>7</xdr:col>
                    <xdr:colOff>0</xdr:colOff>
                    <xdr:row>2785</xdr:row>
                    <xdr:rowOff>165100</xdr:rowOff>
                  </to>
                </anchor>
              </controlPr>
            </control>
          </mc:Choice>
        </mc:AlternateContent>
        <mc:AlternateContent xmlns:mc="http://schemas.openxmlformats.org/markup-compatibility/2006">
          <mc:Choice Requires="x14">
            <control shapeId="1672" r:id="rId1729" name="Button 648">
              <controlPr defaultSize="0" autoFill="0" autoLine="0" autoPict="0" macro="[0]!Sheet1.deleteRow">
                <anchor moveWithCells="1" sizeWithCells="1">
                  <from>
                    <xdr:col>6</xdr:col>
                    <xdr:colOff>0</xdr:colOff>
                    <xdr:row>2786</xdr:row>
                    <xdr:rowOff>0</xdr:rowOff>
                  </from>
                  <to>
                    <xdr:col>7</xdr:col>
                    <xdr:colOff>0</xdr:colOff>
                    <xdr:row>2786</xdr:row>
                    <xdr:rowOff>165100</xdr:rowOff>
                  </to>
                </anchor>
              </controlPr>
            </control>
          </mc:Choice>
        </mc:AlternateContent>
        <mc:AlternateContent xmlns:mc="http://schemas.openxmlformats.org/markup-compatibility/2006">
          <mc:Choice Requires="x14">
            <control shapeId="1671" r:id="rId1730" name="Button 647">
              <controlPr defaultSize="0" autoFill="0" autoLine="0" autoPict="0" macro="[0]!Sheet1.deleteRow">
                <anchor moveWithCells="1" sizeWithCells="1">
                  <from>
                    <xdr:col>6</xdr:col>
                    <xdr:colOff>0</xdr:colOff>
                    <xdr:row>2787</xdr:row>
                    <xdr:rowOff>0</xdr:rowOff>
                  </from>
                  <to>
                    <xdr:col>7</xdr:col>
                    <xdr:colOff>0</xdr:colOff>
                    <xdr:row>2787</xdr:row>
                    <xdr:rowOff>165100</xdr:rowOff>
                  </to>
                </anchor>
              </controlPr>
            </control>
          </mc:Choice>
        </mc:AlternateContent>
        <mc:AlternateContent xmlns:mc="http://schemas.openxmlformats.org/markup-compatibility/2006">
          <mc:Choice Requires="x14">
            <control shapeId="1670" r:id="rId1731" name="Button 646">
              <controlPr defaultSize="0" autoFill="0" autoLine="0" autoPict="0" macro="[0]!Sheet1.deleteRow">
                <anchor moveWithCells="1" sizeWithCells="1">
                  <from>
                    <xdr:col>6</xdr:col>
                    <xdr:colOff>0</xdr:colOff>
                    <xdr:row>2788</xdr:row>
                    <xdr:rowOff>0</xdr:rowOff>
                  </from>
                  <to>
                    <xdr:col>7</xdr:col>
                    <xdr:colOff>0</xdr:colOff>
                    <xdr:row>2788</xdr:row>
                    <xdr:rowOff>165100</xdr:rowOff>
                  </to>
                </anchor>
              </controlPr>
            </control>
          </mc:Choice>
        </mc:AlternateContent>
        <mc:AlternateContent xmlns:mc="http://schemas.openxmlformats.org/markup-compatibility/2006">
          <mc:Choice Requires="x14">
            <control shapeId="1669" r:id="rId1732" name="Button 645">
              <controlPr defaultSize="0" autoFill="0" autoLine="0" autoPict="0" macro="[0]!Sheet1.deleteRow">
                <anchor moveWithCells="1" sizeWithCells="1">
                  <from>
                    <xdr:col>6</xdr:col>
                    <xdr:colOff>0</xdr:colOff>
                    <xdr:row>2789</xdr:row>
                    <xdr:rowOff>0</xdr:rowOff>
                  </from>
                  <to>
                    <xdr:col>7</xdr:col>
                    <xdr:colOff>0</xdr:colOff>
                    <xdr:row>2789</xdr:row>
                    <xdr:rowOff>165100</xdr:rowOff>
                  </to>
                </anchor>
              </controlPr>
            </control>
          </mc:Choice>
        </mc:AlternateContent>
        <mc:AlternateContent xmlns:mc="http://schemas.openxmlformats.org/markup-compatibility/2006">
          <mc:Choice Requires="x14">
            <control shapeId="1668" r:id="rId1733" name="Button 644">
              <controlPr defaultSize="0" autoFill="0" autoLine="0" autoPict="0" macro="[0]!Sheet1.deleteRow">
                <anchor moveWithCells="1" sizeWithCells="1">
                  <from>
                    <xdr:col>6</xdr:col>
                    <xdr:colOff>0</xdr:colOff>
                    <xdr:row>2790</xdr:row>
                    <xdr:rowOff>0</xdr:rowOff>
                  </from>
                  <to>
                    <xdr:col>7</xdr:col>
                    <xdr:colOff>0</xdr:colOff>
                    <xdr:row>2790</xdr:row>
                    <xdr:rowOff>165100</xdr:rowOff>
                  </to>
                </anchor>
              </controlPr>
            </control>
          </mc:Choice>
        </mc:AlternateContent>
        <mc:AlternateContent xmlns:mc="http://schemas.openxmlformats.org/markup-compatibility/2006">
          <mc:Choice Requires="x14">
            <control shapeId="1667" r:id="rId1734" name="Button 643">
              <controlPr defaultSize="0" autoFill="0" autoLine="0" autoPict="0" macro="[0]!Sheet1.deleteRow">
                <anchor moveWithCells="1" sizeWithCells="1">
                  <from>
                    <xdr:col>6</xdr:col>
                    <xdr:colOff>0</xdr:colOff>
                    <xdr:row>2791</xdr:row>
                    <xdr:rowOff>0</xdr:rowOff>
                  </from>
                  <to>
                    <xdr:col>7</xdr:col>
                    <xdr:colOff>0</xdr:colOff>
                    <xdr:row>2791</xdr:row>
                    <xdr:rowOff>165100</xdr:rowOff>
                  </to>
                </anchor>
              </controlPr>
            </control>
          </mc:Choice>
        </mc:AlternateContent>
        <mc:AlternateContent xmlns:mc="http://schemas.openxmlformats.org/markup-compatibility/2006">
          <mc:Choice Requires="x14">
            <control shapeId="1666" r:id="rId1735" name="Button 642">
              <controlPr defaultSize="0" autoFill="0" autoLine="0" autoPict="0" macro="[0]!Sheet1.deleteRow">
                <anchor moveWithCells="1" sizeWithCells="1">
                  <from>
                    <xdr:col>6</xdr:col>
                    <xdr:colOff>0</xdr:colOff>
                    <xdr:row>2792</xdr:row>
                    <xdr:rowOff>0</xdr:rowOff>
                  </from>
                  <to>
                    <xdr:col>7</xdr:col>
                    <xdr:colOff>0</xdr:colOff>
                    <xdr:row>2792</xdr:row>
                    <xdr:rowOff>165100</xdr:rowOff>
                  </to>
                </anchor>
              </controlPr>
            </control>
          </mc:Choice>
        </mc:AlternateContent>
        <mc:AlternateContent xmlns:mc="http://schemas.openxmlformats.org/markup-compatibility/2006">
          <mc:Choice Requires="x14">
            <control shapeId="1665" r:id="rId1736" name="Button 641">
              <controlPr defaultSize="0" autoFill="0" autoLine="0" autoPict="0" macro="[0]!Sheet1.deleteRow">
                <anchor moveWithCells="1" sizeWithCells="1">
                  <from>
                    <xdr:col>6</xdr:col>
                    <xdr:colOff>0</xdr:colOff>
                    <xdr:row>2793</xdr:row>
                    <xdr:rowOff>0</xdr:rowOff>
                  </from>
                  <to>
                    <xdr:col>7</xdr:col>
                    <xdr:colOff>0</xdr:colOff>
                    <xdr:row>2793</xdr:row>
                    <xdr:rowOff>165100</xdr:rowOff>
                  </to>
                </anchor>
              </controlPr>
            </control>
          </mc:Choice>
        </mc:AlternateContent>
        <mc:AlternateContent xmlns:mc="http://schemas.openxmlformats.org/markup-compatibility/2006">
          <mc:Choice Requires="x14">
            <control shapeId="1664" r:id="rId1737" name="Button 640">
              <controlPr defaultSize="0" autoFill="0" autoLine="0" autoPict="0" macro="[0]!Sheet1.deleteRow">
                <anchor moveWithCells="1" sizeWithCells="1">
                  <from>
                    <xdr:col>6</xdr:col>
                    <xdr:colOff>0</xdr:colOff>
                    <xdr:row>2794</xdr:row>
                    <xdr:rowOff>0</xdr:rowOff>
                  </from>
                  <to>
                    <xdr:col>7</xdr:col>
                    <xdr:colOff>0</xdr:colOff>
                    <xdr:row>2794</xdr:row>
                    <xdr:rowOff>165100</xdr:rowOff>
                  </to>
                </anchor>
              </controlPr>
            </control>
          </mc:Choice>
        </mc:AlternateContent>
        <mc:AlternateContent xmlns:mc="http://schemas.openxmlformats.org/markup-compatibility/2006">
          <mc:Choice Requires="x14">
            <control shapeId="1663" r:id="rId1738" name="Button 639">
              <controlPr defaultSize="0" autoFill="0" autoLine="0" autoPict="0" macro="[0]!Sheet1.deleteRow">
                <anchor moveWithCells="1" sizeWithCells="1">
                  <from>
                    <xdr:col>6</xdr:col>
                    <xdr:colOff>0</xdr:colOff>
                    <xdr:row>2795</xdr:row>
                    <xdr:rowOff>0</xdr:rowOff>
                  </from>
                  <to>
                    <xdr:col>7</xdr:col>
                    <xdr:colOff>0</xdr:colOff>
                    <xdr:row>2795</xdr:row>
                    <xdr:rowOff>165100</xdr:rowOff>
                  </to>
                </anchor>
              </controlPr>
            </control>
          </mc:Choice>
        </mc:AlternateContent>
        <mc:AlternateContent xmlns:mc="http://schemas.openxmlformats.org/markup-compatibility/2006">
          <mc:Choice Requires="x14">
            <control shapeId="1662" r:id="rId1739" name="Button 638">
              <controlPr defaultSize="0" autoFill="0" autoLine="0" autoPict="0" macro="[0]!Sheet1.deleteRow">
                <anchor moveWithCells="1" sizeWithCells="1">
                  <from>
                    <xdr:col>6</xdr:col>
                    <xdr:colOff>0</xdr:colOff>
                    <xdr:row>2796</xdr:row>
                    <xdr:rowOff>0</xdr:rowOff>
                  </from>
                  <to>
                    <xdr:col>7</xdr:col>
                    <xdr:colOff>0</xdr:colOff>
                    <xdr:row>2796</xdr:row>
                    <xdr:rowOff>165100</xdr:rowOff>
                  </to>
                </anchor>
              </controlPr>
            </control>
          </mc:Choice>
        </mc:AlternateContent>
        <mc:AlternateContent xmlns:mc="http://schemas.openxmlformats.org/markup-compatibility/2006">
          <mc:Choice Requires="x14">
            <control shapeId="1661" r:id="rId1740" name="Button 637">
              <controlPr defaultSize="0" autoFill="0" autoLine="0" autoPict="0" macro="[0]!Sheet1.deleteProcedure">
                <anchor moveWithCells="1" sizeWithCells="1">
                  <from>
                    <xdr:col>6</xdr:col>
                    <xdr:colOff>0</xdr:colOff>
                    <xdr:row>2799</xdr:row>
                    <xdr:rowOff>0</xdr:rowOff>
                  </from>
                  <to>
                    <xdr:col>7</xdr:col>
                    <xdr:colOff>0</xdr:colOff>
                    <xdr:row>2800</xdr:row>
                    <xdr:rowOff>0</xdr:rowOff>
                  </to>
                </anchor>
              </controlPr>
            </control>
          </mc:Choice>
        </mc:AlternateContent>
        <mc:AlternateContent xmlns:mc="http://schemas.openxmlformats.org/markup-compatibility/2006">
          <mc:Choice Requires="x14">
            <control shapeId="1660" r:id="rId1741" name="Button 636">
              <controlPr defaultSize="0" autoFill="0" autoLine="0" autoPict="0" macro="[0]!Sheet1.InsertNewTableRow">
                <anchor moveWithCells="1" sizeWithCells="1">
                  <from>
                    <xdr:col>6</xdr:col>
                    <xdr:colOff>0</xdr:colOff>
                    <xdr:row>2806</xdr:row>
                    <xdr:rowOff>0</xdr:rowOff>
                  </from>
                  <to>
                    <xdr:col>7</xdr:col>
                    <xdr:colOff>0</xdr:colOff>
                    <xdr:row>2806</xdr:row>
                    <xdr:rowOff>171450</xdr:rowOff>
                  </to>
                </anchor>
              </controlPr>
            </control>
          </mc:Choice>
        </mc:AlternateContent>
        <mc:AlternateContent xmlns:mc="http://schemas.openxmlformats.org/markup-compatibility/2006">
          <mc:Choice Requires="x14">
            <control shapeId="1659" r:id="rId1742" name="Button 635">
              <controlPr defaultSize="0" autoFill="0" autoLine="0" autoPict="0" macro="[0]!Sheet1.deleteRow">
                <anchor moveWithCells="1" sizeWithCells="1">
                  <from>
                    <xdr:col>6</xdr:col>
                    <xdr:colOff>0</xdr:colOff>
                    <xdr:row>2807</xdr:row>
                    <xdr:rowOff>0</xdr:rowOff>
                  </from>
                  <to>
                    <xdr:col>7</xdr:col>
                    <xdr:colOff>0</xdr:colOff>
                    <xdr:row>2807</xdr:row>
                    <xdr:rowOff>165100</xdr:rowOff>
                  </to>
                </anchor>
              </controlPr>
            </control>
          </mc:Choice>
        </mc:AlternateContent>
        <mc:AlternateContent xmlns:mc="http://schemas.openxmlformats.org/markup-compatibility/2006">
          <mc:Choice Requires="x14">
            <control shapeId="1658" r:id="rId1743" name="Button 634">
              <controlPr defaultSize="0" autoFill="0" autoLine="0" autoPict="0" macro="[0]!Sheet1.deleteRow">
                <anchor moveWithCells="1" sizeWithCells="1">
                  <from>
                    <xdr:col>6</xdr:col>
                    <xdr:colOff>0</xdr:colOff>
                    <xdr:row>2808</xdr:row>
                    <xdr:rowOff>0</xdr:rowOff>
                  </from>
                  <to>
                    <xdr:col>7</xdr:col>
                    <xdr:colOff>0</xdr:colOff>
                    <xdr:row>2808</xdr:row>
                    <xdr:rowOff>165100</xdr:rowOff>
                  </to>
                </anchor>
              </controlPr>
            </control>
          </mc:Choice>
        </mc:AlternateContent>
        <mc:AlternateContent xmlns:mc="http://schemas.openxmlformats.org/markup-compatibility/2006">
          <mc:Choice Requires="x14">
            <control shapeId="1657" r:id="rId1744" name="Button 633">
              <controlPr defaultSize="0" autoFill="0" autoLine="0" autoPict="0" macro="[0]!Sheet1.deleteRow">
                <anchor moveWithCells="1" sizeWithCells="1">
                  <from>
                    <xdr:col>6</xdr:col>
                    <xdr:colOff>0</xdr:colOff>
                    <xdr:row>2809</xdr:row>
                    <xdr:rowOff>0</xdr:rowOff>
                  </from>
                  <to>
                    <xdr:col>7</xdr:col>
                    <xdr:colOff>0</xdr:colOff>
                    <xdr:row>2809</xdr:row>
                    <xdr:rowOff>165100</xdr:rowOff>
                  </to>
                </anchor>
              </controlPr>
            </control>
          </mc:Choice>
        </mc:AlternateContent>
        <mc:AlternateContent xmlns:mc="http://schemas.openxmlformats.org/markup-compatibility/2006">
          <mc:Choice Requires="x14">
            <control shapeId="1656" r:id="rId1745" name="Button 632">
              <controlPr defaultSize="0" autoFill="0" autoLine="0" autoPict="0" macro="[0]!Sheet1.deleteRow">
                <anchor moveWithCells="1" sizeWithCells="1">
                  <from>
                    <xdr:col>6</xdr:col>
                    <xdr:colOff>0</xdr:colOff>
                    <xdr:row>2810</xdr:row>
                    <xdr:rowOff>0</xdr:rowOff>
                  </from>
                  <to>
                    <xdr:col>7</xdr:col>
                    <xdr:colOff>0</xdr:colOff>
                    <xdr:row>2810</xdr:row>
                    <xdr:rowOff>165100</xdr:rowOff>
                  </to>
                </anchor>
              </controlPr>
            </control>
          </mc:Choice>
        </mc:AlternateContent>
        <mc:AlternateContent xmlns:mc="http://schemas.openxmlformats.org/markup-compatibility/2006">
          <mc:Choice Requires="x14">
            <control shapeId="1655" r:id="rId1746" name="Button 631">
              <controlPr defaultSize="0" autoFill="0" autoLine="0" autoPict="0" macro="[0]!Sheet1.deleteRow">
                <anchor moveWithCells="1" sizeWithCells="1">
                  <from>
                    <xdr:col>6</xdr:col>
                    <xdr:colOff>0</xdr:colOff>
                    <xdr:row>2811</xdr:row>
                    <xdr:rowOff>0</xdr:rowOff>
                  </from>
                  <to>
                    <xdr:col>7</xdr:col>
                    <xdr:colOff>0</xdr:colOff>
                    <xdr:row>2811</xdr:row>
                    <xdr:rowOff>165100</xdr:rowOff>
                  </to>
                </anchor>
              </controlPr>
            </control>
          </mc:Choice>
        </mc:AlternateContent>
        <mc:AlternateContent xmlns:mc="http://schemas.openxmlformats.org/markup-compatibility/2006">
          <mc:Choice Requires="x14">
            <control shapeId="1654" r:id="rId1747" name="Button 630">
              <controlPr defaultSize="0" autoFill="0" autoLine="0" autoPict="0" macro="[0]!Sheet1.deleteRow">
                <anchor moveWithCells="1" sizeWithCells="1">
                  <from>
                    <xdr:col>6</xdr:col>
                    <xdr:colOff>0</xdr:colOff>
                    <xdr:row>2812</xdr:row>
                    <xdr:rowOff>0</xdr:rowOff>
                  </from>
                  <to>
                    <xdr:col>7</xdr:col>
                    <xdr:colOff>0</xdr:colOff>
                    <xdr:row>2812</xdr:row>
                    <xdr:rowOff>165100</xdr:rowOff>
                  </to>
                </anchor>
              </controlPr>
            </control>
          </mc:Choice>
        </mc:AlternateContent>
        <mc:AlternateContent xmlns:mc="http://schemas.openxmlformats.org/markup-compatibility/2006">
          <mc:Choice Requires="x14">
            <control shapeId="1653" r:id="rId1748" name="Button 629">
              <controlPr defaultSize="0" autoFill="0" autoLine="0" autoPict="0" macro="[0]!Sheet1.deleteRow">
                <anchor moveWithCells="1" sizeWithCells="1">
                  <from>
                    <xdr:col>6</xdr:col>
                    <xdr:colOff>0</xdr:colOff>
                    <xdr:row>2813</xdr:row>
                    <xdr:rowOff>0</xdr:rowOff>
                  </from>
                  <to>
                    <xdr:col>7</xdr:col>
                    <xdr:colOff>0</xdr:colOff>
                    <xdr:row>2813</xdr:row>
                    <xdr:rowOff>165100</xdr:rowOff>
                  </to>
                </anchor>
              </controlPr>
            </control>
          </mc:Choice>
        </mc:AlternateContent>
        <mc:AlternateContent xmlns:mc="http://schemas.openxmlformats.org/markup-compatibility/2006">
          <mc:Choice Requires="x14">
            <control shapeId="1652" r:id="rId1749" name="Button 628">
              <controlPr defaultSize="0" autoFill="0" autoLine="0" autoPict="0" macro="[0]!Sheet1.deleteRow">
                <anchor moveWithCells="1" sizeWithCells="1">
                  <from>
                    <xdr:col>6</xdr:col>
                    <xdr:colOff>0</xdr:colOff>
                    <xdr:row>2814</xdr:row>
                    <xdr:rowOff>0</xdr:rowOff>
                  </from>
                  <to>
                    <xdr:col>7</xdr:col>
                    <xdr:colOff>0</xdr:colOff>
                    <xdr:row>2814</xdr:row>
                    <xdr:rowOff>165100</xdr:rowOff>
                  </to>
                </anchor>
              </controlPr>
            </control>
          </mc:Choice>
        </mc:AlternateContent>
        <mc:AlternateContent xmlns:mc="http://schemas.openxmlformats.org/markup-compatibility/2006">
          <mc:Choice Requires="x14">
            <control shapeId="1651" r:id="rId1750" name="Button 627">
              <controlPr defaultSize="0" autoFill="0" autoLine="0" autoPict="0" macro="[0]!Sheet1.deleteRow">
                <anchor moveWithCells="1" sizeWithCells="1">
                  <from>
                    <xdr:col>6</xdr:col>
                    <xdr:colOff>0</xdr:colOff>
                    <xdr:row>2815</xdr:row>
                    <xdr:rowOff>0</xdr:rowOff>
                  </from>
                  <to>
                    <xdr:col>7</xdr:col>
                    <xdr:colOff>0</xdr:colOff>
                    <xdr:row>2815</xdr:row>
                    <xdr:rowOff>165100</xdr:rowOff>
                  </to>
                </anchor>
              </controlPr>
            </control>
          </mc:Choice>
        </mc:AlternateContent>
        <mc:AlternateContent xmlns:mc="http://schemas.openxmlformats.org/markup-compatibility/2006">
          <mc:Choice Requires="x14">
            <control shapeId="1650" r:id="rId1751" name="Button 626">
              <controlPr defaultSize="0" autoFill="0" autoLine="0" autoPict="0" macro="[0]!Sheet1.deleteRow">
                <anchor moveWithCells="1" sizeWithCells="1">
                  <from>
                    <xdr:col>6</xdr:col>
                    <xdr:colOff>0</xdr:colOff>
                    <xdr:row>2816</xdr:row>
                    <xdr:rowOff>0</xdr:rowOff>
                  </from>
                  <to>
                    <xdr:col>7</xdr:col>
                    <xdr:colOff>0</xdr:colOff>
                    <xdr:row>2816</xdr:row>
                    <xdr:rowOff>165100</xdr:rowOff>
                  </to>
                </anchor>
              </controlPr>
            </control>
          </mc:Choice>
        </mc:AlternateContent>
        <mc:AlternateContent xmlns:mc="http://schemas.openxmlformats.org/markup-compatibility/2006">
          <mc:Choice Requires="x14">
            <control shapeId="1649" r:id="rId1752" name="Button 625">
              <controlPr defaultSize="0" autoFill="0" autoLine="0" autoPict="0" macro="[0]!Sheet1.deleteRow">
                <anchor moveWithCells="1" sizeWithCells="1">
                  <from>
                    <xdr:col>6</xdr:col>
                    <xdr:colOff>0</xdr:colOff>
                    <xdr:row>2817</xdr:row>
                    <xdr:rowOff>0</xdr:rowOff>
                  </from>
                  <to>
                    <xdr:col>7</xdr:col>
                    <xdr:colOff>0</xdr:colOff>
                    <xdr:row>2817</xdr:row>
                    <xdr:rowOff>165100</xdr:rowOff>
                  </to>
                </anchor>
              </controlPr>
            </control>
          </mc:Choice>
        </mc:AlternateContent>
        <mc:AlternateContent xmlns:mc="http://schemas.openxmlformats.org/markup-compatibility/2006">
          <mc:Choice Requires="x14">
            <control shapeId="1648" r:id="rId1753" name="Button 624">
              <controlPr defaultSize="0" autoFill="0" autoLine="0" autoPict="0" macro="[0]!Sheet1.deleteRow">
                <anchor moveWithCells="1" sizeWithCells="1">
                  <from>
                    <xdr:col>6</xdr:col>
                    <xdr:colOff>0</xdr:colOff>
                    <xdr:row>2818</xdr:row>
                    <xdr:rowOff>0</xdr:rowOff>
                  </from>
                  <to>
                    <xdr:col>7</xdr:col>
                    <xdr:colOff>0</xdr:colOff>
                    <xdr:row>2818</xdr:row>
                    <xdr:rowOff>165100</xdr:rowOff>
                  </to>
                </anchor>
              </controlPr>
            </control>
          </mc:Choice>
        </mc:AlternateContent>
        <mc:AlternateContent xmlns:mc="http://schemas.openxmlformats.org/markup-compatibility/2006">
          <mc:Choice Requires="x14">
            <control shapeId="1647" r:id="rId1754" name="Button 623">
              <controlPr defaultSize="0" autoFill="0" autoLine="0" autoPict="0" macro="[0]!Sheet1.deleteRow">
                <anchor moveWithCells="1" sizeWithCells="1">
                  <from>
                    <xdr:col>6</xdr:col>
                    <xdr:colOff>0</xdr:colOff>
                    <xdr:row>2819</xdr:row>
                    <xdr:rowOff>0</xdr:rowOff>
                  </from>
                  <to>
                    <xdr:col>7</xdr:col>
                    <xdr:colOff>0</xdr:colOff>
                    <xdr:row>2819</xdr:row>
                    <xdr:rowOff>165100</xdr:rowOff>
                  </to>
                </anchor>
              </controlPr>
            </control>
          </mc:Choice>
        </mc:AlternateContent>
        <mc:AlternateContent xmlns:mc="http://schemas.openxmlformats.org/markup-compatibility/2006">
          <mc:Choice Requires="x14">
            <control shapeId="1646" r:id="rId1755" name="Button 622">
              <controlPr defaultSize="0" autoFill="0" autoLine="0" autoPict="0" macro="[0]!Sheet1.deleteRow">
                <anchor moveWithCells="1" sizeWithCells="1">
                  <from>
                    <xdr:col>6</xdr:col>
                    <xdr:colOff>0</xdr:colOff>
                    <xdr:row>2820</xdr:row>
                    <xdr:rowOff>0</xdr:rowOff>
                  </from>
                  <to>
                    <xdr:col>7</xdr:col>
                    <xdr:colOff>0</xdr:colOff>
                    <xdr:row>2820</xdr:row>
                    <xdr:rowOff>165100</xdr:rowOff>
                  </to>
                </anchor>
              </controlPr>
            </control>
          </mc:Choice>
        </mc:AlternateContent>
        <mc:AlternateContent xmlns:mc="http://schemas.openxmlformats.org/markup-compatibility/2006">
          <mc:Choice Requires="x14">
            <control shapeId="1645" r:id="rId1756" name="Button 621">
              <controlPr defaultSize="0" autoFill="0" autoLine="0" autoPict="0" macro="[0]!Sheet1.deleteRow">
                <anchor moveWithCells="1" sizeWithCells="1">
                  <from>
                    <xdr:col>6</xdr:col>
                    <xdr:colOff>0</xdr:colOff>
                    <xdr:row>2821</xdr:row>
                    <xdr:rowOff>0</xdr:rowOff>
                  </from>
                  <to>
                    <xdr:col>7</xdr:col>
                    <xdr:colOff>0</xdr:colOff>
                    <xdr:row>2821</xdr:row>
                    <xdr:rowOff>165100</xdr:rowOff>
                  </to>
                </anchor>
              </controlPr>
            </control>
          </mc:Choice>
        </mc:AlternateContent>
        <mc:AlternateContent xmlns:mc="http://schemas.openxmlformats.org/markup-compatibility/2006">
          <mc:Choice Requires="x14">
            <control shapeId="1644" r:id="rId1757" name="Button 620">
              <controlPr defaultSize="0" autoFill="0" autoLine="0" autoPict="0" macro="[0]!Sheet1.deleteRow">
                <anchor moveWithCells="1" sizeWithCells="1">
                  <from>
                    <xdr:col>6</xdr:col>
                    <xdr:colOff>0</xdr:colOff>
                    <xdr:row>2822</xdr:row>
                    <xdr:rowOff>0</xdr:rowOff>
                  </from>
                  <to>
                    <xdr:col>7</xdr:col>
                    <xdr:colOff>0</xdr:colOff>
                    <xdr:row>2822</xdr:row>
                    <xdr:rowOff>165100</xdr:rowOff>
                  </to>
                </anchor>
              </controlPr>
            </control>
          </mc:Choice>
        </mc:AlternateContent>
        <mc:AlternateContent xmlns:mc="http://schemas.openxmlformats.org/markup-compatibility/2006">
          <mc:Choice Requires="x14">
            <control shapeId="1643" r:id="rId1758" name="Button 619">
              <controlPr defaultSize="0" autoFill="0" autoLine="0" autoPict="0" macro="[0]!Sheet1.deleteRow">
                <anchor moveWithCells="1" sizeWithCells="1">
                  <from>
                    <xdr:col>6</xdr:col>
                    <xdr:colOff>0</xdr:colOff>
                    <xdr:row>2823</xdr:row>
                    <xdr:rowOff>0</xdr:rowOff>
                  </from>
                  <to>
                    <xdr:col>7</xdr:col>
                    <xdr:colOff>0</xdr:colOff>
                    <xdr:row>2823</xdr:row>
                    <xdr:rowOff>165100</xdr:rowOff>
                  </to>
                </anchor>
              </controlPr>
            </control>
          </mc:Choice>
        </mc:AlternateContent>
        <mc:AlternateContent xmlns:mc="http://schemas.openxmlformats.org/markup-compatibility/2006">
          <mc:Choice Requires="x14">
            <control shapeId="1642" r:id="rId1759" name="Button 618">
              <controlPr defaultSize="0" autoFill="0" autoLine="0" autoPict="0" macro="[0]!Sheet1.deleteRow">
                <anchor moveWithCells="1" sizeWithCells="1">
                  <from>
                    <xdr:col>6</xdr:col>
                    <xdr:colOff>0</xdr:colOff>
                    <xdr:row>2824</xdr:row>
                    <xdr:rowOff>0</xdr:rowOff>
                  </from>
                  <to>
                    <xdr:col>7</xdr:col>
                    <xdr:colOff>0</xdr:colOff>
                    <xdr:row>2824</xdr:row>
                    <xdr:rowOff>165100</xdr:rowOff>
                  </to>
                </anchor>
              </controlPr>
            </control>
          </mc:Choice>
        </mc:AlternateContent>
        <mc:AlternateContent xmlns:mc="http://schemas.openxmlformats.org/markup-compatibility/2006">
          <mc:Choice Requires="x14">
            <control shapeId="1641" r:id="rId1760" name="Button 617">
              <controlPr defaultSize="0" autoFill="0" autoLine="0" autoPict="0" macro="[0]!Sheet1.deleteRow">
                <anchor moveWithCells="1" sizeWithCells="1">
                  <from>
                    <xdr:col>6</xdr:col>
                    <xdr:colOff>0</xdr:colOff>
                    <xdr:row>2825</xdr:row>
                    <xdr:rowOff>0</xdr:rowOff>
                  </from>
                  <to>
                    <xdr:col>7</xdr:col>
                    <xdr:colOff>0</xdr:colOff>
                    <xdr:row>2825</xdr:row>
                    <xdr:rowOff>165100</xdr:rowOff>
                  </to>
                </anchor>
              </controlPr>
            </control>
          </mc:Choice>
        </mc:AlternateContent>
        <mc:AlternateContent xmlns:mc="http://schemas.openxmlformats.org/markup-compatibility/2006">
          <mc:Choice Requires="x14">
            <control shapeId="1640" r:id="rId1761" name="Button 616">
              <controlPr defaultSize="0" autoFill="0" autoLine="0" autoPict="0" macro="[0]!Sheet1.deleteRow">
                <anchor moveWithCells="1" sizeWithCells="1">
                  <from>
                    <xdr:col>6</xdr:col>
                    <xdr:colOff>0</xdr:colOff>
                    <xdr:row>2826</xdr:row>
                    <xdr:rowOff>0</xdr:rowOff>
                  </from>
                  <to>
                    <xdr:col>7</xdr:col>
                    <xdr:colOff>0</xdr:colOff>
                    <xdr:row>2826</xdr:row>
                    <xdr:rowOff>165100</xdr:rowOff>
                  </to>
                </anchor>
              </controlPr>
            </control>
          </mc:Choice>
        </mc:AlternateContent>
        <mc:AlternateContent xmlns:mc="http://schemas.openxmlformats.org/markup-compatibility/2006">
          <mc:Choice Requires="x14">
            <control shapeId="1639" r:id="rId1762" name="Button 615">
              <controlPr defaultSize="0" autoFill="0" autoLine="0" autoPict="0" macro="[0]!Sheet1.deleteRow">
                <anchor moveWithCells="1" sizeWithCells="1">
                  <from>
                    <xdr:col>6</xdr:col>
                    <xdr:colOff>0</xdr:colOff>
                    <xdr:row>2827</xdr:row>
                    <xdr:rowOff>0</xdr:rowOff>
                  </from>
                  <to>
                    <xdr:col>7</xdr:col>
                    <xdr:colOff>0</xdr:colOff>
                    <xdr:row>2827</xdr:row>
                    <xdr:rowOff>165100</xdr:rowOff>
                  </to>
                </anchor>
              </controlPr>
            </control>
          </mc:Choice>
        </mc:AlternateContent>
        <mc:AlternateContent xmlns:mc="http://schemas.openxmlformats.org/markup-compatibility/2006">
          <mc:Choice Requires="x14">
            <control shapeId="1638" r:id="rId1763" name="Button 614">
              <controlPr defaultSize="0" autoFill="0" autoLine="0" autoPict="0" macro="[0]!Sheet1.deleteRow">
                <anchor moveWithCells="1" sizeWithCells="1">
                  <from>
                    <xdr:col>6</xdr:col>
                    <xdr:colOff>0</xdr:colOff>
                    <xdr:row>2828</xdr:row>
                    <xdr:rowOff>0</xdr:rowOff>
                  </from>
                  <to>
                    <xdr:col>7</xdr:col>
                    <xdr:colOff>0</xdr:colOff>
                    <xdr:row>2828</xdr:row>
                    <xdr:rowOff>165100</xdr:rowOff>
                  </to>
                </anchor>
              </controlPr>
            </control>
          </mc:Choice>
        </mc:AlternateContent>
        <mc:AlternateContent xmlns:mc="http://schemas.openxmlformats.org/markup-compatibility/2006">
          <mc:Choice Requires="x14">
            <control shapeId="1637" r:id="rId1764" name="Button 613">
              <controlPr defaultSize="0" autoFill="0" autoLine="0" autoPict="0" macro="[0]!Sheet1.deleteRow">
                <anchor moveWithCells="1" sizeWithCells="1">
                  <from>
                    <xdr:col>6</xdr:col>
                    <xdr:colOff>0</xdr:colOff>
                    <xdr:row>2829</xdr:row>
                    <xdr:rowOff>0</xdr:rowOff>
                  </from>
                  <to>
                    <xdr:col>7</xdr:col>
                    <xdr:colOff>0</xdr:colOff>
                    <xdr:row>2829</xdr:row>
                    <xdr:rowOff>165100</xdr:rowOff>
                  </to>
                </anchor>
              </controlPr>
            </control>
          </mc:Choice>
        </mc:AlternateContent>
        <mc:AlternateContent xmlns:mc="http://schemas.openxmlformats.org/markup-compatibility/2006">
          <mc:Choice Requires="x14">
            <control shapeId="1636" r:id="rId1765" name="Button 612">
              <controlPr defaultSize="0" autoFill="0" autoLine="0" autoPict="0" macro="[0]!Sheet1.deleteRow">
                <anchor moveWithCells="1" sizeWithCells="1">
                  <from>
                    <xdr:col>6</xdr:col>
                    <xdr:colOff>0</xdr:colOff>
                    <xdr:row>2830</xdr:row>
                    <xdr:rowOff>0</xdr:rowOff>
                  </from>
                  <to>
                    <xdr:col>7</xdr:col>
                    <xdr:colOff>0</xdr:colOff>
                    <xdr:row>2830</xdr:row>
                    <xdr:rowOff>165100</xdr:rowOff>
                  </to>
                </anchor>
              </controlPr>
            </control>
          </mc:Choice>
        </mc:AlternateContent>
        <mc:AlternateContent xmlns:mc="http://schemas.openxmlformats.org/markup-compatibility/2006">
          <mc:Choice Requires="x14">
            <control shapeId="1635" r:id="rId1766" name="Button 611">
              <controlPr defaultSize="0" autoFill="0" autoLine="0" autoPict="0" macro="[0]!Sheet1.deleteRow">
                <anchor moveWithCells="1" sizeWithCells="1">
                  <from>
                    <xdr:col>6</xdr:col>
                    <xdr:colOff>0</xdr:colOff>
                    <xdr:row>2831</xdr:row>
                    <xdr:rowOff>0</xdr:rowOff>
                  </from>
                  <to>
                    <xdr:col>7</xdr:col>
                    <xdr:colOff>0</xdr:colOff>
                    <xdr:row>2831</xdr:row>
                    <xdr:rowOff>165100</xdr:rowOff>
                  </to>
                </anchor>
              </controlPr>
            </control>
          </mc:Choice>
        </mc:AlternateContent>
        <mc:AlternateContent xmlns:mc="http://schemas.openxmlformats.org/markup-compatibility/2006">
          <mc:Choice Requires="x14">
            <control shapeId="1634" r:id="rId1767" name="Button 610">
              <controlPr defaultSize="0" autoFill="0" autoLine="0" autoPict="0" macro="[0]!Sheet1.deleteRow">
                <anchor moveWithCells="1" sizeWithCells="1">
                  <from>
                    <xdr:col>6</xdr:col>
                    <xdr:colOff>0</xdr:colOff>
                    <xdr:row>2832</xdr:row>
                    <xdr:rowOff>0</xdr:rowOff>
                  </from>
                  <to>
                    <xdr:col>7</xdr:col>
                    <xdr:colOff>0</xdr:colOff>
                    <xdr:row>2832</xdr:row>
                    <xdr:rowOff>165100</xdr:rowOff>
                  </to>
                </anchor>
              </controlPr>
            </control>
          </mc:Choice>
        </mc:AlternateContent>
        <mc:AlternateContent xmlns:mc="http://schemas.openxmlformats.org/markup-compatibility/2006">
          <mc:Choice Requires="x14">
            <control shapeId="1633" r:id="rId1768" name="Button 609">
              <controlPr defaultSize="0" autoFill="0" autoLine="0" autoPict="0" macro="[0]!Sheet1.deleteRow">
                <anchor moveWithCells="1" sizeWithCells="1">
                  <from>
                    <xdr:col>6</xdr:col>
                    <xdr:colOff>0</xdr:colOff>
                    <xdr:row>2833</xdr:row>
                    <xdr:rowOff>0</xdr:rowOff>
                  </from>
                  <to>
                    <xdr:col>7</xdr:col>
                    <xdr:colOff>0</xdr:colOff>
                    <xdr:row>2833</xdr:row>
                    <xdr:rowOff>165100</xdr:rowOff>
                  </to>
                </anchor>
              </controlPr>
            </control>
          </mc:Choice>
        </mc:AlternateContent>
        <mc:AlternateContent xmlns:mc="http://schemas.openxmlformats.org/markup-compatibility/2006">
          <mc:Choice Requires="x14">
            <control shapeId="1632" r:id="rId1769" name="Button 608">
              <controlPr defaultSize="0" autoFill="0" autoLine="0" autoPict="0" macro="[0]!Sheet1.deleteRow">
                <anchor moveWithCells="1" sizeWithCells="1">
                  <from>
                    <xdr:col>6</xdr:col>
                    <xdr:colOff>0</xdr:colOff>
                    <xdr:row>2834</xdr:row>
                    <xdr:rowOff>0</xdr:rowOff>
                  </from>
                  <to>
                    <xdr:col>7</xdr:col>
                    <xdr:colOff>0</xdr:colOff>
                    <xdr:row>2834</xdr:row>
                    <xdr:rowOff>165100</xdr:rowOff>
                  </to>
                </anchor>
              </controlPr>
            </control>
          </mc:Choice>
        </mc:AlternateContent>
        <mc:AlternateContent xmlns:mc="http://schemas.openxmlformats.org/markup-compatibility/2006">
          <mc:Choice Requires="x14">
            <control shapeId="1631" r:id="rId1770" name="Button 607">
              <controlPr defaultSize="0" autoFill="0" autoLine="0" autoPict="0" macro="[0]!Sheet1.deleteRow">
                <anchor moveWithCells="1" sizeWithCells="1">
                  <from>
                    <xdr:col>6</xdr:col>
                    <xdr:colOff>0</xdr:colOff>
                    <xdr:row>2835</xdr:row>
                    <xdr:rowOff>0</xdr:rowOff>
                  </from>
                  <to>
                    <xdr:col>7</xdr:col>
                    <xdr:colOff>0</xdr:colOff>
                    <xdr:row>2835</xdr:row>
                    <xdr:rowOff>165100</xdr:rowOff>
                  </to>
                </anchor>
              </controlPr>
            </control>
          </mc:Choice>
        </mc:AlternateContent>
        <mc:AlternateContent xmlns:mc="http://schemas.openxmlformats.org/markup-compatibility/2006">
          <mc:Choice Requires="x14">
            <control shapeId="1630" r:id="rId1771" name="Button 606">
              <controlPr defaultSize="0" autoFill="0" autoLine="0" autoPict="0" macro="[0]!Sheet1.deleteRow">
                <anchor moveWithCells="1" sizeWithCells="1">
                  <from>
                    <xdr:col>6</xdr:col>
                    <xdr:colOff>0</xdr:colOff>
                    <xdr:row>2836</xdr:row>
                    <xdr:rowOff>0</xdr:rowOff>
                  </from>
                  <to>
                    <xdr:col>7</xdr:col>
                    <xdr:colOff>0</xdr:colOff>
                    <xdr:row>2836</xdr:row>
                    <xdr:rowOff>165100</xdr:rowOff>
                  </to>
                </anchor>
              </controlPr>
            </control>
          </mc:Choice>
        </mc:AlternateContent>
        <mc:AlternateContent xmlns:mc="http://schemas.openxmlformats.org/markup-compatibility/2006">
          <mc:Choice Requires="x14">
            <control shapeId="1629" r:id="rId1772" name="Button 605">
              <controlPr defaultSize="0" autoFill="0" autoLine="0" autoPict="0" macro="[0]!Sheet1.deleteRow">
                <anchor moveWithCells="1" sizeWithCells="1">
                  <from>
                    <xdr:col>6</xdr:col>
                    <xdr:colOff>0</xdr:colOff>
                    <xdr:row>2837</xdr:row>
                    <xdr:rowOff>0</xdr:rowOff>
                  </from>
                  <to>
                    <xdr:col>7</xdr:col>
                    <xdr:colOff>0</xdr:colOff>
                    <xdr:row>2837</xdr:row>
                    <xdr:rowOff>165100</xdr:rowOff>
                  </to>
                </anchor>
              </controlPr>
            </control>
          </mc:Choice>
        </mc:AlternateContent>
        <mc:AlternateContent xmlns:mc="http://schemas.openxmlformats.org/markup-compatibility/2006">
          <mc:Choice Requires="x14">
            <control shapeId="1628" r:id="rId1773" name="Button 604">
              <controlPr defaultSize="0" autoFill="0" autoLine="0" autoPict="0" macro="[0]!Sheet1.deleteRow">
                <anchor moveWithCells="1" sizeWithCells="1">
                  <from>
                    <xdr:col>6</xdr:col>
                    <xdr:colOff>0</xdr:colOff>
                    <xdr:row>2838</xdr:row>
                    <xdr:rowOff>0</xdr:rowOff>
                  </from>
                  <to>
                    <xdr:col>7</xdr:col>
                    <xdr:colOff>0</xdr:colOff>
                    <xdr:row>2838</xdr:row>
                    <xdr:rowOff>165100</xdr:rowOff>
                  </to>
                </anchor>
              </controlPr>
            </control>
          </mc:Choice>
        </mc:AlternateContent>
        <mc:AlternateContent xmlns:mc="http://schemas.openxmlformats.org/markup-compatibility/2006">
          <mc:Choice Requires="x14">
            <control shapeId="1627" r:id="rId1774" name="Button 603">
              <controlPr defaultSize="0" autoFill="0" autoLine="0" autoPict="0" macro="[0]!Sheet1.deleteRow">
                <anchor moveWithCells="1" sizeWithCells="1">
                  <from>
                    <xdr:col>6</xdr:col>
                    <xdr:colOff>0</xdr:colOff>
                    <xdr:row>2839</xdr:row>
                    <xdr:rowOff>0</xdr:rowOff>
                  </from>
                  <to>
                    <xdr:col>7</xdr:col>
                    <xdr:colOff>0</xdr:colOff>
                    <xdr:row>2839</xdr:row>
                    <xdr:rowOff>165100</xdr:rowOff>
                  </to>
                </anchor>
              </controlPr>
            </control>
          </mc:Choice>
        </mc:AlternateContent>
        <mc:AlternateContent xmlns:mc="http://schemas.openxmlformats.org/markup-compatibility/2006">
          <mc:Choice Requires="x14">
            <control shapeId="1626" r:id="rId1775" name="Button 602">
              <controlPr defaultSize="0" autoFill="0" autoLine="0" autoPict="0" macro="[0]!Sheet1.deleteRow">
                <anchor moveWithCells="1" sizeWithCells="1">
                  <from>
                    <xdr:col>6</xdr:col>
                    <xdr:colOff>0</xdr:colOff>
                    <xdr:row>2840</xdr:row>
                    <xdr:rowOff>0</xdr:rowOff>
                  </from>
                  <to>
                    <xdr:col>7</xdr:col>
                    <xdr:colOff>0</xdr:colOff>
                    <xdr:row>2840</xdr:row>
                    <xdr:rowOff>165100</xdr:rowOff>
                  </to>
                </anchor>
              </controlPr>
            </control>
          </mc:Choice>
        </mc:AlternateContent>
        <mc:AlternateContent xmlns:mc="http://schemas.openxmlformats.org/markup-compatibility/2006">
          <mc:Choice Requires="x14">
            <control shapeId="1625" r:id="rId1776" name="Button 601">
              <controlPr defaultSize="0" autoFill="0" autoLine="0" autoPict="0" macro="[0]!Sheet1.deleteRow">
                <anchor moveWithCells="1" sizeWithCells="1">
                  <from>
                    <xdr:col>6</xdr:col>
                    <xdr:colOff>0</xdr:colOff>
                    <xdr:row>2841</xdr:row>
                    <xdr:rowOff>0</xdr:rowOff>
                  </from>
                  <to>
                    <xdr:col>7</xdr:col>
                    <xdr:colOff>0</xdr:colOff>
                    <xdr:row>2841</xdr:row>
                    <xdr:rowOff>165100</xdr:rowOff>
                  </to>
                </anchor>
              </controlPr>
            </control>
          </mc:Choice>
        </mc:AlternateContent>
        <mc:AlternateContent xmlns:mc="http://schemas.openxmlformats.org/markup-compatibility/2006">
          <mc:Choice Requires="x14">
            <control shapeId="1624" r:id="rId1777" name="Button 600">
              <controlPr defaultSize="0" autoFill="0" autoLine="0" autoPict="0" macro="[0]!Sheet1.deleteRow">
                <anchor moveWithCells="1" sizeWithCells="1">
                  <from>
                    <xdr:col>6</xdr:col>
                    <xdr:colOff>0</xdr:colOff>
                    <xdr:row>2842</xdr:row>
                    <xdr:rowOff>0</xdr:rowOff>
                  </from>
                  <to>
                    <xdr:col>7</xdr:col>
                    <xdr:colOff>0</xdr:colOff>
                    <xdr:row>2842</xdr:row>
                    <xdr:rowOff>165100</xdr:rowOff>
                  </to>
                </anchor>
              </controlPr>
            </control>
          </mc:Choice>
        </mc:AlternateContent>
        <mc:AlternateContent xmlns:mc="http://schemas.openxmlformats.org/markup-compatibility/2006">
          <mc:Choice Requires="x14">
            <control shapeId="1623" r:id="rId1778" name="Button 599">
              <controlPr defaultSize="0" autoFill="0" autoLine="0" autoPict="0" macro="[0]!Sheet1.deleteRow">
                <anchor moveWithCells="1" sizeWithCells="1">
                  <from>
                    <xdr:col>6</xdr:col>
                    <xdr:colOff>0</xdr:colOff>
                    <xdr:row>2843</xdr:row>
                    <xdr:rowOff>0</xdr:rowOff>
                  </from>
                  <to>
                    <xdr:col>7</xdr:col>
                    <xdr:colOff>0</xdr:colOff>
                    <xdr:row>2843</xdr:row>
                    <xdr:rowOff>165100</xdr:rowOff>
                  </to>
                </anchor>
              </controlPr>
            </control>
          </mc:Choice>
        </mc:AlternateContent>
        <mc:AlternateContent xmlns:mc="http://schemas.openxmlformats.org/markup-compatibility/2006">
          <mc:Choice Requires="x14">
            <control shapeId="1622" r:id="rId1779" name="Button 598">
              <controlPr defaultSize="0" autoFill="0" autoLine="0" autoPict="0" macro="[0]!Sheet1.deleteRow">
                <anchor moveWithCells="1" sizeWithCells="1">
                  <from>
                    <xdr:col>6</xdr:col>
                    <xdr:colOff>0</xdr:colOff>
                    <xdr:row>2844</xdr:row>
                    <xdr:rowOff>0</xdr:rowOff>
                  </from>
                  <to>
                    <xdr:col>7</xdr:col>
                    <xdr:colOff>0</xdr:colOff>
                    <xdr:row>2844</xdr:row>
                    <xdr:rowOff>165100</xdr:rowOff>
                  </to>
                </anchor>
              </controlPr>
            </control>
          </mc:Choice>
        </mc:AlternateContent>
        <mc:AlternateContent xmlns:mc="http://schemas.openxmlformats.org/markup-compatibility/2006">
          <mc:Choice Requires="x14">
            <control shapeId="1621" r:id="rId1780" name="Button 597">
              <controlPr defaultSize="0" autoFill="0" autoLine="0" autoPict="0" macro="[0]!Sheet1.deleteRow">
                <anchor moveWithCells="1" sizeWithCells="1">
                  <from>
                    <xdr:col>6</xdr:col>
                    <xdr:colOff>0</xdr:colOff>
                    <xdr:row>2845</xdr:row>
                    <xdr:rowOff>0</xdr:rowOff>
                  </from>
                  <to>
                    <xdr:col>7</xdr:col>
                    <xdr:colOff>0</xdr:colOff>
                    <xdr:row>2845</xdr:row>
                    <xdr:rowOff>165100</xdr:rowOff>
                  </to>
                </anchor>
              </controlPr>
            </control>
          </mc:Choice>
        </mc:AlternateContent>
        <mc:AlternateContent xmlns:mc="http://schemas.openxmlformats.org/markup-compatibility/2006">
          <mc:Choice Requires="x14">
            <control shapeId="1620" r:id="rId1781" name="Button 596">
              <controlPr defaultSize="0" autoFill="0" autoLine="0" autoPict="0" macro="[0]!Sheet1.deleteRow">
                <anchor moveWithCells="1" sizeWithCells="1">
                  <from>
                    <xdr:col>6</xdr:col>
                    <xdr:colOff>0</xdr:colOff>
                    <xdr:row>2846</xdr:row>
                    <xdr:rowOff>0</xdr:rowOff>
                  </from>
                  <to>
                    <xdr:col>7</xdr:col>
                    <xdr:colOff>0</xdr:colOff>
                    <xdr:row>2846</xdr:row>
                    <xdr:rowOff>165100</xdr:rowOff>
                  </to>
                </anchor>
              </controlPr>
            </control>
          </mc:Choice>
        </mc:AlternateContent>
        <mc:AlternateContent xmlns:mc="http://schemas.openxmlformats.org/markup-compatibility/2006">
          <mc:Choice Requires="x14">
            <control shapeId="1619" r:id="rId1782" name="Button 595">
              <controlPr defaultSize="0" autoFill="0" autoLine="0" autoPict="0" macro="[0]!Sheet1.deleteRow">
                <anchor moveWithCells="1" sizeWithCells="1">
                  <from>
                    <xdr:col>6</xdr:col>
                    <xdr:colOff>0</xdr:colOff>
                    <xdr:row>2847</xdr:row>
                    <xdr:rowOff>0</xdr:rowOff>
                  </from>
                  <to>
                    <xdr:col>7</xdr:col>
                    <xdr:colOff>0</xdr:colOff>
                    <xdr:row>2847</xdr:row>
                    <xdr:rowOff>165100</xdr:rowOff>
                  </to>
                </anchor>
              </controlPr>
            </control>
          </mc:Choice>
        </mc:AlternateContent>
        <mc:AlternateContent xmlns:mc="http://schemas.openxmlformats.org/markup-compatibility/2006">
          <mc:Choice Requires="x14">
            <control shapeId="1618" r:id="rId1783" name="Button 594">
              <controlPr defaultSize="0" autoFill="0" autoLine="0" autoPict="0" macro="[0]!Sheet1.deleteRow">
                <anchor moveWithCells="1" sizeWithCells="1">
                  <from>
                    <xdr:col>6</xdr:col>
                    <xdr:colOff>0</xdr:colOff>
                    <xdr:row>2848</xdr:row>
                    <xdr:rowOff>0</xdr:rowOff>
                  </from>
                  <to>
                    <xdr:col>7</xdr:col>
                    <xdr:colOff>0</xdr:colOff>
                    <xdr:row>2848</xdr:row>
                    <xdr:rowOff>165100</xdr:rowOff>
                  </to>
                </anchor>
              </controlPr>
            </control>
          </mc:Choice>
        </mc:AlternateContent>
        <mc:AlternateContent xmlns:mc="http://schemas.openxmlformats.org/markup-compatibility/2006">
          <mc:Choice Requires="x14">
            <control shapeId="1617" r:id="rId1784" name="Button 593">
              <controlPr defaultSize="0" autoFill="0" autoLine="0" autoPict="0" macro="[0]!Sheet1.deleteRow">
                <anchor moveWithCells="1" sizeWithCells="1">
                  <from>
                    <xdr:col>6</xdr:col>
                    <xdr:colOff>0</xdr:colOff>
                    <xdr:row>2849</xdr:row>
                    <xdr:rowOff>0</xdr:rowOff>
                  </from>
                  <to>
                    <xdr:col>7</xdr:col>
                    <xdr:colOff>0</xdr:colOff>
                    <xdr:row>2849</xdr:row>
                    <xdr:rowOff>165100</xdr:rowOff>
                  </to>
                </anchor>
              </controlPr>
            </control>
          </mc:Choice>
        </mc:AlternateContent>
        <mc:AlternateContent xmlns:mc="http://schemas.openxmlformats.org/markup-compatibility/2006">
          <mc:Choice Requires="x14">
            <control shapeId="1616" r:id="rId1785" name="Button 592">
              <controlPr defaultSize="0" autoFill="0" autoLine="0" autoPict="0" macro="[0]!Sheet1.deleteRow">
                <anchor moveWithCells="1" sizeWithCells="1">
                  <from>
                    <xdr:col>6</xdr:col>
                    <xdr:colOff>0</xdr:colOff>
                    <xdr:row>2850</xdr:row>
                    <xdr:rowOff>0</xdr:rowOff>
                  </from>
                  <to>
                    <xdr:col>7</xdr:col>
                    <xdr:colOff>0</xdr:colOff>
                    <xdr:row>2850</xdr:row>
                    <xdr:rowOff>165100</xdr:rowOff>
                  </to>
                </anchor>
              </controlPr>
            </control>
          </mc:Choice>
        </mc:AlternateContent>
        <mc:AlternateContent xmlns:mc="http://schemas.openxmlformats.org/markup-compatibility/2006">
          <mc:Choice Requires="x14">
            <control shapeId="1615" r:id="rId1786" name="Button 591">
              <controlPr defaultSize="0" autoFill="0" autoLine="0" autoPict="0" macro="[0]!Sheet1.deleteRow">
                <anchor moveWithCells="1" sizeWithCells="1">
                  <from>
                    <xdr:col>6</xdr:col>
                    <xdr:colOff>0</xdr:colOff>
                    <xdr:row>2851</xdr:row>
                    <xdr:rowOff>0</xdr:rowOff>
                  </from>
                  <to>
                    <xdr:col>7</xdr:col>
                    <xdr:colOff>0</xdr:colOff>
                    <xdr:row>2851</xdr:row>
                    <xdr:rowOff>165100</xdr:rowOff>
                  </to>
                </anchor>
              </controlPr>
            </control>
          </mc:Choice>
        </mc:AlternateContent>
        <mc:AlternateContent xmlns:mc="http://schemas.openxmlformats.org/markup-compatibility/2006">
          <mc:Choice Requires="x14">
            <control shapeId="1614" r:id="rId1787" name="Button 590">
              <controlPr defaultSize="0" autoFill="0" autoLine="0" autoPict="0" macro="[0]!Sheet1.deleteRow">
                <anchor moveWithCells="1" sizeWithCells="1">
                  <from>
                    <xdr:col>6</xdr:col>
                    <xdr:colOff>0</xdr:colOff>
                    <xdr:row>2852</xdr:row>
                    <xdr:rowOff>0</xdr:rowOff>
                  </from>
                  <to>
                    <xdr:col>7</xdr:col>
                    <xdr:colOff>0</xdr:colOff>
                    <xdr:row>2852</xdr:row>
                    <xdr:rowOff>165100</xdr:rowOff>
                  </to>
                </anchor>
              </controlPr>
            </control>
          </mc:Choice>
        </mc:AlternateContent>
        <mc:AlternateContent xmlns:mc="http://schemas.openxmlformats.org/markup-compatibility/2006">
          <mc:Choice Requires="x14">
            <control shapeId="1613" r:id="rId1788" name="Button 589">
              <controlPr defaultSize="0" autoFill="0" autoLine="0" autoPict="0" macro="[0]!Sheet1.deleteRow">
                <anchor moveWithCells="1" sizeWithCells="1">
                  <from>
                    <xdr:col>6</xdr:col>
                    <xdr:colOff>0</xdr:colOff>
                    <xdr:row>2853</xdr:row>
                    <xdr:rowOff>0</xdr:rowOff>
                  </from>
                  <to>
                    <xdr:col>7</xdr:col>
                    <xdr:colOff>0</xdr:colOff>
                    <xdr:row>2853</xdr:row>
                    <xdr:rowOff>165100</xdr:rowOff>
                  </to>
                </anchor>
              </controlPr>
            </control>
          </mc:Choice>
        </mc:AlternateContent>
        <mc:AlternateContent xmlns:mc="http://schemas.openxmlformats.org/markup-compatibility/2006">
          <mc:Choice Requires="x14">
            <control shapeId="1612" r:id="rId1789" name="Button 588">
              <controlPr defaultSize="0" autoFill="0" autoLine="0" autoPict="0" macro="[0]!Sheet1.deleteRow">
                <anchor moveWithCells="1" sizeWithCells="1">
                  <from>
                    <xdr:col>6</xdr:col>
                    <xdr:colOff>0</xdr:colOff>
                    <xdr:row>2854</xdr:row>
                    <xdr:rowOff>0</xdr:rowOff>
                  </from>
                  <to>
                    <xdr:col>7</xdr:col>
                    <xdr:colOff>0</xdr:colOff>
                    <xdr:row>2854</xdr:row>
                    <xdr:rowOff>165100</xdr:rowOff>
                  </to>
                </anchor>
              </controlPr>
            </control>
          </mc:Choice>
        </mc:AlternateContent>
        <mc:AlternateContent xmlns:mc="http://schemas.openxmlformats.org/markup-compatibility/2006">
          <mc:Choice Requires="x14">
            <control shapeId="1611" r:id="rId1790" name="Button 587">
              <controlPr defaultSize="0" autoFill="0" autoLine="0" autoPict="0" macro="[0]!Sheet1.deleteRow">
                <anchor moveWithCells="1" sizeWithCells="1">
                  <from>
                    <xdr:col>6</xdr:col>
                    <xdr:colOff>0</xdr:colOff>
                    <xdr:row>2855</xdr:row>
                    <xdr:rowOff>0</xdr:rowOff>
                  </from>
                  <to>
                    <xdr:col>7</xdr:col>
                    <xdr:colOff>0</xdr:colOff>
                    <xdr:row>2855</xdr:row>
                    <xdr:rowOff>165100</xdr:rowOff>
                  </to>
                </anchor>
              </controlPr>
            </control>
          </mc:Choice>
        </mc:AlternateContent>
        <mc:AlternateContent xmlns:mc="http://schemas.openxmlformats.org/markup-compatibility/2006">
          <mc:Choice Requires="x14">
            <control shapeId="1610" r:id="rId1791" name="Button 586">
              <controlPr defaultSize="0" autoFill="0" autoLine="0" autoPict="0" macro="[0]!Sheet1.deleteRow">
                <anchor moveWithCells="1" sizeWithCells="1">
                  <from>
                    <xdr:col>6</xdr:col>
                    <xdr:colOff>0</xdr:colOff>
                    <xdr:row>2856</xdr:row>
                    <xdr:rowOff>0</xdr:rowOff>
                  </from>
                  <to>
                    <xdr:col>7</xdr:col>
                    <xdr:colOff>0</xdr:colOff>
                    <xdr:row>2856</xdr:row>
                    <xdr:rowOff>165100</xdr:rowOff>
                  </to>
                </anchor>
              </controlPr>
            </control>
          </mc:Choice>
        </mc:AlternateContent>
        <mc:AlternateContent xmlns:mc="http://schemas.openxmlformats.org/markup-compatibility/2006">
          <mc:Choice Requires="x14">
            <control shapeId="1609" r:id="rId1792" name="Button 585">
              <controlPr defaultSize="0" autoFill="0" autoLine="0" autoPict="0" macro="[0]!Sheet1.deleteRow">
                <anchor moveWithCells="1" sizeWithCells="1">
                  <from>
                    <xdr:col>6</xdr:col>
                    <xdr:colOff>0</xdr:colOff>
                    <xdr:row>2857</xdr:row>
                    <xdr:rowOff>0</xdr:rowOff>
                  </from>
                  <to>
                    <xdr:col>7</xdr:col>
                    <xdr:colOff>0</xdr:colOff>
                    <xdr:row>2857</xdr:row>
                    <xdr:rowOff>165100</xdr:rowOff>
                  </to>
                </anchor>
              </controlPr>
            </control>
          </mc:Choice>
        </mc:AlternateContent>
        <mc:AlternateContent xmlns:mc="http://schemas.openxmlformats.org/markup-compatibility/2006">
          <mc:Choice Requires="x14">
            <control shapeId="1608" r:id="rId1793" name="Button 584">
              <controlPr defaultSize="0" autoFill="0" autoLine="0" autoPict="0" macro="[0]!Sheet1.deleteRow">
                <anchor moveWithCells="1" sizeWithCells="1">
                  <from>
                    <xdr:col>6</xdr:col>
                    <xdr:colOff>0</xdr:colOff>
                    <xdr:row>2858</xdr:row>
                    <xdr:rowOff>0</xdr:rowOff>
                  </from>
                  <to>
                    <xdr:col>7</xdr:col>
                    <xdr:colOff>0</xdr:colOff>
                    <xdr:row>2858</xdr:row>
                    <xdr:rowOff>165100</xdr:rowOff>
                  </to>
                </anchor>
              </controlPr>
            </control>
          </mc:Choice>
        </mc:AlternateContent>
        <mc:AlternateContent xmlns:mc="http://schemas.openxmlformats.org/markup-compatibility/2006">
          <mc:Choice Requires="x14">
            <control shapeId="1607" r:id="rId1794" name="Button 583">
              <controlPr defaultSize="0" autoFill="0" autoLine="0" autoPict="0" macro="[0]!Sheet1.deleteRow">
                <anchor moveWithCells="1" sizeWithCells="1">
                  <from>
                    <xdr:col>6</xdr:col>
                    <xdr:colOff>0</xdr:colOff>
                    <xdr:row>2859</xdr:row>
                    <xdr:rowOff>0</xdr:rowOff>
                  </from>
                  <to>
                    <xdr:col>7</xdr:col>
                    <xdr:colOff>0</xdr:colOff>
                    <xdr:row>2859</xdr:row>
                    <xdr:rowOff>165100</xdr:rowOff>
                  </to>
                </anchor>
              </controlPr>
            </control>
          </mc:Choice>
        </mc:AlternateContent>
        <mc:AlternateContent xmlns:mc="http://schemas.openxmlformats.org/markup-compatibility/2006">
          <mc:Choice Requires="x14">
            <control shapeId="1606" r:id="rId1795" name="Button 582">
              <controlPr defaultSize="0" autoFill="0" autoLine="0" autoPict="0" macro="[0]!Sheet1.deleteRow">
                <anchor moveWithCells="1" sizeWithCells="1">
                  <from>
                    <xdr:col>6</xdr:col>
                    <xdr:colOff>0</xdr:colOff>
                    <xdr:row>2860</xdr:row>
                    <xdr:rowOff>0</xdr:rowOff>
                  </from>
                  <to>
                    <xdr:col>7</xdr:col>
                    <xdr:colOff>0</xdr:colOff>
                    <xdr:row>2860</xdr:row>
                    <xdr:rowOff>165100</xdr:rowOff>
                  </to>
                </anchor>
              </controlPr>
            </control>
          </mc:Choice>
        </mc:AlternateContent>
        <mc:AlternateContent xmlns:mc="http://schemas.openxmlformats.org/markup-compatibility/2006">
          <mc:Choice Requires="x14">
            <control shapeId="1605" r:id="rId1796" name="Button 581">
              <controlPr defaultSize="0" autoFill="0" autoLine="0" autoPict="0" macro="[0]!Sheet1.deleteRow">
                <anchor moveWithCells="1" sizeWithCells="1">
                  <from>
                    <xdr:col>6</xdr:col>
                    <xdr:colOff>0</xdr:colOff>
                    <xdr:row>2861</xdr:row>
                    <xdr:rowOff>0</xdr:rowOff>
                  </from>
                  <to>
                    <xdr:col>7</xdr:col>
                    <xdr:colOff>0</xdr:colOff>
                    <xdr:row>2861</xdr:row>
                    <xdr:rowOff>165100</xdr:rowOff>
                  </to>
                </anchor>
              </controlPr>
            </control>
          </mc:Choice>
        </mc:AlternateContent>
        <mc:AlternateContent xmlns:mc="http://schemas.openxmlformats.org/markup-compatibility/2006">
          <mc:Choice Requires="x14">
            <control shapeId="1604" r:id="rId1797" name="Button 580">
              <controlPr defaultSize="0" autoFill="0" autoLine="0" autoPict="0" macro="[0]!Sheet1.deleteRow">
                <anchor moveWithCells="1" sizeWithCells="1">
                  <from>
                    <xdr:col>6</xdr:col>
                    <xdr:colOff>0</xdr:colOff>
                    <xdr:row>2862</xdr:row>
                    <xdr:rowOff>0</xdr:rowOff>
                  </from>
                  <to>
                    <xdr:col>7</xdr:col>
                    <xdr:colOff>0</xdr:colOff>
                    <xdr:row>2862</xdr:row>
                    <xdr:rowOff>165100</xdr:rowOff>
                  </to>
                </anchor>
              </controlPr>
            </control>
          </mc:Choice>
        </mc:AlternateContent>
        <mc:AlternateContent xmlns:mc="http://schemas.openxmlformats.org/markup-compatibility/2006">
          <mc:Choice Requires="x14">
            <control shapeId="1603" r:id="rId1798" name="Button 579">
              <controlPr defaultSize="0" autoFill="0" autoLine="0" autoPict="0" macro="[0]!Sheet1.deleteProcedure">
                <anchor moveWithCells="1" sizeWithCells="1">
                  <from>
                    <xdr:col>6</xdr:col>
                    <xdr:colOff>0</xdr:colOff>
                    <xdr:row>2865</xdr:row>
                    <xdr:rowOff>0</xdr:rowOff>
                  </from>
                  <to>
                    <xdr:col>7</xdr:col>
                    <xdr:colOff>0</xdr:colOff>
                    <xdr:row>2866</xdr:row>
                    <xdr:rowOff>0</xdr:rowOff>
                  </to>
                </anchor>
              </controlPr>
            </control>
          </mc:Choice>
        </mc:AlternateContent>
        <mc:AlternateContent xmlns:mc="http://schemas.openxmlformats.org/markup-compatibility/2006">
          <mc:Choice Requires="x14">
            <control shapeId="1602" r:id="rId1799" name="Button 578">
              <controlPr defaultSize="0" autoFill="0" autoLine="0" autoPict="0" macro="[0]!Sheet1.InsertNewTableRow">
                <anchor moveWithCells="1" sizeWithCells="1">
                  <from>
                    <xdr:col>6</xdr:col>
                    <xdr:colOff>0</xdr:colOff>
                    <xdr:row>2872</xdr:row>
                    <xdr:rowOff>0</xdr:rowOff>
                  </from>
                  <to>
                    <xdr:col>7</xdr:col>
                    <xdr:colOff>0</xdr:colOff>
                    <xdr:row>2872</xdr:row>
                    <xdr:rowOff>171450</xdr:rowOff>
                  </to>
                </anchor>
              </controlPr>
            </control>
          </mc:Choice>
        </mc:AlternateContent>
        <mc:AlternateContent xmlns:mc="http://schemas.openxmlformats.org/markup-compatibility/2006">
          <mc:Choice Requires="x14">
            <control shapeId="1601" r:id="rId1800" name="Button 577">
              <controlPr defaultSize="0" autoFill="0" autoLine="0" autoPict="0" macro="[0]!Sheet1.deleteRow">
                <anchor moveWithCells="1" sizeWithCells="1">
                  <from>
                    <xdr:col>6</xdr:col>
                    <xdr:colOff>0</xdr:colOff>
                    <xdr:row>2873</xdr:row>
                    <xdr:rowOff>0</xdr:rowOff>
                  </from>
                  <to>
                    <xdr:col>7</xdr:col>
                    <xdr:colOff>0</xdr:colOff>
                    <xdr:row>2873</xdr:row>
                    <xdr:rowOff>165100</xdr:rowOff>
                  </to>
                </anchor>
              </controlPr>
            </control>
          </mc:Choice>
        </mc:AlternateContent>
        <mc:AlternateContent xmlns:mc="http://schemas.openxmlformats.org/markup-compatibility/2006">
          <mc:Choice Requires="x14">
            <control shapeId="1600" r:id="rId1801" name="Button 576">
              <controlPr defaultSize="0" autoFill="0" autoLine="0" autoPict="0" macro="[0]!Sheet1.deleteRow">
                <anchor moveWithCells="1" sizeWithCells="1">
                  <from>
                    <xdr:col>6</xdr:col>
                    <xdr:colOff>0</xdr:colOff>
                    <xdr:row>2874</xdr:row>
                    <xdr:rowOff>0</xdr:rowOff>
                  </from>
                  <to>
                    <xdr:col>7</xdr:col>
                    <xdr:colOff>0</xdr:colOff>
                    <xdr:row>2874</xdr:row>
                    <xdr:rowOff>165100</xdr:rowOff>
                  </to>
                </anchor>
              </controlPr>
            </control>
          </mc:Choice>
        </mc:AlternateContent>
        <mc:AlternateContent xmlns:mc="http://schemas.openxmlformats.org/markup-compatibility/2006">
          <mc:Choice Requires="x14">
            <control shapeId="1599" r:id="rId1802" name="Button 575">
              <controlPr defaultSize="0" autoFill="0" autoLine="0" autoPict="0" macro="[0]!Sheet1.deleteRow">
                <anchor moveWithCells="1" sizeWithCells="1">
                  <from>
                    <xdr:col>6</xdr:col>
                    <xdr:colOff>0</xdr:colOff>
                    <xdr:row>2875</xdr:row>
                    <xdr:rowOff>0</xdr:rowOff>
                  </from>
                  <to>
                    <xdr:col>7</xdr:col>
                    <xdr:colOff>0</xdr:colOff>
                    <xdr:row>2875</xdr:row>
                    <xdr:rowOff>165100</xdr:rowOff>
                  </to>
                </anchor>
              </controlPr>
            </control>
          </mc:Choice>
        </mc:AlternateContent>
        <mc:AlternateContent xmlns:mc="http://schemas.openxmlformats.org/markup-compatibility/2006">
          <mc:Choice Requires="x14">
            <control shapeId="1598" r:id="rId1803" name="Button 574">
              <controlPr defaultSize="0" autoFill="0" autoLine="0" autoPict="0" macro="[0]!Sheet1.deleteRow">
                <anchor moveWithCells="1" sizeWithCells="1">
                  <from>
                    <xdr:col>6</xdr:col>
                    <xdr:colOff>0</xdr:colOff>
                    <xdr:row>2876</xdr:row>
                    <xdr:rowOff>0</xdr:rowOff>
                  </from>
                  <to>
                    <xdr:col>7</xdr:col>
                    <xdr:colOff>0</xdr:colOff>
                    <xdr:row>2876</xdr:row>
                    <xdr:rowOff>165100</xdr:rowOff>
                  </to>
                </anchor>
              </controlPr>
            </control>
          </mc:Choice>
        </mc:AlternateContent>
        <mc:AlternateContent xmlns:mc="http://schemas.openxmlformats.org/markup-compatibility/2006">
          <mc:Choice Requires="x14">
            <control shapeId="1597" r:id="rId1804" name="Button 573">
              <controlPr defaultSize="0" autoFill="0" autoLine="0" autoPict="0" macro="[0]!Sheet1.deleteRow">
                <anchor moveWithCells="1" sizeWithCells="1">
                  <from>
                    <xdr:col>6</xdr:col>
                    <xdr:colOff>0</xdr:colOff>
                    <xdr:row>2877</xdr:row>
                    <xdr:rowOff>0</xdr:rowOff>
                  </from>
                  <to>
                    <xdr:col>7</xdr:col>
                    <xdr:colOff>0</xdr:colOff>
                    <xdr:row>2877</xdr:row>
                    <xdr:rowOff>165100</xdr:rowOff>
                  </to>
                </anchor>
              </controlPr>
            </control>
          </mc:Choice>
        </mc:AlternateContent>
        <mc:AlternateContent xmlns:mc="http://schemas.openxmlformats.org/markup-compatibility/2006">
          <mc:Choice Requires="x14">
            <control shapeId="1596" r:id="rId1805" name="Button 572">
              <controlPr defaultSize="0" autoFill="0" autoLine="0" autoPict="0" macro="[0]!Sheet1.deleteRow">
                <anchor moveWithCells="1" sizeWithCells="1">
                  <from>
                    <xdr:col>6</xdr:col>
                    <xdr:colOff>0</xdr:colOff>
                    <xdr:row>2878</xdr:row>
                    <xdr:rowOff>0</xdr:rowOff>
                  </from>
                  <to>
                    <xdr:col>7</xdr:col>
                    <xdr:colOff>0</xdr:colOff>
                    <xdr:row>2878</xdr:row>
                    <xdr:rowOff>165100</xdr:rowOff>
                  </to>
                </anchor>
              </controlPr>
            </control>
          </mc:Choice>
        </mc:AlternateContent>
        <mc:AlternateContent xmlns:mc="http://schemas.openxmlformats.org/markup-compatibility/2006">
          <mc:Choice Requires="x14">
            <control shapeId="1595" r:id="rId1806" name="Button 571">
              <controlPr defaultSize="0" autoFill="0" autoLine="0" autoPict="0" macro="[0]!Sheet1.deleteRow">
                <anchor moveWithCells="1" sizeWithCells="1">
                  <from>
                    <xdr:col>6</xdr:col>
                    <xdr:colOff>0</xdr:colOff>
                    <xdr:row>2879</xdr:row>
                    <xdr:rowOff>0</xdr:rowOff>
                  </from>
                  <to>
                    <xdr:col>7</xdr:col>
                    <xdr:colOff>0</xdr:colOff>
                    <xdr:row>2879</xdr:row>
                    <xdr:rowOff>165100</xdr:rowOff>
                  </to>
                </anchor>
              </controlPr>
            </control>
          </mc:Choice>
        </mc:AlternateContent>
        <mc:AlternateContent xmlns:mc="http://schemas.openxmlformats.org/markup-compatibility/2006">
          <mc:Choice Requires="x14">
            <control shapeId="1594" r:id="rId1807" name="Button 570">
              <controlPr defaultSize="0" autoFill="0" autoLine="0" autoPict="0" macro="[0]!Sheet1.deleteRow">
                <anchor moveWithCells="1" sizeWithCells="1">
                  <from>
                    <xdr:col>6</xdr:col>
                    <xdr:colOff>0</xdr:colOff>
                    <xdr:row>2880</xdr:row>
                    <xdr:rowOff>0</xdr:rowOff>
                  </from>
                  <to>
                    <xdr:col>7</xdr:col>
                    <xdr:colOff>0</xdr:colOff>
                    <xdr:row>2880</xdr:row>
                    <xdr:rowOff>165100</xdr:rowOff>
                  </to>
                </anchor>
              </controlPr>
            </control>
          </mc:Choice>
        </mc:AlternateContent>
        <mc:AlternateContent xmlns:mc="http://schemas.openxmlformats.org/markup-compatibility/2006">
          <mc:Choice Requires="x14">
            <control shapeId="1593" r:id="rId1808" name="Button 569">
              <controlPr defaultSize="0" autoFill="0" autoLine="0" autoPict="0" macro="[0]!Sheet1.deleteRow">
                <anchor moveWithCells="1" sizeWithCells="1">
                  <from>
                    <xdr:col>6</xdr:col>
                    <xdr:colOff>0</xdr:colOff>
                    <xdr:row>2881</xdr:row>
                    <xdr:rowOff>0</xdr:rowOff>
                  </from>
                  <to>
                    <xdr:col>7</xdr:col>
                    <xdr:colOff>0</xdr:colOff>
                    <xdr:row>2881</xdr:row>
                    <xdr:rowOff>165100</xdr:rowOff>
                  </to>
                </anchor>
              </controlPr>
            </control>
          </mc:Choice>
        </mc:AlternateContent>
        <mc:AlternateContent xmlns:mc="http://schemas.openxmlformats.org/markup-compatibility/2006">
          <mc:Choice Requires="x14">
            <control shapeId="1592" r:id="rId1809" name="Button 568">
              <controlPr defaultSize="0" autoFill="0" autoLine="0" autoPict="0" macro="[0]!Sheet1.deleteRow">
                <anchor moveWithCells="1" sizeWithCells="1">
                  <from>
                    <xdr:col>6</xdr:col>
                    <xdr:colOff>0</xdr:colOff>
                    <xdr:row>2882</xdr:row>
                    <xdr:rowOff>0</xdr:rowOff>
                  </from>
                  <to>
                    <xdr:col>7</xdr:col>
                    <xdr:colOff>0</xdr:colOff>
                    <xdr:row>2882</xdr:row>
                    <xdr:rowOff>165100</xdr:rowOff>
                  </to>
                </anchor>
              </controlPr>
            </control>
          </mc:Choice>
        </mc:AlternateContent>
        <mc:AlternateContent xmlns:mc="http://schemas.openxmlformats.org/markup-compatibility/2006">
          <mc:Choice Requires="x14">
            <control shapeId="1591" r:id="rId1810" name="Button 567">
              <controlPr defaultSize="0" autoFill="0" autoLine="0" autoPict="0" macro="[0]!Sheet1.deleteRow">
                <anchor moveWithCells="1" sizeWithCells="1">
                  <from>
                    <xdr:col>6</xdr:col>
                    <xdr:colOff>0</xdr:colOff>
                    <xdr:row>2883</xdr:row>
                    <xdr:rowOff>0</xdr:rowOff>
                  </from>
                  <to>
                    <xdr:col>7</xdr:col>
                    <xdr:colOff>0</xdr:colOff>
                    <xdr:row>2883</xdr:row>
                    <xdr:rowOff>165100</xdr:rowOff>
                  </to>
                </anchor>
              </controlPr>
            </control>
          </mc:Choice>
        </mc:AlternateContent>
        <mc:AlternateContent xmlns:mc="http://schemas.openxmlformats.org/markup-compatibility/2006">
          <mc:Choice Requires="x14">
            <control shapeId="1590" r:id="rId1811" name="Button 566">
              <controlPr defaultSize="0" autoFill="0" autoLine="0" autoPict="0" macro="[0]!Sheet1.deleteRow">
                <anchor moveWithCells="1" sizeWithCells="1">
                  <from>
                    <xdr:col>6</xdr:col>
                    <xdr:colOff>0</xdr:colOff>
                    <xdr:row>2884</xdr:row>
                    <xdr:rowOff>0</xdr:rowOff>
                  </from>
                  <to>
                    <xdr:col>7</xdr:col>
                    <xdr:colOff>0</xdr:colOff>
                    <xdr:row>2884</xdr:row>
                    <xdr:rowOff>165100</xdr:rowOff>
                  </to>
                </anchor>
              </controlPr>
            </control>
          </mc:Choice>
        </mc:AlternateContent>
        <mc:AlternateContent xmlns:mc="http://schemas.openxmlformats.org/markup-compatibility/2006">
          <mc:Choice Requires="x14">
            <control shapeId="1589" r:id="rId1812" name="Button 565">
              <controlPr defaultSize="0" autoFill="0" autoLine="0" autoPict="0" macro="[0]!Sheet1.deleteRow">
                <anchor moveWithCells="1" sizeWithCells="1">
                  <from>
                    <xdr:col>6</xdr:col>
                    <xdr:colOff>0</xdr:colOff>
                    <xdr:row>2885</xdr:row>
                    <xdr:rowOff>0</xdr:rowOff>
                  </from>
                  <to>
                    <xdr:col>7</xdr:col>
                    <xdr:colOff>0</xdr:colOff>
                    <xdr:row>2885</xdr:row>
                    <xdr:rowOff>165100</xdr:rowOff>
                  </to>
                </anchor>
              </controlPr>
            </control>
          </mc:Choice>
        </mc:AlternateContent>
        <mc:AlternateContent xmlns:mc="http://schemas.openxmlformats.org/markup-compatibility/2006">
          <mc:Choice Requires="x14">
            <control shapeId="1588" r:id="rId1813" name="Button 564">
              <controlPr defaultSize="0" autoFill="0" autoLine="0" autoPict="0" macro="[0]!Sheet1.deleteRow">
                <anchor moveWithCells="1" sizeWithCells="1">
                  <from>
                    <xdr:col>6</xdr:col>
                    <xdr:colOff>0</xdr:colOff>
                    <xdr:row>2886</xdr:row>
                    <xdr:rowOff>0</xdr:rowOff>
                  </from>
                  <to>
                    <xdr:col>7</xdr:col>
                    <xdr:colOff>0</xdr:colOff>
                    <xdr:row>2886</xdr:row>
                    <xdr:rowOff>165100</xdr:rowOff>
                  </to>
                </anchor>
              </controlPr>
            </control>
          </mc:Choice>
        </mc:AlternateContent>
        <mc:AlternateContent xmlns:mc="http://schemas.openxmlformats.org/markup-compatibility/2006">
          <mc:Choice Requires="x14">
            <control shapeId="1587" r:id="rId1814" name="Button 563">
              <controlPr defaultSize="0" autoFill="0" autoLine="0" autoPict="0" macro="[0]!Sheet1.deleteRow">
                <anchor moveWithCells="1" sizeWithCells="1">
                  <from>
                    <xdr:col>6</xdr:col>
                    <xdr:colOff>0</xdr:colOff>
                    <xdr:row>2887</xdr:row>
                    <xdr:rowOff>0</xdr:rowOff>
                  </from>
                  <to>
                    <xdr:col>7</xdr:col>
                    <xdr:colOff>0</xdr:colOff>
                    <xdr:row>2887</xdr:row>
                    <xdr:rowOff>165100</xdr:rowOff>
                  </to>
                </anchor>
              </controlPr>
            </control>
          </mc:Choice>
        </mc:AlternateContent>
        <mc:AlternateContent xmlns:mc="http://schemas.openxmlformats.org/markup-compatibility/2006">
          <mc:Choice Requires="x14">
            <control shapeId="1586" r:id="rId1815" name="Button 562">
              <controlPr defaultSize="0" autoFill="0" autoLine="0" autoPict="0" macro="[0]!Sheet1.deleteRow">
                <anchor moveWithCells="1" sizeWithCells="1">
                  <from>
                    <xdr:col>6</xdr:col>
                    <xdr:colOff>0</xdr:colOff>
                    <xdr:row>2888</xdr:row>
                    <xdr:rowOff>0</xdr:rowOff>
                  </from>
                  <to>
                    <xdr:col>7</xdr:col>
                    <xdr:colOff>0</xdr:colOff>
                    <xdr:row>2888</xdr:row>
                    <xdr:rowOff>165100</xdr:rowOff>
                  </to>
                </anchor>
              </controlPr>
            </control>
          </mc:Choice>
        </mc:AlternateContent>
        <mc:AlternateContent xmlns:mc="http://schemas.openxmlformats.org/markup-compatibility/2006">
          <mc:Choice Requires="x14">
            <control shapeId="1585" r:id="rId1816" name="Button 561">
              <controlPr defaultSize="0" autoFill="0" autoLine="0" autoPict="0" macro="[0]!Sheet1.deleteRow">
                <anchor moveWithCells="1" sizeWithCells="1">
                  <from>
                    <xdr:col>6</xdr:col>
                    <xdr:colOff>0</xdr:colOff>
                    <xdr:row>2889</xdr:row>
                    <xdr:rowOff>0</xdr:rowOff>
                  </from>
                  <to>
                    <xdr:col>7</xdr:col>
                    <xdr:colOff>0</xdr:colOff>
                    <xdr:row>2889</xdr:row>
                    <xdr:rowOff>165100</xdr:rowOff>
                  </to>
                </anchor>
              </controlPr>
            </control>
          </mc:Choice>
        </mc:AlternateContent>
        <mc:AlternateContent xmlns:mc="http://schemas.openxmlformats.org/markup-compatibility/2006">
          <mc:Choice Requires="x14">
            <control shapeId="1584" r:id="rId1817" name="Button 560">
              <controlPr defaultSize="0" autoFill="0" autoLine="0" autoPict="0" macro="[0]!Sheet1.deleteRow">
                <anchor moveWithCells="1" sizeWithCells="1">
                  <from>
                    <xdr:col>6</xdr:col>
                    <xdr:colOff>0</xdr:colOff>
                    <xdr:row>2890</xdr:row>
                    <xdr:rowOff>0</xdr:rowOff>
                  </from>
                  <to>
                    <xdr:col>7</xdr:col>
                    <xdr:colOff>0</xdr:colOff>
                    <xdr:row>2890</xdr:row>
                    <xdr:rowOff>165100</xdr:rowOff>
                  </to>
                </anchor>
              </controlPr>
            </control>
          </mc:Choice>
        </mc:AlternateContent>
        <mc:AlternateContent xmlns:mc="http://schemas.openxmlformats.org/markup-compatibility/2006">
          <mc:Choice Requires="x14">
            <control shapeId="1583" r:id="rId1818" name="Button 559">
              <controlPr defaultSize="0" autoFill="0" autoLine="0" autoPict="0" macro="[0]!Sheet1.deleteRow">
                <anchor moveWithCells="1" sizeWithCells="1">
                  <from>
                    <xdr:col>6</xdr:col>
                    <xdr:colOff>0</xdr:colOff>
                    <xdr:row>2891</xdr:row>
                    <xdr:rowOff>0</xdr:rowOff>
                  </from>
                  <to>
                    <xdr:col>7</xdr:col>
                    <xdr:colOff>0</xdr:colOff>
                    <xdr:row>2891</xdr:row>
                    <xdr:rowOff>165100</xdr:rowOff>
                  </to>
                </anchor>
              </controlPr>
            </control>
          </mc:Choice>
        </mc:AlternateContent>
        <mc:AlternateContent xmlns:mc="http://schemas.openxmlformats.org/markup-compatibility/2006">
          <mc:Choice Requires="x14">
            <control shapeId="1582" r:id="rId1819" name="Button 558">
              <controlPr defaultSize="0" autoFill="0" autoLine="0" autoPict="0" macro="[0]!Sheet1.deleteRow">
                <anchor moveWithCells="1" sizeWithCells="1">
                  <from>
                    <xdr:col>6</xdr:col>
                    <xdr:colOff>0</xdr:colOff>
                    <xdr:row>2892</xdr:row>
                    <xdr:rowOff>0</xdr:rowOff>
                  </from>
                  <to>
                    <xdr:col>7</xdr:col>
                    <xdr:colOff>0</xdr:colOff>
                    <xdr:row>2892</xdr:row>
                    <xdr:rowOff>165100</xdr:rowOff>
                  </to>
                </anchor>
              </controlPr>
            </control>
          </mc:Choice>
        </mc:AlternateContent>
        <mc:AlternateContent xmlns:mc="http://schemas.openxmlformats.org/markup-compatibility/2006">
          <mc:Choice Requires="x14">
            <control shapeId="1581" r:id="rId1820" name="Button 557">
              <controlPr defaultSize="0" autoFill="0" autoLine="0" autoPict="0" macro="[0]!Sheet1.deleteRow">
                <anchor moveWithCells="1" sizeWithCells="1">
                  <from>
                    <xdr:col>6</xdr:col>
                    <xdr:colOff>0</xdr:colOff>
                    <xdr:row>2893</xdr:row>
                    <xdr:rowOff>0</xdr:rowOff>
                  </from>
                  <to>
                    <xdr:col>7</xdr:col>
                    <xdr:colOff>0</xdr:colOff>
                    <xdr:row>2893</xdr:row>
                    <xdr:rowOff>165100</xdr:rowOff>
                  </to>
                </anchor>
              </controlPr>
            </control>
          </mc:Choice>
        </mc:AlternateContent>
        <mc:AlternateContent xmlns:mc="http://schemas.openxmlformats.org/markup-compatibility/2006">
          <mc:Choice Requires="x14">
            <control shapeId="1580" r:id="rId1821" name="Button 556">
              <controlPr defaultSize="0" autoFill="0" autoLine="0" autoPict="0" macro="[0]!Sheet1.deleteRow">
                <anchor moveWithCells="1" sizeWithCells="1">
                  <from>
                    <xdr:col>6</xdr:col>
                    <xdr:colOff>0</xdr:colOff>
                    <xdr:row>2894</xdr:row>
                    <xdr:rowOff>0</xdr:rowOff>
                  </from>
                  <to>
                    <xdr:col>7</xdr:col>
                    <xdr:colOff>0</xdr:colOff>
                    <xdr:row>2894</xdr:row>
                    <xdr:rowOff>165100</xdr:rowOff>
                  </to>
                </anchor>
              </controlPr>
            </control>
          </mc:Choice>
        </mc:AlternateContent>
        <mc:AlternateContent xmlns:mc="http://schemas.openxmlformats.org/markup-compatibility/2006">
          <mc:Choice Requires="x14">
            <control shapeId="1579" r:id="rId1822" name="Button 555">
              <controlPr defaultSize="0" autoFill="0" autoLine="0" autoPict="0" macro="[0]!Sheet1.deleteRow">
                <anchor moveWithCells="1" sizeWithCells="1">
                  <from>
                    <xdr:col>6</xdr:col>
                    <xdr:colOff>0</xdr:colOff>
                    <xdr:row>2895</xdr:row>
                    <xdr:rowOff>0</xdr:rowOff>
                  </from>
                  <to>
                    <xdr:col>7</xdr:col>
                    <xdr:colOff>0</xdr:colOff>
                    <xdr:row>2895</xdr:row>
                    <xdr:rowOff>165100</xdr:rowOff>
                  </to>
                </anchor>
              </controlPr>
            </control>
          </mc:Choice>
        </mc:AlternateContent>
        <mc:AlternateContent xmlns:mc="http://schemas.openxmlformats.org/markup-compatibility/2006">
          <mc:Choice Requires="x14">
            <control shapeId="1578" r:id="rId1823" name="Button 554">
              <controlPr defaultSize="0" autoFill="0" autoLine="0" autoPict="0" macro="[0]!Sheet1.deleteRow">
                <anchor moveWithCells="1" sizeWithCells="1">
                  <from>
                    <xdr:col>6</xdr:col>
                    <xdr:colOff>0</xdr:colOff>
                    <xdr:row>2896</xdr:row>
                    <xdr:rowOff>0</xdr:rowOff>
                  </from>
                  <to>
                    <xdr:col>7</xdr:col>
                    <xdr:colOff>0</xdr:colOff>
                    <xdr:row>2896</xdr:row>
                    <xdr:rowOff>165100</xdr:rowOff>
                  </to>
                </anchor>
              </controlPr>
            </control>
          </mc:Choice>
        </mc:AlternateContent>
        <mc:AlternateContent xmlns:mc="http://schemas.openxmlformats.org/markup-compatibility/2006">
          <mc:Choice Requires="x14">
            <control shapeId="1577" r:id="rId1824" name="Button 553">
              <controlPr defaultSize="0" autoFill="0" autoLine="0" autoPict="0" macro="[0]!Sheet1.deleteRow">
                <anchor moveWithCells="1" sizeWithCells="1">
                  <from>
                    <xdr:col>6</xdr:col>
                    <xdr:colOff>0</xdr:colOff>
                    <xdr:row>2897</xdr:row>
                    <xdr:rowOff>0</xdr:rowOff>
                  </from>
                  <to>
                    <xdr:col>7</xdr:col>
                    <xdr:colOff>0</xdr:colOff>
                    <xdr:row>2897</xdr:row>
                    <xdr:rowOff>165100</xdr:rowOff>
                  </to>
                </anchor>
              </controlPr>
            </control>
          </mc:Choice>
        </mc:AlternateContent>
        <mc:AlternateContent xmlns:mc="http://schemas.openxmlformats.org/markup-compatibility/2006">
          <mc:Choice Requires="x14">
            <control shapeId="1576" r:id="rId1825" name="Button 552">
              <controlPr defaultSize="0" autoFill="0" autoLine="0" autoPict="0" macro="[0]!Sheet1.deleteRow">
                <anchor moveWithCells="1" sizeWithCells="1">
                  <from>
                    <xdr:col>6</xdr:col>
                    <xdr:colOff>0</xdr:colOff>
                    <xdr:row>2898</xdr:row>
                    <xdr:rowOff>0</xdr:rowOff>
                  </from>
                  <to>
                    <xdr:col>7</xdr:col>
                    <xdr:colOff>0</xdr:colOff>
                    <xdr:row>2898</xdr:row>
                    <xdr:rowOff>165100</xdr:rowOff>
                  </to>
                </anchor>
              </controlPr>
            </control>
          </mc:Choice>
        </mc:AlternateContent>
        <mc:AlternateContent xmlns:mc="http://schemas.openxmlformats.org/markup-compatibility/2006">
          <mc:Choice Requires="x14">
            <control shapeId="1575" r:id="rId1826" name="Button 551">
              <controlPr defaultSize="0" autoFill="0" autoLine="0" autoPict="0" macro="[0]!Sheet1.deleteRow">
                <anchor moveWithCells="1" sizeWithCells="1">
                  <from>
                    <xdr:col>6</xdr:col>
                    <xdr:colOff>0</xdr:colOff>
                    <xdr:row>2899</xdr:row>
                    <xdr:rowOff>0</xdr:rowOff>
                  </from>
                  <to>
                    <xdr:col>7</xdr:col>
                    <xdr:colOff>0</xdr:colOff>
                    <xdr:row>2899</xdr:row>
                    <xdr:rowOff>165100</xdr:rowOff>
                  </to>
                </anchor>
              </controlPr>
            </control>
          </mc:Choice>
        </mc:AlternateContent>
        <mc:AlternateContent xmlns:mc="http://schemas.openxmlformats.org/markup-compatibility/2006">
          <mc:Choice Requires="x14">
            <control shapeId="1574" r:id="rId1827" name="Button 550">
              <controlPr defaultSize="0" autoFill="0" autoLine="0" autoPict="0" macro="[0]!Sheet1.deleteRow">
                <anchor moveWithCells="1" sizeWithCells="1">
                  <from>
                    <xdr:col>6</xdr:col>
                    <xdr:colOff>0</xdr:colOff>
                    <xdr:row>2900</xdr:row>
                    <xdr:rowOff>0</xdr:rowOff>
                  </from>
                  <to>
                    <xdr:col>7</xdr:col>
                    <xdr:colOff>0</xdr:colOff>
                    <xdr:row>2900</xdr:row>
                    <xdr:rowOff>165100</xdr:rowOff>
                  </to>
                </anchor>
              </controlPr>
            </control>
          </mc:Choice>
        </mc:AlternateContent>
        <mc:AlternateContent xmlns:mc="http://schemas.openxmlformats.org/markup-compatibility/2006">
          <mc:Choice Requires="x14">
            <control shapeId="1573" r:id="rId1828" name="Button 549">
              <controlPr defaultSize="0" autoFill="0" autoLine="0" autoPict="0" macro="[0]!Sheet1.deleteRow">
                <anchor moveWithCells="1" sizeWithCells="1">
                  <from>
                    <xdr:col>6</xdr:col>
                    <xdr:colOff>0</xdr:colOff>
                    <xdr:row>2901</xdr:row>
                    <xdr:rowOff>0</xdr:rowOff>
                  </from>
                  <to>
                    <xdr:col>7</xdr:col>
                    <xdr:colOff>0</xdr:colOff>
                    <xdr:row>2901</xdr:row>
                    <xdr:rowOff>165100</xdr:rowOff>
                  </to>
                </anchor>
              </controlPr>
            </control>
          </mc:Choice>
        </mc:AlternateContent>
        <mc:AlternateContent xmlns:mc="http://schemas.openxmlformats.org/markup-compatibility/2006">
          <mc:Choice Requires="x14">
            <control shapeId="1572" r:id="rId1829" name="Button 548">
              <controlPr defaultSize="0" autoFill="0" autoLine="0" autoPict="0" macro="[0]!Sheet1.deleteRow">
                <anchor moveWithCells="1" sizeWithCells="1">
                  <from>
                    <xdr:col>6</xdr:col>
                    <xdr:colOff>0</xdr:colOff>
                    <xdr:row>2902</xdr:row>
                    <xdr:rowOff>0</xdr:rowOff>
                  </from>
                  <to>
                    <xdr:col>7</xdr:col>
                    <xdr:colOff>0</xdr:colOff>
                    <xdr:row>2902</xdr:row>
                    <xdr:rowOff>165100</xdr:rowOff>
                  </to>
                </anchor>
              </controlPr>
            </control>
          </mc:Choice>
        </mc:AlternateContent>
        <mc:AlternateContent xmlns:mc="http://schemas.openxmlformats.org/markup-compatibility/2006">
          <mc:Choice Requires="x14">
            <control shapeId="1571" r:id="rId1830" name="Button 547">
              <controlPr defaultSize="0" autoFill="0" autoLine="0" autoPict="0" macro="[0]!Sheet1.deleteRow">
                <anchor moveWithCells="1" sizeWithCells="1">
                  <from>
                    <xdr:col>6</xdr:col>
                    <xdr:colOff>0</xdr:colOff>
                    <xdr:row>2903</xdr:row>
                    <xdr:rowOff>0</xdr:rowOff>
                  </from>
                  <to>
                    <xdr:col>7</xdr:col>
                    <xdr:colOff>0</xdr:colOff>
                    <xdr:row>2903</xdr:row>
                    <xdr:rowOff>165100</xdr:rowOff>
                  </to>
                </anchor>
              </controlPr>
            </control>
          </mc:Choice>
        </mc:AlternateContent>
        <mc:AlternateContent xmlns:mc="http://schemas.openxmlformats.org/markup-compatibility/2006">
          <mc:Choice Requires="x14">
            <control shapeId="1570" r:id="rId1831" name="Button 546">
              <controlPr defaultSize="0" autoFill="0" autoLine="0" autoPict="0" macro="[0]!Sheet1.deleteRow">
                <anchor moveWithCells="1" sizeWithCells="1">
                  <from>
                    <xdr:col>6</xdr:col>
                    <xdr:colOff>0</xdr:colOff>
                    <xdr:row>2904</xdr:row>
                    <xdr:rowOff>0</xdr:rowOff>
                  </from>
                  <to>
                    <xdr:col>7</xdr:col>
                    <xdr:colOff>0</xdr:colOff>
                    <xdr:row>2904</xdr:row>
                    <xdr:rowOff>165100</xdr:rowOff>
                  </to>
                </anchor>
              </controlPr>
            </control>
          </mc:Choice>
        </mc:AlternateContent>
        <mc:AlternateContent xmlns:mc="http://schemas.openxmlformats.org/markup-compatibility/2006">
          <mc:Choice Requires="x14">
            <control shapeId="1569" r:id="rId1832" name="Button 545">
              <controlPr defaultSize="0" autoFill="0" autoLine="0" autoPict="0" macro="[0]!Sheet1.deleteRow">
                <anchor moveWithCells="1" sizeWithCells="1">
                  <from>
                    <xdr:col>6</xdr:col>
                    <xdr:colOff>0</xdr:colOff>
                    <xdr:row>2905</xdr:row>
                    <xdr:rowOff>0</xdr:rowOff>
                  </from>
                  <to>
                    <xdr:col>7</xdr:col>
                    <xdr:colOff>0</xdr:colOff>
                    <xdr:row>2905</xdr:row>
                    <xdr:rowOff>165100</xdr:rowOff>
                  </to>
                </anchor>
              </controlPr>
            </control>
          </mc:Choice>
        </mc:AlternateContent>
        <mc:AlternateContent xmlns:mc="http://schemas.openxmlformats.org/markup-compatibility/2006">
          <mc:Choice Requires="x14">
            <control shapeId="1568" r:id="rId1833" name="Button 544">
              <controlPr defaultSize="0" autoFill="0" autoLine="0" autoPict="0" macro="[0]!Sheet1.deleteRow">
                <anchor moveWithCells="1" sizeWithCells="1">
                  <from>
                    <xdr:col>6</xdr:col>
                    <xdr:colOff>0</xdr:colOff>
                    <xdr:row>2906</xdr:row>
                    <xdr:rowOff>0</xdr:rowOff>
                  </from>
                  <to>
                    <xdr:col>7</xdr:col>
                    <xdr:colOff>0</xdr:colOff>
                    <xdr:row>2906</xdr:row>
                    <xdr:rowOff>165100</xdr:rowOff>
                  </to>
                </anchor>
              </controlPr>
            </control>
          </mc:Choice>
        </mc:AlternateContent>
        <mc:AlternateContent xmlns:mc="http://schemas.openxmlformats.org/markup-compatibility/2006">
          <mc:Choice Requires="x14">
            <control shapeId="1567" r:id="rId1834" name="Button 543">
              <controlPr defaultSize="0" autoFill="0" autoLine="0" autoPict="0" macro="[0]!Sheet1.deleteRow">
                <anchor moveWithCells="1" sizeWithCells="1">
                  <from>
                    <xdr:col>6</xdr:col>
                    <xdr:colOff>0</xdr:colOff>
                    <xdr:row>2907</xdr:row>
                    <xdr:rowOff>0</xdr:rowOff>
                  </from>
                  <to>
                    <xdr:col>7</xdr:col>
                    <xdr:colOff>0</xdr:colOff>
                    <xdr:row>2907</xdr:row>
                    <xdr:rowOff>165100</xdr:rowOff>
                  </to>
                </anchor>
              </controlPr>
            </control>
          </mc:Choice>
        </mc:AlternateContent>
        <mc:AlternateContent xmlns:mc="http://schemas.openxmlformats.org/markup-compatibility/2006">
          <mc:Choice Requires="x14">
            <control shapeId="1566" r:id="rId1835" name="Button 542">
              <controlPr defaultSize="0" autoFill="0" autoLine="0" autoPict="0" macro="[0]!Sheet1.deleteRow">
                <anchor moveWithCells="1" sizeWithCells="1">
                  <from>
                    <xdr:col>6</xdr:col>
                    <xdr:colOff>0</xdr:colOff>
                    <xdr:row>2908</xdr:row>
                    <xdr:rowOff>0</xdr:rowOff>
                  </from>
                  <to>
                    <xdr:col>7</xdr:col>
                    <xdr:colOff>0</xdr:colOff>
                    <xdr:row>2908</xdr:row>
                    <xdr:rowOff>165100</xdr:rowOff>
                  </to>
                </anchor>
              </controlPr>
            </control>
          </mc:Choice>
        </mc:AlternateContent>
        <mc:AlternateContent xmlns:mc="http://schemas.openxmlformats.org/markup-compatibility/2006">
          <mc:Choice Requires="x14">
            <control shapeId="1565" r:id="rId1836" name="Button 541">
              <controlPr defaultSize="0" autoFill="0" autoLine="0" autoPict="0" macro="[0]!Sheet1.deleteRow">
                <anchor moveWithCells="1" sizeWithCells="1">
                  <from>
                    <xdr:col>6</xdr:col>
                    <xdr:colOff>0</xdr:colOff>
                    <xdr:row>2909</xdr:row>
                    <xdr:rowOff>0</xdr:rowOff>
                  </from>
                  <to>
                    <xdr:col>7</xdr:col>
                    <xdr:colOff>0</xdr:colOff>
                    <xdr:row>2909</xdr:row>
                    <xdr:rowOff>165100</xdr:rowOff>
                  </to>
                </anchor>
              </controlPr>
            </control>
          </mc:Choice>
        </mc:AlternateContent>
        <mc:AlternateContent xmlns:mc="http://schemas.openxmlformats.org/markup-compatibility/2006">
          <mc:Choice Requires="x14">
            <control shapeId="1564" r:id="rId1837" name="Button 540">
              <controlPr defaultSize="0" autoFill="0" autoLine="0" autoPict="0" macro="[0]!Sheet1.deleteRow">
                <anchor moveWithCells="1" sizeWithCells="1">
                  <from>
                    <xdr:col>6</xdr:col>
                    <xdr:colOff>0</xdr:colOff>
                    <xdr:row>2910</xdr:row>
                    <xdr:rowOff>0</xdr:rowOff>
                  </from>
                  <to>
                    <xdr:col>7</xdr:col>
                    <xdr:colOff>0</xdr:colOff>
                    <xdr:row>2910</xdr:row>
                    <xdr:rowOff>165100</xdr:rowOff>
                  </to>
                </anchor>
              </controlPr>
            </control>
          </mc:Choice>
        </mc:AlternateContent>
        <mc:AlternateContent xmlns:mc="http://schemas.openxmlformats.org/markup-compatibility/2006">
          <mc:Choice Requires="x14">
            <control shapeId="1563" r:id="rId1838" name="Button 539">
              <controlPr defaultSize="0" autoFill="0" autoLine="0" autoPict="0" macro="[0]!Sheet1.deleteRow">
                <anchor moveWithCells="1" sizeWithCells="1">
                  <from>
                    <xdr:col>6</xdr:col>
                    <xdr:colOff>0</xdr:colOff>
                    <xdr:row>2911</xdr:row>
                    <xdr:rowOff>0</xdr:rowOff>
                  </from>
                  <to>
                    <xdr:col>7</xdr:col>
                    <xdr:colOff>0</xdr:colOff>
                    <xdr:row>2911</xdr:row>
                    <xdr:rowOff>165100</xdr:rowOff>
                  </to>
                </anchor>
              </controlPr>
            </control>
          </mc:Choice>
        </mc:AlternateContent>
        <mc:AlternateContent xmlns:mc="http://schemas.openxmlformats.org/markup-compatibility/2006">
          <mc:Choice Requires="x14">
            <control shapeId="1562" r:id="rId1839" name="Button 538">
              <controlPr defaultSize="0" autoFill="0" autoLine="0" autoPict="0" macro="[0]!Sheet1.deleteRow">
                <anchor moveWithCells="1" sizeWithCells="1">
                  <from>
                    <xdr:col>6</xdr:col>
                    <xdr:colOff>0</xdr:colOff>
                    <xdr:row>2912</xdr:row>
                    <xdr:rowOff>0</xdr:rowOff>
                  </from>
                  <to>
                    <xdr:col>7</xdr:col>
                    <xdr:colOff>0</xdr:colOff>
                    <xdr:row>2912</xdr:row>
                    <xdr:rowOff>165100</xdr:rowOff>
                  </to>
                </anchor>
              </controlPr>
            </control>
          </mc:Choice>
        </mc:AlternateContent>
        <mc:AlternateContent xmlns:mc="http://schemas.openxmlformats.org/markup-compatibility/2006">
          <mc:Choice Requires="x14">
            <control shapeId="1561" r:id="rId1840" name="Button 537">
              <controlPr defaultSize="0" autoFill="0" autoLine="0" autoPict="0" macro="[0]!Sheet1.deleteRow">
                <anchor moveWithCells="1" sizeWithCells="1">
                  <from>
                    <xdr:col>6</xdr:col>
                    <xdr:colOff>0</xdr:colOff>
                    <xdr:row>2913</xdr:row>
                    <xdr:rowOff>0</xdr:rowOff>
                  </from>
                  <to>
                    <xdr:col>7</xdr:col>
                    <xdr:colOff>0</xdr:colOff>
                    <xdr:row>2913</xdr:row>
                    <xdr:rowOff>165100</xdr:rowOff>
                  </to>
                </anchor>
              </controlPr>
            </control>
          </mc:Choice>
        </mc:AlternateContent>
        <mc:AlternateContent xmlns:mc="http://schemas.openxmlformats.org/markup-compatibility/2006">
          <mc:Choice Requires="x14">
            <control shapeId="1560" r:id="rId1841" name="Button 536">
              <controlPr defaultSize="0" autoFill="0" autoLine="0" autoPict="0" macro="[0]!Sheet1.deleteRow">
                <anchor moveWithCells="1" sizeWithCells="1">
                  <from>
                    <xdr:col>6</xdr:col>
                    <xdr:colOff>0</xdr:colOff>
                    <xdr:row>2914</xdr:row>
                    <xdr:rowOff>0</xdr:rowOff>
                  </from>
                  <to>
                    <xdr:col>7</xdr:col>
                    <xdr:colOff>0</xdr:colOff>
                    <xdr:row>2914</xdr:row>
                    <xdr:rowOff>165100</xdr:rowOff>
                  </to>
                </anchor>
              </controlPr>
            </control>
          </mc:Choice>
        </mc:AlternateContent>
        <mc:AlternateContent xmlns:mc="http://schemas.openxmlformats.org/markup-compatibility/2006">
          <mc:Choice Requires="x14">
            <control shapeId="1559" r:id="rId1842" name="Button 535">
              <controlPr defaultSize="0" autoFill="0" autoLine="0" autoPict="0" macro="[0]!Sheet1.deleteRow">
                <anchor moveWithCells="1" sizeWithCells="1">
                  <from>
                    <xdr:col>6</xdr:col>
                    <xdr:colOff>0</xdr:colOff>
                    <xdr:row>2915</xdr:row>
                    <xdr:rowOff>0</xdr:rowOff>
                  </from>
                  <to>
                    <xdr:col>7</xdr:col>
                    <xdr:colOff>0</xdr:colOff>
                    <xdr:row>2915</xdr:row>
                    <xdr:rowOff>165100</xdr:rowOff>
                  </to>
                </anchor>
              </controlPr>
            </control>
          </mc:Choice>
        </mc:AlternateContent>
        <mc:AlternateContent xmlns:mc="http://schemas.openxmlformats.org/markup-compatibility/2006">
          <mc:Choice Requires="x14">
            <control shapeId="1558" r:id="rId1843" name="Button 534">
              <controlPr defaultSize="0" autoFill="0" autoLine="0" autoPict="0" macro="[0]!Sheet1.deleteRow">
                <anchor moveWithCells="1" sizeWithCells="1">
                  <from>
                    <xdr:col>6</xdr:col>
                    <xdr:colOff>0</xdr:colOff>
                    <xdr:row>2916</xdr:row>
                    <xdr:rowOff>0</xdr:rowOff>
                  </from>
                  <to>
                    <xdr:col>7</xdr:col>
                    <xdr:colOff>0</xdr:colOff>
                    <xdr:row>2916</xdr:row>
                    <xdr:rowOff>165100</xdr:rowOff>
                  </to>
                </anchor>
              </controlPr>
            </control>
          </mc:Choice>
        </mc:AlternateContent>
        <mc:AlternateContent xmlns:mc="http://schemas.openxmlformats.org/markup-compatibility/2006">
          <mc:Choice Requires="x14">
            <control shapeId="1557" r:id="rId1844" name="Button 533">
              <controlPr defaultSize="0" autoFill="0" autoLine="0" autoPict="0" macro="[0]!Sheet1.deleteRow">
                <anchor moveWithCells="1" sizeWithCells="1">
                  <from>
                    <xdr:col>6</xdr:col>
                    <xdr:colOff>0</xdr:colOff>
                    <xdr:row>2917</xdr:row>
                    <xdr:rowOff>0</xdr:rowOff>
                  </from>
                  <to>
                    <xdr:col>7</xdr:col>
                    <xdr:colOff>0</xdr:colOff>
                    <xdr:row>2917</xdr:row>
                    <xdr:rowOff>165100</xdr:rowOff>
                  </to>
                </anchor>
              </controlPr>
            </control>
          </mc:Choice>
        </mc:AlternateContent>
        <mc:AlternateContent xmlns:mc="http://schemas.openxmlformats.org/markup-compatibility/2006">
          <mc:Choice Requires="x14">
            <control shapeId="1556" r:id="rId1845" name="Button 532">
              <controlPr defaultSize="0" autoFill="0" autoLine="0" autoPict="0" macro="[0]!Sheet1.deleteRow">
                <anchor moveWithCells="1" sizeWithCells="1">
                  <from>
                    <xdr:col>6</xdr:col>
                    <xdr:colOff>0</xdr:colOff>
                    <xdr:row>2918</xdr:row>
                    <xdr:rowOff>0</xdr:rowOff>
                  </from>
                  <to>
                    <xdr:col>7</xdr:col>
                    <xdr:colOff>0</xdr:colOff>
                    <xdr:row>2918</xdr:row>
                    <xdr:rowOff>165100</xdr:rowOff>
                  </to>
                </anchor>
              </controlPr>
            </control>
          </mc:Choice>
        </mc:AlternateContent>
        <mc:AlternateContent xmlns:mc="http://schemas.openxmlformats.org/markup-compatibility/2006">
          <mc:Choice Requires="x14">
            <control shapeId="1555" r:id="rId1846" name="Button 531">
              <controlPr defaultSize="0" autoFill="0" autoLine="0" autoPict="0" macro="[0]!Sheet1.deleteProcedure">
                <anchor moveWithCells="1" sizeWithCells="1">
                  <from>
                    <xdr:col>6</xdr:col>
                    <xdr:colOff>0</xdr:colOff>
                    <xdr:row>2921</xdr:row>
                    <xdr:rowOff>0</xdr:rowOff>
                  </from>
                  <to>
                    <xdr:col>7</xdr:col>
                    <xdr:colOff>0</xdr:colOff>
                    <xdr:row>2922</xdr:row>
                    <xdr:rowOff>0</xdr:rowOff>
                  </to>
                </anchor>
              </controlPr>
            </control>
          </mc:Choice>
        </mc:AlternateContent>
        <mc:AlternateContent xmlns:mc="http://schemas.openxmlformats.org/markup-compatibility/2006">
          <mc:Choice Requires="x14">
            <control shapeId="1554" r:id="rId1847" name="Button 530">
              <controlPr defaultSize="0" autoFill="0" autoLine="0" autoPict="0" macro="[0]!Sheet1.InsertNewTableRow">
                <anchor moveWithCells="1" sizeWithCells="1">
                  <from>
                    <xdr:col>6</xdr:col>
                    <xdr:colOff>0</xdr:colOff>
                    <xdr:row>2928</xdr:row>
                    <xdr:rowOff>0</xdr:rowOff>
                  </from>
                  <to>
                    <xdr:col>7</xdr:col>
                    <xdr:colOff>0</xdr:colOff>
                    <xdr:row>2928</xdr:row>
                    <xdr:rowOff>171450</xdr:rowOff>
                  </to>
                </anchor>
              </controlPr>
            </control>
          </mc:Choice>
        </mc:AlternateContent>
        <mc:AlternateContent xmlns:mc="http://schemas.openxmlformats.org/markup-compatibility/2006">
          <mc:Choice Requires="x14">
            <control shapeId="1553" r:id="rId1848" name="Button 529">
              <controlPr defaultSize="0" autoFill="0" autoLine="0" autoPict="0" macro="[0]!Sheet1.deleteRow">
                <anchor moveWithCells="1" sizeWithCells="1">
                  <from>
                    <xdr:col>6</xdr:col>
                    <xdr:colOff>0</xdr:colOff>
                    <xdr:row>2929</xdr:row>
                    <xdr:rowOff>0</xdr:rowOff>
                  </from>
                  <to>
                    <xdr:col>7</xdr:col>
                    <xdr:colOff>0</xdr:colOff>
                    <xdr:row>2929</xdr:row>
                    <xdr:rowOff>165100</xdr:rowOff>
                  </to>
                </anchor>
              </controlPr>
            </control>
          </mc:Choice>
        </mc:AlternateContent>
        <mc:AlternateContent xmlns:mc="http://schemas.openxmlformats.org/markup-compatibility/2006">
          <mc:Choice Requires="x14">
            <control shapeId="1552" r:id="rId1849" name="Button 528">
              <controlPr defaultSize="0" autoFill="0" autoLine="0" autoPict="0" macro="[0]!Sheet1.deleteRow">
                <anchor moveWithCells="1" sizeWithCells="1">
                  <from>
                    <xdr:col>6</xdr:col>
                    <xdr:colOff>0</xdr:colOff>
                    <xdr:row>2930</xdr:row>
                    <xdr:rowOff>0</xdr:rowOff>
                  </from>
                  <to>
                    <xdr:col>7</xdr:col>
                    <xdr:colOff>0</xdr:colOff>
                    <xdr:row>2930</xdr:row>
                    <xdr:rowOff>165100</xdr:rowOff>
                  </to>
                </anchor>
              </controlPr>
            </control>
          </mc:Choice>
        </mc:AlternateContent>
        <mc:AlternateContent xmlns:mc="http://schemas.openxmlformats.org/markup-compatibility/2006">
          <mc:Choice Requires="x14">
            <control shapeId="1551" r:id="rId1850" name="Button 527">
              <controlPr defaultSize="0" autoFill="0" autoLine="0" autoPict="0" macro="[0]!Sheet1.deleteRow">
                <anchor moveWithCells="1" sizeWithCells="1">
                  <from>
                    <xdr:col>6</xdr:col>
                    <xdr:colOff>0</xdr:colOff>
                    <xdr:row>2931</xdr:row>
                    <xdr:rowOff>0</xdr:rowOff>
                  </from>
                  <to>
                    <xdr:col>7</xdr:col>
                    <xdr:colOff>0</xdr:colOff>
                    <xdr:row>2931</xdr:row>
                    <xdr:rowOff>165100</xdr:rowOff>
                  </to>
                </anchor>
              </controlPr>
            </control>
          </mc:Choice>
        </mc:AlternateContent>
        <mc:AlternateContent xmlns:mc="http://schemas.openxmlformats.org/markup-compatibility/2006">
          <mc:Choice Requires="x14">
            <control shapeId="1550" r:id="rId1851" name="Button 526">
              <controlPr defaultSize="0" autoFill="0" autoLine="0" autoPict="0" macro="[0]!Sheet1.deleteRow">
                <anchor moveWithCells="1" sizeWithCells="1">
                  <from>
                    <xdr:col>6</xdr:col>
                    <xdr:colOff>0</xdr:colOff>
                    <xdr:row>2932</xdr:row>
                    <xdr:rowOff>0</xdr:rowOff>
                  </from>
                  <to>
                    <xdr:col>7</xdr:col>
                    <xdr:colOff>0</xdr:colOff>
                    <xdr:row>2932</xdr:row>
                    <xdr:rowOff>165100</xdr:rowOff>
                  </to>
                </anchor>
              </controlPr>
            </control>
          </mc:Choice>
        </mc:AlternateContent>
        <mc:AlternateContent xmlns:mc="http://schemas.openxmlformats.org/markup-compatibility/2006">
          <mc:Choice Requires="x14">
            <control shapeId="1549" r:id="rId1852" name="Button 525">
              <controlPr defaultSize="0" autoFill="0" autoLine="0" autoPict="0" macro="[0]!Sheet1.deleteProcedure">
                <anchor moveWithCells="1" sizeWithCells="1">
                  <from>
                    <xdr:col>6</xdr:col>
                    <xdr:colOff>0</xdr:colOff>
                    <xdr:row>2935</xdr:row>
                    <xdr:rowOff>0</xdr:rowOff>
                  </from>
                  <to>
                    <xdr:col>7</xdr:col>
                    <xdr:colOff>0</xdr:colOff>
                    <xdr:row>2936</xdr:row>
                    <xdr:rowOff>0</xdr:rowOff>
                  </to>
                </anchor>
              </controlPr>
            </control>
          </mc:Choice>
        </mc:AlternateContent>
        <mc:AlternateContent xmlns:mc="http://schemas.openxmlformats.org/markup-compatibility/2006">
          <mc:Choice Requires="x14">
            <control shapeId="1548" r:id="rId1853" name="Button 524">
              <controlPr defaultSize="0" autoFill="0" autoLine="0" autoPict="0" macro="[0]!Sheet1.InsertNewTableRow">
                <anchor moveWithCells="1" sizeWithCells="1">
                  <from>
                    <xdr:col>6</xdr:col>
                    <xdr:colOff>0</xdr:colOff>
                    <xdr:row>2942</xdr:row>
                    <xdr:rowOff>0</xdr:rowOff>
                  </from>
                  <to>
                    <xdr:col>7</xdr:col>
                    <xdr:colOff>0</xdr:colOff>
                    <xdr:row>2942</xdr:row>
                    <xdr:rowOff>171450</xdr:rowOff>
                  </to>
                </anchor>
              </controlPr>
            </control>
          </mc:Choice>
        </mc:AlternateContent>
        <mc:AlternateContent xmlns:mc="http://schemas.openxmlformats.org/markup-compatibility/2006">
          <mc:Choice Requires="x14">
            <control shapeId="1547" r:id="rId1854" name="Button 523">
              <controlPr defaultSize="0" autoFill="0" autoLine="0" autoPict="0" macro="[0]!Sheet1.deleteRow">
                <anchor moveWithCells="1" sizeWithCells="1">
                  <from>
                    <xdr:col>6</xdr:col>
                    <xdr:colOff>0</xdr:colOff>
                    <xdr:row>2943</xdr:row>
                    <xdr:rowOff>0</xdr:rowOff>
                  </from>
                  <to>
                    <xdr:col>7</xdr:col>
                    <xdr:colOff>0</xdr:colOff>
                    <xdr:row>2943</xdr:row>
                    <xdr:rowOff>165100</xdr:rowOff>
                  </to>
                </anchor>
              </controlPr>
            </control>
          </mc:Choice>
        </mc:AlternateContent>
        <mc:AlternateContent xmlns:mc="http://schemas.openxmlformats.org/markup-compatibility/2006">
          <mc:Choice Requires="x14">
            <control shapeId="1546" r:id="rId1855" name="Button 522">
              <controlPr defaultSize="0" autoFill="0" autoLine="0" autoPict="0" macro="[0]!Sheet1.deleteRow">
                <anchor moveWithCells="1" sizeWithCells="1">
                  <from>
                    <xdr:col>6</xdr:col>
                    <xdr:colOff>0</xdr:colOff>
                    <xdr:row>2944</xdr:row>
                    <xdr:rowOff>0</xdr:rowOff>
                  </from>
                  <to>
                    <xdr:col>7</xdr:col>
                    <xdr:colOff>0</xdr:colOff>
                    <xdr:row>2944</xdr:row>
                    <xdr:rowOff>165100</xdr:rowOff>
                  </to>
                </anchor>
              </controlPr>
            </control>
          </mc:Choice>
        </mc:AlternateContent>
        <mc:AlternateContent xmlns:mc="http://schemas.openxmlformats.org/markup-compatibility/2006">
          <mc:Choice Requires="x14">
            <control shapeId="1545" r:id="rId1856" name="Button 521">
              <controlPr defaultSize="0" autoFill="0" autoLine="0" autoPict="0" macro="[0]!Sheet1.deleteRow">
                <anchor moveWithCells="1" sizeWithCells="1">
                  <from>
                    <xdr:col>6</xdr:col>
                    <xdr:colOff>0</xdr:colOff>
                    <xdr:row>2945</xdr:row>
                    <xdr:rowOff>0</xdr:rowOff>
                  </from>
                  <to>
                    <xdr:col>7</xdr:col>
                    <xdr:colOff>0</xdr:colOff>
                    <xdr:row>2945</xdr:row>
                    <xdr:rowOff>165100</xdr:rowOff>
                  </to>
                </anchor>
              </controlPr>
            </control>
          </mc:Choice>
        </mc:AlternateContent>
        <mc:AlternateContent xmlns:mc="http://schemas.openxmlformats.org/markup-compatibility/2006">
          <mc:Choice Requires="x14">
            <control shapeId="1544" r:id="rId1857" name="Button 520">
              <controlPr defaultSize="0" autoFill="0" autoLine="0" autoPict="0" macro="[0]!Sheet1.deleteProcedure">
                <anchor moveWithCells="1" sizeWithCells="1">
                  <from>
                    <xdr:col>6</xdr:col>
                    <xdr:colOff>0</xdr:colOff>
                    <xdr:row>2948</xdr:row>
                    <xdr:rowOff>0</xdr:rowOff>
                  </from>
                  <to>
                    <xdr:col>7</xdr:col>
                    <xdr:colOff>0</xdr:colOff>
                    <xdr:row>2949</xdr:row>
                    <xdr:rowOff>0</xdr:rowOff>
                  </to>
                </anchor>
              </controlPr>
            </control>
          </mc:Choice>
        </mc:AlternateContent>
        <mc:AlternateContent xmlns:mc="http://schemas.openxmlformats.org/markup-compatibility/2006">
          <mc:Choice Requires="x14">
            <control shapeId="1543" r:id="rId1858" name="Button 519">
              <controlPr defaultSize="0" autoFill="0" autoLine="0" autoPict="0" macro="[0]!Sheet1.InsertNewTableRow">
                <anchor moveWithCells="1" sizeWithCells="1">
                  <from>
                    <xdr:col>6</xdr:col>
                    <xdr:colOff>0</xdr:colOff>
                    <xdr:row>2955</xdr:row>
                    <xdr:rowOff>0</xdr:rowOff>
                  </from>
                  <to>
                    <xdr:col>7</xdr:col>
                    <xdr:colOff>0</xdr:colOff>
                    <xdr:row>2955</xdr:row>
                    <xdr:rowOff>171450</xdr:rowOff>
                  </to>
                </anchor>
              </controlPr>
            </control>
          </mc:Choice>
        </mc:AlternateContent>
        <mc:AlternateContent xmlns:mc="http://schemas.openxmlformats.org/markup-compatibility/2006">
          <mc:Choice Requires="x14">
            <control shapeId="1542" r:id="rId1859" name="Button 518">
              <controlPr defaultSize="0" autoFill="0" autoLine="0" autoPict="0" macro="[0]!Sheet1.deleteRow">
                <anchor moveWithCells="1" sizeWithCells="1">
                  <from>
                    <xdr:col>6</xdr:col>
                    <xdr:colOff>0</xdr:colOff>
                    <xdr:row>2956</xdr:row>
                    <xdr:rowOff>0</xdr:rowOff>
                  </from>
                  <to>
                    <xdr:col>7</xdr:col>
                    <xdr:colOff>0</xdr:colOff>
                    <xdr:row>2956</xdr:row>
                    <xdr:rowOff>165100</xdr:rowOff>
                  </to>
                </anchor>
              </controlPr>
            </control>
          </mc:Choice>
        </mc:AlternateContent>
        <mc:AlternateContent xmlns:mc="http://schemas.openxmlformats.org/markup-compatibility/2006">
          <mc:Choice Requires="x14">
            <control shapeId="1541" r:id="rId1860" name="Button 517">
              <controlPr defaultSize="0" autoFill="0" autoLine="0" autoPict="0" macro="[0]!Sheet1.deleteRow">
                <anchor moveWithCells="1" sizeWithCells="1">
                  <from>
                    <xdr:col>6</xdr:col>
                    <xdr:colOff>0</xdr:colOff>
                    <xdr:row>2957</xdr:row>
                    <xdr:rowOff>0</xdr:rowOff>
                  </from>
                  <to>
                    <xdr:col>7</xdr:col>
                    <xdr:colOff>0</xdr:colOff>
                    <xdr:row>2957</xdr:row>
                    <xdr:rowOff>165100</xdr:rowOff>
                  </to>
                </anchor>
              </controlPr>
            </control>
          </mc:Choice>
        </mc:AlternateContent>
        <mc:AlternateContent xmlns:mc="http://schemas.openxmlformats.org/markup-compatibility/2006">
          <mc:Choice Requires="x14">
            <control shapeId="1540" r:id="rId1861" name="Button 516">
              <controlPr defaultSize="0" autoFill="0" autoLine="0" autoPict="0" macro="[0]!Sheet1.deleteRow">
                <anchor moveWithCells="1" sizeWithCells="1">
                  <from>
                    <xdr:col>6</xdr:col>
                    <xdr:colOff>0</xdr:colOff>
                    <xdr:row>2958</xdr:row>
                    <xdr:rowOff>0</xdr:rowOff>
                  </from>
                  <to>
                    <xdr:col>7</xdr:col>
                    <xdr:colOff>0</xdr:colOff>
                    <xdr:row>2958</xdr:row>
                    <xdr:rowOff>165100</xdr:rowOff>
                  </to>
                </anchor>
              </controlPr>
            </control>
          </mc:Choice>
        </mc:AlternateContent>
        <mc:AlternateContent xmlns:mc="http://schemas.openxmlformats.org/markup-compatibility/2006">
          <mc:Choice Requires="x14">
            <control shapeId="1539" r:id="rId1862" name="Button 515">
              <controlPr defaultSize="0" autoFill="0" autoLine="0" autoPict="0" macro="[0]!Sheet1.deleteProcedure">
                <anchor moveWithCells="1" sizeWithCells="1">
                  <from>
                    <xdr:col>6</xdr:col>
                    <xdr:colOff>0</xdr:colOff>
                    <xdr:row>2961</xdr:row>
                    <xdr:rowOff>0</xdr:rowOff>
                  </from>
                  <to>
                    <xdr:col>7</xdr:col>
                    <xdr:colOff>0</xdr:colOff>
                    <xdr:row>2962</xdr:row>
                    <xdr:rowOff>0</xdr:rowOff>
                  </to>
                </anchor>
              </controlPr>
            </control>
          </mc:Choice>
        </mc:AlternateContent>
        <mc:AlternateContent xmlns:mc="http://schemas.openxmlformats.org/markup-compatibility/2006">
          <mc:Choice Requires="x14">
            <control shapeId="1538" r:id="rId1863" name="Button 514">
              <controlPr defaultSize="0" autoFill="0" autoLine="0" autoPict="0" macro="[0]!Sheet1.InsertNewTableRow">
                <anchor moveWithCells="1" sizeWithCells="1">
                  <from>
                    <xdr:col>6</xdr:col>
                    <xdr:colOff>0</xdr:colOff>
                    <xdr:row>2968</xdr:row>
                    <xdr:rowOff>0</xdr:rowOff>
                  </from>
                  <to>
                    <xdr:col>7</xdr:col>
                    <xdr:colOff>0</xdr:colOff>
                    <xdr:row>2968</xdr:row>
                    <xdr:rowOff>171450</xdr:rowOff>
                  </to>
                </anchor>
              </controlPr>
            </control>
          </mc:Choice>
        </mc:AlternateContent>
        <mc:AlternateContent xmlns:mc="http://schemas.openxmlformats.org/markup-compatibility/2006">
          <mc:Choice Requires="x14">
            <control shapeId="1537" r:id="rId1864" name="Button 513">
              <controlPr defaultSize="0" autoFill="0" autoLine="0" autoPict="0" macro="[0]!Sheet1.deleteRow">
                <anchor moveWithCells="1" sizeWithCells="1">
                  <from>
                    <xdr:col>6</xdr:col>
                    <xdr:colOff>0</xdr:colOff>
                    <xdr:row>2969</xdr:row>
                    <xdr:rowOff>0</xdr:rowOff>
                  </from>
                  <to>
                    <xdr:col>7</xdr:col>
                    <xdr:colOff>0</xdr:colOff>
                    <xdr:row>2969</xdr:row>
                    <xdr:rowOff>165100</xdr:rowOff>
                  </to>
                </anchor>
              </controlPr>
            </control>
          </mc:Choice>
        </mc:AlternateContent>
        <mc:AlternateContent xmlns:mc="http://schemas.openxmlformats.org/markup-compatibility/2006">
          <mc:Choice Requires="x14">
            <control shapeId="1536" r:id="rId1865" name="Button 512">
              <controlPr defaultSize="0" autoFill="0" autoLine="0" autoPict="0" macro="[0]!Sheet1.deleteRow">
                <anchor moveWithCells="1" sizeWithCells="1">
                  <from>
                    <xdr:col>6</xdr:col>
                    <xdr:colOff>0</xdr:colOff>
                    <xdr:row>2970</xdr:row>
                    <xdr:rowOff>0</xdr:rowOff>
                  </from>
                  <to>
                    <xdr:col>7</xdr:col>
                    <xdr:colOff>0</xdr:colOff>
                    <xdr:row>2970</xdr:row>
                    <xdr:rowOff>165100</xdr:rowOff>
                  </to>
                </anchor>
              </controlPr>
            </control>
          </mc:Choice>
        </mc:AlternateContent>
        <mc:AlternateContent xmlns:mc="http://schemas.openxmlformats.org/markup-compatibility/2006">
          <mc:Choice Requires="x14">
            <control shapeId="1535" r:id="rId1866" name="Button 511">
              <controlPr defaultSize="0" autoFill="0" autoLine="0" autoPict="0" macro="[0]!Sheet1.deleteProcedure">
                <anchor moveWithCells="1" sizeWithCells="1">
                  <from>
                    <xdr:col>6</xdr:col>
                    <xdr:colOff>0</xdr:colOff>
                    <xdr:row>2973</xdr:row>
                    <xdr:rowOff>0</xdr:rowOff>
                  </from>
                  <to>
                    <xdr:col>7</xdr:col>
                    <xdr:colOff>0</xdr:colOff>
                    <xdr:row>2974</xdr:row>
                    <xdr:rowOff>0</xdr:rowOff>
                  </to>
                </anchor>
              </controlPr>
            </control>
          </mc:Choice>
        </mc:AlternateContent>
        <mc:AlternateContent xmlns:mc="http://schemas.openxmlformats.org/markup-compatibility/2006">
          <mc:Choice Requires="x14">
            <control shapeId="1534" r:id="rId1867" name="Button 510">
              <controlPr defaultSize="0" autoFill="0" autoLine="0" autoPict="0" macro="[0]!Sheet1.InsertNewTableRow">
                <anchor moveWithCells="1" sizeWithCells="1">
                  <from>
                    <xdr:col>6</xdr:col>
                    <xdr:colOff>0</xdr:colOff>
                    <xdr:row>2980</xdr:row>
                    <xdr:rowOff>0</xdr:rowOff>
                  </from>
                  <to>
                    <xdr:col>7</xdr:col>
                    <xdr:colOff>0</xdr:colOff>
                    <xdr:row>2980</xdr:row>
                    <xdr:rowOff>171450</xdr:rowOff>
                  </to>
                </anchor>
              </controlPr>
            </control>
          </mc:Choice>
        </mc:AlternateContent>
        <mc:AlternateContent xmlns:mc="http://schemas.openxmlformats.org/markup-compatibility/2006">
          <mc:Choice Requires="x14">
            <control shapeId="1533" r:id="rId1868" name="Button 509">
              <controlPr defaultSize="0" autoFill="0" autoLine="0" autoPict="0" macro="[0]!Sheet1.deleteRow">
                <anchor moveWithCells="1" sizeWithCells="1">
                  <from>
                    <xdr:col>6</xdr:col>
                    <xdr:colOff>0</xdr:colOff>
                    <xdr:row>2981</xdr:row>
                    <xdr:rowOff>0</xdr:rowOff>
                  </from>
                  <to>
                    <xdr:col>7</xdr:col>
                    <xdr:colOff>0</xdr:colOff>
                    <xdr:row>2981</xdr:row>
                    <xdr:rowOff>165100</xdr:rowOff>
                  </to>
                </anchor>
              </controlPr>
            </control>
          </mc:Choice>
        </mc:AlternateContent>
        <mc:AlternateContent xmlns:mc="http://schemas.openxmlformats.org/markup-compatibility/2006">
          <mc:Choice Requires="x14">
            <control shapeId="1532" r:id="rId1869" name="Button 508">
              <controlPr defaultSize="0" autoFill="0" autoLine="0" autoPict="0" macro="[0]!Sheet1.deleteProcedure">
                <anchor moveWithCells="1" sizeWithCells="1">
                  <from>
                    <xdr:col>6</xdr:col>
                    <xdr:colOff>0</xdr:colOff>
                    <xdr:row>2984</xdr:row>
                    <xdr:rowOff>0</xdr:rowOff>
                  </from>
                  <to>
                    <xdr:col>7</xdr:col>
                    <xdr:colOff>0</xdr:colOff>
                    <xdr:row>2985</xdr:row>
                    <xdr:rowOff>0</xdr:rowOff>
                  </to>
                </anchor>
              </controlPr>
            </control>
          </mc:Choice>
        </mc:AlternateContent>
        <mc:AlternateContent xmlns:mc="http://schemas.openxmlformats.org/markup-compatibility/2006">
          <mc:Choice Requires="x14">
            <control shapeId="1531" r:id="rId1870" name="Button 507">
              <controlPr defaultSize="0" autoFill="0" autoLine="0" autoPict="0" macro="[0]!Sheet1.InsertNewTableRow">
                <anchor moveWithCells="1" sizeWithCells="1">
                  <from>
                    <xdr:col>6</xdr:col>
                    <xdr:colOff>0</xdr:colOff>
                    <xdr:row>2991</xdr:row>
                    <xdr:rowOff>0</xdr:rowOff>
                  </from>
                  <to>
                    <xdr:col>7</xdr:col>
                    <xdr:colOff>0</xdr:colOff>
                    <xdr:row>2991</xdr:row>
                    <xdr:rowOff>171450</xdr:rowOff>
                  </to>
                </anchor>
              </controlPr>
            </control>
          </mc:Choice>
        </mc:AlternateContent>
        <mc:AlternateContent xmlns:mc="http://schemas.openxmlformats.org/markup-compatibility/2006">
          <mc:Choice Requires="x14">
            <control shapeId="1530" r:id="rId1871" name="Button 506">
              <controlPr defaultSize="0" autoFill="0" autoLine="0" autoPict="0" macro="[0]!Sheet1.deleteRow">
                <anchor moveWithCells="1" sizeWithCells="1">
                  <from>
                    <xdr:col>6</xdr:col>
                    <xdr:colOff>0</xdr:colOff>
                    <xdr:row>2992</xdr:row>
                    <xdr:rowOff>0</xdr:rowOff>
                  </from>
                  <to>
                    <xdr:col>7</xdr:col>
                    <xdr:colOff>0</xdr:colOff>
                    <xdr:row>2992</xdr:row>
                    <xdr:rowOff>165100</xdr:rowOff>
                  </to>
                </anchor>
              </controlPr>
            </control>
          </mc:Choice>
        </mc:AlternateContent>
        <mc:AlternateContent xmlns:mc="http://schemas.openxmlformats.org/markup-compatibility/2006">
          <mc:Choice Requires="x14">
            <control shapeId="1529" r:id="rId1872" name="Button 505">
              <controlPr defaultSize="0" autoFill="0" autoLine="0" autoPict="0" macro="[0]!Sheet1.deleteProcedure">
                <anchor moveWithCells="1" sizeWithCells="1">
                  <from>
                    <xdr:col>6</xdr:col>
                    <xdr:colOff>0</xdr:colOff>
                    <xdr:row>2995</xdr:row>
                    <xdr:rowOff>0</xdr:rowOff>
                  </from>
                  <to>
                    <xdr:col>7</xdr:col>
                    <xdr:colOff>0</xdr:colOff>
                    <xdr:row>2996</xdr:row>
                    <xdr:rowOff>0</xdr:rowOff>
                  </to>
                </anchor>
              </controlPr>
            </control>
          </mc:Choice>
        </mc:AlternateContent>
        <mc:AlternateContent xmlns:mc="http://schemas.openxmlformats.org/markup-compatibility/2006">
          <mc:Choice Requires="x14">
            <control shapeId="1528" r:id="rId1873" name="Button 504">
              <controlPr defaultSize="0" autoFill="0" autoLine="0" autoPict="0" macro="[0]!Sheet1.InsertNewTableRow">
                <anchor moveWithCells="1" sizeWithCells="1">
                  <from>
                    <xdr:col>6</xdr:col>
                    <xdr:colOff>0</xdr:colOff>
                    <xdr:row>3002</xdr:row>
                    <xdr:rowOff>0</xdr:rowOff>
                  </from>
                  <to>
                    <xdr:col>7</xdr:col>
                    <xdr:colOff>0</xdr:colOff>
                    <xdr:row>3002</xdr:row>
                    <xdr:rowOff>171450</xdr:rowOff>
                  </to>
                </anchor>
              </controlPr>
            </control>
          </mc:Choice>
        </mc:AlternateContent>
        <mc:AlternateContent xmlns:mc="http://schemas.openxmlformats.org/markup-compatibility/2006">
          <mc:Choice Requires="x14">
            <control shapeId="1527" r:id="rId1874" name="Button 503">
              <controlPr defaultSize="0" autoFill="0" autoLine="0" autoPict="0" macro="[0]!Sheet1.deleteRow">
                <anchor moveWithCells="1" sizeWithCells="1">
                  <from>
                    <xdr:col>6</xdr:col>
                    <xdr:colOff>0</xdr:colOff>
                    <xdr:row>3003</xdr:row>
                    <xdr:rowOff>0</xdr:rowOff>
                  </from>
                  <to>
                    <xdr:col>7</xdr:col>
                    <xdr:colOff>0</xdr:colOff>
                    <xdr:row>3003</xdr:row>
                    <xdr:rowOff>165100</xdr:rowOff>
                  </to>
                </anchor>
              </controlPr>
            </control>
          </mc:Choice>
        </mc:AlternateContent>
        <mc:AlternateContent xmlns:mc="http://schemas.openxmlformats.org/markup-compatibility/2006">
          <mc:Choice Requires="x14">
            <control shapeId="1526" r:id="rId1875" name="Button 502">
              <controlPr defaultSize="0" autoFill="0" autoLine="0" autoPict="0" macro="[0]!Sheet1.deleteProcedure">
                <anchor moveWithCells="1" sizeWithCells="1">
                  <from>
                    <xdr:col>6</xdr:col>
                    <xdr:colOff>0</xdr:colOff>
                    <xdr:row>3006</xdr:row>
                    <xdr:rowOff>0</xdr:rowOff>
                  </from>
                  <to>
                    <xdr:col>7</xdr:col>
                    <xdr:colOff>0</xdr:colOff>
                    <xdr:row>3007</xdr:row>
                    <xdr:rowOff>0</xdr:rowOff>
                  </to>
                </anchor>
              </controlPr>
            </control>
          </mc:Choice>
        </mc:AlternateContent>
        <mc:AlternateContent xmlns:mc="http://schemas.openxmlformats.org/markup-compatibility/2006">
          <mc:Choice Requires="x14">
            <control shapeId="1525" r:id="rId1876" name="Button 501">
              <controlPr defaultSize="0" autoFill="0" autoLine="0" autoPict="0" macro="[0]!Sheet1.InsertNewTableRow">
                <anchor moveWithCells="1" sizeWithCells="1">
                  <from>
                    <xdr:col>6</xdr:col>
                    <xdr:colOff>0</xdr:colOff>
                    <xdr:row>3013</xdr:row>
                    <xdr:rowOff>0</xdr:rowOff>
                  </from>
                  <to>
                    <xdr:col>7</xdr:col>
                    <xdr:colOff>0</xdr:colOff>
                    <xdr:row>3013</xdr:row>
                    <xdr:rowOff>171450</xdr:rowOff>
                  </to>
                </anchor>
              </controlPr>
            </control>
          </mc:Choice>
        </mc:AlternateContent>
        <mc:AlternateContent xmlns:mc="http://schemas.openxmlformats.org/markup-compatibility/2006">
          <mc:Choice Requires="x14">
            <control shapeId="1524" r:id="rId1877" name="Button 500">
              <controlPr defaultSize="0" autoFill="0" autoLine="0" autoPict="0" macro="[0]!Sheet1.deleteRow">
                <anchor moveWithCells="1" sizeWithCells="1">
                  <from>
                    <xdr:col>6</xdr:col>
                    <xdr:colOff>0</xdr:colOff>
                    <xdr:row>3014</xdr:row>
                    <xdr:rowOff>0</xdr:rowOff>
                  </from>
                  <to>
                    <xdr:col>7</xdr:col>
                    <xdr:colOff>0</xdr:colOff>
                    <xdr:row>3014</xdr:row>
                    <xdr:rowOff>165100</xdr:rowOff>
                  </to>
                </anchor>
              </controlPr>
            </control>
          </mc:Choice>
        </mc:AlternateContent>
        <mc:AlternateContent xmlns:mc="http://schemas.openxmlformats.org/markup-compatibility/2006">
          <mc:Choice Requires="x14">
            <control shapeId="1523" r:id="rId1878" name="Button 499">
              <controlPr defaultSize="0" autoFill="0" autoLine="0" autoPict="0" macro="[0]!Sheet1.deleteProcedure">
                <anchor moveWithCells="1" sizeWithCells="1">
                  <from>
                    <xdr:col>6</xdr:col>
                    <xdr:colOff>0</xdr:colOff>
                    <xdr:row>3017</xdr:row>
                    <xdr:rowOff>0</xdr:rowOff>
                  </from>
                  <to>
                    <xdr:col>7</xdr:col>
                    <xdr:colOff>0</xdr:colOff>
                    <xdr:row>3018</xdr:row>
                    <xdr:rowOff>0</xdr:rowOff>
                  </to>
                </anchor>
              </controlPr>
            </control>
          </mc:Choice>
        </mc:AlternateContent>
        <mc:AlternateContent xmlns:mc="http://schemas.openxmlformats.org/markup-compatibility/2006">
          <mc:Choice Requires="x14">
            <control shapeId="1522" r:id="rId1879" name="Button 498">
              <controlPr defaultSize="0" autoFill="0" autoLine="0" autoPict="0" macro="[0]!Sheet1.InsertNewTableRow">
                <anchor moveWithCells="1" sizeWithCells="1">
                  <from>
                    <xdr:col>6</xdr:col>
                    <xdr:colOff>0</xdr:colOff>
                    <xdr:row>3024</xdr:row>
                    <xdr:rowOff>0</xdr:rowOff>
                  </from>
                  <to>
                    <xdr:col>7</xdr:col>
                    <xdr:colOff>0</xdr:colOff>
                    <xdr:row>3024</xdr:row>
                    <xdr:rowOff>171450</xdr:rowOff>
                  </to>
                </anchor>
              </controlPr>
            </control>
          </mc:Choice>
        </mc:AlternateContent>
        <mc:AlternateContent xmlns:mc="http://schemas.openxmlformats.org/markup-compatibility/2006">
          <mc:Choice Requires="x14">
            <control shapeId="1521" r:id="rId1880" name="Button 497">
              <controlPr defaultSize="0" autoFill="0" autoLine="0" autoPict="0" macro="[0]!Sheet1.deleteRow">
                <anchor moveWithCells="1" sizeWithCells="1">
                  <from>
                    <xdr:col>6</xdr:col>
                    <xdr:colOff>0</xdr:colOff>
                    <xdr:row>3025</xdr:row>
                    <xdr:rowOff>0</xdr:rowOff>
                  </from>
                  <to>
                    <xdr:col>7</xdr:col>
                    <xdr:colOff>0</xdr:colOff>
                    <xdr:row>3025</xdr:row>
                    <xdr:rowOff>165100</xdr:rowOff>
                  </to>
                </anchor>
              </controlPr>
            </control>
          </mc:Choice>
        </mc:AlternateContent>
        <mc:AlternateContent xmlns:mc="http://schemas.openxmlformats.org/markup-compatibility/2006">
          <mc:Choice Requires="x14">
            <control shapeId="1520" r:id="rId1881" name="Button 496">
              <controlPr defaultSize="0" autoFill="0" autoLine="0" autoPict="0" macro="[0]!Sheet1.deleteProcedure">
                <anchor moveWithCells="1" sizeWithCells="1">
                  <from>
                    <xdr:col>6</xdr:col>
                    <xdr:colOff>0</xdr:colOff>
                    <xdr:row>3028</xdr:row>
                    <xdr:rowOff>0</xdr:rowOff>
                  </from>
                  <to>
                    <xdr:col>7</xdr:col>
                    <xdr:colOff>0</xdr:colOff>
                    <xdr:row>3029</xdr:row>
                    <xdr:rowOff>0</xdr:rowOff>
                  </to>
                </anchor>
              </controlPr>
            </control>
          </mc:Choice>
        </mc:AlternateContent>
        <mc:AlternateContent xmlns:mc="http://schemas.openxmlformats.org/markup-compatibility/2006">
          <mc:Choice Requires="x14">
            <control shapeId="1519" r:id="rId1882" name="Button 495">
              <controlPr defaultSize="0" autoFill="0" autoLine="0" autoPict="0" macro="[0]!Sheet1.InsertNewTableRow">
                <anchor moveWithCells="1" sizeWithCells="1">
                  <from>
                    <xdr:col>6</xdr:col>
                    <xdr:colOff>0</xdr:colOff>
                    <xdr:row>3035</xdr:row>
                    <xdr:rowOff>0</xdr:rowOff>
                  </from>
                  <to>
                    <xdr:col>7</xdr:col>
                    <xdr:colOff>0</xdr:colOff>
                    <xdr:row>3035</xdr:row>
                    <xdr:rowOff>171450</xdr:rowOff>
                  </to>
                </anchor>
              </controlPr>
            </control>
          </mc:Choice>
        </mc:AlternateContent>
        <mc:AlternateContent xmlns:mc="http://schemas.openxmlformats.org/markup-compatibility/2006">
          <mc:Choice Requires="x14">
            <control shapeId="1518" r:id="rId1883" name="Button 494">
              <controlPr defaultSize="0" autoFill="0" autoLine="0" autoPict="0" macro="[0]!Sheet1.deleteRow">
                <anchor moveWithCells="1" sizeWithCells="1">
                  <from>
                    <xdr:col>6</xdr:col>
                    <xdr:colOff>0</xdr:colOff>
                    <xdr:row>3036</xdr:row>
                    <xdr:rowOff>0</xdr:rowOff>
                  </from>
                  <to>
                    <xdr:col>7</xdr:col>
                    <xdr:colOff>0</xdr:colOff>
                    <xdr:row>3036</xdr:row>
                    <xdr:rowOff>165100</xdr:rowOff>
                  </to>
                </anchor>
              </controlPr>
            </control>
          </mc:Choice>
        </mc:AlternateContent>
        <mc:AlternateContent xmlns:mc="http://schemas.openxmlformats.org/markup-compatibility/2006">
          <mc:Choice Requires="x14">
            <control shapeId="1517" r:id="rId1884" name="Button 493">
              <controlPr defaultSize="0" autoFill="0" autoLine="0" autoPict="0" macro="[0]!Sheet1.deleteProcedure">
                <anchor moveWithCells="1" sizeWithCells="1">
                  <from>
                    <xdr:col>6</xdr:col>
                    <xdr:colOff>0</xdr:colOff>
                    <xdr:row>3039</xdr:row>
                    <xdr:rowOff>0</xdr:rowOff>
                  </from>
                  <to>
                    <xdr:col>7</xdr:col>
                    <xdr:colOff>0</xdr:colOff>
                    <xdr:row>3040</xdr:row>
                    <xdr:rowOff>0</xdr:rowOff>
                  </to>
                </anchor>
              </controlPr>
            </control>
          </mc:Choice>
        </mc:AlternateContent>
        <mc:AlternateContent xmlns:mc="http://schemas.openxmlformats.org/markup-compatibility/2006">
          <mc:Choice Requires="x14">
            <control shapeId="1516" r:id="rId1885" name="Button 492">
              <controlPr defaultSize="0" autoFill="0" autoLine="0" autoPict="0" macro="[0]!Sheet1.InsertNewTableRow">
                <anchor moveWithCells="1" sizeWithCells="1">
                  <from>
                    <xdr:col>6</xdr:col>
                    <xdr:colOff>0</xdr:colOff>
                    <xdr:row>3046</xdr:row>
                    <xdr:rowOff>0</xdr:rowOff>
                  </from>
                  <to>
                    <xdr:col>7</xdr:col>
                    <xdr:colOff>0</xdr:colOff>
                    <xdr:row>3046</xdr:row>
                    <xdr:rowOff>171450</xdr:rowOff>
                  </to>
                </anchor>
              </controlPr>
            </control>
          </mc:Choice>
        </mc:AlternateContent>
        <mc:AlternateContent xmlns:mc="http://schemas.openxmlformats.org/markup-compatibility/2006">
          <mc:Choice Requires="x14">
            <control shapeId="1515" r:id="rId1886" name="Button 491">
              <controlPr defaultSize="0" autoFill="0" autoLine="0" autoPict="0" macro="[0]!Sheet1.deleteRow">
                <anchor moveWithCells="1" sizeWithCells="1">
                  <from>
                    <xdr:col>6</xdr:col>
                    <xdr:colOff>0</xdr:colOff>
                    <xdr:row>3047</xdr:row>
                    <xdr:rowOff>0</xdr:rowOff>
                  </from>
                  <to>
                    <xdr:col>7</xdr:col>
                    <xdr:colOff>0</xdr:colOff>
                    <xdr:row>3047</xdr:row>
                    <xdr:rowOff>165100</xdr:rowOff>
                  </to>
                </anchor>
              </controlPr>
            </control>
          </mc:Choice>
        </mc:AlternateContent>
        <mc:AlternateContent xmlns:mc="http://schemas.openxmlformats.org/markup-compatibility/2006">
          <mc:Choice Requires="x14">
            <control shapeId="1514" r:id="rId1887" name="Button 490">
              <controlPr defaultSize="0" autoFill="0" autoLine="0" autoPict="0" macro="[0]!Sheet1.deleteProcedure">
                <anchor moveWithCells="1" sizeWithCells="1">
                  <from>
                    <xdr:col>6</xdr:col>
                    <xdr:colOff>0</xdr:colOff>
                    <xdr:row>3050</xdr:row>
                    <xdr:rowOff>0</xdr:rowOff>
                  </from>
                  <to>
                    <xdr:col>7</xdr:col>
                    <xdr:colOff>0</xdr:colOff>
                    <xdr:row>3051</xdr:row>
                    <xdr:rowOff>0</xdr:rowOff>
                  </to>
                </anchor>
              </controlPr>
            </control>
          </mc:Choice>
        </mc:AlternateContent>
        <mc:AlternateContent xmlns:mc="http://schemas.openxmlformats.org/markup-compatibility/2006">
          <mc:Choice Requires="x14">
            <control shapeId="1513" r:id="rId1888" name="Button 489">
              <controlPr defaultSize="0" autoFill="0" autoLine="0" autoPict="0" macro="[0]!Sheet1.InsertNewTableRow">
                <anchor moveWithCells="1" sizeWithCells="1">
                  <from>
                    <xdr:col>6</xdr:col>
                    <xdr:colOff>0</xdr:colOff>
                    <xdr:row>3057</xdr:row>
                    <xdr:rowOff>0</xdr:rowOff>
                  </from>
                  <to>
                    <xdr:col>7</xdr:col>
                    <xdr:colOff>0</xdr:colOff>
                    <xdr:row>3057</xdr:row>
                    <xdr:rowOff>171450</xdr:rowOff>
                  </to>
                </anchor>
              </controlPr>
            </control>
          </mc:Choice>
        </mc:AlternateContent>
        <mc:AlternateContent xmlns:mc="http://schemas.openxmlformats.org/markup-compatibility/2006">
          <mc:Choice Requires="x14">
            <control shapeId="1512" r:id="rId1889" name="Button 488">
              <controlPr defaultSize="0" autoFill="0" autoLine="0" autoPict="0" macro="[0]!Sheet1.deleteRow">
                <anchor moveWithCells="1" sizeWithCells="1">
                  <from>
                    <xdr:col>6</xdr:col>
                    <xdr:colOff>0</xdr:colOff>
                    <xdr:row>3058</xdr:row>
                    <xdr:rowOff>0</xdr:rowOff>
                  </from>
                  <to>
                    <xdr:col>7</xdr:col>
                    <xdr:colOff>0</xdr:colOff>
                    <xdr:row>3058</xdr:row>
                    <xdr:rowOff>165100</xdr:rowOff>
                  </to>
                </anchor>
              </controlPr>
            </control>
          </mc:Choice>
        </mc:AlternateContent>
        <mc:AlternateContent xmlns:mc="http://schemas.openxmlformats.org/markup-compatibility/2006">
          <mc:Choice Requires="x14">
            <control shapeId="1511" r:id="rId1890" name="Button 487">
              <controlPr defaultSize="0" autoFill="0" autoLine="0" autoPict="0" macro="[0]!Sheet1.deleteProcedure">
                <anchor moveWithCells="1" sizeWithCells="1">
                  <from>
                    <xdr:col>6</xdr:col>
                    <xdr:colOff>0</xdr:colOff>
                    <xdr:row>3061</xdr:row>
                    <xdr:rowOff>0</xdr:rowOff>
                  </from>
                  <to>
                    <xdr:col>7</xdr:col>
                    <xdr:colOff>0</xdr:colOff>
                    <xdr:row>3062</xdr:row>
                    <xdr:rowOff>0</xdr:rowOff>
                  </to>
                </anchor>
              </controlPr>
            </control>
          </mc:Choice>
        </mc:AlternateContent>
        <mc:AlternateContent xmlns:mc="http://schemas.openxmlformats.org/markup-compatibility/2006">
          <mc:Choice Requires="x14">
            <control shapeId="1510" r:id="rId1891" name="Button 486">
              <controlPr defaultSize="0" autoFill="0" autoLine="0" autoPict="0" macro="[0]!Sheet1.InsertNewTableRow">
                <anchor moveWithCells="1" sizeWithCells="1">
                  <from>
                    <xdr:col>6</xdr:col>
                    <xdr:colOff>0</xdr:colOff>
                    <xdr:row>3068</xdr:row>
                    <xdr:rowOff>0</xdr:rowOff>
                  </from>
                  <to>
                    <xdr:col>7</xdr:col>
                    <xdr:colOff>0</xdr:colOff>
                    <xdr:row>3068</xdr:row>
                    <xdr:rowOff>171450</xdr:rowOff>
                  </to>
                </anchor>
              </controlPr>
            </control>
          </mc:Choice>
        </mc:AlternateContent>
        <mc:AlternateContent xmlns:mc="http://schemas.openxmlformats.org/markup-compatibility/2006">
          <mc:Choice Requires="x14">
            <control shapeId="1509" r:id="rId1892" name="Button 485">
              <controlPr defaultSize="0" autoFill="0" autoLine="0" autoPict="0" macro="[0]!Sheet1.deleteRow">
                <anchor moveWithCells="1" sizeWithCells="1">
                  <from>
                    <xdr:col>6</xdr:col>
                    <xdr:colOff>0</xdr:colOff>
                    <xdr:row>3069</xdr:row>
                    <xdr:rowOff>0</xdr:rowOff>
                  </from>
                  <to>
                    <xdr:col>7</xdr:col>
                    <xdr:colOff>0</xdr:colOff>
                    <xdr:row>3069</xdr:row>
                    <xdr:rowOff>165100</xdr:rowOff>
                  </to>
                </anchor>
              </controlPr>
            </control>
          </mc:Choice>
        </mc:AlternateContent>
        <mc:AlternateContent xmlns:mc="http://schemas.openxmlformats.org/markup-compatibility/2006">
          <mc:Choice Requires="x14">
            <control shapeId="1508" r:id="rId1893" name="Button 484">
              <controlPr defaultSize="0" autoFill="0" autoLine="0" autoPict="0" macro="[0]!Sheet1.deleteProcedure">
                <anchor moveWithCells="1" sizeWithCells="1">
                  <from>
                    <xdr:col>6</xdr:col>
                    <xdr:colOff>0</xdr:colOff>
                    <xdr:row>3072</xdr:row>
                    <xdr:rowOff>0</xdr:rowOff>
                  </from>
                  <to>
                    <xdr:col>7</xdr:col>
                    <xdr:colOff>0</xdr:colOff>
                    <xdr:row>3073</xdr:row>
                    <xdr:rowOff>0</xdr:rowOff>
                  </to>
                </anchor>
              </controlPr>
            </control>
          </mc:Choice>
        </mc:AlternateContent>
        <mc:AlternateContent xmlns:mc="http://schemas.openxmlformats.org/markup-compatibility/2006">
          <mc:Choice Requires="x14">
            <control shapeId="1507" r:id="rId1894" name="Button 483">
              <controlPr defaultSize="0" autoFill="0" autoLine="0" autoPict="0" macro="[0]!Sheet1.InsertNewTableRow">
                <anchor moveWithCells="1" sizeWithCells="1">
                  <from>
                    <xdr:col>6</xdr:col>
                    <xdr:colOff>0</xdr:colOff>
                    <xdr:row>3079</xdr:row>
                    <xdr:rowOff>0</xdr:rowOff>
                  </from>
                  <to>
                    <xdr:col>7</xdr:col>
                    <xdr:colOff>0</xdr:colOff>
                    <xdr:row>3079</xdr:row>
                    <xdr:rowOff>171450</xdr:rowOff>
                  </to>
                </anchor>
              </controlPr>
            </control>
          </mc:Choice>
        </mc:AlternateContent>
        <mc:AlternateContent xmlns:mc="http://schemas.openxmlformats.org/markup-compatibility/2006">
          <mc:Choice Requires="x14">
            <control shapeId="1506" r:id="rId1895" name="Button 482">
              <controlPr defaultSize="0" autoFill="0" autoLine="0" autoPict="0" macro="[0]!Sheet1.deleteRow">
                <anchor moveWithCells="1" sizeWithCells="1">
                  <from>
                    <xdr:col>6</xdr:col>
                    <xdr:colOff>0</xdr:colOff>
                    <xdr:row>3080</xdr:row>
                    <xdr:rowOff>0</xdr:rowOff>
                  </from>
                  <to>
                    <xdr:col>7</xdr:col>
                    <xdr:colOff>0</xdr:colOff>
                    <xdr:row>3080</xdr:row>
                    <xdr:rowOff>165100</xdr:rowOff>
                  </to>
                </anchor>
              </controlPr>
            </control>
          </mc:Choice>
        </mc:AlternateContent>
        <mc:AlternateContent xmlns:mc="http://schemas.openxmlformats.org/markup-compatibility/2006">
          <mc:Choice Requires="x14">
            <control shapeId="1505" r:id="rId1896" name="Button 481">
              <controlPr defaultSize="0" autoFill="0" autoLine="0" autoPict="0" macro="[0]!Sheet1.deleteProcedure">
                <anchor moveWithCells="1" sizeWithCells="1">
                  <from>
                    <xdr:col>6</xdr:col>
                    <xdr:colOff>0</xdr:colOff>
                    <xdr:row>3083</xdr:row>
                    <xdr:rowOff>0</xdr:rowOff>
                  </from>
                  <to>
                    <xdr:col>7</xdr:col>
                    <xdr:colOff>0</xdr:colOff>
                    <xdr:row>3084</xdr:row>
                    <xdr:rowOff>0</xdr:rowOff>
                  </to>
                </anchor>
              </controlPr>
            </control>
          </mc:Choice>
        </mc:AlternateContent>
        <mc:AlternateContent xmlns:mc="http://schemas.openxmlformats.org/markup-compatibility/2006">
          <mc:Choice Requires="x14">
            <control shapeId="1504" r:id="rId1897" name="Button 480">
              <controlPr defaultSize="0" autoFill="0" autoLine="0" autoPict="0" macro="[0]!Sheet1.InsertNewTableRow">
                <anchor moveWithCells="1" sizeWithCells="1">
                  <from>
                    <xdr:col>6</xdr:col>
                    <xdr:colOff>0</xdr:colOff>
                    <xdr:row>3090</xdr:row>
                    <xdr:rowOff>0</xdr:rowOff>
                  </from>
                  <to>
                    <xdr:col>7</xdr:col>
                    <xdr:colOff>0</xdr:colOff>
                    <xdr:row>3090</xdr:row>
                    <xdr:rowOff>171450</xdr:rowOff>
                  </to>
                </anchor>
              </controlPr>
            </control>
          </mc:Choice>
        </mc:AlternateContent>
        <mc:AlternateContent xmlns:mc="http://schemas.openxmlformats.org/markup-compatibility/2006">
          <mc:Choice Requires="x14">
            <control shapeId="1503" r:id="rId1898" name="Button 479">
              <controlPr defaultSize="0" autoFill="0" autoLine="0" autoPict="0" macro="[0]!Sheet1.deleteRow">
                <anchor moveWithCells="1" sizeWithCells="1">
                  <from>
                    <xdr:col>6</xdr:col>
                    <xdr:colOff>0</xdr:colOff>
                    <xdr:row>3091</xdr:row>
                    <xdr:rowOff>0</xdr:rowOff>
                  </from>
                  <to>
                    <xdr:col>7</xdr:col>
                    <xdr:colOff>0</xdr:colOff>
                    <xdr:row>3091</xdr:row>
                    <xdr:rowOff>165100</xdr:rowOff>
                  </to>
                </anchor>
              </controlPr>
            </control>
          </mc:Choice>
        </mc:AlternateContent>
        <mc:AlternateContent xmlns:mc="http://schemas.openxmlformats.org/markup-compatibility/2006">
          <mc:Choice Requires="x14">
            <control shapeId="1502" r:id="rId1899" name="Button 478">
              <controlPr defaultSize="0" autoFill="0" autoLine="0" autoPict="0" macro="[0]!Sheet1.deleteRow">
                <anchor moveWithCells="1" sizeWithCells="1">
                  <from>
                    <xdr:col>6</xdr:col>
                    <xdr:colOff>0</xdr:colOff>
                    <xdr:row>3092</xdr:row>
                    <xdr:rowOff>0</xdr:rowOff>
                  </from>
                  <to>
                    <xdr:col>7</xdr:col>
                    <xdr:colOff>0</xdr:colOff>
                    <xdr:row>3092</xdr:row>
                    <xdr:rowOff>165100</xdr:rowOff>
                  </to>
                </anchor>
              </controlPr>
            </control>
          </mc:Choice>
        </mc:AlternateContent>
        <mc:AlternateContent xmlns:mc="http://schemas.openxmlformats.org/markup-compatibility/2006">
          <mc:Choice Requires="x14">
            <control shapeId="1501" r:id="rId1900" name="Button 477">
              <controlPr defaultSize="0" autoFill="0" autoLine="0" autoPict="0" macro="[0]!Sheet1.deleteRow">
                <anchor moveWithCells="1" sizeWithCells="1">
                  <from>
                    <xdr:col>6</xdr:col>
                    <xdr:colOff>0</xdr:colOff>
                    <xdr:row>3093</xdr:row>
                    <xdr:rowOff>0</xdr:rowOff>
                  </from>
                  <to>
                    <xdr:col>7</xdr:col>
                    <xdr:colOff>0</xdr:colOff>
                    <xdr:row>3093</xdr:row>
                    <xdr:rowOff>165100</xdr:rowOff>
                  </to>
                </anchor>
              </controlPr>
            </control>
          </mc:Choice>
        </mc:AlternateContent>
        <mc:AlternateContent xmlns:mc="http://schemas.openxmlformats.org/markup-compatibility/2006">
          <mc:Choice Requires="x14">
            <control shapeId="1500" r:id="rId1901" name="Button 476">
              <controlPr defaultSize="0" autoFill="0" autoLine="0" autoPict="0" macro="[0]!Sheet1.deleteProcedure">
                <anchor moveWithCells="1" sizeWithCells="1">
                  <from>
                    <xdr:col>6</xdr:col>
                    <xdr:colOff>0</xdr:colOff>
                    <xdr:row>3096</xdr:row>
                    <xdr:rowOff>0</xdr:rowOff>
                  </from>
                  <to>
                    <xdr:col>7</xdr:col>
                    <xdr:colOff>0</xdr:colOff>
                    <xdr:row>3097</xdr:row>
                    <xdr:rowOff>0</xdr:rowOff>
                  </to>
                </anchor>
              </controlPr>
            </control>
          </mc:Choice>
        </mc:AlternateContent>
        <mc:AlternateContent xmlns:mc="http://schemas.openxmlformats.org/markup-compatibility/2006">
          <mc:Choice Requires="x14">
            <control shapeId="1499" r:id="rId1902" name="Button 475">
              <controlPr defaultSize="0" autoFill="0" autoLine="0" autoPict="0" macro="[0]!Sheet1.InsertNewTableRow">
                <anchor moveWithCells="1" sizeWithCells="1">
                  <from>
                    <xdr:col>6</xdr:col>
                    <xdr:colOff>0</xdr:colOff>
                    <xdr:row>3103</xdr:row>
                    <xdr:rowOff>0</xdr:rowOff>
                  </from>
                  <to>
                    <xdr:col>7</xdr:col>
                    <xdr:colOff>0</xdr:colOff>
                    <xdr:row>3103</xdr:row>
                    <xdr:rowOff>171450</xdr:rowOff>
                  </to>
                </anchor>
              </controlPr>
            </control>
          </mc:Choice>
        </mc:AlternateContent>
        <mc:AlternateContent xmlns:mc="http://schemas.openxmlformats.org/markup-compatibility/2006">
          <mc:Choice Requires="x14">
            <control shapeId="1498" r:id="rId1903" name="Button 474">
              <controlPr defaultSize="0" autoFill="0" autoLine="0" autoPict="0" macro="[0]!Sheet1.deleteRow">
                <anchor moveWithCells="1" sizeWithCells="1">
                  <from>
                    <xdr:col>6</xdr:col>
                    <xdr:colOff>0</xdr:colOff>
                    <xdr:row>3104</xdr:row>
                    <xdr:rowOff>0</xdr:rowOff>
                  </from>
                  <to>
                    <xdr:col>7</xdr:col>
                    <xdr:colOff>0</xdr:colOff>
                    <xdr:row>3104</xdr:row>
                    <xdr:rowOff>165100</xdr:rowOff>
                  </to>
                </anchor>
              </controlPr>
            </control>
          </mc:Choice>
        </mc:AlternateContent>
        <mc:AlternateContent xmlns:mc="http://schemas.openxmlformats.org/markup-compatibility/2006">
          <mc:Choice Requires="x14">
            <control shapeId="1497" r:id="rId1904" name="Button 473">
              <controlPr defaultSize="0" autoFill="0" autoLine="0" autoPict="0" macro="[0]!Sheet1.deleteProcedure">
                <anchor moveWithCells="1" sizeWithCells="1">
                  <from>
                    <xdr:col>6</xdr:col>
                    <xdr:colOff>0</xdr:colOff>
                    <xdr:row>3107</xdr:row>
                    <xdr:rowOff>0</xdr:rowOff>
                  </from>
                  <to>
                    <xdr:col>7</xdr:col>
                    <xdr:colOff>0</xdr:colOff>
                    <xdr:row>3108</xdr:row>
                    <xdr:rowOff>0</xdr:rowOff>
                  </to>
                </anchor>
              </controlPr>
            </control>
          </mc:Choice>
        </mc:AlternateContent>
        <mc:AlternateContent xmlns:mc="http://schemas.openxmlformats.org/markup-compatibility/2006">
          <mc:Choice Requires="x14">
            <control shapeId="1496" r:id="rId1905" name="Button 472">
              <controlPr defaultSize="0" autoFill="0" autoLine="0" autoPict="0" macro="[0]!Sheet1.InsertNewTableRow">
                <anchor moveWithCells="1" sizeWithCells="1">
                  <from>
                    <xdr:col>6</xdr:col>
                    <xdr:colOff>0</xdr:colOff>
                    <xdr:row>3114</xdr:row>
                    <xdr:rowOff>0</xdr:rowOff>
                  </from>
                  <to>
                    <xdr:col>7</xdr:col>
                    <xdr:colOff>0</xdr:colOff>
                    <xdr:row>3114</xdr:row>
                    <xdr:rowOff>171450</xdr:rowOff>
                  </to>
                </anchor>
              </controlPr>
            </control>
          </mc:Choice>
        </mc:AlternateContent>
        <mc:AlternateContent xmlns:mc="http://schemas.openxmlformats.org/markup-compatibility/2006">
          <mc:Choice Requires="x14">
            <control shapeId="1495" r:id="rId1906" name="Button 471">
              <controlPr defaultSize="0" autoFill="0" autoLine="0" autoPict="0" macro="[0]!Sheet1.deleteRow">
                <anchor moveWithCells="1" sizeWithCells="1">
                  <from>
                    <xdr:col>6</xdr:col>
                    <xdr:colOff>0</xdr:colOff>
                    <xdr:row>3115</xdr:row>
                    <xdr:rowOff>0</xdr:rowOff>
                  </from>
                  <to>
                    <xdr:col>7</xdr:col>
                    <xdr:colOff>0</xdr:colOff>
                    <xdr:row>3115</xdr:row>
                    <xdr:rowOff>165100</xdr:rowOff>
                  </to>
                </anchor>
              </controlPr>
            </control>
          </mc:Choice>
        </mc:AlternateContent>
        <mc:AlternateContent xmlns:mc="http://schemas.openxmlformats.org/markup-compatibility/2006">
          <mc:Choice Requires="x14">
            <control shapeId="1494" r:id="rId1907" name="Button 470">
              <controlPr defaultSize="0" autoFill="0" autoLine="0" autoPict="0" macro="[0]!Sheet1.deleteRow">
                <anchor moveWithCells="1" sizeWithCells="1">
                  <from>
                    <xdr:col>6</xdr:col>
                    <xdr:colOff>0</xdr:colOff>
                    <xdr:row>3116</xdr:row>
                    <xdr:rowOff>0</xdr:rowOff>
                  </from>
                  <to>
                    <xdr:col>7</xdr:col>
                    <xdr:colOff>0</xdr:colOff>
                    <xdr:row>3116</xdr:row>
                    <xdr:rowOff>165100</xdr:rowOff>
                  </to>
                </anchor>
              </controlPr>
            </control>
          </mc:Choice>
        </mc:AlternateContent>
        <mc:AlternateContent xmlns:mc="http://schemas.openxmlformats.org/markup-compatibility/2006">
          <mc:Choice Requires="x14">
            <control shapeId="1493" r:id="rId1908" name="Button 469">
              <controlPr defaultSize="0" autoFill="0" autoLine="0" autoPict="0" macro="[0]!Sheet1.deleteRow">
                <anchor moveWithCells="1" sizeWithCells="1">
                  <from>
                    <xdr:col>6</xdr:col>
                    <xdr:colOff>0</xdr:colOff>
                    <xdr:row>3117</xdr:row>
                    <xdr:rowOff>0</xdr:rowOff>
                  </from>
                  <to>
                    <xdr:col>7</xdr:col>
                    <xdr:colOff>0</xdr:colOff>
                    <xdr:row>3117</xdr:row>
                    <xdr:rowOff>165100</xdr:rowOff>
                  </to>
                </anchor>
              </controlPr>
            </control>
          </mc:Choice>
        </mc:AlternateContent>
        <mc:AlternateContent xmlns:mc="http://schemas.openxmlformats.org/markup-compatibility/2006">
          <mc:Choice Requires="x14">
            <control shapeId="1492" r:id="rId1909" name="Button 468">
              <controlPr defaultSize="0" autoFill="0" autoLine="0" autoPict="0" macro="[0]!Sheet1.deleteProcedure">
                <anchor moveWithCells="1" sizeWithCells="1">
                  <from>
                    <xdr:col>6</xdr:col>
                    <xdr:colOff>0</xdr:colOff>
                    <xdr:row>3120</xdr:row>
                    <xdr:rowOff>0</xdr:rowOff>
                  </from>
                  <to>
                    <xdr:col>7</xdr:col>
                    <xdr:colOff>0</xdr:colOff>
                    <xdr:row>3121</xdr:row>
                    <xdr:rowOff>0</xdr:rowOff>
                  </to>
                </anchor>
              </controlPr>
            </control>
          </mc:Choice>
        </mc:AlternateContent>
        <mc:AlternateContent xmlns:mc="http://schemas.openxmlformats.org/markup-compatibility/2006">
          <mc:Choice Requires="x14">
            <control shapeId="1491" r:id="rId1910" name="Button 467">
              <controlPr defaultSize="0" autoFill="0" autoLine="0" autoPict="0" macro="[0]!Sheet1.InsertNewTableRow">
                <anchor moveWithCells="1" sizeWithCells="1">
                  <from>
                    <xdr:col>6</xdr:col>
                    <xdr:colOff>0</xdr:colOff>
                    <xdr:row>3127</xdr:row>
                    <xdr:rowOff>0</xdr:rowOff>
                  </from>
                  <to>
                    <xdr:col>7</xdr:col>
                    <xdr:colOff>0</xdr:colOff>
                    <xdr:row>3127</xdr:row>
                    <xdr:rowOff>171450</xdr:rowOff>
                  </to>
                </anchor>
              </controlPr>
            </control>
          </mc:Choice>
        </mc:AlternateContent>
        <mc:AlternateContent xmlns:mc="http://schemas.openxmlformats.org/markup-compatibility/2006">
          <mc:Choice Requires="x14">
            <control shapeId="1490" r:id="rId1911" name="Button 466">
              <controlPr defaultSize="0" autoFill="0" autoLine="0" autoPict="0" macro="[0]!Sheet1.deleteRow">
                <anchor moveWithCells="1" sizeWithCells="1">
                  <from>
                    <xdr:col>6</xdr:col>
                    <xdr:colOff>0</xdr:colOff>
                    <xdr:row>3128</xdr:row>
                    <xdr:rowOff>0</xdr:rowOff>
                  </from>
                  <to>
                    <xdr:col>7</xdr:col>
                    <xdr:colOff>0</xdr:colOff>
                    <xdr:row>3128</xdr:row>
                    <xdr:rowOff>165100</xdr:rowOff>
                  </to>
                </anchor>
              </controlPr>
            </control>
          </mc:Choice>
        </mc:AlternateContent>
        <mc:AlternateContent xmlns:mc="http://schemas.openxmlformats.org/markup-compatibility/2006">
          <mc:Choice Requires="x14">
            <control shapeId="1489" r:id="rId1912" name="Button 465">
              <controlPr defaultSize="0" autoFill="0" autoLine="0" autoPict="0" macro="[0]!Sheet1.deleteProcedure">
                <anchor moveWithCells="1" sizeWithCells="1">
                  <from>
                    <xdr:col>6</xdr:col>
                    <xdr:colOff>0</xdr:colOff>
                    <xdr:row>3131</xdr:row>
                    <xdr:rowOff>0</xdr:rowOff>
                  </from>
                  <to>
                    <xdr:col>7</xdr:col>
                    <xdr:colOff>0</xdr:colOff>
                    <xdr:row>3132</xdr:row>
                    <xdr:rowOff>0</xdr:rowOff>
                  </to>
                </anchor>
              </controlPr>
            </control>
          </mc:Choice>
        </mc:AlternateContent>
        <mc:AlternateContent xmlns:mc="http://schemas.openxmlformats.org/markup-compatibility/2006">
          <mc:Choice Requires="x14">
            <control shapeId="1488" r:id="rId1913" name="Button 464">
              <controlPr defaultSize="0" autoFill="0" autoLine="0" autoPict="0" macro="[0]!Sheet1.InsertNewTableRow">
                <anchor moveWithCells="1" sizeWithCells="1">
                  <from>
                    <xdr:col>6</xdr:col>
                    <xdr:colOff>0</xdr:colOff>
                    <xdr:row>3138</xdr:row>
                    <xdr:rowOff>0</xdr:rowOff>
                  </from>
                  <to>
                    <xdr:col>7</xdr:col>
                    <xdr:colOff>0</xdr:colOff>
                    <xdr:row>3138</xdr:row>
                    <xdr:rowOff>171450</xdr:rowOff>
                  </to>
                </anchor>
              </controlPr>
            </control>
          </mc:Choice>
        </mc:AlternateContent>
        <mc:AlternateContent xmlns:mc="http://schemas.openxmlformats.org/markup-compatibility/2006">
          <mc:Choice Requires="x14">
            <control shapeId="1487" r:id="rId1914" name="Button 463">
              <controlPr defaultSize="0" autoFill="0" autoLine="0" autoPict="0" macro="[0]!Sheet1.deleteRow">
                <anchor moveWithCells="1" sizeWithCells="1">
                  <from>
                    <xdr:col>6</xdr:col>
                    <xdr:colOff>0</xdr:colOff>
                    <xdr:row>3139</xdr:row>
                    <xdr:rowOff>0</xdr:rowOff>
                  </from>
                  <to>
                    <xdr:col>7</xdr:col>
                    <xdr:colOff>0</xdr:colOff>
                    <xdr:row>3139</xdr:row>
                    <xdr:rowOff>165100</xdr:rowOff>
                  </to>
                </anchor>
              </controlPr>
            </control>
          </mc:Choice>
        </mc:AlternateContent>
        <mc:AlternateContent xmlns:mc="http://schemas.openxmlformats.org/markup-compatibility/2006">
          <mc:Choice Requires="x14">
            <control shapeId="1486" r:id="rId1915" name="Button 462">
              <controlPr defaultSize="0" autoFill="0" autoLine="0" autoPict="0" macro="[0]!Sheet1.deleteProcedure">
                <anchor moveWithCells="1" sizeWithCells="1">
                  <from>
                    <xdr:col>6</xdr:col>
                    <xdr:colOff>0</xdr:colOff>
                    <xdr:row>3142</xdr:row>
                    <xdr:rowOff>0</xdr:rowOff>
                  </from>
                  <to>
                    <xdr:col>7</xdr:col>
                    <xdr:colOff>0</xdr:colOff>
                    <xdr:row>3143</xdr:row>
                    <xdr:rowOff>0</xdr:rowOff>
                  </to>
                </anchor>
              </controlPr>
            </control>
          </mc:Choice>
        </mc:AlternateContent>
        <mc:AlternateContent xmlns:mc="http://schemas.openxmlformats.org/markup-compatibility/2006">
          <mc:Choice Requires="x14">
            <control shapeId="1485" r:id="rId1916" name="Button 461">
              <controlPr defaultSize="0" autoFill="0" autoLine="0" autoPict="0" macro="[0]!Sheet1.InsertNewTableRow">
                <anchor moveWithCells="1" sizeWithCells="1">
                  <from>
                    <xdr:col>6</xdr:col>
                    <xdr:colOff>0</xdr:colOff>
                    <xdr:row>3149</xdr:row>
                    <xdr:rowOff>0</xdr:rowOff>
                  </from>
                  <to>
                    <xdr:col>7</xdr:col>
                    <xdr:colOff>0</xdr:colOff>
                    <xdr:row>3149</xdr:row>
                    <xdr:rowOff>171450</xdr:rowOff>
                  </to>
                </anchor>
              </controlPr>
            </control>
          </mc:Choice>
        </mc:AlternateContent>
        <mc:AlternateContent xmlns:mc="http://schemas.openxmlformats.org/markup-compatibility/2006">
          <mc:Choice Requires="x14">
            <control shapeId="1484" r:id="rId1917" name="Button 460">
              <controlPr defaultSize="0" autoFill="0" autoLine="0" autoPict="0" macro="[0]!Sheet1.deleteRow">
                <anchor moveWithCells="1" sizeWithCells="1">
                  <from>
                    <xdr:col>6</xdr:col>
                    <xdr:colOff>0</xdr:colOff>
                    <xdr:row>3150</xdr:row>
                    <xdr:rowOff>0</xdr:rowOff>
                  </from>
                  <to>
                    <xdr:col>7</xdr:col>
                    <xdr:colOff>0</xdr:colOff>
                    <xdr:row>3150</xdr:row>
                    <xdr:rowOff>165100</xdr:rowOff>
                  </to>
                </anchor>
              </controlPr>
            </control>
          </mc:Choice>
        </mc:AlternateContent>
        <mc:AlternateContent xmlns:mc="http://schemas.openxmlformats.org/markup-compatibility/2006">
          <mc:Choice Requires="x14">
            <control shapeId="1483" r:id="rId1918" name="Button 459">
              <controlPr defaultSize="0" autoFill="0" autoLine="0" autoPict="0" macro="[0]!Sheet1.deleteProcedure">
                <anchor moveWithCells="1" sizeWithCells="1">
                  <from>
                    <xdr:col>6</xdr:col>
                    <xdr:colOff>0</xdr:colOff>
                    <xdr:row>3153</xdr:row>
                    <xdr:rowOff>0</xdr:rowOff>
                  </from>
                  <to>
                    <xdr:col>7</xdr:col>
                    <xdr:colOff>0</xdr:colOff>
                    <xdr:row>3154</xdr:row>
                    <xdr:rowOff>0</xdr:rowOff>
                  </to>
                </anchor>
              </controlPr>
            </control>
          </mc:Choice>
        </mc:AlternateContent>
        <mc:AlternateContent xmlns:mc="http://schemas.openxmlformats.org/markup-compatibility/2006">
          <mc:Choice Requires="x14">
            <control shapeId="1482" r:id="rId1919" name="Button 458">
              <controlPr defaultSize="0" autoFill="0" autoLine="0" autoPict="0" macro="[0]!Sheet1.InsertNewTableRow">
                <anchor moveWithCells="1" sizeWithCells="1">
                  <from>
                    <xdr:col>6</xdr:col>
                    <xdr:colOff>0</xdr:colOff>
                    <xdr:row>3160</xdr:row>
                    <xdr:rowOff>0</xdr:rowOff>
                  </from>
                  <to>
                    <xdr:col>7</xdr:col>
                    <xdr:colOff>0</xdr:colOff>
                    <xdr:row>3160</xdr:row>
                    <xdr:rowOff>171450</xdr:rowOff>
                  </to>
                </anchor>
              </controlPr>
            </control>
          </mc:Choice>
        </mc:AlternateContent>
        <mc:AlternateContent xmlns:mc="http://schemas.openxmlformats.org/markup-compatibility/2006">
          <mc:Choice Requires="x14">
            <control shapeId="1481" r:id="rId1920" name="Button 457">
              <controlPr defaultSize="0" autoFill="0" autoLine="0" autoPict="0" macro="[0]!Sheet1.deleteRow">
                <anchor moveWithCells="1" sizeWithCells="1">
                  <from>
                    <xdr:col>6</xdr:col>
                    <xdr:colOff>0</xdr:colOff>
                    <xdr:row>3161</xdr:row>
                    <xdr:rowOff>0</xdr:rowOff>
                  </from>
                  <to>
                    <xdr:col>7</xdr:col>
                    <xdr:colOff>0</xdr:colOff>
                    <xdr:row>3161</xdr:row>
                    <xdr:rowOff>165100</xdr:rowOff>
                  </to>
                </anchor>
              </controlPr>
            </control>
          </mc:Choice>
        </mc:AlternateContent>
        <mc:AlternateContent xmlns:mc="http://schemas.openxmlformats.org/markup-compatibility/2006">
          <mc:Choice Requires="x14">
            <control shapeId="1480" r:id="rId1921" name="Button 456">
              <controlPr defaultSize="0" autoFill="0" autoLine="0" autoPict="0" macro="[0]!Sheet1.deleteProcedure">
                <anchor moveWithCells="1" sizeWithCells="1">
                  <from>
                    <xdr:col>6</xdr:col>
                    <xdr:colOff>0</xdr:colOff>
                    <xdr:row>3164</xdr:row>
                    <xdr:rowOff>0</xdr:rowOff>
                  </from>
                  <to>
                    <xdr:col>7</xdr:col>
                    <xdr:colOff>0</xdr:colOff>
                    <xdr:row>3165</xdr:row>
                    <xdr:rowOff>0</xdr:rowOff>
                  </to>
                </anchor>
              </controlPr>
            </control>
          </mc:Choice>
        </mc:AlternateContent>
        <mc:AlternateContent xmlns:mc="http://schemas.openxmlformats.org/markup-compatibility/2006">
          <mc:Choice Requires="x14">
            <control shapeId="1479" r:id="rId1922" name="Button 455">
              <controlPr defaultSize="0" autoFill="0" autoLine="0" autoPict="0" macro="[0]!Sheet1.InsertNewTableRow">
                <anchor moveWithCells="1" sizeWithCells="1">
                  <from>
                    <xdr:col>6</xdr:col>
                    <xdr:colOff>0</xdr:colOff>
                    <xdr:row>3171</xdr:row>
                    <xdr:rowOff>0</xdr:rowOff>
                  </from>
                  <to>
                    <xdr:col>7</xdr:col>
                    <xdr:colOff>0</xdr:colOff>
                    <xdr:row>3171</xdr:row>
                    <xdr:rowOff>171450</xdr:rowOff>
                  </to>
                </anchor>
              </controlPr>
            </control>
          </mc:Choice>
        </mc:AlternateContent>
        <mc:AlternateContent xmlns:mc="http://schemas.openxmlformats.org/markup-compatibility/2006">
          <mc:Choice Requires="x14">
            <control shapeId="1478" r:id="rId1923" name="Button 454">
              <controlPr defaultSize="0" autoFill="0" autoLine="0" autoPict="0" macro="[0]!Sheet1.deleteRow">
                <anchor moveWithCells="1" sizeWithCells="1">
                  <from>
                    <xdr:col>6</xdr:col>
                    <xdr:colOff>0</xdr:colOff>
                    <xdr:row>3172</xdr:row>
                    <xdr:rowOff>0</xdr:rowOff>
                  </from>
                  <to>
                    <xdr:col>7</xdr:col>
                    <xdr:colOff>0</xdr:colOff>
                    <xdr:row>3172</xdr:row>
                    <xdr:rowOff>165100</xdr:rowOff>
                  </to>
                </anchor>
              </controlPr>
            </control>
          </mc:Choice>
        </mc:AlternateContent>
        <mc:AlternateContent xmlns:mc="http://schemas.openxmlformats.org/markup-compatibility/2006">
          <mc:Choice Requires="x14">
            <control shapeId="1477" r:id="rId1924" name="Button 453">
              <controlPr defaultSize="0" autoFill="0" autoLine="0" autoPict="0" macro="[0]!Sheet1.deleteProcedure">
                <anchor moveWithCells="1" sizeWithCells="1">
                  <from>
                    <xdr:col>6</xdr:col>
                    <xdr:colOff>0</xdr:colOff>
                    <xdr:row>3175</xdr:row>
                    <xdr:rowOff>0</xdr:rowOff>
                  </from>
                  <to>
                    <xdr:col>7</xdr:col>
                    <xdr:colOff>0</xdr:colOff>
                    <xdr:row>3176</xdr:row>
                    <xdr:rowOff>0</xdr:rowOff>
                  </to>
                </anchor>
              </controlPr>
            </control>
          </mc:Choice>
        </mc:AlternateContent>
        <mc:AlternateContent xmlns:mc="http://schemas.openxmlformats.org/markup-compatibility/2006">
          <mc:Choice Requires="x14">
            <control shapeId="1476" r:id="rId1925" name="Button 452">
              <controlPr defaultSize="0" autoFill="0" autoLine="0" autoPict="0" macro="[0]!Sheet1.InsertNewTableRow">
                <anchor moveWithCells="1" sizeWithCells="1">
                  <from>
                    <xdr:col>6</xdr:col>
                    <xdr:colOff>0</xdr:colOff>
                    <xdr:row>3182</xdr:row>
                    <xdr:rowOff>0</xdr:rowOff>
                  </from>
                  <to>
                    <xdr:col>7</xdr:col>
                    <xdr:colOff>0</xdr:colOff>
                    <xdr:row>3182</xdr:row>
                    <xdr:rowOff>171450</xdr:rowOff>
                  </to>
                </anchor>
              </controlPr>
            </control>
          </mc:Choice>
        </mc:AlternateContent>
        <mc:AlternateContent xmlns:mc="http://schemas.openxmlformats.org/markup-compatibility/2006">
          <mc:Choice Requires="x14">
            <control shapeId="1475" r:id="rId1926" name="Button 451">
              <controlPr defaultSize="0" autoFill="0" autoLine="0" autoPict="0" macro="[0]!Sheet1.deleteRow">
                <anchor moveWithCells="1" sizeWithCells="1">
                  <from>
                    <xdr:col>6</xdr:col>
                    <xdr:colOff>0</xdr:colOff>
                    <xdr:row>3183</xdr:row>
                    <xdr:rowOff>0</xdr:rowOff>
                  </from>
                  <to>
                    <xdr:col>7</xdr:col>
                    <xdr:colOff>0</xdr:colOff>
                    <xdr:row>3183</xdr:row>
                    <xdr:rowOff>165100</xdr:rowOff>
                  </to>
                </anchor>
              </controlPr>
            </control>
          </mc:Choice>
        </mc:AlternateContent>
        <mc:AlternateContent xmlns:mc="http://schemas.openxmlformats.org/markup-compatibility/2006">
          <mc:Choice Requires="x14">
            <control shapeId="1474" r:id="rId1927" name="Button 450">
              <controlPr defaultSize="0" autoFill="0" autoLine="0" autoPict="0" macro="[0]!Sheet1.deleteProcedure">
                <anchor moveWithCells="1" sizeWithCells="1">
                  <from>
                    <xdr:col>6</xdr:col>
                    <xdr:colOff>0</xdr:colOff>
                    <xdr:row>3186</xdr:row>
                    <xdr:rowOff>0</xdr:rowOff>
                  </from>
                  <to>
                    <xdr:col>7</xdr:col>
                    <xdr:colOff>0</xdr:colOff>
                    <xdr:row>3187</xdr:row>
                    <xdr:rowOff>0</xdr:rowOff>
                  </to>
                </anchor>
              </controlPr>
            </control>
          </mc:Choice>
        </mc:AlternateContent>
        <mc:AlternateContent xmlns:mc="http://schemas.openxmlformats.org/markup-compatibility/2006">
          <mc:Choice Requires="x14">
            <control shapeId="1473" r:id="rId1928" name="Button 449">
              <controlPr defaultSize="0" autoFill="0" autoLine="0" autoPict="0" macro="[0]!Sheet1.InsertNewTableRow">
                <anchor moveWithCells="1" sizeWithCells="1">
                  <from>
                    <xdr:col>6</xdr:col>
                    <xdr:colOff>0</xdr:colOff>
                    <xdr:row>3193</xdr:row>
                    <xdr:rowOff>0</xdr:rowOff>
                  </from>
                  <to>
                    <xdr:col>7</xdr:col>
                    <xdr:colOff>0</xdr:colOff>
                    <xdr:row>3193</xdr:row>
                    <xdr:rowOff>171450</xdr:rowOff>
                  </to>
                </anchor>
              </controlPr>
            </control>
          </mc:Choice>
        </mc:AlternateContent>
        <mc:AlternateContent xmlns:mc="http://schemas.openxmlformats.org/markup-compatibility/2006">
          <mc:Choice Requires="x14">
            <control shapeId="1472" r:id="rId1929" name="Button 448">
              <controlPr defaultSize="0" autoFill="0" autoLine="0" autoPict="0" macro="[0]!Sheet1.deleteRow">
                <anchor moveWithCells="1" sizeWithCells="1">
                  <from>
                    <xdr:col>6</xdr:col>
                    <xdr:colOff>0</xdr:colOff>
                    <xdr:row>3194</xdr:row>
                    <xdr:rowOff>0</xdr:rowOff>
                  </from>
                  <to>
                    <xdr:col>7</xdr:col>
                    <xdr:colOff>0</xdr:colOff>
                    <xdr:row>3194</xdr:row>
                    <xdr:rowOff>165100</xdr:rowOff>
                  </to>
                </anchor>
              </controlPr>
            </control>
          </mc:Choice>
        </mc:AlternateContent>
        <mc:AlternateContent xmlns:mc="http://schemas.openxmlformats.org/markup-compatibility/2006">
          <mc:Choice Requires="x14">
            <control shapeId="1471" r:id="rId1930" name="Button 447">
              <controlPr defaultSize="0" autoFill="0" autoLine="0" autoPict="0" macro="[0]!Sheet1.deleteProcedure">
                <anchor moveWithCells="1" sizeWithCells="1">
                  <from>
                    <xdr:col>6</xdr:col>
                    <xdr:colOff>0</xdr:colOff>
                    <xdr:row>3197</xdr:row>
                    <xdr:rowOff>0</xdr:rowOff>
                  </from>
                  <to>
                    <xdr:col>7</xdr:col>
                    <xdr:colOff>0</xdr:colOff>
                    <xdr:row>3198</xdr:row>
                    <xdr:rowOff>0</xdr:rowOff>
                  </to>
                </anchor>
              </controlPr>
            </control>
          </mc:Choice>
        </mc:AlternateContent>
        <mc:AlternateContent xmlns:mc="http://schemas.openxmlformats.org/markup-compatibility/2006">
          <mc:Choice Requires="x14">
            <control shapeId="1470" r:id="rId1931" name="Button 446">
              <controlPr defaultSize="0" autoFill="0" autoLine="0" autoPict="0" macro="[0]!Sheet1.InsertNewTableRow">
                <anchor moveWithCells="1" sizeWithCells="1">
                  <from>
                    <xdr:col>6</xdr:col>
                    <xdr:colOff>0</xdr:colOff>
                    <xdr:row>3204</xdr:row>
                    <xdr:rowOff>0</xdr:rowOff>
                  </from>
                  <to>
                    <xdr:col>7</xdr:col>
                    <xdr:colOff>0</xdr:colOff>
                    <xdr:row>3204</xdr:row>
                    <xdr:rowOff>171450</xdr:rowOff>
                  </to>
                </anchor>
              </controlPr>
            </control>
          </mc:Choice>
        </mc:AlternateContent>
        <mc:AlternateContent xmlns:mc="http://schemas.openxmlformats.org/markup-compatibility/2006">
          <mc:Choice Requires="x14">
            <control shapeId="1469" r:id="rId1932" name="Button 445">
              <controlPr defaultSize="0" autoFill="0" autoLine="0" autoPict="0" macro="[0]!Sheet1.deleteRow">
                <anchor moveWithCells="1" sizeWithCells="1">
                  <from>
                    <xdr:col>6</xdr:col>
                    <xdr:colOff>0</xdr:colOff>
                    <xdr:row>3205</xdr:row>
                    <xdr:rowOff>0</xdr:rowOff>
                  </from>
                  <to>
                    <xdr:col>7</xdr:col>
                    <xdr:colOff>0</xdr:colOff>
                    <xdr:row>3205</xdr:row>
                    <xdr:rowOff>165100</xdr:rowOff>
                  </to>
                </anchor>
              </controlPr>
            </control>
          </mc:Choice>
        </mc:AlternateContent>
        <mc:AlternateContent xmlns:mc="http://schemas.openxmlformats.org/markup-compatibility/2006">
          <mc:Choice Requires="x14">
            <control shapeId="1468" r:id="rId1933" name="Button 444">
              <controlPr defaultSize="0" autoFill="0" autoLine="0" autoPict="0" macro="[0]!Sheet1.deleteProcedure">
                <anchor moveWithCells="1" sizeWithCells="1">
                  <from>
                    <xdr:col>6</xdr:col>
                    <xdr:colOff>0</xdr:colOff>
                    <xdr:row>3208</xdr:row>
                    <xdr:rowOff>0</xdr:rowOff>
                  </from>
                  <to>
                    <xdr:col>7</xdr:col>
                    <xdr:colOff>0</xdr:colOff>
                    <xdr:row>3209</xdr:row>
                    <xdr:rowOff>0</xdr:rowOff>
                  </to>
                </anchor>
              </controlPr>
            </control>
          </mc:Choice>
        </mc:AlternateContent>
        <mc:AlternateContent xmlns:mc="http://schemas.openxmlformats.org/markup-compatibility/2006">
          <mc:Choice Requires="x14">
            <control shapeId="1467" r:id="rId1934" name="Button 443">
              <controlPr defaultSize="0" autoFill="0" autoLine="0" autoPict="0" macro="[0]!Sheet1.InsertNewTableRow">
                <anchor moveWithCells="1" sizeWithCells="1">
                  <from>
                    <xdr:col>6</xdr:col>
                    <xdr:colOff>0</xdr:colOff>
                    <xdr:row>3215</xdr:row>
                    <xdr:rowOff>0</xdr:rowOff>
                  </from>
                  <to>
                    <xdr:col>7</xdr:col>
                    <xdr:colOff>0</xdr:colOff>
                    <xdr:row>3215</xdr:row>
                    <xdr:rowOff>171450</xdr:rowOff>
                  </to>
                </anchor>
              </controlPr>
            </control>
          </mc:Choice>
        </mc:AlternateContent>
        <mc:AlternateContent xmlns:mc="http://schemas.openxmlformats.org/markup-compatibility/2006">
          <mc:Choice Requires="x14">
            <control shapeId="1466" r:id="rId1935" name="Button 442">
              <controlPr defaultSize="0" autoFill="0" autoLine="0" autoPict="0" macro="[0]!Sheet1.deleteRow">
                <anchor moveWithCells="1" sizeWithCells="1">
                  <from>
                    <xdr:col>6</xdr:col>
                    <xdr:colOff>0</xdr:colOff>
                    <xdr:row>3216</xdr:row>
                    <xdr:rowOff>0</xdr:rowOff>
                  </from>
                  <to>
                    <xdr:col>7</xdr:col>
                    <xdr:colOff>0</xdr:colOff>
                    <xdr:row>3216</xdr:row>
                    <xdr:rowOff>165100</xdr:rowOff>
                  </to>
                </anchor>
              </controlPr>
            </control>
          </mc:Choice>
        </mc:AlternateContent>
        <mc:AlternateContent xmlns:mc="http://schemas.openxmlformats.org/markup-compatibility/2006">
          <mc:Choice Requires="x14">
            <control shapeId="1465" r:id="rId1936" name="Button 441">
              <controlPr defaultSize="0" autoFill="0" autoLine="0" autoPict="0" macro="[0]!Sheet1.deleteProcedure">
                <anchor moveWithCells="1" sizeWithCells="1">
                  <from>
                    <xdr:col>6</xdr:col>
                    <xdr:colOff>0</xdr:colOff>
                    <xdr:row>3219</xdr:row>
                    <xdr:rowOff>0</xdr:rowOff>
                  </from>
                  <to>
                    <xdr:col>7</xdr:col>
                    <xdr:colOff>0</xdr:colOff>
                    <xdr:row>3220</xdr:row>
                    <xdr:rowOff>0</xdr:rowOff>
                  </to>
                </anchor>
              </controlPr>
            </control>
          </mc:Choice>
        </mc:AlternateContent>
        <mc:AlternateContent xmlns:mc="http://schemas.openxmlformats.org/markup-compatibility/2006">
          <mc:Choice Requires="x14">
            <control shapeId="1464" r:id="rId1937" name="Button 440">
              <controlPr defaultSize="0" autoFill="0" autoLine="0" autoPict="0" macro="[0]!Sheet1.InsertNewTableRow">
                <anchor moveWithCells="1" sizeWithCells="1">
                  <from>
                    <xdr:col>6</xdr:col>
                    <xdr:colOff>0</xdr:colOff>
                    <xdr:row>3226</xdr:row>
                    <xdr:rowOff>0</xdr:rowOff>
                  </from>
                  <to>
                    <xdr:col>7</xdr:col>
                    <xdr:colOff>0</xdr:colOff>
                    <xdr:row>3226</xdr:row>
                    <xdr:rowOff>171450</xdr:rowOff>
                  </to>
                </anchor>
              </controlPr>
            </control>
          </mc:Choice>
        </mc:AlternateContent>
        <mc:AlternateContent xmlns:mc="http://schemas.openxmlformats.org/markup-compatibility/2006">
          <mc:Choice Requires="x14">
            <control shapeId="1463" r:id="rId1938" name="Button 439">
              <controlPr defaultSize="0" autoFill="0" autoLine="0" autoPict="0" macro="[0]!Sheet1.deleteRow">
                <anchor moveWithCells="1" sizeWithCells="1">
                  <from>
                    <xdr:col>6</xdr:col>
                    <xdr:colOff>0</xdr:colOff>
                    <xdr:row>3227</xdr:row>
                    <xdr:rowOff>0</xdr:rowOff>
                  </from>
                  <to>
                    <xdr:col>7</xdr:col>
                    <xdr:colOff>0</xdr:colOff>
                    <xdr:row>3227</xdr:row>
                    <xdr:rowOff>165100</xdr:rowOff>
                  </to>
                </anchor>
              </controlPr>
            </control>
          </mc:Choice>
        </mc:AlternateContent>
        <mc:AlternateContent xmlns:mc="http://schemas.openxmlformats.org/markup-compatibility/2006">
          <mc:Choice Requires="x14">
            <control shapeId="1462" r:id="rId1939" name="Button 438">
              <controlPr defaultSize="0" autoFill="0" autoLine="0" autoPict="0" macro="[0]!Sheet1.deleteProcedure">
                <anchor moveWithCells="1" sizeWithCells="1">
                  <from>
                    <xdr:col>6</xdr:col>
                    <xdr:colOff>0</xdr:colOff>
                    <xdr:row>3230</xdr:row>
                    <xdr:rowOff>0</xdr:rowOff>
                  </from>
                  <to>
                    <xdr:col>7</xdr:col>
                    <xdr:colOff>0</xdr:colOff>
                    <xdr:row>3231</xdr:row>
                    <xdr:rowOff>0</xdr:rowOff>
                  </to>
                </anchor>
              </controlPr>
            </control>
          </mc:Choice>
        </mc:AlternateContent>
        <mc:AlternateContent xmlns:mc="http://schemas.openxmlformats.org/markup-compatibility/2006">
          <mc:Choice Requires="x14">
            <control shapeId="1461" r:id="rId1940" name="Button 437">
              <controlPr defaultSize="0" autoFill="0" autoLine="0" autoPict="0" macro="[0]!Sheet1.InsertNewTableRow">
                <anchor moveWithCells="1" sizeWithCells="1">
                  <from>
                    <xdr:col>6</xdr:col>
                    <xdr:colOff>0</xdr:colOff>
                    <xdr:row>3237</xdr:row>
                    <xdr:rowOff>0</xdr:rowOff>
                  </from>
                  <to>
                    <xdr:col>7</xdr:col>
                    <xdr:colOff>0</xdr:colOff>
                    <xdr:row>3237</xdr:row>
                    <xdr:rowOff>171450</xdr:rowOff>
                  </to>
                </anchor>
              </controlPr>
            </control>
          </mc:Choice>
        </mc:AlternateContent>
        <mc:AlternateContent xmlns:mc="http://schemas.openxmlformats.org/markup-compatibility/2006">
          <mc:Choice Requires="x14">
            <control shapeId="1460" r:id="rId1941" name="Button 436">
              <controlPr defaultSize="0" autoFill="0" autoLine="0" autoPict="0" macro="[0]!Sheet1.deleteRow">
                <anchor moveWithCells="1" sizeWithCells="1">
                  <from>
                    <xdr:col>6</xdr:col>
                    <xdr:colOff>0</xdr:colOff>
                    <xdr:row>3238</xdr:row>
                    <xdr:rowOff>0</xdr:rowOff>
                  </from>
                  <to>
                    <xdr:col>7</xdr:col>
                    <xdr:colOff>0</xdr:colOff>
                    <xdr:row>3238</xdr:row>
                    <xdr:rowOff>165100</xdr:rowOff>
                  </to>
                </anchor>
              </controlPr>
            </control>
          </mc:Choice>
        </mc:AlternateContent>
        <mc:AlternateContent xmlns:mc="http://schemas.openxmlformats.org/markup-compatibility/2006">
          <mc:Choice Requires="x14">
            <control shapeId="1459" r:id="rId1942" name="Button 435">
              <controlPr defaultSize="0" autoFill="0" autoLine="0" autoPict="0" macro="[0]!Sheet1.deleteProcedure">
                <anchor moveWithCells="1" sizeWithCells="1">
                  <from>
                    <xdr:col>6</xdr:col>
                    <xdr:colOff>0</xdr:colOff>
                    <xdr:row>3241</xdr:row>
                    <xdr:rowOff>0</xdr:rowOff>
                  </from>
                  <to>
                    <xdr:col>7</xdr:col>
                    <xdr:colOff>0</xdr:colOff>
                    <xdr:row>3242</xdr:row>
                    <xdr:rowOff>0</xdr:rowOff>
                  </to>
                </anchor>
              </controlPr>
            </control>
          </mc:Choice>
        </mc:AlternateContent>
        <mc:AlternateContent xmlns:mc="http://schemas.openxmlformats.org/markup-compatibility/2006">
          <mc:Choice Requires="x14">
            <control shapeId="1458" r:id="rId1943" name="Button 434">
              <controlPr defaultSize="0" autoFill="0" autoLine="0" autoPict="0" macro="[0]!Sheet1.InsertNewTableRow">
                <anchor moveWithCells="1" sizeWithCells="1">
                  <from>
                    <xdr:col>6</xdr:col>
                    <xdr:colOff>0</xdr:colOff>
                    <xdr:row>3248</xdr:row>
                    <xdr:rowOff>0</xdr:rowOff>
                  </from>
                  <to>
                    <xdr:col>7</xdr:col>
                    <xdr:colOff>0</xdr:colOff>
                    <xdr:row>3248</xdr:row>
                    <xdr:rowOff>171450</xdr:rowOff>
                  </to>
                </anchor>
              </controlPr>
            </control>
          </mc:Choice>
        </mc:AlternateContent>
        <mc:AlternateContent xmlns:mc="http://schemas.openxmlformats.org/markup-compatibility/2006">
          <mc:Choice Requires="x14">
            <control shapeId="1457" r:id="rId1944" name="Button 433">
              <controlPr defaultSize="0" autoFill="0" autoLine="0" autoPict="0" macro="[0]!Sheet1.deleteRow">
                <anchor moveWithCells="1" sizeWithCells="1">
                  <from>
                    <xdr:col>6</xdr:col>
                    <xdr:colOff>0</xdr:colOff>
                    <xdr:row>3249</xdr:row>
                    <xdr:rowOff>0</xdr:rowOff>
                  </from>
                  <to>
                    <xdr:col>7</xdr:col>
                    <xdr:colOff>0</xdr:colOff>
                    <xdr:row>3249</xdr:row>
                    <xdr:rowOff>165100</xdr:rowOff>
                  </to>
                </anchor>
              </controlPr>
            </control>
          </mc:Choice>
        </mc:AlternateContent>
        <mc:AlternateContent xmlns:mc="http://schemas.openxmlformats.org/markup-compatibility/2006">
          <mc:Choice Requires="x14">
            <control shapeId="1456" r:id="rId1945" name="Button 432">
              <controlPr defaultSize="0" autoFill="0" autoLine="0" autoPict="0" macro="[0]!Sheet1.deleteProcedure">
                <anchor moveWithCells="1" sizeWithCells="1">
                  <from>
                    <xdr:col>6</xdr:col>
                    <xdr:colOff>0</xdr:colOff>
                    <xdr:row>3252</xdr:row>
                    <xdr:rowOff>0</xdr:rowOff>
                  </from>
                  <to>
                    <xdr:col>7</xdr:col>
                    <xdr:colOff>0</xdr:colOff>
                    <xdr:row>3253</xdr:row>
                    <xdr:rowOff>0</xdr:rowOff>
                  </to>
                </anchor>
              </controlPr>
            </control>
          </mc:Choice>
        </mc:AlternateContent>
        <mc:AlternateContent xmlns:mc="http://schemas.openxmlformats.org/markup-compatibility/2006">
          <mc:Choice Requires="x14">
            <control shapeId="1455" r:id="rId1946" name="Button 431">
              <controlPr defaultSize="0" autoFill="0" autoLine="0" autoPict="0" macro="[0]!Sheet1.InsertNewTableRow">
                <anchor moveWithCells="1" sizeWithCells="1">
                  <from>
                    <xdr:col>6</xdr:col>
                    <xdr:colOff>0</xdr:colOff>
                    <xdr:row>3259</xdr:row>
                    <xdr:rowOff>0</xdr:rowOff>
                  </from>
                  <to>
                    <xdr:col>7</xdr:col>
                    <xdr:colOff>0</xdr:colOff>
                    <xdr:row>3259</xdr:row>
                    <xdr:rowOff>171450</xdr:rowOff>
                  </to>
                </anchor>
              </controlPr>
            </control>
          </mc:Choice>
        </mc:AlternateContent>
        <mc:AlternateContent xmlns:mc="http://schemas.openxmlformats.org/markup-compatibility/2006">
          <mc:Choice Requires="x14">
            <control shapeId="1454" r:id="rId1947" name="Button 430">
              <controlPr defaultSize="0" autoFill="0" autoLine="0" autoPict="0" macro="[0]!Sheet1.deleteRow">
                <anchor moveWithCells="1" sizeWithCells="1">
                  <from>
                    <xdr:col>6</xdr:col>
                    <xdr:colOff>0</xdr:colOff>
                    <xdr:row>3260</xdr:row>
                    <xdr:rowOff>0</xdr:rowOff>
                  </from>
                  <to>
                    <xdr:col>7</xdr:col>
                    <xdr:colOff>0</xdr:colOff>
                    <xdr:row>3260</xdr:row>
                    <xdr:rowOff>165100</xdr:rowOff>
                  </to>
                </anchor>
              </controlPr>
            </control>
          </mc:Choice>
        </mc:AlternateContent>
        <mc:AlternateContent xmlns:mc="http://schemas.openxmlformats.org/markup-compatibility/2006">
          <mc:Choice Requires="x14">
            <control shapeId="1453" r:id="rId1948" name="Button 429">
              <controlPr defaultSize="0" autoFill="0" autoLine="0" autoPict="0" macro="[0]!Sheet1.deleteRow">
                <anchor moveWithCells="1" sizeWithCells="1">
                  <from>
                    <xdr:col>6</xdr:col>
                    <xdr:colOff>0</xdr:colOff>
                    <xdr:row>3261</xdr:row>
                    <xdr:rowOff>0</xdr:rowOff>
                  </from>
                  <to>
                    <xdr:col>7</xdr:col>
                    <xdr:colOff>0</xdr:colOff>
                    <xdr:row>3261</xdr:row>
                    <xdr:rowOff>165100</xdr:rowOff>
                  </to>
                </anchor>
              </controlPr>
            </control>
          </mc:Choice>
        </mc:AlternateContent>
        <mc:AlternateContent xmlns:mc="http://schemas.openxmlformats.org/markup-compatibility/2006">
          <mc:Choice Requires="x14">
            <control shapeId="1452" r:id="rId1949" name="Button 428">
              <controlPr defaultSize="0" autoFill="0" autoLine="0" autoPict="0" macro="[0]!Sheet1.deleteRow">
                <anchor moveWithCells="1" sizeWithCells="1">
                  <from>
                    <xdr:col>6</xdr:col>
                    <xdr:colOff>0</xdr:colOff>
                    <xdr:row>3262</xdr:row>
                    <xdr:rowOff>0</xdr:rowOff>
                  </from>
                  <to>
                    <xdr:col>7</xdr:col>
                    <xdr:colOff>0</xdr:colOff>
                    <xdr:row>3262</xdr:row>
                    <xdr:rowOff>165100</xdr:rowOff>
                  </to>
                </anchor>
              </controlPr>
            </control>
          </mc:Choice>
        </mc:AlternateContent>
        <mc:AlternateContent xmlns:mc="http://schemas.openxmlformats.org/markup-compatibility/2006">
          <mc:Choice Requires="x14">
            <control shapeId="1451" r:id="rId1950" name="Button 427">
              <controlPr defaultSize="0" autoFill="0" autoLine="0" autoPict="0" macro="[0]!Sheet1.deleteRow">
                <anchor moveWithCells="1" sizeWithCells="1">
                  <from>
                    <xdr:col>6</xdr:col>
                    <xdr:colOff>0</xdr:colOff>
                    <xdr:row>3263</xdr:row>
                    <xdr:rowOff>0</xdr:rowOff>
                  </from>
                  <to>
                    <xdr:col>7</xdr:col>
                    <xdr:colOff>0</xdr:colOff>
                    <xdr:row>3263</xdr:row>
                    <xdr:rowOff>165100</xdr:rowOff>
                  </to>
                </anchor>
              </controlPr>
            </control>
          </mc:Choice>
        </mc:AlternateContent>
        <mc:AlternateContent xmlns:mc="http://schemas.openxmlformats.org/markup-compatibility/2006">
          <mc:Choice Requires="x14">
            <control shapeId="1450" r:id="rId1951" name="Button 426">
              <controlPr defaultSize="0" autoFill="0" autoLine="0" autoPict="0" macro="[0]!Sheet1.deleteRow">
                <anchor moveWithCells="1" sizeWithCells="1">
                  <from>
                    <xdr:col>6</xdr:col>
                    <xdr:colOff>0</xdr:colOff>
                    <xdr:row>3264</xdr:row>
                    <xdr:rowOff>0</xdr:rowOff>
                  </from>
                  <to>
                    <xdr:col>7</xdr:col>
                    <xdr:colOff>0</xdr:colOff>
                    <xdr:row>3264</xdr:row>
                    <xdr:rowOff>165100</xdr:rowOff>
                  </to>
                </anchor>
              </controlPr>
            </control>
          </mc:Choice>
        </mc:AlternateContent>
        <mc:AlternateContent xmlns:mc="http://schemas.openxmlformats.org/markup-compatibility/2006">
          <mc:Choice Requires="x14">
            <control shapeId="1449" r:id="rId1952" name="Button 425">
              <controlPr defaultSize="0" autoFill="0" autoLine="0" autoPict="0" macro="[0]!Sheet1.deleteRow">
                <anchor moveWithCells="1" sizeWithCells="1">
                  <from>
                    <xdr:col>6</xdr:col>
                    <xdr:colOff>0</xdr:colOff>
                    <xdr:row>3265</xdr:row>
                    <xdr:rowOff>0</xdr:rowOff>
                  </from>
                  <to>
                    <xdr:col>7</xdr:col>
                    <xdr:colOff>0</xdr:colOff>
                    <xdr:row>3265</xdr:row>
                    <xdr:rowOff>165100</xdr:rowOff>
                  </to>
                </anchor>
              </controlPr>
            </control>
          </mc:Choice>
        </mc:AlternateContent>
        <mc:AlternateContent xmlns:mc="http://schemas.openxmlformats.org/markup-compatibility/2006">
          <mc:Choice Requires="x14">
            <control shapeId="1448" r:id="rId1953" name="Button 424">
              <controlPr defaultSize="0" autoFill="0" autoLine="0" autoPict="0" macro="[0]!Sheet1.deleteRow">
                <anchor moveWithCells="1" sizeWithCells="1">
                  <from>
                    <xdr:col>6</xdr:col>
                    <xdr:colOff>0</xdr:colOff>
                    <xdr:row>3266</xdr:row>
                    <xdr:rowOff>0</xdr:rowOff>
                  </from>
                  <to>
                    <xdr:col>7</xdr:col>
                    <xdr:colOff>0</xdr:colOff>
                    <xdr:row>3266</xdr:row>
                    <xdr:rowOff>165100</xdr:rowOff>
                  </to>
                </anchor>
              </controlPr>
            </control>
          </mc:Choice>
        </mc:AlternateContent>
        <mc:AlternateContent xmlns:mc="http://schemas.openxmlformats.org/markup-compatibility/2006">
          <mc:Choice Requires="x14">
            <control shapeId="1447" r:id="rId1954" name="Button 423">
              <controlPr defaultSize="0" autoFill="0" autoLine="0" autoPict="0" macro="[0]!Sheet1.deleteRow">
                <anchor moveWithCells="1" sizeWithCells="1">
                  <from>
                    <xdr:col>6</xdr:col>
                    <xdr:colOff>0</xdr:colOff>
                    <xdr:row>3267</xdr:row>
                    <xdr:rowOff>0</xdr:rowOff>
                  </from>
                  <to>
                    <xdr:col>7</xdr:col>
                    <xdr:colOff>0</xdr:colOff>
                    <xdr:row>3267</xdr:row>
                    <xdr:rowOff>165100</xdr:rowOff>
                  </to>
                </anchor>
              </controlPr>
            </control>
          </mc:Choice>
        </mc:AlternateContent>
        <mc:AlternateContent xmlns:mc="http://schemas.openxmlformats.org/markup-compatibility/2006">
          <mc:Choice Requires="x14">
            <control shapeId="1446" r:id="rId1955" name="Button 422">
              <controlPr defaultSize="0" autoFill="0" autoLine="0" autoPict="0" macro="[0]!Sheet1.deleteRow">
                <anchor moveWithCells="1" sizeWithCells="1">
                  <from>
                    <xdr:col>6</xdr:col>
                    <xdr:colOff>0</xdr:colOff>
                    <xdr:row>3268</xdr:row>
                    <xdr:rowOff>0</xdr:rowOff>
                  </from>
                  <to>
                    <xdr:col>7</xdr:col>
                    <xdr:colOff>0</xdr:colOff>
                    <xdr:row>3268</xdr:row>
                    <xdr:rowOff>165100</xdr:rowOff>
                  </to>
                </anchor>
              </controlPr>
            </control>
          </mc:Choice>
        </mc:AlternateContent>
        <mc:AlternateContent xmlns:mc="http://schemas.openxmlformats.org/markup-compatibility/2006">
          <mc:Choice Requires="x14">
            <control shapeId="1445" r:id="rId1956" name="Button 421">
              <controlPr defaultSize="0" autoFill="0" autoLine="0" autoPict="0" macro="[0]!Sheet1.deleteRow">
                <anchor moveWithCells="1" sizeWithCells="1">
                  <from>
                    <xdr:col>6</xdr:col>
                    <xdr:colOff>0</xdr:colOff>
                    <xdr:row>3269</xdr:row>
                    <xdr:rowOff>0</xdr:rowOff>
                  </from>
                  <to>
                    <xdr:col>7</xdr:col>
                    <xdr:colOff>0</xdr:colOff>
                    <xdr:row>3269</xdr:row>
                    <xdr:rowOff>165100</xdr:rowOff>
                  </to>
                </anchor>
              </controlPr>
            </control>
          </mc:Choice>
        </mc:AlternateContent>
        <mc:AlternateContent xmlns:mc="http://schemas.openxmlformats.org/markup-compatibility/2006">
          <mc:Choice Requires="x14">
            <control shapeId="1444" r:id="rId1957" name="Button 420">
              <controlPr defaultSize="0" autoFill="0" autoLine="0" autoPict="0" macro="[0]!Sheet1.deleteRow">
                <anchor moveWithCells="1" sizeWithCells="1">
                  <from>
                    <xdr:col>6</xdr:col>
                    <xdr:colOff>0</xdr:colOff>
                    <xdr:row>3270</xdr:row>
                    <xdr:rowOff>0</xdr:rowOff>
                  </from>
                  <to>
                    <xdr:col>7</xdr:col>
                    <xdr:colOff>0</xdr:colOff>
                    <xdr:row>3270</xdr:row>
                    <xdr:rowOff>165100</xdr:rowOff>
                  </to>
                </anchor>
              </controlPr>
            </control>
          </mc:Choice>
        </mc:AlternateContent>
        <mc:AlternateContent xmlns:mc="http://schemas.openxmlformats.org/markup-compatibility/2006">
          <mc:Choice Requires="x14">
            <control shapeId="1443" r:id="rId1958" name="Button 419">
              <controlPr defaultSize="0" autoFill="0" autoLine="0" autoPict="0" macro="[0]!Sheet1.deleteRow">
                <anchor moveWithCells="1" sizeWithCells="1">
                  <from>
                    <xdr:col>6</xdr:col>
                    <xdr:colOff>0</xdr:colOff>
                    <xdr:row>3271</xdr:row>
                    <xdr:rowOff>0</xdr:rowOff>
                  </from>
                  <to>
                    <xdr:col>7</xdr:col>
                    <xdr:colOff>0</xdr:colOff>
                    <xdr:row>3271</xdr:row>
                    <xdr:rowOff>165100</xdr:rowOff>
                  </to>
                </anchor>
              </controlPr>
            </control>
          </mc:Choice>
        </mc:AlternateContent>
        <mc:AlternateContent xmlns:mc="http://schemas.openxmlformats.org/markup-compatibility/2006">
          <mc:Choice Requires="x14">
            <control shapeId="1442" r:id="rId1959" name="Button 418">
              <controlPr defaultSize="0" autoFill="0" autoLine="0" autoPict="0" macro="[0]!Sheet1.deleteRow">
                <anchor moveWithCells="1" sizeWithCells="1">
                  <from>
                    <xdr:col>6</xdr:col>
                    <xdr:colOff>0</xdr:colOff>
                    <xdr:row>3272</xdr:row>
                    <xdr:rowOff>0</xdr:rowOff>
                  </from>
                  <to>
                    <xdr:col>7</xdr:col>
                    <xdr:colOff>0</xdr:colOff>
                    <xdr:row>3272</xdr:row>
                    <xdr:rowOff>165100</xdr:rowOff>
                  </to>
                </anchor>
              </controlPr>
            </control>
          </mc:Choice>
        </mc:AlternateContent>
        <mc:AlternateContent xmlns:mc="http://schemas.openxmlformats.org/markup-compatibility/2006">
          <mc:Choice Requires="x14">
            <control shapeId="1441" r:id="rId1960" name="Button 417">
              <controlPr defaultSize="0" autoFill="0" autoLine="0" autoPict="0" macro="[0]!Sheet1.deleteRow">
                <anchor moveWithCells="1" sizeWithCells="1">
                  <from>
                    <xdr:col>6</xdr:col>
                    <xdr:colOff>0</xdr:colOff>
                    <xdr:row>3273</xdr:row>
                    <xdr:rowOff>0</xdr:rowOff>
                  </from>
                  <to>
                    <xdr:col>7</xdr:col>
                    <xdr:colOff>0</xdr:colOff>
                    <xdr:row>3273</xdr:row>
                    <xdr:rowOff>165100</xdr:rowOff>
                  </to>
                </anchor>
              </controlPr>
            </control>
          </mc:Choice>
        </mc:AlternateContent>
        <mc:AlternateContent xmlns:mc="http://schemas.openxmlformats.org/markup-compatibility/2006">
          <mc:Choice Requires="x14">
            <control shapeId="1440" r:id="rId1961" name="Button 416">
              <controlPr defaultSize="0" autoFill="0" autoLine="0" autoPict="0" macro="[0]!Sheet1.deleteRow">
                <anchor moveWithCells="1" sizeWithCells="1">
                  <from>
                    <xdr:col>6</xdr:col>
                    <xdr:colOff>0</xdr:colOff>
                    <xdr:row>3274</xdr:row>
                    <xdr:rowOff>0</xdr:rowOff>
                  </from>
                  <to>
                    <xdr:col>7</xdr:col>
                    <xdr:colOff>0</xdr:colOff>
                    <xdr:row>3274</xdr:row>
                    <xdr:rowOff>165100</xdr:rowOff>
                  </to>
                </anchor>
              </controlPr>
            </control>
          </mc:Choice>
        </mc:AlternateContent>
        <mc:AlternateContent xmlns:mc="http://schemas.openxmlformats.org/markup-compatibility/2006">
          <mc:Choice Requires="x14">
            <control shapeId="1439" r:id="rId1962" name="Button 415">
              <controlPr defaultSize="0" autoFill="0" autoLine="0" autoPict="0" macro="[0]!Sheet1.deleteProcedure">
                <anchor moveWithCells="1" sizeWithCells="1">
                  <from>
                    <xdr:col>6</xdr:col>
                    <xdr:colOff>0</xdr:colOff>
                    <xdr:row>3277</xdr:row>
                    <xdr:rowOff>0</xdr:rowOff>
                  </from>
                  <to>
                    <xdr:col>7</xdr:col>
                    <xdr:colOff>0</xdr:colOff>
                    <xdr:row>3278</xdr:row>
                    <xdr:rowOff>0</xdr:rowOff>
                  </to>
                </anchor>
              </controlPr>
            </control>
          </mc:Choice>
        </mc:AlternateContent>
        <mc:AlternateContent xmlns:mc="http://schemas.openxmlformats.org/markup-compatibility/2006">
          <mc:Choice Requires="x14">
            <control shapeId="1438" r:id="rId1963" name="Button 414">
              <controlPr defaultSize="0" autoFill="0" autoLine="0" autoPict="0" macro="[0]!Sheet1.InsertNewTableRow">
                <anchor moveWithCells="1" sizeWithCells="1">
                  <from>
                    <xdr:col>6</xdr:col>
                    <xdr:colOff>0</xdr:colOff>
                    <xdr:row>3284</xdr:row>
                    <xdr:rowOff>0</xdr:rowOff>
                  </from>
                  <to>
                    <xdr:col>7</xdr:col>
                    <xdr:colOff>0</xdr:colOff>
                    <xdr:row>3284</xdr:row>
                    <xdr:rowOff>171450</xdr:rowOff>
                  </to>
                </anchor>
              </controlPr>
            </control>
          </mc:Choice>
        </mc:AlternateContent>
        <mc:AlternateContent xmlns:mc="http://schemas.openxmlformats.org/markup-compatibility/2006">
          <mc:Choice Requires="x14">
            <control shapeId="1437" r:id="rId1964" name="Button 413">
              <controlPr defaultSize="0" autoFill="0" autoLine="0" autoPict="0" macro="[0]!Sheet1.deleteRow">
                <anchor moveWithCells="1" sizeWithCells="1">
                  <from>
                    <xdr:col>6</xdr:col>
                    <xdr:colOff>0</xdr:colOff>
                    <xdr:row>3285</xdr:row>
                    <xdr:rowOff>0</xdr:rowOff>
                  </from>
                  <to>
                    <xdr:col>7</xdr:col>
                    <xdr:colOff>0</xdr:colOff>
                    <xdr:row>3285</xdr:row>
                    <xdr:rowOff>165100</xdr:rowOff>
                  </to>
                </anchor>
              </controlPr>
            </control>
          </mc:Choice>
        </mc:AlternateContent>
        <mc:AlternateContent xmlns:mc="http://schemas.openxmlformats.org/markup-compatibility/2006">
          <mc:Choice Requires="x14">
            <control shapeId="1436" r:id="rId1965" name="Button 412">
              <controlPr defaultSize="0" autoFill="0" autoLine="0" autoPict="0" macro="[0]!Sheet1.deleteProcedure">
                <anchor moveWithCells="1" sizeWithCells="1">
                  <from>
                    <xdr:col>6</xdr:col>
                    <xdr:colOff>0</xdr:colOff>
                    <xdr:row>3288</xdr:row>
                    <xdr:rowOff>0</xdr:rowOff>
                  </from>
                  <to>
                    <xdr:col>7</xdr:col>
                    <xdr:colOff>0</xdr:colOff>
                    <xdr:row>3289</xdr:row>
                    <xdr:rowOff>0</xdr:rowOff>
                  </to>
                </anchor>
              </controlPr>
            </control>
          </mc:Choice>
        </mc:AlternateContent>
        <mc:AlternateContent xmlns:mc="http://schemas.openxmlformats.org/markup-compatibility/2006">
          <mc:Choice Requires="x14">
            <control shapeId="1435" r:id="rId1966" name="Button 411">
              <controlPr defaultSize="0" autoFill="0" autoLine="0" autoPict="0" macro="[0]!Sheet1.InsertNewTableRow">
                <anchor moveWithCells="1" sizeWithCells="1">
                  <from>
                    <xdr:col>6</xdr:col>
                    <xdr:colOff>0</xdr:colOff>
                    <xdr:row>3295</xdr:row>
                    <xdr:rowOff>0</xdr:rowOff>
                  </from>
                  <to>
                    <xdr:col>7</xdr:col>
                    <xdr:colOff>0</xdr:colOff>
                    <xdr:row>3295</xdr:row>
                    <xdr:rowOff>171450</xdr:rowOff>
                  </to>
                </anchor>
              </controlPr>
            </control>
          </mc:Choice>
        </mc:AlternateContent>
        <mc:AlternateContent xmlns:mc="http://schemas.openxmlformats.org/markup-compatibility/2006">
          <mc:Choice Requires="x14">
            <control shapeId="1434" r:id="rId1967" name="Button 410">
              <controlPr defaultSize="0" autoFill="0" autoLine="0" autoPict="0" macro="[0]!Sheet1.deleteRow">
                <anchor moveWithCells="1" sizeWithCells="1">
                  <from>
                    <xdr:col>6</xdr:col>
                    <xdr:colOff>0</xdr:colOff>
                    <xdr:row>3296</xdr:row>
                    <xdr:rowOff>0</xdr:rowOff>
                  </from>
                  <to>
                    <xdr:col>7</xdr:col>
                    <xdr:colOff>0</xdr:colOff>
                    <xdr:row>3296</xdr:row>
                    <xdr:rowOff>165100</xdr:rowOff>
                  </to>
                </anchor>
              </controlPr>
            </control>
          </mc:Choice>
        </mc:AlternateContent>
        <mc:AlternateContent xmlns:mc="http://schemas.openxmlformats.org/markup-compatibility/2006">
          <mc:Choice Requires="x14">
            <control shapeId="1433" r:id="rId1968" name="Button 409">
              <controlPr defaultSize="0" autoFill="0" autoLine="0" autoPict="0" macro="[0]!Sheet1.deleteRow">
                <anchor moveWithCells="1" sizeWithCells="1">
                  <from>
                    <xdr:col>6</xdr:col>
                    <xdr:colOff>0</xdr:colOff>
                    <xdr:row>3297</xdr:row>
                    <xdr:rowOff>0</xdr:rowOff>
                  </from>
                  <to>
                    <xdr:col>7</xdr:col>
                    <xdr:colOff>0</xdr:colOff>
                    <xdr:row>3297</xdr:row>
                    <xdr:rowOff>165100</xdr:rowOff>
                  </to>
                </anchor>
              </controlPr>
            </control>
          </mc:Choice>
        </mc:AlternateContent>
        <mc:AlternateContent xmlns:mc="http://schemas.openxmlformats.org/markup-compatibility/2006">
          <mc:Choice Requires="x14">
            <control shapeId="1432" r:id="rId1969" name="Button 408">
              <controlPr defaultSize="0" autoFill="0" autoLine="0" autoPict="0" macro="[0]!Sheet1.deleteRow">
                <anchor moveWithCells="1" sizeWithCells="1">
                  <from>
                    <xdr:col>6</xdr:col>
                    <xdr:colOff>0</xdr:colOff>
                    <xdr:row>3298</xdr:row>
                    <xdr:rowOff>0</xdr:rowOff>
                  </from>
                  <to>
                    <xdr:col>7</xdr:col>
                    <xdr:colOff>0</xdr:colOff>
                    <xdr:row>3298</xdr:row>
                    <xdr:rowOff>165100</xdr:rowOff>
                  </to>
                </anchor>
              </controlPr>
            </control>
          </mc:Choice>
        </mc:AlternateContent>
        <mc:AlternateContent xmlns:mc="http://schemas.openxmlformats.org/markup-compatibility/2006">
          <mc:Choice Requires="x14">
            <control shapeId="1431" r:id="rId1970" name="Button 407">
              <controlPr defaultSize="0" autoFill="0" autoLine="0" autoPict="0" macro="[0]!Sheet1.deleteRow">
                <anchor moveWithCells="1" sizeWithCells="1">
                  <from>
                    <xdr:col>6</xdr:col>
                    <xdr:colOff>0</xdr:colOff>
                    <xdr:row>3299</xdr:row>
                    <xdr:rowOff>0</xdr:rowOff>
                  </from>
                  <to>
                    <xdr:col>7</xdr:col>
                    <xdr:colOff>0</xdr:colOff>
                    <xdr:row>3299</xdr:row>
                    <xdr:rowOff>165100</xdr:rowOff>
                  </to>
                </anchor>
              </controlPr>
            </control>
          </mc:Choice>
        </mc:AlternateContent>
        <mc:AlternateContent xmlns:mc="http://schemas.openxmlformats.org/markup-compatibility/2006">
          <mc:Choice Requires="x14">
            <control shapeId="1430" r:id="rId1971" name="Button 406">
              <controlPr defaultSize="0" autoFill="0" autoLine="0" autoPict="0" macro="[0]!Sheet1.deleteRow">
                <anchor moveWithCells="1" sizeWithCells="1">
                  <from>
                    <xdr:col>6</xdr:col>
                    <xdr:colOff>0</xdr:colOff>
                    <xdr:row>3300</xdr:row>
                    <xdr:rowOff>0</xdr:rowOff>
                  </from>
                  <to>
                    <xdr:col>7</xdr:col>
                    <xdr:colOff>0</xdr:colOff>
                    <xdr:row>3300</xdr:row>
                    <xdr:rowOff>165100</xdr:rowOff>
                  </to>
                </anchor>
              </controlPr>
            </control>
          </mc:Choice>
        </mc:AlternateContent>
        <mc:AlternateContent xmlns:mc="http://schemas.openxmlformats.org/markup-compatibility/2006">
          <mc:Choice Requires="x14">
            <control shapeId="1429" r:id="rId1972" name="Button 405">
              <controlPr defaultSize="0" autoFill="0" autoLine="0" autoPict="0" macro="[0]!Sheet1.deleteRow">
                <anchor moveWithCells="1" sizeWithCells="1">
                  <from>
                    <xdr:col>6</xdr:col>
                    <xdr:colOff>0</xdr:colOff>
                    <xdr:row>3301</xdr:row>
                    <xdr:rowOff>0</xdr:rowOff>
                  </from>
                  <to>
                    <xdr:col>7</xdr:col>
                    <xdr:colOff>0</xdr:colOff>
                    <xdr:row>3301</xdr:row>
                    <xdr:rowOff>165100</xdr:rowOff>
                  </to>
                </anchor>
              </controlPr>
            </control>
          </mc:Choice>
        </mc:AlternateContent>
        <mc:AlternateContent xmlns:mc="http://schemas.openxmlformats.org/markup-compatibility/2006">
          <mc:Choice Requires="x14">
            <control shapeId="1428" r:id="rId1973" name="Button 404">
              <controlPr defaultSize="0" autoFill="0" autoLine="0" autoPict="0" macro="[0]!Sheet1.deleteRow">
                <anchor moveWithCells="1" sizeWithCells="1">
                  <from>
                    <xdr:col>6</xdr:col>
                    <xdr:colOff>0</xdr:colOff>
                    <xdr:row>3302</xdr:row>
                    <xdr:rowOff>0</xdr:rowOff>
                  </from>
                  <to>
                    <xdr:col>7</xdr:col>
                    <xdr:colOff>0</xdr:colOff>
                    <xdr:row>3302</xdr:row>
                    <xdr:rowOff>165100</xdr:rowOff>
                  </to>
                </anchor>
              </controlPr>
            </control>
          </mc:Choice>
        </mc:AlternateContent>
        <mc:AlternateContent xmlns:mc="http://schemas.openxmlformats.org/markup-compatibility/2006">
          <mc:Choice Requires="x14">
            <control shapeId="1427" r:id="rId1974" name="Button 403">
              <controlPr defaultSize="0" autoFill="0" autoLine="0" autoPict="0" macro="[0]!Sheet1.deleteRow">
                <anchor moveWithCells="1" sizeWithCells="1">
                  <from>
                    <xdr:col>6</xdr:col>
                    <xdr:colOff>0</xdr:colOff>
                    <xdr:row>3303</xdr:row>
                    <xdr:rowOff>0</xdr:rowOff>
                  </from>
                  <to>
                    <xdr:col>7</xdr:col>
                    <xdr:colOff>0</xdr:colOff>
                    <xdr:row>3303</xdr:row>
                    <xdr:rowOff>165100</xdr:rowOff>
                  </to>
                </anchor>
              </controlPr>
            </control>
          </mc:Choice>
        </mc:AlternateContent>
        <mc:AlternateContent xmlns:mc="http://schemas.openxmlformats.org/markup-compatibility/2006">
          <mc:Choice Requires="x14">
            <control shapeId="1426" r:id="rId1975" name="Button 402">
              <controlPr defaultSize="0" autoFill="0" autoLine="0" autoPict="0" macro="[0]!Sheet1.deleteRow">
                <anchor moveWithCells="1" sizeWithCells="1">
                  <from>
                    <xdr:col>6</xdr:col>
                    <xdr:colOff>0</xdr:colOff>
                    <xdr:row>3304</xdr:row>
                    <xdr:rowOff>0</xdr:rowOff>
                  </from>
                  <to>
                    <xdr:col>7</xdr:col>
                    <xdr:colOff>0</xdr:colOff>
                    <xdr:row>3304</xdr:row>
                    <xdr:rowOff>165100</xdr:rowOff>
                  </to>
                </anchor>
              </controlPr>
            </control>
          </mc:Choice>
        </mc:AlternateContent>
        <mc:AlternateContent xmlns:mc="http://schemas.openxmlformats.org/markup-compatibility/2006">
          <mc:Choice Requires="x14">
            <control shapeId="1425" r:id="rId1976" name="Button 401">
              <controlPr defaultSize="0" autoFill="0" autoLine="0" autoPict="0" macro="[0]!Sheet1.deleteRow">
                <anchor moveWithCells="1" sizeWithCells="1">
                  <from>
                    <xdr:col>6</xdr:col>
                    <xdr:colOff>0</xdr:colOff>
                    <xdr:row>3305</xdr:row>
                    <xdr:rowOff>0</xdr:rowOff>
                  </from>
                  <to>
                    <xdr:col>7</xdr:col>
                    <xdr:colOff>0</xdr:colOff>
                    <xdr:row>3305</xdr:row>
                    <xdr:rowOff>165100</xdr:rowOff>
                  </to>
                </anchor>
              </controlPr>
            </control>
          </mc:Choice>
        </mc:AlternateContent>
        <mc:AlternateContent xmlns:mc="http://schemas.openxmlformats.org/markup-compatibility/2006">
          <mc:Choice Requires="x14">
            <control shapeId="1424" r:id="rId1977" name="Button 400">
              <controlPr defaultSize="0" autoFill="0" autoLine="0" autoPict="0" macro="[0]!Sheet1.deleteRow">
                <anchor moveWithCells="1" sizeWithCells="1">
                  <from>
                    <xdr:col>6</xdr:col>
                    <xdr:colOff>0</xdr:colOff>
                    <xdr:row>3306</xdr:row>
                    <xdr:rowOff>0</xdr:rowOff>
                  </from>
                  <to>
                    <xdr:col>7</xdr:col>
                    <xdr:colOff>0</xdr:colOff>
                    <xdr:row>3306</xdr:row>
                    <xdr:rowOff>165100</xdr:rowOff>
                  </to>
                </anchor>
              </controlPr>
            </control>
          </mc:Choice>
        </mc:AlternateContent>
        <mc:AlternateContent xmlns:mc="http://schemas.openxmlformats.org/markup-compatibility/2006">
          <mc:Choice Requires="x14">
            <control shapeId="1423" r:id="rId1978" name="Button 399">
              <controlPr defaultSize="0" autoFill="0" autoLine="0" autoPict="0" macro="[0]!Sheet1.deleteRow">
                <anchor moveWithCells="1" sizeWithCells="1">
                  <from>
                    <xdr:col>6</xdr:col>
                    <xdr:colOff>0</xdr:colOff>
                    <xdr:row>3307</xdr:row>
                    <xdr:rowOff>0</xdr:rowOff>
                  </from>
                  <to>
                    <xdr:col>7</xdr:col>
                    <xdr:colOff>0</xdr:colOff>
                    <xdr:row>3307</xdr:row>
                    <xdr:rowOff>165100</xdr:rowOff>
                  </to>
                </anchor>
              </controlPr>
            </control>
          </mc:Choice>
        </mc:AlternateContent>
        <mc:AlternateContent xmlns:mc="http://schemas.openxmlformats.org/markup-compatibility/2006">
          <mc:Choice Requires="x14">
            <control shapeId="1422" r:id="rId1979" name="Button 398">
              <controlPr defaultSize="0" autoFill="0" autoLine="0" autoPict="0" macro="[0]!Sheet1.deleteRow">
                <anchor moveWithCells="1" sizeWithCells="1">
                  <from>
                    <xdr:col>6</xdr:col>
                    <xdr:colOff>0</xdr:colOff>
                    <xdr:row>3308</xdr:row>
                    <xdr:rowOff>0</xdr:rowOff>
                  </from>
                  <to>
                    <xdr:col>7</xdr:col>
                    <xdr:colOff>0</xdr:colOff>
                    <xdr:row>3308</xdr:row>
                    <xdr:rowOff>165100</xdr:rowOff>
                  </to>
                </anchor>
              </controlPr>
            </control>
          </mc:Choice>
        </mc:AlternateContent>
        <mc:AlternateContent xmlns:mc="http://schemas.openxmlformats.org/markup-compatibility/2006">
          <mc:Choice Requires="x14">
            <control shapeId="1421" r:id="rId1980" name="Button 397">
              <controlPr defaultSize="0" autoFill="0" autoLine="0" autoPict="0" macro="[0]!Sheet1.deleteRow">
                <anchor moveWithCells="1" sizeWithCells="1">
                  <from>
                    <xdr:col>6</xdr:col>
                    <xdr:colOff>0</xdr:colOff>
                    <xdr:row>3309</xdr:row>
                    <xdr:rowOff>0</xdr:rowOff>
                  </from>
                  <to>
                    <xdr:col>7</xdr:col>
                    <xdr:colOff>0</xdr:colOff>
                    <xdr:row>3309</xdr:row>
                    <xdr:rowOff>165100</xdr:rowOff>
                  </to>
                </anchor>
              </controlPr>
            </control>
          </mc:Choice>
        </mc:AlternateContent>
        <mc:AlternateContent xmlns:mc="http://schemas.openxmlformats.org/markup-compatibility/2006">
          <mc:Choice Requires="x14">
            <control shapeId="1420" r:id="rId1981" name="Button 396">
              <controlPr defaultSize="0" autoFill="0" autoLine="0" autoPict="0" macro="[0]!Sheet1.deleteRow">
                <anchor moveWithCells="1" sizeWithCells="1">
                  <from>
                    <xdr:col>6</xdr:col>
                    <xdr:colOff>0</xdr:colOff>
                    <xdr:row>3310</xdr:row>
                    <xdr:rowOff>0</xdr:rowOff>
                  </from>
                  <to>
                    <xdr:col>7</xdr:col>
                    <xdr:colOff>0</xdr:colOff>
                    <xdr:row>3310</xdr:row>
                    <xdr:rowOff>165100</xdr:rowOff>
                  </to>
                </anchor>
              </controlPr>
            </control>
          </mc:Choice>
        </mc:AlternateContent>
        <mc:AlternateContent xmlns:mc="http://schemas.openxmlformats.org/markup-compatibility/2006">
          <mc:Choice Requires="x14">
            <control shapeId="1419" r:id="rId1982" name="Button 395">
              <controlPr defaultSize="0" autoFill="0" autoLine="0" autoPict="0" macro="[0]!Sheet1.deleteRow">
                <anchor moveWithCells="1" sizeWithCells="1">
                  <from>
                    <xdr:col>6</xdr:col>
                    <xdr:colOff>0</xdr:colOff>
                    <xdr:row>3311</xdr:row>
                    <xdr:rowOff>0</xdr:rowOff>
                  </from>
                  <to>
                    <xdr:col>7</xdr:col>
                    <xdr:colOff>0</xdr:colOff>
                    <xdr:row>3311</xdr:row>
                    <xdr:rowOff>165100</xdr:rowOff>
                  </to>
                </anchor>
              </controlPr>
            </control>
          </mc:Choice>
        </mc:AlternateContent>
        <mc:AlternateContent xmlns:mc="http://schemas.openxmlformats.org/markup-compatibility/2006">
          <mc:Choice Requires="x14">
            <control shapeId="1418" r:id="rId1983" name="Button 394">
              <controlPr defaultSize="0" autoFill="0" autoLine="0" autoPict="0" macro="[0]!Sheet1.deleteRow">
                <anchor moveWithCells="1" sizeWithCells="1">
                  <from>
                    <xdr:col>6</xdr:col>
                    <xdr:colOff>0</xdr:colOff>
                    <xdr:row>3312</xdr:row>
                    <xdr:rowOff>0</xdr:rowOff>
                  </from>
                  <to>
                    <xdr:col>7</xdr:col>
                    <xdr:colOff>0</xdr:colOff>
                    <xdr:row>3312</xdr:row>
                    <xdr:rowOff>165100</xdr:rowOff>
                  </to>
                </anchor>
              </controlPr>
            </control>
          </mc:Choice>
        </mc:AlternateContent>
        <mc:AlternateContent xmlns:mc="http://schemas.openxmlformats.org/markup-compatibility/2006">
          <mc:Choice Requires="x14">
            <control shapeId="1417" r:id="rId1984" name="Button 393">
              <controlPr defaultSize="0" autoFill="0" autoLine="0" autoPict="0" macro="[0]!Sheet1.deleteRow">
                <anchor moveWithCells="1" sizeWithCells="1">
                  <from>
                    <xdr:col>6</xdr:col>
                    <xdr:colOff>0</xdr:colOff>
                    <xdr:row>3313</xdr:row>
                    <xdr:rowOff>0</xdr:rowOff>
                  </from>
                  <to>
                    <xdr:col>7</xdr:col>
                    <xdr:colOff>0</xdr:colOff>
                    <xdr:row>3313</xdr:row>
                    <xdr:rowOff>165100</xdr:rowOff>
                  </to>
                </anchor>
              </controlPr>
            </control>
          </mc:Choice>
        </mc:AlternateContent>
        <mc:AlternateContent xmlns:mc="http://schemas.openxmlformats.org/markup-compatibility/2006">
          <mc:Choice Requires="x14">
            <control shapeId="1416" r:id="rId1985" name="Button 392">
              <controlPr defaultSize="0" autoFill="0" autoLine="0" autoPict="0" macro="[0]!Sheet1.deleteRow">
                <anchor moveWithCells="1" sizeWithCells="1">
                  <from>
                    <xdr:col>6</xdr:col>
                    <xdr:colOff>0</xdr:colOff>
                    <xdr:row>3314</xdr:row>
                    <xdr:rowOff>0</xdr:rowOff>
                  </from>
                  <to>
                    <xdr:col>7</xdr:col>
                    <xdr:colOff>0</xdr:colOff>
                    <xdr:row>3314</xdr:row>
                    <xdr:rowOff>165100</xdr:rowOff>
                  </to>
                </anchor>
              </controlPr>
            </control>
          </mc:Choice>
        </mc:AlternateContent>
        <mc:AlternateContent xmlns:mc="http://schemas.openxmlformats.org/markup-compatibility/2006">
          <mc:Choice Requires="x14">
            <control shapeId="1415" r:id="rId1986" name="Button 391">
              <controlPr defaultSize="0" autoFill="0" autoLine="0" autoPict="0" macro="[0]!Sheet1.deleteRow">
                <anchor moveWithCells="1" sizeWithCells="1">
                  <from>
                    <xdr:col>6</xdr:col>
                    <xdr:colOff>0</xdr:colOff>
                    <xdr:row>3315</xdr:row>
                    <xdr:rowOff>0</xdr:rowOff>
                  </from>
                  <to>
                    <xdr:col>7</xdr:col>
                    <xdr:colOff>0</xdr:colOff>
                    <xdr:row>3315</xdr:row>
                    <xdr:rowOff>165100</xdr:rowOff>
                  </to>
                </anchor>
              </controlPr>
            </control>
          </mc:Choice>
        </mc:AlternateContent>
        <mc:AlternateContent xmlns:mc="http://schemas.openxmlformats.org/markup-compatibility/2006">
          <mc:Choice Requires="x14">
            <control shapeId="1414" r:id="rId1987" name="Button 390">
              <controlPr defaultSize="0" autoFill="0" autoLine="0" autoPict="0" macro="[0]!Sheet1.deleteRow">
                <anchor moveWithCells="1" sizeWithCells="1">
                  <from>
                    <xdr:col>6</xdr:col>
                    <xdr:colOff>0</xdr:colOff>
                    <xdr:row>3316</xdr:row>
                    <xdr:rowOff>0</xdr:rowOff>
                  </from>
                  <to>
                    <xdr:col>7</xdr:col>
                    <xdr:colOff>0</xdr:colOff>
                    <xdr:row>3316</xdr:row>
                    <xdr:rowOff>165100</xdr:rowOff>
                  </to>
                </anchor>
              </controlPr>
            </control>
          </mc:Choice>
        </mc:AlternateContent>
        <mc:AlternateContent xmlns:mc="http://schemas.openxmlformats.org/markup-compatibility/2006">
          <mc:Choice Requires="x14">
            <control shapeId="1413" r:id="rId1988" name="Button 389">
              <controlPr defaultSize="0" autoFill="0" autoLine="0" autoPict="0" macro="[0]!Sheet1.deleteRow">
                <anchor moveWithCells="1" sizeWithCells="1">
                  <from>
                    <xdr:col>6</xdr:col>
                    <xdr:colOff>0</xdr:colOff>
                    <xdr:row>3317</xdr:row>
                    <xdr:rowOff>0</xdr:rowOff>
                  </from>
                  <to>
                    <xdr:col>7</xdr:col>
                    <xdr:colOff>0</xdr:colOff>
                    <xdr:row>3317</xdr:row>
                    <xdr:rowOff>165100</xdr:rowOff>
                  </to>
                </anchor>
              </controlPr>
            </control>
          </mc:Choice>
        </mc:AlternateContent>
        <mc:AlternateContent xmlns:mc="http://schemas.openxmlformats.org/markup-compatibility/2006">
          <mc:Choice Requires="x14">
            <control shapeId="1412" r:id="rId1989" name="Button 388">
              <controlPr defaultSize="0" autoFill="0" autoLine="0" autoPict="0" macro="[0]!Sheet1.deleteRow">
                <anchor moveWithCells="1" sizeWithCells="1">
                  <from>
                    <xdr:col>6</xdr:col>
                    <xdr:colOff>0</xdr:colOff>
                    <xdr:row>3318</xdr:row>
                    <xdr:rowOff>0</xdr:rowOff>
                  </from>
                  <to>
                    <xdr:col>7</xdr:col>
                    <xdr:colOff>0</xdr:colOff>
                    <xdr:row>3318</xdr:row>
                    <xdr:rowOff>165100</xdr:rowOff>
                  </to>
                </anchor>
              </controlPr>
            </control>
          </mc:Choice>
        </mc:AlternateContent>
        <mc:AlternateContent xmlns:mc="http://schemas.openxmlformats.org/markup-compatibility/2006">
          <mc:Choice Requires="x14">
            <control shapeId="1411" r:id="rId1990" name="Button 387">
              <controlPr defaultSize="0" autoFill="0" autoLine="0" autoPict="0" macro="[0]!Sheet1.deleteRow">
                <anchor moveWithCells="1" sizeWithCells="1">
                  <from>
                    <xdr:col>6</xdr:col>
                    <xdr:colOff>0</xdr:colOff>
                    <xdr:row>3319</xdr:row>
                    <xdr:rowOff>0</xdr:rowOff>
                  </from>
                  <to>
                    <xdr:col>7</xdr:col>
                    <xdr:colOff>0</xdr:colOff>
                    <xdr:row>3319</xdr:row>
                    <xdr:rowOff>165100</xdr:rowOff>
                  </to>
                </anchor>
              </controlPr>
            </control>
          </mc:Choice>
        </mc:AlternateContent>
        <mc:AlternateContent xmlns:mc="http://schemas.openxmlformats.org/markup-compatibility/2006">
          <mc:Choice Requires="x14">
            <control shapeId="1410" r:id="rId1991" name="Button 386">
              <controlPr defaultSize="0" autoFill="0" autoLine="0" autoPict="0" macro="[0]!Sheet1.deleteRow">
                <anchor moveWithCells="1" sizeWithCells="1">
                  <from>
                    <xdr:col>6</xdr:col>
                    <xdr:colOff>0</xdr:colOff>
                    <xdr:row>3320</xdr:row>
                    <xdr:rowOff>0</xdr:rowOff>
                  </from>
                  <to>
                    <xdr:col>7</xdr:col>
                    <xdr:colOff>0</xdr:colOff>
                    <xdr:row>3320</xdr:row>
                    <xdr:rowOff>165100</xdr:rowOff>
                  </to>
                </anchor>
              </controlPr>
            </control>
          </mc:Choice>
        </mc:AlternateContent>
        <mc:AlternateContent xmlns:mc="http://schemas.openxmlformats.org/markup-compatibility/2006">
          <mc:Choice Requires="x14">
            <control shapeId="1409" r:id="rId1992" name="Button 385">
              <controlPr defaultSize="0" autoFill="0" autoLine="0" autoPict="0" macro="[0]!Sheet1.deleteRow">
                <anchor moveWithCells="1" sizeWithCells="1">
                  <from>
                    <xdr:col>6</xdr:col>
                    <xdr:colOff>0</xdr:colOff>
                    <xdr:row>3321</xdr:row>
                    <xdr:rowOff>0</xdr:rowOff>
                  </from>
                  <to>
                    <xdr:col>7</xdr:col>
                    <xdr:colOff>0</xdr:colOff>
                    <xdr:row>3321</xdr:row>
                    <xdr:rowOff>165100</xdr:rowOff>
                  </to>
                </anchor>
              </controlPr>
            </control>
          </mc:Choice>
        </mc:AlternateContent>
        <mc:AlternateContent xmlns:mc="http://schemas.openxmlformats.org/markup-compatibility/2006">
          <mc:Choice Requires="x14">
            <control shapeId="1408" r:id="rId1993" name="Button 384">
              <controlPr defaultSize="0" autoFill="0" autoLine="0" autoPict="0" macro="[0]!Sheet1.deleteRow">
                <anchor moveWithCells="1" sizeWithCells="1">
                  <from>
                    <xdr:col>6</xdr:col>
                    <xdr:colOff>0</xdr:colOff>
                    <xdr:row>3322</xdr:row>
                    <xdr:rowOff>0</xdr:rowOff>
                  </from>
                  <to>
                    <xdr:col>7</xdr:col>
                    <xdr:colOff>0</xdr:colOff>
                    <xdr:row>3322</xdr:row>
                    <xdr:rowOff>165100</xdr:rowOff>
                  </to>
                </anchor>
              </controlPr>
            </control>
          </mc:Choice>
        </mc:AlternateContent>
        <mc:AlternateContent xmlns:mc="http://schemas.openxmlformats.org/markup-compatibility/2006">
          <mc:Choice Requires="x14">
            <control shapeId="1407" r:id="rId1994" name="Button 383">
              <controlPr defaultSize="0" autoFill="0" autoLine="0" autoPict="0" macro="[0]!Sheet1.deleteRow">
                <anchor moveWithCells="1" sizeWithCells="1">
                  <from>
                    <xdr:col>6</xdr:col>
                    <xdr:colOff>0</xdr:colOff>
                    <xdr:row>3323</xdr:row>
                    <xdr:rowOff>0</xdr:rowOff>
                  </from>
                  <to>
                    <xdr:col>7</xdr:col>
                    <xdr:colOff>0</xdr:colOff>
                    <xdr:row>3323</xdr:row>
                    <xdr:rowOff>165100</xdr:rowOff>
                  </to>
                </anchor>
              </controlPr>
            </control>
          </mc:Choice>
        </mc:AlternateContent>
        <mc:AlternateContent xmlns:mc="http://schemas.openxmlformats.org/markup-compatibility/2006">
          <mc:Choice Requires="x14">
            <control shapeId="1406" r:id="rId1995" name="Button 382">
              <controlPr defaultSize="0" autoFill="0" autoLine="0" autoPict="0" macro="[0]!Sheet1.deleteRow">
                <anchor moveWithCells="1" sizeWithCells="1">
                  <from>
                    <xdr:col>6</xdr:col>
                    <xdr:colOff>0</xdr:colOff>
                    <xdr:row>3324</xdr:row>
                    <xdr:rowOff>0</xdr:rowOff>
                  </from>
                  <to>
                    <xdr:col>7</xdr:col>
                    <xdr:colOff>0</xdr:colOff>
                    <xdr:row>3324</xdr:row>
                    <xdr:rowOff>165100</xdr:rowOff>
                  </to>
                </anchor>
              </controlPr>
            </control>
          </mc:Choice>
        </mc:AlternateContent>
        <mc:AlternateContent xmlns:mc="http://schemas.openxmlformats.org/markup-compatibility/2006">
          <mc:Choice Requires="x14">
            <control shapeId="1405" r:id="rId1996" name="Button 381">
              <controlPr defaultSize="0" autoFill="0" autoLine="0" autoPict="0" macro="[0]!Sheet1.deleteRow">
                <anchor moveWithCells="1" sizeWithCells="1">
                  <from>
                    <xdr:col>6</xdr:col>
                    <xdr:colOff>0</xdr:colOff>
                    <xdr:row>3325</xdr:row>
                    <xdr:rowOff>0</xdr:rowOff>
                  </from>
                  <to>
                    <xdr:col>7</xdr:col>
                    <xdr:colOff>0</xdr:colOff>
                    <xdr:row>3325</xdr:row>
                    <xdr:rowOff>165100</xdr:rowOff>
                  </to>
                </anchor>
              </controlPr>
            </control>
          </mc:Choice>
        </mc:AlternateContent>
        <mc:AlternateContent xmlns:mc="http://schemas.openxmlformats.org/markup-compatibility/2006">
          <mc:Choice Requires="x14">
            <control shapeId="1404" r:id="rId1997" name="Button 380">
              <controlPr defaultSize="0" autoFill="0" autoLine="0" autoPict="0" macro="[0]!Sheet1.deleteRow">
                <anchor moveWithCells="1" sizeWithCells="1">
                  <from>
                    <xdr:col>6</xdr:col>
                    <xdr:colOff>0</xdr:colOff>
                    <xdr:row>3326</xdr:row>
                    <xdr:rowOff>0</xdr:rowOff>
                  </from>
                  <to>
                    <xdr:col>7</xdr:col>
                    <xdr:colOff>0</xdr:colOff>
                    <xdr:row>3326</xdr:row>
                    <xdr:rowOff>165100</xdr:rowOff>
                  </to>
                </anchor>
              </controlPr>
            </control>
          </mc:Choice>
        </mc:AlternateContent>
        <mc:AlternateContent xmlns:mc="http://schemas.openxmlformats.org/markup-compatibility/2006">
          <mc:Choice Requires="x14">
            <control shapeId="1403" r:id="rId1998" name="Button 379">
              <controlPr defaultSize="0" autoFill="0" autoLine="0" autoPict="0" macro="[0]!Sheet1.deleteRow">
                <anchor moveWithCells="1" sizeWithCells="1">
                  <from>
                    <xdr:col>6</xdr:col>
                    <xdr:colOff>0</xdr:colOff>
                    <xdr:row>3327</xdr:row>
                    <xdr:rowOff>0</xdr:rowOff>
                  </from>
                  <to>
                    <xdr:col>7</xdr:col>
                    <xdr:colOff>0</xdr:colOff>
                    <xdr:row>3327</xdr:row>
                    <xdr:rowOff>165100</xdr:rowOff>
                  </to>
                </anchor>
              </controlPr>
            </control>
          </mc:Choice>
        </mc:AlternateContent>
        <mc:AlternateContent xmlns:mc="http://schemas.openxmlformats.org/markup-compatibility/2006">
          <mc:Choice Requires="x14">
            <control shapeId="1402" r:id="rId1999" name="Button 378">
              <controlPr defaultSize="0" autoFill="0" autoLine="0" autoPict="0" macro="[0]!Sheet1.deleteRow">
                <anchor moveWithCells="1" sizeWithCells="1">
                  <from>
                    <xdr:col>6</xdr:col>
                    <xdr:colOff>0</xdr:colOff>
                    <xdr:row>3328</xdr:row>
                    <xdr:rowOff>0</xdr:rowOff>
                  </from>
                  <to>
                    <xdr:col>7</xdr:col>
                    <xdr:colOff>0</xdr:colOff>
                    <xdr:row>3328</xdr:row>
                    <xdr:rowOff>165100</xdr:rowOff>
                  </to>
                </anchor>
              </controlPr>
            </control>
          </mc:Choice>
        </mc:AlternateContent>
        <mc:AlternateContent xmlns:mc="http://schemas.openxmlformats.org/markup-compatibility/2006">
          <mc:Choice Requires="x14">
            <control shapeId="1401" r:id="rId2000" name="Button 377">
              <controlPr defaultSize="0" autoFill="0" autoLine="0" autoPict="0" macro="[0]!Sheet1.deleteRow">
                <anchor moveWithCells="1" sizeWithCells="1">
                  <from>
                    <xdr:col>6</xdr:col>
                    <xdr:colOff>0</xdr:colOff>
                    <xdr:row>3329</xdr:row>
                    <xdr:rowOff>0</xdr:rowOff>
                  </from>
                  <to>
                    <xdr:col>7</xdr:col>
                    <xdr:colOff>0</xdr:colOff>
                    <xdr:row>3329</xdr:row>
                    <xdr:rowOff>165100</xdr:rowOff>
                  </to>
                </anchor>
              </controlPr>
            </control>
          </mc:Choice>
        </mc:AlternateContent>
        <mc:AlternateContent xmlns:mc="http://schemas.openxmlformats.org/markup-compatibility/2006">
          <mc:Choice Requires="x14">
            <control shapeId="1400" r:id="rId2001" name="Button 376">
              <controlPr defaultSize="0" autoFill="0" autoLine="0" autoPict="0" macro="[0]!Sheet1.deleteRow">
                <anchor moveWithCells="1" sizeWithCells="1">
                  <from>
                    <xdr:col>6</xdr:col>
                    <xdr:colOff>0</xdr:colOff>
                    <xdr:row>3330</xdr:row>
                    <xdr:rowOff>0</xdr:rowOff>
                  </from>
                  <to>
                    <xdr:col>7</xdr:col>
                    <xdr:colOff>0</xdr:colOff>
                    <xdr:row>3330</xdr:row>
                    <xdr:rowOff>165100</xdr:rowOff>
                  </to>
                </anchor>
              </controlPr>
            </control>
          </mc:Choice>
        </mc:AlternateContent>
        <mc:AlternateContent xmlns:mc="http://schemas.openxmlformats.org/markup-compatibility/2006">
          <mc:Choice Requires="x14">
            <control shapeId="1399" r:id="rId2002" name="Button 375">
              <controlPr defaultSize="0" autoFill="0" autoLine="0" autoPict="0" macro="[0]!Sheet1.deleteRow">
                <anchor moveWithCells="1" sizeWithCells="1">
                  <from>
                    <xdr:col>6</xdr:col>
                    <xdr:colOff>0</xdr:colOff>
                    <xdr:row>3331</xdr:row>
                    <xdr:rowOff>0</xdr:rowOff>
                  </from>
                  <to>
                    <xdr:col>7</xdr:col>
                    <xdr:colOff>0</xdr:colOff>
                    <xdr:row>3331</xdr:row>
                    <xdr:rowOff>165100</xdr:rowOff>
                  </to>
                </anchor>
              </controlPr>
            </control>
          </mc:Choice>
        </mc:AlternateContent>
        <mc:AlternateContent xmlns:mc="http://schemas.openxmlformats.org/markup-compatibility/2006">
          <mc:Choice Requires="x14">
            <control shapeId="1398" r:id="rId2003" name="Button 374">
              <controlPr defaultSize="0" autoFill="0" autoLine="0" autoPict="0" macro="[0]!Sheet1.deleteRow">
                <anchor moveWithCells="1" sizeWithCells="1">
                  <from>
                    <xdr:col>6</xdr:col>
                    <xdr:colOff>0</xdr:colOff>
                    <xdr:row>3332</xdr:row>
                    <xdr:rowOff>0</xdr:rowOff>
                  </from>
                  <to>
                    <xdr:col>7</xdr:col>
                    <xdr:colOff>0</xdr:colOff>
                    <xdr:row>3332</xdr:row>
                    <xdr:rowOff>165100</xdr:rowOff>
                  </to>
                </anchor>
              </controlPr>
            </control>
          </mc:Choice>
        </mc:AlternateContent>
        <mc:AlternateContent xmlns:mc="http://schemas.openxmlformats.org/markup-compatibility/2006">
          <mc:Choice Requires="x14">
            <control shapeId="1397" r:id="rId2004" name="Button 373">
              <controlPr defaultSize="0" autoFill="0" autoLine="0" autoPict="0" macro="[0]!Sheet1.deleteRow">
                <anchor moveWithCells="1" sizeWithCells="1">
                  <from>
                    <xdr:col>6</xdr:col>
                    <xdr:colOff>0</xdr:colOff>
                    <xdr:row>3333</xdr:row>
                    <xdr:rowOff>0</xdr:rowOff>
                  </from>
                  <to>
                    <xdr:col>7</xdr:col>
                    <xdr:colOff>0</xdr:colOff>
                    <xdr:row>3333</xdr:row>
                    <xdr:rowOff>165100</xdr:rowOff>
                  </to>
                </anchor>
              </controlPr>
            </control>
          </mc:Choice>
        </mc:AlternateContent>
        <mc:AlternateContent xmlns:mc="http://schemas.openxmlformats.org/markup-compatibility/2006">
          <mc:Choice Requires="x14">
            <control shapeId="1396" r:id="rId2005" name="Button 372">
              <controlPr defaultSize="0" autoFill="0" autoLine="0" autoPict="0" macro="[0]!Sheet1.deleteRow">
                <anchor moveWithCells="1" sizeWithCells="1">
                  <from>
                    <xdr:col>6</xdr:col>
                    <xdr:colOff>0</xdr:colOff>
                    <xdr:row>3334</xdr:row>
                    <xdr:rowOff>0</xdr:rowOff>
                  </from>
                  <to>
                    <xdr:col>7</xdr:col>
                    <xdr:colOff>0</xdr:colOff>
                    <xdr:row>3334</xdr:row>
                    <xdr:rowOff>165100</xdr:rowOff>
                  </to>
                </anchor>
              </controlPr>
            </control>
          </mc:Choice>
        </mc:AlternateContent>
        <mc:AlternateContent xmlns:mc="http://schemas.openxmlformats.org/markup-compatibility/2006">
          <mc:Choice Requires="x14">
            <control shapeId="1395" r:id="rId2006" name="Button 371">
              <controlPr defaultSize="0" autoFill="0" autoLine="0" autoPict="0" macro="[0]!Sheet1.deleteRow">
                <anchor moveWithCells="1" sizeWithCells="1">
                  <from>
                    <xdr:col>6</xdr:col>
                    <xdr:colOff>0</xdr:colOff>
                    <xdr:row>3335</xdr:row>
                    <xdr:rowOff>0</xdr:rowOff>
                  </from>
                  <to>
                    <xdr:col>7</xdr:col>
                    <xdr:colOff>0</xdr:colOff>
                    <xdr:row>3335</xdr:row>
                    <xdr:rowOff>165100</xdr:rowOff>
                  </to>
                </anchor>
              </controlPr>
            </control>
          </mc:Choice>
        </mc:AlternateContent>
        <mc:AlternateContent xmlns:mc="http://schemas.openxmlformats.org/markup-compatibility/2006">
          <mc:Choice Requires="x14">
            <control shapeId="1394" r:id="rId2007" name="Button 370">
              <controlPr defaultSize="0" autoFill="0" autoLine="0" autoPict="0" macro="[0]!Sheet1.deleteRow">
                <anchor moveWithCells="1" sizeWithCells="1">
                  <from>
                    <xdr:col>6</xdr:col>
                    <xdr:colOff>0</xdr:colOff>
                    <xdr:row>3336</xdr:row>
                    <xdr:rowOff>0</xdr:rowOff>
                  </from>
                  <to>
                    <xdr:col>7</xdr:col>
                    <xdr:colOff>0</xdr:colOff>
                    <xdr:row>3336</xdr:row>
                    <xdr:rowOff>165100</xdr:rowOff>
                  </to>
                </anchor>
              </controlPr>
            </control>
          </mc:Choice>
        </mc:AlternateContent>
        <mc:AlternateContent xmlns:mc="http://schemas.openxmlformats.org/markup-compatibility/2006">
          <mc:Choice Requires="x14">
            <control shapeId="1393" r:id="rId2008" name="Button 369">
              <controlPr defaultSize="0" autoFill="0" autoLine="0" autoPict="0" macro="[0]!Sheet1.deleteRow">
                <anchor moveWithCells="1" sizeWithCells="1">
                  <from>
                    <xdr:col>6</xdr:col>
                    <xdr:colOff>0</xdr:colOff>
                    <xdr:row>3337</xdr:row>
                    <xdr:rowOff>0</xdr:rowOff>
                  </from>
                  <to>
                    <xdr:col>7</xdr:col>
                    <xdr:colOff>0</xdr:colOff>
                    <xdr:row>3337</xdr:row>
                    <xdr:rowOff>165100</xdr:rowOff>
                  </to>
                </anchor>
              </controlPr>
            </control>
          </mc:Choice>
        </mc:AlternateContent>
        <mc:AlternateContent xmlns:mc="http://schemas.openxmlformats.org/markup-compatibility/2006">
          <mc:Choice Requires="x14">
            <control shapeId="1392" r:id="rId2009" name="Button 368">
              <controlPr defaultSize="0" autoFill="0" autoLine="0" autoPict="0" macro="[0]!Sheet1.deleteRow">
                <anchor moveWithCells="1" sizeWithCells="1">
                  <from>
                    <xdr:col>6</xdr:col>
                    <xdr:colOff>0</xdr:colOff>
                    <xdr:row>3338</xdr:row>
                    <xdr:rowOff>0</xdr:rowOff>
                  </from>
                  <to>
                    <xdr:col>7</xdr:col>
                    <xdr:colOff>0</xdr:colOff>
                    <xdr:row>3338</xdr:row>
                    <xdr:rowOff>165100</xdr:rowOff>
                  </to>
                </anchor>
              </controlPr>
            </control>
          </mc:Choice>
        </mc:AlternateContent>
        <mc:AlternateContent xmlns:mc="http://schemas.openxmlformats.org/markup-compatibility/2006">
          <mc:Choice Requires="x14">
            <control shapeId="1391" r:id="rId2010" name="Button 367">
              <controlPr defaultSize="0" autoFill="0" autoLine="0" autoPict="0" macro="[0]!Sheet1.deleteRow">
                <anchor moveWithCells="1" sizeWithCells="1">
                  <from>
                    <xdr:col>6</xdr:col>
                    <xdr:colOff>0</xdr:colOff>
                    <xdr:row>3339</xdr:row>
                    <xdr:rowOff>0</xdr:rowOff>
                  </from>
                  <to>
                    <xdr:col>7</xdr:col>
                    <xdr:colOff>0</xdr:colOff>
                    <xdr:row>3339</xdr:row>
                    <xdr:rowOff>165100</xdr:rowOff>
                  </to>
                </anchor>
              </controlPr>
            </control>
          </mc:Choice>
        </mc:AlternateContent>
        <mc:AlternateContent xmlns:mc="http://schemas.openxmlformats.org/markup-compatibility/2006">
          <mc:Choice Requires="x14">
            <control shapeId="1390" r:id="rId2011" name="Button 366">
              <controlPr defaultSize="0" autoFill="0" autoLine="0" autoPict="0" macro="[0]!Sheet1.deleteRow">
                <anchor moveWithCells="1" sizeWithCells="1">
                  <from>
                    <xdr:col>6</xdr:col>
                    <xdr:colOff>0</xdr:colOff>
                    <xdr:row>3340</xdr:row>
                    <xdr:rowOff>0</xdr:rowOff>
                  </from>
                  <to>
                    <xdr:col>7</xdr:col>
                    <xdr:colOff>0</xdr:colOff>
                    <xdr:row>3340</xdr:row>
                    <xdr:rowOff>165100</xdr:rowOff>
                  </to>
                </anchor>
              </controlPr>
            </control>
          </mc:Choice>
        </mc:AlternateContent>
        <mc:AlternateContent xmlns:mc="http://schemas.openxmlformats.org/markup-compatibility/2006">
          <mc:Choice Requires="x14">
            <control shapeId="1389" r:id="rId2012" name="Button 365">
              <controlPr defaultSize="0" autoFill="0" autoLine="0" autoPict="0" macro="[0]!Sheet1.deleteRow">
                <anchor moveWithCells="1" sizeWithCells="1">
                  <from>
                    <xdr:col>6</xdr:col>
                    <xdr:colOff>0</xdr:colOff>
                    <xdr:row>3341</xdr:row>
                    <xdr:rowOff>0</xdr:rowOff>
                  </from>
                  <to>
                    <xdr:col>7</xdr:col>
                    <xdr:colOff>0</xdr:colOff>
                    <xdr:row>3341</xdr:row>
                    <xdr:rowOff>165100</xdr:rowOff>
                  </to>
                </anchor>
              </controlPr>
            </control>
          </mc:Choice>
        </mc:AlternateContent>
        <mc:AlternateContent xmlns:mc="http://schemas.openxmlformats.org/markup-compatibility/2006">
          <mc:Choice Requires="x14">
            <control shapeId="1388" r:id="rId2013" name="Button 364">
              <controlPr defaultSize="0" autoFill="0" autoLine="0" autoPict="0" macro="[0]!Sheet1.deleteRow">
                <anchor moveWithCells="1" sizeWithCells="1">
                  <from>
                    <xdr:col>6</xdr:col>
                    <xdr:colOff>0</xdr:colOff>
                    <xdr:row>3342</xdr:row>
                    <xdr:rowOff>0</xdr:rowOff>
                  </from>
                  <to>
                    <xdr:col>7</xdr:col>
                    <xdr:colOff>0</xdr:colOff>
                    <xdr:row>3342</xdr:row>
                    <xdr:rowOff>165100</xdr:rowOff>
                  </to>
                </anchor>
              </controlPr>
            </control>
          </mc:Choice>
        </mc:AlternateContent>
        <mc:AlternateContent xmlns:mc="http://schemas.openxmlformats.org/markup-compatibility/2006">
          <mc:Choice Requires="x14">
            <control shapeId="1387" r:id="rId2014" name="Button 363">
              <controlPr defaultSize="0" autoFill="0" autoLine="0" autoPict="0" macro="[0]!Sheet1.deleteRow">
                <anchor moveWithCells="1" sizeWithCells="1">
                  <from>
                    <xdr:col>6</xdr:col>
                    <xdr:colOff>0</xdr:colOff>
                    <xdr:row>3343</xdr:row>
                    <xdr:rowOff>0</xdr:rowOff>
                  </from>
                  <to>
                    <xdr:col>7</xdr:col>
                    <xdr:colOff>0</xdr:colOff>
                    <xdr:row>3343</xdr:row>
                    <xdr:rowOff>165100</xdr:rowOff>
                  </to>
                </anchor>
              </controlPr>
            </control>
          </mc:Choice>
        </mc:AlternateContent>
        <mc:AlternateContent xmlns:mc="http://schemas.openxmlformats.org/markup-compatibility/2006">
          <mc:Choice Requires="x14">
            <control shapeId="1386" r:id="rId2015" name="Button 362">
              <controlPr defaultSize="0" autoFill="0" autoLine="0" autoPict="0" macro="[0]!Sheet1.deleteRow">
                <anchor moveWithCells="1" sizeWithCells="1">
                  <from>
                    <xdr:col>6</xdr:col>
                    <xdr:colOff>0</xdr:colOff>
                    <xdr:row>3344</xdr:row>
                    <xdr:rowOff>0</xdr:rowOff>
                  </from>
                  <to>
                    <xdr:col>7</xdr:col>
                    <xdr:colOff>0</xdr:colOff>
                    <xdr:row>3344</xdr:row>
                    <xdr:rowOff>165100</xdr:rowOff>
                  </to>
                </anchor>
              </controlPr>
            </control>
          </mc:Choice>
        </mc:AlternateContent>
        <mc:AlternateContent xmlns:mc="http://schemas.openxmlformats.org/markup-compatibility/2006">
          <mc:Choice Requires="x14">
            <control shapeId="1385" r:id="rId2016" name="Button 361">
              <controlPr defaultSize="0" autoFill="0" autoLine="0" autoPict="0" macro="[0]!Sheet1.deleteRow">
                <anchor moveWithCells="1" sizeWithCells="1">
                  <from>
                    <xdr:col>6</xdr:col>
                    <xdr:colOff>0</xdr:colOff>
                    <xdr:row>3345</xdr:row>
                    <xdr:rowOff>0</xdr:rowOff>
                  </from>
                  <to>
                    <xdr:col>7</xdr:col>
                    <xdr:colOff>0</xdr:colOff>
                    <xdr:row>3345</xdr:row>
                    <xdr:rowOff>165100</xdr:rowOff>
                  </to>
                </anchor>
              </controlPr>
            </control>
          </mc:Choice>
        </mc:AlternateContent>
        <mc:AlternateContent xmlns:mc="http://schemas.openxmlformats.org/markup-compatibility/2006">
          <mc:Choice Requires="x14">
            <control shapeId="1384" r:id="rId2017" name="Button 360">
              <controlPr defaultSize="0" autoFill="0" autoLine="0" autoPict="0" macro="[0]!Sheet1.deleteRow">
                <anchor moveWithCells="1" sizeWithCells="1">
                  <from>
                    <xdr:col>6</xdr:col>
                    <xdr:colOff>0</xdr:colOff>
                    <xdr:row>3346</xdr:row>
                    <xdr:rowOff>0</xdr:rowOff>
                  </from>
                  <to>
                    <xdr:col>7</xdr:col>
                    <xdr:colOff>0</xdr:colOff>
                    <xdr:row>3346</xdr:row>
                    <xdr:rowOff>165100</xdr:rowOff>
                  </to>
                </anchor>
              </controlPr>
            </control>
          </mc:Choice>
        </mc:AlternateContent>
        <mc:AlternateContent xmlns:mc="http://schemas.openxmlformats.org/markup-compatibility/2006">
          <mc:Choice Requires="x14">
            <control shapeId="1383" r:id="rId2018" name="Button 359">
              <controlPr defaultSize="0" autoFill="0" autoLine="0" autoPict="0" macro="[0]!Sheet1.deleteRow">
                <anchor moveWithCells="1" sizeWithCells="1">
                  <from>
                    <xdr:col>6</xdr:col>
                    <xdr:colOff>0</xdr:colOff>
                    <xdr:row>3347</xdr:row>
                    <xdr:rowOff>0</xdr:rowOff>
                  </from>
                  <to>
                    <xdr:col>7</xdr:col>
                    <xdr:colOff>0</xdr:colOff>
                    <xdr:row>3347</xdr:row>
                    <xdr:rowOff>165100</xdr:rowOff>
                  </to>
                </anchor>
              </controlPr>
            </control>
          </mc:Choice>
        </mc:AlternateContent>
        <mc:AlternateContent xmlns:mc="http://schemas.openxmlformats.org/markup-compatibility/2006">
          <mc:Choice Requires="x14">
            <control shapeId="1382" r:id="rId2019" name="Button 358">
              <controlPr defaultSize="0" autoFill="0" autoLine="0" autoPict="0" macro="[0]!Sheet1.deleteRow">
                <anchor moveWithCells="1" sizeWithCells="1">
                  <from>
                    <xdr:col>6</xdr:col>
                    <xdr:colOff>0</xdr:colOff>
                    <xdr:row>3348</xdr:row>
                    <xdr:rowOff>0</xdr:rowOff>
                  </from>
                  <to>
                    <xdr:col>7</xdr:col>
                    <xdr:colOff>0</xdr:colOff>
                    <xdr:row>3348</xdr:row>
                    <xdr:rowOff>165100</xdr:rowOff>
                  </to>
                </anchor>
              </controlPr>
            </control>
          </mc:Choice>
        </mc:AlternateContent>
        <mc:AlternateContent xmlns:mc="http://schemas.openxmlformats.org/markup-compatibility/2006">
          <mc:Choice Requires="x14">
            <control shapeId="1381" r:id="rId2020" name="Button 357">
              <controlPr defaultSize="0" autoFill="0" autoLine="0" autoPict="0" macro="[0]!Sheet1.deleteRow">
                <anchor moveWithCells="1" sizeWithCells="1">
                  <from>
                    <xdr:col>6</xdr:col>
                    <xdr:colOff>0</xdr:colOff>
                    <xdr:row>3349</xdr:row>
                    <xdr:rowOff>0</xdr:rowOff>
                  </from>
                  <to>
                    <xdr:col>7</xdr:col>
                    <xdr:colOff>0</xdr:colOff>
                    <xdr:row>3349</xdr:row>
                    <xdr:rowOff>165100</xdr:rowOff>
                  </to>
                </anchor>
              </controlPr>
            </control>
          </mc:Choice>
        </mc:AlternateContent>
        <mc:AlternateContent xmlns:mc="http://schemas.openxmlformats.org/markup-compatibility/2006">
          <mc:Choice Requires="x14">
            <control shapeId="1380" r:id="rId2021" name="Button 356">
              <controlPr defaultSize="0" autoFill="0" autoLine="0" autoPict="0" macro="[0]!Sheet1.deleteRow">
                <anchor moveWithCells="1" sizeWithCells="1">
                  <from>
                    <xdr:col>6</xdr:col>
                    <xdr:colOff>0</xdr:colOff>
                    <xdr:row>3350</xdr:row>
                    <xdr:rowOff>0</xdr:rowOff>
                  </from>
                  <to>
                    <xdr:col>7</xdr:col>
                    <xdr:colOff>0</xdr:colOff>
                    <xdr:row>3350</xdr:row>
                    <xdr:rowOff>165100</xdr:rowOff>
                  </to>
                </anchor>
              </controlPr>
            </control>
          </mc:Choice>
        </mc:AlternateContent>
        <mc:AlternateContent xmlns:mc="http://schemas.openxmlformats.org/markup-compatibility/2006">
          <mc:Choice Requires="x14">
            <control shapeId="1379" r:id="rId2022" name="Button 355">
              <controlPr defaultSize="0" autoFill="0" autoLine="0" autoPict="0" macro="[0]!Sheet1.deleteRow">
                <anchor moveWithCells="1" sizeWithCells="1">
                  <from>
                    <xdr:col>6</xdr:col>
                    <xdr:colOff>0</xdr:colOff>
                    <xdr:row>3351</xdr:row>
                    <xdr:rowOff>0</xdr:rowOff>
                  </from>
                  <to>
                    <xdr:col>7</xdr:col>
                    <xdr:colOff>0</xdr:colOff>
                    <xdr:row>3351</xdr:row>
                    <xdr:rowOff>165100</xdr:rowOff>
                  </to>
                </anchor>
              </controlPr>
            </control>
          </mc:Choice>
        </mc:AlternateContent>
        <mc:AlternateContent xmlns:mc="http://schemas.openxmlformats.org/markup-compatibility/2006">
          <mc:Choice Requires="x14">
            <control shapeId="1378" r:id="rId2023" name="Button 354">
              <controlPr defaultSize="0" autoFill="0" autoLine="0" autoPict="0" macro="[0]!Sheet1.deleteRow">
                <anchor moveWithCells="1" sizeWithCells="1">
                  <from>
                    <xdr:col>6</xdr:col>
                    <xdr:colOff>0</xdr:colOff>
                    <xdr:row>3352</xdr:row>
                    <xdr:rowOff>0</xdr:rowOff>
                  </from>
                  <to>
                    <xdr:col>7</xdr:col>
                    <xdr:colOff>0</xdr:colOff>
                    <xdr:row>3352</xdr:row>
                    <xdr:rowOff>165100</xdr:rowOff>
                  </to>
                </anchor>
              </controlPr>
            </control>
          </mc:Choice>
        </mc:AlternateContent>
        <mc:AlternateContent xmlns:mc="http://schemas.openxmlformats.org/markup-compatibility/2006">
          <mc:Choice Requires="x14">
            <control shapeId="1377" r:id="rId2024" name="Button 353">
              <controlPr defaultSize="0" autoFill="0" autoLine="0" autoPict="0" macro="[0]!Sheet1.deleteRow">
                <anchor moveWithCells="1" sizeWithCells="1">
                  <from>
                    <xdr:col>6</xdr:col>
                    <xdr:colOff>0</xdr:colOff>
                    <xdr:row>3353</xdr:row>
                    <xdr:rowOff>0</xdr:rowOff>
                  </from>
                  <to>
                    <xdr:col>7</xdr:col>
                    <xdr:colOff>0</xdr:colOff>
                    <xdr:row>3353</xdr:row>
                    <xdr:rowOff>165100</xdr:rowOff>
                  </to>
                </anchor>
              </controlPr>
            </control>
          </mc:Choice>
        </mc:AlternateContent>
        <mc:AlternateContent xmlns:mc="http://schemas.openxmlformats.org/markup-compatibility/2006">
          <mc:Choice Requires="x14">
            <control shapeId="1376" r:id="rId2025" name="Button 352">
              <controlPr defaultSize="0" autoFill="0" autoLine="0" autoPict="0" macro="[0]!Sheet1.deleteRow">
                <anchor moveWithCells="1" sizeWithCells="1">
                  <from>
                    <xdr:col>6</xdr:col>
                    <xdr:colOff>0</xdr:colOff>
                    <xdr:row>3354</xdr:row>
                    <xdr:rowOff>0</xdr:rowOff>
                  </from>
                  <to>
                    <xdr:col>7</xdr:col>
                    <xdr:colOff>0</xdr:colOff>
                    <xdr:row>3354</xdr:row>
                    <xdr:rowOff>165100</xdr:rowOff>
                  </to>
                </anchor>
              </controlPr>
            </control>
          </mc:Choice>
        </mc:AlternateContent>
        <mc:AlternateContent xmlns:mc="http://schemas.openxmlformats.org/markup-compatibility/2006">
          <mc:Choice Requires="x14">
            <control shapeId="1375" r:id="rId2026" name="Button 351">
              <controlPr defaultSize="0" autoFill="0" autoLine="0" autoPict="0" macro="[0]!Sheet1.deleteRow">
                <anchor moveWithCells="1" sizeWithCells="1">
                  <from>
                    <xdr:col>6</xdr:col>
                    <xdr:colOff>0</xdr:colOff>
                    <xdr:row>3355</xdr:row>
                    <xdr:rowOff>0</xdr:rowOff>
                  </from>
                  <to>
                    <xdr:col>7</xdr:col>
                    <xdr:colOff>0</xdr:colOff>
                    <xdr:row>3355</xdr:row>
                    <xdr:rowOff>165100</xdr:rowOff>
                  </to>
                </anchor>
              </controlPr>
            </control>
          </mc:Choice>
        </mc:AlternateContent>
        <mc:AlternateContent xmlns:mc="http://schemas.openxmlformats.org/markup-compatibility/2006">
          <mc:Choice Requires="x14">
            <control shapeId="1374" r:id="rId2027" name="Button 350">
              <controlPr defaultSize="0" autoFill="0" autoLine="0" autoPict="0" macro="[0]!Sheet1.deleteRow">
                <anchor moveWithCells="1" sizeWithCells="1">
                  <from>
                    <xdr:col>6</xdr:col>
                    <xdr:colOff>0</xdr:colOff>
                    <xdr:row>3356</xdr:row>
                    <xdr:rowOff>0</xdr:rowOff>
                  </from>
                  <to>
                    <xdr:col>7</xdr:col>
                    <xdr:colOff>0</xdr:colOff>
                    <xdr:row>3356</xdr:row>
                    <xdr:rowOff>165100</xdr:rowOff>
                  </to>
                </anchor>
              </controlPr>
            </control>
          </mc:Choice>
        </mc:AlternateContent>
        <mc:AlternateContent xmlns:mc="http://schemas.openxmlformats.org/markup-compatibility/2006">
          <mc:Choice Requires="x14">
            <control shapeId="1373" r:id="rId2028" name="Button 349">
              <controlPr defaultSize="0" autoFill="0" autoLine="0" autoPict="0" macro="[0]!Sheet1.deleteRow">
                <anchor moveWithCells="1" sizeWithCells="1">
                  <from>
                    <xdr:col>6</xdr:col>
                    <xdr:colOff>0</xdr:colOff>
                    <xdr:row>3357</xdr:row>
                    <xdr:rowOff>0</xdr:rowOff>
                  </from>
                  <to>
                    <xdr:col>7</xdr:col>
                    <xdr:colOff>0</xdr:colOff>
                    <xdr:row>3357</xdr:row>
                    <xdr:rowOff>165100</xdr:rowOff>
                  </to>
                </anchor>
              </controlPr>
            </control>
          </mc:Choice>
        </mc:AlternateContent>
        <mc:AlternateContent xmlns:mc="http://schemas.openxmlformats.org/markup-compatibility/2006">
          <mc:Choice Requires="x14">
            <control shapeId="1372" r:id="rId2029" name="Button 348">
              <controlPr defaultSize="0" autoFill="0" autoLine="0" autoPict="0" macro="[0]!Sheet1.deleteRow">
                <anchor moveWithCells="1" sizeWithCells="1">
                  <from>
                    <xdr:col>6</xdr:col>
                    <xdr:colOff>0</xdr:colOff>
                    <xdr:row>3358</xdr:row>
                    <xdr:rowOff>0</xdr:rowOff>
                  </from>
                  <to>
                    <xdr:col>7</xdr:col>
                    <xdr:colOff>0</xdr:colOff>
                    <xdr:row>3358</xdr:row>
                    <xdr:rowOff>165100</xdr:rowOff>
                  </to>
                </anchor>
              </controlPr>
            </control>
          </mc:Choice>
        </mc:AlternateContent>
        <mc:AlternateContent xmlns:mc="http://schemas.openxmlformats.org/markup-compatibility/2006">
          <mc:Choice Requires="x14">
            <control shapeId="1371" r:id="rId2030" name="Button 347">
              <controlPr defaultSize="0" autoFill="0" autoLine="0" autoPict="0" macro="[0]!Sheet1.deleteRow">
                <anchor moveWithCells="1" sizeWithCells="1">
                  <from>
                    <xdr:col>6</xdr:col>
                    <xdr:colOff>0</xdr:colOff>
                    <xdr:row>3359</xdr:row>
                    <xdr:rowOff>0</xdr:rowOff>
                  </from>
                  <to>
                    <xdr:col>7</xdr:col>
                    <xdr:colOff>0</xdr:colOff>
                    <xdr:row>3359</xdr:row>
                    <xdr:rowOff>165100</xdr:rowOff>
                  </to>
                </anchor>
              </controlPr>
            </control>
          </mc:Choice>
        </mc:AlternateContent>
        <mc:AlternateContent xmlns:mc="http://schemas.openxmlformats.org/markup-compatibility/2006">
          <mc:Choice Requires="x14">
            <control shapeId="1370" r:id="rId2031" name="Button 346">
              <controlPr defaultSize="0" autoFill="0" autoLine="0" autoPict="0" macro="[0]!Sheet1.deleteRow">
                <anchor moveWithCells="1" sizeWithCells="1">
                  <from>
                    <xdr:col>6</xdr:col>
                    <xdr:colOff>0</xdr:colOff>
                    <xdr:row>3360</xdr:row>
                    <xdr:rowOff>0</xdr:rowOff>
                  </from>
                  <to>
                    <xdr:col>7</xdr:col>
                    <xdr:colOff>0</xdr:colOff>
                    <xdr:row>3360</xdr:row>
                    <xdr:rowOff>165100</xdr:rowOff>
                  </to>
                </anchor>
              </controlPr>
            </control>
          </mc:Choice>
        </mc:AlternateContent>
        <mc:AlternateContent xmlns:mc="http://schemas.openxmlformats.org/markup-compatibility/2006">
          <mc:Choice Requires="x14">
            <control shapeId="1369" r:id="rId2032" name="Button 345">
              <controlPr defaultSize="0" autoFill="0" autoLine="0" autoPict="0" macro="[0]!Sheet1.deleteRow">
                <anchor moveWithCells="1" sizeWithCells="1">
                  <from>
                    <xdr:col>6</xdr:col>
                    <xdr:colOff>0</xdr:colOff>
                    <xdr:row>3361</xdr:row>
                    <xdr:rowOff>0</xdr:rowOff>
                  </from>
                  <to>
                    <xdr:col>7</xdr:col>
                    <xdr:colOff>0</xdr:colOff>
                    <xdr:row>3361</xdr:row>
                    <xdr:rowOff>165100</xdr:rowOff>
                  </to>
                </anchor>
              </controlPr>
            </control>
          </mc:Choice>
        </mc:AlternateContent>
        <mc:AlternateContent xmlns:mc="http://schemas.openxmlformats.org/markup-compatibility/2006">
          <mc:Choice Requires="x14">
            <control shapeId="1368" r:id="rId2033" name="Button 344">
              <controlPr defaultSize="0" autoFill="0" autoLine="0" autoPict="0" macro="[0]!Sheet1.deleteRow">
                <anchor moveWithCells="1" sizeWithCells="1">
                  <from>
                    <xdr:col>6</xdr:col>
                    <xdr:colOff>0</xdr:colOff>
                    <xdr:row>3362</xdr:row>
                    <xdr:rowOff>0</xdr:rowOff>
                  </from>
                  <to>
                    <xdr:col>7</xdr:col>
                    <xdr:colOff>0</xdr:colOff>
                    <xdr:row>3362</xdr:row>
                    <xdr:rowOff>165100</xdr:rowOff>
                  </to>
                </anchor>
              </controlPr>
            </control>
          </mc:Choice>
        </mc:AlternateContent>
        <mc:AlternateContent xmlns:mc="http://schemas.openxmlformats.org/markup-compatibility/2006">
          <mc:Choice Requires="x14">
            <control shapeId="1367" r:id="rId2034" name="Button 343">
              <controlPr defaultSize="0" autoFill="0" autoLine="0" autoPict="0" macro="[0]!Sheet1.deleteRow">
                <anchor moveWithCells="1" sizeWithCells="1">
                  <from>
                    <xdr:col>6</xdr:col>
                    <xdr:colOff>0</xdr:colOff>
                    <xdr:row>3363</xdr:row>
                    <xdr:rowOff>0</xdr:rowOff>
                  </from>
                  <to>
                    <xdr:col>7</xdr:col>
                    <xdr:colOff>0</xdr:colOff>
                    <xdr:row>3363</xdr:row>
                    <xdr:rowOff>165100</xdr:rowOff>
                  </to>
                </anchor>
              </controlPr>
            </control>
          </mc:Choice>
        </mc:AlternateContent>
        <mc:AlternateContent xmlns:mc="http://schemas.openxmlformats.org/markup-compatibility/2006">
          <mc:Choice Requires="x14">
            <control shapeId="1366" r:id="rId2035" name="Button 342">
              <controlPr defaultSize="0" autoFill="0" autoLine="0" autoPict="0" macro="[0]!Sheet1.deleteRow">
                <anchor moveWithCells="1" sizeWithCells="1">
                  <from>
                    <xdr:col>6</xdr:col>
                    <xdr:colOff>0</xdr:colOff>
                    <xdr:row>3364</xdr:row>
                    <xdr:rowOff>0</xdr:rowOff>
                  </from>
                  <to>
                    <xdr:col>7</xdr:col>
                    <xdr:colOff>0</xdr:colOff>
                    <xdr:row>3364</xdr:row>
                    <xdr:rowOff>165100</xdr:rowOff>
                  </to>
                </anchor>
              </controlPr>
            </control>
          </mc:Choice>
        </mc:AlternateContent>
        <mc:AlternateContent xmlns:mc="http://schemas.openxmlformats.org/markup-compatibility/2006">
          <mc:Choice Requires="x14">
            <control shapeId="1365" r:id="rId2036" name="Button 341">
              <controlPr defaultSize="0" autoFill="0" autoLine="0" autoPict="0" macro="[0]!Sheet1.deleteRow">
                <anchor moveWithCells="1" sizeWithCells="1">
                  <from>
                    <xdr:col>6</xdr:col>
                    <xdr:colOff>0</xdr:colOff>
                    <xdr:row>3365</xdr:row>
                    <xdr:rowOff>0</xdr:rowOff>
                  </from>
                  <to>
                    <xdr:col>7</xdr:col>
                    <xdr:colOff>0</xdr:colOff>
                    <xdr:row>3365</xdr:row>
                    <xdr:rowOff>165100</xdr:rowOff>
                  </to>
                </anchor>
              </controlPr>
            </control>
          </mc:Choice>
        </mc:AlternateContent>
        <mc:AlternateContent xmlns:mc="http://schemas.openxmlformats.org/markup-compatibility/2006">
          <mc:Choice Requires="x14">
            <control shapeId="1364" r:id="rId2037" name="Button 340">
              <controlPr defaultSize="0" autoFill="0" autoLine="0" autoPict="0" macro="[0]!Sheet1.deleteRow">
                <anchor moveWithCells="1" sizeWithCells="1">
                  <from>
                    <xdr:col>6</xdr:col>
                    <xdr:colOff>0</xdr:colOff>
                    <xdr:row>3366</xdr:row>
                    <xdr:rowOff>0</xdr:rowOff>
                  </from>
                  <to>
                    <xdr:col>7</xdr:col>
                    <xdr:colOff>0</xdr:colOff>
                    <xdr:row>3366</xdr:row>
                    <xdr:rowOff>165100</xdr:rowOff>
                  </to>
                </anchor>
              </controlPr>
            </control>
          </mc:Choice>
        </mc:AlternateContent>
        <mc:AlternateContent xmlns:mc="http://schemas.openxmlformats.org/markup-compatibility/2006">
          <mc:Choice Requires="x14">
            <control shapeId="1363" r:id="rId2038" name="Button 339">
              <controlPr defaultSize="0" autoFill="0" autoLine="0" autoPict="0" macro="[0]!Sheet1.deleteRow">
                <anchor moveWithCells="1" sizeWithCells="1">
                  <from>
                    <xdr:col>6</xdr:col>
                    <xdr:colOff>0</xdr:colOff>
                    <xdr:row>3367</xdr:row>
                    <xdr:rowOff>0</xdr:rowOff>
                  </from>
                  <to>
                    <xdr:col>7</xdr:col>
                    <xdr:colOff>0</xdr:colOff>
                    <xdr:row>3367</xdr:row>
                    <xdr:rowOff>165100</xdr:rowOff>
                  </to>
                </anchor>
              </controlPr>
            </control>
          </mc:Choice>
        </mc:AlternateContent>
        <mc:AlternateContent xmlns:mc="http://schemas.openxmlformats.org/markup-compatibility/2006">
          <mc:Choice Requires="x14">
            <control shapeId="1362" r:id="rId2039" name="Button 338">
              <controlPr defaultSize="0" autoFill="0" autoLine="0" autoPict="0" macro="[0]!Sheet1.deleteRow">
                <anchor moveWithCells="1" sizeWithCells="1">
                  <from>
                    <xdr:col>6</xdr:col>
                    <xdr:colOff>0</xdr:colOff>
                    <xdr:row>3368</xdr:row>
                    <xdr:rowOff>0</xdr:rowOff>
                  </from>
                  <to>
                    <xdr:col>7</xdr:col>
                    <xdr:colOff>0</xdr:colOff>
                    <xdr:row>3368</xdr:row>
                    <xdr:rowOff>165100</xdr:rowOff>
                  </to>
                </anchor>
              </controlPr>
            </control>
          </mc:Choice>
        </mc:AlternateContent>
        <mc:AlternateContent xmlns:mc="http://schemas.openxmlformats.org/markup-compatibility/2006">
          <mc:Choice Requires="x14">
            <control shapeId="1361" r:id="rId2040" name="Button 337">
              <controlPr defaultSize="0" autoFill="0" autoLine="0" autoPict="0" macro="[0]!Sheet1.deleteRow">
                <anchor moveWithCells="1" sizeWithCells="1">
                  <from>
                    <xdr:col>6</xdr:col>
                    <xdr:colOff>0</xdr:colOff>
                    <xdr:row>3369</xdr:row>
                    <xdr:rowOff>0</xdr:rowOff>
                  </from>
                  <to>
                    <xdr:col>7</xdr:col>
                    <xdr:colOff>0</xdr:colOff>
                    <xdr:row>3369</xdr:row>
                    <xdr:rowOff>165100</xdr:rowOff>
                  </to>
                </anchor>
              </controlPr>
            </control>
          </mc:Choice>
        </mc:AlternateContent>
        <mc:AlternateContent xmlns:mc="http://schemas.openxmlformats.org/markup-compatibility/2006">
          <mc:Choice Requires="x14">
            <control shapeId="1360" r:id="rId2041" name="Button 336">
              <controlPr defaultSize="0" autoFill="0" autoLine="0" autoPict="0" macro="[0]!Sheet1.deleteRow">
                <anchor moveWithCells="1" sizeWithCells="1">
                  <from>
                    <xdr:col>6</xdr:col>
                    <xdr:colOff>0</xdr:colOff>
                    <xdr:row>3370</xdr:row>
                    <xdr:rowOff>0</xdr:rowOff>
                  </from>
                  <to>
                    <xdr:col>7</xdr:col>
                    <xdr:colOff>0</xdr:colOff>
                    <xdr:row>3370</xdr:row>
                    <xdr:rowOff>165100</xdr:rowOff>
                  </to>
                </anchor>
              </controlPr>
            </control>
          </mc:Choice>
        </mc:AlternateContent>
        <mc:AlternateContent xmlns:mc="http://schemas.openxmlformats.org/markup-compatibility/2006">
          <mc:Choice Requires="x14">
            <control shapeId="1359" r:id="rId2042" name="Button 335">
              <controlPr defaultSize="0" autoFill="0" autoLine="0" autoPict="0" macro="[0]!Sheet1.deleteProcedure">
                <anchor moveWithCells="1" sizeWithCells="1">
                  <from>
                    <xdr:col>6</xdr:col>
                    <xdr:colOff>0</xdr:colOff>
                    <xdr:row>3373</xdr:row>
                    <xdr:rowOff>0</xdr:rowOff>
                  </from>
                  <to>
                    <xdr:col>7</xdr:col>
                    <xdr:colOff>0</xdr:colOff>
                    <xdr:row>3374</xdr:row>
                    <xdr:rowOff>0</xdr:rowOff>
                  </to>
                </anchor>
              </controlPr>
            </control>
          </mc:Choice>
        </mc:AlternateContent>
        <mc:AlternateContent xmlns:mc="http://schemas.openxmlformats.org/markup-compatibility/2006">
          <mc:Choice Requires="x14">
            <control shapeId="1358" r:id="rId2043" name="Button 334">
              <controlPr defaultSize="0" autoFill="0" autoLine="0" autoPict="0" macro="[0]!Sheet1.InsertNewTableRow">
                <anchor moveWithCells="1" sizeWithCells="1">
                  <from>
                    <xdr:col>6</xdr:col>
                    <xdr:colOff>0</xdr:colOff>
                    <xdr:row>3380</xdr:row>
                    <xdr:rowOff>0</xdr:rowOff>
                  </from>
                  <to>
                    <xdr:col>7</xdr:col>
                    <xdr:colOff>0</xdr:colOff>
                    <xdr:row>3380</xdr:row>
                    <xdr:rowOff>171450</xdr:rowOff>
                  </to>
                </anchor>
              </controlPr>
            </control>
          </mc:Choice>
        </mc:AlternateContent>
        <mc:AlternateContent xmlns:mc="http://schemas.openxmlformats.org/markup-compatibility/2006">
          <mc:Choice Requires="x14">
            <control shapeId="1357" r:id="rId2044" name="Button 333">
              <controlPr defaultSize="0" autoFill="0" autoLine="0" autoPict="0" macro="[0]!Sheet1.deleteRow">
                <anchor moveWithCells="1" sizeWithCells="1">
                  <from>
                    <xdr:col>6</xdr:col>
                    <xdr:colOff>0</xdr:colOff>
                    <xdr:row>3381</xdr:row>
                    <xdr:rowOff>0</xdr:rowOff>
                  </from>
                  <to>
                    <xdr:col>7</xdr:col>
                    <xdr:colOff>0</xdr:colOff>
                    <xdr:row>3381</xdr:row>
                    <xdr:rowOff>165100</xdr:rowOff>
                  </to>
                </anchor>
              </controlPr>
            </control>
          </mc:Choice>
        </mc:AlternateContent>
        <mc:AlternateContent xmlns:mc="http://schemas.openxmlformats.org/markup-compatibility/2006">
          <mc:Choice Requires="x14">
            <control shapeId="1356" r:id="rId2045" name="Button 332">
              <controlPr defaultSize="0" autoFill="0" autoLine="0" autoPict="0" macro="[0]!Sheet1.deleteRow">
                <anchor moveWithCells="1" sizeWithCells="1">
                  <from>
                    <xdr:col>6</xdr:col>
                    <xdr:colOff>0</xdr:colOff>
                    <xdr:row>3382</xdr:row>
                    <xdr:rowOff>0</xdr:rowOff>
                  </from>
                  <to>
                    <xdr:col>7</xdr:col>
                    <xdr:colOff>0</xdr:colOff>
                    <xdr:row>3382</xdr:row>
                    <xdr:rowOff>165100</xdr:rowOff>
                  </to>
                </anchor>
              </controlPr>
            </control>
          </mc:Choice>
        </mc:AlternateContent>
        <mc:AlternateContent xmlns:mc="http://schemas.openxmlformats.org/markup-compatibility/2006">
          <mc:Choice Requires="x14">
            <control shapeId="1355" r:id="rId2046" name="Button 331">
              <controlPr defaultSize="0" autoFill="0" autoLine="0" autoPict="0" macro="[0]!Sheet1.deleteRow">
                <anchor moveWithCells="1" sizeWithCells="1">
                  <from>
                    <xdr:col>6</xdr:col>
                    <xdr:colOff>0</xdr:colOff>
                    <xdr:row>3383</xdr:row>
                    <xdr:rowOff>0</xdr:rowOff>
                  </from>
                  <to>
                    <xdr:col>7</xdr:col>
                    <xdr:colOff>0</xdr:colOff>
                    <xdr:row>3383</xdr:row>
                    <xdr:rowOff>165100</xdr:rowOff>
                  </to>
                </anchor>
              </controlPr>
            </control>
          </mc:Choice>
        </mc:AlternateContent>
        <mc:AlternateContent xmlns:mc="http://schemas.openxmlformats.org/markup-compatibility/2006">
          <mc:Choice Requires="x14">
            <control shapeId="1354" r:id="rId2047" name="Button 330">
              <controlPr defaultSize="0" autoFill="0" autoLine="0" autoPict="0" macro="[0]!Sheet1.deleteRow">
                <anchor moveWithCells="1" sizeWithCells="1">
                  <from>
                    <xdr:col>6</xdr:col>
                    <xdr:colOff>0</xdr:colOff>
                    <xdr:row>3384</xdr:row>
                    <xdr:rowOff>0</xdr:rowOff>
                  </from>
                  <to>
                    <xdr:col>7</xdr:col>
                    <xdr:colOff>0</xdr:colOff>
                    <xdr:row>3384</xdr:row>
                    <xdr:rowOff>165100</xdr:rowOff>
                  </to>
                </anchor>
              </controlPr>
            </control>
          </mc:Choice>
        </mc:AlternateContent>
        <mc:AlternateContent xmlns:mc="http://schemas.openxmlformats.org/markup-compatibility/2006">
          <mc:Choice Requires="x14">
            <control shapeId="1353" r:id="rId2048" name="Button 329">
              <controlPr defaultSize="0" autoFill="0" autoLine="0" autoPict="0" macro="[0]!Sheet1.deleteRow">
                <anchor moveWithCells="1" sizeWithCells="1">
                  <from>
                    <xdr:col>6</xdr:col>
                    <xdr:colOff>0</xdr:colOff>
                    <xdr:row>3385</xdr:row>
                    <xdr:rowOff>0</xdr:rowOff>
                  </from>
                  <to>
                    <xdr:col>7</xdr:col>
                    <xdr:colOff>0</xdr:colOff>
                    <xdr:row>3385</xdr:row>
                    <xdr:rowOff>165100</xdr:rowOff>
                  </to>
                </anchor>
              </controlPr>
            </control>
          </mc:Choice>
        </mc:AlternateContent>
        <mc:AlternateContent xmlns:mc="http://schemas.openxmlformats.org/markup-compatibility/2006">
          <mc:Choice Requires="x14">
            <control shapeId="1352" r:id="rId2049" name="Button 328">
              <controlPr defaultSize="0" autoFill="0" autoLine="0" autoPict="0" macro="[0]!Sheet1.deleteRow">
                <anchor moveWithCells="1" sizeWithCells="1">
                  <from>
                    <xdr:col>6</xdr:col>
                    <xdr:colOff>0</xdr:colOff>
                    <xdr:row>3386</xdr:row>
                    <xdr:rowOff>0</xdr:rowOff>
                  </from>
                  <to>
                    <xdr:col>7</xdr:col>
                    <xdr:colOff>0</xdr:colOff>
                    <xdr:row>3386</xdr:row>
                    <xdr:rowOff>165100</xdr:rowOff>
                  </to>
                </anchor>
              </controlPr>
            </control>
          </mc:Choice>
        </mc:AlternateContent>
        <mc:AlternateContent xmlns:mc="http://schemas.openxmlformats.org/markup-compatibility/2006">
          <mc:Choice Requires="x14">
            <control shapeId="1351" r:id="rId2050" name="Button 327">
              <controlPr defaultSize="0" autoFill="0" autoLine="0" autoPict="0" macro="[0]!Sheet1.deleteRow">
                <anchor moveWithCells="1" sizeWithCells="1">
                  <from>
                    <xdr:col>6</xdr:col>
                    <xdr:colOff>0</xdr:colOff>
                    <xdr:row>3387</xdr:row>
                    <xdr:rowOff>0</xdr:rowOff>
                  </from>
                  <to>
                    <xdr:col>7</xdr:col>
                    <xdr:colOff>0</xdr:colOff>
                    <xdr:row>3387</xdr:row>
                    <xdr:rowOff>165100</xdr:rowOff>
                  </to>
                </anchor>
              </controlPr>
            </control>
          </mc:Choice>
        </mc:AlternateContent>
        <mc:AlternateContent xmlns:mc="http://schemas.openxmlformats.org/markup-compatibility/2006">
          <mc:Choice Requires="x14">
            <control shapeId="1350" r:id="rId2051" name="Button 326">
              <controlPr defaultSize="0" autoFill="0" autoLine="0" autoPict="0" macro="[0]!Sheet1.deleteRow">
                <anchor moveWithCells="1" sizeWithCells="1">
                  <from>
                    <xdr:col>6</xdr:col>
                    <xdr:colOff>0</xdr:colOff>
                    <xdr:row>3388</xdr:row>
                    <xdr:rowOff>0</xdr:rowOff>
                  </from>
                  <to>
                    <xdr:col>7</xdr:col>
                    <xdr:colOff>0</xdr:colOff>
                    <xdr:row>3388</xdr:row>
                    <xdr:rowOff>165100</xdr:rowOff>
                  </to>
                </anchor>
              </controlPr>
            </control>
          </mc:Choice>
        </mc:AlternateContent>
        <mc:AlternateContent xmlns:mc="http://schemas.openxmlformats.org/markup-compatibility/2006">
          <mc:Choice Requires="x14">
            <control shapeId="1349" r:id="rId2052" name="Button 325">
              <controlPr defaultSize="0" autoFill="0" autoLine="0" autoPict="0" macro="[0]!Sheet1.deleteRow">
                <anchor moveWithCells="1" sizeWithCells="1">
                  <from>
                    <xdr:col>6</xdr:col>
                    <xdr:colOff>0</xdr:colOff>
                    <xdr:row>3389</xdr:row>
                    <xdr:rowOff>0</xdr:rowOff>
                  </from>
                  <to>
                    <xdr:col>7</xdr:col>
                    <xdr:colOff>0</xdr:colOff>
                    <xdr:row>3389</xdr:row>
                    <xdr:rowOff>165100</xdr:rowOff>
                  </to>
                </anchor>
              </controlPr>
            </control>
          </mc:Choice>
        </mc:AlternateContent>
        <mc:AlternateContent xmlns:mc="http://schemas.openxmlformats.org/markup-compatibility/2006">
          <mc:Choice Requires="x14">
            <control shapeId="1348" r:id="rId2053" name="Button 324">
              <controlPr defaultSize="0" autoFill="0" autoLine="0" autoPict="0" macro="[0]!Sheet1.deleteRow">
                <anchor moveWithCells="1" sizeWithCells="1">
                  <from>
                    <xdr:col>6</xdr:col>
                    <xdr:colOff>0</xdr:colOff>
                    <xdr:row>3390</xdr:row>
                    <xdr:rowOff>0</xdr:rowOff>
                  </from>
                  <to>
                    <xdr:col>7</xdr:col>
                    <xdr:colOff>0</xdr:colOff>
                    <xdr:row>3390</xdr:row>
                    <xdr:rowOff>165100</xdr:rowOff>
                  </to>
                </anchor>
              </controlPr>
            </control>
          </mc:Choice>
        </mc:AlternateContent>
        <mc:AlternateContent xmlns:mc="http://schemas.openxmlformats.org/markup-compatibility/2006">
          <mc:Choice Requires="x14">
            <control shapeId="1347" r:id="rId2054" name="Button 323">
              <controlPr defaultSize="0" autoFill="0" autoLine="0" autoPict="0" macro="[0]!Sheet1.deleteRow">
                <anchor moveWithCells="1" sizeWithCells="1">
                  <from>
                    <xdr:col>6</xdr:col>
                    <xdr:colOff>0</xdr:colOff>
                    <xdr:row>3391</xdr:row>
                    <xdr:rowOff>0</xdr:rowOff>
                  </from>
                  <to>
                    <xdr:col>7</xdr:col>
                    <xdr:colOff>0</xdr:colOff>
                    <xdr:row>3391</xdr:row>
                    <xdr:rowOff>165100</xdr:rowOff>
                  </to>
                </anchor>
              </controlPr>
            </control>
          </mc:Choice>
        </mc:AlternateContent>
        <mc:AlternateContent xmlns:mc="http://schemas.openxmlformats.org/markup-compatibility/2006">
          <mc:Choice Requires="x14">
            <control shapeId="1346" r:id="rId2055" name="Button 322">
              <controlPr defaultSize="0" autoFill="0" autoLine="0" autoPict="0" macro="[0]!Sheet1.deleteProcedure">
                <anchor moveWithCells="1" sizeWithCells="1">
                  <from>
                    <xdr:col>6</xdr:col>
                    <xdr:colOff>0</xdr:colOff>
                    <xdr:row>3394</xdr:row>
                    <xdr:rowOff>0</xdr:rowOff>
                  </from>
                  <to>
                    <xdr:col>7</xdr:col>
                    <xdr:colOff>0</xdr:colOff>
                    <xdr:row>3395</xdr:row>
                    <xdr:rowOff>0</xdr:rowOff>
                  </to>
                </anchor>
              </controlPr>
            </control>
          </mc:Choice>
        </mc:AlternateContent>
        <mc:AlternateContent xmlns:mc="http://schemas.openxmlformats.org/markup-compatibility/2006">
          <mc:Choice Requires="x14">
            <control shapeId="1345" r:id="rId2056" name="Button 321">
              <controlPr defaultSize="0" autoFill="0" autoLine="0" autoPict="0" macro="[0]!Sheet1.InsertNewTableRow">
                <anchor moveWithCells="1" sizeWithCells="1">
                  <from>
                    <xdr:col>6</xdr:col>
                    <xdr:colOff>0</xdr:colOff>
                    <xdr:row>3401</xdr:row>
                    <xdr:rowOff>0</xdr:rowOff>
                  </from>
                  <to>
                    <xdr:col>7</xdr:col>
                    <xdr:colOff>0</xdr:colOff>
                    <xdr:row>3401</xdr:row>
                    <xdr:rowOff>171450</xdr:rowOff>
                  </to>
                </anchor>
              </controlPr>
            </control>
          </mc:Choice>
        </mc:AlternateContent>
        <mc:AlternateContent xmlns:mc="http://schemas.openxmlformats.org/markup-compatibility/2006">
          <mc:Choice Requires="x14">
            <control shapeId="1344" r:id="rId2057" name="Button 320">
              <controlPr defaultSize="0" autoFill="0" autoLine="0" autoPict="0" macro="[0]!Sheet1.deleteRow">
                <anchor moveWithCells="1" sizeWithCells="1">
                  <from>
                    <xdr:col>6</xdr:col>
                    <xdr:colOff>0</xdr:colOff>
                    <xdr:row>3402</xdr:row>
                    <xdr:rowOff>0</xdr:rowOff>
                  </from>
                  <to>
                    <xdr:col>7</xdr:col>
                    <xdr:colOff>0</xdr:colOff>
                    <xdr:row>3402</xdr:row>
                    <xdr:rowOff>165100</xdr:rowOff>
                  </to>
                </anchor>
              </controlPr>
            </control>
          </mc:Choice>
        </mc:AlternateContent>
        <mc:AlternateContent xmlns:mc="http://schemas.openxmlformats.org/markup-compatibility/2006">
          <mc:Choice Requires="x14">
            <control shapeId="1343" r:id="rId2058" name="Button 319">
              <controlPr defaultSize="0" autoFill="0" autoLine="0" autoPict="0" macro="[0]!Sheet1.deleteProcedure">
                <anchor moveWithCells="1" sizeWithCells="1">
                  <from>
                    <xdr:col>6</xdr:col>
                    <xdr:colOff>0</xdr:colOff>
                    <xdr:row>3405</xdr:row>
                    <xdr:rowOff>0</xdr:rowOff>
                  </from>
                  <to>
                    <xdr:col>7</xdr:col>
                    <xdr:colOff>0</xdr:colOff>
                    <xdr:row>3406</xdr:row>
                    <xdr:rowOff>0</xdr:rowOff>
                  </to>
                </anchor>
              </controlPr>
            </control>
          </mc:Choice>
        </mc:AlternateContent>
        <mc:AlternateContent xmlns:mc="http://schemas.openxmlformats.org/markup-compatibility/2006">
          <mc:Choice Requires="x14">
            <control shapeId="1342" r:id="rId2059" name="Button 318">
              <controlPr defaultSize="0" autoFill="0" autoLine="0" autoPict="0" macro="[0]!Sheet1.InsertNewTableRow">
                <anchor moveWithCells="1" sizeWithCells="1">
                  <from>
                    <xdr:col>6</xdr:col>
                    <xdr:colOff>0</xdr:colOff>
                    <xdr:row>3412</xdr:row>
                    <xdr:rowOff>0</xdr:rowOff>
                  </from>
                  <to>
                    <xdr:col>7</xdr:col>
                    <xdr:colOff>0</xdr:colOff>
                    <xdr:row>3412</xdr:row>
                    <xdr:rowOff>171450</xdr:rowOff>
                  </to>
                </anchor>
              </controlPr>
            </control>
          </mc:Choice>
        </mc:AlternateContent>
        <mc:AlternateContent xmlns:mc="http://schemas.openxmlformats.org/markup-compatibility/2006">
          <mc:Choice Requires="x14">
            <control shapeId="1341" r:id="rId2060" name="Button 317">
              <controlPr defaultSize="0" autoFill="0" autoLine="0" autoPict="0" macro="[0]!Sheet1.deleteRow">
                <anchor moveWithCells="1" sizeWithCells="1">
                  <from>
                    <xdr:col>6</xdr:col>
                    <xdr:colOff>0</xdr:colOff>
                    <xdr:row>3413</xdr:row>
                    <xdr:rowOff>0</xdr:rowOff>
                  </from>
                  <to>
                    <xdr:col>7</xdr:col>
                    <xdr:colOff>0</xdr:colOff>
                    <xdr:row>3413</xdr:row>
                    <xdr:rowOff>165100</xdr:rowOff>
                  </to>
                </anchor>
              </controlPr>
            </control>
          </mc:Choice>
        </mc:AlternateContent>
        <mc:AlternateContent xmlns:mc="http://schemas.openxmlformats.org/markup-compatibility/2006">
          <mc:Choice Requires="x14">
            <control shapeId="1340" r:id="rId2061" name="Button 316">
              <controlPr defaultSize="0" autoFill="0" autoLine="0" autoPict="0" macro="[0]!Sheet1.deleteProcedure">
                <anchor moveWithCells="1" sizeWithCells="1">
                  <from>
                    <xdr:col>6</xdr:col>
                    <xdr:colOff>0</xdr:colOff>
                    <xdr:row>3416</xdr:row>
                    <xdr:rowOff>0</xdr:rowOff>
                  </from>
                  <to>
                    <xdr:col>7</xdr:col>
                    <xdr:colOff>0</xdr:colOff>
                    <xdr:row>3417</xdr:row>
                    <xdr:rowOff>0</xdr:rowOff>
                  </to>
                </anchor>
              </controlPr>
            </control>
          </mc:Choice>
        </mc:AlternateContent>
        <mc:AlternateContent xmlns:mc="http://schemas.openxmlformats.org/markup-compatibility/2006">
          <mc:Choice Requires="x14">
            <control shapeId="1339" r:id="rId2062" name="Button 315">
              <controlPr defaultSize="0" autoFill="0" autoLine="0" autoPict="0" macro="[0]!Sheet1.InsertNewTableRow">
                <anchor moveWithCells="1" sizeWithCells="1">
                  <from>
                    <xdr:col>6</xdr:col>
                    <xdr:colOff>0</xdr:colOff>
                    <xdr:row>3423</xdr:row>
                    <xdr:rowOff>0</xdr:rowOff>
                  </from>
                  <to>
                    <xdr:col>7</xdr:col>
                    <xdr:colOff>0</xdr:colOff>
                    <xdr:row>3423</xdr:row>
                    <xdr:rowOff>171450</xdr:rowOff>
                  </to>
                </anchor>
              </controlPr>
            </control>
          </mc:Choice>
        </mc:AlternateContent>
        <mc:AlternateContent xmlns:mc="http://schemas.openxmlformats.org/markup-compatibility/2006">
          <mc:Choice Requires="x14">
            <control shapeId="1338" r:id="rId2063" name="Button 314">
              <controlPr defaultSize="0" autoFill="0" autoLine="0" autoPict="0" macro="[0]!Sheet1.deleteRow">
                <anchor moveWithCells="1" sizeWithCells="1">
                  <from>
                    <xdr:col>6</xdr:col>
                    <xdr:colOff>0</xdr:colOff>
                    <xdr:row>3424</xdr:row>
                    <xdr:rowOff>0</xdr:rowOff>
                  </from>
                  <to>
                    <xdr:col>7</xdr:col>
                    <xdr:colOff>0</xdr:colOff>
                    <xdr:row>3424</xdr:row>
                    <xdr:rowOff>165100</xdr:rowOff>
                  </to>
                </anchor>
              </controlPr>
            </control>
          </mc:Choice>
        </mc:AlternateContent>
        <mc:AlternateContent xmlns:mc="http://schemas.openxmlformats.org/markup-compatibility/2006">
          <mc:Choice Requires="x14">
            <control shapeId="1337" r:id="rId2064" name="Button 313">
              <controlPr defaultSize="0" autoFill="0" autoLine="0" autoPict="0" macro="[0]!Sheet1.deleteProcedure">
                <anchor moveWithCells="1" sizeWithCells="1">
                  <from>
                    <xdr:col>6</xdr:col>
                    <xdr:colOff>0</xdr:colOff>
                    <xdr:row>3427</xdr:row>
                    <xdr:rowOff>0</xdr:rowOff>
                  </from>
                  <to>
                    <xdr:col>7</xdr:col>
                    <xdr:colOff>0</xdr:colOff>
                    <xdr:row>3428</xdr:row>
                    <xdr:rowOff>0</xdr:rowOff>
                  </to>
                </anchor>
              </controlPr>
            </control>
          </mc:Choice>
        </mc:AlternateContent>
        <mc:AlternateContent xmlns:mc="http://schemas.openxmlformats.org/markup-compatibility/2006">
          <mc:Choice Requires="x14">
            <control shapeId="1336" r:id="rId2065" name="Button 312">
              <controlPr defaultSize="0" autoFill="0" autoLine="0" autoPict="0" macro="[0]!Sheet1.InsertNewTableRow">
                <anchor moveWithCells="1" sizeWithCells="1">
                  <from>
                    <xdr:col>6</xdr:col>
                    <xdr:colOff>0</xdr:colOff>
                    <xdr:row>3434</xdr:row>
                    <xdr:rowOff>0</xdr:rowOff>
                  </from>
                  <to>
                    <xdr:col>7</xdr:col>
                    <xdr:colOff>0</xdr:colOff>
                    <xdr:row>3434</xdr:row>
                    <xdr:rowOff>171450</xdr:rowOff>
                  </to>
                </anchor>
              </controlPr>
            </control>
          </mc:Choice>
        </mc:AlternateContent>
        <mc:AlternateContent xmlns:mc="http://schemas.openxmlformats.org/markup-compatibility/2006">
          <mc:Choice Requires="x14">
            <control shapeId="1335" r:id="rId2066" name="Button 311">
              <controlPr defaultSize="0" autoFill="0" autoLine="0" autoPict="0" macro="[0]!Sheet1.deleteRow">
                <anchor moveWithCells="1" sizeWithCells="1">
                  <from>
                    <xdr:col>6</xdr:col>
                    <xdr:colOff>0</xdr:colOff>
                    <xdr:row>3435</xdr:row>
                    <xdr:rowOff>0</xdr:rowOff>
                  </from>
                  <to>
                    <xdr:col>7</xdr:col>
                    <xdr:colOff>0</xdr:colOff>
                    <xdr:row>3435</xdr:row>
                    <xdr:rowOff>165100</xdr:rowOff>
                  </to>
                </anchor>
              </controlPr>
            </control>
          </mc:Choice>
        </mc:AlternateContent>
        <mc:AlternateContent xmlns:mc="http://schemas.openxmlformats.org/markup-compatibility/2006">
          <mc:Choice Requires="x14">
            <control shapeId="1334" r:id="rId2067" name="Button 310">
              <controlPr defaultSize="0" autoFill="0" autoLine="0" autoPict="0" macro="[0]!Sheet1.deleteProcedure">
                <anchor moveWithCells="1" sizeWithCells="1">
                  <from>
                    <xdr:col>6</xdr:col>
                    <xdr:colOff>0</xdr:colOff>
                    <xdr:row>3438</xdr:row>
                    <xdr:rowOff>0</xdr:rowOff>
                  </from>
                  <to>
                    <xdr:col>7</xdr:col>
                    <xdr:colOff>0</xdr:colOff>
                    <xdr:row>3439</xdr:row>
                    <xdr:rowOff>0</xdr:rowOff>
                  </to>
                </anchor>
              </controlPr>
            </control>
          </mc:Choice>
        </mc:AlternateContent>
        <mc:AlternateContent xmlns:mc="http://schemas.openxmlformats.org/markup-compatibility/2006">
          <mc:Choice Requires="x14">
            <control shapeId="1333" r:id="rId2068" name="Button 309">
              <controlPr defaultSize="0" autoFill="0" autoLine="0" autoPict="0" macro="[0]!Sheet1.InsertNewTableRow">
                <anchor moveWithCells="1" sizeWithCells="1">
                  <from>
                    <xdr:col>6</xdr:col>
                    <xdr:colOff>0</xdr:colOff>
                    <xdr:row>3445</xdr:row>
                    <xdr:rowOff>0</xdr:rowOff>
                  </from>
                  <to>
                    <xdr:col>7</xdr:col>
                    <xdr:colOff>0</xdr:colOff>
                    <xdr:row>3445</xdr:row>
                    <xdr:rowOff>171450</xdr:rowOff>
                  </to>
                </anchor>
              </controlPr>
            </control>
          </mc:Choice>
        </mc:AlternateContent>
        <mc:AlternateContent xmlns:mc="http://schemas.openxmlformats.org/markup-compatibility/2006">
          <mc:Choice Requires="x14">
            <control shapeId="1332" r:id="rId2069" name="Button 308">
              <controlPr defaultSize="0" autoFill="0" autoLine="0" autoPict="0" macro="[0]!Sheet1.deleteRow">
                <anchor moveWithCells="1" sizeWithCells="1">
                  <from>
                    <xdr:col>6</xdr:col>
                    <xdr:colOff>0</xdr:colOff>
                    <xdr:row>3446</xdr:row>
                    <xdr:rowOff>0</xdr:rowOff>
                  </from>
                  <to>
                    <xdr:col>7</xdr:col>
                    <xdr:colOff>0</xdr:colOff>
                    <xdr:row>3446</xdr:row>
                    <xdr:rowOff>165100</xdr:rowOff>
                  </to>
                </anchor>
              </controlPr>
            </control>
          </mc:Choice>
        </mc:AlternateContent>
        <mc:AlternateContent xmlns:mc="http://schemas.openxmlformats.org/markup-compatibility/2006">
          <mc:Choice Requires="x14">
            <control shapeId="1331" r:id="rId2070" name="Button 307">
              <controlPr defaultSize="0" autoFill="0" autoLine="0" autoPict="0" macro="[0]!Sheet1.deleteProcedure">
                <anchor moveWithCells="1" sizeWithCells="1">
                  <from>
                    <xdr:col>6</xdr:col>
                    <xdr:colOff>0</xdr:colOff>
                    <xdr:row>3449</xdr:row>
                    <xdr:rowOff>0</xdr:rowOff>
                  </from>
                  <to>
                    <xdr:col>7</xdr:col>
                    <xdr:colOff>0</xdr:colOff>
                    <xdr:row>3450</xdr:row>
                    <xdr:rowOff>0</xdr:rowOff>
                  </to>
                </anchor>
              </controlPr>
            </control>
          </mc:Choice>
        </mc:AlternateContent>
        <mc:AlternateContent xmlns:mc="http://schemas.openxmlformats.org/markup-compatibility/2006">
          <mc:Choice Requires="x14">
            <control shapeId="1330" r:id="rId2071" name="Button 306">
              <controlPr defaultSize="0" autoFill="0" autoLine="0" autoPict="0" macro="[0]!Sheet1.InsertNewTableRow">
                <anchor moveWithCells="1" sizeWithCells="1">
                  <from>
                    <xdr:col>6</xdr:col>
                    <xdr:colOff>0</xdr:colOff>
                    <xdr:row>3456</xdr:row>
                    <xdr:rowOff>0</xdr:rowOff>
                  </from>
                  <to>
                    <xdr:col>7</xdr:col>
                    <xdr:colOff>0</xdr:colOff>
                    <xdr:row>3456</xdr:row>
                    <xdr:rowOff>171450</xdr:rowOff>
                  </to>
                </anchor>
              </controlPr>
            </control>
          </mc:Choice>
        </mc:AlternateContent>
        <mc:AlternateContent xmlns:mc="http://schemas.openxmlformats.org/markup-compatibility/2006">
          <mc:Choice Requires="x14">
            <control shapeId="1329" r:id="rId2072" name="Button 305">
              <controlPr defaultSize="0" autoFill="0" autoLine="0" autoPict="0" macro="[0]!Sheet1.deleteRow">
                <anchor moveWithCells="1" sizeWithCells="1">
                  <from>
                    <xdr:col>6</xdr:col>
                    <xdr:colOff>0</xdr:colOff>
                    <xdr:row>3457</xdr:row>
                    <xdr:rowOff>0</xdr:rowOff>
                  </from>
                  <to>
                    <xdr:col>7</xdr:col>
                    <xdr:colOff>0</xdr:colOff>
                    <xdr:row>3457</xdr:row>
                    <xdr:rowOff>165100</xdr:rowOff>
                  </to>
                </anchor>
              </controlPr>
            </control>
          </mc:Choice>
        </mc:AlternateContent>
        <mc:AlternateContent xmlns:mc="http://schemas.openxmlformats.org/markup-compatibility/2006">
          <mc:Choice Requires="x14">
            <control shapeId="1328" r:id="rId2073" name="Button 304">
              <controlPr defaultSize="0" autoFill="0" autoLine="0" autoPict="0" macro="[0]!Sheet1.deleteProcedure">
                <anchor moveWithCells="1" sizeWithCells="1">
                  <from>
                    <xdr:col>6</xdr:col>
                    <xdr:colOff>0</xdr:colOff>
                    <xdr:row>3460</xdr:row>
                    <xdr:rowOff>0</xdr:rowOff>
                  </from>
                  <to>
                    <xdr:col>7</xdr:col>
                    <xdr:colOff>0</xdr:colOff>
                    <xdr:row>3461</xdr:row>
                    <xdr:rowOff>0</xdr:rowOff>
                  </to>
                </anchor>
              </controlPr>
            </control>
          </mc:Choice>
        </mc:AlternateContent>
        <mc:AlternateContent xmlns:mc="http://schemas.openxmlformats.org/markup-compatibility/2006">
          <mc:Choice Requires="x14">
            <control shapeId="1327" r:id="rId2074" name="Button 303">
              <controlPr defaultSize="0" autoFill="0" autoLine="0" autoPict="0" macro="[0]!Sheet1.InsertNewTableRow">
                <anchor moveWithCells="1" sizeWithCells="1">
                  <from>
                    <xdr:col>6</xdr:col>
                    <xdr:colOff>0</xdr:colOff>
                    <xdr:row>3467</xdr:row>
                    <xdr:rowOff>0</xdr:rowOff>
                  </from>
                  <to>
                    <xdr:col>7</xdr:col>
                    <xdr:colOff>0</xdr:colOff>
                    <xdr:row>3467</xdr:row>
                    <xdr:rowOff>171450</xdr:rowOff>
                  </to>
                </anchor>
              </controlPr>
            </control>
          </mc:Choice>
        </mc:AlternateContent>
        <mc:AlternateContent xmlns:mc="http://schemas.openxmlformats.org/markup-compatibility/2006">
          <mc:Choice Requires="x14">
            <control shapeId="1326" r:id="rId2075" name="Button 302">
              <controlPr defaultSize="0" autoFill="0" autoLine="0" autoPict="0" macro="[0]!Sheet1.deleteRow">
                <anchor moveWithCells="1" sizeWithCells="1">
                  <from>
                    <xdr:col>6</xdr:col>
                    <xdr:colOff>0</xdr:colOff>
                    <xdr:row>3468</xdr:row>
                    <xdr:rowOff>0</xdr:rowOff>
                  </from>
                  <to>
                    <xdr:col>7</xdr:col>
                    <xdr:colOff>0</xdr:colOff>
                    <xdr:row>3468</xdr:row>
                    <xdr:rowOff>165100</xdr:rowOff>
                  </to>
                </anchor>
              </controlPr>
            </control>
          </mc:Choice>
        </mc:AlternateContent>
        <mc:AlternateContent xmlns:mc="http://schemas.openxmlformats.org/markup-compatibility/2006">
          <mc:Choice Requires="x14">
            <control shapeId="1325" r:id="rId2076" name="Button 301">
              <controlPr defaultSize="0" autoFill="0" autoLine="0" autoPict="0" macro="[0]!Sheet1.deleteProcedure">
                <anchor moveWithCells="1" sizeWithCells="1">
                  <from>
                    <xdr:col>6</xdr:col>
                    <xdr:colOff>0</xdr:colOff>
                    <xdr:row>3471</xdr:row>
                    <xdr:rowOff>0</xdr:rowOff>
                  </from>
                  <to>
                    <xdr:col>7</xdr:col>
                    <xdr:colOff>0</xdr:colOff>
                    <xdr:row>3472</xdr:row>
                    <xdr:rowOff>0</xdr:rowOff>
                  </to>
                </anchor>
              </controlPr>
            </control>
          </mc:Choice>
        </mc:AlternateContent>
        <mc:AlternateContent xmlns:mc="http://schemas.openxmlformats.org/markup-compatibility/2006">
          <mc:Choice Requires="x14">
            <control shapeId="1324" r:id="rId2077" name="Button 300">
              <controlPr defaultSize="0" autoFill="0" autoLine="0" autoPict="0" macro="[0]!Sheet1.InsertNewTableRow">
                <anchor moveWithCells="1" sizeWithCells="1">
                  <from>
                    <xdr:col>6</xdr:col>
                    <xdr:colOff>0</xdr:colOff>
                    <xdr:row>3478</xdr:row>
                    <xdr:rowOff>0</xdr:rowOff>
                  </from>
                  <to>
                    <xdr:col>7</xdr:col>
                    <xdr:colOff>0</xdr:colOff>
                    <xdr:row>3478</xdr:row>
                    <xdr:rowOff>171450</xdr:rowOff>
                  </to>
                </anchor>
              </controlPr>
            </control>
          </mc:Choice>
        </mc:AlternateContent>
        <mc:AlternateContent xmlns:mc="http://schemas.openxmlformats.org/markup-compatibility/2006">
          <mc:Choice Requires="x14">
            <control shapeId="1323" r:id="rId2078" name="Button 299">
              <controlPr defaultSize="0" autoFill="0" autoLine="0" autoPict="0" macro="[0]!Sheet1.deleteRow">
                <anchor moveWithCells="1" sizeWithCells="1">
                  <from>
                    <xdr:col>6</xdr:col>
                    <xdr:colOff>0</xdr:colOff>
                    <xdr:row>3479</xdr:row>
                    <xdr:rowOff>0</xdr:rowOff>
                  </from>
                  <to>
                    <xdr:col>7</xdr:col>
                    <xdr:colOff>0</xdr:colOff>
                    <xdr:row>3479</xdr:row>
                    <xdr:rowOff>165100</xdr:rowOff>
                  </to>
                </anchor>
              </controlPr>
            </control>
          </mc:Choice>
        </mc:AlternateContent>
        <mc:AlternateContent xmlns:mc="http://schemas.openxmlformats.org/markup-compatibility/2006">
          <mc:Choice Requires="x14">
            <control shapeId="1322" r:id="rId2079" name="Button 298">
              <controlPr defaultSize="0" autoFill="0" autoLine="0" autoPict="0" macro="[0]!Sheet1.deleteRow">
                <anchor moveWithCells="1" sizeWithCells="1">
                  <from>
                    <xdr:col>6</xdr:col>
                    <xdr:colOff>0</xdr:colOff>
                    <xdr:row>3480</xdr:row>
                    <xdr:rowOff>0</xdr:rowOff>
                  </from>
                  <to>
                    <xdr:col>7</xdr:col>
                    <xdr:colOff>0</xdr:colOff>
                    <xdr:row>3480</xdr:row>
                    <xdr:rowOff>165100</xdr:rowOff>
                  </to>
                </anchor>
              </controlPr>
            </control>
          </mc:Choice>
        </mc:AlternateContent>
        <mc:AlternateContent xmlns:mc="http://schemas.openxmlformats.org/markup-compatibility/2006">
          <mc:Choice Requires="x14">
            <control shapeId="1321" r:id="rId2080" name="Button 297">
              <controlPr defaultSize="0" autoFill="0" autoLine="0" autoPict="0" macro="[0]!Sheet1.deleteProcedure">
                <anchor moveWithCells="1" sizeWithCells="1">
                  <from>
                    <xdr:col>6</xdr:col>
                    <xdr:colOff>0</xdr:colOff>
                    <xdr:row>3483</xdr:row>
                    <xdr:rowOff>0</xdr:rowOff>
                  </from>
                  <to>
                    <xdr:col>7</xdr:col>
                    <xdr:colOff>0</xdr:colOff>
                    <xdr:row>3484</xdr:row>
                    <xdr:rowOff>0</xdr:rowOff>
                  </to>
                </anchor>
              </controlPr>
            </control>
          </mc:Choice>
        </mc:AlternateContent>
        <mc:AlternateContent xmlns:mc="http://schemas.openxmlformats.org/markup-compatibility/2006">
          <mc:Choice Requires="x14">
            <control shapeId="1320" r:id="rId2081" name="Button 296">
              <controlPr defaultSize="0" autoFill="0" autoLine="0" autoPict="0" macro="[0]!Sheet1.InsertNewTableRow">
                <anchor moveWithCells="1" sizeWithCells="1">
                  <from>
                    <xdr:col>6</xdr:col>
                    <xdr:colOff>0</xdr:colOff>
                    <xdr:row>3490</xdr:row>
                    <xdr:rowOff>0</xdr:rowOff>
                  </from>
                  <to>
                    <xdr:col>7</xdr:col>
                    <xdr:colOff>0</xdr:colOff>
                    <xdr:row>3490</xdr:row>
                    <xdr:rowOff>171450</xdr:rowOff>
                  </to>
                </anchor>
              </controlPr>
            </control>
          </mc:Choice>
        </mc:AlternateContent>
        <mc:AlternateContent xmlns:mc="http://schemas.openxmlformats.org/markup-compatibility/2006">
          <mc:Choice Requires="x14">
            <control shapeId="1319" r:id="rId2082" name="Button 295">
              <controlPr defaultSize="0" autoFill="0" autoLine="0" autoPict="0" macro="[0]!Sheet1.deleteRow">
                <anchor moveWithCells="1" sizeWithCells="1">
                  <from>
                    <xdr:col>6</xdr:col>
                    <xdr:colOff>0</xdr:colOff>
                    <xdr:row>3491</xdr:row>
                    <xdr:rowOff>0</xdr:rowOff>
                  </from>
                  <to>
                    <xdr:col>7</xdr:col>
                    <xdr:colOff>0</xdr:colOff>
                    <xdr:row>3491</xdr:row>
                    <xdr:rowOff>165100</xdr:rowOff>
                  </to>
                </anchor>
              </controlPr>
            </control>
          </mc:Choice>
        </mc:AlternateContent>
        <mc:AlternateContent xmlns:mc="http://schemas.openxmlformats.org/markup-compatibility/2006">
          <mc:Choice Requires="x14">
            <control shapeId="1318" r:id="rId2083" name="Button 294">
              <controlPr defaultSize="0" autoFill="0" autoLine="0" autoPict="0" macro="[0]!Sheet1.deleteRow">
                <anchor moveWithCells="1" sizeWithCells="1">
                  <from>
                    <xdr:col>6</xdr:col>
                    <xdr:colOff>0</xdr:colOff>
                    <xdr:row>3492</xdr:row>
                    <xdr:rowOff>0</xdr:rowOff>
                  </from>
                  <to>
                    <xdr:col>7</xdr:col>
                    <xdr:colOff>0</xdr:colOff>
                    <xdr:row>3492</xdr:row>
                    <xdr:rowOff>165100</xdr:rowOff>
                  </to>
                </anchor>
              </controlPr>
            </control>
          </mc:Choice>
        </mc:AlternateContent>
        <mc:AlternateContent xmlns:mc="http://schemas.openxmlformats.org/markup-compatibility/2006">
          <mc:Choice Requires="x14">
            <control shapeId="1317" r:id="rId2084" name="Button 293">
              <controlPr defaultSize="0" autoFill="0" autoLine="0" autoPict="0" macro="[0]!Sheet1.deleteRow">
                <anchor moveWithCells="1" sizeWithCells="1">
                  <from>
                    <xdr:col>6</xdr:col>
                    <xdr:colOff>0</xdr:colOff>
                    <xdr:row>3493</xdr:row>
                    <xdr:rowOff>0</xdr:rowOff>
                  </from>
                  <to>
                    <xdr:col>7</xdr:col>
                    <xdr:colOff>0</xdr:colOff>
                    <xdr:row>3493</xdr:row>
                    <xdr:rowOff>165100</xdr:rowOff>
                  </to>
                </anchor>
              </controlPr>
            </control>
          </mc:Choice>
        </mc:AlternateContent>
        <mc:AlternateContent xmlns:mc="http://schemas.openxmlformats.org/markup-compatibility/2006">
          <mc:Choice Requires="x14">
            <control shapeId="1316" r:id="rId2085" name="Button 292">
              <controlPr defaultSize="0" autoFill="0" autoLine="0" autoPict="0" macro="[0]!Sheet1.deleteRow">
                <anchor moveWithCells="1" sizeWithCells="1">
                  <from>
                    <xdr:col>6</xdr:col>
                    <xdr:colOff>0</xdr:colOff>
                    <xdr:row>3494</xdr:row>
                    <xdr:rowOff>0</xdr:rowOff>
                  </from>
                  <to>
                    <xdr:col>7</xdr:col>
                    <xdr:colOff>0</xdr:colOff>
                    <xdr:row>3494</xdr:row>
                    <xdr:rowOff>165100</xdr:rowOff>
                  </to>
                </anchor>
              </controlPr>
            </control>
          </mc:Choice>
        </mc:AlternateContent>
        <mc:AlternateContent xmlns:mc="http://schemas.openxmlformats.org/markup-compatibility/2006">
          <mc:Choice Requires="x14">
            <control shapeId="1315" r:id="rId2086" name="Button 291">
              <controlPr defaultSize="0" autoFill="0" autoLine="0" autoPict="0" macro="[0]!Sheet1.deleteRow">
                <anchor moveWithCells="1" sizeWithCells="1">
                  <from>
                    <xdr:col>6</xdr:col>
                    <xdr:colOff>0</xdr:colOff>
                    <xdr:row>3495</xdr:row>
                    <xdr:rowOff>0</xdr:rowOff>
                  </from>
                  <to>
                    <xdr:col>7</xdr:col>
                    <xdr:colOff>0</xdr:colOff>
                    <xdr:row>3495</xdr:row>
                    <xdr:rowOff>165100</xdr:rowOff>
                  </to>
                </anchor>
              </controlPr>
            </control>
          </mc:Choice>
        </mc:AlternateContent>
        <mc:AlternateContent xmlns:mc="http://schemas.openxmlformats.org/markup-compatibility/2006">
          <mc:Choice Requires="x14">
            <control shapeId="1314" r:id="rId2087" name="Button 290">
              <controlPr defaultSize="0" autoFill="0" autoLine="0" autoPict="0" macro="[0]!Sheet1.deleteProcedure">
                <anchor moveWithCells="1" sizeWithCells="1">
                  <from>
                    <xdr:col>6</xdr:col>
                    <xdr:colOff>0</xdr:colOff>
                    <xdr:row>3498</xdr:row>
                    <xdr:rowOff>0</xdr:rowOff>
                  </from>
                  <to>
                    <xdr:col>7</xdr:col>
                    <xdr:colOff>0</xdr:colOff>
                    <xdr:row>3499</xdr:row>
                    <xdr:rowOff>0</xdr:rowOff>
                  </to>
                </anchor>
              </controlPr>
            </control>
          </mc:Choice>
        </mc:AlternateContent>
        <mc:AlternateContent xmlns:mc="http://schemas.openxmlformats.org/markup-compatibility/2006">
          <mc:Choice Requires="x14">
            <control shapeId="1313" r:id="rId2088" name="Button 289">
              <controlPr defaultSize="0" autoFill="0" autoLine="0" autoPict="0" macro="[0]!Sheet1.InsertNewTableRow">
                <anchor moveWithCells="1" sizeWithCells="1">
                  <from>
                    <xdr:col>6</xdr:col>
                    <xdr:colOff>0</xdr:colOff>
                    <xdr:row>3505</xdr:row>
                    <xdr:rowOff>0</xdr:rowOff>
                  </from>
                  <to>
                    <xdr:col>7</xdr:col>
                    <xdr:colOff>0</xdr:colOff>
                    <xdr:row>3505</xdr:row>
                    <xdr:rowOff>171450</xdr:rowOff>
                  </to>
                </anchor>
              </controlPr>
            </control>
          </mc:Choice>
        </mc:AlternateContent>
        <mc:AlternateContent xmlns:mc="http://schemas.openxmlformats.org/markup-compatibility/2006">
          <mc:Choice Requires="x14">
            <control shapeId="1312" r:id="rId2089" name="Button 288">
              <controlPr defaultSize="0" autoFill="0" autoLine="0" autoPict="0" macro="[0]!Sheet1.deleteRow">
                <anchor moveWithCells="1" sizeWithCells="1">
                  <from>
                    <xdr:col>6</xdr:col>
                    <xdr:colOff>0</xdr:colOff>
                    <xdr:row>3506</xdr:row>
                    <xdr:rowOff>0</xdr:rowOff>
                  </from>
                  <to>
                    <xdr:col>7</xdr:col>
                    <xdr:colOff>0</xdr:colOff>
                    <xdr:row>3506</xdr:row>
                    <xdr:rowOff>165100</xdr:rowOff>
                  </to>
                </anchor>
              </controlPr>
            </control>
          </mc:Choice>
        </mc:AlternateContent>
        <mc:AlternateContent xmlns:mc="http://schemas.openxmlformats.org/markup-compatibility/2006">
          <mc:Choice Requires="x14">
            <control shapeId="1311" r:id="rId2090" name="Button 287">
              <controlPr defaultSize="0" autoFill="0" autoLine="0" autoPict="0" macro="[0]!Sheet1.deleteProcedure">
                <anchor moveWithCells="1" sizeWithCells="1">
                  <from>
                    <xdr:col>6</xdr:col>
                    <xdr:colOff>0</xdr:colOff>
                    <xdr:row>3509</xdr:row>
                    <xdr:rowOff>0</xdr:rowOff>
                  </from>
                  <to>
                    <xdr:col>7</xdr:col>
                    <xdr:colOff>0</xdr:colOff>
                    <xdr:row>3510</xdr:row>
                    <xdr:rowOff>0</xdr:rowOff>
                  </to>
                </anchor>
              </controlPr>
            </control>
          </mc:Choice>
        </mc:AlternateContent>
        <mc:AlternateContent xmlns:mc="http://schemas.openxmlformats.org/markup-compatibility/2006">
          <mc:Choice Requires="x14">
            <control shapeId="1310" r:id="rId2091" name="Button 286">
              <controlPr defaultSize="0" autoFill="0" autoLine="0" autoPict="0" macro="[0]!Sheet1.InsertNewTableRow">
                <anchor moveWithCells="1" sizeWithCells="1">
                  <from>
                    <xdr:col>6</xdr:col>
                    <xdr:colOff>0</xdr:colOff>
                    <xdr:row>3516</xdr:row>
                    <xdr:rowOff>0</xdr:rowOff>
                  </from>
                  <to>
                    <xdr:col>7</xdr:col>
                    <xdr:colOff>0</xdr:colOff>
                    <xdr:row>3516</xdr:row>
                    <xdr:rowOff>171450</xdr:rowOff>
                  </to>
                </anchor>
              </controlPr>
            </control>
          </mc:Choice>
        </mc:AlternateContent>
        <mc:AlternateContent xmlns:mc="http://schemas.openxmlformats.org/markup-compatibility/2006">
          <mc:Choice Requires="x14">
            <control shapeId="1309" r:id="rId2092" name="Button 285">
              <controlPr defaultSize="0" autoFill="0" autoLine="0" autoPict="0" macro="[0]!Sheet1.deleteRow">
                <anchor moveWithCells="1" sizeWithCells="1">
                  <from>
                    <xdr:col>6</xdr:col>
                    <xdr:colOff>0</xdr:colOff>
                    <xdr:row>3517</xdr:row>
                    <xdr:rowOff>0</xdr:rowOff>
                  </from>
                  <to>
                    <xdr:col>7</xdr:col>
                    <xdr:colOff>0</xdr:colOff>
                    <xdr:row>3517</xdr:row>
                    <xdr:rowOff>165100</xdr:rowOff>
                  </to>
                </anchor>
              </controlPr>
            </control>
          </mc:Choice>
        </mc:AlternateContent>
        <mc:AlternateContent xmlns:mc="http://schemas.openxmlformats.org/markup-compatibility/2006">
          <mc:Choice Requires="x14">
            <control shapeId="1308" r:id="rId2093" name="Button 284">
              <controlPr defaultSize="0" autoFill="0" autoLine="0" autoPict="0" macro="[0]!Sheet1.deleteProcedure">
                <anchor moveWithCells="1" sizeWithCells="1">
                  <from>
                    <xdr:col>6</xdr:col>
                    <xdr:colOff>0</xdr:colOff>
                    <xdr:row>3520</xdr:row>
                    <xdr:rowOff>0</xdr:rowOff>
                  </from>
                  <to>
                    <xdr:col>7</xdr:col>
                    <xdr:colOff>0</xdr:colOff>
                    <xdr:row>3521</xdr:row>
                    <xdr:rowOff>0</xdr:rowOff>
                  </to>
                </anchor>
              </controlPr>
            </control>
          </mc:Choice>
        </mc:AlternateContent>
        <mc:AlternateContent xmlns:mc="http://schemas.openxmlformats.org/markup-compatibility/2006">
          <mc:Choice Requires="x14">
            <control shapeId="1307" r:id="rId2094" name="Button 283">
              <controlPr defaultSize="0" autoFill="0" autoLine="0" autoPict="0" macro="[0]!Sheet1.InsertNewTableRow">
                <anchor moveWithCells="1" sizeWithCells="1">
                  <from>
                    <xdr:col>6</xdr:col>
                    <xdr:colOff>0</xdr:colOff>
                    <xdr:row>3527</xdr:row>
                    <xdr:rowOff>0</xdr:rowOff>
                  </from>
                  <to>
                    <xdr:col>7</xdr:col>
                    <xdr:colOff>0</xdr:colOff>
                    <xdr:row>3527</xdr:row>
                    <xdr:rowOff>171450</xdr:rowOff>
                  </to>
                </anchor>
              </controlPr>
            </control>
          </mc:Choice>
        </mc:AlternateContent>
        <mc:AlternateContent xmlns:mc="http://schemas.openxmlformats.org/markup-compatibility/2006">
          <mc:Choice Requires="x14">
            <control shapeId="1306" r:id="rId2095" name="Button 282">
              <controlPr defaultSize="0" autoFill="0" autoLine="0" autoPict="0" macro="[0]!Sheet1.deleteRow">
                <anchor moveWithCells="1" sizeWithCells="1">
                  <from>
                    <xdr:col>6</xdr:col>
                    <xdr:colOff>0</xdr:colOff>
                    <xdr:row>3528</xdr:row>
                    <xdr:rowOff>0</xdr:rowOff>
                  </from>
                  <to>
                    <xdr:col>7</xdr:col>
                    <xdr:colOff>0</xdr:colOff>
                    <xdr:row>3528</xdr:row>
                    <xdr:rowOff>165100</xdr:rowOff>
                  </to>
                </anchor>
              </controlPr>
            </control>
          </mc:Choice>
        </mc:AlternateContent>
        <mc:AlternateContent xmlns:mc="http://schemas.openxmlformats.org/markup-compatibility/2006">
          <mc:Choice Requires="x14">
            <control shapeId="1305" r:id="rId2096" name="Button 281">
              <controlPr defaultSize="0" autoFill="0" autoLine="0" autoPict="0" macro="[0]!Sheet1.deleteRow">
                <anchor moveWithCells="1" sizeWithCells="1">
                  <from>
                    <xdr:col>6</xdr:col>
                    <xdr:colOff>0</xdr:colOff>
                    <xdr:row>3529</xdr:row>
                    <xdr:rowOff>0</xdr:rowOff>
                  </from>
                  <to>
                    <xdr:col>7</xdr:col>
                    <xdr:colOff>0</xdr:colOff>
                    <xdr:row>3529</xdr:row>
                    <xdr:rowOff>165100</xdr:rowOff>
                  </to>
                </anchor>
              </controlPr>
            </control>
          </mc:Choice>
        </mc:AlternateContent>
        <mc:AlternateContent xmlns:mc="http://schemas.openxmlformats.org/markup-compatibility/2006">
          <mc:Choice Requires="x14">
            <control shapeId="1304" r:id="rId2097" name="Button 280">
              <controlPr defaultSize="0" autoFill="0" autoLine="0" autoPict="0" macro="[0]!Sheet1.deleteRow">
                <anchor moveWithCells="1" sizeWithCells="1">
                  <from>
                    <xdr:col>6</xdr:col>
                    <xdr:colOff>0</xdr:colOff>
                    <xdr:row>3530</xdr:row>
                    <xdr:rowOff>0</xdr:rowOff>
                  </from>
                  <to>
                    <xdr:col>7</xdr:col>
                    <xdr:colOff>0</xdr:colOff>
                    <xdr:row>3530</xdr:row>
                    <xdr:rowOff>165100</xdr:rowOff>
                  </to>
                </anchor>
              </controlPr>
            </control>
          </mc:Choice>
        </mc:AlternateContent>
        <mc:AlternateContent xmlns:mc="http://schemas.openxmlformats.org/markup-compatibility/2006">
          <mc:Choice Requires="x14">
            <control shapeId="1303" r:id="rId2098" name="Button 279">
              <controlPr defaultSize="0" autoFill="0" autoLine="0" autoPict="0" macro="[0]!Sheet1.deleteProcedure">
                <anchor moveWithCells="1" sizeWithCells="1">
                  <from>
                    <xdr:col>6</xdr:col>
                    <xdr:colOff>0</xdr:colOff>
                    <xdr:row>3533</xdr:row>
                    <xdr:rowOff>0</xdr:rowOff>
                  </from>
                  <to>
                    <xdr:col>7</xdr:col>
                    <xdr:colOff>0</xdr:colOff>
                    <xdr:row>3534</xdr:row>
                    <xdr:rowOff>0</xdr:rowOff>
                  </to>
                </anchor>
              </controlPr>
            </control>
          </mc:Choice>
        </mc:AlternateContent>
        <mc:AlternateContent xmlns:mc="http://schemas.openxmlformats.org/markup-compatibility/2006">
          <mc:Choice Requires="x14">
            <control shapeId="1302" r:id="rId2099" name="Button 278">
              <controlPr defaultSize="0" autoFill="0" autoLine="0" autoPict="0" macro="[0]!Sheet1.InsertNewTableRow">
                <anchor moveWithCells="1" sizeWithCells="1">
                  <from>
                    <xdr:col>6</xdr:col>
                    <xdr:colOff>0</xdr:colOff>
                    <xdr:row>3540</xdr:row>
                    <xdr:rowOff>0</xdr:rowOff>
                  </from>
                  <to>
                    <xdr:col>7</xdr:col>
                    <xdr:colOff>0</xdr:colOff>
                    <xdr:row>3540</xdr:row>
                    <xdr:rowOff>171450</xdr:rowOff>
                  </to>
                </anchor>
              </controlPr>
            </control>
          </mc:Choice>
        </mc:AlternateContent>
        <mc:AlternateContent xmlns:mc="http://schemas.openxmlformats.org/markup-compatibility/2006">
          <mc:Choice Requires="x14">
            <control shapeId="1301" r:id="rId2100" name="Button 277">
              <controlPr defaultSize="0" autoFill="0" autoLine="0" autoPict="0" macro="[0]!Sheet1.deleteRow">
                <anchor moveWithCells="1" sizeWithCells="1">
                  <from>
                    <xdr:col>6</xdr:col>
                    <xdr:colOff>0</xdr:colOff>
                    <xdr:row>3541</xdr:row>
                    <xdr:rowOff>0</xdr:rowOff>
                  </from>
                  <to>
                    <xdr:col>7</xdr:col>
                    <xdr:colOff>0</xdr:colOff>
                    <xdr:row>3541</xdr:row>
                    <xdr:rowOff>165100</xdr:rowOff>
                  </to>
                </anchor>
              </controlPr>
            </control>
          </mc:Choice>
        </mc:AlternateContent>
        <mc:AlternateContent xmlns:mc="http://schemas.openxmlformats.org/markup-compatibility/2006">
          <mc:Choice Requires="x14">
            <control shapeId="1300" r:id="rId2101" name="Button 276">
              <controlPr defaultSize="0" autoFill="0" autoLine="0" autoPict="0" macro="[0]!Sheet1.deleteRow">
                <anchor moveWithCells="1" sizeWithCells="1">
                  <from>
                    <xdr:col>6</xdr:col>
                    <xdr:colOff>0</xdr:colOff>
                    <xdr:row>3542</xdr:row>
                    <xdr:rowOff>0</xdr:rowOff>
                  </from>
                  <to>
                    <xdr:col>7</xdr:col>
                    <xdr:colOff>0</xdr:colOff>
                    <xdr:row>3542</xdr:row>
                    <xdr:rowOff>165100</xdr:rowOff>
                  </to>
                </anchor>
              </controlPr>
            </control>
          </mc:Choice>
        </mc:AlternateContent>
        <mc:AlternateContent xmlns:mc="http://schemas.openxmlformats.org/markup-compatibility/2006">
          <mc:Choice Requires="x14">
            <control shapeId="1299" r:id="rId2102" name="Button 275">
              <controlPr defaultSize="0" autoFill="0" autoLine="0" autoPict="0" macro="[0]!Sheet1.deleteProcedure">
                <anchor moveWithCells="1" sizeWithCells="1">
                  <from>
                    <xdr:col>6</xdr:col>
                    <xdr:colOff>0</xdr:colOff>
                    <xdr:row>3545</xdr:row>
                    <xdr:rowOff>0</xdr:rowOff>
                  </from>
                  <to>
                    <xdr:col>7</xdr:col>
                    <xdr:colOff>0</xdr:colOff>
                    <xdr:row>3546</xdr:row>
                    <xdr:rowOff>0</xdr:rowOff>
                  </to>
                </anchor>
              </controlPr>
            </control>
          </mc:Choice>
        </mc:AlternateContent>
        <mc:AlternateContent xmlns:mc="http://schemas.openxmlformats.org/markup-compatibility/2006">
          <mc:Choice Requires="x14">
            <control shapeId="1298" r:id="rId2103" name="Button 274">
              <controlPr defaultSize="0" autoFill="0" autoLine="0" autoPict="0" macro="[0]!Sheet1.InsertNewTableRow">
                <anchor moveWithCells="1" sizeWithCells="1">
                  <from>
                    <xdr:col>6</xdr:col>
                    <xdr:colOff>0</xdr:colOff>
                    <xdr:row>3552</xdr:row>
                    <xdr:rowOff>0</xdr:rowOff>
                  </from>
                  <to>
                    <xdr:col>7</xdr:col>
                    <xdr:colOff>0</xdr:colOff>
                    <xdr:row>3552</xdr:row>
                    <xdr:rowOff>171450</xdr:rowOff>
                  </to>
                </anchor>
              </controlPr>
            </control>
          </mc:Choice>
        </mc:AlternateContent>
        <mc:AlternateContent xmlns:mc="http://schemas.openxmlformats.org/markup-compatibility/2006">
          <mc:Choice Requires="x14">
            <control shapeId="1297" r:id="rId2104" name="Button 273">
              <controlPr defaultSize="0" autoFill="0" autoLine="0" autoPict="0" macro="[0]!Sheet1.deleteRow">
                <anchor moveWithCells="1" sizeWithCells="1">
                  <from>
                    <xdr:col>6</xdr:col>
                    <xdr:colOff>0</xdr:colOff>
                    <xdr:row>3553</xdr:row>
                    <xdr:rowOff>0</xdr:rowOff>
                  </from>
                  <to>
                    <xdr:col>7</xdr:col>
                    <xdr:colOff>0</xdr:colOff>
                    <xdr:row>3553</xdr:row>
                    <xdr:rowOff>165100</xdr:rowOff>
                  </to>
                </anchor>
              </controlPr>
            </control>
          </mc:Choice>
        </mc:AlternateContent>
        <mc:AlternateContent xmlns:mc="http://schemas.openxmlformats.org/markup-compatibility/2006">
          <mc:Choice Requires="x14">
            <control shapeId="1296" r:id="rId2105" name="Button 272">
              <controlPr defaultSize="0" autoFill="0" autoLine="0" autoPict="0" macro="[0]!Sheet1.deleteProcedure">
                <anchor moveWithCells="1" sizeWithCells="1">
                  <from>
                    <xdr:col>6</xdr:col>
                    <xdr:colOff>0</xdr:colOff>
                    <xdr:row>3556</xdr:row>
                    <xdr:rowOff>0</xdr:rowOff>
                  </from>
                  <to>
                    <xdr:col>7</xdr:col>
                    <xdr:colOff>0</xdr:colOff>
                    <xdr:row>3557</xdr:row>
                    <xdr:rowOff>0</xdr:rowOff>
                  </to>
                </anchor>
              </controlPr>
            </control>
          </mc:Choice>
        </mc:AlternateContent>
        <mc:AlternateContent xmlns:mc="http://schemas.openxmlformats.org/markup-compatibility/2006">
          <mc:Choice Requires="x14">
            <control shapeId="1295" r:id="rId2106" name="Button 271">
              <controlPr defaultSize="0" autoFill="0" autoLine="0" autoPict="0" macro="[0]!Sheet1.InsertNewTableRow">
                <anchor moveWithCells="1" sizeWithCells="1">
                  <from>
                    <xdr:col>6</xdr:col>
                    <xdr:colOff>0</xdr:colOff>
                    <xdr:row>3563</xdr:row>
                    <xdr:rowOff>0</xdr:rowOff>
                  </from>
                  <to>
                    <xdr:col>7</xdr:col>
                    <xdr:colOff>0</xdr:colOff>
                    <xdr:row>3563</xdr:row>
                    <xdr:rowOff>171450</xdr:rowOff>
                  </to>
                </anchor>
              </controlPr>
            </control>
          </mc:Choice>
        </mc:AlternateContent>
        <mc:AlternateContent xmlns:mc="http://schemas.openxmlformats.org/markup-compatibility/2006">
          <mc:Choice Requires="x14">
            <control shapeId="1294" r:id="rId2107" name="Button 270">
              <controlPr defaultSize="0" autoFill="0" autoLine="0" autoPict="0" macro="[0]!Sheet1.deleteRow">
                <anchor moveWithCells="1" sizeWithCells="1">
                  <from>
                    <xdr:col>6</xdr:col>
                    <xdr:colOff>0</xdr:colOff>
                    <xdr:row>3564</xdr:row>
                    <xdr:rowOff>0</xdr:rowOff>
                  </from>
                  <to>
                    <xdr:col>7</xdr:col>
                    <xdr:colOff>0</xdr:colOff>
                    <xdr:row>3564</xdr:row>
                    <xdr:rowOff>165100</xdr:rowOff>
                  </to>
                </anchor>
              </controlPr>
            </control>
          </mc:Choice>
        </mc:AlternateContent>
        <mc:AlternateContent xmlns:mc="http://schemas.openxmlformats.org/markup-compatibility/2006">
          <mc:Choice Requires="x14">
            <control shapeId="1293" r:id="rId2108" name="Button 269">
              <controlPr defaultSize="0" autoFill="0" autoLine="0" autoPict="0" macro="[0]!Sheet1.deleteProcedure">
                <anchor moveWithCells="1" sizeWithCells="1">
                  <from>
                    <xdr:col>6</xdr:col>
                    <xdr:colOff>0</xdr:colOff>
                    <xdr:row>3567</xdr:row>
                    <xdr:rowOff>0</xdr:rowOff>
                  </from>
                  <to>
                    <xdr:col>7</xdr:col>
                    <xdr:colOff>0</xdr:colOff>
                    <xdr:row>3568</xdr:row>
                    <xdr:rowOff>0</xdr:rowOff>
                  </to>
                </anchor>
              </controlPr>
            </control>
          </mc:Choice>
        </mc:AlternateContent>
        <mc:AlternateContent xmlns:mc="http://schemas.openxmlformats.org/markup-compatibility/2006">
          <mc:Choice Requires="x14">
            <control shapeId="1292" r:id="rId2109" name="Button 268">
              <controlPr defaultSize="0" autoFill="0" autoLine="0" autoPict="0" macro="[0]!Sheet1.InsertNewTableRow">
                <anchor moveWithCells="1" sizeWithCells="1">
                  <from>
                    <xdr:col>6</xdr:col>
                    <xdr:colOff>0</xdr:colOff>
                    <xdr:row>3574</xdr:row>
                    <xdr:rowOff>0</xdr:rowOff>
                  </from>
                  <to>
                    <xdr:col>7</xdr:col>
                    <xdr:colOff>0</xdr:colOff>
                    <xdr:row>3574</xdr:row>
                    <xdr:rowOff>171450</xdr:rowOff>
                  </to>
                </anchor>
              </controlPr>
            </control>
          </mc:Choice>
        </mc:AlternateContent>
        <mc:AlternateContent xmlns:mc="http://schemas.openxmlformats.org/markup-compatibility/2006">
          <mc:Choice Requires="x14">
            <control shapeId="1291" r:id="rId2110" name="Button 267">
              <controlPr defaultSize="0" autoFill="0" autoLine="0" autoPict="0" macro="[0]!Sheet1.deleteRow">
                <anchor moveWithCells="1" sizeWithCells="1">
                  <from>
                    <xdr:col>6</xdr:col>
                    <xdr:colOff>0</xdr:colOff>
                    <xdr:row>3575</xdr:row>
                    <xdr:rowOff>0</xdr:rowOff>
                  </from>
                  <to>
                    <xdr:col>7</xdr:col>
                    <xdr:colOff>0</xdr:colOff>
                    <xdr:row>3575</xdr:row>
                    <xdr:rowOff>165100</xdr:rowOff>
                  </to>
                </anchor>
              </controlPr>
            </control>
          </mc:Choice>
        </mc:AlternateContent>
        <mc:AlternateContent xmlns:mc="http://schemas.openxmlformats.org/markup-compatibility/2006">
          <mc:Choice Requires="x14">
            <control shapeId="1290" r:id="rId2111" name="Button 266">
              <controlPr defaultSize="0" autoFill="0" autoLine="0" autoPict="0" macro="[0]!Sheet1.deleteProcedure">
                <anchor moveWithCells="1" sizeWithCells="1">
                  <from>
                    <xdr:col>6</xdr:col>
                    <xdr:colOff>0</xdr:colOff>
                    <xdr:row>3578</xdr:row>
                    <xdr:rowOff>0</xdr:rowOff>
                  </from>
                  <to>
                    <xdr:col>7</xdr:col>
                    <xdr:colOff>0</xdr:colOff>
                    <xdr:row>3579</xdr:row>
                    <xdr:rowOff>0</xdr:rowOff>
                  </to>
                </anchor>
              </controlPr>
            </control>
          </mc:Choice>
        </mc:AlternateContent>
        <mc:AlternateContent xmlns:mc="http://schemas.openxmlformats.org/markup-compatibility/2006">
          <mc:Choice Requires="x14">
            <control shapeId="1289" r:id="rId2112" name="Button 265">
              <controlPr defaultSize="0" autoFill="0" autoLine="0" autoPict="0" macro="[0]!Sheet1.InsertNewTableRow">
                <anchor moveWithCells="1" sizeWithCells="1">
                  <from>
                    <xdr:col>6</xdr:col>
                    <xdr:colOff>0</xdr:colOff>
                    <xdr:row>3585</xdr:row>
                    <xdr:rowOff>0</xdr:rowOff>
                  </from>
                  <to>
                    <xdr:col>7</xdr:col>
                    <xdr:colOff>0</xdr:colOff>
                    <xdr:row>3585</xdr:row>
                    <xdr:rowOff>171450</xdr:rowOff>
                  </to>
                </anchor>
              </controlPr>
            </control>
          </mc:Choice>
        </mc:AlternateContent>
        <mc:AlternateContent xmlns:mc="http://schemas.openxmlformats.org/markup-compatibility/2006">
          <mc:Choice Requires="x14">
            <control shapeId="1288" r:id="rId2113" name="Button 264">
              <controlPr defaultSize="0" autoFill="0" autoLine="0" autoPict="0" macro="[0]!Sheet1.deleteRow">
                <anchor moveWithCells="1" sizeWithCells="1">
                  <from>
                    <xdr:col>6</xdr:col>
                    <xdr:colOff>0</xdr:colOff>
                    <xdr:row>3586</xdr:row>
                    <xdr:rowOff>0</xdr:rowOff>
                  </from>
                  <to>
                    <xdr:col>7</xdr:col>
                    <xdr:colOff>0</xdr:colOff>
                    <xdr:row>3586</xdr:row>
                    <xdr:rowOff>165100</xdr:rowOff>
                  </to>
                </anchor>
              </controlPr>
            </control>
          </mc:Choice>
        </mc:AlternateContent>
        <mc:AlternateContent xmlns:mc="http://schemas.openxmlformats.org/markup-compatibility/2006">
          <mc:Choice Requires="x14">
            <control shapeId="1287" r:id="rId2114" name="Button 263">
              <controlPr defaultSize="0" autoFill="0" autoLine="0" autoPict="0" macro="[0]!Sheet1.deleteProcedure">
                <anchor moveWithCells="1" sizeWithCells="1">
                  <from>
                    <xdr:col>6</xdr:col>
                    <xdr:colOff>0</xdr:colOff>
                    <xdr:row>3589</xdr:row>
                    <xdr:rowOff>0</xdr:rowOff>
                  </from>
                  <to>
                    <xdr:col>7</xdr:col>
                    <xdr:colOff>0</xdr:colOff>
                    <xdr:row>3590</xdr:row>
                    <xdr:rowOff>0</xdr:rowOff>
                  </to>
                </anchor>
              </controlPr>
            </control>
          </mc:Choice>
        </mc:AlternateContent>
        <mc:AlternateContent xmlns:mc="http://schemas.openxmlformats.org/markup-compatibility/2006">
          <mc:Choice Requires="x14">
            <control shapeId="1286" r:id="rId2115" name="Button 262">
              <controlPr defaultSize="0" autoFill="0" autoLine="0" autoPict="0" macro="[0]!Sheet1.InsertNewTableRow">
                <anchor moveWithCells="1" sizeWithCells="1">
                  <from>
                    <xdr:col>6</xdr:col>
                    <xdr:colOff>0</xdr:colOff>
                    <xdr:row>3596</xdr:row>
                    <xdr:rowOff>0</xdr:rowOff>
                  </from>
                  <to>
                    <xdr:col>7</xdr:col>
                    <xdr:colOff>0</xdr:colOff>
                    <xdr:row>3596</xdr:row>
                    <xdr:rowOff>171450</xdr:rowOff>
                  </to>
                </anchor>
              </controlPr>
            </control>
          </mc:Choice>
        </mc:AlternateContent>
        <mc:AlternateContent xmlns:mc="http://schemas.openxmlformats.org/markup-compatibility/2006">
          <mc:Choice Requires="x14">
            <control shapeId="1285" r:id="rId2116" name="Button 261">
              <controlPr defaultSize="0" autoFill="0" autoLine="0" autoPict="0" macro="[0]!Sheet1.deleteRow">
                <anchor moveWithCells="1" sizeWithCells="1">
                  <from>
                    <xdr:col>6</xdr:col>
                    <xdr:colOff>0</xdr:colOff>
                    <xdr:row>3597</xdr:row>
                    <xdr:rowOff>0</xdr:rowOff>
                  </from>
                  <to>
                    <xdr:col>7</xdr:col>
                    <xdr:colOff>0</xdr:colOff>
                    <xdr:row>3597</xdr:row>
                    <xdr:rowOff>165100</xdr:rowOff>
                  </to>
                </anchor>
              </controlPr>
            </control>
          </mc:Choice>
        </mc:AlternateContent>
        <mc:AlternateContent xmlns:mc="http://schemas.openxmlformats.org/markup-compatibility/2006">
          <mc:Choice Requires="x14">
            <control shapeId="1284" r:id="rId2117" name="Button 260">
              <controlPr defaultSize="0" autoFill="0" autoLine="0" autoPict="0" macro="[0]!Sheet1.deleteRow">
                <anchor moveWithCells="1" sizeWithCells="1">
                  <from>
                    <xdr:col>6</xdr:col>
                    <xdr:colOff>0</xdr:colOff>
                    <xdr:row>3598</xdr:row>
                    <xdr:rowOff>0</xdr:rowOff>
                  </from>
                  <to>
                    <xdr:col>7</xdr:col>
                    <xdr:colOff>0</xdr:colOff>
                    <xdr:row>3598</xdr:row>
                    <xdr:rowOff>165100</xdr:rowOff>
                  </to>
                </anchor>
              </controlPr>
            </control>
          </mc:Choice>
        </mc:AlternateContent>
        <mc:AlternateContent xmlns:mc="http://schemas.openxmlformats.org/markup-compatibility/2006">
          <mc:Choice Requires="x14">
            <control shapeId="1283" r:id="rId2118" name="Button 259">
              <controlPr defaultSize="0" autoFill="0" autoLine="0" autoPict="0" macro="[0]!Sheet1.deleteProcedure">
                <anchor moveWithCells="1" sizeWithCells="1">
                  <from>
                    <xdr:col>6</xdr:col>
                    <xdr:colOff>0</xdr:colOff>
                    <xdr:row>3601</xdr:row>
                    <xdr:rowOff>0</xdr:rowOff>
                  </from>
                  <to>
                    <xdr:col>7</xdr:col>
                    <xdr:colOff>0</xdr:colOff>
                    <xdr:row>3602</xdr:row>
                    <xdr:rowOff>0</xdr:rowOff>
                  </to>
                </anchor>
              </controlPr>
            </control>
          </mc:Choice>
        </mc:AlternateContent>
        <mc:AlternateContent xmlns:mc="http://schemas.openxmlformats.org/markup-compatibility/2006">
          <mc:Choice Requires="x14">
            <control shapeId="1282" r:id="rId2119" name="Button 258">
              <controlPr defaultSize="0" autoFill="0" autoLine="0" autoPict="0" macro="[0]!Sheet1.InsertNewTableRow">
                <anchor moveWithCells="1" sizeWithCells="1">
                  <from>
                    <xdr:col>6</xdr:col>
                    <xdr:colOff>0</xdr:colOff>
                    <xdr:row>3608</xdr:row>
                    <xdr:rowOff>0</xdr:rowOff>
                  </from>
                  <to>
                    <xdr:col>7</xdr:col>
                    <xdr:colOff>0</xdr:colOff>
                    <xdr:row>3608</xdr:row>
                    <xdr:rowOff>171450</xdr:rowOff>
                  </to>
                </anchor>
              </controlPr>
            </control>
          </mc:Choice>
        </mc:AlternateContent>
        <mc:AlternateContent xmlns:mc="http://schemas.openxmlformats.org/markup-compatibility/2006">
          <mc:Choice Requires="x14">
            <control shapeId="1281" r:id="rId2120" name="Button 257">
              <controlPr defaultSize="0" autoFill="0" autoLine="0" autoPict="0" macro="[0]!Sheet1.deleteRow">
                <anchor moveWithCells="1" sizeWithCells="1">
                  <from>
                    <xdr:col>6</xdr:col>
                    <xdr:colOff>0</xdr:colOff>
                    <xdr:row>3609</xdr:row>
                    <xdr:rowOff>0</xdr:rowOff>
                  </from>
                  <to>
                    <xdr:col>7</xdr:col>
                    <xdr:colOff>0</xdr:colOff>
                    <xdr:row>3609</xdr:row>
                    <xdr:rowOff>165100</xdr:rowOff>
                  </to>
                </anchor>
              </controlPr>
            </control>
          </mc:Choice>
        </mc:AlternateContent>
        <mc:AlternateContent xmlns:mc="http://schemas.openxmlformats.org/markup-compatibility/2006">
          <mc:Choice Requires="x14">
            <control shapeId="1280" r:id="rId2121" name="Button 256">
              <controlPr defaultSize="0" autoFill="0" autoLine="0" autoPict="0" macro="[0]!Sheet1.deleteProcedure">
                <anchor moveWithCells="1" sizeWithCells="1">
                  <from>
                    <xdr:col>6</xdr:col>
                    <xdr:colOff>0</xdr:colOff>
                    <xdr:row>3612</xdr:row>
                    <xdr:rowOff>0</xdr:rowOff>
                  </from>
                  <to>
                    <xdr:col>7</xdr:col>
                    <xdr:colOff>0</xdr:colOff>
                    <xdr:row>3613</xdr:row>
                    <xdr:rowOff>0</xdr:rowOff>
                  </to>
                </anchor>
              </controlPr>
            </control>
          </mc:Choice>
        </mc:AlternateContent>
        <mc:AlternateContent xmlns:mc="http://schemas.openxmlformats.org/markup-compatibility/2006">
          <mc:Choice Requires="x14">
            <control shapeId="1279" r:id="rId2122" name="Button 255">
              <controlPr defaultSize="0" autoFill="0" autoLine="0" autoPict="0" macro="[0]!Sheet1.InsertNewTableRow">
                <anchor moveWithCells="1" sizeWithCells="1">
                  <from>
                    <xdr:col>6</xdr:col>
                    <xdr:colOff>0</xdr:colOff>
                    <xdr:row>3619</xdr:row>
                    <xdr:rowOff>0</xdr:rowOff>
                  </from>
                  <to>
                    <xdr:col>7</xdr:col>
                    <xdr:colOff>0</xdr:colOff>
                    <xdr:row>3619</xdr:row>
                    <xdr:rowOff>171450</xdr:rowOff>
                  </to>
                </anchor>
              </controlPr>
            </control>
          </mc:Choice>
        </mc:AlternateContent>
        <mc:AlternateContent xmlns:mc="http://schemas.openxmlformats.org/markup-compatibility/2006">
          <mc:Choice Requires="x14">
            <control shapeId="1278" r:id="rId2123" name="Button 254">
              <controlPr defaultSize="0" autoFill="0" autoLine="0" autoPict="0" macro="[0]!Sheet1.deleteRow">
                <anchor moveWithCells="1" sizeWithCells="1">
                  <from>
                    <xdr:col>6</xdr:col>
                    <xdr:colOff>0</xdr:colOff>
                    <xdr:row>3620</xdr:row>
                    <xdr:rowOff>0</xdr:rowOff>
                  </from>
                  <to>
                    <xdr:col>7</xdr:col>
                    <xdr:colOff>0</xdr:colOff>
                    <xdr:row>3620</xdr:row>
                    <xdr:rowOff>165100</xdr:rowOff>
                  </to>
                </anchor>
              </controlPr>
            </control>
          </mc:Choice>
        </mc:AlternateContent>
        <mc:AlternateContent xmlns:mc="http://schemas.openxmlformats.org/markup-compatibility/2006">
          <mc:Choice Requires="x14">
            <control shapeId="1277" r:id="rId2124" name="Button 253">
              <controlPr defaultSize="0" autoFill="0" autoLine="0" autoPict="0" macro="[0]!Sheet1.deleteRow">
                <anchor moveWithCells="1" sizeWithCells="1">
                  <from>
                    <xdr:col>6</xdr:col>
                    <xdr:colOff>0</xdr:colOff>
                    <xdr:row>3621</xdr:row>
                    <xdr:rowOff>0</xdr:rowOff>
                  </from>
                  <to>
                    <xdr:col>7</xdr:col>
                    <xdr:colOff>0</xdr:colOff>
                    <xdr:row>3621</xdr:row>
                    <xdr:rowOff>165100</xdr:rowOff>
                  </to>
                </anchor>
              </controlPr>
            </control>
          </mc:Choice>
        </mc:AlternateContent>
        <mc:AlternateContent xmlns:mc="http://schemas.openxmlformats.org/markup-compatibility/2006">
          <mc:Choice Requires="x14">
            <control shapeId="1276" r:id="rId2125" name="Button 252">
              <controlPr defaultSize="0" autoFill="0" autoLine="0" autoPict="0" macro="[0]!Sheet1.deleteRow">
                <anchor moveWithCells="1" sizeWithCells="1">
                  <from>
                    <xdr:col>6</xdr:col>
                    <xdr:colOff>0</xdr:colOff>
                    <xdr:row>3622</xdr:row>
                    <xdr:rowOff>0</xdr:rowOff>
                  </from>
                  <to>
                    <xdr:col>7</xdr:col>
                    <xdr:colOff>0</xdr:colOff>
                    <xdr:row>3622</xdr:row>
                    <xdr:rowOff>165100</xdr:rowOff>
                  </to>
                </anchor>
              </controlPr>
            </control>
          </mc:Choice>
        </mc:AlternateContent>
        <mc:AlternateContent xmlns:mc="http://schemas.openxmlformats.org/markup-compatibility/2006">
          <mc:Choice Requires="x14">
            <control shapeId="1275" r:id="rId2126" name="Button 251">
              <controlPr defaultSize="0" autoFill="0" autoLine="0" autoPict="0" macro="[0]!Sheet1.deleteRow">
                <anchor moveWithCells="1" sizeWithCells="1">
                  <from>
                    <xdr:col>6</xdr:col>
                    <xdr:colOff>0</xdr:colOff>
                    <xdr:row>3623</xdr:row>
                    <xdr:rowOff>0</xdr:rowOff>
                  </from>
                  <to>
                    <xdr:col>7</xdr:col>
                    <xdr:colOff>0</xdr:colOff>
                    <xdr:row>3623</xdr:row>
                    <xdr:rowOff>165100</xdr:rowOff>
                  </to>
                </anchor>
              </controlPr>
            </control>
          </mc:Choice>
        </mc:AlternateContent>
        <mc:AlternateContent xmlns:mc="http://schemas.openxmlformats.org/markup-compatibility/2006">
          <mc:Choice Requires="x14">
            <control shapeId="1274" r:id="rId2127" name="Button 250">
              <controlPr defaultSize="0" autoFill="0" autoLine="0" autoPict="0" macro="[0]!Sheet1.deleteRow">
                <anchor moveWithCells="1" sizeWithCells="1">
                  <from>
                    <xdr:col>6</xdr:col>
                    <xdr:colOff>0</xdr:colOff>
                    <xdr:row>3624</xdr:row>
                    <xdr:rowOff>0</xdr:rowOff>
                  </from>
                  <to>
                    <xdr:col>7</xdr:col>
                    <xdr:colOff>0</xdr:colOff>
                    <xdr:row>3624</xdr:row>
                    <xdr:rowOff>165100</xdr:rowOff>
                  </to>
                </anchor>
              </controlPr>
            </control>
          </mc:Choice>
        </mc:AlternateContent>
        <mc:AlternateContent xmlns:mc="http://schemas.openxmlformats.org/markup-compatibility/2006">
          <mc:Choice Requires="x14">
            <control shapeId="1273" r:id="rId2128" name="Button 249">
              <controlPr defaultSize="0" autoFill="0" autoLine="0" autoPict="0" macro="[0]!Sheet1.deleteRow">
                <anchor moveWithCells="1" sizeWithCells="1">
                  <from>
                    <xdr:col>6</xdr:col>
                    <xdr:colOff>0</xdr:colOff>
                    <xdr:row>3625</xdr:row>
                    <xdr:rowOff>0</xdr:rowOff>
                  </from>
                  <to>
                    <xdr:col>7</xdr:col>
                    <xdr:colOff>0</xdr:colOff>
                    <xdr:row>3625</xdr:row>
                    <xdr:rowOff>165100</xdr:rowOff>
                  </to>
                </anchor>
              </controlPr>
            </control>
          </mc:Choice>
        </mc:AlternateContent>
        <mc:AlternateContent xmlns:mc="http://schemas.openxmlformats.org/markup-compatibility/2006">
          <mc:Choice Requires="x14">
            <control shapeId="1272" r:id="rId2129" name="Button 248">
              <controlPr defaultSize="0" autoFill="0" autoLine="0" autoPict="0" macro="[0]!Sheet1.deleteProcedure">
                <anchor moveWithCells="1" sizeWithCells="1">
                  <from>
                    <xdr:col>6</xdr:col>
                    <xdr:colOff>0</xdr:colOff>
                    <xdr:row>3628</xdr:row>
                    <xdr:rowOff>0</xdr:rowOff>
                  </from>
                  <to>
                    <xdr:col>7</xdr:col>
                    <xdr:colOff>0</xdr:colOff>
                    <xdr:row>3629</xdr:row>
                    <xdr:rowOff>0</xdr:rowOff>
                  </to>
                </anchor>
              </controlPr>
            </control>
          </mc:Choice>
        </mc:AlternateContent>
        <mc:AlternateContent xmlns:mc="http://schemas.openxmlformats.org/markup-compatibility/2006">
          <mc:Choice Requires="x14">
            <control shapeId="1271" r:id="rId2130" name="Button 247">
              <controlPr defaultSize="0" autoFill="0" autoLine="0" autoPict="0" macro="[0]!Sheet1.InsertNewTableRow">
                <anchor moveWithCells="1" sizeWithCells="1">
                  <from>
                    <xdr:col>6</xdr:col>
                    <xdr:colOff>0</xdr:colOff>
                    <xdr:row>3635</xdr:row>
                    <xdr:rowOff>0</xdr:rowOff>
                  </from>
                  <to>
                    <xdr:col>7</xdr:col>
                    <xdr:colOff>0</xdr:colOff>
                    <xdr:row>3635</xdr:row>
                    <xdr:rowOff>171450</xdr:rowOff>
                  </to>
                </anchor>
              </controlPr>
            </control>
          </mc:Choice>
        </mc:AlternateContent>
        <mc:AlternateContent xmlns:mc="http://schemas.openxmlformats.org/markup-compatibility/2006">
          <mc:Choice Requires="x14">
            <control shapeId="1270" r:id="rId2131" name="Button 246">
              <controlPr defaultSize="0" autoFill="0" autoLine="0" autoPict="0" macro="[0]!Sheet1.deleteRow">
                <anchor moveWithCells="1" sizeWithCells="1">
                  <from>
                    <xdr:col>6</xdr:col>
                    <xdr:colOff>0</xdr:colOff>
                    <xdr:row>3636</xdr:row>
                    <xdr:rowOff>0</xdr:rowOff>
                  </from>
                  <to>
                    <xdr:col>7</xdr:col>
                    <xdr:colOff>0</xdr:colOff>
                    <xdr:row>3636</xdr:row>
                    <xdr:rowOff>165100</xdr:rowOff>
                  </to>
                </anchor>
              </controlPr>
            </control>
          </mc:Choice>
        </mc:AlternateContent>
        <mc:AlternateContent xmlns:mc="http://schemas.openxmlformats.org/markup-compatibility/2006">
          <mc:Choice Requires="x14">
            <control shapeId="1269" r:id="rId2132" name="Button 245">
              <controlPr defaultSize="0" autoFill="0" autoLine="0" autoPict="0" macro="[0]!Sheet1.deleteRow">
                <anchor moveWithCells="1" sizeWithCells="1">
                  <from>
                    <xdr:col>6</xdr:col>
                    <xdr:colOff>0</xdr:colOff>
                    <xdr:row>3637</xdr:row>
                    <xdr:rowOff>0</xdr:rowOff>
                  </from>
                  <to>
                    <xdr:col>7</xdr:col>
                    <xdr:colOff>0</xdr:colOff>
                    <xdr:row>3637</xdr:row>
                    <xdr:rowOff>165100</xdr:rowOff>
                  </to>
                </anchor>
              </controlPr>
            </control>
          </mc:Choice>
        </mc:AlternateContent>
        <mc:AlternateContent xmlns:mc="http://schemas.openxmlformats.org/markup-compatibility/2006">
          <mc:Choice Requires="x14">
            <control shapeId="1268" r:id="rId2133" name="Button 244">
              <controlPr defaultSize="0" autoFill="0" autoLine="0" autoPict="0" macro="[0]!Sheet1.deleteProcedure">
                <anchor moveWithCells="1" sizeWithCells="1">
                  <from>
                    <xdr:col>6</xdr:col>
                    <xdr:colOff>0</xdr:colOff>
                    <xdr:row>3640</xdr:row>
                    <xdr:rowOff>0</xdr:rowOff>
                  </from>
                  <to>
                    <xdr:col>7</xdr:col>
                    <xdr:colOff>0</xdr:colOff>
                    <xdr:row>3641</xdr:row>
                    <xdr:rowOff>0</xdr:rowOff>
                  </to>
                </anchor>
              </controlPr>
            </control>
          </mc:Choice>
        </mc:AlternateContent>
        <mc:AlternateContent xmlns:mc="http://schemas.openxmlformats.org/markup-compatibility/2006">
          <mc:Choice Requires="x14">
            <control shapeId="1267" r:id="rId2134" name="Button 243">
              <controlPr defaultSize="0" autoFill="0" autoLine="0" autoPict="0" macro="[0]!Sheet1.InsertNewTableRow">
                <anchor moveWithCells="1" sizeWithCells="1">
                  <from>
                    <xdr:col>6</xdr:col>
                    <xdr:colOff>0</xdr:colOff>
                    <xdr:row>3647</xdr:row>
                    <xdr:rowOff>0</xdr:rowOff>
                  </from>
                  <to>
                    <xdr:col>7</xdr:col>
                    <xdr:colOff>0</xdr:colOff>
                    <xdr:row>3647</xdr:row>
                    <xdr:rowOff>171450</xdr:rowOff>
                  </to>
                </anchor>
              </controlPr>
            </control>
          </mc:Choice>
        </mc:AlternateContent>
        <mc:AlternateContent xmlns:mc="http://schemas.openxmlformats.org/markup-compatibility/2006">
          <mc:Choice Requires="x14">
            <control shapeId="1266" r:id="rId2135" name="Button 242">
              <controlPr defaultSize="0" autoFill="0" autoLine="0" autoPict="0" macro="[0]!Sheet1.deleteRow">
                <anchor moveWithCells="1" sizeWithCells="1">
                  <from>
                    <xdr:col>6</xdr:col>
                    <xdr:colOff>0</xdr:colOff>
                    <xdr:row>3648</xdr:row>
                    <xdr:rowOff>0</xdr:rowOff>
                  </from>
                  <to>
                    <xdr:col>7</xdr:col>
                    <xdr:colOff>0</xdr:colOff>
                    <xdr:row>3648</xdr:row>
                    <xdr:rowOff>165100</xdr:rowOff>
                  </to>
                </anchor>
              </controlPr>
            </control>
          </mc:Choice>
        </mc:AlternateContent>
        <mc:AlternateContent xmlns:mc="http://schemas.openxmlformats.org/markup-compatibility/2006">
          <mc:Choice Requires="x14">
            <control shapeId="1265" r:id="rId2136" name="Button 241">
              <controlPr defaultSize="0" autoFill="0" autoLine="0" autoPict="0" macro="[0]!Sheet1.deleteProcedure">
                <anchor moveWithCells="1" sizeWithCells="1">
                  <from>
                    <xdr:col>6</xdr:col>
                    <xdr:colOff>0</xdr:colOff>
                    <xdr:row>3651</xdr:row>
                    <xdr:rowOff>0</xdr:rowOff>
                  </from>
                  <to>
                    <xdr:col>7</xdr:col>
                    <xdr:colOff>0</xdr:colOff>
                    <xdr:row>3652</xdr:row>
                    <xdr:rowOff>0</xdr:rowOff>
                  </to>
                </anchor>
              </controlPr>
            </control>
          </mc:Choice>
        </mc:AlternateContent>
        <mc:AlternateContent xmlns:mc="http://schemas.openxmlformats.org/markup-compatibility/2006">
          <mc:Choice Requires="x14">
            <control shapeId="1264" r:id="rId2137" name="Button 240">
              <controlPr defaultSize="0" autoFill="0" autoLine="0" autoPict="0" macro="[0]!Sheet1.InsertNewTableRow">
                <anchor moveWithCells="1" sizeWithCells="1">
                  <from>
                    <xdr:col>6</xdr:col>
                    <xdr:colOff>0</xdr:colOff>
                    <xdr:row>3658</xdr:row>
                    <xdr:rowOff>0</xdr:rowOff>
                  </from>
                  <to>
                    <xdr:col>7</xdr:col>
                    <xdr:colOff>0</xdr:colOff>
                    <xdr:row>3658</xdr:row>
                    <xdr:rowOff>171450</xdr:rowOff>
                  </to>
                </anchor>
              </controlPr>
            </control>
          </mc:Choice>
        </mc:AlternateContent>
        <mc:AlternateContent xmlns:mc="http://schemas.openxmlformats.org/markup-compatibility/2006">
          <mc:Choice Requires="x14">
            <control shapeId="1263" r:id="rId2138" name="Button 239">
              <controlPr defaultSize="0" autoFill="0" autoLine="0" autoPict="0" macro="[0]!Sheet1.deleteRow">
                <anchor moveWithCells="1" sizeWithCells="1">
                  <from>
                    <xdr:col>6</xdr:col>
                    <xdr:colOff>0</xdr:colOff>
                    <xdr:row>3659</xdr:row>
                    <xdr:rowOff>0</xdr:rowOff>
                  </from>
                  <to>
                    <xdr:col>7</xdr:col>
                    <xdr:colOff>0</xdr:colOff>
                    <xdr:row>3659</xdr:row>
                    <xdr:rowOff>165100</xdr:rowOff>
                  </to>
                </anchor>
              </controlPr>
            </control>
          </mc:Choice>
        </mc:AlternateContent>
        <mc:AlternateContent xmlns:mc="http://schemas.openxmlformats.org/markup-compatibility/2006">
          <mc:Choice Requires="x14">
            <control shapeId="1262" r:id="rId2139" name="Button 238">
              <controlPr defaultSize="0" autoFill="0" autoLine="0" autoPict="0" macro="[0]!Sheet1.deleteRow">
                <anchor moveWithCells="1" sizeWithCells="1">
                  <from>
                    <xdr:col>6</xdr:col>
                    <xdr:colOff>0</xdr:colOff>
                    <xdr:row>3660</xdr:row>
                    <xdr:rowOff>0</xdr:rowOff>
                  </from>
                  <to>
                    <xdr:col>7</xdr:col>
                    <xdr:colOff>0</xdr:colOff>
                    <xdr:row>3660</xdr:row>
                    <xdr:rowOff>165100</xdr:rowOff>
                  </to>
                </anchor>
              </controlPr>
            </control>
          </mc:Choice>
        </mc:AlternateContent>
        <mc:AlternateContent xmlns:mc="http://schemas.openxmlformats.org/markup-compatibility/2006">
          <mc:Choice Requires="x14">
            <control shapeId="1261" r:id="rId2140" name="Button 237">
              <controlPr defaultSize="0" autoFill="0" autoLine="0" autoPict="0" macro="[0]!Sheet1.deleteProcedure">
                <anchor moveWithCells="1" sizeWithCells="1">
                  <from>
                    <xdr:col>6</xdr:col>
                    <xdr:colOff>0</xdr:colOff>
                    <xdr:row>3663</xdr:row>
                    <xdr:rowOff>0</xdr:rowOff>
                  </from>
                  <to>
                    <xdr:col>7</xdr:col>
                    <xdr:colOff>0</xdr:colOff>
                    <xdr:row>3664</xdr:row>
                    <xdr:rowOff>0</xdr:rowOff>
                  </to>
                </anchor>
              </controlPr>
            </control>
          </mc:Choice>
        </mc:AlternateContent>
        <mc:AlternateContent xmlns:mc="http://schemas.openxmlformats.org/markup-compatibility/2006">
          <mc:Choice Requires="x14">
            <control shapeId="1260" r:id="rId2141" name="Button 236">
              <controlPr defaultSize="0" autoFill="0" autoLine="0" autoPict="0" macro="[0]!Sheet1.InsertNewTableRow">
                <anchor moveWithCells="1" sizeWithCells="1">
                  <from>
                    <xdr:col>6</xdr:col>
                    <xdr:colOff>0</xdr:colOff>
                    <xdr:row>3670</xdr:row>
                    <xdr:rowOff>0</xdr:rowOff>
                  </from>
                  <to>
                    <xdr:col>7</xdr:col>
                    <xdr:colOff>0</xdr:colOff>
                    <xdr:row>3670</xdr:row>
                    <xdr:rowOff>171450</xdr:rowOff>
                  </to>
                </anchor>
              </controlPr>
            </control>
          </mc:Choice>
        </mc:AlternateContent>
        <mc:AlternateContent xmlns:mc="http://schemas.openxmlformats.org/markup-compatibility/2006">
          <mc:Choice Requires="x14">
            <control shapeId="1259" r:id="rId2142" name="Button 235">
              <controlPr defaultSize="0" autoFill="0" autoLine="0" autoPict="0" macro="[0]!Sheet1.deleteRow">
                <anchor moveWithCells="1" sizeWithCells="1">
                  <from>
                    <xdr:col>6</xdr:col>
                    <xdr:colOff>0</xdr:colOff>
                    <xdr:row>3671</xdr:row>
                    <xdr:rowOff>0</xdr:rowOff>
                  </from>
                  <to>
                    <xdr:col>7</xdr:col>
                    <xdr:colOff>0</xdr:colOff>
                    <xdr:row>3671</xdr:row>
                    <xdr:rowOff>165100</xdr:rowOff>
                  </to>
                </anchor>
              </controlPr>
            </control>
          </mc:Choice>
        </mc:AlternateContent>
        <mc:AlternateContent xmlns:mc="http://schemas.openxmlformats.org/markup-compatibility/2006">
          <mc:Choice Requires="x14">
            <control shapeId="1258" r:id="rId2143" name="Button 234">
              <controlPr defaultSize="0" autoFill="0" autoLine="0" autoPict="0" macro="[0]!Sheet1.deleteProcedure">
                <anchor moveWithCells="1" sizeWithCells="1">
                  <from>
                    <xdr:col>6</xdr:col>
                    <xdr:colOff>0</xdr:colOff>
                    <xdr:row>3674</xdr:row>
                    <xdr:rowOff>0</xdr:rowOff>
                  </from>
                  <to>
                    <xdr:col>7</xdr:col>
                    <xdr:colOff>0</xdr:colOff>
                    <xdr:row>3675</xdr:row>
                    <xdr:rowOff>0</xdr:rowOff>
                  </to>
                </anchor>
              </controlPr>
            </control>
          </mc:Choice>
        </mc:AlternateContent>
        <mc:AlternateContent xmlns:mc="http://schemas.openxmlformats.org/markup-compatibility/2006">
          <mc:Choice Requires="x14">
            <control shapeId="1257" r:id="rId2144" name="Button 233">
              <controlPr defaultSize="0" autoFill="0" autoLine="0" autoPict="0" macro="[0]!Sheet1.InsertNewTableRow">
                <anchor moveWithCells="1" sizeWithCells="1">
                  <from>
                    <xdr:col>6</xdr:col>
                    <xdr:colOff>0</xdr:colOff>
                    <xdr:row>3681</xdr:row>
                    <xdr:rowOff>0</xdr:rowOff>
                  </from>
                  <to>
                    <xdr:col>7</xdr:col>
                    <xdr:colOff>0</xdr:colOff>
                    <xdr:row>3681</xdr:row>
                    <xdr:rowOff>171450</xdr:rowOff>
                  </to>
                </anchor>
              </controlPr>
            </control>
          </mc:Choice>
        </mc:AlternateContent>
        <mc:AlternateContent xmlns:mc="http://schemas.openxmlformats.org/markup-compatibility/2006">
          <mc:Choice Requires="x14">
            <control shapeId="1256" r:id="rId2145" name="Button 232">
              <controlPr defaultSize="0" autoFill="0" autoLine="0" autoPict="0" macro="[0]!Sheet1.deleteRow">
                <anchor moveWithCells="1" sizeWithCells="1">
                  <from>
                    <xdr:col>6</xdr:col>
                    <xdr:colOff>0</xdr:colOff>
                    <xdr:row>3682</xdr:row>
                    <xdr:rowOff>0</xdr:rowOff>
                  </from>
                  <to>
                    <xdr:col>7</xdr:col>
                    <xdr:colOff>0</xdr:colOff>
                    <xdr:row>3682</xdr:row>
                    <xdr:rowOff>165100</xdr:rowOff>
                  </to>
                </anchor>
              </controlPr>
            </control>
          </mc:Choice>
        </mc:AlternateContent>
        <mc:AlternateContent xmlns:mc="http://schemas.openxmlformats.org/markup-compatibility/2006">
          <mc:Choice Requires="x14">
            <control shapeId="1255" r:id="rId2146" name="Button 231">
              <controlPr defaultSize="0" autoFill="0" autoLine="0" autoPict="0" macro="[0]!Sheet1.deleteRow">
                <anchor moveWithCells="1" sizeWithCells="1">
                  <from>
                    <xdr:col>6</xdr:col>
                    <xdr:colOff>0</xdr:colOff>
                    <xdr:row>3683</xdr:row>
                    <xdr:rowOff>0</xdr:rowOff>
                  </from>
                  <to>
                    <xdr:col>7</xdr:col>
                    <xdr:colOff>0</xdr:colOff>
                    <xdr:row>3683</xdr:row>
                    <xdr:rowOff>165100</xdr:rowOff>
                  </to>
                </anchor>
              </controlPr>
            </control>
          </mc:Choice>
        </mc:AlternateContent>
        <mc:AlternateContent xmlns:mc="http://schemas.openxmlformats.org/markup-compatibility/2006">
          <mc:Choice Requires="x14">
            <control shapeId="1254" r:id="rId2147" name="Button 230">
              <controlPr defaultSize="0" autoFill="0" autoLine="0" autoPict="0" macro="[0]!Sheet1.deleteProcedure">
                <anchor moveWithCells="1" sizeWithCells="1">
                  <from>
                    <xdr:col>6</xdr:col>
                    <xdr:colOff>0</xdr:colOff>
                    <xdr:row>3686</xdr:row>
                    <xdr:rowOff>0</xdr:rowOff>
                  </from>
                  <to>
                    <xdr:col>7</xdr:col>
                    <xdr:colOff>0</xdr:colOff>
                    <xdr:row>3687</xdr:row>
                    <xdr:rowOff>0</xdr:rowOff>
                  </to>
                </anchor>
              </controlPr>
            </control>
          </mc:Choice>
        </mc:AlternateContent>
        <mc:AlternateContent xmlns:mc="http://schemas.openxmlformats.org/markup-compatibility/2006">
          <mc:Choice Requires="x14">
            <control shapeId="1253" r:id="rId2148" name="Button 229">
              <controlPr defaultSize="0" autoFill="0" autoLine="0" autoPict="0" macro="[0]!Sheet1.InsertNewTableRow">
                <anchor moveWithCells="1" sizeWithCells="1">
                  <from>
                    <xdr:col>6</xdr:col>
                    <xdr:colOff>0</xdr:colOff>
                    <xdr:row>3693</xdr:row>
                    <xdr:rowOff>0</xdr:rowOff>
                  </from>
                  <to>
                    <xdr:col>7</xdr:col>
                    <xdr:colOff>0</xdr:colOff>
                    <xdr:row>3693</xdr:row>
                    <xdr:rowOff>171450</xdr:rowOff>
                  </to>
                </anchor>
              </controlPr>
            </control>
          </mc:Choice>
        </mc:AlternateContent>
        <mc:AlternateContent xmlns:mc="http://schemas.openxmlformats.org/markup-compatibility/2006">
          <mc:Choice Requires="x14">
            <control shapeId="1252" r:id="rId2149" name="Button 228">
              <controlPr defaultSize="0" autoFill="0" autoLine="0" autoPict="0" macro="[0]!Sheet1.deleteRow">
                <anchor moveWithCells="1" sizeWithCells="1">
                  <from>
                    <xdr:col>6</xdr:col>
                    <xdr:colOff>0</xdr:colOff>
                    <xdr:row>3694</xdr:row>
                    <xdr:rowOff>0</xdr:rowOff>
                  </from>
                  <to>
                    <xdr:col>7</xdr:col>
                    <xdr:colOff>0</xdr:colOff>
                    <xdr:row>3694</xdr:row>
                    <xdr:rowOff>165100</xdr:rowOff>
                  </to>
                </anchor>
              </controlPr>
            </control>
          </mc:Choice>
        </mc:AlternateContent>
        <mc:AlternateContent xmlns:mc="http://schemas.openxmlformats.org/markup-compatibility/2006">
          <mc:Choice Requires="x14">
            <control shapeId="1251" r:id="rId2150" name="Button 227">
              <controlPr defaultSize="0" autoFill="0" autoLine="0" autoPict="0" macro="[0]!Sheet1.deleteRow">
                <anchor moveWithCells="1" sizeWithCells="1">
                  <from>
                    <xdr:col>6</xdr:col>
                    <xdr:colOff>0</xdr:colOff>
                    <xdr:row>3695</xdr:row>
                    <xdr:rowOff>0</xdr:rowOff>
                  </from>
                  <to>
                    <xdr:col>7</xdr:col>
                    <xdr:colOff>0</xdr:colOff>
                    <xdr:row>3695</xdr:row>
                    <xdr:rowOff>165100</xdr:rowOff>
                  </to>
                </anchor>
              </controlPr>
            </control>
          </mc:Choice>
        </mc:AlternateContent>
        <mc:AlternateContent xmlns:mc="http://schemas.openxmlformats.org/markup-compatibility/2006">
          <mc:Choice Requires="x14">
            <control shapeId="1250" r:id="rId2151" name="Button 226">
              <controlPr defaultSize="0" autoFill="0" autoLine="0" autoPict="0" macro="[0]!Sheet1.deleteRow">
                <anchor moveWithCells="1" sizeWithCells="1">
                  <from>
                    <xdr:col>6</xdr:col>
                    <xdr:colOff>0</xdr:colOff>
                    <xdr:row>3696</xdr:row>
                    <xdr:rowOff>0</xdr:rowOff>
                  </from>
                  <to>
                    <xdr:col>7</xdr:col>
                    <xdr:colOff>0</xdr:colOff>
                    <xdr:row>3696</xdr:row>
                    <xdr:rowOff>165100</xdr:rowOff>
                  </to>
                </anchor>
              </controlPr>
            </control>
          </mc:Choice>
        </mc:AlternateContent>
        <mc:AlternateContent xmlns:mc="http://schemas.openxmlformats.org/markup-compatibility/2006">
          <mc:Choice Requires="x14">
            <control shapeId="1249" r:id="rId2152" name="Button 225">
              <controlPr defaultSize="0" autoFill="0" autoLine="0" autoPict="0" macro="[0]!Sheet1.deleteRow">
                <anchor moveWithCells="1" sizeWithCells="1">
                  <from>
                    <xdr:col>6</xdr:col>
                    <xdr:colOff>0</xdr:colOff>
                    <xdr:row>3697</xdr:row>
                    <xdr:rowOff>0</xdr:rowOff>
                  </from>
                  <to>
                    <xdr:col>7</xdr:col>
                    <xdr:colOff>0</xdr:colOff>
                    <xdr:row>3697</xdr:row>
                    <xdr:rowOff>165100</xdr:rowOff>
                  </to>
                </anchor>
              </controlPr>
            </control>
          </mc:Choice>
        </mc:AlternateContent>
        <mc:AlternateContent xmlns:mc="http://schemas.openxmlformats.org/markup-compatibility/2006">
          <mc:Choice Requires="x14">
            <control shapeId="1248" r:id="rId2153" name="Button 224">
              <controlPr defaultSize="0" autoFill="0" autoLine="0" autoPict="0" macro="[0]!Sheet1.deleteProcedure">
                <anchor moveWithCells="1" sizeWithCells="1">
                  <from>
                    <xdr:col>6</xdr:col>
                    <xdr:colOff>0</xdr:colOff>
                    <xdr:row>3700</xdr:row>
                    <xdr:rowOff>0</xdr:rowOff>
                  </from>
                  <to>
                    <xdr:col>7</xdr:col>
                    <xdr:colOff>0</xdr:colOff>
                    <xdr:row>3701</xdr:row>
                    <xdr:rowOff>0</xdr:rowOff>
                  </to>
                </anchor>
              </controlPr>
            </control>
          </mc:Choice>
        </mc:AlternateContent>
        <mc:AlternateContent xmlns:mc="http://schemas.openxmlformats.org/markup-compatibility/2006">
          <mc:Choice Requires="x14">
            <control shapeId="1247" r:id="rId2154" name="Button 223">
              <controlPr defaultSize="0" autoFill="0" autoLine="0" autoPict="0" macro="[0]!Sheet1.InsertNewTableRow">
                <anchor moveWithCells="1" sizeWithCells="1">
                  <from>
                    <xdr:col>6</xdr:col>
                    <xdr:colOff>0</xdr:colOff>
                    <xdr:row>3707</xdr:row>
                    <xdr:rowOff>0</xdr:rowOff>
                  </from>
                  <to>
                    <xdr:col>7</xdr:col>
                    <xdr:colOff>0</xdr:colOff>
                    <xdr:row>3707</xdr:row>
                    <xdr:rowOff>171450</xdr:rowOff>
                  </to>
                </anchor>
              </controlPr>
            </control>
          </mc:Choice>
        </mc:AlternateContent>
        <mc:AlternateContent xmlns:mc="http://schemas.openxmlformats.org/markup-compatibility/2006">
          <mc:Choice Requires="x14">
            <control shapeId="1246" r:id="rId2155" name="Button 222">
              <controlPr defaultSize="0" autoFill="0" autoLine="0" autoPict="0" macro="[0]!Sheet1.deleteRow">
                <anchor moveWithCells="1" sizeWithCells="1">
                  <from>
                    <xdr:col>6</xdr:col>
                    <xdr:colOff>0</xdr:colOff>
                    <xdr:row>3708</xdr:row>
                    <xdr:rowOff>0</xdr:rowOff>
                  </from>
                  <to>
                    <xdr:col>7</xdr:col>
                    <xdr:colOff>0</xdr:colOff>
                    <xdr:row>3708</xdr:row>
                    <xdr:rowOff>165100</xdr:rowOff>
                  </to>
                </anchor>
              </controlPr>
            </control>
          </mc:Choice>
        </mc:AlternateContent>
        <mc:AlternateContent xmlns:mc="http://schemas.openxmlformats.org/markup-compatibility/2006">
          <mc:Choice Requires="x14">
            <control shapeId="1245" r:id="rId2156" name="Button 221">
              <controlPr defaultSize="0" autoFill="0" autoLine="0" autoPict="0" macro="[0]!Sheet1.deleteProcedure">
                <anchor moveWithCells="1" sizeWithCells="1">
                  <from>
                    <xdr:col>6</xdr:col>
                    <xdr:colOff>0</xdr:colOff>
                    <xdr:row>3711</xdr:row>
                    <xdr:rowOff>0</xdr:rowOff>
                  </from>
                  <to>
                    <xdr:col>7</xdr:col>
                    <xdr:colOff>0</xdr:colOff>
                    <xdr:row>3712</xdr:row>
                    <xdr:rowOff>0</xdr:rowOff>
                  </to>
                </anchor>
              </controlPr>
            </control>
          </mc:Choice>
        </mc:AlternateContent>
        <mc:AlternateContent xmlns:mc="http://schemas.openxmlformats.org/markup-compatibility/2006">
          <mc:Choice Requires="x14">
            <control shapeId="1244" r:id="rId2157" name="Button 220">
              <controlPr defaultSize="0" autoFill="0" autoLine="0" autoPict="0" macro="[0]!Sheet1.InsertNewTableRow">
                <anchor moveWithCells="1" sizeWithCells="1">
                  <from>
                    <xdr:col>6</xdr:col>
                    <xdr:colOff>0</xdr:colOff>
                    <xdr:row>3718</xdr:row>
                    <xdr:rowOff>0</xdr:rowOff>
                  </from>
                  <to>
                    <xdr:col>7</xdr:col>
                    <xdr:colOff>0</xdr:colOff>
                    <xdr:row>3718</xdr:row>
                    <xdr:rowOff>171450</xdr:rowOff>
                  </to>
                </anchor>
              </controlPr>
            </control>
          </mc:Choice>
        </mc:AlternateContent>
        <mc:AlternateContent xmlns:mc="http://schemas.openxmlformats.org/markup-compatibility/2006">
          <mc:Choice Requires="x14">
            <control shapeId="1243" r:id="rId2158" name="Button 219">
              <controlPr defaultSize="0" autoFill="0" autoLine="0" autoPict="0" macro="[0]!Sheet1.deleteRow">
                <anchor moveWithCells="1" sizeWithCells="1">
                  <from>
                    <xdr:col>6</xdr:col>
                    <xdr:colOff>0</xdr:colOff>
                    <xdr:row>3719</xdr:row>
                    <xdr:rowOff>0</xdr:rowOff>
                  </from>
                  <to>
                    <xdr:col>7</xdr:col>
                    <xdr:colOff>0</xdr:colOff>
                    <xdr:row>3719</xdr:row>
                    <xdr:rowOff>165100</xdr:rowOff>
                  </to>
                </anchor>
              </controlPr>
            </control>
          </mc:Choice>
        </mc:AlternateContent>
        <mc:AlternateContent xmlns:mc="http://schemas.openxmlformats.org/markup-compatibility/2006">
          <mc:Choice Requires="x14">
            <control shapeId="1242" r:id="rId2159" name="Button 218">
              <controlPr defaultSize="0" autoFill="0" autoLine="0" autoPict="0" macro="[0]!Sheet1.deleteProcedure">
                <anchor moveWithCells="1" sizeWithCells="1">
                  <from>
                    <xdr:col>6</xdr:col>
                    <xdr:colOff>0</xdr:colOff>
                    <xdr:row>3722</xdr:row>
                    <xdr:rowOff>0</xdr:rowOff>
                  </from>
                  <to>
                    <xdr:col>7</xdr:col>
                    <xdr:colOff>0</xdr:colOff>
                    <xdr:row>3723</xdr:row>
                    <xdr:rowOff>0</xdr:rowOff>
                  </to>
                </anchor>
              </controlPr>
            </control>
          </mc:Choice>
        </mc:AlternateContent>
        <mc:AlternateContent xmlns:mc="http://schemas.openxmlformats.org/markup-compatibility/2006">
          <mc:Choice Requires="x14">
            <control shapeId="1241" r:id="rId2160" name="Button 217">
              <controlPr defaultSize="0" autoFill="0" autoLine="0" autoPict="0" macro="[0]!Sheet1.InsertNewTableRow">
                <anchor moveWithCells="1" sizeWithCells="1">
                  <from>
                    <xdr:col>6</xdr:col>
                    <xdr:colOff>0</xdr:colOff>
                    <xdr:row>3729</xdr:row>
                    <xdr:rowOff>0</xdr:rowOff>
                  </from>
                  <to>
                    <xdr:col>7</xdr:col>
                    <xdr:colOff>0</xdr:colOff>
                    <xdr:row>3729</xdr:row>
                    <xdr:rowOff>171450</xdr:rowOff>
                  </to>
                </anchor>
              </controlPr>
            </control>
          </mc:Choice>
        </mc:AlternateContent>
        <mc:AlternateContent xmlns:mc="http://schemas.openxmlformats.org/markup-compatibility/2006">
          <mc:Choice Requires="x14">
            <control shapeId="1240" r:id="rId2161" name="Button 216">
              <controlPr defaultSize="0" autoFill="0" autoLine="0" autoPict="0" macro="[0]!Sheet1.deleteRow">
                <anchor moveWithCells="1" sizeWithCells="1">
                  <from>
                    <xdr:col>6</xdr:col>
                    <xdr:colOff>0</xdr:colOff>
                    <xdr:row>3730</xdr:row>
                    <xdr:rowOff>0</xdr:rowOff>
                  </from>
                  <to>
                    <xdr:col>7</xdr:col>
                    <xdr:colOff>0</xdr:colOff>
                    <xdr:row>3730</xdr:row>
                    <xdr:rowOff>165100</xdr:rowOff>
                  </to>
                </anchor>
              </controlPr>
            </control>
          </mc:Choice>
        </mc:AlternateContent>
        <mc:AlternateContent xmlns:mc="http://schemas.openxmlformats.org/markup-compatibility/2006">
          <mc:Choice Requires="x14">
            <control shapeId="1239" r:id="rId2162" name="Button 215">
              <controlPr defaultSize="0" autoFill="0" autoLine="0" autoPict="0" macro="[0]!Sheet1.deleteProcedure">
                <anchor moveWithCells="1" sizeWithCells="1">
                  <from>
                    <xdr:col>6</xdr:col>
                    <xdr:colOff>0</xdr:colOff>
                    <xdr:row>3733</xdr:row>
                    <xdr:rowOff>0</xdr:rowOff>
                  </from>
                  <to>
                    <xdr:col>7</xdr:col>
                    <xdr:colOff>0</xdr:colOff>
                    <xdr:row>3734</xdr:row>
                    <xdr:rowOff>0</xdr:rowOff>
                  </to>
                </anchor>
              </controlPr>
            </control>
          </mc:Choice>
        </mc:AlternateContent>
        <mc:AlternateContent xmlns:mc="http://schemas.openxmlformats.org/markup-compatibility/2006">
          <mc:Choice Requires="x14">
            <control shapeId="1238" r:id="rId2163" name="Button 214">
              <controlPr defaultSize="0" autoFill="0" autoLine="0" autoPict="0" macro="[0]!Sheet1.InsertNewTableRow">
                <anchor moveWithCells="1" sizeWithCells="1">
                  <from>
                    <xdr:col>6</xdr:col>
                    <xdr:colOff>0</xdr:colOff>
                    <xdr:row>3740</xdr:row>
                    <xdr:rowOff>0</xdr:rowOff>
                  </from>
                  <to>
                    <xdr:col>7</xdr:col>
                    <xdr:colOff>0</xdr:colOff>
                    <xdr:row>3740</xdr:row>
                    <xdr:rowOff>171450</xdr:rowOff>
                  </to>
                </anchor>
              </controlPr>
            </control>
          </mc:Choice>
        </mc:AlternateContent>
        <mc:AlternateContent xmlns:mc="http://schemas.openxmlformats.org/markup-compatibility/2006">
          <mc:Choice Requires="x14">
            <control shapeId="1237" r:id="rId2164" name="Button 213">
              <controlPr defaultSize="0" autoFill="0" autoLine="0" autoPict="0" macro="[0]!Sheet1.deleteRow">
                <anchor moveWithCells="1" sizeWithCells="1">
                  <from>
                    <xdr:col>6</xdr:col>
                    <xdr:colOff>0</xdr:colOff>
                    <xdr:row>3741</xdr:row>
                    <xdr:rowOff>0</xdr:rowOff>
                  </from>
                  <to>
                    <xdr:col>7</xdr:col>
                    <xdr:colOff>0</xdr:colOff>
                    <xdr:row>3741</xdr:row>
                    <xdr:rowOff>165100</xdr:rowOff>
                  </to>
                </anchor>
              </controlPr>
            </control>
          </mc:Choice>
        </mc:AlternateContent>
        <mc:AlternateContent xmlns:mc="http://schemas.openxmlformats.org/markup-compatibility/2006">
          <mc:Choice Requires="x14">
            <control shapeId="1236" r:id="rId2165" name="Button 212">
              <controlPr defaultSize="0" autoFill="0" autoLine="0" autoPict="0" macro="[0]!Sheet1.deleteRow">
                <anchor moveWithCells="1" sizeWithCells="1">
                  <from>
                    <xdr:col>6</xdr:col>
                    <xdr:colOff>0</xdr:colOff>
                    <xdr:row>3742</xdr:row>
                    <xdr:rowOff>0</xdr:rowOff>
                  </from>
                  <to>
                    <xdr:col>7</xdr:col>
                    <xdr:colOff>0</xdr:colOff>
                    <xdr:row>3742</xdr:row>
                    <xdr:rowOff>165100</xdr:rowOff>
                  </to>
                </anchor>
              </controlPr>
            </control>
          </mc:Choice>
        </mc:AlternateContent>
        <mc:AlternateContent xmlns:mc="http://schemas.openxmlformats.org/markup-compatibility/2006">
          <mc:Choice Requires="x14">
            <control shapeId="1235" r:id="rId2166" name="Button 211">
              <controlPr defaultSize="0" autoFill="0" autoLine="0" autoPict="0" macro="[0]!Sheet1.deleteRow">
                <anchor moveWithCells="1" sizeWithCells="1">
                  <from>
                    <xdr:col>6</xdr:col>
                    <xdr:colOff>0</xdr:colOff>
                    <xdr:row>3743</xdr:row>
                    <xdr:rowOff>0</xdr:rowOff>
                  </from>
                  <to>
                    <xdr:col>7</xdr:col>
                    <xdr:colOff>0</xdr:colOff>
                    <xdr:row>3743</xdr:row>
                    <xdr:rowOff>165100</xdr:rowOff>
                  </to>
                </anchor>
              </controlPr>
            </control>
          </mc:Choice>
        </mc:AlternateContent>
        <mc:AlternateContent xmlns:mc="http://schemas.openxmlformats.org/markup-compatibility/2006">
          <mc:Choice Requires="x14">
            <control shapeId="1234" r:id="rId2167" name="Button 210">
              <controlPr defaultSize="0" autoFill="0" autoLine="0" autoPict="0" macro="[0]!Sheet1.deleteRow">
                <anchor moveWithCells="1" sizeWithCells="1">
                  <from>
                    <xdr:col>6</xdr:col>
                    <xdr:colOff>0</xdr:colOff>
                    <xdr:row>3744</xdr:row>
                    <xdr:rowOff>0</xdr:rowOff>
                  </from>
                  <to>
                    <xdr:col>7</xdr:col>
                    <xdr:colOff>0</xdr:colOff>
                    <xdr:row>3744</xdr:row>
                    <xdr:rowOff>165100</xdr:rowOff>
                  </to>
                </anchor>
              </controlPr>
            </control>
          </mc:Choice>
        </mc:AlternateContent>
        <mc:AlternateContent xmlns:mc="http://schemas.openxmlformats.org/markup-compatibility/2006">
          <mc:Choice Requires="x14">
            <control shapeId="1233" r:id="rId2168" name="Button 209">
              <controlPr defaultSize="0" autoFill="0" autoLine="0" autoPict="0" macro="[0]!Sheet1.deleteRow">
                <anchor moveWithCells="1" sizeWithCells="1">
                  <from>
                    <xdr:col>6</xdr:col>
                    <xdr:colOff>0</xdr:colOff>
                    <xdr:row>3745</xdr:row>
                    <xdr:rowOff>0</xdr:rowOff>
                  </from>
                  <to>
                    <xdr:col>7</xdr:col>
                    <xdr:colOff>0</xdr:colOff>
                    <xdr:row>3745</xdr:row>
                    <xdr:rowOff>165100</xdr:rowOff>
                  </to>
                </anchor>
              </controlPr>
            </control>
          </mc:Choice>
        </mc:AlternateContent>
        <mc:AlternateContent xmlns:mc="http://schemas.openxmlformats.org/markup-compatibility/2006">
          <mc:Choice Requires="x14">
            <control shapeId="1232" r:id="rId2169" name="Button 208">
              <controlPr defaultSize="0" autoFill="0" autoLine="0" autoPict="0" macro="[0]!Sheet1.deleteRow">
                <anchor moveWithCells="1" sizeWithCells="1">
                  <from>
                    <xdr:col>6</xdr:col>
                    <xdr:colOff>0</xdr:colOff>
                    <xdr:row>3746</xdr:row>
                    <xdr:rowOff>0</xdr:rowOff>
                  </from>
                  <to>
                    <xdr:col>7</xdr:col>
                    <xdr:colOff>0</xdr:colOff>
                    <xdr:row>3746</xdr:row>
                    <xdr:rowOff>165100</xdr:rowOff>
                  </to>
                </anchor>
              </controlPr>
            </control>
          </mc:Choice>
        </mc:AlternateContent>
        <mc:AlternateContent xmlns:mc="http://schemas.openxmlformats.org/markup-compatibility/2006">
          <mc:Choice Requires="x14">
            <control shapeId="13311" r:id="rId2170" name="Button 2047">
              <controlPr defaultSize="0" autoFill="0" autoLine="0" autoPict="0" macro="[0]!Sheet1.deleteRow">
                <anchor moveWithCells="1" sizeWithCells="1">
                  <from>
                    <xdr:col>6</xdr:col>
                    <xdr:colOff>0</xdr:colOff>
                    <xdr:row>3747</xdr:row>
                    <xdr:rowOff>0</xdr:rowOff>
                  </from>
                  <to>
                    <xdr:col>7</xdr:col>
                    <xdr:colOff>0</xdr:colOff>
                    <xdr:row>3747</xdr:row>
                    <xdr:rowOff>165100</xdr:rowOff>
                  </to>
                </anchor>
              </controlPr>
            </control>
          </mc:Choice>
        </mc:AlternateContent>
        <mc:AlternateContent xmlns:mc="http://schemas.openxmlformats.org/markup-compatibility/2006">
          <mc:Choice Requires="x14">
            <control shapeId="13310" r:id="rId2171" name="Button 2046">
              <controlPr defaultSize="0" autoFill="0" autoLine="0" autoPict="0" macro="[0]!Sheet1.deleteRow">
                <anchor moveWithCells="1" sizeWithCells="1">
                  <from>
                    <xdr:col>6</xdr:col>
                    <xdr:colOff>0</xdr:colOff>
                    <xdr:row>3748</xdr:row>
                    <xdr:rowOff>0</xdr:rowOff>
                  </from>
                  <to>
                    <xdr:col>7</xdr:col>
                    <xdr:colOff>0</xdr:colOff>
                    <xdr:row>3748</xdr:row>
                    <xdr:rowOff>165100</xdr:rowOff>
                  </to>
                </anchor>
              </controlPr>
            </control>
          </mc:Choice>
        </mc:AlternateContent>
        <mc:AlternateContent xmlns:mc="http://schemas.openxmlformats.org/markup-compatibility/2006">
          <mc:Choice Requires="x14">
            <control shapeId="13309" r:id="rId2172" name="Button 2045">
              <controlPr defaultSize="0" autoFill="0" autoLine="0" autoPict="0" macro="[0]!Sheet1.deleteRow">
                <anchor moveWithCells="1" sizeWithCells="1">
                  <from>
                    <xdr:col>6</xdr:col>
                    <xdr:colOff>0</xdr:colOff>
                    <xdr:row>3749</xdr:row>
                    <xdr:rowOff>0</xdr:rowOff>
                  </from>
                  <to>
                    <xdr:col>7</xdr:col>
                    <xdr:colOff>0</xdr:colOff>
                    <xdr:row>3749</xdr:row>
                    <xdr:rowOff>165100</xdr:rowOff>
                  </to>
                </anchor>
              </controlPr>
            </control>
          </mc:Choice>
        </mc:AlternateContent>
        <mc:AlternateContent xmlns:mc="http://schemas.openxmlformats.org/markup-compatibility/2006">
          <mc:Choice Requires="x14">
            <control shapeId="13308" r:id="rId2173" name="Button 2044">
              <controlPr defaultSize="0" autoFill="0" autoLine="0" autoPict="0" macro="[0]!Sheet1.deleteProcedure">
                <anchor moveWithCells="1" sizeWithCells="1">
                  <from>
                    <xdr:col>6</xdr:col>
                    <xdr:colOff>0</xdr:colOff>
                    <xdr:row>3752</xdr:row>
                    <xdr:rowOff>0</xdr:rowOff>
                  </from>
                  <to>
                    <xdr:col>7</xdr:col>
                    <xdr:colOff>0</xdr:colOff>
                    <xdr:row>3753</xdr:row>
                    <xdr:rowOff>0</xdr:rowOff>
                  </to>
                </anchor>
              </controlPr>
            </control>
          </mc:Choice>
        </mc:AlternateContent>
        <mc:AlternateContent xmlns:mc="http://schemas.openxmlformats.org/markup-compatibility/2006">
          <mc:Choice Requires="x14">
            <control shapeId="13307" r:id="rId2174" name="Button 2043">
              <controlPr defaultSize="0" autoFill="0" autoLine="0" autoPict="0" macro="[0]!Sheet1.InsertNewTableRow">
                <anchor moveWithCells="1" sizeWithCells="1">
                  <from>
                    <xdr:col>6</xdr:col>
                    <xdr:colOff>0</xdr:colOff>
                    <xdr:row>3759</xdr:row>
                    <xdr:rowOff>0</xdr:rowOff>
                  </from>
                  <to>
                    <xdr:col>7</xdr:col>
                    <xdr:colOff>0</xdr:colOff>
                    <xdr:row>3759</xdr:row>
                    <xdr:rowOff>171450</xdr:rowOff>
                  </to>
                </anchor>
              </controlPr>
            </control>
          </mc:Choice>
        </mc:AlternateContent>
        <mc:AlternateContent xmlns:mc="http://schemas.openxmlformats.org/markup-compatibility/2006">
          <mc:Choice Requires="x14">
            <control shapeId="13306" r:id="rId2175" name="Button 2042">
              <controlPr defaultSize="0" autoFill="0" autoLine="0" autoPict="0" macro="[0]!Sheet1.deleteRow">
                <anchor moveWithCells="1" sizeWithCells="1">
                  <from>
                    <xdr:col>6</xdr:col>
                    <xdr:colOff>0</xdr:colOff>
                    <xdr:row>3760</xdr:row>
                    <xdr:rowOff>0</xdr:rowOff>
                  </from>
                  <to>
                    <xdr:col>7</xdr:col>
                    <xdr:colOff>0</xdr:colOff>
                    <xdr:row>3760</xdr:row>
                    <xdr:rowOff>165100</xdr:rowOff>
                  </to>
                </anchor>
              </controlPr>
            </control>
          </mc:Choice>
        </mc:AlternateContent>
        <mc:AlternateContent xmlns:mc="http://schemas.openxmlformats.org/markup-compatibility/2006">
          <mc:Choice Requires="x14">
            <control shapeId="13305" r:id="rId2176" name="Button 2041">
              <controlPr defaultSize="0" autoFill="0" autoLine="0" autoPict="0" macro="[0]!Sheet1.deleteRow">
                <anchor moveWithCells="1" sizeWithCells="1">
                  <from>
                    <xdr:col>6</xdr:col>
                    <xdr:colOff>0</xdr:colOff>
                    <xdr:row>3761</xdr:row>
                    <xdr:rowOff>0</xdr:rowOff>
                  </from>
                  <to>
                    <xdr:col>7</xdr:col>
                    <xdr:colOff>0</xdr:colOff>
                    <xdr:row>3761</xdr:row>
                    <xdr:rowOff>165100</xdr:rowOff>
                  </to>
                </anchor>
              </controlPr>
            </control>
          </mc:Choice>
        </mc:AlternateContent>
        <mc:AlternateContent xmlns:mc="http://schemas.openxmlformats.org/markup-compatibility/2006">
          <mc:Choice Requires="x14">
            <control shapeId="13304" r:id="rId2177" name="Button 2040">
              <controlPr defaultSize="0" autoFill="0" autoLine="0" autoPict="0" macro="[0]!Sheet1.deleteRow">
                <anchor moveWithCells="1" sizeWithCells="1">
                  <from>
                    <xdr:col>6</xdr:col>
                    <xdr:colOff>0</xdr:colOff>
                    <xdr:row>3762</xdr:row>
                    <xdr:rowOff>0</xdr:rowOff>
                  </from>
                  <to>
                    <xdr:col>7</xdr:col>
                    <xdr:colOff>0</xdr:colOff>
                    <xdr:row>3762</xdr:row>
                    <xdr:rowOff>165100</xdr:rowOff>
                  </to>
                </anchor>
              </controlPr>
            </control>
          </mc:Choice>
        </mc:AlternateContent>
        <mc:AlternateContent xmlns:mc="http://schemas.openxmlformats.org/markup-compatibility/2006">
          <mc:Choice Requires="x14">
            <control shapeId="13303" r:id="rId2178" name="Button 2039">
              <controlPr defaultSize="0" autoFill="0" autoLine="0" autoPict="0" macro="[0]!Sheet1.deleteRow">
                <anchor moveWithCells="1" sizeWithCells="1">
                  <from>
                    <xdr:col>6</xdr:col>
                    <xdr:colOff>0</xdr:colOff>
                    <xdr:row>3763</xdr:row>
                    <xdr:rowOff>0</xdr:rowOff>
                  </from>
                  <to>
                    <xdr:col>7</xdr:col>
                    <xdr:colOff>0</xdr:colOff>
                    <xdr:row>3763</xdr:row>
                    <xdr:rowOff>165100</xdr:rowOff>
                  </to>
                </anchor>
              </controlPr>
            </control>
          </mc:Choice>
        </mc:AlternateContent>
        <mc:AlternateContent xmlns:mc="http://schemas.openxmlformats.org/markup-compatibility/2006">
          <mc:Choice Requires="x14">
            <control shapeId="13302" r:id="rId2179" name="Button 2038">
              <controlPr defaultSize="0" autoFill="0" autoLine="0" autoPict="0" macro="[0]!Sheet1.deleteRow">
                <anchor moveWithCells="1" sizeWithCells="1">
                  <from>
                    <xdr:col>6</xdr:col>
                    <xdr:colOff>0</xdr:colOff>
                    <xdr:row>3764</xdr:row>
                    <xdr:rowOff>0</xdr:rowOff>
                  </from>
                  <to>
                    <xdr:col>7</xdr:col>
                    <xdr:colOff>0</xdr:colOff>
                    <xdr:row>3764</xdr:row>
                    <xdr:rowOff>165100</xdr:rowOff>
                  </to>
                </anchor>
              </controlPr>
            </control>
          </mc:Choice>
        </mc:AlternateContent>
        <mc:AlternateContent xmlns:mc="http://schemas.openxmlformats.org/markup-compatibility/2006">
          <mc:Choice Requires="x14">
            <control shapeId="13301" r:id="rId2180" name="Button 2037">
              <controlPr defaultSize="0" autoFill="0" autoLine="0" autoPict="0" macro="[0]!Sheet1.deleteRow">
                <anchor moveWithCells="1" sizeWithCells="1">
                  <from>
                    <xdr:col>6</xdr:col>
                    <xdr:colOff>0</xdr:colOff>
                    <xdr:row>3765</xdr:row>
                    <xdr:rowOff>0</xdr:rowOff>
                  </from>
                  <to>
                    <xdr:col>7</xdr:col>
                    <xdr:colOff>0</xdr:colOff>
                    <xdr:row>3765</xdr:row>
                    <xdr:rowOff>165100</xdr:rowOff>
                  </to>
                </anchor>
              </controlPr>
            </control>
          </mc:Choice>
        </mc:AlternateContent>
        <mc:AlternateContent xmlns:mc="http://schemas.openxmlformats.org/markup-compatibility/2006">
          <mc:Choice Requires="x14">
            <control shapeId="13300" r:id="rId2181" name="Button 2036">
              <controlPr defaultSize="0" autoFill="0" autoLine="0" autoPict="0" macro="[0]!Sheet1.deleteRow">
                <anchor moveWithCells="1" sizeWithCells="1">
                  <from>
                    <xdr:col>6</xdr:col>
                    <xdr:colOff>0</xdr:colOff>
                    <xdr:row>3766</xdr:row>
                    <xdr:rowOff>0</xdr:rowOff>
                  </from>
                  <to>
                    <xdr:col>7</xdr:col>
                    <xdr:colOff>0</xdr:colOff>
                    <xdr:row>3766</xdr:row>
                    <xdr:rowOff>165100</xdr:rowOff>
                  </to>
                </anchor>
              </controlPr>
            </control>
          </mc:Choice>
        </mc:AlternateContent>
        <mc:AlternateContent xmlns:mc="http://schemas.openxmlformats.org/markup-compatibility/2006">
          <mc:Choice Requires="x14">
            <control shapeId="13299" r:id="rId2182" name="Button 2035">
              <controlPr defaultSize="0" autoFill="0" autoLine="0" autoPict="0" macro="[0]!Sheet1.deleteRow">
                <anchor moveWithCells="1" sizeWithCells="1">
                  <from>
                    <xdr:col>6</xdr:col>
                    <xdr:colOff>0</xdr:colOff>
                    <xdr:row>3767</xdr:row>
                    <xdr:rowOff>0</xdr:rowOff>
                  </from>
                  <to>
                    <xdr:col>7</xdr:col>
                    <xdr:colOff>0</xdr:colOff>
                    <xdr:row>3767</xdr:row>
                    <xdr:rowOff>165100</xdr:rowOff>
                  </to>
                </anchor>
              </controlPr>
            </control>
          </mc:Choice>
        </mc:AlternateContent>
        <mc:AlternateContent xmlns:mc="http://schemas.openxmlformats.org/markup-compatibility/2006">
          <mc:Choice Requires="x14">
            <control shapeId="13298" r:id="rId2183" name="Button 2034">
              <controlPr defaultSize="0" autoFill="0" autoLine="0" autoPict="0" macro="[0]!Sheet1.deleteRow">
                <anchor moveWithCells="1" sizeWithCells="1">
                  <from>
                    <xdr:col>6</xdr:col>
                    <xdr:colOff>0</xdr:colOff>
                    <xdr:row>3768</xdr:row>
                    <xdr:rowOff>0</xdr:rowOff>
                  </from>
                  <to>
                    <xdr:col>7</xdr:col>
                    <xdr:colOff>0</xdr:colOff>
                    <xdr:row>3768</xdr:row>
                    <xdr:rowOff>165100</xdr:rowOff>
                  </to>
                </anchor>
              </controlPr>
            </control>
          </mc:Choice>
        </mc:AlternateContent>
        <mc:AlternateContent xmlns:mc="http://schemas.openxmlformats.org/markup-compatibility/2006">
          <mc:Choice Requires="x14">
            <control shapeId="13297" r:id="rId2184" name="Button 2033">
              <controlPr defaultSize="0" autoFill="0" autoLine="0" autoPict="0" macro="[0]!Sheet1.deleteRow">
                <anchor moveWithCells="1" sizeWithCells="1">
                  <from>
                    <xdr:col>6</xdr:col>
                    <xdr:colOff>0</xdr:colOff>
                    <xdr:row>3769</xdr:row>
                    <xdr:rowOff>0</xdr:rowOff>
                  </from>
                  <to>
                    <xdr:col>7</xdr:col>
                    <xdr:colOff>0</xdr:colOff>
                    <xdr:row>3769</xdr:row>
                    <xdr:rowOff>165100</xdr:rowOff>
                  </to>
                </anchor>
              </controlPr>
            </control>
          </mc:Choice>
        </mc:AlternateContent>
        <mc:AlternateContent xmlns:mc="http://schemas.openxmlformats.org/markup-compatibility/2006">
          <mc:Choice Requires="x14">
            <control shapeId="13296" r:id="rId2185" name="Button 2032">
              <controlPr defaultSize="0" autoFill="0" autoLine="0" autoPict="0" macro="[0]!Sheet1.deleteRow">
                <anchor moveWithCells="1" sizeWithCells="1">
                  <from>
                    <xdr:col>6</xdr:col>
                    <xdr:colOff>0</xdr:colOff>
                    <xdr:row>3770</xdr:row>
                    <xdr:rowOff>0</xdr:rowOff>
                  </from>
                  <to>
                    <xdr:col>7</xdr:col>
                    <xdr:colOff>0</xdr:colOff>
                    <xdr:row>3770</xdr:row>
                    <xdr:rowOff>165100</xdr:rowOff>
                  </to>
                </anchor>
              </controlPr>
            </control>
          </mc:Choice>
        </mc:AlternateContent>
        <mc:AlternateContent xmlns:mc="http://schemas.openxmlformats.org/markup-compatibility/2006">
          <mc:Choice Requires="x14">
            <control shapeId="13295" r:id="rId2186" name="Button 2031">
              <controlPr defaultSize="0" autoFill="0" autoLine="0" autoPict="0" macro="[0]!Sheet1.deleteRow">
                <anchor moveWithCells="1" sizeWithCells="1">
                  <from>
                    <xdr:col>6</xdr:col>
                    <xdr:colOff>0</xdr:colOff>
                    <xdr:row>3771</xdr:row>
                    <xdr:rowOff>0</xdr:rowOff>
                  </from>
                  <to>
                    <xdr:col>7</xdr:col>
                    <xdr:colOff>0</xdr:colOff>
                    <xdr:row>3771</xdr:row>
                    <xdr:rowOff>165100</xdr:rowOff>
                  </to>
                </anchor>
              </controlPr>
            </control>
          </mc:Choice>
        </mc:AlternateContent>
        <mc:AlternateContent xmlns:mc="http://schemas.openxmlformats.org/markup-compatibility/2006">
          <mc:Choice Requires="x14">
            <control shapeId="13294" r:id="rId2187" name="Button 2030">
              <controlPr defaultSize="0" autoFill="0" autoLine="0" autoPict="0" macro="[0]!Sheet1.deleteRow">
                <anchor moveWithCells="1" sizeWithCells="1">
                  <from>
                    <xdr:col>6</xdr:col>
                    <xdr:colOff>0</xdr:colOff>
                    <xdr:row>3772</xdr:row>
                    <xdr:rowOff>0</xdr:rowOff>
                  </from>
                  <to>
                    <xdr:col>7</xdr:col>
                    <xdr:colOff>0</xdr:colOff>
                    <xdr:row>3772</xdr:row>
                    <xdr:rowOff>165100</xdr:rowOff>
                  </to>
                </anchor>
              </controlPr>
            </control>
          </mc:Choice>
        </mc:AlternateContent>
        <mc:AlternateContent xmlns:mc="http://schemas.openxmlformats.org/markup-compatibility/2006">
          <mc:Choice Requires="x14">
            <control shapeId="13293" r:id="rId2188" name="Button 2029">
              <controlPr defaultSize="0" autoFill="0" autoLine="0" autoPict="0" macro="[0]!Sheet1.deleteRow">
                <anchor moveWithCells="1" sizeWithCells="1">
                  <from>
                    <xdr:col>6</xdr:col>
                    <xdr:colOff>0</xdr:colOff>
                    <xdr:row>3773</xdr:row>
                    <xdr:rowOff>0</xdr:rowOff>
                  </from>
                  <to>
                    <xdr:col>7</xdr:col>
                    <xdr:colOff>0</xdr:colOff>
                    <xdr:row>3773</xdr:row>
                    <xdr:rowOff>165100</xdr:rowOff>
                  </to>
                </anchor>
              </controlPr>
            </control>
          </mc:Choice>
        </mc:AlternateContent>
        <mc:AlternateContent xmlns:mc="http://schemas.openxmlformats.org/markup-compatibility/2006">
          <mc:Choice Requires="x14">
            <control shapeId="13292" r:id="rId2189" name="Button 2028">
              <controlPr defaultSize="0" autoFill="0" autoLine="0" autoPict="0" macro="[0]!Sheet1.deleteProcedure">
                <anchor moveWithCells="1" sizeWithCells="1">
                  <from>
                    <xdr:col>6</xdr:col>
                    <xdr:colOff>0</xdr:colOff>
                    <xdr:row>3776</xdr:row>
                    <xdr:rowOff>0</xdr:rowOff>
                  </from>
                  <to>
                    <xdr:col>7</xdr:col>
                    <xdr:colOff>0</xdr:colOff>
                    <xdr:row>3777</xdr:row>
                    <xdr:rowOff>0</xdr:rowOff>
                  </to>
                </anchor>
              </controlPr>
            </control>
          </mc:Choice>
        </mc:AlternateContent>
        <mc:AlternateContent xmlns:mc="http://schemas.openxmlformats.org/markup-compatibility/2006">
          <mc:Choice Requires="x14">
            <control shapeId="13291" r:id="rId2190" name="Button 2027">
              <controlPr defaultSize="0" autoFill="0" autoLine="0" autoPict="0" macro="[0]!Sheet1.InsertNewTableRow">
                <anchor moveWithCells="1" sizeWithCells="1">
                  <from>
                    <xdr:col>6</xdr:col>
                    <xdr:colOff>0</xdr:colOff>
                    <xdr:row>3783</xdr:row>
                    <xdr:rowOff>0</xdr:rowOff>
                  </from>
                  <to>
                    <xdr:col>7</xdr:col>
                    <xdr:colOff>0</xdr:colOff>
                    <xdr:row>3783</xdr:row>
                    <xdr:rowOff>171450</xdr:rowOff>
                  </to>
                </anchor>
              </controlPr>
            </control>
          </mc:Choice>
        </mc:AlternateContent>
        <mc:AlternateContent xmlns:mc="http://schemas.openxmlformats.org/markup-compatibility/2006">
          <mc:Choice Requires="x14">
            <control shapeId="13290" r:id="rId2191" name="Button 2026">
              <controlPr defaultSize="0" autoFill="0" autoLine="0" autoPict="0" macro="[0]!Sheet1.deleteRow">
                <anchor moveWithCells="1" sizeWithCells="1">
                  <from>
                    <xdr:col>6</xdr:col>
                    <xdr:colOff>0</xdr:colOff>
                    <xdr:row>3784</xdr:row>
                    <xdr:rowOff>0</xdr:rowOff>
                  </from>
                  <to>
                    <xdr:col>7</xdr:col>
                    <xdr:colOff>0</xdr:colOff>
                    <xdr:row>3784</xdr:row>
                    <xdr:rowOff>165100</xdr:rowOff>
                  </to>
                </anchor>
              </controlPr>
            </control>
          </mc:Choice>
        </mc:AlternateContent>
        <mc:AlternateContent xmlns:mc="http://schemas.openxmlformats.org/markup-compatibility/2006">
          <mc:Choice Requires="x14">
            <control shapeId="13289" r:id="rId2192" name="Button 2025">
              <controlPr defaultSize="0" autoFill="0" autoLine="0" autoPict="0" macro="[0]!Sheet1.deleteRow">
                <anchor moveWithCells="1" sizeWithCells="1">
                  <from>
                    <xdr:col>6</xdr:col>
                    <xdr:colOff>0</xdr:colOff>
                    <xdr:row>3785</xdr:row>
                    <xdr:rowOff>0</xdr:rowOff>
                  </from>
                  <to>
                    <xdr:col>7</xdr:col>
                    <xdr:colOff>0</xdr:colOff>
                    <xdr:row>3785</xdr:row>
                    <xdr:rowOff>165100</xdr:rowOff>
                  </to>
                </anchor>
              </controlPr>
            </control>
          </mc:Choice>
        </mc:AlternateContent>
        <mc:AlternateContent xmlns:mc="http://schemas.openxmlformats.org/markup-compatibility/2006">
          <mc:Choice Requires="x14">
            <control shapeId="13288" r:id="rId2193" name="Button 2024">
              <controlPr defaultSize="0" autoFill="0" autoLine="0" autoPict="0" macro="[0]!Sheet1.deleteRow">
                <anchor moveWithCells="1" sizeWithCells="1">
                  <from>
                    <xdr:col>6</xdr:col>
                    <xdr:colOff>0</xdr:colOff>
                    <xdr:row>3786</xdr:row>
                    <xdr:rowOff>0</xdr:rowOff>
                  </from>
                  <to>
                    <xdr:col>7</xdr:col>
                    <xdr:colOff>0</xdr:colOff>
                    <xdr:row>3786</xdr:row>
                    <xdr:rowOff>165100</xdr:rowOff>
                  </to>
                </anchor>
              </controlPr>
            </control>
          </mc:Choice>
        </mc:AlternateContent>
        <mc:AlternateContent xmlns:mc="http://schemas.openxmlformats.org/markup-compatibility/2006">
          <mc:Choice Requires="x14">
            <control shapeId="13287" r:id="rId2194" name="Button 2023">
              <controlPr defaultSize="0" autoFill="0" autoLine="0" autoPict="0" macro="[0]!Sheet1.deleteRow">
                <anchor moveWithCells="1" sizeWithCells="1">
                  <from>
                    <xdr:col>6</xdr:col>
                    <xdr:colOff>0</xdr:colOff>
                    <xdr:row>3787</xdr:row>
                    <xdr:rowOff>0</xdr:rowOff>
                  </from>
                  <to>
                    <xdr:col>7</xdr:col>
                    <xdr:colOff>0</xdr:colOff>
                    <xdr:row>3787</xdr:row>
                    <xdr:rowOff>165100</xdr:rowOff>
                  </to>
                </anchor>
              </controlPr>
            </control>
          </mc:Choice>
        </mc:AlternateContent>
        <mc:AlternateContent xmlns:mc="http://schemas.openxmlformats.org/markup-compatibility/2006">
          <mc:Choice Requires="x14">
            <control shapeId="13286" r:id="rId2195" name="Button 2022">
              <controlPr defaultSize="0" autoFill="0" autoLine="0" autoPict="0" macro="[0]!Sheet1.deleteRow">
                <anchor moveWithCells="1" sizeWithCells="1">
                  <from>
                    <xdr:col>6</xdr:col>
                    <xdr:colOff>0</xdr:colOff>
                    <xdr:row>3788</xdr:row>
                    <xdr:rowOff>0</xdr:rowOff>
                  </from>
                  <to>
                    <xdr:col>7</xdr:col>
                    <xdr:colOff>0</xdr:colOff>
                    <xdr:row>3788</xdr:row>
                    <xdr:rowOff>165100</xdr:rowOff>
                  </to>
                </anchor>
              </controlPr>
            </control>
          </mc:Choice>
        </mc:AlternateContent>
        <mc:AlternateContent xmlns:mc="http://schemas.openxmlformats.org/markup-compatibility/2006">
          <mc:Choice Requires="x14">
            <control shapeId="13285" r:id="rId2196" name="Button 2021">
              <controlPr defaultSize="0" autoFill="0" autoLine="0" autoPict="0" macro="[0]!Sheet1.deleteRow">
                <anchor moveWithCells="1" sizeWithCells="1">
                  <from>
                    <xdr:col>6</xdr:col>
                    <xdr:colOff>0</xdr:colOff>
                    <xdr:row>3789</xdr:row>
                    <xdr:rowOff>0</xdr:rowOff>
                  </from>
                  <to>
                    <xdr:col>7</xdr:col>
                    <xdr:colOff>0</xdr:colOff>
                    <xdr:row>3789</xdr:row>
                    <xdr:rowOff>165100</xdr:rowOff>
                  </to>
                </anchor>
              </controlPr>
            </control>
          </mc:Choice>
        </mc:AlternateContent>
        <mc:AlternateContent xmlns:mc="http://schemas.openxmlformats.org/markup-compatibility/2006">
          <mc:Choice Requires="x14">
            <control shapeId="13284" r:id="rId2197" name="Button 2020">
              <controlPr defaultSize="0" autoFill="0" autoLine="0" autoPict="0" macro="[0]!Sheet1.deleteRow">
                <anchor moveWithCells="1" sizeWithCells="1">
                  <from>
                    <xdr:col>6</xdr:col>
                    <xdr:colOff>0</xdr:colOff>
                    <xdr:row>3790</xdr:row>
                    <xdr:rowOff>0</xdr:rowOff>
                  </from>
                  <to>
                    <xdr:col>7</xdr:col>
                    <xdr:colOff>0</xdr:colOff>
                    <xdr:row>3790</xdr:row>
                    <xdr:rowOff>165100</xdr:rowOff>
                  </to>
                </anchor>
              </controlPr>
            </control>
          </mc:Choice>
        </mc:AlternateContent>
        <mc:AlternateContent xmlns:mc="http://schemas.openxmlformats.org/markup-compatibility/2006">
          <mc:Choice Requires="x14">
            <control shapeId="13283" r:id="rId2198" name="Button 2019">
              <controlPr defaultSize="0" autoFill="0" autoLine="0" autoPict="0" macro="[0]!Sheet1.deleteRow">
                <anchor moveWithCells="1" sizeWithCells="1">
                  <from>
                    <xdr:col>6</xdr:col>
                    <xdr:colOff>0</xdr:colOff>
                    <xdr:row>3791</xdr:row>
                    <xdr:rowOff>0</xdr:rowOff>
                  </from>
                  <to>
                    <xdr:col>7</xdr:col>
                    <xdr:colOff>0</xdr:colOff>
                    <xdr:row>3791</xdr:row>
                    <xdr:rowOff>165100</xdr:rowOff>
                  </to>
                </anchor>
              </controlPr>
            </control>
          </mc:Choice>
        </mc:AlternateContent>
        <mc:AlternateContent xmlns:mc="http://schemas.openxmlformats.org/markup-compatibility/2006">
          <mc:Choice Requires="x14">
            <control shapeId="13282" r:id="rId2199" name="Button 2018">
              <controlPr defaultSize="0" autoFill="0" autoLine="0" autoPict="0" macro="[0]!Sheet1.deleteRow">
                <anchor moveWithCells="1" sizeWithCells="1">
                  <from>
                    <xdr:col>6</xdr:col>
                    <xdr:colOff>0</xdr:colOff>
                    <xdr:row>3792</xdr:row>
                    <xdr:rowOff>0</xdr:rowOff>
                  </from>
                  <to>
                    <xdr:col>7</xdr:col>
                    <xdr:colOff>0</xdr:colOff>
                    <xdr:row>3792</xdr:row>
                    <xdr:rowOff>165100</xdr:rowOff>
                  </to>
                </anchor>
              </controlPr>
            </control>
          </mc:Choice>
        </mc:AlternateContent>
        <mc:AlternateContent xmlns:mc="http://schemas.openxmlformats.org/markup-compatibility/2006">
          <mc:Choice Requires="x14">
            <control shapeId="13281" r:id="rId2200" name="Button 2017">
              <controlPr defaultSize="0" autoFill="0" autoLine="0" autoPict="0" macro="[0]!Sheet1.deleteRow">
                <anchor moveWithCells="1" sizeWithCells="1">
                  <from>
                    <xdr:col>6</xdr:col>
                    <xdr:colOff>0</xdr:colOff>
                    <xdr:row>3793</xdr:row>
                    <xdr:rowOff>0</xdr:rowOff>
                  </from>
                  <to>
                    <xdr:col>7</xdr:col>
                    <xdr:colOff>0</xdr:colOff>
                    <xdr:row>3793</xdr:row>
                    <xdr:rowOff>165100</xdr:rowOff>
                  </to>
                </anchor>
              </controlPr>
            </control>
          </mc:Choice>
        </mc:AlternateContent>
        <mc:AlternateContent xmlns:mc="http://schemas.openxmlformats.org/markup-compatibility/2006">
          <mc:Choice Requires="x14">
            <control shapeId="13280" r:id="rId2201" name="Button 2016">
              <controlPr defaultSize="0" autoFill="0" autoLine="0" autoPict="0" macro="[0]!Sheet1.deleteRow">
                <anchor moveWithCells="1" sizeWithCells="1">
                  <from>
                    <xdr:col>6</xdr:col>
                    <xdr:colOff>0</xdr:colOff>
                    <xdr:row>3794</xdr:row>
                    <xdr:rowOff>0</xdr:rowOff>
                  </from>
                  <to>
                    <xdr:col>7</xdr:col>
                    <xdr:colOff>0</xdr:colOff>
                    <xdr:row>3794</xdr:row>
                    <xdr:rowOff>165100</xdr:rowOff>
                  </to>
                </anchor>
              </controlPr>
            </control>
          </mc:Choice>
        </mc:AlternateContent>
        <mc:AlternateContent xmlns:mc="http://schemas.openxmlformats.org/markup-compatibility/2006">
          <mc:Choice Requires="x14">
            <control shapeId="13279" r:id="rId2202" name="Button 2015">
              <controlPr defaultSize="0" autoFill="0" autoLine="0" autoPict="0" macro="[0]!Sheet1.deleteProcedure">
                <anchor moveWithCells="1" sizeWithCells="1">
                  <from>
                    <xdr:col>6</xdr:col>
                    <xdr:colOff>0</xdr:colOff>
                    <xdr:row>3797</xdr:row>
                    <xdr:rowOff>0</xdr:rowOff>
                  </from>
                  <to>
                    <xdr:col>7</xdr:col>
                    <xdr:colOff>0</xdr:colOff>
                    <xdr:row>3798</xdr:row>
                    <xdr:rowOff>0</xdr:rowOff>
                  </to>
                </anchor>
              </controlPr>
            </control>
          </mc:Choice>
        </mc:AlternateContent>
        <mc:AlternateContent xmlns:mc="http://schemas.openxmlformats.org/markup-compatibility/2006">
          <mc:Choice Requires="x14">
            <control shapeId="13278" r:id="rId2203" name="Button 2014">
              <controlPr defaultSize="0" autoFill="0" autoLine="0" autoPict="0" macro="[0]!Sheet1.InsertNewTableRow">
                <anchor moveWithCells="1" sizeWithCells="1">
                  <from>
                    <xdr:col>6</xdr:col>
                    <xdr:colOff>0</xdr:colOff>
                    <xdr:row>3804</xdr:row>
                    <xdr:rowOff>0</xdr:rowOff>
                  </from>
                  <to>
                    <xdr:col>7</xdr:col>
                    <xdr:colOff>0</xdr:colOff>
                    <xdr:row>3804</xdr:row>
                    <xdr:rowOff>171450</xdr:rowOff>
                  </to>
                </anchor>
              </controlPr>
            </control>
          </mc:Choice>
        </mc:AlternateContent>
        <mc:AlternateContent xmlns:mc="http://schemas.openxmlformats.org/markup-compatibility/2006">
          <mc:Choice Requires="x14">
            <control shapeId="13277" r:id="rId2204" name="Button 2013">
              <controlPr defaultSize="0" autoFill="0" autoLine="0" autoPict="0" macro="[0]!Sheet1.deleteRow">
                <anchor moveWithCells="1" sizeWithCells="1">
                  <from>
                    <xdr:col>6</xdr:col>
                    <xdr:colOff>0</xdr:colOff>
                    <xdr:row>3805</xdr:row>
                    <xdr:rowOff>0</xdr:rowOff>
                  </from>
                  <to>
                    <xdr:col>7</xdr:col>
                    <xdr:colOff>0</xdr:colOff>
                    <xdr:row>3805</xdr:row>
                    <xdr:rowOff>165100</xdr:rowOff>
                  </to>
                </anchor>
              </controlPr>
            </control>
          </mc:Choice>
        </mc:AlternateContent>
        <mc:AlternateContent xmlns:mc="http://schemas.openxmlformats.org/markup-compatibility/2006">
          <mc:Choice Requires="x14">
            <control shapeId="13276" r:id="rId2205" name="Button 2012">
              <controlPr defaultSize="0" autoFill="0" autoLine="0" autoPict="0" macro="[0]!Sheet1.deleteRow">
                <anchor moveWithCells="1" sizeWithCells="1">
                  <from>
                    <xdr:col>6</xdr:col>
                    <xdr:colOff>0</xdr:colOff>
                    <xdr:row>3806</xdr:row>
                    <xdr:rowOff>0</xdr:rowOff>
                  </from>
                  <to>
                    <xdr:col>7</xdr:col>
                    <xdr:colOff>0</xdr:colOff>
                    <xdr:row>3806</xdr:row>
                    <xdr:rowOff>165100</xdr:rowOff>
                  </to>
                </anchor>
              </controlPr>
            </control>
          </mc:Choice>
        </mc:AlternateContent>
        <mc:AlternateContent xmlns:mc="http://schemas.openxmlformats.org/markup-compatibility/2006">
          <mc:Choice Requires="x14">
            <control shapeId="13275" r:id="rId2206" name="Button 2011">
              <controlPr defaultSize="0" autoFill="0" autoLine="0" autoPict="0" macro="[0]!Sheet1.deleteRow">
                <anchor moveWithCells="1" sizeWithCells="1">
                  <from>
                    <xdr:col>6</xdr:col>
                    <xdr:colOff>0</xdr:colOff>
                    <xdr:row>3807</xdr:row>
                    <xdr:rowOff>0</xdr:rowOff>
                  </from>
                  <to>
                    <xdr:col>7</xdr:col>
                    <xdr:colOff>0</xdr:colOff>
                    <xdr:row>3807</xdr:row>
                    <xdr:rowOff>165100</xdr:rowOff>
                  </to>
                </anchor>
              </controlPr>
            </control>
          </mc:Choice>
        </mc:AlternateContent>
        <mc:AlternateContent xmlns:mc="http://schemas.openxmlformats.org/markup-compatibility/2006">
          <mc:Choice Requires="x14">
            <control shapeId="13274" r:id="rId2207" name="Button 2010">
              <controlPr defaultSize="0" autoFill="0" autoLine="0" autoPict="0" macro="[0]!Sheet1.deleteRow">
                <anchor moveWithCells="1" sizeWithCells="1">
                  <from>
                    <xdr:col>6</xdr:col>
                    <xdr:colOff>0</xdr:colOff>
                    <xdr:row>3808</xdr:row>
                    <xdr:rowOff>0</xdr:rowOff>
                  </from>
                  <to>
                    <xdr:col>7</xdr:col>
                    <xdr:colOff>0</xdr:colOff>
                    <xdr:row>3808</xdr:row>
                    <xdr:rowOff>165100</xdr:rowOff>
                  </to>
                </anchor>
              </controlPr>
            </control>
          </mc:Choice>
        </mc:AlternateContent>
        <mc:AlternateContent xmlns:mc="http://schemas.openxmlformats.org/markup-compatibility/2006">
          <mc:Choice Requires="x14">
            <control shapeId="13273" r:id="rId2208" name="Button 2009">
              <controlPr defaultSize="0" autoFill="0" autoLine="0" autoPict="0" macro="[0]!Sheet1.deleteRow">
                <anchor moveWithCells="1" sizeWithCells="1">
                  <from>
                    <xdr:col>6</xdr:col>
                    <xdr:colOff>0</xdr:colOff>
                    <xdr:row>3809</xdr:row>
                    <xdr:rowOff>0</xdr:rowOff>
                  </from>
                  <to>
                    <xdr:col>7</xdr:col>
                    <xdr:colOff>0</xdr:colOff>
                    <xdr:row>3809</xdr:row>
                    <xdr:rowOff>165100</xdr:rowOff>
                  </to>
                </anchor>
              </controlPr>
            </control>
          </mc:Choice>
        </mc:AlternateContent>
        <mc:AlternateContent xmlns:mc="http://schemas.openxmlformats.org/markup-compatibility/2006">
          <mc:Choice Requires="x14">
            <control shapeId="13272" r:id="rId2209" name="Button 2008">
              <controlPr defaultSize="0" autoFill="0" autoLine="0" autoPict="0" macro="[0]!Sheet1.deleteRow">
                <anchor moveWithCells="1" sizeWithCells="1">
                  <from>
                    <xdr:col>6</xdr:col>
                    <xdr:colOff>0</xdr:colOff>
                    <xdr:row>3810</xdr:row>
                    <xdr:rowOff>0</xdr:rowOff>
                  </from>
                  <to>
                    <xdr:col>7</xdr:col>
                    <xdr:colOff>0</xdr:colOff>
                    <xdr:row>3810</xdr:row>
                    <xdr:rowOff>165100</xdr:rowOff>
                  </to>
                </anchor>
              </controlPr>
            </control>
          </mc:Choice>
        </mc:AlternateContent>
        <mc:AlternateContent xmlns:mc="http://schemas.openxmlformats.org/markup-compatibility/2006">
          <mc:Choice Requires="x14">
            <control shapeId="13271" r:id="rId2210" name="Button 2007">
              <controlPr defaultSize="0" autoFill="0" autoLine="0" autoPict="0" macro="[0]!Sheet1.deleteProcedure">
                <anchor moveWithCells="1" sizeWithCells="1">
                  <from>
                    <xdr:col>6</xdr:col>
                    <xdr:colOff>0</xdr:colOff>
                    <xdr:row>3813</xdr:row>
                    <xdr:rowOff>0</xdr:rowOff>
                  </from>
                  <to>
                    <xdr:col>7</xdr:col>
                    <xdr:colOff>0</xdr:colOff>
                    <xdr:row>3814</xdr:row>
                    <xdr:rowOff>0</xdr:rowOff>
                  </to>
                </anchor>
              </controlPr>
            </control>
          </mc:Choice>
        </mc:AlternateContent>
        <mc:AlternateContent xmlns:mc="http://schemas.openxmlformats.org/markup-compatibility/2006">
          <mc:Choice Requires="x14">
            <control shapeId="13270" r:id="rId2211" name="Button 2006">
              <controlPr defaultSize="0" autoFill="0" autoLine="0" autoPict="0" macro="[0]!Sheet1.InsertNewTableRow">
                <anchor moveWithCells="1" sizeWithCells="1">
                  <from>
                    <xdr:col>6</xdr:col>
                    <xdr:colOff>0</xdr:colOff>
                    <xdr:row>3820</xdr:row>
                    <xdr:rowOff>0</xdr:rowOff>
                  </from>
                  <to>
                    <xdr:col>7</xdr:col>
                    <xdr:colOff>0</xdr:colOff>
                    <xdr:row>3820</xdr:row>
                    <xdr:rowOff>171450</xdr:rowOff>
                  </to>
                </anchor>
              </controlPr>
            </control>
          </mc:Choice>
        </mc:AlternateContent>
        <mc:AlternateContent xmlns:mc="http://schemas.openxmlformats.org/markup-compatibility/2006">
          <mc:Choice Requires="x14">
            <control shapeId="13269" r:id="rId2212" name="Button 2005">
              <controlPr defaultSize="0" autoFill="0" autoLine="0" autoPict="0" macro="[0]!Sheet1.deleteRow">
                <anchor moveWithCells="1" sizeWithCells="1">
                  <from>
                    <xdr:col>6</xdr:col>
                    <xdr:colOff>0</xdr:colOff>
                    <xdr:row>3821</xdr:row>
                    <xdr:rowOff>0</xdr:rowOff>
                  </from>
                  <to>
                    <xdr:col>7</xdr:col>
                    <xdr:colOff>0</xdr:colOff>
                    <xdr:row>3821</xdr:row>
                    <xdr:rowOff>165100</xdr:rowOff>
                  </to>
                </anchor>
              </controlPr>
            </control>
          </mc:Choice>
        </mc:AlternateContent>
        <mc:AlternateContent xmlns:mc="http://schemas.openxmlformats.org/markup-compatibility/2006">
          <mc:Choice Requires="x14">
            <control shapeId="13268" r:id="rId2213" name="Button 2004">
              <controlPr defaultSize="0" autoFill="0" autoLine="0" autoPict="0" macro="[0]!Sheet1.deleteRow">
                <anchor moveWithCells="1" sizeWithCells="1">
                  <from>
                    <xdr:col>6</xdr:col>
                    <xdr:colOff>0</xdr:colOff>
                    <xdr:row>3822</xdr:row>
                    <xdr:rowOff>0</xdr:rowOff>
                  </from>
                  <to>
                    <xdr:col>7</xdr:col>
                    <xdr:colOff>0</xdr:colOff>
                    <xdr:row>3822</xdr:row>
                    <xdr:rowOff>165100</xdr:rowOff>
                  </to>
                </anchor>
              </controlPr>
            </control>
          </mc:Choice>
        </mc:AlternateContent>
        <mc:AlternateContent xmlns:mc="http://schemas.openxmlformats.org/markup-compatibility/2006">
          <mc:Choice Requires="x14">
            <control shapeId="13267" r:id="rId2214" name="Button 2003">
              <controlPr defaultSize="0" autoFill="0" autoLine="0" autoPict="0" macro="[0]!Sheet1.deleteProcedure">
                <anchor moveWithCells="1" sizeWithCells="1">
                  <from>
                    <xdr:col>6</xdr:col>
                    <xdr:colOff>0</xdr:colOff>
                    <xdr:row>3825</xdr:row>
                    <xdr:rowOff>0</xdr:rowOff>
                  </from>
                  <to>
                    <xdr:col>7</xdr:col>
                    <xdr:colOff>0</xdr:colOff>
                    <xdr:row>3826</xdr:row>
                    <xdr:rowOff>0</xdr:rowOff>
                  </to>
                </anchor>
              </controlPr>
            </control>
          </mc:Choice>
        </mc:AlternateContent>
        <mc:AlternateContent xmlns:mc="http://schemas.openxmlformats.org/markup-compatibility/2006">
          <mc:Choice Requires="x14">
            <control shapeId="13266" r:id="rId2215" name="Button 2002">
              <controlPr defaultSize="0" autoFill="0" autoLine="0" autoPict="0" macro="[0]!Sheet1.InsertNewTableRow">
                <anchor moveWithCells="1" sizeWithCells="1">
                  <from>
                    <xdr:col>6</xdr:col>
                    <xdr:colOff>0</xdr:colOff>
                    <xdr:row>3832</xdr:row>
                    <xdr:rowOff>0</xdr:rowOff>
                  </from>
                  <to>
                    <xdr:col>7</xdr:col>
                    <xdr:colOff>0</xdr:colOff>
                    <xdr:row>3832</xdr:row>
                    <xdr:rowOff>171450</xdr:rowOff>
                  </to>
                </anchor>
              </controlPr>
            </control>
          </mc:Choice>
        </mc:AlternateContent>
        <mc:AlternateContent xmlns:mc="http://schemas.openxmlformats.org/markup-compatibility/2006">
          <mc:Choice Requires="x14">
            <control shapeId="13265" r:id="rId2216" name="Button 2001">
              <controlPr defaultSize="0" autoFill="0" autoLine="0" autoPict="0" macro="[0]!Sheet1.deleteRow">
                <anchor moveWithCells="1" sizeWithCells="1">
                  <from>
                    <xdr:col>6</xdr:col>
                    <xdr:colOff>0</xdr:colOff>
                    <xdr:row>3833</xdr:row>
                    <xdr:rowOff>0</xdr:rowOff>
                  </from>
                  <to>
                    <xdr:col>7</xdr:col>
                    <xdr:colOff>0</xdr:colOff>
                    <xdr:row>3833</xdr:row>
                    <xdr:rowOff>165100</xdr:rowOff>
                  </to>
                </anchor>
              </controlPr>
            </control>
          </mc:Choice>
        </mc:AlternateContent>
        <mc:AlternateContent xmlns:mc="http://schemas.openxmlformats.org/markup-compatibility/2006">
          <mc:Choice Requires="x14">
            <control shapeId="13264" r:id="rId2217" name="Button 2000">
              <controlPr defaultSize="0" autoFill="0" autoLine="0" autoPict="0" macro="[0]!Sheet1.deleteRow">
                <anchor moveWithCells="1" sizeWithCells="1">
                  <from>
                    <xdr:col>6</xdr:col>
                    <xdr:colOff>0</xdr:colOff>
                    <xdr:row>3834</xdr:row>
                    <xdr:rowOff>0</xdr:rowOff>
                  </from>
                  <to>
                    <xdr:col>7</xdr:col>
                    <xdr:colOff>0</xdr:colOff>
                    <xdr:row>3834</xdr:row>
                    <xdr:rowOff>165100</xdr:rowOff>
                  </to>
                </anchor>
              </controlPr>
            </control>
          </mc:Choice>
        </mc:AlternateContent>
        <mc:AlternateContent xmlns:mc="http://schemas.openxmlformats.org/markup-compatibility/2006">
          <mc:Choice Requires="x14">
            <control shapeId="13263" r:id="rId2218" name="Button 1999">
              <controlPr defaultSize="0" autoFill="0" autoLine="0" autoPict="0" macro="[0]!Sheet1.deleteRow">
                <anchor moveWithCells="1" sizeWithCells="1">
                  <from>
                    <xdr:col>6</xdr:col>
                    <xdr:colOff>0</xdr:colOff>
                    <xdr:row>3835</xdr:row>
                    <xdr:rowOff>0</xdr:rowOff>
                  </from>
                  <to>
                    <xdr:col>7</xdr:col>
                    <xdr:colOff>0</xdr:colOff>
                    <xdr:row>3835</xdr:row>
                    <xdr:rowOff>165100</xdr:rowOff>
                  </to>
                </anchor>
              </controlPr>
            </control>
          </mc:Choice>
        </mc:AlternateContent>
        <mc:AlternateContent xmlns:mc="http://schemas.openxmlformats.org/markup-compatibility/2006">
          <mc:Choice Requires="x14">
            <control shapeId="13262" r:id="rId2219" name="Button 1998">
              <controlPr defaultSize="0" autoFill="0" autoLine="0" autoPict="0" macro="[0]!Sheet1.deleteProcedure">
                <anchor moveWithCells="1" sizeWithCells="1">
                  <from>
                    <xdr:col>6</xdr:col>
                    <xdr:colOff>0</xdr:colOff>
                    <xdr:row>3838</xdr:row>
                    <xdr:rowOff>0</xdr:rowOff>
                  </from>
                  <to>
                    <xdr:col>7</xdr:col>
                    <xdr:colOff>0</xdr:colOff>
                    <xdr:row>3839</xdr:row>
                    <xdr:rowOff>0</xdr:rowOff>
                  </to>
                </anchor>
              </controlPr>
            </control>
          </mc:Choice>
        </mc:AlternateContent>
        <mc:AlternateContent xmlns:mc="http://schemas.openxmlformats.org/markup-compatibility/2006">
          <mc:Choice Requires="x14">
            <control shapeId="13261" r:id="rId2220" name="Button 1997">
              <controlPr defaultSize="0" autoFill="0" autoLine="0" autoPict="0" macro="[0]!Sheet1.InsertNewTableRow">
                <anchor moveWithCells="1" sizeWithCells="1">
                  <from>
                    <xdr:col>6</xdr:col>
                    <xdr:colOff>0</xdr:colOff>
                    <xdr:row>3845</xdr:row>
                    <xdr:rowOff>0</xdr:rowOff>
                  </from>
                  <to>
                    <xdr:col>7</xdr:col>
                    <xdr:colOff>0</xdr:colOff>
                    <xdr:row>3845</xdr:row>
                    <xdr:rowOff>171450</xdr:rowOff>
                  </to>
                </anchor>
              </controlPr>
            </control>
          </mc:Choice>
        </mc:AlternateContent>
        <mc:AlternateContent xmlns:mc="http://schemas.openxmlformats.org/markup-compatibility/2006">
          <mc:Choice Requires="x14">
            <control shapeId="13260" r:id="rId2221" name="Button 1996">
              <controlPr defaultSize="0" autoFill="0" autoLine="0" autoPict="0" macro="[0]!Sheet1.deleteRow">
                <anchor moveWithCells="1" sizeWithCells="1">
                  <from>
                    <xdr:col>6</xdr:col>
                    <xdr:colOff>0</xdr:colOff>
                    <xdr:row>3846</xdr:row>
                    <xdr:rowOff>0</xdr:rowOff>
                  </from>
                  <to>
                    <xdr:col>7</xdr:col>
                    <xdr:colOff>0</xdr:colOff>
                    <xdr:row>3846</xdr:row>
                    <xdr:rowOff>165100</xdr:rowOff>
                  </to>
                </anchor>
              </controlPr>
            </control>
          </mc:Choice>
        </mc:AlternateContent>
        <mc:AlternateContent xmlns:mc="http://schemas.openxmlformats.org/markup-compatibility/2006">
          <mc:Choice Requires="x14">
            <control shapeId="13259" r:id="rId2222" name="Button 1995">
              <controlPr defaultSize="0" autoFill="0" autoLine="0" autoPict="0" macro="[0]!Sheet1.deleteRow">
                <anchor moveWithCells="1" sizeWithCells="1">
                  <from>
                    <xdr:col>6</xdr:col>
                    <xdr:colOff>0</xdr:colOff>
                    <xdr:row>3847</xdr:row>
                    <xdr:rowOff>0</xdr:rowOff>
                  </from>
                  <to>
                    <xdr:col>7</xdr:col>
                    <xdr:colOff>0</xdr:colOff>
                    <xdr:row>3847</xdr:row>
                    <xdr:rowOff>165100</xdr:rowOff>
                  </to>
                </anchor>
              </controlPr>
            </control>
          </mc:Choice>
        </mc:AlternateContent>
        <mc:AlternateContent xmlns:mc="http://schemas.openxmlformats.org/markup-compatibility/2006">
          <mc:Choice Requires="x14">
            <control shapeId="13258" r:id="rId2223" name="Button 1994">
              <controlPr defaultSize="0" autoFill="0" autoLine="0" autoPict="0" macro="[0]!Sheet1.deleteRow">
                <anchor moveWithCells="1" sizeWithCells="1">
                  <from>
                    <xdr:col>6</xdr:col>
                    <xdr:colOff>0</xdr:colOff>
                    <xdr:row>3848</xdr:row>
                    <xdr:rowOff>0</xdr:rowOff>
                  </from>
                  <to>
                    <xdr:col>7</xdr:col>
                    <xdr:colOff>0</xdr:colOff>
                    <xdr:row>3848</xdr:row>
                    <xdr:rowOff>165100</xdr:rowOff>
                  </to>
                </anchor>
              </controlPr>
            </control>
          </mc:Choice>
        </mc:AlternateContent>
        <mc:AlternateContent xmlns:mc="http://schemas.openxmlformats.org/markup-compatibility/2006">
          <mc:Choice Requires="x14">
            <control shapeId="13257" r:id="rId2224" name="Button 1993">
              <controlPr defaultSize="0" autoFill="0" autoLine="0" autoPict="0" macro="[0]!Sheet1.deleteRow">
                <anchor moveWithCells="1" sizeWithCells="1">
                  <from>
                    <xdr:col>6</xdr:col>
                    <xdr:colOff>0</xdr:colOff>
                    <xdr:row>3849</xdr:row>
                    <xdr:rowOff>0</xdr:rowOff>
                  </from>
                  <to>
                    <xdr:col>7</xdr:col>
                    <xdr:colOff>0</xdr:colOff>
                    <xdr:row>3849</xdr:row>
                    <xdr:rowOff>165100</xdr:rowOff>
                  </to>
                </anchor>
              </controlPr>
            </control>
          </mc:Choice>
        </mc:AlternateContent>
        <mc:AlternateContent xmlns:mc="http://schemas.openxmlformats.org/markup-compatibility/2006">
          <mc:Choice Requires="x14">
            <control shapeId="13256" r:id="rId2225" name="Button 1992">
              <controlPr defaultSize="0" autoFill="0" autoLine="0" autoPict="0" macro="[0]!Sheet1.deleteRow">
                <anchor moveWithCells="1" sizeWithCells="1">
                  <from>
                    <xdr:col>6</xdr:col>
                    <xdr:colOff>0</xdr:colOff>
                    <xdr:row>3850</xdr:row>
                    <xdr:rowOff>0</xdr:rowOff>
                  </from>
                  <to>
                    <xdr:col>7</xdr:col>
                    <xdr:colOff>0</xdr:colOff>
                    <xdr:row>3850</xdr:row>
                    <xdr:rowOff>165100</xdr:rowOff>
                  </to>
                </anchor>
              </controlPr>
            </control>
          </mc:Choice>
        </mc:AlternateContent>
        <mc:AlternateContent xmlns:mc="http://schemas.openxmlformats.org/markup-compatibility/2006">
          <mc:Choice Requires="x14">
            <control shapeId="13255" r:id="rId2226" name="Button 1991">
              <controlPr defaultSize="0" autoFill="0" autoLine="0" autoPict="0" macro="[0]!Sheet1.deleteRow">
                <anchor moveWithCells="1" sizeWithCells="1">
                  <from>
                    <xdr:col>6</xdr:col>
                    <xdr:colOff>0</xdr:colOff>
                    <xdr:row>3851</xdr:row>
                    <xdr:rowOff>0</xdr:rowOff>
                  </from>
                  <to>
                    <xdr:col>7</xdr:col>
                    <xdr:colOff>0</xdr:colOff>
                    <xdr:row>3851</xdr:row>
                    <xdr:rowOff>165100</xdr:rowOff>
                  </to>
                </anchor>
              </controlPr>
            </control>
          </mc:Choice>
        </mc:AlternateContent>
        <mc:AlternateContent xmlns:mc="http://schemas.openxmlformats.org/markup-compatibility/2006">
          <mc:Choice Requires="x14">
            <control shapeId="13254" r:id="rId2227" name="Button 1990">
              <controlPr defaultSize="0" autoFill="0" autoLine="0" autoPict="0" macro="[0]!Sheet1.deleteRow">
                <anchor moveWithCells="1" sizeWithCells="1">
                  <from>
                    <xdr:col>6</xdr:col>
                    <xdr:colOff>0</xdr:colOff>
                    <xdr:row>3852</xdr:row>
                    <xdr:rowOff>0</xdr:rowOff>
                  </from>
                  <to>
                    <xdr:col>7</xdr:col>
                    <xdr:colOff>0</xdr:colOff>
                    <xdr:row>3852</xdr:row>
                    <xdr:rowOff>165100</xdr:rowOff>
                  </to>
                </anchor>
              </controlPr>
            </control>
          </mc:Choice>
        </mc:AlternateContent>
        <mc:AlternateContent xmlns:mc="http://schemas.openxmlformats.org/markup-compatibility/2006">
          <mc:Choice Requires="x14">
            <control shapeId="13253" r:id="rId2228" name="Button 1989">
              <controlPr defaultSize="0" autoFill="0" autoLine="0" autoPict="0" macro="[0]!Sheet1.deleteRow">
                <anchor moveWithCells="1" sizeWithCells="1">
                  <from>
                    <xdr:col>6</xdr:col>
                    <xdr:colOff>0</xdr:colOff>
                    <xdr:row>3853</xdr:row>
                    <xdr:rowOff>0</xdr:rowOff>
                  </from>
                  <to>
                    <xdr:col>7</xdr:col>
                    <xdr:colOff>0</xdr:colOff>
                    <xdr:row>3853</xdr:row>
                    <xdr:rowOff>165100</xdr:rowOff>
                  </to>
                </anchor>
              </controlPr>
            </control>
          </mc:Choice>
        </mc:AlternateContent>
        <mc:AlternateContent xmlns:mc="http://schemas.openxmlformats.org/markup-compatibility/2006">
          <mc:Choice Requires="x14">
            <control shapeId="13252" r:id="rId2229" name="Button 1988">
              <controlPr defaultSize="0" autoFill="0" autoLine="0" autoPict="0" macro="[0]!Sheet1.deleteRow">
                <anchor moveWithCells="1" sizeWithCells="1">
                  <from>
                    <xdr:col>6</xdr:col>
                    <xdr:colOff>0</xdr:colOff>
                    <xdr:row>3854</xdr:row>
                    <xdr:rowOff>0</xdr:rowOff>
                  </from>
                  <to>
                    <xdr:col>7</xdr:col>
                    <xdr:colOff>0</xdr:colOff>
                    <xdr:row>3854</xdr:row>
                    <xdr:rowOff>165100</xdr:rowOff>
                  </to>
                </anchor>
              </controlPr>
            </control>
          </mc:Choice>
        </mc:AlternateContent>
        <mc:AlternateContent xmlns:mc="http://schemas.openxmlformats.org/markup-compatibility/2006">
          <mc:Choice Requires="x14">
            <control shapeId="13251" r:id="rId2230" name="Button 1987">
              <controlPr defaultSize="0" autoFill="0" autoLine="0" autoPict="0" macro="[0]!Sheet1.deleteRow">
                <anchor moveWithCells="1" sizeWithCells="1">
                  <from>
                    <xdr:col>6</xdr:col>
                    <xdr:colOff>0</xdr:colOff>
                    <xdr:row>3855</xdr:row>
                    <xdr:rowOff>0</xdr:rowOff>
                  </from>
                  <to>
                    <xdr:col>7</xdr:col>
                    <xdr:colOff>0</xdr:colOff>
                    <xdr:row>3855</xdr:row>
                    <xdr:rowOff>165100</xdr:rowOff>
                  </to>
                </anchor>
              </controlPr>
            </control>
          </mc:Choice>
        </mc:AlternateContent>
        <mc:AlternateContent xmlns:mc="http://schemas.openxmlformats.org/markup-compatibility/2006">
          <mc:Choice Requires="x14">
            <control shapeId="13250" r:id="rId2231" name="Button 1986">
              <controlPr defaultSize="0" autoFill="0" autoLine="0" autoPict="0" macro="[0]!Sheet1.deleteRow">
                <anchor moveWithCells="1" sizeWithCells="1">
                  <from>
                    <xdr:col>6</xdr:col>
                    <xdr:colOff>0</xdr:colOff>
                    <xdr:row>3856</xdr:row>
                    <xdr:rowOff>0</xdr:rowOff>
                  </from>
                  <to>
                    <xdr:col>7</xdr:col>
                    <xdr:colOff>0</xdr:colOff>
                    <xdr:row>3856</xdr:row>
                    <xdr:rowOff>165100</xdr:rowOff>
                  </to>
                </anchor>
              </controlPr>
            </control>
          </mc:Choice>
        </mc:AlternateContent>
        <mc:AlternateContent xmlns:mc="http://schemas.openxmlformats.org/markup-compatibility/2006">
          <mc:Choice Requires="x14">
            <control shapeId="13249" r:id="rId2232" name="Button 1985">
              <controlPr defaultSize="0" autoFill="0" autoLine="0" autoPict="0" macro="[0]!Sheet1.deleteRow">
                <anchor moveWithCells="1" sizeWithCells="1">
                  <from>
                    <xdr:col>6</xdr:col>
                    <xdr:colOff>0</xdr:colOff>
                    <xdr:row>3857</xdr:row>
                    <xdr:rowOff>0</xdr:rowOff>
                  </from>
                  <to>
                    <xdr:col>7</xdr:col>
                    <xdr:colOff>0</xdr:colOff>
                    <xdr:row>3857</xdr:row>
                    <xdr:rowOff>165100</xdr:rowOff>
                  </to>
                </anchor>
              </controlPr>
            </control>
          </mc:Choice>
        </mc:AlternateContent>
        <mc:AlternateContent xmlns:mc="http://schemas.openxmlformats.org/markup-compatibility/2006">
          <mc:Choice Requires="x14">
            <control shapeId="13248" r:id="rId2233" name="Button 1984">
              <controlPr defaultSize="0" autoFill="0" autoLine="0" autoPict="0" macro="[0]!Sheet1.deleteRow">
                <anchor moveWithCells="1" sizeWithCells="1">
                  <from>
                    <xdr:col>6</xdr:col>
                    <xdr:colOff>0</xdr:colOff>
                    <xdr:row>3858</xdr:row>
                    <xdr:rowOff>0</xdr:rowOff>
                  </from>
                  <to>
                    <xdr:col>7</xdr:col>
                    <xdr:colOff>0</xdr:colOff>
                    <xdr:row>3858</xdr:row>
                    <xdr:rowOff>165100</xdr:rowOff>
                  </to>
                </anchor>
              </controlPr>
            </control>
          </mc:Choice>
        </mc:AlternateContent>
        <mc:AlternateContent xmlns:mc="http://schemas.openxmlformats.org/markup-compatibility/2006">
          <mc:Choice Requires="x14">
            <control shapeId="13247" r:id="rId2234" name="Button 1983">
              <controlPr defaultSize="0" autoFill="0" autoLine="0" autoPict="0" macro="[0]!Sheet1.deleteProcedure">
                <anchor moveWithCells="1" sizeWithCells="1">
                  <from>
                    <xdr:col>6</xdr:col>
                    <xdr:colOff>0</xdr:colOff>
                    <xdr:row>3861</xdr:row>
                    <xdr:rowOff>0</xdr:rowOff>
                  </from>
                  <to>
                    <xdr:col>7</xdr:col>
                    <xdr:colOff>0</xdr:colOff>
                    <xdr:row>3862</xdr:row>
                    <xdr:rowOff>0</xdr:rowOff>
                  </to>
                </anchor>
              </controlPr>
            </control>
          </mc:Choice>
        </mc:AlternateContent>
        <mc:AlternateContent xmlns:mc="http://schemas.openxmlformats.org/markup-compatibility/2006">
          <mc:Choice Requires="x14">
            <control shapeId="13246" r:id="rId2235" name="Button 1982">
              <controlPr defaultSize="0" autoFill="0" autoLine="0" autoPict="0" macro="[0]!Sheet1.InsertNewTableRow">
                <anchor moveWithCells="1" sizeWithCells="1">
                  <from>
                    <xdr:col>6</xdr:col>
                    <xdr:colOff>0</xdr:colOff>
                    <xdr:row>3868</xdr:row>
                    <xdr:rowOff>0</xdr:rowOff>
                  </from>
                  <to>
                    <xdr:col>7</xdr:col>
                    <xdr:colOff>0</xdr:colOff>
                    <xdr:row>3868</xdr:row>
                    <xdr:rowOff>171450</xdr:rowOff>
                  </to>
                </anchor>
              </controlPr>
            </control>
          </mc:Choice>
        </mc:AlternateContent>
        <mc:AlternateContent xmlns:mc="http://schemas.openxmlformats.org/markup-compatibility/2006">
          <mc:Choice Requires="x14">
            <control shapeId="13245" r:id="rId2236" name="Button 1981">
              <controlPr defaultSize="0" autoFill="0" autoLine="0" autoPict="0" macro="[0]!Sheet1.deleteRow">
                <anchor moveWithCells="1" sizeWithCells="1">
                  <from>
                    <xdr:col>6</xdr:col>
                    <xdr:colOff>0</xdr:colOff>
                    <xdr:row>3869</xdr:row>
                    <xdr:rowOff>0</xdr:rowOff>
                  </from>
                  <to>
                    <xdr:col>7</xdr:col>
                    <xdr:colOff>0</xdr:colOff>
                    <xdr:row>3869</xdr:row>
                    <xdr:rowOff>165100</xdr:rowOff>
                  </to>
                </anchor>
              </controlPr>
            </control>
          </mc:Choice>
        </mc:AlternateContent>
        <mc:AlternateContent xmlns:mc="http://schemas.openxmlformats.org/markup-compatibility/2006">
          <mc:Choice Requires="x14">
            <control shapeId="13244" r:id="rId2237" name="Button 1980">
              <controlPr defaultSize="0" autoFill="0" autoLine="0" autoPict="0" macro="[0]!Sheet1.deleteRow">
                <anchor moveWithCells="1" sizeWithCells="1">
                  <from>
                    <xdr:col>6</xdr:col>
                    <xdr:colOff>0</xdr:colOff>
                    <xdr:row>3870</xdr:row>
                    <xdr:rowOff>0</xdr:rowOff>
                  </from>
                  <to>
                    <xdr:col>7</xdr:col>
                    <xdr:colOff>0</xdr:colOff>
                    <xdr:row>3870</xdr:row>
                    <xdr:rowOff>165100</xdr:rowOff>
                  </to>
                </anchor>
              </controlPr>
            </control>
          </mc:Choice>
        </mc:AlternateContent>
        <mc:AlternateContent xmlns:mc="http://schemas.openxmlformats.org/markup-compatibility/2006">
          <mc:Choice Requires="x14">
            <control shapeId="13243" r:id="rId2238" name="Button 1979">
              <controlPr defaultSize="0" autoFill="0" autoLine="0" autoPict="0" macro="[0]!Sheet1.deleteRow">
                <anchor moveWithCells="1" sizeWithCells="1">
                  <from>
                    <xdr:col>6</xdr:col>
                    <xdr:colOff>0</xdr:colOff>
                    <xdr:row>3871</xdr:row>
                    <xdr:rowOff>0</xdr:rowOff>
                  </from>
                  <to>
                    <xdr:col>7</xdr:col>
                    <xdr:colOff>0</xdr:colOff>
                    <xdr:row>3871</xdr:row>
                    <xdr:rowOff>165100</xdr:rowOff>
                  </to>
                </anchor>
              </controlPr>
            </control>
          </mc:Choice>
        </mc:AlternateContent>
        <mc:AlternateContent xmlns:mc="http://schemas.openxmlformats.org/markup-compatibility/2006">
          <mc:Choice Requires="x14">
            <control shapeId="13242" r:id="rId2239" name="Button 1978">
              <controlPr defaultSize="0" autoFill="0" autoLine="0" autoPict="0" macro="[0]!Sheet1.deleteRow">
                <anchor moveWithCells="1" sizeWithCells="1">
                  <from>
                    <xdr:col>6</xdr:col>
                    <xdr:colOff>0</xdr:colOff>
                    <xdr:row>3872</xdr:row>
                    <xdr:rowOff>0</xdr:rowOff>
                  </from>
                  <to>
                    <xdr:col>7</xdr:col>
                    <xdr:colOff>0</xdr:colOff>
                    <xdr:row>3872</xdr:row>
                    <xdr:rowOff>165100</xdr:rowOff>
                  </to>
                </anchor>
              </controlPr>
            </control>
          </mc:Choice>
        </mc:AlternateContent>
        <mc:AlternateContent xmlns:mc="http://schemas.openxmlformats.org/markup-compatibility/2006">
          <mc:Choice Requires="x14">
            <control shapeId="13241" r:id="rId2240" name="Button 1977">
              <controlPr defaultSize="0" autoFill="0" autoLine="0" autoPict="0" macro="[0]!Sheet1.deleteRow">
                <anchor moveWithCells="1" sizeWithCells="1">
                  <from>
                    <xdr:col>6</xdr:col>
                    <xdr:colOff>0</xdr:colOff>
                    <xdr:row>3873</xdr:row>
                    <xdr:rowOff>0</xdr:rowOff>
                  </from>
                  <to>
                    <xdr:col>7</xdr:col>
                    <xdr:colOff>0</xdr:colOff>
                    <xdr:row>3873</xdr:row>
                    <xdr:rowOff>165100</xdr:rowOff>
                  </to>
                </anchor>
              </controlPr>
            </control>
          </mc:Choice>
        </mc:AlternateContent>
        <mc:AlternateContent xmlns:mc="http://schemas.openxmlformats.org/markup-compatibility/2006">
          <mc:Choice Requires="x14">
            <control shapeId="13240" r:id="rId2241" name="Button 1976">
              <controlPr defaultSize="0" autoFill="0" autoLine="0" autoPict="0" macro="[0]!Sheet1.deleteRow">
                <anchor moveWithCells="1" sizeWithCells="1">
                  <from>
                    <xdr:col>6</xdr:col>
                    <xdr:colOff>0</xdr:colOff>
                    <xdr:row>3874</xdr:row>
                    <xdr:rowOff>0</xdr:rowOff>
                  </from>
                  <to>
                    <xdr:col>7</xdr:col>
                    <xdr:colOff>0</xdr:colOff>
                    <xdr:row>3874</xdr:row>
                    <xdr:rowOff>165100</xdr:rowOff>
                  </to>
                </anchor>
              </controlPr>
            </control>
          </mc:Choice>
        </mc:AlternateContent>
        <mc:AlternateContent xmlns:mc="http://schemas.openxmlformats.org/markup-compatibility/2006">
          <mc:Choice Requires="x14">
            <control shapeId="13239" r:id="rId2242" name="Button 1975">
              <controlPr defaultSize="0" autoFill="0" autoLine="0" autoPict="0" macro="[0]!Sheet1.deleteRow">
                <anchor moveWithCells="1" sizeWithCells="1">
                  <from>
                    <xdr:col>6</xdr:col>
                    <xdr:colOff>0</xdr:colOff>
                    <xdr:row>3875</xdr:row>
                    <xdr:rowOff>0</xdr:rowOff>
                  </from>
                  <to>
                    <xdr:col>7</xdr:col>
                    <xdr:colOff>0</xdr:colOff>
                    <xdr:row>3875</xdr:row>
                    <xdr:rowOff>165100</xdr:rowOff>
                  </to>
                </anchor>
              </controlPr>
            </control>
          </mc:Choice>
        </mc:AlternateContent>
        <mc:AlternateContent xmlns:mc="http://schemas.openxmlformats.org/markup-compatibility/2006">
          <mc:Choice Requires="x14">
            <control shapeId="13238" r:id="rId2243" name="Button 1974">
              <controlPr defaultSize="0" autoFill="0" autoLine="0" autoPict="0" macro="[0]!Sheet1.deleteRow">
                <anchor moveWithCells="1" sizeWithCells="1">
                  <from>
                    <xdr:col>6</xdr:col>
                    <xdr:colOff>0</xdr:colOff>
                    <xdr:row>3876</xdr:row>
                    <xdr:rowOff>0</xdr:rowOff>
                  </from>
                  <to>
                    <xdr:col>7</xdr:col>
                    <xdr:colOff>0</xdr:colOff>
                    <xdr:row>3876</xdr:row>
                    <xdr:rowOff>165100</xdr:rowOff>
                  </to>
                </anchor>
              </controlPr>
            </control>
          </mc:Choice>
        </mc:AlternateContent>
        <mc:AlternateContent xmlns:mc="http://schemas.openxmlformats.org/markup-compatibility/2006">
          <mc:Choice Requires="x14">
            <control shapeId="13237" r:id="rId2244" name="Button 1973">
              <controlPr defaultSize="0" autoFill="0" autoLine="0" autoPict="0" macro="[0]!Sheet1.deleteRow">
                <anchor moveWithCells="1" sizeWithCells="1">
                  <from>
                    <xdr:col>6</xdr:col>
                    <xdr:colOff>0</xdr:colOff>
                    <xdr:row>3877</xdr:row>
                    <xdr:rowOff>0</xdr:rowOff>
                  </from>
                  <to>
                    <xdr:col>7</xdr:col>
                    <xdr:colOff>0</xdr:colOff>
                    <xdr:row>3877</xdr:row>
                    <xdr:rowOff>165100</xdr:rowOff>
                  </to>
                </anchor>
              </controlPr>
            </control>
          </mc:Choice>
        </mc:AlternateContent>
        <mc:AlternateContent xmlns:mc="http://schemas.openxmlformats.org/markup-compatibility/2006">
          <mc:Choice Requires="x14">
            <control shapeId="13236" r:id="rId2245" name="Button 1972">
              <controlPr defaultSize="0" autoFill="0" autoLine="0" autoPict="0" macro="[0]!Sheet1.deleteRow">
                <anchor moveWithCells="1" sizeWithCells="1">
                  <from>
                    <xdr:col>6</xdr:col>
                    <xdr:colOff>0</xdr:colOff>
                    <xdr:row>3878</xdr:row>
                    <xdr:rowOff>0</xdr:rowOff>
                  </from>
                  <to>
                    <xdr:col>7</xdr:col>
                    <xdr:colOff>0</xdr:colOff>
                    <xdr:row>3878</xdr:row>
                    <xdr:rowOff>165100</xdr:rowOff>
                  </to>
                </anchor>
              </controlPr>
            </control>
          </mc:Choice>
        </mc:AlternateContent>
        <mc:AlternateContent xmlns:mc="http://schemas.openxmlformats.org/markup-compatibility/2006">
          <mc:Choice Requires="x14">
            <control shapeId="13235" r:id="rId2246" name="Button 1971">
              <controlPr defaultSize="0" autoFill="0" autoLine="0" autoPict="0" macro="[0]!Sheet1.deleteRow">
                <anchor moveWithCells="1" sizeWithCells="1">
                  <from>
                    <xdr:col>6</xdr:col>
                    <xdr:colOff>0</xdr:colOff>
                    <xdr:row>3879</xdr:row>
                    <xdr:rowOff>0</xdr:rowOff>
                  </from>
                  <to>
                    <xdr:col>7</xdr:col>
                    <xdr:colOff>0</xdr:colOff>
                    <xdr:row>3879</xdr:row>
                    <xdr:rowOff>165100</xdr:rowOff>
                  </to>
                </anchor>
              </controlPr>
            </control>
          </mc:Choice>
        </mc:AlternateContent>
        <mc:AlternateContent xmlns:mc="http://schemas.openxmlformats.org/markup-compatibility/2006">
          <mc:Choice Requires="x14">
            <control shapeId="13234" r:id="rId2247" name="Button 1970">
              <controlPr defaultSize="0" autoFill="0" autoLine="0" autoPict="0" macro="[0]!Sheet1.deleteRow">
                <anchor moveWithCells="1" sizeWithCells="1">
                  <from>
                    <xdr:col>6</xdr:col>
                    <xdr:colOff>0</xdr:colOff>
                    <xdr:row>3880</xdr:row>
                    <xdr:rowOff>0</xdr:rowOff>
                  </from>
                  <to>
                    <xdr:col>7</xdr:col>
                    <xdr:colOff>0</xdr:colOff>
                    <xdr:row>3880</xdr:row>
                    <xdr:rowOff>165100</xdr:rowOff>
                  </to>
                </anchor>
              </controlPr>
            </control>
          </mc:Choice>
        </mc:AlternateContent>
        <mc:AlternateContent xmlns:mc="http://schemas.openxmlformats.org/markup-compatibility/2006">
          <mc:Choice Requires="x14">
            <control shapeId="13233" r:id="rId2248" name="Button 1969">
              <controlPr defaultSize="0" autoFill="0" autoLine="0" autoPict="0" macro="[0]!Sheet1.deleteRow">
                <anchor moveWithCells="1" sizeWithCells="1">
                  <from>
                    <xdr:col>6</xdr:col>
                    <xdr:colOff>0</xdr:colOff>
                    <xdr:row>3881</xdr:row>
                    <xdr:rowOff>0</xdr:rowOff>
                  </from>
                  <to>
                    <xdr:col>7</xdr:col>
                    <xdr:colOff>0</xdr:colOff>
                    <xdr:row>3881</xdr:row>
                    <xdr:rowOff>165100</xdr:rowOff>
                  </to>
                </anchor>
              </controlPr>
            </control>
          </mc:Choice>
        </mc:AlternateContent>
        <mc:AlternateContent xmlns:mc="http://schemas.openxmlformats.org/markup-compatibility/2006">
          <mc:Choice Requires="x14">
            <control shapeId="13232" r:id="rId2249" name="Button 1968">
              <controlPr defaultSize="0" autoFill="0" autoLine="0" autoPict="0" macro="[0]!Sheet1.deleteRow">
                <anchor moveWithCells="1" sizeWithCells="1">
                  <from>
                    <xdr:col>6</xdr:col>
                    <xdr:colOff>0</xdr:colOff>
                    <xdr:row>3882</xdr:row>
                    <xdr:rowOff>0</xdr:rowOff>
                  </from>
                  <to>
                    <xdr:col>7</xdr:col>
                    <xdr:colOff>0</xdr:colOff>
                    <xdr:row>3882</xdr:row>
                    <xdr:rowOff>165100</xdr:rowOff>
                  </to>
                </anchor>
              </controlPr>
            </control>
          </mc:Choice>
        </mc:AlternateContent>
        <mc:AlternateContent xmlns:mc="http://schemas.openxmlformats.org/markup-compatibility/2006">
          <mc:Choice Requires="x14">
            <control shapeId="13231" r:id="rId2250" name="Button 1967">
              <controlPr defaultSize="0" autoFill="0" autoLine="0" autoPict="0" macro="[0]!Sheet1.deleteRow">
                <anchor moveWithCells="1" sizeWithCells="1">
                  <from>
                    <xdr:col>6</xdr:col>
                    <xdr:colOff>0</xdr:colOff>
                    <xdr:row>3883</xdr:row>
                    <xdr:rowOff>0</xdr:rowOff>
                  </from>
                  <to>
                    <xdr:col>7</xdr:col>
                    <xdr:colOff>0</xdr:colOff>
                    <xdr:row>3883</xdr:row>
                    <xdr:rowOff>165100</xdr:rowOff>
                  </to>
                </anchor>
              </controlPr>
            </control>
          </mc:Choice>
        </mc:AlternateContent>
        <mc:AlternateContent xmlns:mc="http://schemas.openxmlformats.org/markup-compatibility/2006">
          <mc:Choice Requires="x14">
            <control shapeId="13230" r:id="rId2251" name="Button 1966">
              <controlPr defaultSize="0" autoFill="0" autoLine="0" autoPict="0" macro="[0]!Sheet1.deleteRow">
                <anchor moveWithCells="1" sizeWithCells="1">
                  <from>
                    <xdr:col>6</xdr:col>
                    <xdr:colOff>0</xdr:colOff>
                    <xdr:row>3884</xdr:row>
                    <xdr:rowOff>0</xdr:rowOff>
                  </from>
                  <to>
                    <xdr:col>7</xdr:col>
                    <xdr:colOff>0</xdr:colOff>
                    <xdr:row>3884</xdr:row>
                    <xdr:rowOff>165100</xdr:rowOff>
                  </to>
                </anchor>
              </controlPr>
            </control>
          </mc:Choice>
        </mc:AlternateContent>
        <mc:AlternateContent xmlns:mc="http://schemas.openxmlformats.org/markup-compatibility/2006">
          <mc:Choice Requires="x14">
            <control shapeId="13229" r:id="rId2252" name="Button 1965">
              <controlPr defaultSize="0" autoFill="0" autoLine="0" autoPict="0" macro="[0]!Sheet1.deleteRow">
                <anchor moveWithCells="1" sizeWithCells="1">
                  <from>
                    <xdr:col>6</xdr:col>
                    <xdr:colOff>0</xdr:colOff>
                    <xdr:row>3885</xdr:row>
                    <xdr:rowOff>0</xdr:rowOff>
                  </from>
                  <to>
                    <xdr:col>7</xdr:col>
                    <xdr:colOff>0</xdr:colOff>
                    <xdr:row>3885</xdr:row>
                    <xdr:rowOff>165100</xdr:rowOff>
                  </to>
                </anchor>
              </controlPr>
            </control>
          </mc:Choice>
        </mc:AlternateContent>
        <mc:AlternateContent xmlns:mc="http://schemas.openxmlformats.org/markup-compatibility/2006">
          <mc:Choice Requires="x14">
            <control shapeId="13228" r:id="rId2253" name="Button 1964">
              <controlPr defaultSize="0" autoFill="0" autoLine="0" autoPict="0" macro="[0]!Sheet1.deleteRow">
                <anchor moveWithCells="1" sizeWithCells="1">
                  <from>
                    <xdr:col>6</xdr:col>
                    <xdr:colOff>0</xdr:colOff>
                    <xdr:row>3886</xdr:row>
                    <xdr:rowOff>0</xdr:rowOff>
                  </from>
                  <to>
                    <xdr:col>7</xdr:col>
                    <xdr:colOff>0</xdr:colOff>
                    <xdr:row>3886</xdr:row>
                    <xdr:rowOff>165100</xdr:rowOff>
                  </to>
                </anchor>
              </controlPr>
            </control>
          </mc:Choice>
        </mc:AlternateContent>
        <mc:AlternateContent xmlns:mc="http://schemas.openxmlformats.org/markup-compatibility/2006">
          <mc:Choice Requires="x14">
            <control shapeId="13227" r:id="rId2254" name="Button 1963">
              <controlPr defaultSize="0" autoFill="0" autoLine="0" autoPict="0" macro="[0]!Sheet1.deleteRow">
                <anchor moveWithCells="1" sizeWithCells="1">
                  <from>
                    <xdr:col>6</xdr:col>
                    <xdr:colOff>0</xdr:colOff>
                    <xdr:row>3887</xdr:row>
                    <xdr:rowOff>0</xdr:rowOff>
                  </from>
                  <to>
                    <xdr:col>7</xdr:col>
                    <xdr:colOff>0</xdr:colOff>
                    <xdr:row>3887</xdr:row>
                    <xdr:rowOff>165100</xdr:rowOff>
                  </to>
                </anchor>
              </controlPr>
            </control>
          </mc:Choice>
        </mc:AlternateContent>
        <mc:AlternateContent xmlns:mc="http://schemas.openxmlformats.org/markup-compatibility/2006">
          <mc:Choice Requires="x14">
            <control shapeId="13226" r:id="rId2255" name="Button 1962">
              <controlPr defaultSize="0" autoFill="0" autoLine="0" autoPict="0" macro="[0]!Sheet1.deleteRow">
                <anchor moveWithCells="1" sizeWithCells="1">
                  <from>
                    <xdr:col>6</xdr:col>
                    <xdr:colOff>0</xdr:colOff>
                    <xdr:row>3888</xdr:row>
                    <xdr:rowOff>0</xdr:rowOff>
                  </from>
                  <to>
                    <xdr:col>7</xdr:col>
                    <xdr:colOff>0</xdr:colOff>
                    <xdr:row>3888</xdr:row>
                    <xdr:rowOff>165100</xdr:rowOff>
                  </to>
                </anchor>
              </controlPr>
            </control>
          </mc:Choice>
        </mc:AlternateContent>
        <mc:AlternateContent xmlns:mc="http://schemas.openxmlformats.org/markup-compatibility/2006">
          <mc:Choice Requires="x14">
            <control shapeId="13225" r:id="rId2256" name="Button 1961">
              <controlPr defaultSize="0" autoFill="0" autoLine="0" autoPict="0" macro="[0]!Sheet1.deleteRow">
                <anchor moveWithCells="1" sizeWithCells="1">
                  <from>
                    <xdr:col>6</xdr:col>
                    <xdr:colOff>0</xdr:colOff>
                    <xdr:row>3889</xdr:row>
                    <xdr:rowOff>0</xdr:rowOff>
                  </from>
                  <to>
                    <xdr:col>7</xdr:col>
                    <xdr:colOff>0</xdr:colOff>
                    <xdr:row>3889</xdr:row>
                    <xdr:rowOff>165100</xdr:rowOff>
                  </to>
                </anchor>
              </controlPr>
            </control>
          </mc:Choice>
        </mc:AlternateContent>
        <mc:AlternateContent xmlns:mc="http://schemas.openxmlformats.org/markup-compatibility/2006">
          <mc:Choice Requires="x14">
            <control shapeId="13224" r:id="rId2257" name="Button 1960">
              <controlPr defaultSize="0" autoFill="0" autoLine="0" autoPict="0" macro="[0]!Sheet1.deleteProcedure">
                <anchor moveWithCells="1" sizeWithCells="1">
                  <from>
                    <xdr:col>6</xdr:col>
                    <xdr:colOff>0</xdr:colOff>
                    <xdr:row>3892</xdr:row>
                    <xdr:rowOff>0</xdr:rowOff>
                  </from>
                  <to>
                    <xdr:col>7</xdr:col>
                    <xdr:colOff>0</xdr:colOff>
                    <xdr:row>3893</xdr:row>
                    <xdr:rowOff>0</xdr:rowOff>
                  </to>
                </anchor>
              </controlPr>
            </control>
          </mc:Choice>
        </mc:AlternateContent>
        <mc:AlternateContent xmlns:mc="http://schemas.openxmlformats.org/markup-compatibility/2006">
          <mc:Choice Requires="x14">
            <control shapeId="13223" r:id="rId2258" name="Button 1959">
              <controlPr defaultSize="0" autoFill="0" autoLine="0" autoPict="0" macro="[0]!Sheet1.InsertNewTableRow">
                <anchor moveWithCells="1" sizeWithCells="1">
                  <from>
                    <xdr:col>6</xdr:col>
                    <xdr:colOff>0</xdr:colOff>
                    <xdr:row>3899</xdr:row>
                    <xdr:rowOff>0</xdr:rowOff>
                  </from>
                  <to>
                    <xdr:col>7</xdr:col>
                    <xdr:colOff>0</xdr:colOff>
                    <xdr:row>3899</xdr:row>
                    <xdr:rowOff>171450</xdr:rowOff>
                  </to>
                </anchor>
              </controlPr>
            </control>
          </mc:Choice>
        </mc:AlternateContent>
        <mc:AlternateContent xmlns:mc="http://schemas.openxmlformats.org/markup-compatibility/2006">
          <mc:Choice Requires="x14">
            <control shapeId="13222" r:id="rId2259" name="Button 1958">
              <controlPr defaultSize="0" autoFill="0" autoLine="0" autoPict="0" macro="[0]!Sheet1.deleteRow">
                <anchor moveWithCells="1" sizeWithCells="1">
                  <from>
                    <xdr:col>6</xdr:col>
                    <xdr:colOff>0</xdr:colOff>
                    <xdr:row>3900</xdr:row>
                    <xdr:rowOff>0</xdr:rowOff>
                  </from>
                  <to>
                    <xdr:col>7</xdr:col>
                    <xdr:colOff>0</xdr:colOff>
                    <xdr:row>3900</xdr:row>
                    <xdr:rowOff>165100</xdr:rowOff>
                  </to>
                </anchor>
              </controlPr>
            </control>
          </mc:Choice>
        </mc:AlternateContent>
        <mc:AlternateContent xmlns:mc="http://schemas.openxmlformats.org/markup-compatibility/2006">
          <mc:Choice Requires="x14">
            <control shapeId="13221" r:id="rId2260" name="Button 1957">
              <controlPr defaultSize="0" autoFill="0" autoLine="0" autoPict="0" macro="[0]!Sheet1.deleteRow">
                <anchor moveWithCells="1" sizeWithCells="1">
                  <from>
                    <xdr:col>6</xdr:col>
                    <xdr:colOff>0</xdr:colOff>
                    <xdr:row>3901</xdr:row>
                    <xdr:rowOff>0</xdr:rowOff>
                  </from>
                  <to>
                    <xdr:col>7</xdr:col>
                    <xdr:colOff>0</xdr:colOff>
                    <xdr:row>3901</xdr:row>
                    <xdr:rowOff>165100</xdr:rowOff>
                  </to>
                </anchor>
              </controlPr>
            </control>
          </mc:Choice>
        </mc:AlternateContent>
        <mc:AlternateContent xmlns:mc="http://schemas.openxmlformats.org/markup-compatibility/2006">
          <mc:Choice Requires="x14">
            <control shapeId="13220" r:id="rId2261" name="Button 1956">
              <controlPr defaultSize="0" autoFill="0" autoLine="0" autoPict="0" macro="[0]!Sheet1.deleteRow">
                <anchor moveWithCells="1" sizeWithCells="1">
                  <from>
                    <xdr:col>6</xdr:col>
                    <xdr:colOff>0</xdr:colOff>
                    <xdr:row>3902</xdr:row>
                    <xdr:rowOff>0</xdr:rowOff>
                  </from>
                  <to>
                    <xdr:col>7</xdr:col>
                    <xdr:colOff>0</xdr:colOff>
                    <xdr:row>3902</xdr:row>
                    <xdr:rowOff>165100</xdr:rowOff>
                  </to>
                </anchor>
              </controlPr>
            </control>
          </mc:Choice>
        </mc:AlternateContent>
        <mc:AlternateContent xmlns:mc="http://schemas.openxmlformats.org/markup-compatibility/2006">
          <mc:Choice Requires="x14">
            <control shapeId="13219" r:id="rId2262" name="Button 1955">
              <controlPr defaultSize="0" autoFill="0" autoLine="0" autoPict="0" macro="[0]!Sheet1.deleteRow">
                <anchor moveWithCells="1" sizeWithCells="1">
                  <from>
                    <xdr:col>6</xdr:col>
                    <xdr:colOff>0</xdr:colOff>
                    <xdr:row>3903</xdr:row>
                    <xdr:rowOff>0</xdr:rowOff>
                  </from>
                  <to>
                    <xdr:col>7</xdr:col>
                    <xdr:colOff>0</xdr:colOff>
                    <xdr:row>3903</xdr:row>
                    <xdr:rowOff>165100</xdr:rowOff>
                  </to>
                </anchor>
              </controlPr>
            </control>
          </mc:Choice>
        </mc:AlternateContent>
        <mc:AlternateContent xmlns:mc="http://schemas.openxmlformats.org/markup-compatibility/2006">
          <mc:Choice Requires="x14">
            <control shapeId="13218" r:id="rId2263" name="Button 1954">
              <controlPr defaultSize="0" autoFill="0" autoLine="0" autoPict="0" macro="[0]!Sheet1.deleteRow">
                <anchor moveWithCells="1" sizeWithCells="1">
                  <from>
                    <xdr:col>6</xdr:col>
                    <xdr:colOff>0</xdr:colOff>
                    <xdr:row>3904</xdr:row>
                    <xdr:rowOff>0</xdr:rowOff>
                  </from>
                  <to>
                    <xdr:col>7</xdr:col>
                    <xdr:colOff>0</xdr:colOff>
                    <xdr:row>3904</xdr:row>
                    <xdr:rowOff>165100</xdr:rowOff>
                  </to>
                </anchor>
              </controlPr>
            </control>
          </mc:Choice>
        </mc:AlternateContent>
        <mc:AlternateContent xmlns:mc="http://schemas.openxmlformats.org/markup-compatibility/2006">
          <mc:Choice Requires="x14">
            <control shapeId="13217" r:id="rId2264" name="Button 1953">
              <controlPr defaultSize="0" autoFill="0" autoLine="0" autoPict="0" macro="[0]!Sheet1.deleteRow">
                <anchor moveWithCells="1" sizeWithCells="1">
                  <from>
                    <xdr:col>6</xdr:col>
                    <xdr:colOff>0</xdr:colOff>
                    <xdr:row>3905</xdr:row>
                    <xdr:rowOff>0</xdr:rowOff>
                  </from>
                  <to>
                    <xdr:col>7</xdr:col>
                    <xdr:colOff>0</xdr:colOff>
                    <xdr:row>3905</xdr:row>
                    <xdr:rowOff>165100</xdr:rowOff>
                  </to>
                </anchor>
              </controlPr>
            </control>
          </mc:Choice>
        </mc:AlternateContent>
        <mc:AlternateContent xmlns:mc="http://schemas.openxmlformats.org/markup-compatibility/2006">
          <mc:Choice Requires="x14">
            <control shapeId="13216" r:id="rId2265" name="Button 1952">
              <controlPr defaultSize="0" autoFill="0" autoLine="0" autoPict="0" macro="[0]!Sheet1.deleteRow">
                <anchor moveWithCells="1" sizeWithCells="1">
                  <from>
                    <xdr:col>6</xdr:col>
                    <xdr:colOff>0</xdr:colOff>
                    <xdr:row>3906</xdr:row>
                    <xdr:rowOff>0</xdr:rowOff>
                  </from>
                  <to>
                    <xdr:col>7</xdr:col>
                    <xdr:colOff>0</xdr:colOff>
                    <xdr:row>3906</xdr:row>
                    <xdr:rowOff>165100</xdr:rowOff>
                  </to>
                </anchor>
              </controlPr>
            </control>
          </mc:Choice>
        </mc:AlternateContent>
        <mc:AlternateContent xmlns:mc="http://schemas.openxmlformats.org/markup-compatibility/2006">
          <mc:Choice Requires="x14">
            <control shapeId="13215" r:id="rId2266" name="Button 1951">
              <controlPr defaultSize="0" autoFill="0" autoLine="0" autoPict="0" macro="[0]!Sheet1.deleteRow">
                <anchor moveWithCells="1" sizeWithCells="1">
                  <from>
                    <xdr:col>6</xdr:col>
                    <xdr:colOff>0</xdr:colOff>
                    <xdr:row>3907</xdr:row>
                    <xdr:rowOff>0</xdr:rowOff>
                  </from>
                  <to>
                    <xdr:col>7</xdr:col>
                    <xdr:colOff>0</xdr:colOff>
                    <xdr:row>3907</xdr:row>
                    <xdr:rowOff>165100</xdr:rowOff>
                  </to>
                </anchor>
              </controlPr>
            </control>
          </mc:Choice>
        </mc:AlternateContent>
        <mc:AlternateContent xmlns:mc="http://schemas.openxmlformats.org/markup-compatibility/2006">
          <mc:Choice Requires="x14">
            <control shapeId="13214" r:id="rId2267" name="Button 1950">
              <controlPr defaultSize="0" autoFill="0" autoLine="0" autoPict="0" macro="[0]!Sheet1.deleteRow">
                <anchor moveWithCells="1" sizeWithCells="1">
                  <from>
                    <xdr:col>6</xdr:col>
                    <xdr:colOff>0</xdr:colOff>
                    <xdr:row>3908</xdr:row>
                    <xdr:rowOff>0</xdr:rowOff>
                  </from>
                  <to>
                    <xdr:col>7</xdr:col>
                    <xdr:colOff>0</xdr:colOff>
                    <xdr:row>3908</xdr:row>
                    <xdr:rowOff>165100</xdr:rowOff>
                  </to>
                </anchor>
              </controlPr>
            </control>
          </mc:Choice>
        </mc:AlternateContent>
        <mc:AlternateContent xmlns:mc="http://schemas.openxmlformats.org/markup-compatibility/2006">
          <mc:Choice Requires="x14">
            <control shapeId="13213" r:id="rId2268" name="Button 1949">
              <controlPr defaultSize="0" autoFill="0" autoLine="0" autoPict="0" macro="[0]!Sheet1.deleteRow">
                <anchor moveWithCells="1" sizeWithCells="1">
                  <from>
                    <xdr:col>6</xdr:col>
                    <xdr:colOff>0</xdr:colOff>
                    <xdr:row>3909</xdr:row>
                    <xdr:rowOff>0</xdr:rowOff>
                  </from>
                  <to>
                    <xdr:col>7</xdr:col>
                    <xdr:colOff>0</xdr:colOff>
                    <xdr:row>3909</xdr:row>
                    <xdr:rowOff>165100</xdr:rowOff>
                  </to>
                </anchor>
              </controlPr>
            </control>
          </mc:Choice>
        </mc:AlternateContent>
        <mc:AlternateContent xmlns:mc="http://schemas.openxmlformats.org/markup-compatibility/2006">
          <mc:Choice Requires="x14">
            <control shapeId="13212" r:id="rId2269" name="Button 1948">
              <controlPr defaultSize="0" autoFill="0" autoLine="0" autoPict="0" macro="[0]!Sheet1.deleteRow">
                <anchor moveWithCells="1" sizeWithCells="1">
                  <from>
                    <xdr:col>6</xdr:col>
                    <xdr:colOff>0</xdr:colOff>
                    <xdr:row>3910</xdr:row>
                    <xdr:rowOff>0</xdr:rowOff>
                  </from>
                  <to>
                    <xdr:col>7</xdr:col>
                    <xdr:colOff>0</xdr:colOff>
                    <xdr:row>3910</xdr:row>
                    <xdr:rowOff>165100</xdr:rowOff>
                  </to>
                </anchor>
              </controlPr>
            </control>
          </mc:Choice>
        </mc:AlternateContent>
        <mc:AlternateContent xmlns:mc="http://schemas.openxmlformats.org/markup-compatibility/2006">
          <mc:Choice Requires="x14">
            <control shapeId="13211" r:id="rId2270" name="Button 1947">
              <controlPr defaultSize="0" autoFill="0" autoLine="0" autoPict="0" macro="[0]!Sheet1.deleteRow">
                <anchor moveWithCells="1" sizeWithCells="1">
                  <from>
                    <xdr:col>6</xdr:col>
                    <xdr:colOff>0</xdr:colOff>
                    <xdr:row>3911</xdr:row>
                    <xdr:rowOff>0</xdr:rowOff>
                  </from>
                  <to>
                    <xdr:col>7</xdr:col>
                    <xdr:colOff>0</xdr:colOff>
                    <xdr:row>3911</xdr:row>
                    <xdr:rowOff>165100</xdr:rowOff>
                  </to>
                </anchor>
              </controlPr>
            </control>
          </mc:Choice>
        </mc:AlternateContent>
        <mc:AlternateContent xmlns:mc="http://schemas.openxmlformats.org/markup-compatibility/2006">
          <mc:Choice Requires="x14">
            <control shapeId="13210" r:id="rId2271" name="Button 1946">
              <controlPr defaultSize="0" autoFill="0" autoLine="0" autoPict="0" macro="[0]!Sheet1.deleteProcedure">
                <anchor moveWithCells="1" sizeWithCells="1">
                  <from>
                    <xdr:col>6</xdr:col>
                    <xdr:colOff>0</xdr:colOff>
                    <xdr:row>3914</xdr:row>
                    <xdr:rowOff>0</xdr:rowOff>
                  </from>
                  <to>
                    <xdr:col>7</xdr:col>
                    <xdr:colOff>0</xdr:colOff>
                    <xdr:row>3915</xdr:row>
                    <xdr:rowOff>0</xdr:rowOff>
                  </to>
                </anchor>
              </controlPr>
            </control>
          </mc:Choice>
        </mc:AlternateContent>
        <mc:AlternateContent xmlns:mc="http://schemas.openxmlformats.org/markup-compatibility/2006">
          <mc:Choice Requires="x14">
            <control shapeId="13209" r:id="rId2272" name="Button 1945">
              <controlPr defaultSize="0" autoFill="0" autoLine="0" autoPict="0" macro="[0]!Sheet1.InsertNewTableRow">
                <anchor moveWithCells="1" sizeWithCells="1">
                  <from>
                    <xdr:col>6</xdr:col>
                    <xdr:colOff>0</xdr:colOff>
                    <xdr:row>3921</xdr:row>
                    <xdr:rowOff>0</xdr:rowOff>
                  </from>
                  <to>
                    <xdr:col>7</xdr:col>
                    <xdr:colOff>0</xdr:colOff>
                    <xdr:row>3921</xdr:row>
                    <xdr:rowOff>171450</xdr:rowOff>
                  </to>
                </anchor>
              </controlPr>
            </control>
          </mc:Choice>
        </mc:AlternateContent>
        <mc:AlternateContent xmlns:mc="http://schemas.openxmlformats.org/markup-compatibility/2006">
          <mc:Choice Requires="x14">
            <control shapeId="13208" r:id="rId2273" name="Button 1944">
              <controlPr defaultSize="0" autoFill="0" autoLine="0" autoPict="0" macro="[0]!Sheet1.deleteRow">
                <anchor moveWithCells="1" sizeWithCells="1">
                  <from>
                    <xdr:col>6</xdr:col>
                    <xdr:colOff>0</xdr:colOff>
                    <xdr:row>3922</xdr:row>
                    <xdr:rowOff>0</xdr:rowOff>
                  </from>
                  <to>
                    <xdr:col>7</xdr:col>
                    <xdr:colOff>0</xdr:colOff>
                    <xdr:row>3922</xdr:row>
                    <xdr:rowOff>165100</xdr:rowOff>
                  </to>
                </anchor>
              </controlPr>
            </control>
          </mc:Choice>
        </mc:AlternateContent>
        <mc:AlternateContent xmlns:mc="http://schemas.openxmlformats.org/markup-compatibility/2006">
          <mc:Choice Requires="x14">
            <control shapeId="13207" r:id="rId2274" name="Button 1943">
              <controlPr defaultSize="0" autoFill="0" autoLine="0" autoPict="0" macro="[0]!Sheet1.deleteRow">
                <anchor moveWithCells="1" sizeWithCells="1">
                  <from>
                    <xdr:col>6</xdr:col>
                    <xdr:colOff>0</xdr:colOff>
                    <xdr:row>3923</xdr:row>
                    <xdr:rowOff>0</xdr:rowOff>
                  </from>
                  <to>
                    <xdr:col>7</xdr:col>
                    <xdr:colOff>0</xdr:colOff>
                    <xdr:row>3923</xdr:row>
                    <xdr:rowOff>165100</xdr:rowOff>
                  </to>
                </anchor>
              </controlPr>
            </control>
          </mc:Choice>
        </mc:AlternateContent>
        <mc:AlternateContent xmlns:mc="http://schemas.openxmlformats.org/markup-compatibility/2006">
          <mc:Choice Requires="x14">
            <control shapeId="13206" r:id="rId2275" name="Button 1942">
              <controlPr defaultSize="0" autoFill="0" autoLine="0" autoPict="0" macro="[0]!Sheet1.deleteRow">
                <anchor moveWithCells="1" sizeWithCells="1">
                  <from>
                    <xdr:col>6</xdr:col>
                    <xdr:colOff>0</xdr:colOff>
                    <xdr:row>3924</xdr:row>
                    <xdr:rowOff>0</xdr:rowOff>
                  </from>
                  <to>
                    <xdr:col>7</xdr:col>
                    <xdr:colOff>0</xdr:colOff>
                    <xdr:row>3924</xdr:row>
                    <xdr:rowOff>165100</xdr:rowOff>
                  </to>
                </anchor>
              </controlPr>
            </control>
          </mc:Choice>
        </mc:AlternateContent>
        <mc:AlternateContent xmlns:mc="http://schemas.openxmlformats.org/markup-compatibility/2006">
          <mc:Choice Requires="x14">
            <control shapeId="13205" r:id="rId2276" name="Button 1941">
              <controlPr defaultSize="0" autoFill="0" autoLine="0" autoPict="0" macro="[0]!Sheet1.deleteRow">
                <anchor moveWithCells="1" sizeWithCells="1">
                  <from>
                    <xdr:col>6</xdr:col>
                    <xdr:colOff>0</xdr:colOff>
                    <xdr:row>3925</xdr:row>
                    <xdr:rowOff>0</xdr:rowOff>
                  </from>
                  <to>
                    <xdr:col>7</xdr:col>
                    <xdr:colOff>0</xdr:colOff>
                    <xdr:row>3925</xdr:row>
                    <xdr:rowOff>165100</xdr:rowOff>
                  </to>
                </anchor>
              </controlPr>
            </control>
          </mc:Choice>
        </mc:AlternateContent>
        <mc:AlternateContent xmlns:mc="http://schemas.openxmlformats.org/markup-compatibility/2006">
          <mc:Choice Requires="x14">
            <control shapeId="13204" r:id="rId2277" name="Button 1940">
              <controlPr defaultSize="0" autoFill="0" autoLine="0" autoPict="0" macro="[0]!Sheet1.deleteRow">
                <anchor moveWithCells="1" sizeWithCells="1">
                  <from>
                    <xdr:col>6</xdr:col>
                    <xdr:colOff>0</xdr:colOff>
                    <xdr:row>3926</xdr:row>
                    <xdr:rowOff>0</xdr:rowOff>
                  </from>
                  <to>
                    <xdr:col>7</xdr:col>
                    <xdr:colOff>0</xdr:colOff>
                    <xdr:row>3926</xdr:row>
                    <xdr:rowOff>165100</xdr:rowOff>
                  </to>
                </anchor>
              </controlPr>
            </control>
          </mc:Choice>
        </mc:AlternateContent>
        <mc:AlternateContent xmlns:mc="http://schemas.openxmlformats.org/markup-compatibility/2006">
          <mc:Choice Requires="x14">
            <control shapeId="13203" r:id="rId2278" name="Button 1939">
              <controlPr defaultSize="0" autoFill="0" autoLine="0" autoPict="0" macro="[0]!Sheet1.deleteRow">
                <anchor moveWithCells="1" sizeWithCells="1">
                  <from>
                    <xdr:col>6</xdr:col>
                    <xdr:colOff>0</xdr:colOff>
                    <xdr:row>3927</xdr:row>
                    <xdr:rowOff>0</xdr:rowOff>
                  </from>
                  <to>
                    <xdr:col>7</xdr:col>
                    <xdr:colOff>0</xdr:colOff>
                    <xdr:row>3927</xdr:row>
                    <xdr:rowOff>165100</xdr:rowOff>
                  </to>
                </anchor>
              </controlPr>
            </control>
          </mc:Choice>
        </mc:AlternateContent>
        <mc:AlternateContent xmlns:mc="http://schemas.openxmlformats.org/markup-compatibility/2006">
          <mc:Choice Requires="x14">
            <control shapeId="13202" r:id="rId2279" name="Button 1938">
              <controlPr defaultSize="0" autoFill="0" autoLine="0" autoPict="0" macro="[0]!Sheet1.deleteRow">
                <anchor moveWithCells="1" sizeWithCells="1">
                  <from>
                    <xdr:col>6</xdr:col>
                    <xdr:colOff>0</xdr:colOff>
                    <xdr:row>3928</xdr:row>
                    <xdr:rowOff>0</xdr:rowOff>
                  </from>
                  <to>
                    <xdr:col>7</xdr:col>
                    <xdr:colOff>0</xdr:colOff>
                    <xdr:row>3928</xdr:row>
                    <xdr:rowOff>165100</xdr:rowOff>
                  </to>
                </anchor>
              </controlPr>
            </control>
          </mc:Choice>
        </mc:AlternateContent>
        <mc:AlternateContent xmlns:mc="http://schemas.openxmlformats.org/markup-compatibility/2006">
          <mc:Choice Requires="x14">
            <control shapeId="13201" r:id="rId2280" name="Button 1937">
              <controlPr defaultSize="0" autoFill="0" autoLine="0" autoPict="0" macro="[0]!Sheet1.deleteRow">
                <anchor moveWithCells="1" sizeWithCells="1">
                  <from>
                    <xdr:col>6</xdr:col>
                    <xdr:colOff>0</xdr:colOff>
                    <xdr:row>3929</xdr:row>
                    <xdr:rowOff>0</xdr:rowOff>
                  </from>
                  <to>
                    <xdr:col>7</xdr:col>
                    <xdr:colOff>0</xdr:colOff>
                    <xdr:row>3929</xdr:row>
                    <xdr:rowOff>165100</xdr:rowOff>
                  </to>
                </anchor>
              </controlPr>
            </control>
          </mc:Choice>
        </mc:AlternateContent>
        <mc:AlternateContent xmlns:mc="http://schemas.openxmlformats.org/markup-compatibility/2006">
          <mc:Choice Requires="x14">
            <control shapeId="13200" r:id="rId2281" name="Button 1936">
              <controlPr defaultSize="0" autoFill="0" autoLine="0" autoPict="0" macro="[0]!Sheet1.deleteRow">
                <anchor moveWithCells="1" sizeWithCells="1">
                  <from>
                    <xdr:col>6</xdr:col>
                    <xdr:colOff>0</xdr:colOff>
                    <xdr:row>3930</xdr:row>
                    <xdr:rowOff>0</xdr:rowOff>
                  </from>
                  <to>
                    <xdr:col>7</xdr:col>
                    <xdr:colOff>0</xdr:colOff>
                    <xdr:row>3930</xdr:row>
                    <xdr:rowOff>165100</xdr:rowOff>
                  </to>
                </anchor>
              </controlPr>
            </control>
          </mc:Choice>
        </mc:AlternateContent>
        <mc:AlternateContent xmlns:mc="http://schemas.openxmlformats.org/markup-compatibility/2006">
          <mc:Choice Requires="x14">
            <control shapeId="13199" r:id="rId2282" name="Button 1935">
              <controlPr defaultSize="0" autoFill="0" autoLine="0" autoPict="0" macro="[0]!Sheet1.deleteProcedure">
                <anchor moveWithCells="1" sizeWithCells="1">
                  <from>
                    <xdr:col>6</xdr:col>
                    <xdr:colOff>0</xdr:colOff>
                    <xdr:row>3933</xdr:row>
                    <xdr:rowOff>0</xdr:rowOff>
                  </from>
                  <to>
                    <xdr:col>7</xdr:col>
                    <xdr:colOff>0</xdr:colOff>
                    <xdr:row>3934</xdr:row>
                    <xdr:rowOff>0</xdr:rowOff>
                  </to>
                </anchor>
              </controlPr>
            </control>
          </mc:Choice>
        </mc:AlternateContent>
        <mc:AlternateContent xmlns:mc="http://schemas.openxmlformats.org/markup-compatibility/2006">
          <mc:Choice Requires="x14">
            <control shapeId="13198" r:id="rId2283" name="Button 1934">
              <controlPr defaultSize="0" autoFill="0" autoLine="0" autoPict="0" macro="[0]!Sheet1.InsertNewTableRow">
                <anchor moveWithCells="1" sizeWithCells="1">
                  <from>
                    <xdr:col>6</xdr:col>
                    <xdr:colOff>0</xdr:colOff>
                    <xdr:row>3940</xdr:row>
                    <xdr:rowOff>0</xdr:rowOff>
                  </from>
                  <to>
                    <xdr:col>7</xdr:col>
                    <xdr:colOff>0</xdr:colOff>
                    <xdr:row>3940</xdr:row>
                    <xdr:rowOff>171450</xdr:rowOff>
                  </to>
                </anchor>
              </controlPr>
            </control>
          </mc:Choice>
        </mc:AlternateContent>
        <mc:AlternateContent xmlns:mc="http://schemas.openxmlformats.org/markup-compatibility/2006">
          <mc:Choice Requires="x14">
            <control shapeId="13197" r:id="rId2284" name="Button 1933">
              <controlPr defaultSize="0" autoFill="0" autoLine="0" autoPict="0" macro="[0]!Sheet1.deleteRow">
                <anchor moveWithCells="1" sizeWithCells="1">
                  <from>
                    <xdr:col>6</xdr:col>
                    <xdr:colOff>0</xdr:colOff>
                    <xdr:row>3941</xdr:row>
                    <xdr:rowOff>0</xdr:rowOff>
                  </from>
                  <to>
                    <xdr:col>7</xdr:col>
                    <xdr:colOff>0</xdr:colOff>
                    <xdr:row>3941</xdr:row>
                    <xdr:rowOff>165100</xdr:rowOff>
                  </to>
                </anchor>
              </controlPr>
            </control>
          </mc:Choice>
        </mc:AlternateContent>
        <mc:AlternateContent xmlns:mc="http://schemas.openxmlformats.org/markup-compatibility/2006">
          <mc:Choice Requires="x14">
            <control shapeId="13196" r:id="rId2285" name="Button 1932">
              <controlPr defaultSize="0" autoFill="0" autoLine="0" autoPict="0" macro="[0]!Sheet1.deleteRow">
                <anchor moveWithCells="1" sizeWithCells="1">
                  <from>
                    <xdr:col>6</xdr:col>
                    <xdr:colOff>0</xdr:colOff>
                    <xdr:row>3942</xdr:row>
                    <xdr:rowOff>0</xdr:rowOff>
                  </from>
                  <to>
                    <xdr:col>7</xdr:col>
                    <xdr:colOff>0</xdr:colOff>
                    <xdr:row>3942</xdr:row>
                    <xdr:rowOff>165100</xdr:rowOff>
                  </to>
                </anchor>
              </controlPr>
            </control>
          </mc:Choice>
        </mc:AlternateContent>
        <mc:AlternateContent xmlns:mc="http://schemas.openxmlformats.org/markup-compatibility/2006">
          <mc:Choice Requires="x14">
            <control shapeId="13195" r:id="rId2286" name="Button 1931">
              <controlPr defaultSize="0" autoFill="0" autoLine="0" autoPict="0" macro="[0]!Sheet1.deleteRow">
                <anchor moveWithCells="1" sizeWithCells="1">
                  <from>
                    <xdr:col>6</xdr:col>
                    <xdr:colOff>0</xdr:colOff>
                    <xdr:row>3943</xdr:row>
                    <xdr:rowOff>0</xdr:rowOff>
                  </from>
                  <to>
                    <xdr:col>7</xdr:col>
                    <xdr:colOff>0</xdr:colOff>
                    <xdr:row>3943</xdr:row>
                    <xdr:rowOff>165100</xdr:rowOff>
                  </to>
                </anchor>
              </controlPr>
            </control>
          </mc:Choice>
        </mc:AlternateContent>
        <mc:AlternateContent xmlns:mc="http://schemas.openxmlformats.org/markup-compatibility/2006">
          <mc:Choice Requires="x14">
            <control shapeId="13194" r:id="rId2287" name="Button 1930">
              <controlPr defaultSize="0" autoFill="0" autoLine="0" autoPict="0" macro="[0]!Sheet1.deleteProcedure">
                <anchor moveWithCells="1" sizeWithCells="1">
                  <from>
                    <xdr:col>6</xdr:col>
                    <xdr:colOff>0</xdr:colOff>
                    <xdr:row>3946</xdr:row>
                    <xdr:rowOff>0</xdr:rowOff>
                  </from>
                  <to>
                    <xdr:col>7</xdr:col>
                    <xdr:colOff>0</xdr:colOff>
                    <xdr:row>3947</xdr:row>
                    <xdr:rowOff>0</xdr:rowOff>
                  </to>
                </anchor>
              </controlPr>
            </control>
          </mc:Choice>
        </mc:AlternateContent>
        <mc:AlternateContent xmlns:mc="http://schemas.openxmlformats.org/markup-compatibility/2006">
          <mc:Choice Requires="x14">
            <control shapeId="13193" r:id="rId2288" name="Button 1929">
              <controlPr defaultSize="0" autoFill="0" autoLine="0" autoPict="0" macro="[0]!Sheet1.InsertNewTableRow">
                <anchor moveWithCells="1" sizeWithCells="1">
                  <from>
                    <xdr:col>6</xdr:col>
                    <xdr:colOff>0</xdr:colOff>
                    <xdr:row>3953</xdr:row>
                    <xdr:rowOff>0</xdr:rowOff>
                  </from>
                  <to>
                    <xdr:col>7</xdr:col>
                    <xdr:colOff>0</xdr:colOff>
                    <xdr:row>3953</xdr:row>
                    <xdr:rowOff>171450</xdr:rowOff>
                  </to>
                </anchor>
              </controlPr>
            </control>
          </mc:Choice>
        </mc:AlternateContent>
        <mc:AlternateContent xmlns:mc="http://schemas.openxmlformats.org/markup-compatibility/2006">
          <mc:Choice Requires="x14">
            <control shapeId="13192" r:id="rId2289" name="Button 1928">
              <controlPr defaultSize="0" autoFill="0" autoLine="0" autoPict="0" macro="[0]!Sheet1.deleteRow">
                <anchor moveWithCells="1" sizeWithCells="1">
                  <from>
                    <xdr:col>6</xdr:col>
                    <xdr:colOff>0</xdr:colOff>
                    <xdr:row>3954</xdr:row>
                    <xdr:rowOff>0</xdr:rowOff>
                  </from>
                  <to>
                    <xdr:col>7</xdr:col>
                    <xdr:colOff>0</xdr:colOff>
                    <xdr:row>3954</xdr:row>
                    <xdr:rowOff>165100</xdr:rowOff>
                  </to>
                </anchor>
              </controlPr>
            </control>
          </mc:Choice>
        </mc:AlternateContent>
        <mc:AlternateContent xmlns:mc="http://schemas.openxmlformats.org/markup-compatibility/2006">
          <mc:Choice Requires="x14">
            <control shapeId="13191" r:id="rId2290" name="Button 1927">
              <controlPr defaultSize="0" autoFill="0" autoLine="0" autoPict="0" macro="[0]!Sheet1.deleteRow">
                <anchor moveWithCells="1" sizeWithCells="1">
                  <from>
                    <xdr:col>6</xdr:col>
                    <xdr:colOff>0</xdr:colOff>
                    <xdr:row>3955</xdr:row>
                    <xdr:rowOff>0</xdr:rowOff>
                  </from>
                  <to>
                    <xdr:col>7</xdr:col>
                    <xdr:colOff>0</xdr:colOff>
                    <xdr:row>3955</xdr:row>
                    <xdr:rowOff>165100</xdr:rowOff>
                  </to>
                </anchor>
              </controlPr>
            </control>
          </mc:Choice>
        </mc:AlternateContent>
        <mc:AlternateContent xmlns:mc="http://schemas.openxmlformats.org/markup-compatibility/2006">
          <mc:Choice Requires="x14">
            <control shapeId="13190" r:id="rId2291" name="Button 1926">
              <controlPr defaultSize="0" autoFill="0" autoLine="0" autoPict="0" macro="[0]!Sheet1.deleteRow">
                <anchor moveWithCells="1" sizeWithCells="1">
                  <from>
                    <xdr:col>6</xdr:col>
                    <xdr:colOff>0</xdr:colOff>
                    <xdr:row>3956</xdr:row>
                    <xdr:rowOff>0</xdr:rowOff>
                  </from>
                  <to>
                    <xdr:col>7</xdr:col>
                    <xdr:colOff>0</xdr:colOff>
                    <xdr:row>3956</xdr:row>
                    <xdr:rowOff>165100</xdr:rowOff>
                  </to>
                </anchor>
              </controlPr>
            </control>
          </mc:Choice>
        </mc:AlternateContent>
        <mc:AlternateContent xmlns:mc="http://schemas.openxmlformats.org/markup-compatibility/2006">
          <mc:Choice Requires="x14">
            <control shapeId="13189" r:id="rId2292" name="Button 1925">
              <controlPr defaultSize="0" autoFill="0" autoLine="0" autoPict="0" macro="[0]!Sheet1.deleteRow">
                <anchor moveWithCells="1" sizeWithCells="1">
                  <from>
                    <xdr:col>6</xdr:col>
                    <xdr:colOff>0</xdr:colOff>
                    <xdr:row>3957</xdr:row>
                    <xdr:rowOff>0</xdr:rowOff>
                  </from>
                  <to>
                    <xdr:col>7</xdr:col>
                    <xdr:colOff>0</xdr:colOff>
                    <xdr:row>3957</xdr:row>
                    <xdr:rowOff>165100</xdr:rowOff>
                  </to>
                </anchor>
              </controlPr>
            </control>
          </mc:Choice>
        </mc:AlternateContent>
        <mc:AlternateContent xmlns:mc="http://schemas.openxmlformats.org/markup-compatibility/2006">
          <mc:Choice Requires="x14">
            <control shapeId="13188" r:id="rId2293" name="Button 1924">
              <controlPr defaultSize="0" autoFill="0" autoLine="0" autoPict="0" macro="[0]!Sheet1.deleteRow">
                <anchor moveWithCells="1" sizeWithCells="1">
                  <from>
                    <xdr:col>6</xdr:col>
                    <xdr:colOff>0</xdr:colOff>
                    <xdr:row>3958</xdr:row>
                    <xdr:rowOff>0</xdr:rowOff>
                  </from>
                  <to>
                    <xdr:col>7</xdr:col>
                    <xdr:colOff>0</xdr:colOff>
                    <xdr:row>3958</xdr:row>
                    <xdr:rowOff>165100</xdr:rowOff>
                  </to>
                </anchor>
              </controlPr>
            </control>
          </mc:Choice>
        </mc:AlternateContent>
        <mc:AlternateContent xmlns:mc="http://schemas.openxmlformats.org/markup-compatibility/2006">
          <mc:Choice Requires="x14">
            <control shapeId="13187" r:id="rId2294" name="Button 1923">
              <controlPr defaultSize="0" autoFill="0" autoLine="0" autoPict="0" macro="[0]!Sheet1.deleteRow">
                <anchor moveWithCells="1" sizeWithCells="1">
                  <from>
                    <xdr:col>6</xdr:col>
                    <xdr:colOff>0</xdr:colOff>
                    <xdr:row>3959</xdr:row>
                    <xdr:rowOff>0</xdr:rowOff>
                  </from>
                  <to>
                    <xdr:col>7</xdr:col>
                    <xdr:colOff>0</xdr:colOff>
                    <xdr:row>3959</xdr:row>
                    <xdr:rowOff>165100</xdr:rowOff>
                  </to>
                </anchor>
              </controlPr>
            </control>
          </mc:Choice>
        </mc:AlternateContent>
        <mc:AlternateContent xmlns:mc="http://schemas.openxmlformats.org/markup-compatibility/2006">
          <mc:Choice Requires="x14">
            <control shapeId="13186" r:id="rId2295" name="Button 1922">
              <controlPr defaultSize="0" autoFill="0" autoLine="0" autoPict="0" macro="[0]!Sheet1.deleteRow">
                <anchor moveWithCells="1" sizeWithCells="1">
                  <from>
                    <xdr:col>6</xdr:col>
                    <xdr:colOff>0</xdr:colOff>
                    <xdr:row>3960</xdr:row>
                    <xdr:rowOff>0</xdr:rowOff>
                  </from>
                  <to>
                    <xdr:col>7</xdr:col>
                    <xdr:colOff>0</xdr:colOff>
                    <xdr:row>3960</xdr:row>
                    <xdr:rowOff>165100</xdr:rowOff>
                  </to>
                </anchor>
              </controlPr>
            </control>
          </mc:Choice>
        </mc:AlternateContent>
        <mc:AlternateContent xmlns:mc="http://schemas.openxmlformats.org/markup-compatibility/2006">
          <mc:Choice Requires="x14">
            <control shapeId="13185" r:id="rId2296" name="Button 1921">
              <controlPr defaultSize="0" autoFill="0" autoLine="0" autoPict="0" macro="[0]!Sheet1.deleteRow">
                <anchor moveWithCells="1" sizeWithCells="1">
                  <from>
                    <xdr:col>6</xdr:col>
                    <xdr:colOff>0</xdr:colOff>
                    <xdr:row>3961</xdr:row>
                    <xdr:rowOff>0</xdr:rowOff>
                  </from>
                  <to>
                    <xdr:col>7</xdr:col>
                    <xdr:colOff>0</xdr:colOff>
                    <xdr:row>3961</xdr:row>
                    <xdr:rowOff>165100</xdr:rowOff>
                  </to>
                </anchor>
              </controlPr>
            </control>
          </mc:Choice>
        </mc:AlternateContent>
        <mc:AlternateContent xmlns:mc="http://schemas.openxmlformats.org/markup-compatibility/2006">
          <mc:Choice Requires="x14">
            <control shapeId="13184" r:id="rId2297" name="Button 1920">
              <controlPr defaultSize="0" autoFill="0" autoLine="0" autoPict="0" macro="[0]!Sheet1.deleteRow">
                <anchor moveWithCells="1" sizeWithCells="1">
                  <from>
                    <xdr:col>6</xdr:col>
                    <xdr:colOff>0</xdr:colOff>
                    <xdr:row>3962</xdr:row>
                    <xdr:rowOff>0</xdr:rowOff>
                  </from>
                  <to>
                    <xdr:col>7</xdr:col>
                    <xdr:colOff>0</xdr:colOff>
                    <xdr:row>3962</xdr:row>
                    <xdr:rowOff>165100</xdr:rowOff>
                  </to>
                </anchor>
              </controlPr>
            </control>
          </mc:Choice>
        </mc:AlternateContent>
        <mc:AlternateContent xmlns:mc="http://schemas.openxmlformats.org/markup-compatibility/2006">
          <mc:Choice Requires="x14">
            <control shapeId="13183" r:id="rId2298" name="Button 1919">
              <controlPr defaultSize="0" autoFill="0" autoLine="0" autoPict="0" macro="[0]!Sheet1.deleteRow">
                <anchor moveWithCells="1" sizeWithCells="1">
                  <from>
                    <xdr:col>6</xdr:col>
                    <xdr:colOff>0</xdr:colOff>
                    <xdr:row>3963</xdr:row>
                    <xdr:rowOff>0</xdr:rowOff>
                  </from>
                  <to>
                    <xdr:col>7</xdr:col>
                    <xdr:colOff>0</xdr:colOff>
                    <xdr:row>3963</xdr:row>
                    <xdr:rowOff>165100</xdr:rowOff>
                  </to>
                </anchor>
              </controlPr>
            </control>
          </mc:Choice>
        </mc:AlternateContent>
        <mc:AlternateContent xmlns:mc="http://schemas.openxmlformats.org/markup-compatibility/2006">
          <mc:Choice Requires="x14">
            <control shapeId="13182" r:id="rId2299" name="Button 1918">
              <controlPr defaultSize="0" autoFill="0" autoLine="0" autoPict="0" macro="[0]!Sheet1.deleteRow">
                <anchor moveWithCells="1" sizeWithCells="1">
                  <from>
                    <xdr:col>6</xdr:col>
                    <xdr:colOff>0</xdr:colOff>
                    <xdr:row>3964</xdr:row>
                    <xdr:rowOff>0</xdr:rowOff>
                  </from>
                  <to>
                    <xdr:col>7</xdr:col>
                    <xdr:colOff>0</xdr:colOff>
                    <xdr:row>3964</xdr:row>
                    <xdr:rowOff>165100</xdr:rowOff>
                  </to>
                </anchor>
              </controlPr>
            </control>
          </mc:Choice>
        </mc:AlternateContent>
        <mc:AlternateContent xmlns:mc="http://schemas.openxmlformats.org/markup-compatibility/2006">
          <mc:Choice Requires="x14">
            <control shapeId="13181" r:id="rId2300" name="Button 1917">
              <controlPr defaultSize="0" autoFill="0" autoLine="0" autoPict="0" macro="[0]!Sheet1.deleteRow">
                <anchor moveWithCells="1" sizeWithCells="1">
                  <from>
                    <xdr:col>6</xdr:col>
                    <xdr:colOff>0</xdr:colOff>
                    <xdr:row>3965</xdr:row>
                    <xdr:rowOff>0</xdr:rowOff>
                  </from>
                  <to>
                    <xdr:col>7</xdr:col>
                    <xdr:colOff>0</xdr:colOff>
                    <xdr:row>3965</xdr:row>
                    <xdr:rowOff>165100</xdr:rowOff>
                  </to>
                </anchor>
              </controlPr>
            </control>
          </mc:Choice>
        </mc:AlternateContent>
        <mc:AlternateContent xmlns:mc="http://schemas.openxmlformats.org/markup-compatibility/2006">
          <mc:Choice Requires="x14">
            <control shapeId="13180" r:id="rId2301" name="Button 1916">
              <controlPr defaultSize="0" autoFill="0" autoLine="0" autoPict="0" macro="[0]!Sheet1.deleteRow">
                <anchor moveWithCells="1" sizeWithCells="1">
                  <from>
                    <xdr:col>6</xdr:col>
                    <xdr:colOff>0</xdr:colOff>
                    <xdr:row>3966</xdr:row>
                    <xdr:rowOff>0</xdr:rowOff>
                  </from>
                  <to>
                    <xdr:col>7</xdr:col>
                    <xdr:colOff>0</xdr:colOff>
                    <xdr:row>3966</xdr:row>
                    <xdr:rowOff>165100</xdr:rowOff>
                  </to>
                </anchor>
              </controlPr>
            </control>
          </mc:Choice>
        </mc:AlternateContent>
        <mc:AlternateContent xmlns:mc="http://schemas.openxmlformats.org/markup-compatibility/2006">
          <mc:Choice Requires="x14">
            <control shapeId="13179" r:id="rId2302" name="Button 1915">
              <controlPr defaultSize="0" autoFill="0" autoLine="0" autoPict="0" macro="[0]!Sheet1.deleteRow">
                <anchor moveWithCells="1" sizeWithCells="1">
                  <from>
                    <xdr:col>6</xdr:col>
                    <xdr:colOff>0</xdr:colOff>
                    <xdr:row>3967</xdr:row>
                    <xdr:rowOff>0</xdr:rowOff>
                  </from>
                  <to>
                    <xdr:col>7</xdr:col>
                    <xdr:colOff>0</xdr:colOff>
                    <xdr:row>3967</xdr:row>
                    <xdr:rowOff>165100</xdr:rowOff>
                  </to>
                </anchor>
              </controlPr>
            </control>
          </mc:Choice>
        </mc:AlternateContent>
        <mc:AlternateContent xmlns:mc="http://schemas.openxmlformats.org/markup-compatibility/2006">
          <mc:Choice Requires="x14">
            <control shapeId="13178" r:id="rId2303" name="Button 1914">
              <controlPr defaultSize="0" autoFill="0" autoLine="0" autoPict="0" macro="[0]!Sheet1.deleteRow">
                <anchor moveWithCells="1" sizeWithCells="1">
                  <from>
                    <xdr:col>6</xdr:col>
                    <xdr:colOff>0</xdr:colOff>
                    <xdr:row>3968</xdr:row>
                    <xdr:rowOff>0</xdr:rowOff>
                  </from>
                  <to>
                    <xdr:col>7</xdr:col>
                    <xdr:colOff>0</xdr:colOff>
                    <xdr:row>3968</xdr:row>
                    <xdr:rowOff>165100</xdr:rowOff>
                  </to>
                </anchor>
              </controlPr>
            </control>
          </mc:Choice>
        </mc:AlternateContent>
        <mc:AlternateContent xmlns:mc="http://schemas.openxmlformats.org/markup-compatibility/2006">
          <mc:Choice Requires="x14">
            <control shapeId="13177" r:id="rId2304" name="Button 1913">
              <controlPr defaultSize="0" autoFill="0" autoLine="0" autoPict="0" macro="[0]!Sheet1.deleteRow">
                <anchor moveWithCells="1" sizeWithCells="1">
                  <from>
                    <xdr:col>6</xdr:col>
                    <xdr:colOff>0</xdr:colOff>
                    <xdr:row>3969</xdr:row>
                    <xdr:rowOff>0</xdr:rowOff>
                  </from>
                  <to>
                    <xdr:col>7</xdr:col>
                    <xdr:colOff>0</xdr:colOff>
                    <xdr:row>3969</xdr:row>
                    <xdr:rowOff>165100</xdr:rowOff>
                  </to>
                </anchor>
              </controlPr>
            </control>
          </mc:Choice>
        </mc:AlternateContent>
        <mc:AlternateContent xmlns:mc="http://schemas.openxmlformats.org/markup-compatibility/2006">
          <mc:Choice Requires="x14">
            <control shapeId="13176" r:id="rId2305" name="Button 1912">
              <controlPr defaultSize="0" autoFill="0" autoLine="0" autoPict="0" macro="[0]!Sheet1.deleteRow">
                <anchor moveWithCells="1" sizeWithCells="1">
                  <from>
                    <xdr:col>6</xdr:col>
                    <xdr:colOff>0</xdr:colOff>
                    <xdr:row>3970</xdr:row>
                    <xdr:rowOff>0</xdr:rowOff>
                  </from>
                  <to>
                    <xdr:col>7</xdr:col>
                    <xdr:colOff>0</xdr:colOff>
                    <xdr:row>3970</xdr:row>
                    <xdr:rowOff>165100</xdr:rowOff>
                  </to>
                </anchor>
              </controlPr>
            </control>
          </mc:Choice>
        </mc:AlternateContent>
        <mc:AlternateContent xmlns:mc="http://schemas.openxmlformats.org/markup-compatibility/2006">
          <mc:Choice Requires="x14">
            <control shapeId="13175" r:id="rId2306" name="Button 1911">
              <controlPr defaultSize="0" autoFill="0" autoLine="0" autoPict="0" macro="[0]!Sheet1.deleteRow">
                <anchor moveWithCells="1" sizeWithCells="1">
                  <from>
                    <xdr:col>6</xdr:col>
                    <xdr:colOff>0</xdr:colOff>
                    <xdr:row>3971</xdr:row>
                    <xdr:rowOff>0</xdr:rowOff>
                  </from>
                  <to>
                    <xdr:col>7</xdr:col>
                    <xdr:colOff>0</xdr:colOff>
                    <xdr:row>3971</xdr:row>
                    <xdr:rowOff>165100</xdr:rowOff>
                  </to>
                </anchor>
              </controlPr>
            </control>
          </mc:Choice>
        </mc:AlternateContent>
        <mc:AlternateContent xmlns:mc="http://schemas.openxmlformats.org/markup-compatibility/2006">
          <mc:Choice Requires="x14">
            <control shapeId="13174" r:id="rId2307" name="Button 1910">
              <controlPr defaultSize="0" autoFill="0" autoLine="0" autoPict="0" macro="[0]!Sheet1.deleteRow">
                <anchor moveWithCells="1" sizeWithCells="1">
                  <from>
                    <xdr:col>6</xdr:col>
                    <xdr:colOff>0</xdr:colOff>
                    <xdr:row>3972</xdr:row>
                    <xdr:rowOff>0</xdr:rowOff>
                  </from>
                  <to>
                    <xdr:col>7</xdr:col>
                    <xdr:colOff>0</xdr:colOff>
                    <xdr:row>3972</xdr:row>
                    <xdr:rowOff>165100</xdr:rowOff>
                  </to>
                </anchor>
              </controlPr>
            </control>
          </mc:Choice>
        </mc:AlternateContent>
        <mc:AlternateContent xmlns:mc="http://schemas.openxmlformats.org/markup-compatibility/2006">
          <mc:Choice Requires="x14">
            <control shapeId="13173" r:id="rId2308" name="Button 1909">
              <controlPr defaultSize="0" autoFill="0" autoLine="0" autoPict="0" macro="[0]!Sheet1.deleteRow">
                <anchor moveWithCells="1" sizeWithCells="1">
                  <from>
                    <xdr:col>6</xdr:col>
                    <xdr:colOff>0</xdr:colOff>
                    <xdr:row>3973</xdr:row>
                    <xdr:rowOff>0</xdr:rowOff>
                  </from>
                  <to>
                    <xdr:col>7</xdr:col>
                    <xdr:colOff>0</xdr:colOff>
                    <xdr:row>3973</xdr:row>
                    <xdr:rowOff>165100</xdr:rowOff>
                  </to>
                </anchor>
              </controlPr>
            </control>
          </mc:Choice>
        </mc:AlternateContent>
        <mc:AlternateContent xmlns:mc="http://schemas.openxmlformats.org/markup-compatibility/2006">
          <mc:Choice Requires="x14">
            <control shapeId="13172" r:id="rId2309" name="Button 1908">
              <controlPr defaultSize="0" autoFill="0" autoLine="0" autoPict="0" macro="[0]!Sheet1.deleteRow">
                <anchor moveWithCells="1" sizeWithCells="1">
                  <from>
                    <xdr:col>6</xdr:col>
                    <xdr:colOff>0</xdr:colOff>
                    <xdr:row>3974</xdr:row>
                    <xdr:rowOff>0</xdr:rowOff>
                  </from>
                  <to>
                    <xdr:col>7</xdr:col>
                    <xdr:colOff>0</xdr:colOff>
                    <xdr:row>3974</xdr:row>
                    <xdr:rowOff>165100</xdr:rowOff>
                  </to>
                </anchor>
              </controlPr>
            </control>
          </mc:Choice>
        </mc:AlternateContent>
        <mc:AlternateContent xmlns:mc="http://schemas.openxmlformats.org/markup-compatibility/2006">
          <mc:Choice Requires="x14">
            <control shapeId="13171" r:id="rId2310" name="Button 1907">
              <controlPr defaultSize="0" autoFill="0" autoLine="0" autoPict="0" macro="[0]!Sheet1.deleteRow">
                <anchor moveWithCells="1" sizeWithCells="1">
                  <from>
                    <xdr:col>6</xdr:col>
                    <xdr:colOff>0</xdr:colOff>
                    <xdr:row>3975</xdr:row>
                    <xdr:rowOff>0</xdr:rowOff>
                  </from>
                  <to>
                    <xdr:col>7</xdr:col>
                    <xdr:colOff>0</xdr:colOff>
                    <xdr:row>3975</xdr:row>
                    <xdr:rowOff>165100</xdr:rowOff>
                  </to>
                </anchor>
              </controlPr>
            </control>
          </mc:Choice>
        </mc:AlternateContent>
        <mc:AlternateContent xmlns:mc="http://schemas.openxmlformats.org/markup-compatibility/2006">
          <mc:Choice Requires="x14">
            <control shapeId="13170" r:id="rId2311" name="Button 1906">
              <controlPr defaultSize="0" autoFill="0" autoLine="0" autoPict="0" macro="[0]!Sheet1.deleteRow">
                <anchor moveWithCells="1" sizeWithCells="1">
                  <from>
                    <xdr:col>6</xdr:col>
                    <xdr:colOff>0</xdr:colOff>
                    <xdr:row>3976</xdr:row>
                    <xdr:rowOff>0</xdr:rowOff>
                  </from>
                  <to>
                    <xdr:col>7</xdr:col>
                    <xdr:colOff>0</xdr:colOff>
                    <xdr:row>3976</xdr:row>
                    <xdr:rowOff>165100</xdr:rowOff>
                  </to>
                </anchor>
              </controlPr>
            </control>
          </mc:Choice>
        </mc:AlternateContent>
        <mc:AlternateContent xmlns:mc="http://schemas.openxmlformats.org/markup-compatibility/2006">
          <mc:Choice Requires="x14">
            <control shapeId="13169" r:id="rId2312" name="Button 1905">
              <controlPr defaultSize="0" autoFill="0" autoLine="0" autoPict="0" macro="[0]!Sheet1.deleteRow">
                <anchor moveWithCells="1" sizeWithCells="1">
                  <from>
                    <xdr:col>6</xdr:col>
                    <xdr:colOff>0</xdr:colOff>
                    <xdr:row>3977</xdr:row>
                    <xdr:rowOff>0</xdr:rowOff>
                  </from>
                  <to>
                    <xdr:col>7</xdr:col>
                    <xdr:colOff>0</xdr:colOff>
                    <xdr:row>3977</xdr:row>
                    <xdr:rowOff>165100</xdr:rowOff>
                  </to>
                </anchor>
              </controlPr>
            </control>
          </mc:Choice>
        </mc:AlternateContent>
        <mc:AlternateContent xmlns:mc="http://schemas.openxmlformats.org/markup-compatibility/2006">
          <mc:Choice Requires="x14">
            <control shapeId="13168" r:id="rId2313" name="Button 1904">
              <controlPr defaultSize="0" autoFill="0" autoLine="0" autoPict="0" macro="[0]!Sheet1.deleteRow">
                <anchor moveWithCells="1" sizeWithCells="1">
                  <from>
                    <xdr:col>6</xdr:col>
                    <xdr:colOff>0</xdr:colOff>
                    <xdr:row>3978</xdr:row>
                    <xdr:rowOff>0</xdr:rowOff>
                  </from>
                  <to>
                    <xdr:col>7</xdr:col>
                    <xdr:colOff>0</xdr:colOff>
                    <xdr:row>3978</xdr:row>
                    <xdr:rowOff>165100</xdr:rowOff>
                  </to>
                </anchor>
              </controlPr>
            </control>
          </mc:Choice>
        </mc:AlternateContent>
        <mc:AlternateContent xmlns:mc="http://schemas.openxmlformats.org/markup-compatibility/2006">
          <mc:Choice Requires="x14">
            <control shapeId="13167" r:id="rId2314" name="Button 1903">
              <controlPr defaultSize="0" autoFill="0" autoLine="0" autoPict="0" macro="[0]!Sheet1.deleteRow">
                <anchor moveWithCells="1" sizeWithCells="1">
                  <from>
                    <xdr:col>6</xdr:col>
                    <xdr:colOff>0</xdr:colOff>
                    <xdr:row>3979</xdr:row>
                    <xdr:rowOff>0</xdr:rowOff>
                  </from>
                  <to>
                    <xdr:col>7</xdr:col>
                    <xdr:colOff>0</xdr:colOff>
                    <xdr:row>3979</xdr:row>
                    <xdr:rowOff>165100</xdr:rowOff>
                  </to>
                </anchor>
              </controlPr>
            </control>
          </mc:Choice>
        </mc:AlternateContent>
        <mc:AlternateContent xmlns:mc="http://schemas.openxmlformats.org/markup-compatibility/2006">
          <mc:Choice Requires="x14">
            <control shapeId="13166" r:id="rId2315" name="Button 1902">
              <controlPr defaultSize="0" autoFill="0" autoLine="0" autoPict="0" macro="[0]!Sheet1.deleteRow">
                <anchor moveWithCells="1" sizeWithCells="1">
                  <from>
                    <xdr:col>6</xdr:col>
                    <xdr:colOff>0</xdr:colOff>
                    <xdr:row>3980</xdr:row>
                    <xdr:rowOff>0</xdr:rowOff>
                  </from>
                  <to>
                    <xdr:col>7</xdr:col>
                    <xdr:colOff>0</xdr:colOff>
                    <xdr:row>3980</xdr:row>
                    <xdr:rowOff>165100</xdr:rowOff>
                  </to>
                </anchor>
              </controlPr>
            </control>
          </mc:Choice>
        </mc:AlternateContent>
        <mc:AlternateContent xmlns:mc="http://schemas.openxmlformats.org/markup-compatibility/2006">
          <mc:Choice Requires="x14">
            <control shapeId="13165" r:id="rId2316" name="Button 1901">
              <controlPr defaultSize="0" autoFill="0" autoLine="0" autoPict="0" macro="[0]!Sheet1.deleteRow">
                <anchor moveWithCells="1" sizeWithCells="1">
                  <from>
                    <xdr:col>6</xdr:col>
                    <xdr:colOff>0</xdr:colOff>
                    <xdr:row>3981</xdr:row>
                    <xdr:rowOff>0</xdr:rowOff>
                  </from>
                  <to>
                    <xdr:col>7</xdr:col>
                    <xdr:colOff>0</xdr:colOff>
                    <xdr:row>3981</xdr:row>
                    <xdr:rowOff>165100</xdr:rowOff>
                  </to>
                </anchor>
              </controlPr>
            </control>
          </mc:Choice>
        </mc:AlternateContent>
        <mc:AlternateContent xmlns:mc="http://schemas.openxmlformats.org/markup-compatibility/2006">
          <mc:Choice Requires="x14">
            <control shapeId="13164" r:id="rId2317" name="Button 1900">
              <controlPr defaultSize="0" autoFill="0" autoLine="0" autoPict="0" macro="[0]!Sheet1.deleteRow">
                <anchor moveWithCells="1" sizeWithCells="1">
                  <from>
                    <xdr:col>6</xdr:col>
                    <xdr:colOff>0</xdr:colOff>
                    <xdr:row>3982</xdr:row>
                    <xdr:rowOff>0</xdr:rowOff>
                  </from>
                  <to>
                    <xdr:col>7</xdr:col>
                    <xdr:colOff>0</xdr:colOff>
                    <xdr:row>3982</xdr:row>
                    <xdr:rowOff>165100</xdr:rowOff>
                  </to>
                </anchor>
              </controlPr>
            </control>
          </mc:Choice>
        </mc:AlternateContent>
        <mc:AlternateContent xmlns:mc="http://schemas.openxmlformats.org/markup-compatibility/2006">
          <mc:Choice Requires="x14">
            <control shapeId="13163" r:id="rId2318" name="Button 1899">
              <controlPr defaultSize="0" autoFill="0" autoLine="0" autoPict="0" macro="[0]!Sheet1.deleteRow">
                <anchor moveWithCells="1" sizeWithCells="1">
                  <from>
                    <xdr:col>6</xdr:col>
                    <xdr:colOff>0</xdr:colOff>
                    <xdr:row>3983</xdr:row>
                    <xdr:rowOff>0</xdr:rowOff>
                  </from>
                  <to>
                    <xdr:col>7</xdr:col>
                    <xdr:colOff>0</xdr:colOff>
                    <xdr:row>3983</xdr:row>
                    <xdr:rowOff>165100</xdr:rowOff>
                  </to>
                </anchor>
              </controlPr>
            </control>
          </mc:Choice>
        </mc:AlternateContent>
        <mc:AlternateContent xmlns:mc="http://schemas.openxmlformats.org/markup-compatibility/2006">
          <mc:Choice Requires="x14">
            <control shapeId="13162" r:id="rId2319" name="Button 1898">
              <controlPr defaultSize="0" autoFill="0" autoLine="0" autoPict="0" macro="[0]!Sheet1.deleteRow">
                <anchor moveWithCells="1" sizeWithCells="1">
                  <from>
                    <xdr:col>6</xdr:col>
                    <xdr:colOff>0</xdr:colOff>
                    <xdr:row>3984</xdr:row>
                    <xdr:rowOff>0</xdr:rowOff>
                  </from>
                  <to>
                    <xdr:col>7</xdr:col>
                    <xdr:colOff>0</xdr:colOff>
                    <xdr:row>3984</xdr:row>
                    <xdr:rowOff>165100</xdr:rowOff>
                  </to>
                </anchor>
              </controlPr>
            </control>
          </mc:Choice>
        </mc:AlternateContent>
        <mc:AlternateContent xmlns:mc="http://schemas.openxmlformats.org/markup-compatibility/2006">
          <mc:Choice Requires="x14">
            <control shapeId="13161" r:id="rId2320" name="Button 1897">
              <controlPr defaultSize="0" autoFill="0" autoLine="0" autoPict="0" macro="[0]!Sheet1.deleteRow">
                <anchor moveWithCells="1" sizeWithCells="1">
                  <from>
                    <xdr:col>6</xdr:col>
                    <xdr:colOff>0</xdr:colOff>
                    <xdr:row>3985</xdr:row>
                    <xdr:rowOff>0</xdr:rowOff>
                  </from>
                  <to>
                    <xdr:col>7</xdr:col>
                    <xdr:colOff>0</xdr:colOff>
                    <xdr:row>3985</xdr:row>
                    <xdr:rowOff>165100</xdr:rowOff>
                  </to>
                </anchor>
              </controlPr>
            </control>
          </mc:Choice>
        </mc:AlternateContent>
        <mc:AlternateContent xmlns:mc="http://schemas.openxmlformats.org/markup-compatibility/2006">
          <mc:Choice Requires="x14">
            <control shapeId="13160" r:id="rId2321" name="Button 1896">
              <controlPr defaultSize="0" autoFill="0" autoLine="0" autoPict="0" macro="[0]!Sheet1.deleteRow">
                <anchor moveWithCells="1" sizeWithCells="1">
                  <from>
                    <xdr:col>6</xdr:col>
                    <xdr:colOff>0</xdr:colOff>
                    <xdr:row>3986</xdr:row>
                    <xdr:rowOff>0</xdr:rowOff>
                  </from>
                  <to>
                    <xdr:col>7</xdr:col>
                    <xdr:colOff>0</xdr:colOff>
                    <xdr:row>3986</xdr:row>
                    <xdr:rowOff>165100</xdr:rowOff>
                  </to>
                </anchor>
              </controlPr>
            </control>
          </mc:Choice>
        </mc:AlternateContent>
        <mc:AlternateContent xmlns:mc="http://schemas.openxmlformats.org/markup-compatibility/2006">
          <mc:Choice Requires="x14">
            <control shapeId="13159" r:id="rId2322" name="Button 1895">
              <controlPr defaultSize="0" autoFill="0" autoLine="0" autoPict="0" macro="[0]!Sheet1.deleteRow">
                <anchor moveWithCells="1" sizeWithCells="1">
                  <from>
                    <xdr:col>6</xdr:col>
                    <xdr:colOff>0</xdr:colOff>
                    <xdr:row>3987</xdr:row>
                    <xdr:rowOff>0</xdr:rowOff>
                  </from>
                  <to>
                    <xdr:col>7</xdr:col>
                    <xdr:colOff>0</xdr:colOff>
                    <xdr:row>3987</xdr:row>
                    <xdr:rowOff>165100</xdr:rowOff>
                  </to>
                </anchor>
              </controlPr>
            </control>
          </mc:Choice>
        </mc:AlternateContent>
        <mc:AlternateContent xmlns:mc="http://schemas.openxmlformats.org/markup-compatibility/2006">
          <mc:Choice Requires="x14">
            <control shapeId="13158" r:id="rId2323" name="Button 1894">
              <controlPr defaultSize="0" autoFill="0" autoLine="0" autoPict="0" macro="[0]!Sheet1.deleteRow">
                <anchor moveWithCells="1" sizeWithCells="1">
                  <from>
                    <xdr:col>6</xdr:col>
                    <xdr:colOff>0</xdr:colOff>
                    <xdr:row>3988</xdr:row>
                    <xdr:rowOff>0</xdr:rowOff>
                  </from>
                  <to>
                    <xdr:col>7</xdr:col>
                    <xdr:colOff>0</xdr:colOff>
                    <xdr:row>3988</xdr:row>
                    <xdr:rowOff>165100</xdr:rowOff>
                  </to>
                </anchor>
              </controlPr>
            </control>
          </mc:Choice>
        </mc:AlternateContent>
        <mc:AlternateContent xmlns:mc="http://schemas.openxmlformats.org/markup-compatibility/2006">
          <mc:Choice Requires="x14">
            <control shapeId="13157" r:id="rId2324" name="Button 1893">
              <controlPr defaultSize="0" autoFill="0" autoLine="0" autoPict="0" macro="[0]!Sheet1.deleteRow">
                <anchor moveWithCells="1" sizeWithCells="1">
                  <from>
                    <xdr:col>6</xdr:col>
                    <xdr:colOff>0</xdr:colOff>
                    <xdr:row>3989</xdr:row>
                    <xdr:rowOff>0</xdr:rowOff>
                  </from>
                  <to>
                    <xdr:col>7</xdr:col>
                    <xdr:colOff>0</xdr:colOff>
                    <xdr:row>3989</xdr:row>
                    <xdr:rowOff>165100</xdr:rowOff>
                  </to>
                </anchor>
              </controlPr>
            </control>
          </mc:Choice>
        </mc:AlternateContent>
        <mc:AlternateContent xmlns:mc="http://schemas.openxmlformats.org/markup-compatibility/2006">
          <mc:Choice Requires="x14">
            <control shapeId="13156" r:id="rId2325" name="Button 1892">
              <controlPr defaultSize="0" autoFill="0" autoLine="0" autoPict="0" macro="[0]!Sheet1.deleteRow">
                <anchor moveWithCells="1" sizeWithCells="1">
                  <from>
                    <xdr:col>6</xdr:col>
                    <xdr:colOff>0</xdr:colOff>
                    <xdr:row>3990</xdr:row>
                    <xdr:rowOff>0</xdr:rowOff>
                  </from>
                  <to>
                    <xdr:col>7</xdr:col>
                    <xdr:colOff>0</xdr:colOff>
                    <xdr:row>3990</xdr:row>
                    <xdr:rowOff>165100</xdr:rowOff>
                  </to>
                </anchor>
              </controlPr>
            </control>
          </mc:Choice>
        </mc:AlternateContent>
        <mc:AlternateContent xmlns:mc="http://schemas.openxmlformats.org/markup-compatibility/2006">
          <mc:Choice Requires="x14">
            <control shapeId="13155" r:id="rId2326" name="Button 1891">
              <controlPr defaultSize="0" autoFill="0" autoLine="0" autoPict="0" macro="[0]!Sheet1.deleteRow">
                <anchor moveWithCells="1" sizeWithCells="1">
                  <from>
                    <xdr:col>6</xdr:col>
                    <xdr:colOff>0</xdr:colOff>
                    <xdr:row>3991</xdr:row>
                    <xdr:rowOff>0</xdr:rowOff>
                  </from>
                  <to>
                    <xdr:col>7</xdr:col>
                    <xdr:colOff>0</xdr:colOff>
                    <xdr:row>3991</xdr:row>
                    <xdr:rowOff>165100</xdr:rowOff>
                  </to>
                </anchor>
              </controlPr>
            </control>
          </mc:Choice>
        </mc:AlternateContent>
        <mc:AlternateContent xmlns:mc="http://schemas.openxmlformats.org/markup-compatibility/2006">
          <mc:Choice Requires="x14">
            <control shapeId="13154" r:id="rId2327" name="Button 1890">
              <controlPr defaultSize="0" autoFill="0" autoLine="0" autoPict="0" macro="[0]!Sheet1.deleteRow">
                <anchor moveWithCells="1" sizeWithCells="1">
                  <from>
                    <xdr:col>6</xdr:col>
                    <xdr:colOff>0</xdr:colOff>
                    <xdr:row>3992</xdr:row>
                    <xdr:rowOff>0</xdr:rowOff>
                  </from>
                  <to>
                    <xdr:col>7</xdr:col>
                    <xdr:colOff>0</xdr:colOff>
                    <xdr:row>3992</xdr:row>
                    <xdr:rowOff>165100</xdr:rowOff>
                  </to>
                </anchor>
              </controlPr>
            </control>
          </mc:Choice>
        </mc:AlternateContent>
        <mc:AlternateContent xmlns:mc="http://schemas.openxmlformats.org/markup-compatibility/2006">
          <mc:Choice Requires="x14">
            <control shapeId="13153" r:id="rId2328" name="Button 1889">
              <controlPr defaultSize="0" autoFill="0" autoLine="0" autoPict="0" macro="[0]!Sheet1.deleteRow">
                <anchor moveWithCells="1" sizeWithCells="1">
                  <from>
                    <xdr:col>6</xdr:col>
                    <xdr:colOff>0</xdr:colOff>
                    <xdr:row>3993</xdr:row>
                    <xdr:rowOff>0</xdr:rowOff>
                  </from>
                  <to>
                    <xdr:col>7</xdr:col>
                    <xdr:colOff>0</xdr:colOff>
                    <xdr:row>3993</xdr:row>
                    <xdr:rowOff>165100</xdr:rowOff>
                  </to>
                </anchor>
              </controlPr>
            </control>
          </mc:Choice>
        </mc:AlternateContent>
        <mc:AlternateContent xmlns:mc="http://schemas.openxmlformats.org/markup-compatibility/2006">
          <mc:Choice Requires="x14">
            <control shapeId="13152" r:id="rId2329" name="Button 1888">
              <controlPr defaultSize="0" autoFill="0" autoLine="0" autoPict="0" macro="[0]!Sheet1.deleteRow">
                <anchor moveWithCells="1" sizeWithCells="1">
                  <from>
                    <xdr:col>6</xdr:col>
                    <xdr:colOff>0</xdr:colOff>
                    <xdr:row>3994</xdr:row>
                    <xdr:rowOff>0</xdr:rowOff>
                  </from>
                  <to>
                    <xdr:col>7</xdr:col>
                    <xdr:colOff>0</xdr:colOff>
                    <xdr:row>3994</xdr:row>
                    <xdr:rowOff>165100</xdr:rowOff>
                  </to>
                </anchor>
              </controlPr>
            </control>
          </mc:Choice>
        </mc:AlternateContent>
        <mc:AlternateContent xmlns:mc="http://schemas.openxmlformats.org/markup-compatibility/2006">
          <mc:Choice Requires="x14">
            <control shapeId="13151" r:id="rId2330" name="Button 1887">
              <controlPr defaultSize="0" autoFill="0" autoLine="0" autoPict="0" macro="[0]!Sheet1.deleteRow">
                <anchor moveWithCells="1" sizeWithCells="1">
                  <from>
                    <xdr:col>6</xdr:col>
                    <xdr:colOff>0</xdr:colOff>
                    <xdr:row>3995</xdr:row>
                    <xdr:rowOff>0</xdr:rowOff>
                  </from>
                  <to>
                    <xdr:col>7</xdr:col>
                    <xdr:colOff>0</xdr:colOff>
                    <xdr:row>3995</xdr:row>
                    <xdr:rowOff>165100</xdr:rowOff>
                  </to>
                </anchor>
              </controlPr>
            </control>
          </mc:Choice>
        </mc:AlternateContent>
        <mc:AlternateContent xmlns:mc="http://schemas.openxmlformats.org/markup-compatibility/2006">
          <mc:Choice Requires="x14">
            <control shapeId="13150" r:id="rId2331" name="Button 1886">
              <controlPr defaultSize="0" autoFill="0" autoLine="0" autoPict="0" macro="[0]!Sheet1.deleteRow">
                <anchor moveWithCells="1" sizeWithCells="1">
                  <from>
                    <xdr:col>6</xdr:col>
                    <xdr:colOff>0</xdr:colOff>
                    <xdr:row>3996</xdr:row>
                    <xdr:rowOff>0</xdr:rowOff>
                  </from>
                  <to>
                    <xdr:col>7</xdr:col>
                    <xdr:colOff>0</xdr:colOff>
                    <xdr:row>3996</xdr:row>
                    <xdr:rowOff>165100</xdr:rowOff>
                  </to>
                </anchor>
              </controlPr>
            </control>
          </mc:Choice>
        </mc:AlternateContent>
        <mc:AlternateContent xmlns:mc="http://schemas.openxmlformats.org/markup-compatibility/2006">
          <mc:Choice Requires="x14">
            <control shapeId="13149" r:id="rId2332" name="Button 1885">
              <controlPr defaultSize="0" autoFill="0" autoLine="0" autoPict="0" macro="[0]!Sheet1.deleteRow">
                <anchor moveWithCells="1" sizeWithCells="1">
                  <from>
                    <xdr:col>6</xdr:col>
                    <xdr:colOff>0</xdr:colOff>
                    <xdr:row>3997</xdr:row>
                    <xdr:rowOff>0</xdr:rowOff>
                  </from>
                  <to>
                    <xdr:col>7</xdr:col>
                    <xdr:colOff>0</xdr:colOff>
                    <xdr:row>3997</xdr:row>
                    <xdr:rowOff>165100</xdr:rowOff>
                  </to>
                </anchor>
              </controlPr>
            </control>
          </mc:Choice>
        </mc:AlternateContent>
        <mc:AlternateContent xmlns:mc="http://schemas.openxmlformats.org/markup-compatibility/2006">
          <mc:Choice Requires="x14">
            <control shapeId="13148" r:id="rId2333" name="Button 1884">
              <controlPr defaultSize="0" autoFill="0" autoLine="0" autoPict="0" macro="[0]!Sheet1.deleteRow">
                <anchor moveWithCells="1" sizeWithCells="1">
                  <from>
                    <xdr:col>6</xdr:col>
                    <xdr:colOff>0</xdr:colOff>
                    <xdr:row>3998</xdr:row>
                    <xdr:rowOff>0</xdr:rowOff>
                  </from>
                  <to>
                    <xdr:col>7</xdr:col>
                    <xdr:colOff>0</xdr:colOff>
                    <xdr:row>3998</xdr:row>
                    <xdr:rowOff>165100</xdr:rowOff>
                  </to>
                </anchor>
              </controlPr>
            </control>
          </mc:Choice>
        </mc:AlternateContent>
        <mc:AlternateContent xmlns:mc="http://schemas.openxmlformats.org/markup-compatibility/2006">
          <mc:Choice Requires="x14">
            <control shapeId="13147" r:id="rId2334" name="Button 1883">
              <controlPr defaultSize="0" autoFill="0" autoLine="0" autoPict="0" macro="[0]!Sheet1.deleteRow">
                <anchor moveWithCells="1" sizeWithCells="1">
                  <from>
                    <xdr:col>6</xdr:col>
                    <xdr:colOff>0</xdr:colOff>
                    <xdr:row>3999</xdr:row>
                    <xdr:rowOff>0</xdr:rowOff>
                  </from>
                  <to>
                    <xdr:col>7</xdr:col>
                    <xdr:colOff>0</xdr:colOff>
                    <xdr:row>3999</xdr:row>
                    <xdr:rowOff>165100</xdr:rowOff>
                  </to>
                </anchor>
              </controlPr>
            </control>
          </mc:Choice>
        </mc:AlternateContent>
        <mc:AlternateContent xmlns:mc="http://schemas.openxmlformats.org/markup-compatibility/2006">
          <mc:Choice Requires="x14">
            <control shapeId="13146" r:id="rId2335" name="Button 1882">
              <controlPr defaultSize="0" autoFill="0" autoLine="0" autoPict="0" macro="[0]!Sheet1.deleteProcedure">
                <anchor moveWithCells="1" sizeWithCells="1">
                  <from>
                    <xdr:col>6</xdr:col>
                    <xdr:colOff>0</xdr:colOff>
                    <xdr:row>4002</xdr:row>
                    <xdr:rowOff>0</xdr:rowOff>
                  </from>
                  <to>
                    <xdr:col>7</xdr:col>
                    <xdr:colOff>0</xdr:colOff>
                    <xdr:row>4003</xdr:row>
                    <xdr:rowOff>0</xdr:rowOff>
                  </to>
                </anchor>
              </controlPr>
            </control>
          </mc:Choice>
        </mc:AlternateContent>
        <mc:AlternateContent xmlns:mc="http://schemas.openxmlformats.org/markup-compatibility/2006">
          <mc:Choice Requires="x14">
            <control shapeId="13145" r:id="rId2336" name="Button 1881">
              <controlPr defaultSize="0" autoFill="0" autoLine="0" autoPict="0" macro="[0]!Sheet1.InsertNewTableRow">
                <anchor moveWithCells="1" sizeWithCells="1">
                  <from>
                    <xdr:col>6</xdr:col>
                    <xdr:colOff>0</xdr:colOff>
                    <xdr:row>4009</xdr:row>
                    <xdr:rowOff>0</xdr:rowOff>
                  </from>
                  <to>
                    <xdr:col>7</xdr:col>
                    <xdr:colOff>0</xdr:colOff>
                    <xdr:row>4009</xdr:row>
                    <xdr:rowOff>171450</xdr:rowOff>
                  </to>
                </anchor>
              </controlPr>
            </control>
          </mc:Choice>
        </mc:AlternateContent>
        <mc:AlternateContent xmlns:mc="http://schemas.openxmlformats.org/markup-compatibility/2006">
          <mc:Choice Requires="x14">
            <control shapeId="13144" r:id="rId2337" name="Button 1880">
              <controlPr defaultSize="0" autoFill="0" autoLine="0" autoPict="0" macro="[0]!Sheet1.deleteRow">
                <anchor moveWithCells="1" sizeWithCells="1">
                  <from>
                    <xdr:col>6</xdr:col>
                    <xdr:colOff>0</xdr:colOff>
                    <xdr:row>4010</xdr:row>
                    <xdr:rowOff>0</xdr:rowOff>
                  </from>
                  <to>
                    <xdr:col>7</xdr:col>
                    <xdr:colOff>0</xdr:colOff>
                    <xdr:row>4010</xdr:row>
                    <xdr:rowOff>165100</xdr:rowOff>
                  </to>
                </anchor>
              </controlPr>
            </control>
          </mc:Choice>
        </mc:AlternateContent>
        <mc:AlternateContent xmlns:mc="http://schemas.openxmlformats.org/markup-compatibility/2006">
          <mc:Choice Requires="x14">
            <control shapeId="13143" r:id="rId2338" name="Button 1879">
              <controlPr defaultSize="0" autoFill="0" autoLine="0" autoPict="0" macro="[0]!Sheet1.deleteRow">
                <anchor moveWithCells="1" sizeWithCells="1">
                  <from>
                    <xdr:col>6</xdr:col>
                    <xdr:colOff>0</xdr:colOff>
                    <xdr:row>4011</xdr:row>
                    <xdr:rowOff>0</xdr:rowOff>
                  </from>
                  <to>
                    <xdr:col>7</xdr:col>
                    <xdr:colOff>0</xdr:colOff>
                    <xdr:row>4011</xdr:row>
                    <xdr:rowOff>165100</xdr:rowOff>
                  </to>
                </anchor>
              </controlPr>
            </control>
          </mc:Choice>
        </mc:AlternateContent>
        <mc:AlternateContent xmlns:mc="http://schemas.openxmlformats.org/markup-compatibility/2006">
          <mc:Choice Requires="x14">
            <control shapeId="13142" r:id="rId2339" name="Button 1878">
              <controlPr defaultSize="0" autoFill="0" autoLine="0" autoPict="0" macro="[0]!Sheet1.deleteRow">
                <anchor moveWithCells="1" sizeWithCells="1">
                  <from>
                    <xdr:col>6</xdr:col>
                    <xdr:colOff>0</xdr:colOff>
                    <xdr:row>4012</xdr:row>
                    <xdr:rowOff>0</xdr:rowOff>
                  </from>
                  <to>
                    <xdr:col>7</xdr:col>
                    <xdr:colOff>0</xdr:colOff>
                    <xdr:row>4012</xdr:row>
                    <xdr:rowOff>165100</xdr:rowOff>
                  </to>
                </anchor>
              </controlPr>
            </control>
          </mc:Choice>
        </mc:AlternateContent>
        <mc:AlternateContent xmlns:mc="http://schemas.openxmlformats.org/markup-compatibility/2006">
          <mc:Choice Requires="x14">
            <control shapeId="13141" r:id="rId2340" name="Button 1877">
              <controlPr defaultSize="0" autoFill="0" autoLine="0" autoPict="0" macro="[0]!Sheet1.deleteRow">
                <anchor moveWithCells="1" sizeWithCells="1">
                  <from>
                    <xdr:col>6</xdr:col>
                    <xdr:colOff>0</xdr:colOff>
                    <xdr:row>4013</xdr:row>
                    <xdr:rowOff>0</xdr:rowOff>
                  </from>
                  <to>
                    <xdr:col>7</xdr:col>
                    <xdr:colOff>0</xdr:colOff>
                    <xdr:row>4013</xdr:row>
                    <xdr:rowOff>165100</xdr:rowOff>
                  </to>
                </anchor>
              </controlPr>
            </control>
          </mc:Choice>
        </mc:AlternateContent>
        <mc:AlternateContent xmlns:mc="http://schemas.openxmlformats.org/markup-compatibility/2006">
          <mc:Choice Requires="x14">
            <control shapeId="13140" r:id="rId2341" name="Button 1876">
              <controlPr defaultSize="0" autoFill="0" autoLine="0" autoPict="0" macro="[0]!Sheet1.deleteRow">
                <anchor moveWithCells="1" sizeWithCells="1">
                  <from>
                    <xdr:col>6</xdr:col>
                    <xdr:colOff>0</xdr:colOff>
                    <xdr:row>4014</xdr:row>
                    <xdr:rowOff>0</xdr:rowOff>
                  </from>
                  <to>
                    <xdr:col>7</xdr:col>
                    <xdr:colOff>0</xdr:colOff>
                    <xdr:row>4014</xdr:row>
                    <xdr:rowOff>165100</xdr:rowOff>
                  </to>
                </anchor>
              </controlPr>
            </control>
          </mc:Choice>
        </mc:AlternateContent>
        <mc:AlternateContent xmlns:mc="http://schemas.openxmlformats.org/markup-compatibility/2006">
          <mc:Choice Requires="x14">
            <control shapeId="13139" r:id="rId2342" name="Button 1875">
              <controlPr defaultSize="0" autoFill="0" autoLine="0" autoPict="0" macro="[0]!Sheet1.deleteRow">
                <anchor moveWithCells="1" sizeWithCells="1">
                  <from>
                    <xdr:col>6</xdr:col>
                    <xdr:colOff>0</xdr:colOff>
                    <xdr:row>4015</xdr:row>
                    <xdr:rowOff>0</xdr:rowOff>
                  </from>
                  <to>
                    <xdr:col>7</xdr:col>
                    <xdr:colOff>0</xdr:colOff>
                    <xdr:row>4015</xdr:row>
                    <xdr:rowOff>165100</xdr:rowOff>
                  </to>
                </anchor>
              </controlPr>
            </control>
          </mc:Choice>
        </mc:AlternateContent>
        <mc:AlternateContent xmlns:mc="http://schemas.openxmlformats.org/markup-compatibility/2006">
          <mc:Choice Requires="x14">
            <control shapeId="13138" r:id="rId2343" name="Button 1874">
              <controlPr defaultSize="0" autoFill="0" autoLine="0" autoPict="0" macro="[0]!Sheet1.deleteRow">
                <anchor moveWithCells="1" sizeWithCells="1">
                  <from>
                    <xdr:col>6</xdr:col>
                    <xdr:colOff>0</xdr:colOff>
                    <xdr:row>4016</xdr:row>
                    <xdr:rowOff>0</xdr:rowOff>
                  </from>
                  <to>
                    <xdr:col>7</xdr:col>
                    <xdr:colOff>0</xdr:colOff>
                    <xdr:row>4016</xdr:row>
                    <xdr:rowOff>165100</xdr:rowOff>
                  </to>
                </anchor>
              </controlPr>
            </control>
          </mc:Choice>
        </mc:AlternateContent>
        <mc:AlternateContent xmlns:mc="http://schemas.openxmlformats.org/markup-compatibility/2006">
          <mc:Choice Requires="x14">
            <control shapeId="13137" r:id="rId2344" name="Button 1873">
              <controlPr defaultSize="0" autoFill="0" autoLine="0" autoPict="0" macro="[0]!Sheet1.deleteRow">
                <anchor moveWithCells="1" sizeWithCells="1">
                  <from>
                    <xdr:col>6</xdr:col>
                    <xdr:colOff>0</xdr:colOff>
                    <xdr:row>4017</xdr:row>
                    <xdr:rowOff>0</xdr:rowOff>
                  </from>
                  <to>
                    <xdr:col>7</xdr:col>
                    <xdr:colOff>0</xdr:colOff>
                    <xdr:row>4017</xdr:row>
                    <xdr:rowOff>165100</xdr:rowOff>
                  </to>
                </anchor>
              </controlPr>
            </control>
          </mc:Choice>
        </mc:AlternateContent>
        <mc:AlternateContent xmlns:mc="http://schemas.openxmlformats.org/markup-compatibility/2006">
          <mc:Choice Requires="x14">
            <control shapeId="13136" r:id="rId2345" name="Button 1872">
              <controlPr defaultSize="0" autoFill="0" autoLine="0" autoPict="0" macro="[0]!Sheet1.deleteRow">
                <anchor moveWithCells="1" sizeWithCells="1">
                  <from>
                    <xdr:col>6</xdr:col>
                    <xdr:colOff>0</xdr:colOff>
                    <xdr:row>4018</xdr:row>
                    <xdr:rowOff>0</xdr:rowOff>
                  </from>
                  <to>
                    <xdr:col>7</xdr:col>
                    <xdr:colOff>0</xdr:colOff>
                    <xdr:row>4018</xdr:row>
                    <xdr:rowOff>165100</xdr:rowOff>
                  </to>
                </anchor>
              </controlPr>
            </control>
          </mc:Choice>
        </mc:AlternateContent>
        <mc:AlternateContent xmlns:mc="http://schemas.openxmlformats.org/markup-compatibility/2006">
          <mc:Choice Requires="x14">
            <control shapeId="13135" r:id="rId2346" name="Button 1871">
              <controlPr defaultSize="0" autoFill="0" autoLine="0" autoPict="0" macro="[0]!Sheet1.deleteRow">
                <anchor moveWithCells="1" sizeWithCells="1">
                  <from>
                    <xdr:col>6</xdr:col>
                    <xdr:colOff>0</xdr:colOff>
                    <xdr:row>4019</xdr:row>
                    <xdr:rowOff>0</xdr:rowOff>
                  </from>
                  <to>
                    <xdr:col>7</xdr:col>
                    <xdr:colOff>0</xdr:colOff>
                    <xdr:row>4019</xdr:row>
                    <xdr:rowOff>165100</xdr:rowOff>
                  </to>
                </anchor>
              </controlPr>
            </control>
          </mc:Choice>
        </mc:AlternateContent>
        <mc:AlternateContent xmlns:mc="http://schemas.openxmlformats.org/markup-compatibility/2006">
          <mc:Choice Requires="x14">
            <control shapeId="13134" r:id="rId2347" name="Button 1870">
              <controlPr defaultSize="0" autoFill="0" autoLine="0" autoPict="0" macro="[0]!Sheet1.deleteRow">
                <anchor moveWithCells="1" sizeWithCells="1">
                  <from>
                    <xdr:col>6</xdr:col>
                    <xdr:colOff>0</xdr:colOff>
                    <xdr:row>4020</xdr:row>
                    <xdr:rowOff>0</xdr:rowOff>
                  </from>
                  <to>
                    <xdr:col>7</xdr:col>
                    <xdr:colOff>0</xdr:colOff>
                    <xdr:row>4020</xdr:row>
                    <xdr:rowOff>165100</xdr:rowOff>
                  </to>
                </anchor>
              </controlPr>
            </control>
          </mc:Choice>
        </mc:AlternateContent>
        <mc:AlternateContent xmlns:mc="http://schemas.openxmlformats.org/markup-compatibility/2006">
          <mc:Choice Requires="x14">
            <control shapeId="13133" r:id="rId2348" name="Button 1869">
              <controlPr defaultSize="0" autoFill="0" autoLine="0" autoPict="0" macro="[0]!Sheet1.deleteRow">
                <anchor moveWithCells="1" sizeWithCells="1">
                  <from>
                    <xdr:col>6</xdr:col>
                    <xdr:colOff>0</xdr:colOff>
                    <xdr:row>4021</xdr:row>
                    <xdr:rowOff>0</xdr:rowOff>
                  </from>
                  <to>
                    <xdr:col>7</xdr:col>
                    <xdr:colOff>0</xdr:colOff>
                    <xdr:row>4021</xdr:row>
                    <xdr:rowOff>165100</xdr:rowOff>
                  </to>
                </anchor>
              </controlPr>
            </control>
          </mc:Choice>
        </mc:AlternateContent>
        <mc:AlternateContent xmlns:mc="http://schemas.openxmlformats.org/markup-compatibility/2006">
          <mc:Choice Requires="x14">
            <control shapeId="13132" r:id="rId2349" name="Button 1868">
              <controlPr defaultSize="0" autoFill="0" autoLine="0" autoPict="0" macro="[0]!Sheet1.deleteRow">
                <anchor moveWithCells="1" sizeWithCells="1">
                  <from>
                    <xdr:col>6</xdr:col>
                    <xdr:colOff>0</xdr:colOff>
                    <xdr:row>4022</xdr:row>
                    <xdr:rowOff>0</xdr:rowOff>
                  </from>
                  <to>
                    <xdr:col>7</xdr:col>
                    <xdr:colOff>0</xdr:colOff>
                    <xdr:row>4022</xdr:row>
                    <xdr:rowOff>165100</xdr:rowOff>
                  </to>
                </anchor>
              </controlPr>
            </control>
          </mc:Choice>
        </mc:AlternateContent>
        <mc:AlternateContent xmlns:mc="http://schemas.openxmlformats.org/markup-compatibility/2006">
          <mc:Choice Requires="x14">
            <control shapeId="13131" r:id="rId2350" name="Button 1867">
              <controlPr defaultSize="0" autoFill="0" autoLine="0" autoPict="0" macro="[0]!Sheet1.deleteRow">
                <anchor moveWithCells="1" sizeWithCells="1">
                  <from>
                    <xdr:col>6</xdr:col>
                    <xdr:colOff>0</xdr:colOff>
                    <xdr:row>4023</xdr:row>
                    <xdr:rowOff>0</xdr:rowOff>
                  </from>
                  <to>
                    <xdr:col>7</xdr:col>
                    <xdr:colOff>0</xdr:colOff>
                    <xdr:row>4023</xdr:row>
                    <xdr:rowOff>165100</xdr:rowOff>
                  </to>
                </anchor>
              </controlPr>
            </control>
          </mc:Choice>
        </mc:AlternateContent>
        <mc:AlternateContent xmlns:mc="http://schemas.openxmlformats.org/markup-compatibility/2006">
          <mc:Choice Requires="x14">
            <control shapeId="13130" r:id="rId2351" name="Button 1866">
              <controlPr defaultSize="0" autoFill="0" autoLine="0" autoPict="0" macro="[0]!Sheet1.deleteRow">
                <anchor moveWithCells="1" sizeWithCells="1">
                  <from>
                    <xdr:col>6</xdr:col>
                    <xdr:colOff>0</xdr:colOff>
                    <xdr:row>4024</xdr:row>
                    <xdr:rowOff>0</xdr:rowOff>
                  </from>
                  <to>
                    <xdr:col>7</xdr:col>
                    <xdr:colOff>0</xdr:colOff>
                    <xdr:row>4024</xdr:row>
                    <xdr:rowOff>165100</xdr:rowOff>
                  </to>
                </anchor>
              </controlPr>
            </control>
          </mc:Choice>
        </mc:AlternateContent>
        <mc:AlternateContent xmlns:mc="http://schemas.openxmlformats.org/markup-compatibility/2006">
          <mc:Choice Requires="x14">
            <control shapeId="13129" r:id="rId2352" name="Button 1865">
              <controlPr defaultSize="0" autoFill="0" autoLine="0" autoPict="0" macro="[0]!Sheet1.deleteRow">
                <anchor moveWithCells="1" sizeWithCells="1">
                  <from>
                    <xdr:col>6</xdr:col>
                    <xdr:colOff>0</xdr:colOff>
                    <xdr:row>4025</xdr:row>
                    <xdr:rowOff>0</xdr:rowOff>
                  </from>
                  <to>
                    <xdr:col>7</xdr:col>
                    <xdr:colOff>0</xdr:colOff>
                    <xdr:row>4025</xdr:row>
                    <xdr:rowOff>165100</xdr:rowOff>
                  </to>
                </anchor>
              </controlPr>
            </control>
          </mc:Choice>
        </mc:AlternateContent>
        <mc:AlternateContent xmlns:mc="http://schemas.openxmlformats.org/markup-compatibility/2006">
          <mc:Choice Requires="x14">
            <control shapeId="13128" r:id="rId2353" name="Button 1864">
              <controlPr defaultSize="0" autoFill="0" autoLine="0" autoPict="0" macro="[0]!Sheet1.deleteRow">
                <anchor moveWithCells="1" sizeWithCells="1">
                  <from>
                    <xdr:col>6</xdr:col>
                    <xdr:colOff>0</xdr:colOff>
                    <xdr:row>4026</xdr:row>
                    <xdr:rowOff>0</xdr:rowOff>
                  </from>
                  <to>
                    <xdr:col>7</xdr:col>
                    <xdr:colOff>0</xdr:colOff>
                    <xdr:row>4026</xdr:row>
                    <xdr:rowOff>165100</xdr:rowOff>
                  </to>
                </anchor>
              </controlPr>
            </control>
          </mc:Choice>
        </mc:AlternateContent>
        <mc:AlternateContent xmlns:mc="http://schemas.openxmlformats.org/markup-compatibility/2006">
          <mc:Choice Requires="x14">
            <control shapeId="13127" r:id="rId2354" name="Button 1863">
              <controlPr defaultSize="0" autoFill="0" autoLine="0" autoPict="0" macro="[0]!Sheet1.deleteRow">
                <anchor moveWithCells="1" sizeWithCells="1">
                  <from>
                    <xdr:col>6</xdr:col>
                    <xdr:colOff>0</xdr:colOff>
                    <xdr:row>4027</xdr:row>
                    <xdr:rowOff>0</xdr:rowOff>
                  </from>
                  <to>
                    <xdr:col>7</xdr:col>
                    <xdr:colOff>0</xdr:colOff>
                    <xdr:row>4027</xdr:row>
                    <xdr:rowOff>165100</xdr:rowOff>
                  </to>
                </anchor>
              </controlPr>
            </control>
          </mc:Choice>
        </mc:AlternateContent>
        <mc:AlternateContent xmlns:mc="http://schemas.openxmlformats.org/markup-compatibility/2006">
          <mc:Choice Requires="x14">
            <control shapeId="13126" r:id="rId2355" name="Button 1862">
              <controlPr defaultSize="0" autoFill="0" autoLine="0" autoPict="0" macro="[0]!Sheet1.deleteRow">
                <anchor moveWithCells="1" sizeWithCells="1">
                  <from>
                    <xdr:col>6</xdr:col>
                    <xdr:colOff>0</xdr:colOff>
                    <xdr:row>4028</xdr:row>
                    <xdr:rowOff>0</xdr:rowOff>
                  </from>
                  <to>
                    <xdr:col>7</xdr:col>
                    <xdr:colOff>0</xdr:colOff>
                    <xdr:row>4028</xdr:row>
                    <xdr:rowOff>165100</xdr:rowOff>
                  </to>
                </anchor>
              </controlPr>
            </control>
          </mc:Choice>
        </mc:AlternateContent>
        <mc:AlternateContent xmlns:mc="http://schemas.openxmlformats.org/markup-compatibility/2006">
          <mc:Choice Requires="x14">
            <control shapeId="13125" r:id="rId2356" name="Button 1861">
              <controlPr defaultSize="0" autoFill="0" autoLine="0" autoPict="0" macro="[0]!Sheet1.deleteRow">
                <anchor moveWithCells="1" sizeWithCells="1">
                  <from>
                    <xdr:col>6</xdr:col>
                    <xdr:colOff>0</xdr:colOff>
                    <xdr:row>4029</xdr:row>
                    <xdr:rowOff>0</xdr:rowOff>
                  </from>
                  <to>
                    <xdr:col>7</xdr:col>
                    <xdr:colOff>0</xdr:colOff>
                    <xdr:row>4029</xdr:row>
                    <xdr:rowOff>165100</xdr:rowOff>
                  </to>
                </anchor>
              </controlPr>
            </control>
          </mc:Choice>
        </mc:AlternateContent>
        <mc:AlternateContent xmlns:mc="http://schemas.openxmlformats.org/markup-compatibility/2006">
          <mc:Choice Requires="x14">
            <control shapeId="13124" r:id="rId2357" name="Button 1860">
              <controlPr defaultSize="0" autoFill="0" autoLine="0" autoPict="0" macro="[0]!Sheet1.deleteRow">
                <anchor moveWithCells="1" sizeWithCells="1">
                  <from>
                    <xdr:col>6</xdr:col>
                    <xdr:colOff>0</xdr:colOff>
                    <xdr:row>4030</xdr:row>
                    <xdr:rowOff>0</xdr:rowOff>
                  </from>
                  <to>
                    <xdr:col>7</xdr:col>
                    <xdr:colOff>0</xdr:colOff>
                    <xdr:row>4030</xdr:row>
                    <xdr:rowOff>165100</xdr:rowOff>
                  </to>
                </anchor>
              </controlPr>
            </control>
          </mc:Choice>
        </mc:AlternateContent>
        <mc:AlternateContent xmlns:mc="http://schemas.openxmlformats.org/markup-compatibility/2006">
          <mc:Choice Requires="x14">
            <control shapeId="13123" r:id="rId2358" name="Button 1859">
              <controlPr defaultSize="0" autoFill="0" autoLine="0" autoPict="0" macro="[0]!Sheet1.deleteRow">
                <anchor moveWithCells="1" sizeWithCells="1">
                  <from>
                    <xdr:col>6</xdr:col>
                    <xdr:colOff>0</xdr:colOff>
                    <xdr:row>4031</xdr:row>
                    <xdr:rowOff>0</xdr:rowOff>
                  </from>
                  <to>
                    <xdr:col>7</xdr:col>
                    <xdr:colOff>0</xdr:colOff>
                    <xdr:row>4031</xdr:row>
                    <xdr:rowOff>165100</xdr:rowOff>
                  </to>
                </anchor>
              </controlPr>
            </control>
          </mc:Choice>
        </mc:AlternateContent>
        <mc:AlternateContent xmlns:mc="http://schemas.openxmlformats.org/markup-compatibility/2006">
          <mc:Choice Requires="x14">
            <control shapeId="13122" r:id="rId2359" name="Button 1858">
              <controlPr defaultSize="0" autoFill="0" autoLine="0" autoPict="0" macro="[0]!Sheet1.deleteRow">
                <anchor moveWithCells="1" sizeWithCells="1">
                  <from>
                    <xdr:col>6</xdr:col>
                    <xdr:colOff>0</xdr:colOff>
                    <xdr:row>4032</xdr:row>
                    <xdr:rowOff>0</xdr:rowOff>
                  </from>
                  <to>
                    <xdr:col>7</xdr:col>
                    <xdr:colOff>0</xdr:colOff>
                    <xdr:row>4032</xdr:row>
                    <xdr:rowOff>165100</xdr:rowOff>
                  </to>
                </anchor>
              </controlPr>
            </control>
          </mc:Choice>
        </mc:AlternateContent>
        <mc:AlternateContent xmlns:mc="http://schemas.openxmlformats.org/markup-compatibility/2006">
          <mc:Choice Requires="x14">
            <control shapeId="13121" r:id="rId2360" name="Button 1857">
              <controlPr defaultSize="0" autoFill="0" autoLine="0" autoPict="0" macro="[0]!Sheet1.deleteRow">
                <anchor moveWithCells="1" sizeWithCells="1">
                  <from>
                    <xdr:col>6</xdr:col>
                    <xdr:colOff>0</xdr:colOff>
                    <xdr:row>4033</xdr:row>
                    <xdr:rowOff>0</xdr:rowOff>
                  </from>
                  <to>
                    <xdr:col>7</xdr:col>
                    <xdr:colOff>0</xdr:colOff>
                    <xdr:row>4033</xdr:row>
                    <xdr:rowOff>165100</xdr:rowOff>
                  </to>
                </anchor>
              </controlPr>
            </control>
          </mc:Choice>
        </mc:AlternateContent>
        <mc:AlternateContent xmlns:mc="http://schemas.openxmlformats.org/markup-compatibility/2006">
          <mc:Choice Requires="x14">
            <control shapeId="13120" r:id="rId2361" name="Button 1856">
              <controlPr defaultSize="0" autoFill="0" autoLine="0" autoPict="0" macro="[0]!Sheet1.deleteRow">
                <anchor moveWithCells="1" sizeWithCells="1">
                  <from>
                    <xdr:col>6</xdr:col>
                    <xdr:colOff>0</xdr:colOff>
                    <xdr:row>4034</xdr:row>
                    <xdr:rowOff>0</xdr:rowOff>
                  </from>
                  <to>
                    <xdr:col>7</xdr:col>
                    <xdr:colOff>0</xdr:colOff>
                    <xdr:row>4034</xdr:row>
                    <xdr:rowOff>165100</xdr:rowOff>
                  </to>
                </anchor>
              </controlPr>
            </control>
          </mc:Choice>
        </mc:AlternateContent>
        <mc:AlternateContent xmlns:mc="http://schemas.openxmlformats.org/markup-compatibility/2006">
          <mc:Choice Requires="x14">
            <control shapeId="13119" r:id="rId2362" name="Button 1855">
              <controlPr defaultSize="0" autoFill="0" autoLine="0" autoPict="0" macro="[0]!Sheet1.deleteRow">
                <anchor moveWithCells="1" sizeWithCells="1">
                  <from>
                    <xdr:col>6</xdr:col>
                    <xdr:colOff>0</xdr:colOff>
                    <xdr:row>4035</xdr:row>
                    <xdr:rowOff>0</xdr:rowOff>
                  </from>
                  <to>
                    <xdr:col>7</xdr:col>
                    <xdr:colOff>0</xdr:colOff>
                    <xdr:row>4035</xdr:row>
                    <xdr:rowOff>165100</xdr:rowOff>
                  </to>
                </anchor>
              </controlPr>
            </control>
          </mc:Choice>
        </mc:AlternateContent>
        <mc:AlternateContent xmlns:mc="http://schemas.openxmlformats.org/markup-compatibility/2006">
          <mc:Choice Requires="x14">
            <control shapeId="13118" r:id="rId2363" name="Button 1854">
              <controlPr defaultSize="0" autoFill="0" autoLine="0" autoPict="0" macro="[0]!Sheet1.deleteRow">
                <anchor moveWithCells="1" sizeWithCells="1">
                  <from>
                    <xdr:col>6</xdr:col>
                    <xdr:colOff>0</xdr:colOff>
                    <xdr:row>4036</xdr:row>
                    <xdr:rowOff>0</xdr:rowOff>
                  </from>
                  <to>
                    <xdr:col>7</xdr:col>
                    <xdr:colOff>0</xdr:colOff>
                    <xdr:row>4036</xdr:row>
                    <xdr:rowOff>165100</xdr:rowOff>
                  </to>
                </anchor>
              </controlPr>
            </control>
          </mc:Choice>
        </mc:AlternateContent>
        <mc:AlternateContent xmlns:mc="http://schemas.openxmlformats.org/markup-compatibility/2006">
          <mc:Choice Requires="x14">
            <control shapeId="13117" r:id="rId2364" name="Button 1853">
              <controlPr defaultSize="0" autoFill="0" autoLine="0" autoPict="0" macro="[0]!Sheet1.deleteRow">
                <anchor moveWithCells="1" sizeWithCells="1">
                  <from>
                    <xdr:col>6</xdr:col>
                    <xdr:colOff>0</xdr:colOff>
                    <xdr:row>4037</xdr:row>
                    <xdr:rowOff>0</xdr:rowOff>
                  </from>
                  <to>
                    <xdr:col>7</xdr:col>
                    <xdr:colOff>0</xdr:colOff>
                    <xdr:row>4037</xdr:row>
                    <xdr:rowOff>165100</xdr:rowOff>
                  </to>
                </anchor>
              </controlPr>
            </control>
          </mc:Choice>
        </mc:AlternateContent>
        <mc:AlternateContent xmlns:mc="http://schemas.openxmlformats.org/markup-compatibility/2006">
          <mc:Choice Requires="x14">
            <control shapeId="13116" r:id="rId2365" name="Button 1852">
              <controlPr defaultSize="0" autoFill="0" autoLine="0" autoPict="0" macro="[0]!Sheet1.deleteRow">
                <anchor moveWithCells="1" sizeWithCells="1">
                  <from>
                    <xdr:col>6</xdr:col>
                    <xdr:colOff>0</xdr:colOff>
                    <xdr:row>4038</xdr:row>
                    <xdr:rowOff>0</xdr:rowOff>
                  </from>
                  <to>
                    <xdr:col>7</xdr:col>
                    <xdr:colOff>0</xdr:colOff>
                    <xdr:row>4038</xdr:row>
                    <xdr:rowOff>165100</xdr:rowOff>
                  </to>
                </anchor>
              </controlPr>
            </control>
          </mc:Choice>
        </mc:AlternateContent>
        <mc:AlternateContent xmlns:mc="http://schemas.openxmlformats.org/markup-compatibility/2006">
          <mc:Choice Requires="x14">
            <control shapeId="13115" r:id="rId2366" name="Button 1851">
              <controlPr defaultSize="0" autoFill="0" autoLine="0" autoPict="0" macro="[0]!Sheet1.deleteProcedure">
                <anchor moveWithCells="1" sizeWithCells="1">
                  <from>
                    <xdr:col>6</xdr:col>
                    <xdr:colOff>0</xdr:colOff>
                    <xdr:row>4041</xdr:row>
                    <xdr:rowOff>0</xdr:rowOff>
                  </from>
                  <to>
                    <xdr:col>7</xdr:col>
                    <xdr:colOff>0</xdr:colOff>
                    <xdr:row>4042</xdr:row>
                    <xdr:rowOff>0</xdr:rowOff>
                  </to>
                </anchor>
              </controlPr>
            </control>
          </mc:Choice>
        </mc:AlternateContent>
        <mc:AlternateContent xmlns:mc="http://schemas.openxmlformats.org/markup-compatibility/2006">
          <mc:Choice Requires="x14">
            <control shapeId="13114" r:id="rId2367" name="Button 1850">
              <controlPr defaultSize="0" autoFill="0" autoLine="0" autoPict="0" macro="[0]!Sheet1.InsertNewTableRow">
                <anchor moveWithCells="1" sizeWithCells="1">
                  <from>
                    <xdr:col>6</xdr:col>
                    <xdr:colOff>0</xdr:colOff>
                    <xdr:row>4048</xdr:row>
                    <xdr:rowOff>0</xdr:rowOff>
                  </from>
                  <to>
                    <xdr:col>7</xdr:col>
                    <xdr:colOff>0</xdr:colOff>
                    <xdr:row>4048</xdr:row>
                    <xdr:rowOff>171450</xdr:rowOff>
                  </to>
                </anchor>
              </controlPr>
            </control>
          </mc:Choice>
        </mc:AlternateContent>
        <mc:AlternateContent xmlns:mc="http://schemas.openxmlformats.org/markup-compatibility/2006">
          <mc:Choice Requires="x14">
            <control shapeId="13113" r:id="rId2368" name="Button 1849">
              <controlPr defaultSize="0" autoFill="0" autoLine="0" autoPict="0" macro="[0]!Sheet1.deleteRow">
                <anchor moveWithCells="1" sizeWithCells="1">
                  <from>
                    <xdr:col>6</xdr:col>
                    <xdr:colOff>0</xdr:colOff>
                    <xdr:row>4049</xdr:row>
                    <xdr:rowOff>0</xdr:rowOff>
                  </from>
                  <to>
                    <xdr:col>7</xdr:col>
                    <xdr:colOff>0</xdr:colOff>
                    <xdr:row>4049</xdr:row>
                    <xdr:rowOff>165100</xdr:rowOff>
                  </to>
                </anchor>
              </controlPr>
            </control>
          </mc:Choice>
        </mc:AlternateContent>
        <mc:AlternateContent xmlns:mc="http://schemas.openxmlformats.org/markup-compatibility/2006">
          <mc:Choice Requires="x14">
            <control shapeId="13112" r:id="rId2369" name="Button 1848">
              <controlPr defaultSize="0" autoFill="0" autoLine="0" autoPict="0" macro="[0]!Sheet1.deleteRow">
                <anchor moveWithCells="1" sizeWithCells="1">
                  <from>
                    <xdr:col>6</xdr:col>
                    <xdr:colOff>0</xdr:colOff>
                    <xdr:row>4050</xdr:row>
                    <xdr:rowOff>0</xdr:rowOff>
                  </from>
                  <to>
                    <xdr:col>7</xdr:col>
                    <xdr:colOff>0</xdr:colOff>
                    <xdr:row>4050</xdr:row>
                    <xdr:rowOff>165100</xdr:rowOff>
                  </to>
                </anchor>
              </controlPr>
            </control>
          </mc:Choice>
        </mc:AlternateContent>
        <mc:AlternateContent xmlns:mc="http://schemas.openxmlformats.org/markup-compatibility/2006">
          <mc:Choice Requires="x14">
            <control shapeId="13111" r:id="rId2370" name="Button 1847">
              <controlPr defaultSize="0" autoFill="0" autoLine="0" autoPict="0" macro="[0]!Sheet1.deleteRow">
                <anchor moveWithCells="1" sizeWithCells="1">
                  <from>
                    <xdr:col>6</xdr:col>
                    <xdr:colOff>0</xdr:colOff>
                    <xdr:row>4051</xdr:row>
                    <xdr:rowOff>0</xdr:rowOff>
                  </from>
                  <to>
                    <xdr:col>7</xdr:col>
                    <xdr:colOff>0</xdr:colOff>
                    <xdr:row>4051</xdr:row>
                    <xdr:rowOff>165100</xdr:rowOff>
                  </to>
                </anchor>
              </controlPr>
            </control>
          </mc:Choice>
        </mc:AlternateContent>
        <mc:AlternateContent xmlns:mc="http://schemas.openxmlformats.org/markup-compatibility/2006">
          <mc:Choice Requires="x14">
            <control shapeId="13110" r:id="rId2371" name="Button 1846">
              <controlPr defaultSize="0" autoFill="0" autoLine="0" autoPict="0" macro="[0]!Sheet1.deleteRow">
                <anchor moveWithCells="1" sizeWithCells="1">
                  <from>
                    <xdr:col>6</xdr:col>
                    <xdr:colOff>0</xdr:colOff>
                    <xdr:row>4052</xdr:row>
                    <xdr:rowOff>0</xdr:rowOff>
                  </from>
                  <to>
                    <xdr:col>7</xdr:col>
                    <xdr:colOff>0</xdr:colOff>
                    <xdr:row>4052</xdr:row>
                    <xdr:rowOff>165100</xdr:rowOff>
                  </to>
                </anchor>
              </controlPr>
            </control>
          </mc:Choice>
        </mc:AlternateContent>
        <mc:AlternateContent xmlns:mc="http://schemas.openxmlformats.org/markup-compatibility/2006">
          <mc:Choice Requires="x14">
            <control shapeId="13109" r:id="rId2372" name="Button 1845">
              <controlPr defaultSize="0" autoFill="0" autoLine="0" autoPict="0" macro="[0]!Sheet1.deleteRow">
                <anchor moveWithCells="1" sizeWithCells="1">
                  <from>
                    <xdr:col>6</xdr:col>
                    <xdr:colOff>0</xdr:colOff>
                    <xdr:row>4053</xdr:row>
                    <xdr:rowOff>0</xdr:rowOff>
                  </from>
                  <to>
                    <xdr:col>7</xdr:col>
                    <xdr:colOff>0</xdr:colOff>
                    <xdr:row>4053</xdr:row>
                    <xdr:rowOff>165100</xdr:rowOff>
                  </to>
                </anchor>
              </controlPr>
            </control>
          </mc:Choice>
        </mc:AlternateContent>
        <mc:AlternateContent xmlns:mc="http://schemas.openxmlformats.org/markup-compatibility/2006">
          <mc:Choice Requires="x14">
            <control shapeId="13108" r:id="rId2373" name="Button 1844">
              <controlPr defaultSize="0" autoFill="0" autoLine="0" autoPict="0" macro="[0]!Sheet1.deleteRow">
                <anchor moveWithCells="1" sizeWithCells="1">
                  <from>
                    <xdr:col>6</xdr:col>
                    <xdr:colOff>0</xdr:colOff>
                    <xdr:row>4054</xdr:row>
                    <xdr:rowOff>0</xdr:rowOff>
                  </from>
                  <to>
                    <xdr:col>7</xdr:col>
                    <xdr:colOff>0</xdr:colOff>
                    <xdr:row>4054</xdr:row>
                    <xdr:rowOff>165100</xdr:rowOff>
                  </to>
                </anchor>
              </controlPr>
            </control>
          </mc:Choice>
        </mc:AlternateContent>
        <mc:AlternateContent xmlns:mc="http://schemas.openxmlformats.org/markup-compatibility/2006">
          <mc:Choice Requires="x14">
            <control shapeId="13107" r:id="rId2374" name="Button 1843">
              <controlPr defaultSize="0" autoFill="0" autoLine="0" autoPict="0" macro="[0]!Sheet1.deleteRow">
                <anchor moveWithCells="1" sizeWithCells="1">
                  <from>
                    <xdr:col>6</xdr:col>
                    <xdr:colOff>0</xdr:colOff>
                    <xdr:row>4055</xdr:row>
                    <xdr:rowOff>0</xdr:rowOff>
                  </from>
                  <to>
                    <xdr:col>7</xdr:col>
                    <xdr:colOff>0</xdr:colOff>
                    <xdr:row>4055</xdr:row>
                    <xdr:rowOff>165100</xdr:rowOff>
                  </to>
                </anchor>
              </controlPr>
            </control>
          </mc:Choice>
        </mc:AlternateContent>
        <mc:AlternateContent xmlns:mc="http://schemas.openxmlformats.org/markup-compatibility/2006">
          <mc:Choice Requires="x14">
            <control shapeId="13106" r:id="rId2375" name="Button 1842">
              <controlPr defaultSize="0" autoFill="0" autoLine="0" autoPict="0" macro="[0]!Sheet1.deleteRow">
                <anchor moveWithCells="1" sizeWithCells="1">
                  <from>
                    <xdr:col>6</xdr:col>
                    <xdr:colOff>0</xdr:colOff>
                    <xdr:row>4056</xdr:row>
                    <xdr:rowOff>0</xdr:rowOff>
                  </from>
                  <to>
                    <xdr:col>7</xdr:col>
                    <xdr:colOff>0</xdr:colOff>
                    <xdr:row>4056</xdr:row>
                    <xdr:rowOff>165100</xdr:rowOff>
                  </to>
                </anchor>
              </controlPr>
            </control>
          </mc:Choice>
        </mc:AlternateContent>
        <mc:AlternateContent xmlns:mc="http://schemas.openxmlformats.org/markup-compatibility/2006">
          <mc:Choice Requires="x14">
            <control shapeId="13105" r:id="rId2376" name="Button 1841">
              <controlPr defaultSize="0" autoFill="0" autoLine="0" autoPict="0" macro="[0]!Sheet1.deleteRow">
                <anchor moveWithCells="1" sizeWithCells="1">
                  <from>
                    <xdr:col>6</xdr:col>
                    <xdr:colOff>0</xdr:colOff>
                    <xdr:row>4057</xdr:row>
                    <xdr:rowOff>0</xdr:rowOff>
                  </from>
                  <to>
                    <xdr:col>7</xdr:col>
                    <xdr:colOff>0</xdr:colOff>
                    <xdr:row>4057</xdr:row>
                    <xdr:rowOff>165100</xdr:rowOff>
                  </to>
                </anchor>
              </controlPr>
            </control>
          </mc:Choice>
        </mc:AlternateContent>
        <mc:AlternateContent xmlns:mc="http://schemas.openxmlformats.org/markup-compatibility/2006">
          <mc:Choice Requires="x14">
            <control shapeId="13104" r:id="rId2377" name="Button 1840">
              <controlPr defaultSize="0" autoFill="0" autoLine="0" autoPict="0" macro="[0]!Sheet1.deleteRow">
                <anchor moveWithCells="1" sizeWithCells="1">
                  <from>
                    <xdr:col>6</xdr:col>
                    <xdr:colOff>0</xdr:colOff>
                    <xdr:row>4058</xdr:row>
                    <xdr:rowOff>0</xdr:rowOff>
                  </from>
                  <to>
                    <xdr:col>7</xdr:col>
                    <xdr:colOff>0</xdr:colOff>
                    <xdr:row>4058</xdr:row>
                    <xdr:rowOff>165100</xdr:rowOff>
                  </to>
                </anchor>
              </controlPr>
            </control>
          </mc:Choice>
        </mc:AlternateContent>
        <mc:AlternateContent xmlns:mc="http://schemas.openxmlformats.org/markup-compatibility/2006">
          <mc:Choice Requires="x14">
            <control shapeId="13103" r:id="rId2378" name="Button 1839">
              <controlPr defaultSize="0" autoFill="0" autoLine="0" autoPict="0" macro="[0]!Sheet1.deleteRow">
                <anchor moveWithCells="1" sizeWithCells="1">
                  <from>
                    <xdr:col>6</xdr:col>
                    <xdr:colOff>0</xdr:colOff>
                    <xdr:row>4059</xdr:row>
                    <xdr:rowOff>0</xdr:rowOff>
                  </from>
                  <to>
                    <xdr:col>7</xdr:col>
                    <xdr:colOff>0</xdr:colOff>
                    <xdr:row>4059</xdr:row>
                    <xdr:rowOff>165100</xdr:rowOff>
                  </to>
                </anchor>
              </controlPr>
            </control>
          </mc:Choice>
        </mc:AlternateContent>
        <mc:AlternateContent xmlns:mc="http://schemas.openxmlformats.org/markup-compatibility/2006">
          <mc:Choice Requires="x14">
            <control shapeId="13102" r:id="rId2379" name="Button 1838">
              <controlPr defaultSize="0" autoFill="0" autoLine="0" autoPict="0" macro="[0]!Sheet1.deleteRow">
                <anchor moveWithCells="1" sizeWithCells="1">
                  <from>
                    <xdr:col>6</xdr:col>
                    <xdr:colOff>0</xdr:colOff>
                    <xdr:row>4060</xdr:row>
                    <xdr:rowOff>0</xdr:rowOff>
                  </from>
                  <to>
                    <xdr:col>7</xdr:col>
                    <xdr:colOff>0</xdr:colOff>
                    <xdr:row>4060</xdr:row>
                    <xdr:rowOff>165100</xdr:rowOff>
                  </to>
                </anchor>
              </controlPr>
            </control>
          </mc:Choice>
        </mc:AlternateContent>
        <mc:AlternateContent xmlns:mc="http://schemas.openxmlformats.org/markup-compatibility/2006">
          <mc:Choice Requires="x14">
            <control shapeId="13101" r:id="rId2380" name="Button 1837">
              <controlPr defaultSize="0" autoFill="0" autoLine="0" autoPict="0" macro="[0]!Sheet1.deleteRow">
                <anchor moveWithCells="1" sizeWithCells="1">
                  <from>
                    <xdr:col>6</xdr:col>
                    <xdr:colOff>0</xdr:colOff>
                    <xdr:row>4061</xdr:row>
                    <xdr:rowOff>0</xdr:rowOff>
                  </from>
                  <to>
                    <xdr:col>7</xdr:col>
                    <xdr:colOff>0</xdr:colOff>
                    <xdr:row>4061</xdr:row>
                    <xdr:rowOff>165100</xdr:rowOff>
                  </to>
                </anchor>
              </controlPr>
            </control>
          </mc:Choice>
        </mc:AlternateContent>
        <mc:AlternateContent xmlns:mc="http://schemas.openxmlformats.org/markup-compatibility/2006">
          <mc:Choice Requires="x14">
            <control shapeId="13100" r:id="rId2381" name="Button 1836">
              <controlPr defaultSize="0" autoFill="0" autoLine="0" autoPict="0" macro="[0]!Sheet1.deleteRow">
                <anchor moveWithCells="1" sizeWithCells="1">
                  <from>
                    <xdr:col>6</xdr:col>
                    <xdr:colOff>0</xdr:colOff>
                    <xdr:row>4062</xdr:row>
                    <xdr:rowOff>0</xdr:rowOff>
                  </from>
                  <to>
                    <xdr:col>7</xdr:col>
                    <xdr:colOff>0</xdr:colOff>
                    <xdr:row>4062</xdr:row>
                    <xdr:rowOff>165100</xdr:rowOff>
                  </to>
                </anchor>
              </controlPr>
            </control>
          </mc:Choice>
        </mc:AlternateContent>
        <mc:AlternateContent xmlns:mc="http://schemas.openxmlformats.org/markup-compatibility/2006">
          <mc:Choice Requires="x14">
            <control shapeId="13099" r:id="rId2382" name="Button 1835">
              <controlPr defaultSize="0" autoFill="0" autoLine="0" autoPict="0" macro="[0]!Sheet1.deleteRow">
                <anchor moveWithCells="1" sizeWithCells="1">
                  <from>
                    <xdr:col>6</xdr:col>
                    <xdr:colOff>0</xdr:colOff>
                    <xdr:row>4063</xdr:row>
                    <xdr:rowOff>0</xdr:rowOff>
                  </from>
                  <to>
                    <xdr:col>7</xdr:col>
                    <xdr:colOff>0</xdr:colOff>
                    <xdr:row>4063</xdr:row>
                    <xdr:rowOff>165100</xdr:rowOff>
                  </to>
                </anchor>
              </controlPr>
            </control>
          </mc:Choice>
        </mc:AlternateContent>
        <mc:AlternateContent xmlns:mc="http://schemas.openxmlformats.org/markup-compatibility/2006">
          <mc:Choice Requires="x14">
            <control shapeId="13098" r:id="rId2383" name="Button 1834">
              <controlPr defaultSize="0" autoFill="0" autoLine="0" autoPict="0" macro="[0]!Sheet1.deleteRow">
                <anchor moveWithCells="1" sizeWithCells="1">
                  <from>
                    <xdr:col>6</xdr:col>
                    <xdr:colOff>0</xdr:colOff>
                    <xdr:row>4064</xdr:row>
                    <xdr:rowOff>0</xdr:rowOff>
                  </from>
                  <to>
                    <xdr:col>7</xdr:col>
                    <xdr:colOff>0</xdr:colOff>
                    <xdr:row>4064</xdr:row>
                    <xdr:rowOff>165100</xdr:rowOff>
                  </to>
                </anchor>
              </controlPr>
            </control>
          </mc:Choice>
        </mc:AlternateContent>
        <mc:AlternateContent xmlns:mc="http://schemas.openxmlformats.org/markup-compatibility/2006">
          <mc:Choice Requires="x14">
            <control shapeId="13097" r:id="rId2384" name="Button 1833">
              <controlPr defaultSize="0" autoFill="0" autoLine="0" autoPict="0" macro="[0]!Sheet1.deleteRow">
                <anchor moveWithCells="1" sizeWithCells="1">
                  <from>
                    <xdr:col>6</xdr:col>
                    <xdr:colOff>0</xdr:colOff>
                    <xdr:row>4065</xdr:row>
                    <xdr:rowOff>0</xdr:rowOff>
                  </from>
                  <to>
                    <xdr:col>7</xdr:col>
                    <xdr:colOff>0</xdr:colOff>
                    <xdr:row>4065</xdr:row>
                    <xdr:rowOff>165100</xdr:rowOff>
                  </to>
                </anchor>
              </controlPr>
            </control>
          </mc:Choice>
        </mc:AlternateContent>
        <mc:AlternateContent xmlns:mc="http://schemas.openxmlformats.org/markup-compatibility/2006">
          <mc:Choice Requires="x14">
            <control shapeId="13096" r:id="rId2385" name="Button 1832">
              <controlPr defaultSize="0" autoFill="0" autoLine="0" autoPict="0" macro="[0]!Sheet1.deleteRow">
                <anchor moveWithCells="1" sizeWithCells="1">
                  <from>
                    <xdr:col>6</xdr:col>
                    <xdr:colOff>0</xdr:colOff>
                    <xdr:row>4066</xdr:row>
                    <xdr:rowOff>0</xdr:rowOff>
                  </from>
                  <to>
                    <xdr:col>7</xdr:col>
                    <xdr:colOff>0</xdr:colOff>
                    <xdr:row>4066</xdr:row>
                    <xdr:rowOff>165100</xdr:rowOff>
                  </to>
                </anchor>
              </controlPr>
            </control>
          </mc:Choice>
        </mc:AlternateContent>
        <mc:AlternateContent xmlns:mc="http://schemas.openxmlformats.org/markup-compatibility/2006">
          <mc:Choice Requires="x14">
            <control shapeId="13095" r:id="rId2386" name="Button 1831">
              <controlPr defaultSize="0" autoFill="0" autoLine="0" autoPict="0" macro="[0]!Sheet1.deleteProcedure">
                <anchor moveWithCells="1" sizeWithCells="1">
                  <from>
                    <xdr:col>6</xdr:col>
                    <xdr:colOff>0</xdr:colOff>
                    <xdr:row>4069</xdr:row>
                    <xdr:rowOff>0</xdr:rowOff>
                  </from>
                  <to>
                    <xdr:col>7</xdr:col>
                    <xdr:colOff>0</xdr:colOff>
                    <xdr:row>4070</xdr:row>
                    <xdr:rowOff>0</xdr:rowOff>
                  </to>
                </anchor>
              </controlPr>
            </control>
          </mc:Choice>
        </mc:AlternateContent>
        <mc:AlternateContent xmlns:mc="http://schemas.openxmlformats.org/markup-compatibility/2006">
          <mc:Choice Requires="x14">
            <control shapeId="13094" r:id="rId2387" name="Button 1830">
              <controlPr defaultSize="0" autoFill="0" autoLine="0" autoPict="0" macro="[0]!Sheet1.InsertNewTableRow">
                <anchor moveWithCells="1" sizeWithCells="1">
                  <from>
                    <xdr:col>6</xdr:col>
                    <xdr:colOff>0</xdr:colOff>
                    <xdr:row>4076</xdr:row>
                    <xdr:rowOff>0</xdr:rowOff>
                  </from>
                  <to>
                    <xdr:col>7</xdr:col>
                    <xdr:colOff>0</xdr:colOff>
                    <xdr:row>4076</xdr:row>
                    <xdr:rowOff>171450</xdr:rowOff>
                  </to>
                </anchor>
              </controlPr>
            </control>
          </mc:Choice>
        </mc:AlternateContent>
        <mc:AlternateContent xmlns:mc="http://schemas.openxmlformats.org/markup-compatibility/2006">
          <mc:Choice Requires="x14">
            <control shapeId="13093" r:id="rId2388" name="Button 1829">
              <controlPr defaultSize="0" autoFill="0" autoLine="0" autoPict="0" macro="[0]!Sheet1.deleteRow">
                <anchor moveWithCells="1" sizeWithCells="1">
                  <from>
                    <xdr:col>6</xdr:col>
                    <xdr:colOff>0</xdr:colOff>
                    <xdr:row>4077</xdr:row>
                    <xdr:rowOff>0</xdr:rowOff>
                  </from>
                  <to>
                    <xdr:col>7</xdr:col>
                    <xdr:colOff>0</xdr:colOff>
                    <xdr:row>4077</xdr:row>
                    <xdr:rowOff>165100</xdr:rowOff>
                  </to>
                </anchor>
              </controlPr>
            </control>
          </mc:Choice>
        </mc:AlternateContent>
        <mc:AlternateContent xmlns:mc="http://schemas.openxmlformats.org/markup-compatibility/2006">
          <mc:Choice Requires="x14">
            <control shapeId="13092" r:id="rId2389" name="Button 1828">
              <controlPr defaultSize="0" autoFill="0" autoLine="0" autoPict="0" macro="[0]!Sheet1.deleteRow">
                <anchor moveWithCells="1" sizeWithCells="1">
                  <from>
                    <xdr:col>6</xdr:col>
                    <xdr:colOff>0</xdr:colOff>
                    <xdr:row>4078</xdr:row>
                    <xdr:rowOff>0</xdr:rowOff>
                  </from>
                  <to>
                    <xdr:col>7</xdr:col>
                    <xdr:colOff>0</xdr:colOff>
                    <xdr:row>4078</xdr:row>
                    <xdr:rowOff>165100</xdr:rowOff>
                  </to>
                </anchor>
              </controlPr>
            </control>
          </mc:Choice>
        </mc:AlternateContent>
        <mc:AlternateContent xmlns:mc="http://schemas.openxmlformats.org/markup-compatibility/2006">
          <mc:Choice Requires="x14">
            <control shapeId="13091" r:id="rId2390" name="Button 1827">
              <controlPr defaultSize="0" autoFill="0" autoLine="0" autoPict="0" macro="[0]!Sheet1.deleteRow">
                <anchor moveWithCells="1" sizeWithCells="1">
                  <from>
                    <xdr:col>6</xdr:col>
                    <xdr:colOff>0</xdr:colOff>
                    <xdr:row>4079</xdr:row>
                    <xdr:rowOff>0</xdr:rowOff>
                  </from>
                  <to>
                    <xdr:col>7</xdr:col>
                    <xdr:colOff>0</xdr:colOff>
                    <xdr:row>4079</xdr:row>
                    <xdr:rowOff>165100</xdr:rowOff>
                  </to>
                </anchor>
              </controlPr>
            </control>
          </mc:Choice>
        </mc:AlternateContent>
        <mc:AlternateContent xmlns:mc="http://schemas.openxmlformats.org/markup-compatibility/2006">
          <mc:Choice Requires="x14">
            <control shapeId="13090" r:id="rId2391" name="Button 1826">
              <controlPr defaultSize="0" autoFill="0" autoLine="0" autoPict="0" macro="[0]!Sheet1.deleteRow">
                <anchor moveWithCells="1" sizeWithCells="1">
                  <from>
                    <xdr:col>6</xdr:col>
                    <xdr:colOff>0</xdr:colOff>
                    <xdr:row>4080</xdr:row>
                    <xdr:rowOff>0</xdr:rowOff>
                  </from>
                  <to>
                    <xdr:col>7</xdr:col>
                    <xdr:colOff>0</xdr:colOff>
                    <xdr:row>4080</xdr:row>
                    <xdr:rowOff>165100</xdr:rowOff>
                  </to>
                </anchor>
              </controlPr>
            </control>
          </mc:Choice>
        </mc:AlternateContent>
        <mc:AlternateContent xmlns:mc="http://schemas.openxmlformats.org/markup-compatibility/2006">
          <mc:Choice Requires="x14">
            <control shapeId="13089" r:id="rId2392" name="Button 1825">
              <controlPr defaultSize="0" autoFill="0" autoLine="0" autoPict="0" macro="[0]!Sheet1.deleteRow">
                <anchor moveWithCells="1" sizeWithCells="1">
                  <from>
                    <xdr:col>6</xdr:col>
                    <xdr:colOff>0</xdr:colOff>
                    <xdr:row>4081</xdr:row>
                    <xdr:rowOff>0</xdr:rowOff>
                  </from>
                  <to>
                    <xdr:col>7</xdr:col>
                    <xdr:colOff>0</xdr:colOff>
                    <xdr:row>4081</xdr:row>
                    <xdr:rowOff>165100</xdr:rowOff>
                  </to>
                </anchor>
              </controlPr>
            </control>
          </mc:Choice>
        </mc:AlternateContent>
        <mc:AlternateContent xmlns:mc="http://schemas.openxmlformats.org/markup-compatibility/2006">
          <mc:Choice Requires="x14">
            <control shapeId="13088" r:id="rId2393" name="Button 1824">
              <controlPr defaultSize="0" autoFill="0" autoLine="0" autoPict="0" macro="[0]!Sheet1.deleteRow">
                <anchor moveWithCells="1" sizeWithCells="1">
                  <from>
                    <xdr:col>6</xdr:col>
                    <xdr:colOff>0</xdr:colOff>
                    <xdr:row>4082</xdr:row>
                    <xdr:rowOff>0</xdr:rowOff>
                  </from>
                  <to>
                    <xdr:col>7</xdr:col>
                    <xdr:colOff>0</xdr:colOff>
                    <xdr:row>4082</xdr:row>
                    <xdr:rowOff>165100</xdr:rowOff>
                  </to>
                </anchor>
              </controlPr>
            </control>
          </mc:Choice>
        </mc:AlternateContent>
        <mc:AlternateContent xmlns:mc="http://schemas.openxmlformats.org/markup-compatibility/2006">
          <mc:Choice Requires="x14">
            <control shapeId="13087" r:id="rId2394" name="Button 1823">
              <controlPr defaultSize="0" autoFill="0" autoLine="0" autoPict="0" macro="[0]!Sheet1.deleteRow">
                <anchor moveWithCells="1" sizeWithCells="1">
                  <from>
                    <xdr:col>6</xdr:col>
                    <xdr:colOff>0</xdr:colOff>
                    <xdr:row>4083</xdr:row>
                    <xdr:rowOff>0</xdr:rowOff>
                  </from>
                  <to>
                    <xdr:col>7</xdr:col>
                    <xdr:colOff>0</xdr:colOff>
                    <xdr:row>4083</xdr:row>
                    <xdr:rowOff>165100</xdr:rowOff>
                  </to>
                </anchor>
              </controlPr>
            </control>
          </mc:Choice>
        </mc:AlternateContent>
        <mc:AlternateContent xmlns:mc="http://schemas.openxmlformats.org/markup-compatibility/2006">
          <mc:Choice Requires="x14">
            <control shapeId="13086" r:id="rId2395" name="Button 1822">
              <controlPr defaultSize="0" autoFill="0" autoLine="0" autoPict="0" macro="[0]!Sheet1.deleteRow">
                <anchor moveWithCells="1" sizeWithCells="1">
                  <from>
                    <xdr:col>6</xdr:col>
                    <xdr:colOff>0</xdr:colOff>
                    <xdr:row>4084</xdr:row>
                    <xdr:rowOff>0</xdr:rowOff>
                  </from>
                  <to>
                    <xdr:col>7</xdr:col>
                    <xdr:colOff>0</xdr:colOff>
                    <xdr:row>4084</xdr:row>
                    <xdr:rowOff>165100</xdr:rowOff>
                  </to>
                </anchor>
              </controlPr>
            </control>
          </mc:Choice>
        </mc:AlternateContent>
        <mc:AlternateContent xmlns:mc="http://schemas.openxmlformats.org/markup-compatibility/2006">
          <mc:Choice Requires="x14">
            <control shapeId="13085" r:id="rId2396" name="Button 1821">
              <controlPr defaultSize="0" autoFill="0" autoLine="0" autoPict="0" macro="[0]!Sheet1.deleteRow">
                <anchor moveWithCells="1" sizeWithCells="1">
                  <from>
                    <xdr:col>6</xdr:col>
                    <xdr:colOff>0</xdr:colOff>
                    <xdr:row>4085</xdr:row>
                    <xdr:rowOff>0</xdr:rowOff>
                  </from>
                  <to>
                    <xdr:col>7</xdr:col>
                    <xdr:colOff>0</xdr:colOff>
                    <xdr:row>4085</xdr:row>
                    <xdr:rowOff>165100</xdr:rowOff>
                  </to>
                </anchor>
              </controlPr>
            </control>
          </mc:Choice>
        </mc:AlternateContent>
        <mc:AlternateContent xmlns:mc="http://schemas.openxmlformats.org/markup-compatibility/2006">
          <mc:Choice Requires="x14">
            <control shapeId="13084" r:id="rId2397" name="Button 1820">
              <controlPr defaultSize="0" autoFill="0" autoLine="0" autoPict="0" macro="[0]!Sheet1.deleteRow">
                <anchor moveWithCells="1" sizeWithCells="1">
                  <from>
                    <xdr:col>6</xdr:col>
                    <xdr:colOff>0</xdr:colOff>
                    <xdr:row>4086</xdr:row>
                    <xdr:rowOff>0</xdr:rowOff>
                  </from>
                  <to>
                    <xdr:col>7</xdr:col>
                    <xdr:colOff>0</xdr:colOff>
                    <xdr:row>4086</xdr:row>
                    <xdr:rowOff>165100</xdr:rowOff>
                  </to>
                </anchor>
              </controlPr>
            </control>
          </mc:Choice>
        </mc:AlternateContent>
        <mc:AlternateContent xmlns:mc="http://schemas.openxmlformats.org/markup-compatibility/2006">
          <mc:Choice Requires="x14">
            <control shapeId="13083" r:id="rId2398" name="Button 1819">
              <controlPr defaultSize="0" autoFill="0" autoLine="0" autoPict="0" macro="[0]!Sheet1.deleteRow">
                <anchor moveWithCells="1" sizeWithCells="1">
                  <from>
                    <xdr:col>6</xdr:col>
                    <xdr:colOff>0</xdr:colOff>
                    <xdr:row>4087</xdr:row>
                    <xdr:rowOff>0</xdr:rowOff>
                  </from>
                  <to>
                    <xdr:col>7</xdr:col>
                    <xdr:colOff>0</xdr:colOff>
                    <xdr:row>4087</xdr:row>
                    <xdr:rowOff>165100</xdr:rowOff>
                  </to>
                </anchor>
              </controlPr>
            </control>
          </mc:Choice>
        </mc:AlternateContent>
        <mc:AlternateContent xmlns:mc="http://schemas.openxmlformats.org/markup-compatibility/2006">
          <mc:Choice Requires="x14">
            <control shapeId="13082" r:id="rId2399" name="Button 1818">
              <controlPr defaultSize="0" autoFill="0" autoLine="0" autoPict="0" macro="[0]!Sheet1.deleteRow">
                <anchor moveWithCells="1" sizeWithCells="1">
                  <from>
                    <xdr:col>6</xdr:col>
                    <xdr:colOff>0</xdr:colOff>
                    <xdr:row>4088</xdr:row>
                    <xdr:rowOff>0</xdr:rowOff>
                  </from>
                  <to>
                    <xdr:col>7</xdr:col>
                    <xdr:colOff>0</xdr:colOff>
                    <xdr:row>4088</xdr:row>
                    <xdr:rowOff>165100</xdr:rowOff>
                  </to>
                </anchor>
              </controlPr>
            </control>
          </mc:Choice>
        </mc:AlternateContent>
        <mc:AlternateContent xmlns:mc="http://schemas.openxmlformats.org/markup-compatibility/2006">
          <mc:Choice Requires="x14">
            <control shapeId="13081" r:id="rId2400" name="Button 1817">
              <controlPr defaultSize="0" autoFill="0" autoLine="0" autoPict="0" macro="[0]!Sheet1.deleteRow">
                <anchor moveWithCells="1" sizeWithCells="1">
                  <from>
                    <xdr:col>6</xdr:col>
                    <xdr:colOff>0</xdr:colOff>
                    <xdr:row>4089</xdr:row>
                    <xdr:rowOff>0</xdr:rowOff>
                  </from>
                  <to>
                    <xdr:col>7</xdr:col>
                    <xdr:colOff>0</xdr:colOff>
                    <xdr:row>4089</xdr:row>
                    <xdr:rowOff>165100</xdr:rowOff>
                  </to>
                </anchor>
              </controlPr>
            </control>
          </mc:Choice>
        </mc:AlternateContent>
        <mc:AlternateContent xmlns:mc="http://schemas.openxmlformats.org/markup-compatibility/2006">
          <mc:Choice Requires="x14">
            <control shapeId="13080" r:id="rId2401" name="Button 1816">
              <controlPr defaultSize="0" autoFill="0" autoLine="0" autoPict="0" macro="[0]!Sheet1.deleteRow">
                <anchor moveWithCells="1" sizeWithCells="1">
                  <from>
                    <xdr:col>6</xdr:col>
                    <xdr:colOff>0</xdr:colOff>
                    <xdr:row>4090</xdr:row>
                    <xdr:rowOff>0</xdr:rowOff>
                  </from>
                  <to>
                    <xdr:col>7</xdr:col>
                    <xdr:colOff>0</xdr:colOff>
                    <xdr:row>4090</xdr:row>
                    <xdr:rowOff>165100</xdr:rowOff>
                  </to>
                </anchor>
              </controlPr>
            </control>
          </mc:Choice>
        </mc:AlternateContent>
        <mc:AlternateContent xmlns:mc="http://schemas.openxmlformats.org/markup-compatibility/2006">
          <mc:Choice Requires="x14">
            <control shapeId="13079" r:id="rId2402" name="Button 1815">
              <controlPr defaultSize="0" autoFill="0" autoLine="0" autoPict="0" macro="[0]!Sheet1.deleteRow">
                <anchor moveWithCells="1" sizeWithCells="1">
                  <from>
                    <xdr:col>6</xdr:col>
                    <xdr:colOff>0</xdr:colOff>
                    <xdr:row>4091</xdr:row>
                    <xdr:rowOff>0</xdr:rowOff>
                  </from>
                  <to>
                    <xdr:col>7</xdr:col>
                    <xdr:colOff>0</xdr:colOff>
                    <xdr:row>4091</xdr:row>
                    <xdr:rowOff>165100</xdr:rowOff>
                  </to>
                </anchor>
              </controlPr>
            </control>
          </mc:Choice>
        </mc:AlternateContent>
        <mc:AlternateContent xmlns:mc="http://schemas.openxmlformats.org/markup-compatibility/2006">
          <mc:Choice Requires="x14">
            <control shapeId="13078" r:id="rId2403" name="Button 1814">
              <controlPr defaultSize="0" autoFill="0" autoLine="0" autoPict="0" macro="[0]!Sheet1.deleteProcedure">
                <anchor moveWithCells="1" sizeWithCells="1">
                  <from>
                    <xdr:col>6</xdr:col>
                    <xdr:colOff>0</xdr:colOff>
                    <xdr:row>4094</xdr:row>
                    <xdr:rowOff>0</xdr:rowOff>
                  </from>
                  <to>
                    <xdr:col>7</xdr:col>
                    <xdr:colOff>0</xdr:colOff>
                    <xdr:row>4095</xdr:row>
                    <xdr:rowOff>0</xdr:rowOff>
                  </to>
                </anchor>
              </controlPr>
            </control>
          </mc:Choice>
        </mc:AlternateContent>
        <mc:AlternateContent xmlns:mc="http://schemas.openxmlformats.org/markup-compatibility/2006">
          <mc:Choice Requires="x14">
            <control shapeId="13077" r:id="rId2404" name="Button 1813">
              <controlPr defaultSize="0" autoFill="0" autoLine="0" autoPict="0" macro="[0]!Sheet1.InsertNewTableRow">
                <anchor moveWithCells="1" sizeWithCells="1">
                  <from>
                    <xdr:col>6</xdr:col>
                    <xdr:colOff>0</xdr:colOff>
                    <xdr:row>4101</xdr:row>
                    <xdr:rowOff>0</xdr:rowOff>
                  </from>
                  <to>
                    <xdr:col>7</xdr:col>
                    <xdr:colOff>0</xdr:colOff>
                    <xdr:row>4101</xdr:row>
                    <xdr:rowOff>171450</xdr:rowOff>
                  </to>
                </anchor>
              </controlPr>
            </control>
          </mc:Choice>
        </mc:AlternateContent>
        <mc:AlternateContent xmlns:mc="http://schemas.openxmlformats.org/markup-compatibility/2006">
          <mc:Choice Requires="x14">
            <control shapeId="13076" r:id="rId2405" name="Button 1812">
              <controlPr defaultSize="0" autoFill="0" autoLine="0" autoPict="0" macro="[0]!Sheet1.deleteRow">
                <anchor moveWithCells="1" sizeWithCells="1">
                  <from>
                    <xdr:col>6</xdr:col>
                    <xdr:colOff>0</xdr:colOff>
                    <xdr:row>4102</xdr:row>
                    <xdr:rowOff>0</xdr:rowOff>
                  </from>
                  <to>
                    <xdr:col>7</xdr:col>
                    <xdr:colOff>0</xdr:colOff>
                    <xdr:row>4102</xdr:row>
                    <xdr:rowOff>165100</xdr:rowOff>
                  </to>
                </anchor>
              </controlPr>
            </control>
          </mc:Choice>
        </mc:AlternateContent>
        <mc:AlternateContent xmlns:mc="http://schemas.openxmlformats.org/markup-compatibility/2006">
          <mc:Choice Requires="x14">
            <control shapeId="13075" r:id="rId2406" name="Button 1811">
              <controlPr defaultSize="0" autoFill="0" autoLine="0" autoPict="0" macro="[0]!Sheet1.deleteRow">
                <anchor moveWithCells="1" sizeWithCells="1">
                  <from>
                    <xdr:col>6</xdr:col>
                    <xdr:colOff>0</xdr:colOff>
                    <xdr:row>4103</xdr:row>
                    <xdr:rowOff>0</xdr:rowOff>
                  </from>
                  <to>
                    <xdr:col>7</xdr:col>
                    <xdr:colOff>0</xdr:colOff>
                    <xdr:row>4103</xdr:row>
                    <xdr:rowOff>165100</xdr:rowOff>
                  </to>
                </anchor>
              </controlPr>
            </control>
          </mc:Choice>
        </mc:AlternateContent>
        <mc:AlternateContent xmlns:mc="http://schemas.openxmlformats.org/markup-compatibility/2006">
          <mc:Choice Requires="x14">
            <control shapeId="13074" r:id="rId2407" name="Button 1810">
              <controlPr defaultSize="0" autoFill="0" autoLine="0" autoPict="0" macro="[0]!Sheet1.deleteRow">
                <anchor moveWithCells="1" sizeWithCells="1">
                  <from>
                    <xdr:col>6</xdr:col>
                    <xdr:colOff>0</xdr:colOff>
                    <xdr:row>4104</xdr:row>
                    <xdr:rowOff>0</xdr:rowOff>
                  </from>
                  <to>
                    <xdr:col>7</xdr:col>
                    <xdr:colOff>0</xdr:colOff>
                    <xdr:row>4104</xdr:row>
                    <xdr:rowOff>165100</xdr:rowOff>
                  </to>
                </anchor>
              </controlPr>
            </control>
          </mc:Choice>
        </mc:AlternateContent>
        <mc:AlternateContent xmlns:mc="http://schemas.openxmlformats.org/markup-compatibility/2006">
          <mc:Choice Requires="x14">
            <control shapeId="13073" r:id="rId2408" name="Button 1809">
              <controlPr defaultSize="0" autoFill="0" autoLine="0" autoPict="0" macro="[0]!Sheet1.deleteRow">
                <anchor moveWithCells="1" sizeWithCells="1">
                  <from>
                    <xdr:col>6</xdr:col>
                    <xdr:colOff>0</xdr:colOff>
                    <xdr:row>4105</xdr:row>
                    <xdr:rowOff>0</xdr:rowOff>
                  </from>
                  <to>
                    <xdr:col>7</xdr:col>
                    <xdr:colOff>0</xdr:colOff>
                    <xdr:row>4105</xdr:row>
                    <xdr:rowOff>165100</xdr:rowOff>
                  </to>
                </anchor>
              </controlPr>
            </control>
          </mc:Choice>
        </mc:AlternateContent>
        <mc:AlternateContent xmlns:mc="http://schemas.openxmlformats.org/markup-compatibility/2006">
          <mc:Choice Requires="x14">
            <control shapeId="13072" r:id="rId2409" name="Button 1808">
              <controlPr defaultSize="0" autoFill="0" autoLine="0" autoPict="0" macro="[0]!Sheet1.deleteProcedure">
                <anchor moveWithCells="1" sizeWithCells="1">
                  <from>
                    <xdr:col>6</xdr:col>
                    <xdr:colOff>0</xdr:colOff>
                    <xdr:row>4108</xdr:row>
                    <xdr:rowOff>0</xdr:rowOff>
                  </from>
                  <to>
                    <xdr:col>7</xdr:col>
                    <xdr:colOff>0</xdr:colOff>
                    <xdr:row>4109</xdr:row>
                    <xdr:rowOff>0</xdr:rowOff>
                  </to>
                </anchor>
              </controlPr>
            </control>
          </mc:Choice>
        </mc:AlternateContent>
        <mc:AlternateContent xmlns:mc="http://schemas.openxmlformats.org/markup-compatibility/2006">
          <mc:Choice Requires="x14">
            <control shapeId="13071" r:id="rId2410" name="Button 1807">
              <controlPr defaultSize="0" autoFill="0" autoLine="0" autoPict="0" macro="[0]!Sheet1.InsertNewTableRow">
                <anchor moveWithCells="1" sizeWithCells="1">
                  <from>
                    <xdr:col>6</xdr:col>
                    <xdr:colOff>0</xdr:colOff>
                    <xdr:row>4115</xdr:row>
                    <xdr:rowOff>0</xdr:rowOff>
                  </from>
                  <to>
                    <xdr:col>7</xdr:col>
                    <xdr:colOff>0</xdr:colOff>
                    <xdr:row>4115</xdr:row>
                    <xdr:rowOff>171450</xdr:rowOff>
                  </to>
                </anchor>
              </controlPr>
            </control>
          </mc:Choice>
        </mc:AlternateContent>
        <mc:AlternateContent xmlns:mc="http://schemas.openxmlformats.org/markup-compatibility/2006">
          <mc:Choice Requires="x14">
            <control shapeId="13070" r:id="rId2411" name="Button 1806">
              <controlPr defaultSize="0" autoFill="0" autoLine="0" autoPict="0" macro="[0]!Sheet1.deleteRow">
                <anchor moveWithCells="1" sizeWithCells="1">
                  <from>
                    <xdr:col>6</xdr:col>
                    <xdr:colOff>0</xdr:colOff>
                    <xdr:row>4116</xdr:row>
                    <xdr:rowOff>0</xdr:rowOff>
                  </from>
                  <to>
                    <xdr:col>7</xdr:col>
                    <xdr:colOff>0</xdr:colOff>
                    <xdr:row>4116</xdr:row>
                    <xdr:rowOff>165100</xdr:rowOff>
                  </to>
                </anchor>
              </controlPr>
            </control>
          </mc:Choice>
        </mc:AlternateContent>
        <mc:AlternateContent xmlns:mc="http://schemas.openxmlformats.org/markup-compatibility/2006">
          <mc:Choice Requires="x14">
            <control shapeId="13069" r:id="rId2412" name="Button 1805">
              <controlPr defaultSize="0" autoFill="0" autoLine="0" autoPict="0" macro="[0]!Sheet1.deleteRow">
                <anchor moveWithCells="1" sizeWithCells="1">
                  <from>
                    <xdr:col>6</xdr:col>
                    <xdr:colOff>0</xdr:colOff>
                    <xdr:row>4117</xdr:row>
                    <xdr:rowOff>0</xdr:rowOff>
                  </from>
                  <to>
                    <xdr:col>7</xdr:col>
                    <xdr:colOff>0</xdr:colOff>
                    <xdr:row>4117</xdr:row>
                    <xdr:rowOff>165100</xdr:rowOff>
                  </to>
                </anchor>
              </controlPr>
            </control>
          </mc:Choice>
        </mc:AlternateContent>
        <mc:AlternateContent xmlns:mc="http://schemas.openxmlformats.org/markup-compatibility/2006">
          <mc:Choice Requires="x14">
            <control shapeId="13068" r:id="rId2413" name="Button 1804">
              <controlPr defaultSize="0" autoFill="0" autoLine="0" autoPict="0" macro="[0]!Sheet1.deleteRow">
                <anchor moveWithCells="1" sizeWithCells="1">
                  <from>
                    <xdr:col>6</xdr:col>
                    <xdr:colOff>0</xdr:colOff>
                    <xdr:row>4118</xdr:row>
                    <xdr:rowOff>0</xdr:rowOff>
                  </from>
                  <to>
                    <xdr:col>7</xdr:col>
                    <xdr:colOff>0</xdr:colOff>
                    <xdr:row>4118</xdr:row>
                    <xdr:rowOff>165100</xdr:rowOff>
                  </to>
                </anchor>
              </controlPr>
            </control>
          </mc:Choice>
        </mc:AlternateContent>
        <mc:AlternateContent xmlns:mc="http://schemas.openxmlformats.org/markup-compatibility/2006">
          <mc:Choice Requires="x14">
            <control shapeId="13067" r:id="rId2414" name="Button 1803">
              <controlPr defaultSize="0" autoFill="0" autoLine="0" autoPict="0" macro="[0]!Sheet1.deleteProcedure">
                <anchor moveWithCells="1" sizeWithCells="1">
                  <from>
                    <xdr:col>6</xdr:col>
                    <xdr:colOff>0</xdr:colOff>
                    <xdr:row>4121</xdr:row>
                    <xdr:rowOff>0</xdr:rowOff>
                  </from>
                  <to>
                    <xdr:col>7</xdr:col>
                    <xdr:colOff>0</xdr:colOff>
                    <xdr:row>4122</xdr:row>
                    <xdr:rowOff>0</xdr:rowOff>
                  </to>
                </anchor>
              </controlPr>
            </control>
          </mc:Choice>
        </mc:AlternateContent>
        <mc:AlternateContent xmlns:mc="http://schemas.openxmlformats.org/markup-compatibility/2006">
          <mc:Choice Requires="x14">
            <control shapeId="13066" r:id="rId2415" name="Button 1802">
              <controlPr defaultSize="0" autoFill="0" autoLine="0" autoPict="0" macro="[0]!Sheet1.InsertNewTableRow">
                <anchor moveWithCells="1" sizeWithCells="1">
                  <from>
                    <xdr:col>6</xdr:col>
                    <xdr:colOff>0</xdr:colOff>
                    <xdr:row>4128</xdr:row>
                    <xdr:rowOff>0</xdr:rowOff>
                  </from>
                  <to>
                    <xdr:col>7</xdr:col>
                    <xdr:colOff>0</xdr:colOff>
                    <xdr:row>4128</xdr:row>
                    <xdr:rowOff>171450</xdr:rowOff>
                  </to>
                </anchor>
              </controlPr>
            </control>
          </mc:Choice>
        </mc:AlternateContent>
        <mc:AlternateContent xmlns:mc="http://schemas.openxmlformats.org/markup-compatibility/2006">
          <mc:Choice Requires="x14">
            <control shapeId="13065" r:id="rId2416" name="Button 1801">
              <controlPr defaultSize="0" autoFill="0" autoLine="0" autoPict="0" macro="[0]!Sheet1.deleteRow">
                <anchor moveWithCells="1" sizeWithCells="1">
                  <from>
                    <xdr:col>6</xdr:col>
                    <xdr:colOff>0</xdr:colOff>
                    <xdr:row>4129</xdr:row>
                    <xdr:rowOff>0</xdr:rowOff>
                  </from>
                  <to>
                    <xdr:col>7</xdr:col>
                    <xdr:colOff>0</xdr:colOff>
                    <xdr:row>4129</xdr:row>
                    <xdr:rowOff>165100</xdr:rowOff>
                  </to>
                </anchor>
              </controlPr>
            </control>
          </mc:Choice>
        </mc:AlternateContent>
        <mc:AlternateContent xmlns:mc="http://schemas.openxmlformats.org/markup-compatibility/2006">
          <mc:Choice Requires="x14">
            <control shapeId="13064" r:id="rId2417" name="Button 1800">
              <controlPr defaultSize="0" autoFill="0" autoLine="0" autoPict="0" macro="[0]!Sheet1.deleteProcedure">
                <anchor moveWithCells="1" sizeWithCells="1">
                  <from>
                    <xdr:col>6</xdr:col>
                    <xdr:colOff>0</xdr:colOff>
                    <xdr:row>4132</xdr:row>
                    <xdr:rowOff>0</xdr:rowOff>
                  </from>
                  <to>
                    <xdr:col>7</xdr:col>
                    <xdr:colOff>0</xdr:colOff>
                    <xdr:row>4133</xdr:row>
                    <xdr:rowOff>0</xdr:rowOff>
                  </to>
                </anchor>
              </controlPr>
            </control>
          </mc:Choice>
        </mc:AlternateContent>
        <mc:AlternateContent xmlns:mc="http://schemas.openxmlformats.org/markup-compatibility/2006">
          <mc:Choice Requires="x14">
            <control shapeId="13063" r:id="rId2418" name="Button 1799">
              <controlPr defaultSize="0" autoFill="0" autoLine="0" autoPict="0" macro="[0]!Sheet1.InsertNewTableRow">
                <anchor moveWithCells="1" sizeWithCells="1">
                  <from>
                    <xdr:col>6</xdr:col>
                    <xdr:colOff>0</xdr:colOff>
                    <xdr:row>4139</xdr:row>
                    <xdr:rowOff>0</xdr:rowOff>
                  </from>
                  <to>
                    <xdr:col>7</xdr:col>
                    <xdr:colOff>0</xdr:colOff>
                    <xdr:row>4139</xdr:row>
                    <xdr:rowOff>171450</xdr:rowOff>
                  </to>
                </anchor>
              </controlPr>
            </control>
          </mc:Choice>
        </mc:AlternateContent>
        <mc:AlternateContent xmlns:mc="http://schemas.openxmlformats.org/markup-compatibility/2006">
          <mc:Choice Requires="x14">
            <control shapeId="13062" r:id="rId2419" name="Button 1798">
              <controlPr defaultSize="0" autoFill="0" autoLine="0" autoPict="0" macro="[0]!Sheet1.deleteRow">
                <anchor moveWithCells="1" sizeWithCells="1">
                  <from>
                    <xdr:col>6</xdr:col>
                    <xdr:colOff>0</xdr:colOff>
                    <xdr:row>4140</xdr:row>
                    <xdr:rowOff>0</xdr:rowOff>
                  </from>
                  <to>
                    <xdr:col>7</xdr:col>
                    <xdr:colOff>0</xdr:colOff>
                    <xdr:row>4140</xdr:row>
                    <xdr:rowOff>165100</xdr:rowOff>
                  </to>
                </anchor>
              </controlPr>
            </control>
          </mc:Choice>
        </mc:AlternateContent>
        <mc:AlternateContent xmlns:mc="http://schemas.openxmlformats.org/markup-compatibility/2006">
          <mc:Choice Requires="x14">
            <control shapeId="13061" r:id="rId2420" name="Button 1797">
              <controlPr defaultSize="0" autoFill="0" autoLine="0" autoPict="0" macro="[0]!Sheet1.deleteProcedure">
                <anchor moveWithCells="1" sizeWithCells="1">
                  <from>
                    <xdr:col>6</xdr:col>
                    <xdr:colOff>0</xdr:colOff>
                    <xdr:row>4143</xdr:row>
                    <xdr:rowOff>0</xdr:rowOff>
                  </from>
                  <to>
                    <xdr:col>7</xdr:col>
                    <xdr:colOff>0</xdr:colOff>
                    <xdr:row>4144</xdr:row>
                    <xdr:rowOff>0</xdr:rowOff>
                  </to>
                </anchor>
              </controlPr>
            </control>
          </mc:Choice>
        </mc:AlternateContent>
        <mc:AlternateContent xmlns:mc="http://schemas.openxmlformats.org/markup-compatibility/2006">
          <mc:Choice Requires="x14">
            <control shapeId="13060" r:id="rId2421" name="Button 1796">
              <controlPr defaultSize="0" autoFill="0" autoLine="0" autoPict="0" macro="[0]!Sheet1.InsertNewTableRow">
                <anchor moveWithCells="1" sizeWithCells="1">
                  <from>
                    <xdr:col>6</xdr:col>
                    <xdr:colOff>0</xdr:colOff>
                    <xdr:row>4150</xdr:row>
                    <xdr:rowOff>0</xdr:rowOff>
                  </from>
                  <to>
                    <xdr:col>7</xdr:col>
                    <xdr:colOff>0</xdr:colOff>
                    <xdr:row>4150</xdr:row>
                    <xdr:rowOff>171450</xdr:rowOff>
                  </to>
                </anchor>
              </controlPr>
            </control>
          </mc:Choice>
        </mc:AlternateContent>
        <mc:AlternateContent xmlns:mc="http://schemas.openxmlformats.org/markup-compatibility/2006">
          <mc:Choice Requires="x14">
            <control shapeId="13059" r:id="rId2422" name="Button 1795">
              <controlPr defaultSize="0" autoFill="0" autoLine="0" autoPict="0" macro="[0]!Sheet1.deleteRow">
                <anchor moveWithCells="1" sizeWithCells="1">
                  <from>
                    <xdr:col>6</xdr:col>
                    <xdr:colOff>0</xdr:colOff>
                    <xdr:row>4151</xdr:row>
                    <xdr:rowOff>0</xdr:rowOff>
                  </from>
                  <to>
                    <xdr:col>7</xdr:col>
                    <xdr:colOff>0</xdr:colOff>
                    <xdr:row>4151</xdr:row>
                    <xdr:rowOff>165100</xdr:rowOff>
                  </to>
                </anchor>
              </controlPr>
            </control>
          </mc:Choice>
        </mc:AlternateContent>
        <mc:AlternateContent xmlns:mc="http://schemas.openxmlformats.org/markup-compatibility/2006">
          <mc:Choice Requires="x14">
            <control shapeId="13058" r:id="rId2423" name="Button 1794">
              <controlPr defaultSize="0" autoFill="0" autoLine="0" autoPict="0" macro="[0]!Sheet1.deleteRow">
                <anchor moveWithCells="1" sizeWithCells="1">
                  <from>
                    <xdr:col>6</xdr:col>
                    <xdr:colOff>0</xdr:colOff>
                    <xdr:row>4152</xdr:row>
                    <xdr:rowOff>0</xdr:rowOff>
                  </from>
                  <to>
                    <xdr:col>7</xdr:col>
                    <xdr:colOff>0</xdr:colOff>
                    <xdr:row>4152</xdr:row>
                    <xdr:rowOff>165100</xdr:rowOff>
                  </to>
                </anchor>
              </controlPr>
            </control>
          </mc:Choice>
        </mc:AlternateContent>
        <mc:AlternateContent xmlns:mc="http://schemas.openxmlformats.org/markup-compatibility/2006">
          <mc:Choice Requires="x14">
            <control shapeId="13057" r:id="rId2424" name="Button 1793">
              <controlPr defaultSize="0" autoFill="0" autoLine="0" autoPict="0" macro="[0]!Sheet1.deleteRow">
                <anchor moveWithCells="1" sizeWithCells="1">
                  <from>
                    <xdr:col>6</xdr:col>
                    <xdr:colOff>0</xdr:colOff>
                    <xdr:row>4153</xdr:row>
                    <xdr:rowOff>0</xdr:rowOff>
                  </from>
                  <to>
                    <xdr:col>7</xdr:col>
                    <xdr:colOff>0</xdr:colOff>
                    <xdr:row>4153</xdr:row>
                    <xdr:rowOff>165100</xdr:rowOff>
                  </to>
                </anchor>
              </controlPr>
            </control>
          </mc:Choice>
        </mc:AlternateContent>
        <mc:AlternateContent xmlns:mc="http://schemas.openxmlformats.org/markup-compatibility/2006">
          <mc:Choice Requires="x14">
            <control shapeId="13056" r:id="rId2425" name="Button 1792">
              <controlPr defaultSize="0" autoFill="0" autoLine="0" autoPict="0" macro="[0]!Sheet1.deleteRow">
                <anchor moveWithCells="1" sizeWithCells="1">
                  <from>
                    <xdr:col>6</xdr:col>
                    <xdr:colOff>0</xdr:colOff>
                    <xdr:row>4154</xdr:row>
                    <xdr:rowOff>0</xdr:rowOff>
                  </from>
                  <to>
                    <xdr:col>7</xdr:col>
                    <xdr:colOff>0</xdr:colOff>
                    <xdr:row>4154</xdr:row>
                    <xdr:rowOff>165100</xdr:rowOff>
                  </to>
                </anchor>
              </controlPr>
            </control>
          </mc:Choice>
        </mc:AlternateContent>
        <mc:AlternateContent xmlns:mc="http://schemas.openxmlformats.org/markup-compatibility/2006">
          <mc:Choice Requires="x14">
            <control shapeId="13055" r:id="rId2426" name="Button 1791">
              <controlPr defaultSize="0" autoFill="0" autoLine="0" autoPict="0" macro="[0]!Sheet1.deleteRow">
                <anchor moveWithCells="1" sizeWithCells="1">
                  <from>
                    <xdr:col>6</xdr:col>
                    <xdr:colOff>0</xdr:colOff>
                    <xdr:row>4155</xdr:row>
                    <xdr:rowOff>0</xdr:rowOff>
                  </from>
                  <to>
                    <xdr:col>7</xdr:col>
                    <xdr:colOff>0</xdr:colOff>
                    <xdr:row>4155</xdr:row>
                    <xdr:rowOff>165100</xdr:rowOff>
                  </to>
                </anchor>
              </controlPr>
            </control>
          </mc:Choice>
        </mc:AlternateContent>
        <mc:AlternateContent xmlns:mc="http://schemas.openxmlformats.org/markup-compatibility/2006">
          <mc:Choice Requires="x14">
            <control shapeId="13054" r:id="rId2427" name="Button 1790">
              <controlPr defaultSize="0" autoFill="0" autoLine="0" autoPict="0" macro="[0]!Sheet1.deleteRow">
                <anchor moveWithCells="1" sizeWithCells="1">
                  <from>
                    <xdr:col>6</xdr:col>
                    <xdr:colOff>0</xdr:colOff>
                    <xdr:row>4156</xdr:row>
                    <xdr:rowOff>0</xdr:rowOff>
                  </from>
                  <to>
                    <xdr:col>7</xdr:col>
                    <xdr:colOff>0</xdr:colOff>
                    <xdr:row>4156</xdr:row>
                    <xdr:rowOff>165100</xdr:rowOff>
                  </to>
                </anchor>
              </controlPr>
            </control>
          </mc:Choice>
        </mc:AlternateContent>
        <mc:AlternateContent xmlns:mc="http://schemas.openxmlformats.org/markup-compatibility/2006">
          <mc:Choice Requires="x14">
            <control shapeId="13053" r:id="rId2428" name="Button 1789">
              <controlPr defaultSize="0" autoFill="0" autoLine="0" autoPict="0" macro="[0]!Sheet1.deleteRow">
                <anchor moveWithCells="1" sizeWithCells="1">
                  <from>
                    <xdr:col>6</xdr:col>
                    <xdr:colOff>0</xdr:colOff>
                    <xdr:row>4157</xdr:row>
                    <xdr:rowOff>0</xdr:rowOff>
                  </from>
                  <to>
                    <xdr:col>7</xdr:col>
                    <xdr:colOff>0</xdr:colOff>
                    <xdr:row>4157</xdr:row>
                    <xdr:rowOff>165100</xdr:rowOff>
                  </to>
                </anchor>
              </controlPr>
            </control>
          </mc:Choice>
        </mc:AlternateContent>
        <mc:AlternateContent xmlns:mc="http://schemas.openxmlformats.org/markup-compatibility/2006">
          <mc:Choice Requires="x14">
            <control shapeId="13052" r:id="rId2429" name="Button 1788">
              <controlPr defaultSize="0" autoFill="0" autoLine="0" autoPict="0" macro="[0]!Sheet1.deleteRow">
                <anchor moveWithCells="1" sizeWithCells="1">
                  <from>
                    <xdr:col>6</xdr:col>
                    <xdr:colOff>0</xdr:colOff>
                    <xdr:row>4158</xdr:row>
                    <xdr:rowOff>0</xdr:rowOff>
                  </from>
                  <to>
                    <xdr:col>7</xdr:col>
                    <xdr:colOff>0</xdr:colOff>
                    <xdr:row>4158</xdr:row>
                    <xdr:rowOff>165100</xdr:rowOff>
                  </to>
                </anchor>
              </controlPr>
            </control>
          </mc:Choice>
        </mc:AlternateContent>
        <mc:AlternateContent xmlns:mc="http://schemas.openxmlformats.org/markup-compatibility/2006">
          <mc:Choice Requires="x14">
            <control shapeId="13051" r:id="rId2430" name="Button 1787">
              <controlPr defaultSize="0" autoFill="0" autoLine="0" autoPict="0" macro="[0]!Sheet1.deleteRow">
                <anchor moveWithCells="1" sizeWithCells="1">
                  <from>
                    <xdr:col>6</xdr:col>
                    <xdr:colOff>0</xdr:colOff>
                    <xdr:row>4159</xdr:row>
                    <xdr:rowOff>0</xdr:rowOff>
                  </from>
                  <to>
                    <xdr:col>7</xdr:col>
                    <xdr:colOff>0</xdr:colOff>
                    <xdr:row>4159</xdr:row>
                    <xdr:rowOff>165100</xdr:rowOff>
                  </to>
                </anchor>
              </controlPr>
            </control>
          </mc:Choice>
        </mc:AlternateContent>
        <mc:AlternateContent xmlns:mc="http://schemas.openxmlformats.org/markup-compatibility/2006">
          <mc:Choice Requires="x14">
            <control shapeId="13050" r:id="rId2431" name="Button 1786">
              <controlPr defaultSize="0" autoFill="0" autoLine="0" autoPict="0" macro="[0]!Sheet1.deleteRow">
                <anchor moveWithCells="1" sizeWithCells="1">
                  <from>
                    <xdr:col>6</xdr:col>
                    <xdr:colOff>0</xdr:colOff>
                    <xdr:row>4160</xdr:row>
                    <xdr:rowOff>0</xdr:rowOff>
                  </from>
                  <to>
                    <xdr:col>7</xdr:col>
                    <xdr:colOff>0</xdr:colOff>
                    <xdr:row>4160</xdr:row>
                    <xdr:rowOff>165100</xdr:rowOff>
                  </to>
                </anchor>
              </controlPr>
            </control>
          </mc:Choice>
        </mc:AlternateContent>
        <mc:AlternateContent xmlns:mc="http://schemas.openxmlformats.org/markup-compatibility/2006">
          <mc:Choice Requires="x14">
            <control shapeId="13049" r:id="rId2432" name="Button 1785">
              <controlPr defaultSize="0" autoFill="0" autoLine="0" autoPict="0" macro="[0]!Sheet1.deleteRow">
                <anchor moveWithCells="1" sizeWithCells="1">
                  <from>
                    <xdr:col>6</xdr:col>
                    <xdr:colOff>0</xdr:colOff>
                    <xdr:row>4161</xdr:row>
                    <xdr:rowOff>0</xdr:rowOff>
                  </from>
                  <to>
                    <xdr:col>7</xdr:col>
                    <xdr:colOff>0</xdr:colOff>
                    <xdr:row>4161</xdr:row>
                    <xdr:rowOff>165100</xdr:rowOff>
                  </to>
                </anchor>
              </controlPr>
            </control>
          </mc:Choice>
        </mc:AlternateContent>
        <mc:AlternateContent xmlns:mc="http://schemas.openxmlformats.org/markup-compatibility/2006">
          <mc:Choice Requires="x14">
            <control shapeId="13048" r:id="rId2433" name="Button 1784">
              <controlPr defaultSize="0" autoFill="0" autoLine="0" autoPict="0" macro="[0]!Sheet1.deleteRow">
                <anchor moveWithCells="1" sizeWithCells="1">
                  <from>
                    <xdr:col>6</xdr:col>
                    <xdr:colOff>0</xdr:colOff>
                    <xdr:row>4162</xdr:row>
                    <xdr:rowOff>0</xdr:rowOff>
                  </from>
                  <to>
                    <xdr:col>7</xdr:col>
                    <xdr:colOff>0</xdr:colOff>
                    <xdr:row>4162</xdr:row>
                    <xdr:rowOff>165100</xdr:rowOff>
                  </to>
                </anchor>
              </controlPr>
            </control>
          </mc:Choice>
        </mc:AlternateContent>
        <mc:AlternateContent xmlns:mc="http://schemas.openxmlformats.org/markup-compatibility/2006">
          <mc:Choice Requires="x14">
            <control shapeId="13047" r:id="rId2434" name="Button 1783">
              <controlPr defaultSize="0" autoFill="0" autoLine="0" autoPict="0" macro="[0]!Sheet1.deleteRow">
                <anchor moveWithCells="1" sizeWithCells="1">
                  <from>
                    <xdr:col>6</xdr:col>
                    <xdr:colOff>0</xdr:colOff>
                    <xdr:row>4163</xdr:row>
                    <xdr:rowOff>0</xdr:rowOff>
                  </from>
                  <to>
                    <xdr:col>7</xdr:col>
                    <xdr:colOff>0</xdr:colOff>
                    <xdr:row>4163</xdr:row>
                    <xdr:rowOff>165100</xdr:rowOff>
                  </to>
                </anchor>
              </controlPr>
            </control>
          </mc:Choice>
        </mc:AlternateContent>
        <mc:AlternateContent xmlns:mc="http://schemas.openxmlformats.org/markup-compatibility/2006">
          <mc:Choice Requires="x14">
            <control shapeId="13046" r:id="rId2435" name="Button 1782">
              <controlPr defaultSize="0" autoFill="0" autoLine="0" autoPict="0" macro="[0]!Sheet1.deleteRow">
                <anchor moveWithCells="1" sizeWithCells="1">
                  <from>
                    <xdr:col>6</xdr:col>
                    <xdr:colOff>0</xdr:colOff>
                    <xdr:row>4164</xdr:row>
                    <xdr:rowOff>0</xdr:rowOff>
                  </from>
                  <to>
                    <xdr:col>7</xdr:col>
                    <xdr:colOff>0</xdr:colOff>
                    <xdr:row>4164</xdr:row>
                    <xdr:rowOff>165100</xdr:rowOff>
                  </to>
                </anchor>
              </controlPr>
            </control>
          </mc:Choice>
        </mc:AlternateContent>
        <mc:AlternateContent xmlns:mc="http://schemas.openxmlformats.org/markup-compatibility/2006">
          <mc:Choice Requires="x14">
            <control shapeId="13045" r:id="rId2436" name="Button 1781">
              <controlPr defaultSize="0" autoFill="0" autoLine="0" autoPict="0" macro="[0]!Sheet1.deleteRow">
                <anchor moveWithCells="1" sizeWithCells="1">
                  <from>
                    <xdr:col>6</xdr:col>
                    <xdr:colOff>0</xdr:colOff>
                    <xdr:row>4165</xdr:row>
                    <xdr:rowOff>0</xdr:rowOff>
                  </from>
                  <to>
                    <xdr:col>7</xdr:col>
                    <xdr:colOff>0</xdr:colOff>
                    <xdr:row>4165</xdr:row>
                    <xdr:rowOff>165100</xdr:rowOff>
                  </to>
                </anchor>
              </controlPr>
            </control>
          </mc:Choice>
        </mc:AlternateContent>
        <mc:AlternateContent xmlns:mc="http://schemas.openxmlformats.org/markup-compatibility/2006">
          <mc:Choice Requires="x14">
            <control shapeId="13044" r:id="rId2437" name="Button 1780">
              <controlPr defaultSize="0" autoFill="0" autoLine="0" autoPict="0" macro="[0]!Sheet1.deleteRow">
                <anchor moveWithCells="1" sizeWithCells="1">
                  <from>
                    <xdr:col>6</xdr:col>
                    <xdr:colOff>0</xdr:colOff>
                    <xdr:row>4166</xdr:row>
                    <xdr:rowOff>0</xdr:rowOff>
                  </from>
                  <to>
                    <xdr:col>7</xdr:col>
                    <xdr:colOff>0</xdr:colOff>
                    <xdr:row>4166</xdr:row>
                    <xdr:rowOff>165100</xdr:rowOff>
                  </to>
                </anchor>
              </controlPr>
            </control>
          </mc:Choice>
        </mc:AlternateContent>
        <mc:AlternateContent xmlns:mc="http://schemas.openxmlformats.org/markup-compatibility/2006">
          <mc:Choice Requires="x14">
            <control shapeId="13043" r:id="rId2438" name="Button 1779">
              <controlPr defaultSize="0" autoFill="0" autoLine="0" autoPict="0" macro="[0]!Sheet1.deleteRow">
                <anchor moveWithCells="1" sizeWithCells="1">
                  <from>
                    <xdr:col>6</xdr:col>
                    <xdr:colOff>0</xdr:colOff>
                    <xdr:row>4167</xdr:row>
                    <xdr:rowOff>0</xdr:rowOff>
                  </from>
                  <to>
                    <xdr:col>7</xdr:col>
                    <xdr:colOff>0</xdr:colOff>
                    <xdr:row>4167</xdr:row>
                    <xdr:rowOff>165100</xdr:rowOff>
                  </to>
                </anchor>
              </controlPr>
            </control>
          </mc:Choice>
        </mc:AlternateContent>
        <mc:AlternateContent xmlns:mc="http://schemas.openxmlformats.org/markup-compatibility/2006">
          <mc:Choice Requires="x14">
            <control shapeId="13042" r:id="rId2439" name="Button 1778">
              <controlPr defaultSize="0" autoFill="0" autoLine="0" autoPict="0" macro="[0]!Sheet1.deleteRow">
                <anchor moveWithCells="1" sizeWithCells="1">
                  <from>
                    <xdr:col>6</xdr:col>
                    <xdr:colOff>0</xdr:colOff>
                    <xdr:row>4168</xdr:row>
                    <xdr:rowOff>0</xdr:rowOff>
                  </from>
                  <to>
                    <xdr:col>7</xdr:col>
                    <xdr:colOff>0</xdr:colOff>
                    <xdr:row>4168</xdr:row>
                    <xdr:rowOff>165100</xdr:rowOff>
                  </to>
                </anchor>
              </controlPr>
            </control>
          </mc:Choice>
        </mc:AlternateContent>
        <mc:AlternateContent xmlns:mc="http://schemas.openxmlformats.org/markup-compatibility/2006">
          <mc:Choice Requires="x14">
            <control shapeId="13041" r:id="rId2440" name="Button 1777">
              <controlPr defaultSize="0" autoFill="0" autoLine="0" autoPict="0" macro="[0]!Sheet1.deleteRow">
                <anchor moveWithCells="1" sizeWithCells="1">
                  <from>
                    <xdr:col>6</xdr:col>
                    <xdr:colOff>0</xdr:colOff>
                    <xdr:row>4169</xdr:row>
                    <xdr:rowOff>0</xdr:rowOff>
                  </from>
                  <to>
                    <xdr:col>7</xdr:col>
                    <xdr:colOff>0</xdr:colOff>
                    <xdr:row>4169</xdr:row>
                    <xdr:rowOff>165100</xdr:rowOff>
                  </to>
                </anchor>
              </controlPr>
            </control>
          </mc:Choice>
        </mc:AlternateContent>
        <mc:AlternateContent xmlns:mc="http://schemas.openxmlformats.org/markup-compatibility/2006">
          <mc:Choice Requires="x14">
            <control shapeId="13040" r:id="rId2441" name="Button 1776">
              <controlPr defaultSize="0" autoFill="0" autoLine="0" autoPict="0" macro="[0]!Sheet1.deleteRow">
                <anchor moveWithCells="1" sizeWithCells="1">
                  <from>
                    <xdr:col>6</xdr:col>
                    <xdr:colOff>0</xdr:colOff>
                    <xdr:row>4170</xdr:row>
                    <xdr:rowOff>0</xdr:rowOff>
                  </from>
                  <to>
                    <xdr:col>7</xdr:col>
                    <xdr:colOff>0</xdr:colOff>
                    <xdr:row>4170</xdr:row>
                    <xdr:rowOff>165100</xdr:rowOff>
                  </to>
                </anchor>
              </controlPr>
            </control>
          </mc:Choice>
        </mc:AlternateContent>
        <mc:AlternateContent xmlns:mc="http://schemas.openxmlformats.org/markup-compatibility/2006">
          <mc:Choice Requires="x14">
            <control shapeId="13039" r:id="rId2442" name="Button 1775">
              <controlPr defaultSize="0" autoFill="0" autoLine="0" autoPict="0" macro="[0]!Sheet1.deleteRow">
                <anchor moveWithCells="1" sizeWithCells="1">
                  <from>
                    <xdr:col>6</xdr:col>
                    <xdr:colOff>0</xdr:colOff>
                    <xdr:row>4171</xdr:row>
                    <xdr:rowOff>0</xdr:rowOff>
                  </from>
                  <to>
                    <xdr:col>7</xdr:col>
                    <xdr:colOff>0</xdr:colOff>
                    <xdr:row>4171</xdr:row>
                    <xdr:rowOff>165100</xdr:rowOff>
                  </to>
                </anchor>
              </controlPr>
            </control>
          </mc:Choice>
        </mc:AlternateContent>
        <mc:AlternateContent xmlns:mc="http://schemas.openxmlformats.org/markup-compatibility/2006">
          <mc:Choice Requires="x14">
            <control shapeId="13038" r:id="rId2443" name="Button 1774">
              <controlPr defaultSize="0" autoFill="0" autoLine="0" autoPict="0" macro="[0]!Sheet1.deleteRow">
                <anchor moveWithCells="1" sizeWithCells="1">
                  <from>
                    <xdr:col>6</xdr:col>
                    <xdr:colOff>0</xdr:colOff>
                    <xdr:row>4172</xdr:row>
                    <xdr:rowOff>0</xdr:rowOff>
                  </from>
                  <to>
                    <xdr:col>7</xdr:col>
                    <xdr:colOff>0</xdr:colOff>
                    <xdr:row>4172</xdr:row>
                    <xdr:rowOff>165100</xdr:rowOff>
                  </to>
                </anchor>
              </controlPr>
            </control>
          </mc:Choice>
        </mc:AlternateContent>
        <mc:AlternateContent xmlns:mc="http://schemas.openxmlformats.org/markup-compatibility/2006">
          <mc:Choice Requires="x14">
            <control shapeId="13037" r:id="rId2444" name="Button 1773">
              <controlPr defaultSize="0" autoFill="0" autoLine="0" autoPict="0" macro="[0]!Sheet1.deleteRow">
                <anchor moveWithCells="1" sizeWithCells="1">
                  <from>
                    <xdr:col>6</xdr:col>
                    <xdr:colOff>0</xdr:colOff>
                    <xdr:row>4173</xdr:row>
                    <xdr:rowOff>0</xdr:rowOff>
                  </from>
                  <to>
                    <xdr:col>7</xdr:col>
                    <xdr:colOff>0</xdr:colOff>
                    <xdr:row>4173</xdr:row>
                    <xdr:rowOff>165100</xdr:rowOff>
                  </to>
                </anchor>
              </controlPr>
            </control>
          </mc:Choice>
        </mc:AlternateContent>
        <mc:AlternateContent xmlns:mc="http://schemas.openxmlformats.org/markup-compatibility/2006">
          <mc:Choice Requires="x14">
            <control shapeId="13036" r:id="rId2445" name="Button 1772">
              <controlPr defaultSize="0" autoFill="0" autoLine="0" autoPict="0" macro="[0]!Sheet1.deleteRow">
                <anchor moveWithCells="1" sizeWithCells="1">
                  <from>
                    <xdr:col>6</xdr:col>
                    <xdr:colOff>0</xdr:colOff>
                    <xdr:row>4174</xdr:row>
                    <xdr:rowOff>0</xdr:rowOff>
                  </from>
                  <to>
                    <xdr:col>7</xdr:col>
                    <xdr:colOff>0</xdr:colOff>
                    <xdr:row>4174</xdr:row>
                    <xdr:rowOff>165100</xdr:rowOff>
                  </to>
                </anchor>
              </controlPr>
            </control>
          </mc:Choice>
        </mc:AlternateContent>
        <mc:AlternateContent xmlns:mc="http://schemas.openxmlformats.org/markup-compatibility/2006">
          <mc:Choice Requires="x14">
            <control shapeId="13035" r:id="rId2446" name="Button 1771">
              <controlPr defaultSize="0" autoFill="0" autoLine="0" autoPict="0" macro="[0]!Sheet1.deleteRow">
                <anchor moveWithCells="1" sizeWithCells="1">
                  <from>
                    <xdr:col>6</xdr:col>
                    <xdr:colOff>0</xdr:colOff>
                    <xdr:row>4175</xdr:row>
                    <xdr:rowOff>0</xdr:rowOff>
                  </from>
                  <to>
                    <xdr:col>7</xdr:col>
                    <xdr:colOff>0</xdr:colOff>
                    <xdr:row>4175</xdr:row>
                    <xdr:rowOff>165100</xdr:rowOff>
                  </to>
                </anchor>
              </controlPr>
            </control>
          </mc:Choice>
        </mc:AlternateContent>
        <mc:AlternateContent xmlns:mc="http://schemas.openxmlformats.org/markup-compatibility/2006">
          <mc:Choice Requires="x14">
            <control shapeId="13034" r:id="rId2447" name="Button 1770">
              <controlPr defaultSize="0" autoFill="0" autoLine="0" autoPict="0" macro="[0]!Sheet1.deleteRow">
                <anchor moveWithCells="1" sizeWithCells="1">
                  <from>
                    <xdr:col>6</xdr:col>
                    <xdr:colOff>0</xdr:colOff>
                    <xdr:row>4176</xdr:row>
                    <xdr:rowOff>0</xdr:rowOff>
                  </from>
                  <to>
                    <xdr:col>7</xdr:col>
                    <xdr:colOff>0</xdr:colOff>
                    <xdr:row>4176</xdr:row>
                    <xdr:rowOff>165100</xdr:rowOff>
                  </to>
                </anchor>
              </controlPr>
            </control>
          </mc:Choice>
        </mc:AlternateContent>
        <mc:AlternateContent xmlns:mc="http://schemas.openxmlformats.org/markup-compatibility/2006">
          <mc:Choice Requires="x14">
            <control shapeId="13033" r:id="rId2448" name="Button 1769">
              <controlPr defaultSize="0" autoFill="0" autoLine="0" autoPict="0" macro="[0]!Sheet1.deleteRow">
                <anchor moveWithCells="1" sizeWithCells="1">
                  <from>
                    <xdr:col>6</xdr:col>
                    <xdr:colOff>0</xdr:colOff>
                    <xdr:row>4177</xdr:row>
                    <xdr:rowOff>0</xdr:rowOff>
                  </from>
                  <to>
                    <xdr:col>7</xdr:col>
                    <xdr:colOff>0</xdr:colOff>
                    <xdr:row>4177</xdr:row>
                    <xdr:rowOff>165100</xdr:rowOff>
                  </to>
                </anchor>
              </controlPr>
            </control>
          </mc:Choice>
        </mc:AlternateContent>
        <mc:AlternateContent xmlns:mc="http://schemas.openxmlformats.org/markup-compatibility/2006">
          <mc:Choice Requires="x14">
            <control shapeId="13032" r:id="rId2449" name="Button 1768">
              <controlPr defaultSize="0" autoFill="0" autoLine="0" autoPict="0" macro="[0]!Sheet1.deleteRow">
                <anchor moveWithCells="1" sizeWithCells="1">
                  <from>
                    <xdr:col>6</xdr:col>
                    <xdr:colOff>0</xdr:colOff>
                    <xdr:row>4178</xdr:row>
                    <xdr:rowOff>0</xdr:rowOff>
                  </from>
                  <to>
                    <xdr:col>7</xdr:col>
                    <xdr:colOff>0</xdr:colOff>
                    <xdr:row>4178</xdr:row>
                    <xdr:rowOff>165100</xdr:rowOff>
                  </to>
                </anchor>
              </controlPr>
            </control>
          </mc:Choice>
        </mc:AlternateContent>
        <mc:AlternateContent xmlns:mc="http://schemas.openxmlformats.org/markup-compatibility/2006">
          <mc:Choice Requires="x14">
            <control shapeId="13031" r:id="rId2450" name="Button 1767">
              <controlPr defaultSize="0" autoFill="0" autoLine="0" autoPict="0" macro="[0]!Sheet1.deleteRow">
                <anchor moveWithCells="1" sizeWithCells="1">
                  <from>
                    <xdr:col>6</xdr:col>
                    <xdr:colOff>0</xdr:colOff>
                    <xdr:row>4179</xdr:row>
                    <xdr:rowOff>0</xdr:rowOff>
                  </from>
                  <to>
                    <xdr:col>7</xdr:col>
                    <xdr:colOff>0</xdr:colOff>
                    <xdr:row>4179</xdr:row>
                    <xdr:rowOff>165100</xdr:rowOff>
                  </to>
                </anchor>
              </controlPr>
            </control>
          </mc:Choice>
        </mc:AlternateContent>
        <mc:AlternateContent xmlns:mc="http://schemas.openxmlformats.org/markup-compatibility/2006">
          <mc:Choice Requires="x14">
            <control shapeId="13030" r:id="rId2451" name="Button 1766">
              <controlPr defaultSize="0" autoFill="0" autoLine="0" autoPict="0" macro="[0]!Sheet1.deleteRow">
                <anchor moveWithCells="1" sizeWithCells="1">
                  <from>
                    <xdr:col>6</xdr:col>
                    <xdr:colOff>0</xdr:colOff>
                    <xdr:row>4180</xdr:row>
                    <xdr:rowOff>0</xdr:rowOff>
                  </from>
                  <to>
                    <xdr:col>7</xdr:col>
                    <xdr:colOff>0</xdr:colOff>
                    <xdr:row>4180</xdr:row>
                    <xdr:rowOff>165100</xdr:rowOff>
                  </to>
                </anchor>
              </controlPr>
            </control>
          </mc:Choice>
        </mc:AlternateContent>
        <mc:AlternateContent xmlns:mc="http://schemas.openxmlformats.org/markup-compatibility/2006">
          <mc:Choice Requires="x14">
            <control shapeId="13029" r:id="rId2452" name="Button 1765">
              <controlPr defaultSize="0" autoFill="0" autoLine="0" autoPict="0" macro="[0]!Sheet1.deleteRow">
                <anchor moveWithCells="1" sizeWithCells="1">
                  <from>
                    <xdr:col>6</xdr:col>
                    <xdr:colOff>0</xdr:colOff>
                    <xdr:row>4181</xdr:row>
                    <xdr:rowOff>0</xdr:rowOff>
                  </from>
                  <to>
                    <xdr:col>7</xdr:col>
                    <xdr:colOff>0</xdr:colOff>
                    <xdr:row>4181</xdr:row>
                    <xdr:rowOff>165100</xdr:rowOff>
                  </to>
                </anchor>
              </controlPr>
            </control>
          </mc:Choice>
        </mc:AlternateContent>
        <mc:AlternateContent xmlns:mc="http://schemas.openxmlformats.org/markup-compatibility/2006">
          <mc:Choice Requires="x14">
            <control shapeId="13028" r:id="rId2453" name="Button 1764">
              <controlPr defaultSize="0" autoFill="0" autoLine="0" autoPict="0" macro="[0]!Sheet1.deleteRow">
                <anchor moveWithCells="1" sizeWithCells="1">
                  <from>
                    <xdr:col>6</xdr:col>
                    <xdr:colOff>0</xdr:colOff>
                    <xdr:row>4182</xdr:row>
                    <xdr:rowOff>0</xdr:rowOff>
                  </from>
                  <to>
                    <xdr:col>7</xdr:col>
                    <xdr:colOff>0</xdr:colOff>
                    <xdr:row>4182</xdr:row>
                    <xdr:rowOff>165100</xdr:rowOff>
                  </to>
                </anchor>
              </controlPr>
            </control>
          </mc:Choice>
        </mc:AlternateContent>
        <mc:AlternateContent xmlns:mc="http://schemas.openxmlformats.org/markup-compatibility/2006">
          <mc:Choice Requires="x14">
            <control shapeId="13027" r:id="rId2454" name="Button 1763">
              <controlPr defaultSize="0" autoFill="0" autoLine="0" autoPict="0" macro="[0]!Sheet1.deleteRow">
                <anchor moveWithCells="1" sizeWithCells="1">
                  <from>
                    <xdr:col>6</xdr:col>
                    <xdr:colOff>0</xdr:colOff>
                    <xdr:row>4183</xdr:row>
                    <xdr:rowOff>0</xdr:rowOff>
                  </from>
                  <to>
                    <xdr:col>7</xdr:col>
                    <xdr:colOff>0</xdr:colOff>
                    <xdr:row>4183</xdr:row>
                    <xdr:rowOff>165100</xdr:rowOff>
                  </to>
                </anchor>
              </controlPr>
            </control>
          </mc:Choice>
        </mc:AlternateContent>
        <mc:AlternateContent xmlns:mc="http://schemas.openxmlformats.org/markup-compatibility/2006">
          <mc:Choice Requires="x14">
            <control shapeId="13026" r:id="rId2455" name="Button 1762">
              <controlPr defaultSize="0" autoFill="0" autoLine="0" autoPict="0" macro="[0]!Sheet1.deleteRow">
                <anchor moveWithCells="1" sizeWithCells="1">
                  <from>
                    <xdr:col>6</xdr:col>
                    <xdr:colOff>0</xdr:colOff>
                    <xdr:row>4184</xdr:row>
                    <xdr:rowOff>0</xdr:rowOff>
                  </from>
                  <to>
                    <xdr:col>7</xdr:col>
                    <xdr:colOff>0</xdr:colOff>
                    <xdr:row>4184</xdr:row>
                    <xdr:rowOff>165100</xdr:rowOff>
                  </to>
                </anchor>
              </controlPr>
            </control>
          </mc:Choice>
        </mc:AlternateContent>
        <mc:AlternateContent xmlns:mc="http://schemas.openxmlformats.org/markup-compatibility/2006">
          <mc:Choice Requires="x14">
            <control shapeId="13025" r:id="rId2456" name="Button 1761">
              <controlPr defaultSize="0" autoFill="0" autoLine="0" autoPict="0" macro="[0]!Sheet1.deleteRow">
                <anchor moveWithCells="1" sizeWithCells="1">
                  <from>
                    <xdr:col>6</xdr:col>
                    <xdr:colOff>0</xdr:colOff>
                    <xdr:row>4185</xdr:row>
                    <xdr:rowOff>0</xdr:rowOff>
                  </from>
                  <to>
                    <xdr:col>7</xdr:col>
                    <xdr:colOff>0</xdr:colOff>
                    <xdr:row>4185</xdr:row>
                    <xdr:rowOff>165100</xdr:rowOff>
                  </to>
                </anchor>
              </controlPr>
            </control>
          </mc:Choice>
        </mc:AlternateContent>
        <mc:AlternateContent xmlns:mc="http://schemas.openxmlformats.org/markup-compatibility/2006">
          <mc:Choice Requires="x14">
            <control shapeId="13024" r:id="rId2457" name="Button 1760">
              <controlPr defaultSize="0" autoFill="0" autoLine="0" autoPict="0" macro="[0]!Sheet1.deleteRow">
                <anchor moveWithCells="1" sizeWithCells="1">
                  <from>
                    <xdr:col>6</xdr:col>
                    <xdr:colOff>0</xdr:colOff>
                    <xdr:row>4186</xdr:row>
                    <xdr:rowOff>0</xdr:rowOff>
                  </from>
                  <to>
                    <xdr:col>7</xdr:col>
                    <xdr:colOff>0</xdr:colOff>
                    <xdr:row>4186</xdr:row>
                    <xdr:rowOff>165100</xdr:rowOff>
                  </to>
                </anchor>
              </controlPr>
            </control>
          </mc:Choice>
        </mc:AlternateContent>
        <mc:AlternateContent xmlns:mc="http://schemas.openxmlformats.org/markup-compatibility/2006">
          <mc:Choice Requires="x14">
            <control shapeId="13023" r:id="rId2458" name="Button 1759">
              <controlPr defaultSize="0" autoFill="0" autoLine="0" autoPict="0" macro="[0]!Sheet1.deleteRow">
                <anchor moveWithCells="1" sizeWithCells="1">
                  <from>
                    <xdr:col>6</xdr:col>
                    <xdr:colOff>0</xdr:colOff>
                    <xdr:row>4187</xdr:row>
                    <xdr:rowOff>0</xdr:rowOff>
                  </from>
                  <to>
                    <xdr:col>7</xdr:col>
                    <xdr:colOff>0</xdr:colOff>
                    <xdr:row>4187</xdr:row>
                    <xdr:rowOff>165100</xdr:rowOff>
                  </to>
                </anchor>
              </controlPr>
            </control>
          </mc:Choice>
        </mc:AlternateContent>
        <mc:AlternateContent xmlns:mc="http://schemas.openxmlformats.org/markup-compatibility/2006">
          <mc:Choice Requires="x14">
            <control shapeId="13022" r:id="rId2459" name="Button 1758">
              <controlPr defaultSize="0" autoFill="0" autoLine="0" autoPict="0" macro="[0]!Sheet1.deleteRow">
                <anchor moveWithCells="1" sizeWithCells="1">
                  <from>
                    <xdr:col>6</xdr:col>
                    <xdr:colOff>0</xdr:colOff>
                    <xdr:row>4188</xdr:row>
                    <xdr:rowOff>0</xdr:rowOff>
                  </from>
                  <to>
                    <xdr:col>7</xdr:col>
                    <xdr:colOff>0</xdr:colOff>
                    <xdr:row>4188</xdr:row>
                    <xdr:rowOff>165100</xdr:rowOff>
                  </to>
                </anchor>
              </controlPr>
            </control>
          </mc:Choice>
        </mc:AlternateContent>
        <mc:AlternateContent xmlns:mc="http://schemas.openxmlformats.org/markup-compatibility/2006">
          <mc:Choice Requires="x14">
            <control shapeId="13021" r:id="rId2460" name="Button 1757">
              <controlPr defaultSize="0" autoFill="0" autoLine="0" autoPict="0" macro="[0]!Sheet1.deleteRow">
                <anchor moveWithCells="1" sizeWithCells="1">
                  <from>
                    <xdr:col>6</xdr:col>
                    <xdr:colOff>0</xdr:colOff>
                    <xdr:row>4189</xdr:row>
                    <xdr:rowOff>0</xdr:rowOff>
                  </from>
                  <to>
                    <xdr:col>7</xdr:col>
                    <xdr:colOff>0</xdr:colOff>
                    <xdr:row>4189</xdr:row>
                    <xdr:rowOff>165100</xdr:rowOff>
                  </to>
                </anchor>
              </controlPr>
            </control>
          </mc:Choice>
        </mc:AlternateContent>
        <mc:AlternateContent xmlns:mc="http://schemas.openxmlformats.org/markup-compatibility/2006">
          <mc:Choice Requires="x14">
            <control shapeId="13020" r:id="rId2461" name="Button 1756">
              <controlPr defaultSize="0" autoFill="0" autoLine="0" autoPict="0" macro="[0]!Sheet1.deleteRow">
                <anchor moveWithCells="1" sizeWithCells="1">
                  <from>
                    <xdr:col>6</xdr:col>
                    <xdr:colOff>0</xdr:colOff>
                    <xdr:row>4190</xdr:row>
                    <xdr:rowOff>0</xdr:rowOff>
                  </from>
                  <to>
                    <xdr:col>7</xdr:col>
                    <xdr:colOff>0</xdr:colOff>
                    <xdr:row>4190</xdr:row>
                    <xdr:rowOff>165100</xdr:rowOff>
                  </to>
                </anchor>
              </controlPr>
            </control>
          </mc:Choice>
        </mc:AlternateContent>
        <mc:AlternateContent xmlns:mc="http://schemas.openxmlformats.org/markup-compatibility/2006">
          <mc:Choice Requires="x14">
            <control shapeId="13019" r:id="rId2462" name="Button 1755">
              <controlPr defaultSize="0" autoFill="0" autoLine="0" autoPict="0" macro="[0]!Sheet1.deleteRow">
                <anchor moveWithCells="1" sizeWithCells="1">
                  <from>
                    <xdr:col>6</xdr:col>
                    <xdr:colOff>0</xdr:colOff>
                    <xdr:row>4191</xdr:row>
                    <xdr:rowOff>0</xdr:rowOff>
                  </from>
                  <to>
                    <xdr:col>7</xdr:col>
                    <xdr:colOff>0</xdr:colOff>
                    <xdr:row>4191</xdr:row>
                    <xdr:rowOff>165100</xdr:rowOff>
                  </to>
                </anchor>
              </controlPr>
            </control>
          </mc:Choice>
        </mc:AlternateContent>
        <mc:AlternateContent xmlns:mc="http://schemas.openxmlformats.org/markup-compatibility/2006">
          <mc:Choice Requires="x14">
            <control shapeId="13018" r:id="rId2463" name="Button 1754">
              <controlPr defaultSize="0" autoFill="0" autoLine="0" autoPict="0" macro="[0]!Sheet1.deleteRow">
                <anchor moveWithCells="1" sizeWithCells="1">
                  <from>
                    <xdr:col>6</xdr:col>
                    <xdr:colOff>0</xdr:colOff>
                    <xdr:row>4192</xdr:row>
                    <xdr:rowOff>0</xdr:rowOff>
                  </from>
                  <to>
                    <xdr:col>7</xdr:col>
                    <xdr:colOff>0</xdr:colOff>
                    <xdr:row>4192</xdr:row>
                    <xdr:rowOff>165100</xdr:rowOff>
                  </to>
                </anchor>
              </controlPr>
            </control>
          </mc:Choice>
        </mc:AlternateContent>
        <mc:AlternateContent xmlns:mc="http://schemas.openxmlformats.org/markup-compatibility/2006">
          <mc:Choice Requires="x14">
            <control shapeId="13017" r:id="rId2464" name="Button 1753">
              <controlPr defaultSize="0" autoFill="0" autoLine="0" autoPict="0" macro="[0]!Sheet1.deleteRow">
                <anchor moveWithCells="1" sizeWithCells="1">
                  <from>
                    <xdr:col>6</xdr:col>
                    <xdr:colOff>0</xdr:colOff>
                    <xdr:row>4193</xdr:row>
                    <xdr:rowOff>0</xdr:rowOff>
                  </from>
                  <to>
                    <xdr:col>7</xdr:col>
                    <xdr:colOff>0</xdr:colOff>
                    <xdr:row>4193</xdr:row>
                    <xdr:rowOff>165100</xdr:rowOff>
                  </to>
                </anchor>
              </controlPr>
            </control>
          </mc:Choice>
        </mc:AlternateContent>
        <mc:AlternateContent xmlns:mc="http://schemas.openxmlformats.org/markup-compatibility/2006">
          <mc:Choice Requires="x14">
            <control shapeId="13016" r:id="rId2465" name="Button 1752">
              <controlPr defaultSize="0" autoFill="0" autoLine="0" autoPict="0" macro="[0]!Sheet1.deleteRow">
                <anchor moveWithCells="1" sizeWithCells="1">
                  <from>
                    <xdr:col>6</xdr:col>
                    <xdr:colOff>0</xdr:colOff>
                    <xdr:row>4194</xdr:row>
                    <xdr:rowOff>0</xdr:rowOff>
                  </from>
                  <to>
                    <xdr:col>7</xdr:col>
                    <xdr:colOff>0</xdr:colOff>
                    <xdr:row>4194</xdr:row>
                    <xdr:rowOff>165100</xdr:rowOff>
                  </to>
                </anchor>
              </controlPr>
            </control>
          </mc:Choice>
        </mc:AlternateContent>
        <mc:AlternateContent xmlns:mc="http://schemas.openxmlformats.org/markup-compatibility/2006">
          <mc:Choice Requires="x14">
            <control shapeId="13015" r:id="rId2466" name="Button 1751">
              <controlPr defaultSize="0" autoFill="0" autoLine="0" autoPict="0" macro="[0]!Sheet1.deleteRow">
                <anchor moveWithCells="1" sizeWithCells="1">
                  <from>
                    <xdr:col>6</xdr:col>
                    <xdr:colOff>0</xdr:colOff>
                    <xdr:row>4195</xdr:row>
                    <xdr:rowOff>0</xdr:rowOff>
                  </from>
                  <to>
                    <xdr:col>7</xdr:col>
                    <xdr:colOff>0</xdr:colOff>
                    <xdr:row>4195</xdr:row>
                    <xdr:rowOff>165100</xdr:rowOff>
                  </to>
                </anchor>
              </controlPr>
            </control>
          </mc:Choice>
        </mc:AlternateContent>
        <mc:AlternateContent xmlns:mc="http://schemas.openxmlformats.org/markup-compatibility/2006">
          <mc:Choice Requires="x14">
            <control shapeId="13014" r:id="rId2467" name="Button 1750">
              <controlPr defaultSize="0" autoFill="0" autoLine="0" autoPict="0" macro="[0]!Sheet1.deleteRow">
                <anchor moveWithCells="1" sizeWithCells="1">
                  <from>
                    <xdr:col>6</xdr:col>
                    <xdr:colOff>0</xdr:colOff>
                    <xdr:row>4196</xdr:row>
                    <xdr:rowOff>0</xdr:rowOff>
                  </from>
                  <to>
                    <xdr:col>7</xdr:col>
                    <xdr:colOff>0</xdr:colOff>
                    <xdr:row>4196</xdr:row>
                    <xdr:rowOff>165100</xdr:rowOff>
                  </to>
                </anchor>
              </controlPr>
            </control>
          </mc:Choice>
        </mc:AlternateContent>
        <mc:AlternateContent xmlns:mc="http://schemas.openxmlformats.org/markup-compatibility/2006">
          <mc:Choice Requires="x14">
            <control shapeId="13013" r:id="rId2468" name="Button 1749">
              <controlPr defaultSize="0" autoFill="0" autoLine="0" autoPict="0" macro="[0]!Sheet1.deleteRow">
                <anchor moveWithCells="1" sizeWithCells="1">
                  <from>
                    <xdr:col>6</xdr:col>
                    <xdr:colOff>0</xdr:colOff>
                    <xdr:row>4197</xdr:row>
                    <xdr:rowOff>0</xdr:rowOff>
                  </from>
                  <to>
                    <xdr:col>7</xdr:col>
                    <xdr:colOff>0</xdr:colOff>
                    <xdr:row>4197</xdr:row>
                    <xdr:rowOff>165100</xdr:rowOff>
                  </to>
                </anchor>
              </controlPr>
            </control>
          </mc:Choice>
        </mc:AlternateContent>
        <mc:AlternateContent xmlns:mc="http://schemas.openxmlformats.org/markup-compatibility/2006">
          <mc:Choice Requires="x14">
            <control shapeId="13012" r:id="rId2469" name="Button 1748">
              <controlPr defaultSize="0" autoFill="0" autoLine="0" autoPict="0" macro="[0]!Sheet1.deleteRow">
                <anchor moveWithCells="1" sizeWithCells="1">
                  <from>
                    <xdr:col>6</xdr:col>
                    <xdr:colOff>0</xdr:colOff>
                    <xdr:row>4198</xdr:row>
                    <xdr:rowOff>0</xdr:rowOff>
                  </from>
                  <to>
                    <xdr:col>7</xdr:col>
                    <xdr:colOff>0</xdr:colOff>
                    <xdr:row>4198</xdr:row>
                    <xdr:rowOff>165100</xdr:rowOff>
                  </to>
                </anchor>
              </controlPr>
            </control>
          </mc:Choice>
        </mc:AlternateContent>
        <mc:AlternateContent xmlns:mc="http://schemas.openxmlformats.org/markup-compatibility/2006">
          <mc:Choice Requires="x14">
            <control shapeId="13011" r:id="rId2470" name="Button 1747">
              <controlPr defaultSize="0" autoFill="0" autoLine="0" autoPict="0" macro="[0]!Sheet1.deleteRow">
                <anchor moveWithCells="1" sizeWithCells="1">
                  <from>
                    <xdr:col>6</xdr:col>
                    <xdr:colOff>0</xdr:colOff>
                    <xdr:row>4199</xdr:row>
                    <xdr:rowOff>0</xdr:rowOff>
                  </from>
                  <to>
                    <xdr:col>7</xdr:col>
                    <xdr:colOff>0</xdr:colOff>
                    <xdr:row>4199</xdr:row>
                    <xdr:rowOff>165100</xdr:rowOff>
                  </to>
                </anchor>
              </controlPr>
            </control>
          </mc:Choice>
        </mc:AlternateContent>
        <mc:AlternateContent xmlns:mc="http://schemas.openxmlformats.org/markup-compatibility/2006">
          <mc:Choice Requires="x14">
            <control shapeId="13010" r:id="rId2471" name="Button 1746">
              <controlPr defaultSize="0" autoFill="0" autoLine="0" autoPict="0" macro="[0]!Sheet1.deleteRow">
                <anchor moveWithCells="1" sizeWithCells="1">
                  <from>
                    <xdr:col>6</xdr:col>
                    <xdr:colOff>0</xdr:colOff>
                    <xdr:row>4200</xdr:row>
                    <xdr:rowOff>0</xdr:rowOff>
                  </from>
                  <to>
                    <xdr:col>7</xdr:col>
                    <xdr:colOff>0</xdr:colOff>
                    <xdr:row>4200</xdr:row>
                    <xdr:rowOff>165100</xdr:rowOff>
                  </to>
                </anchor>
              </controlPr>
            </control>
          </mc:Choice>
        </mc:AlternateContent>
        <mc:AlternateContent xmlns:mc="http://schemas.openxmlformats.org/markup-compatibility/2006">
          <mc:Choice Requires="x14">
            <control shapeId="13009" r:id="rId2472" name="Button 1745">
              <controlPr defaultSize="0" autoFill="0" autoLine="0" autoPict="0" macro="[0]!Sheet1.deleteProcedure">
                <anchor moveWithCells="1" sizeWithCells="1">
                  <from>
                    <xdr:col>6</xdr:col>
                    <xdr:colOff>0</xdr:colOff>
                    <xdr:row>4203</xdr:row>
                    <xdr:rowOff>0</xdr:rowOff>
                  </from>
                  <to>
                    <xdr:col>7</xdr:col>
                    <xdr:colOff>0</xdr:colOff>
                    <xdr:row>4204</xdr:row>
                    <xdr:rowOff>0</xdr:rowOff>
                  </to>
                </anchor>
              </controlPr>
            </control>
          </mc:Choice>
        </mc:AlternateContent>
        <mc:AlternateContent xmlns:mc="http://schemas.openxmlformats.org/markup-compatibility/2006">
          <mc:Choice Requires="x14">
            <control shapeId="13008" r:id="rId2473" name="Button 1744">
              <controlPr defaultSize="0" autoFill="0" autoLine="0" autoPict="0" macro="[0]!Sheet1.InsertNewTableRow">
                <anchor moveWithCells="1" sizeWithCells="1">
                  <from>
                    <xdr:col>6</xdr:col>
                    <xdr:colOff>0</xdr:colOff>
                    <xdr:row>4210</xdr:row>
                    <xdr:rowOff>0</xdr:rowOff>
                  </from>
                  <to>
                    <xdr:col>7</xdr:col>
                    <xdr:colOff>0</xdr:colOff>
                    <xdr:row>4210</xdr:row>
                    <xdr:rowOff>171450</xdr:rowOff>
                  </to>
                </anchor>
              </controlPr>
            </control>
          </mc:Choice>
        </mc:AlternateContent>
        <mc:AlternateContent xmlns:mc="http://schemas.openxmlformats.org/markup-compatibility/2006">
          <mc:Choice Requires="x14">
            <control shapeId="13007" r:id="rId2474" name="Button 1743">
              <controlPr defaultSize="0" autoFill="0" autoLine="0" autoPict="0" macro="[0]!Sheet1.deleteRow">
                <anchor moveWithCells="1" sizeWithCells="1">
                  <from>
                    <xdr:col>6</xdr:col>
                    <xdr:colOff>0</xdr:colOff>
                    <xdr:row>4211</xdr:row>
                    <xdr:rowOff>0</xdr:rowOff>
                  </from>
                  <to>
                    <xdr:col>7</xdr:col>
                    <xdr:colOff>0</xdr:colOff>
                    <xdr:row>4211</xdr:row>
                    <xdr:rowOff>165100</xdr:rowOff>
                  </to>
                </anchor>
              </controlPr>
            </control>
          </mc:Choice>
        </mc:AlternateContent>
        <mc:AlternateContent xmlns:mc="http://schemas.openxmlformats.org/markup-compatibility/2006">
          <mc:Choice Requires="x14">
            <control shapeId="13006" r:id="rId2475" name="Button 1742">
              <controlPr defaultSize="0" autoFill="0" autoLine="0" autoPict="0" macro="[0]!Sheet1.deleteRow">
                <anchor moveWithCells="1" sizeWithCells="1">
                  <from>
                    <xdr:col>6</xdr:col>
                    <xdr:colOff>0</xdr:colOff>
                    <xdr:row>4212</xdr:row>
                    <xdr:rowOff>0</xdr:rowOff>
                  </from>
                  <to>
                    <xdr:col>7</xdr:col>
                    <xdr:colOff>0</xdr:colOff>
                    <xdr:row>4212</xdr:row>
                    <xdr:rowOff>165100</xdr:rowOff>
                  </to>
                </anchor>
              </controlPr>
            </control>
          </mc:Choice>
        </mc:AlternateContent>
        <mc:AlternateContent xmlns:mc="http://schemas.openxmlformats.org/markup-compatibility/2006">
          <mc:Choice Requires="x14">
            <control shapeId="13005" r:id="rId2476" name="Button 1741">
              <controlPr defaultSize="0" autoFill="0" autoLine="0" autoPict="0" macro="[0]!Sheet1.deleteProcedure">
                <anchor moveWithCells="1" sizeWithCells="1">
                  <from>
                    <xdr:col>6</xdr:col>
                    <xdr:colOff>0</xdr:colOff>
                    <xdr:row>4215</xdr:row>
                    <xdr:rowOff>0</xdr:rowOff>
                  </from>
                  <to>
                    <xdr:col>7</xdr:col>
                    <xdr:colOff>0</xdr:colOff>
                    <xdr:row>4216</xdr:row>
                    <xdr:rowOff>0</xdr:rowOff>
                  </to>
                </anchor>
              </controlPr>
            </control>
          </mc:Choice>
        </mc:AlternateContent>
        <mc:AlternateContent xmlns:mc="http://schemas.openxmlformats.org/markup-compatibility/2006">
          <mc:Choice Requires="x14">
            <control shapeId="13004" r:id="rId2477" name="Button 1740">
              <controlPr defaultSize="0" autoFill="0" autoLine="0" autoPict="0" macro="[0]!Sheet1.InsertNewTableRow">
                <anchor moveWithCells="1" sizeWithCells="1">
                  <from>
                    <xdr:col>6</xdr:col>
                    <xdr:colOff>0</xdr:colOff>
                    <xdr:row>4222</xdr:row>
                    <xdr:rowOff>0</xdr:rowOff>
                  </from>
                  <to>
                    <xdr:col>7</xdr:col>
                    <xdr:colOff>0</xdr:colOff>
                    <xdr:row>4222</xdr:row>
                    <xdr:rowOff>171450</xdr:rowOff>
                  </to>
                </anchor>
              </controlPr>
            </control>
          </mc:Choice>
        </mc:AlternateContent>
        <mc:AlternateContent xmlns:mc="http://schemas.openxmlformats.org/markup-compatibility/2006">
          <mc:Choice Requires="x14">
            <control shapeId="13003" r:id="rId2478" name="Button 1739">
              <controlPr defaultSize="0" autoFill="0" autoLine="0" autoPict="0" macro="[0]!Sheet1.deleteRow">
                <anchor moveWithCells="1" sizeWithCells="1">
                  <from>
                    <xdr:col>6</xdr:col>
                    <xdr:colOff>0</xdr:colOff>
                    <xdr:row>4223</xdr:row>
                    <xdr:rowOff>0</xdr:rowOff>
                  </from>
                  <to>
                    <xdr:col>7</xdr:col>
                    <xdr:colOff>0</xdr:colOff>
                    <xdr:row>4223</xdr:row>
                    <xdr:rowOff>165100</xdr:rowOff>
                  </to>
                </anchor>
              </controlPr>
            </control>
          </mc:Choice>
        </mc:AlternateContent>
        <mc:AlternateContent xmlns:mc="http://schemas.openxmlformats.org/markup-compatibility/2006">
          <mc:Choice Requires="x14">
            <control shapeId="13002" r:id="rId2479" name="Button 1738">
              <controlPr defaultSize="0" autoFill="0" autoLine="0" autoPict="0" macro="[0]!Sheet1.deleteRow">
                <anchor moveWithCells="1" sizeWithCells="1">
                  <from>
                    <xdr:col>6</xdr:col>
                    <xdr:colOff>0</xdr:colOff>
                    <xdr:row>4224</xdr:row>
                    <xdr:rowOff>0</xdr:rowOff>
                  </from>
                  <to>
                    <xdr:col>7</xdr:col>
                    <xdr:colOff>0</xdr:colOff>
                    <xdr:row>4224</xdr:row>
                    <xdr:rowOff>165100</xdr:rowOff>
                  </to>
                </anchor>
              </controlPr>
            </control>
          </mc:Choice>
        </mc:AlternateContent>
        <mc:AlternateContent xmlns:mc="http://schemas.openxmlformats.org/markup-compatibility/2006">
          <mc:Choice Requires="x14">
            <control shapeId="13001" r:id="rId2480" name="Button 1737">
              <controlPr defaultSize="0" autoFill="0" autoLine="0" autoPict="0" macro="[0]!Sheet1.deleteProcedure">
                <anchor moveWithCells="1" sizeWithCells="1">
                  <from>
                    <xdr:col>6</xdr:col>
                    <xdr:colOff>0</xdr:colOff>
                    <xdr:row>4227</xdr:row>
                    <xdr:rowOff>0</xdr:rowOff>
                  </from>
                  <to>
                    <xdr:col>7</xdr:col>
                    <xdr:colOff>0</xdr:colOff>
                    <xdr:row>4228</xdr:row>
                    <xdr:rowOff>0</xdr:rowOff>
                  </to>
                </anchor>
              </controlPr>
            </control>
          </mc:Choice>
        </mc:AlternateContent>
        <mc:AlternateContent xmlns:mc="http://schemas.openxmlformats.org/markup-compatibility/2006">
          <mc:Choice Requires="x14">
            <control shapeId="13000" r:id="rId2481" name="Button 1736">
              <controlPr defaultSize="0" autoFill="0" autoLine="0" autoPict="0" macro="[0]!Sheet1.InsertNewTableRow">
                <anchor moveWithCells="1" sizeWithCells="1">
                  <from>
                    <xdr:col>6</xdr:col>
                    <xdr:colOff>0</xdr:colOff>
                    <xdr:row>4234</xdr:row>
                    <xdr:rowOff>0</xdr:rowOff>
                  </from>
                  <to>
                    <xdr:col>7</xdr:col>
                    <xdr:colOff>0</xdr:colOff>
                    <xdr:row>4234</xdr:row>
                    <xdr:rowOff>171450</xdr:rowOff>
                  </to>
                </anchor>
              </controlPr>
            </control>
          </mc:Choice>
        </mc:AlternateContent>
        <mc:AlternateContent xmlns:mc="http://schemas.openxmlformats.org/markup-compatibility/2006">
          <mc:Choice Requires="x14">
            <control shapeId="12999" r:id="rId2482" name="Button 1735">
              <controlPr defaultSize="0" autoFill="0" autoLine="0" autoPict="0" macro="[0]!Sheet1.deleteRow">
                <anchor moveWithCells="1" sizeWithCells="1">
                  <from>
                    <xdr:col>6</xdr:col>
                    <xdr:colOff>0</xdr:colOff>
                    <xdr:row>4235</xdr:row>
                    <xdr:rowOff>0</xdr:rowOff>
                  </from>
                  <to>
                    <xdr:col>7</xdr:col>
                    <xdr:colOff>0</xdr:colOff>
                    <xdr:row>4235</xdr:row>
                    <xdr:rowOff>165100</xdr:rowOff>
                  </to>
                </anchor>
              </controlPr>
            </control>
          </mc:Choice>
        </mc:AlternateContent>
        <mc:AlternateContent xmlns:mc="http://schemas.openxmlformats.org/markup-compatibility/2006">
          <mc:Choice Requires="x14">
            <control shapeId="12998" r:id="rId2483" name="Button 1734">
              <controlPr defaultSize="0" autoFill="0" autoLine="0" autoPict="0" macro="[0]!Sheet1.deleteProcedure">
                <anchor moveWithCells="1" sizeWithCells="1">
                  <from>
                    <xdr:col>6</xdr:col>
                    <xdr:colOff>0</xdr:colOff>
                    <xdr:row>4238</xdr:row>
                    <xdr:rowOff>0</xdr:rowOff>
                  </from>
                  <to>
                    <xdr:col>7</xdr:col>
                    <xdr:colOff>0</xdr:colOff>
                    <xdr:row>4239</xdr:row>
                    <xdr:rowOff>0</xdr:rowOff>
                  </to>
                </anchor>
              </controlPr>
            </control>
          </mc:Choice>
        </mc:AlternateContent>
        <mc:AlternateContent xmlns:mc="http://schemas.openxmlformats.org/markup-compatibility/2006">
          <mc:Choice Requires="x14">
            <control shapeId="12997" r:id="rId2484" name="Button 1733">
              <controlPr defaultSize="0" autoFill="0" autoLine="0" autoPict="0" macro="[0]!Sheet1.InsertNewTableRow">
                <anchor moveWithCells="1" sizeWithCells="1">
                  <from>
                    <xdr:col>6</xdr:col>
                    <xdr:colOff>0</xdr:colOff>
                    <xdr:row>4245</xdr:row>
                    <xdr:rowOff>0</xdr:rowOff>
                  </from>
                  <to>
                    <xdr:col>7</xdr:col>
                    <xdr:colOff>0</xdr:colOff>
                    <xdr:row>4245</xdr:row>
                    <xdr:rowOff>171450</xdr:rowOff>
                  </to>
                </anchor>
              </controlPr>
            </control>
          </mc:Choice>
        </mc:AlternateContent>
        <mc:AlternateContent xmlns:mc="http://schemas.openxmlformats.org/markup-compatibility/2006">
          <mc:Choice Requires="x14">
            <control shapeId="12996" r:id="rId2485" name="Button 1732">
              <controlPr defaultSize="0" autoFill="0" autoLine="0" autoPict="0" macro="[0]!Sheet1.deleteRow">
                <anchor moveWithCells="1" sizeWithCells="1">
                  <from>
                    <xdr:col>6</xdr:col>
                    <xdr:colOff>0</xdr:colOff>
                    <xdr:row>4246</xdr:row>
                    <xdr:rowOff>0</xdr:rowOff>
                  </from>
                  <to>
                    <xdr:col>7</xdr:col>
                    <xdr:colOff>0</xdr:colOff>
                    <xdr:row>4246</xdr:row>
                    <xdr:rowOff>165100</xdr:rowOff>
                  </to>
                </anchor>
              </controlPr>
            </control>
          </mc:Choice>
        </mc:AlternateContent>
        <mc:AlternateContent xmlns:mc="http://schemas.openxmlformats.org/markup-compatibility/2006">
          <mc:Choice Requires="x14">
            <control shapeId="12995" r:id="rId2486" name="Button 1731">
              <controlPr defaultSize="0" autoFill="0" autoLine="0" autoPict="0" macro="[0]!Sheet1.deleteProcedure">
                <anchor moveWithCells="1" sizeWithCells="1">
                  <from>
                    <xdr:col>6</xdr:col>
                    <xdr:colOff>0</xdr:colOff>
                    <xdr:row>4249</xdr:row>
                    <xdr:rowOff>0</xdr:rowOff>
                  </from>
                  <to>
                    <xdr:col>7</xdr:col>
                    <xdr:colOff>0</xdr:colOff>
                    <xdr:row>4250</xdr:row>
                    <xdr:rowOff>0</xdr:rowOff>
                  </to>
                </anchor>
              </controlPr>
            </control>
          </mc:Choice>
        </mc:AlternateContent>
        <mc:AlternateContent xmlns:mc="http://schemas.openxmlformats.org/markup-compatibility/2006">
          <mc:Choice Requires="x14">
            <control shapeId="12994" r:id="rId2487" name="Button 1730">
              <controlPr defaultSize="0" autoFill="0" autoLine="0" autoPict="0" macro="[0]!Sheet1.InsertNewTableRow">
                <anchor moveWithCells="1" sizeWithCells="1">
                  <from>
                    <xdr:col>6</xdr:col>
                    <xdr:colOff>0</xdr:colOff>
                    <xdr:row>4256</xdr:row>
                    <xdr:rowOff>0</xdr:rowOff>
                  </from>
                  <to>
                    <xdr:col>7</xdr:col>
                    <xdr:colOff>0</xdr:colOff>
                    <xdr:row>4256</xdr:row>
                    <xdr:rowOff>171450</xdr:rowOff>
                  </to>
                </anchor>
              </controlPr>
            </control>
          </mc:Choice>
        </mc:AlternateContent>
        <mc:AlternateContent xmlns:mc="http://schemas.openxmlformats.org/markup-compatibility/2006">
          <mc:Choice Requires="x14">
            <control shapeId="12993" r:id="rId2488" name="Button 1729">
              <controlPr defaultSize="0" autoFill="0" autoLine="0" autoPict="0" macro="[0]!Sheet1.deleteRow">
                <anchor moveWithCells="1" sizeWithCells="1">
                  <from>
                    <xdr:col>6</xdr:col>
                    <xdr:colOff>0</xdr:colOff>
                    <xdr:row>4257</xdr:row>
                    <xdr:rowOff>0</xdr:rowOff>
                  </from>
                  <to>
                    <xdr:col>7</xdr:col>
                    <xdr:colOff>0</xdr:colOff>
                    <xdr:row>4257</xdr:row>
                    <xdr:rowOff>165100</xdr:rowOff>
                  </to>
                </anchor>
              </controlPr>
            </control>
          </mc:Choice>
        </mc:AlternateContent>
        <mc:AlternateContent xmlns:mc="http://schemas.openxmlformats.org/markup-compatibility/2006">
          <mc:Choice Requires="x14">
            <control shapeId="12992" r:id="rId2489" name="Button 1728">
              <controlPr defaultSize="0" autoFill="0" autoLine="0" autoPict="0" macro="[0]!Sheet1.deleteRow">
                <anchor moveWithCells="1" sizeWithCells="1">
                  <from>
                    <xdr:col>6</xdr:col>
                    <xdr:colOff>0</xdr:colOff>
                    <xdr:row>4258</xdr:row>
                    <xdr:rowOff>0</xdr:rowOff>
                  </from>
                  <to>
                    <xdr:col>7</xdr:col>
                    <xdr:colOff>0</xdr:colOff>
                    <xdr:row>4258</xdr:row>
                    <xdr:rowOff>165100</xdr:rowOff>
                  </to>
                </anchor>
              </controlPr>
            </control>
          </mc:Choice>
        </mc:AlternateContent>
        <mc:AlternateContent xmlns:mc="http://schemas.openxmlformats.org/markup-compatibility/2006">
          <mc:Choice Requires="x14">
            <control shapeId="12991" r:id="rId2490" name="Button 1727">
              <controlPr defaultSize="0" autoFill="0" autoLine="0" autoPict="0" macro="[0]!Sheet1.deleteProcedure">
                <anchor moveWithCells="1" sizeWithCells="1">
                  <from>
                    <xdr:col>6</xdr:col>
                    <xdr:colOff>0</xdr:colOff>
                    <xdr:row>4261</xdr:row>
                    <xdr:rowOff>0</xdr:rowOff>
                  </from>
                  <to>
                    <xdr:col>7</xdr:col>
                    <xdr:colOff>0</xdr:colOff>
                    <xdr:row>4262</xdr:row>
                    <xdr:rowOff>0</xdr:rowOff>
                  </to>
                </anchor>
              </controlPr>
            </control>
          </mc:Choice>
        </mc:AlternateContent>
        <mc:AlternateContent xmlns:mc="http://schemas.openxmlformats.org/markup-compatibility/2006">
          <mc:Choice Requires="x14">
            <control shapeId="12990" r:id="rId2491" name="Button 1726">
              <controlPr defaultSize="0" autoFill="0" autoLine="0" autoPict="0" macro="[0]!Sheet1.InsertNewTableRow">
                <anchor moveWithCells="1" sizeWithCells="1">
                  <from>
                    <xdr:col>6</xdr:col>
                    <xdr:colOff>0</xdr:colOff>
                    <xdr:row>4268</xdr:row>
                    <xdr:rowOff>0</xdr:rowOff>
                  </from>
                  <to>
                    <xdr:col>7</xdr:col>
                    <xdr:colOff>0</xdr:colOff>
                    <xdr:row>4268</xdr:row>
                    <xdr:rowOff>171450</xdr:rowOff>
                  </to>
                </anchor>
              </controlPr>
            </control>
          </mc:Choice>
        </mc:AlternateContent>
        <mc:AlternateContent xmlns:mc="http://schemas.openxmlformats.org/markup-compatibility/2006">
          <mc:Choice Requires="x14">
            <control shapeId="12989" r:id="rId2492" name="Button 1725">
              <controlPr defaultSize="0" autoFill="0" autoLine="0" autoPict="0" macro="[0]!Sheet1.deleteRow">
                <anchor moveWithCells="1" sizeWithCells="1">
                  <from>
                    <xdr:col>6</xdr:col>
                    <xdr:colOff>0</xdr:colOff>
                    <xdr:row>4269</xdr:row>
                    <xdr:rowOff>0</xdr:rowOff>
                  </from>
                  <to>
                    <xdr:col>7</xdr:col>
                    <xdr:colOff>0</xdr:colOff>
                    <xdr:row>4269</xdr:row>
                    <xdr:rowOff>165100</xdr:rowOff>
                  </to>
                </anchor>
              </controlPr>
            </control>
          </mc:Choice>
        </mc:AlternateContent>
        <mc:AlternateContent xmlns:mc="http://schemas.openxmlformats.org/markup-compatibility/2006">
          <mc:Choice Requires="x14">
            <control shapeId="12988" r:id="rId2493" name="Button 1724">
              <controlPr defaultSize="0" autoFill="0" autoLine="0" autoPict="0" macro="[0]!Sheet1.deleteProcedure">
                <anchor moveWithCells="1" sizeWithCells="1">
                  <from>
                    <xdr:col>6</xdr:col>
                    <xdr:colOff>0</xdr:colOff>
                    <xdr:row>4272</xdr:row>
                    <xdr:rowOff>0</xdr:rowOff>
                  </from>
                  <to>
                    <xdr:col>7</xdr:col>
                    <xdr:colOff>0</xdr:colOff>
                    <xdr:row>4273</xdr:row>
                    <xdr:rowOff>0</xdr:rowOff>
                  </to>
                </anchor>
              </controlPr>
            </control>
          </mc:Choice>
        </mc:AlternateContent>
        <mc:AlternateContent xmlns:mc="http://schemas.openxmlformats.org/markup-compatibility/2006">
          <mc:Choice Requires="x14">
            <control shapeId="12987" r:id="rId2494" name="Button 1723">
              <controlPr defaultSize="0" autoFill="0" autoLine="0" autoPict="0" macro="[0]!Sheet1.InsertNewTableRow">
                <anchor moveWithCells="1" sizeWithCells="1">
                  <from>
                    <xdr:col>6</xdr:col>
                    <xdr:colOff>0</xdr:colOff>
                    <xdr:row>4279</xdr:row>
                    <xdr:rowOff>0</xdr:rowOff>
                  </from>
                  <to>
                    <xdr:col>7</xdr:col>
                    <xdr:colOff>0</xdr:colOff>
                    <xdr:row>4279</xdr:row>
                    <xdr:rowOff>171450</xdr:rowOff>
                  </to>
                </anchor>
              </controlPr>
            </control>
          </mc:Choice>
        </mc:AlternateContent>
        <mc:AlternateContent xmlns:mc="http://schemas.openxmlformats.org/markup-compatibility/2006">
          <mc:Choice Requires="x14">
            <control shapeId="12986" r:id="rId2495" name="Button 1722">
              <controlPr defaultSize="0" autoFill="0" autoLine="0" autoPict="0" macro="[0]!Sheet1.deleteRow">
                <anchor moveWithCells="1" sizeWithCells="1">
                  <from>
                    <xdr:col>6</xdr:col>
                    <xdr:colOff>0</xdr:colOff>
                    <xdr:row>4280</xdr:row>
                    <xdr:rowOff>0</xdr:rowOff>
                  </from>
                  <to>
                    <xdr:col>7</xdr:col>
                    <xdr:colOff>0</xdr:colOff>
                    <xdr:row>4280</xdr:row>
                    <xdr:rowOff>165100</xdr:rowOff>
                  </to>
                </anchor>
              </controlPr>
            </control>
          </mc:Choice>
        </mc:AlternateContent>
        <mc:AlternateContent xmlns:mc="http://schemas.openxmlformats.org/markup-compatibility/2006">
          <mc:Choice Requires="x14">
            <control shapeId="12985" r:id="rId2496" name="Button 1721">
              <controlPr defaultSize="0" autoFill="0" autoLine="0" autoPict="0" macro="[0]!Sheet1.deleteProcedure">
                <anchor moveWithCells="1" sizeWithCells="1">
                  <from>
                    <xdr:col>6</xdr:col>
                    <xdr:colOff>0</xdr:colOff>
                    <xdr:row>4283</xdr:row>
                    <xdr:rowOff>0</xdr:rowOff>
                  </from>
                  <to>
                    <xdr:col>7</xdr:col>
                    <xdr:colOff>0</xdr:colOff>
                    <xdr:row>4284</xdr:row>
                    <xdr:rowOff>0</xdr:rowOff>
                  </to>
                </anchor>
              </controlPr>
            </control>
          </mc:Choice>
        </mc:AlternateContent>
        <mc:AlternateContent xmlns:mc="http://schemas.openxmlformats.org/markup-compatibility/2006">
          <mc:Choice Requires="x14">
            <control shapeId="12984" r:id="rId2497" name="Button 1720">
              <controlPr defaultSize="0" autoFill="0" autoLine="0" autoPict="0" macro="[0]!Sheet1.InsertNewTableRow">
                <anchor moveWithCells="1" sizeWithCells="1">
                  <from>
                    <xdr:col>6</xdr:col>
                    <xdr:colOff>0</xdr:colOff>
                    <xdr:row>4290</xdr:row>
                    <xdr:rowOff>0</xdr:rowOff>
                  </from>
                  <to>
                    <xdr:col>7</xdr:col>
                    <xdr:colOff>0</xdr:colOff>
                    <xdr:row>4290</xdr:row>
                    <xdr:rowOff>171450</xdr:rowOff>
                  </to>
                </anchor>
              </controlPr>
            </control>
          </mc:Choice>
        </mc:AlternateContent>
        <mc:AlternateContent xmlns:mc="http://schemas.openxmlformats.org/markup-compatibility/2006">
          <mc:Choice Requires="x14">
            <control shapeId="12983" r:id="rId2498" name="Button 1719">
              <controlPr defaultSize="0" autoFill="0" autoLine="0" autoPict="0" macro="[0]!Sheet1.deleteRow">
                <anchor moveWithCells="1" sizeWithCells="1">
                  <from>
                    <xdr:col>6</xdr:col>
                    <xdr:colOff>0</xdr:colOff>
                    <xdr:row>4291</xdr:row>
                    <xdr:rowOff>0</xdr:rowOff>
                  </from>
                  <to>
                    <xdr:col>7</xdr:col>
                    <xdr:colOff>0</xdr:colOff>
                    <xdr:row>4291</xdr:row>
                    <xdr:rowOff>165100</xdr:rowOff>
                  </to>
                </anchor>
              </controlPr>
            </control>
          </mc:Choice>
        </mc:AlternateContent>
        <mc:AlternateContent xmlns:mc="http://schemas.openxmlformats.org/markup-compatibility/2006">
          <mc:Choice Requires="x14">
            <control shapeId="12982" r:id="rId2499" name="Button 1718">
              <controlPr defaultSize="0" autoFill="0" autoLine="0" autoPict="0" macro="[0]!Sheet1.deleteProcedure">
                <anchor moveWithCells="1" sizeWithCells="1">
                  <from>
                    <xdr:col>6</xdr:col>
                    <xdr:colOff>0</xdr:colOff>
                    <xdr:row>4294</xdr:row>
                    <xdr:rowOff>0</xdr:rowOff>
                  </from>
                  <to>
                    <xdr:col>7</xdr:col>
                    <xdr:colOff>0</xdr:colOff>
                    <xdr:row>4295</xdr:row>
                    <xdr:rowOff>0</xdr:rowOff>
                  </to>
                </anchor>
              </controlPr>
            </control>
          </mc:Choice>
        </mc:AlternateContent>
        <mc:AlternateContent xmlns:mc="http://schemas.openxmlformats.org/markup-compatibility/2006">
          <mc:Choice Requires="x14">
            <control shapeId="12981" r:id="rId2500" name="Button 1717">
              <controlPr defaultSize="0" autoFill="0" autoLine="0" autoPict="0" macro="[0]!Sheet1.InsertNewTableRow">
                <anchor moveWithCells="1" sizeWithCells="1">
                  <from>
                    <xdr:col>6</xdr:col>
                    <xdr:colOff>0</xdr:colOff>
                    <xdr:row>4301</xdr:row>
                    <xdr:rowOff>0</xdr:rowOff>
                  </from>
                  <to>
                    <xdr:col>7</xdr:col>
                    <xdr:colOff>0</xdr:colOff>
                    <xdr:row>4301</xdr:row>
                    <xdr:rowOff>171450</xdr:rowOff>
                  </to>
                </anchor>
              </controlPr>
            </control>
          </mc:Choice>
        </mc:AlternateContent>
        <mc:AlternateContent xmlns:mc="http://schemas.openxmlformats.org/markup-compatibility/2006">
          <mc:Choice Requires="x14">
            <control shapeId="12980" r:id="rId2501" name="Button 1716">
              <controlPr defaultSize="0" autoFill="0" autoLine="0" autoPict="0" macro="[0]!Sheet1.deleteRow">
                <anchor moveWithCells="1" sizeWithCells="1">
                  <from>
                    <xdr:col>6</xdr:col>
                    <xdr:colOff>0</xdr:colOff>
                    <xdr:row>4302</xdr:row>
                    <xdr:rowOff>0</xdr:rowOff>
                  </from>
                  <to>
                    <xdr:col>7</xdr:col>
                    <xdr:colOff>0</xdr:colOff>
                    <xdr:row>4302</xdr:row>
                    <xdr:rowOff>165100</xdr:rowOff>
                  </to>
                </anchor>
              </controlPr>
            </control>
          </mc:Choice>
        </mc:AlternateContent>
        <mc:AlternateContent xmlns:mc="http://schemas.openxmlformats.org/markup-compatibility/2006">
          <mc:Choice Requires="x14">
            <control shapeId="12979" r:id="rId2502" name="Button 1715">
              <controlPr defaultSize="0" autoFill="0" autoLine="0" autoPict="0" macro="[0]!Sheet1.deleteProcedure">
                <anchor moveWithCells="1" sizeWithCells="1">
                  <from>
                    <xdr:col>6</xdr:col>
                    <xdr:colOff>0</xdr:colOff>
                    <xdr:row>4305</xdr:row>
                    <xdr:rowOff>0</xdr:rowOff>
                  </from>
                  <to>
                    <xdr:col>7</xdr:col>
                    <xdr:colOff>0</xdr:colOff>
                    <xdr:row>4306</xdr:row>
                    <xdr:rowOff>0</xdr:rowOff>
                  </to>
                </anchor>
              </controlPr>
            </control>
          </mc:Choice>
        </mc:AlternateContent>
        <mc:AlternateContent xmlns:mc="http://schemas.openxmlformats.org/markup-compatibility/2006">
          <mc:Choice Requires="x14">
            <control shapeId="12978" r:id="rId2503" name="Button 1714">
              <controlPr defaultSize="0" autoFill="0" autoLine="0" autoPict="0" macro="[0]!Sheet1.InsertNewTableRow">
                <anchor moveWithCells="1" sizeWithCells="1">
                  <from>
                    <xdr:col>6</xdr:col>
                    <xdr:colOff>0</xdr:colOff>
                    <xdr:row>4312</xdr:row>
                    <xdr:rowOff>0</xdr:rowOff>
                  </from>
                  <to>
                    <xdr:col>7</xdr:col>
                    <xdr:colOff>0</xdr:colOff>
                    <xdr:row>4312</xdr:row>
                    <xdr:rowOff>171450</xdr:rowOff>
                  </to>
                </anchor>
              </controlPr>
            </control>
          </mc:Choice>
        </mc:AlternateContent>
        <mc:AlternateContent xmlns:mc="http://schemas.openxmlformats.org/markup-compatibility/2006">
          <mc:Choice Requires="x14">
            <control shapeId="12977" r:id="rId2504" name="Button 1713">
              <controlPr defaultSize="0" autoFill="0" autoLine="0" autoPict="0" macro="[0]!Sheet1.deleteRow">
                <anchor moveWithCells="1" sizeWithCells="1">
                  <from>
                    <xdr:col>6</xdr:col>
                    <xdr:colOff>0</xdr:colOff>
                    <xdr:row>4313</xdr:row>
                    <xdr:rowOff>0</xdr:rowOff>
                  </from>
                  <to>
                    <xdr:col>7</xdr:col>
                    <xdr:colOff>0</xdr:colOff>
                    <xdr:row>4313</xdr:row>
                    <xdr:rowOff>165100</xdr:rowOff>
                  </to>
                </anchor>
              </controlPr>
            </control>
          </mc:Choice>
        </mc:AlternateContent>
        <mc:AlternateContent xmlns:mc="http://schemas.openxmlformats.org/markup-compatibility/2006">
          <mc:Choice Requires="x14">
            <control shapeId="12976" r:id="rId2505" name="Button 1712">
              <controlPr defaultSize="0" autoFill="0" autoLine="0" autoPict="0" macro="[0]!Sheet1.deleteRow">
                <anchor moveWithCells="1" sizeWithCells="1">
                  <from>
                    <xdr:col>6</xdr:col>
                    <xdr:colOff>0</xdr:colOff>
                    <xdr:row>4314</xdr:row>
                    <xdr:rowOff>0</xdr:rowOff>
                  </from>
                  <to>
                    <xdr:col>7</xdr:col>
                    <xdr:colOff>0</xdr:colOff>
                    <xdr:row>4314</xdr:row>
                    <xdr:rowOff>165100</xdr:rowOff>
                  </to>
                </anchor>
              </controlPr>
            </control>
          </mc:Choice>
        </mc:AlternateContent>
        <mc:AlternateContent xmlns:mc="http://schemas.openxmlformats.org/markup-compatibility/2006">
          <mc:Choice Requires="x14">
            <control shapeId="12975" r:id="rId2506" name="Button 1711">
              <controlPr defaultSize="0" autoFill="0" autoLine="0" autoPict="0" macro="[0]!Sheet1.deleteRow">
                <anchor moveWithCells="1" sizeWithCells="1">
                  <from>
                    <xdr:col>6</xdr:col>
                    <xdr:colOff>0</xdr:colOff>
                    <xdr:row>4315</xdr:row>
                    <xdr:rowOff>0</xdr:rowOff>
                  </from>
                  <to>
                    <xdr:col>7</xdr:col>
                    <xdr:colOff>0</xdr:colOff>
                    <xdr:row>4315</xdr:row>
                    <xdr:rowOff>165100</xdr:rowOff>
                  </to>
                </anchor>
              </controlPr>
            </control>
          </mc:Choice>
        </mc:AlternateContent>
        <mc:AlternateContent xmlns:mc="http://schemas.openxmlformats.org/markup-compatibility/2006">
          <mc:Choice Requires="x14">
            <control shapeId="12974" r:id="rId2507" name="Button 1710">
              <controlPr defaultSize="0" autoFill="0" autoLine="0" autoPict="0" macro="[0]!Sheet1.deleteRow">
                <anchor moveWithCells="1" sizeWithCells="1">
                  <from>
                    <xdr:col>6</xdr:col>
                    <xdr:colOff>0</xdr:colOff>
                    <xdr:row>4316</xdr:row>
                    <xdr:rowOff>0</xdr:rowOff>
                  </from>
                  <to>
                    <xdr:col>7</xdr:col>
                    <xdr:colOff>0</xdr:colOff>
                    <xdr:row>4316</xdr:row>
                    <xdr:rowOff>165100</xdr:rowOff>
                  </to>
                </anchor>
              </controlPr>
            </control>
          </mc:Choice>
        </mc:AlternateContent>
        <mc:AlternateContent xmlns:mc="http://schemas.openxmlformats.org/markup-compatibility/2006">
          <mc:Choice Requires="x14">
            <control shapeId="12973" r:id="rId2508" name="Button 1709">
              <controlPr defaultSize="0" autoFill="0" autoLine="0" autoPict="0" macro="[0]!Sheet1.deleteRow">
                <anchor moveWithCells="1" sizeWithCells="1">
                  <from>
                    <xdr:col>6</xdr:col>
                    <xdr:colOff>0</xdr:colOff>
                    <xdr:row>4317</xdr:row>
                    <xdr:rowOff>0</xdr:rowOff>
                  </from>
                  <to>
                    <xdr:col>7</xdr:col>
                    <xdr:colOff>0</xdr:colOff>
                    <xdr:row>4317</xdr:row>
                    <xdr:rowOff>165100</xdr:rowOff>
                  </to>
                </anchor>
              </controlPr>
            </control>
          </mc:Choice>
        </mc:AlternateContent>
        <mc:AlternateContent xmlns:mc="http://schemas.openxmlformats.org/markup-compatibility/2006">
          <mc:Choice Requires="x14">
            <control shapeId="12972" r:id="rId2509" name="Button 1708">
              <controlPr defaultSize="0" autoFill="0" autoLine="0" autoPict="0" macro="[0]!Sheet1.deleteRow">
                <anchor moveWithCells="1" sizeWithCells="1">
                  <from>
                    <xdr:col>6</xdr:col>
                    <xdr:colOff>0</xdr:colOff>
                    <xdr:row>4318</xdr:row>
                    <xdr:rowOff>0</xdr:rowOff>
                  </from>
                  <to>
                    <xdr:col>7</xdr:col>
                    <xdr:colOff>0</xdr:colOff>
                    <xdr:row>4318</xdr:row>
                    <xdr:rowOff>165100</xdr:rowOff>
                  </to>
                </anchor>
              </controlPr>
            </control>
          </mc:Choice>
        </mc:AlternateContent>
        <mc:AlternateContent xmlns:mc="http://schemas.openxmlformats.org/markup-compatibility/2006">
          <mc:Choice Requires="x14">
            <control shapeId="12971" r:id="rId2510" name="Button 1707">
              <controlPr defaultSize="0" autoFill="0" autoLine="0" autoPict="0" macro="[0]!Sheet1.deleteRow">
                <anchor moveWithCells="1" sizeWithCells="1">
                  <from>
                    <xdr:col>6</xdr:col>
                    <xdr:colOff>0</xdr:colOff>
                    <xdr:row>4319</xdr:row>
                    <xdr:rowOff>0</xdr:rowOff>
                  </from>
                  <to>
                    <xdr:col>7</xdr:col>
                    <xdr:colOff>0</xdr:colOff>
                    <xdr:row>4319</xdr:row>
                    <xdr:rowOff>165100</xdr:rowOff>
                  </to>
                </anchor>
              </controlPr>
            </control>
          </mc:Choice>
        </mc:AlternateContent>
        <mc:AlternateContent xmlns:mc="http://schemas.openxmlformats.org/markup-compatibility/2006">
          <mc:Choice Requires="x14">
            <control shapeId="12970" r:id="rId2511" name="Button 1706">
              <controlPr defaultSize="0" autoFill="0" autoLine="0" autoPict="0" macro="[0]!Sheet1.deleteRow">
                <anchor moveWithCells="1" sizeWithCells="1">
                  <from>
                    <xdr:col>6</xdr:col>
                    <xdr:colOff>0</xdr:colOff>
                    <xdr:row>4320</xdr:row>
                    <xdr:rowOff>0</xdr:rowOff>
                  </from>
                  <to>
                    <xdr:col>7</xdr:col>
                    <xdr:colOff>0</xdr:colOff>
                    <xdr:row>4320</xdr:row>
                    <xdr:rowOff>165100</xdr:rowOff>
                  </to>
                </anchor>
              </controlPr>
            </control>
          </mc:Choice>
        </mc:AlternateContent>
        <mc:AlternateContent xmlns:mc="http://schemas.openxmlformats.org/markup-compatibility/2006">
          <mc:Choice Requires="x14">
            <control shapeId="12969" r:id="rId2512" name="Button 1705">
              <controlPr defaultSize="0" autoFill="0" autoLine="0" autoPict="0" macro="[0]!Sheet1.deleteRow">
                <anchor moveWithCells="1" sizeWithCells="1">
                  <from>
                    <xdr:col>6</xdr:col>
                    <xdr:colOff>0</xdr:colOff>
                    <xdr:row>4321</xdr:row>
                    <xdr:rowOff>0</xdr:rowOff>
                  </from>
                  <to>
                    <xdr:col>7</xdr:col>
                    <xdr:colOff>0</xdr:colOff>
                    <xdr:row>4321</xdr:row>
                    <xdr:rowOff>165100</xdr:rowOff>
                  </to>
                </anchor>
              </controlPr>
            </control>
          </mc:Choice>
        </mc:AlternateContent>
        <mc:AlternateContent xmlns:mc="http://schemas.openxmlformats.org/markup-compatibility/2006">
          <mc:Choice Requires="x14">
            <control shapeId="12968" r:id="rId2513" name="Button 1704">
              <controlPr defaultSize="0" autoFill="0" autoLine="0" autoPict="0" macro="[0]!Sheet1.deleteRow">
                <anchor moveWithCells="1" sizeWithCells="1">
                  <from>
                    <xdr:col>6</xdr:col>
                    <xdr:colOff>0</xdr:colOff>
                    <xdr:row>4322</xdr:row>
                    <xdr:rowOff>0</xdr:rowOff>
                  </from>
                  <to>
                    <xdr:col>7</xdr:col>
                    <xdr:colOff>0</xdr:colOff>
                    <xdr:row>4322</xdr:row>
                    <xdr:rowOff>165100</xdr:rowOff>
                  </to>
                </anchor>
              </controlPr>
            </control>
          </mc:Choice>
        </mc:AlternateContent>
        <mc:AlternateContent xmlns:mc="http://schemas.openxmlformats.org/markup-compatibility/2006">
          <mc:Choice Requires="x14">
            <control shapeId="12967" r:id="rId2514" name="Button 1703">
              <controlPr defaultSize="0" autoFill="0" autoLine="0" autoPict="0" macro="[0]!Sheet1.deleteRow">
                <anchor moveWithCells="1" sizeWithCells="1">
                  <from>
                    <xdr:col>6</xdr:col>
                    <xdr:colOff>0</xdr:colOff>
                    <xdr:row>4323</xdr:row>
                    <xdr:rowOff>0</xdr:rowOff>
                  </from>
                  <to>
                    <xdr:col>7</xdr:col>
                    <xdr:colOff>0</xdr:colOff>
                    <xdr:row>4323</xdr:row>
                    <xdr:rowOff>165100</xdr:rowOff>
                  </to>
                </anchor>
              </controlPr>
            </control>
          </mc:Choice>
        </mc:AlternateContent>
        <mc:AlternateContent xmlns:mc="http://schemas.openxmlformats.org/markup-compatibility/2006">
          <mc:Choice Requires="x14">
            <control shapeId="12966" r:id="rId2515" name="Button 1702">
              <controlPr defaultSize="0" autoFill="0" autoLine="0" autoPict="0" macro="[0]!Sheet1.deleteRow">
                <anchor moveWithCells="1" sizeWithCells="1">
                  <from>
                    <xdr:col>6</xdr:col>
                    <xdr:colOff>0</xdr:colOff>
                    <xdr:row>4324</xdr:row>
                    <xdr:rowOff>0</xdr:rowOff>
                  </from>
                  <to>
                    <xdr:col>7</xdr:col>
                    <xdr:colOff>0</xdr:colOff>
                    <xdr:row>4324</xdr:row>
                    <xdr:rowOff>165100</xdr:rowOff>
                  </to>
                </anchor>
              </controlPr>
            </control>
          </mc:Choice>
        </mc:AlternateContent>
        <mc:AlternateContent xmlns:mc="http://schemas.openxmlformats.org/markup-compatibility/2006">
          <mc:Choice Requires="x14">
            <control shapeId="12965" r:id="rId2516" name="Button 1701">
              <controlPr defaultSize="0" autoFill="0" autoLine="0" autoPict="0" macro="[0]!Sheet1.deleteRow">
                <anchor moveWithCells="1" sizeWithCells="1">
                  <from>
                    <xdr:col>6</xdr:col>
                    <xdr:colOff>0</xdr:colOff>
                    <xdr:row>4325</xdr:row>
                    <xdr:rowOff>0</xdr:rowOff>
                  </from>
                  <to>
                    <xdr:col>7</xdr:col>
                    <xdr:colOff>0</xdr:colOff>
                    <xdr:row>4325</xdr:row>
                    <xdr:rowOff>165100</xdr:rowOff>
                  </to>
                </anchor>
              </controlPr>
            </control>
          </mc:Choice>
        </mc:AlternateContent>
        <mc:AlternateContent xmlns:mc="http://schemas.openxmlformats.org/markup-compatibility/2006">
          <mc:Choice Requires="x14">
            <control shapeId="12964" r:id="rId2517" name="Button 1700">
              <controlPr defaultSize="0" autoFill="0" autoLine="0" autoPict="0" macro="[0]!Sheet1.deleteRow">
                <anchor moveWithCells="1" sizeWithCells="1">
                  <from>
                    <xdr:col>6</xdr:col>
                    <xdr:colOff>0</xdr:colOff>
                    <xdr:row>4326</xdr:row>
                    <xdr:rowOff>0</xdr:rowOff>
                  </from>
                  <to>
                    <xdr:col>7</xdr:col>
                    <xdr:colOff>0</xdr:colOff>
                    <xdr:row>4326</xdr:row>
                    <xdr:rowOff>165100</xdr:rowOff>
                  </to>
                </anchor>
              </controlPr>
            </control>
          </mc:Choice>
        </mc:AlternateContent>
        <mc:AlternateContent xmlns:mc="http://schemas.openxmlformats.org/markup-compatibility/2006">
          <mc:Choice Requires="x14">
            <control shapeId="12963" r:id="rId2518" name="Button 1699">
              <controlPr defaultSize="0" autoFill="0" autoLine="0" autoPict="0" macro="[0]!Sheet1.deleteProcedure">
                <anchor moveWithCells="1" sizeWithCells="1">
                  <from>
                    <xdr:col>6</xdr:col>
                    <xdr:colOff>0</xdr:colOff>
                    <xdr:row>4329</xdr:row>
                    <xdr:rowOff>0</xdr:rowOff>
                  </from>
                  <to>
                    <xdr:col>7</xdr:col>
                    <xdr:colOff>0</xdr:colOff>
                    <xdr:row>4330</xdr:row>
                    <xdr:rowOff>0</xdr:rowOff>
                  </to>
                </anchor>
              </controlPr>
            </control>
          </mc:Choice>
        </mc:AlternateContent>
        <mc:AlternateContent xmlns:mc="http://schemas.openxmlformats.org/markup-compatibility/2006">
          <mc:Choice Requires="x14">
            <control shapeId="12962" r:id="rId2519" name="Button 1698">
              <controlPr defaultSize="0" autoFill="0" autoLine="0" autoPict="0" macro="[0]!Sheet1.InsertNewTableRow">
                <anchor moveWithCells="1" sizeWithCells="1">
                  <from>
                    <xdr:col>6</xdr:col>
                    <xdr:colOff>0</xdr:colOff>
                    <xdr:row>4336</xdr:row>
                    <xdr:rowOff>0</xdr:rowOff>
                  </from>
                  <to>
                    <xdr:col>7</xdr:col>
                    <xdr:colOff>0</xdr:colOff>
                    <xdr:row>4336</xdr:row>
                    <xdr:rowOff>171450</xdr:rowOff>
                  </to>
                </anchor>
              </controlPr>
            </control>
          </mc:Choice>
        </mc:AlternateContent>
        <mc:AlternateContent xmlns:mc="http://schemas.openxmlformats.org/markup-compatibility/2006">
          <mc:Choice Requires="x14">
            <control shapeId="12961" r:id="rId2520" name="Button 1697">
              <controlPr defaultSize="0" autoFill="0" autoLine="0" autoPict="0" macro="[0]!Sheet1.deleteRow">
                <anchor moveWithCells="1" sizeWithCells="1">
                  <from>
                    <xdr:col>6</xdr:col>
                    <xdr:colOff>0</xdr:colOff>
                    <xdr:row>4337</xdr:row>
                    <xdr:rowOff>0</xdr:rowOff>
                  </from>
                  <to>
                    <xdr:col>7</xdr:col>
                    <xdr:colOff>0</xdr:colOff>
                    <xdr:row>4337</xdr:row>
                    <xdr:rowOff>165100</xdr:rowOff>
                  </to>
                </anchor>
              </controlPr>
            </control>
          </mc:Choice>
        </mc:AlternateContent>
        <mc:AlternateContent xmlns:mc="http://schemas.openxmlformats.org/markup-compatibility/2006">
          <mc:Choice Requires="x14">
            <control shapeId="12960" r:id="rId2521" name="Button 1696">
              <controlPr defaultSize="0" autoFill="0" autoLine="0" autoPict="0" macro="[0]!Sheet1.deleteRow">
                <anchor moveWithCells="1" sizeWithCells="1">
                  <from>
                    <xdr:col>6</xdr:col>
                    <xdr:colOff>0</xdr:colOff>
                    <xdr:row>4338</xdr:row>
                    <xdr:rowOff>0</xdr:rowOff>
                  </from>
                  <to>
                    <xdr:col>7</xdr:col>
                    <xdr:colOff>0</xdr:colOff>
                    <xdr:row>4338</xdr:row>
                    <xdr:rowOff>165100</xdr:rowOff>
                  </to>
                </anchor>
              </controlPr>
            </control>
          </mc:Choice>
        </mc:AlternateContent>
        <mc:AlternateContent xmlns:mc="http://schemas.openxmlformats.org/markup-compatibility/2006">
          <mc:Choice Requires="x14">
            <control shapeId="12959" r:id="rId2522" name="Button 1695">
              <controlPr defaultSize="0" autoFill="0" autoLine="0" autoPict="0" macro="[0]!Sheet1.deleteRow">
                <anchor moveWithCells="1" sizeWithCells="1">
                  <from>
                    <xdr:col>6</xdr:col>
                    <xdr:colOff>0</xdr:colOff>
                    <xdr:row>4339</xdr:row>
                    <xdr:rowOff>0</xdr:rowOff>
                  </from>
                  <to>
                    <xdr:col>7</xdr:col>
                    <xdr:colOff>0</xdr:colOff>
                    <xdr:row>4339</xdr:row>
                    <xdr:rowOff>165100</xdr:rowOff>
                  </to>
                </anchor>
              </controlPr>
            </control>
          </mc:Choice>
        </mc:AlternateContent>
        <mc:AlternateContent xmlns:mc="http://schemas.openxmlformats.org/markup-compatibility/2006">
          <mc:Choice Requires="x14">
            <control shapeId="12958" r:id="rId2523" name="Button 1694">
              <controlPr defaultSize="0" autoFill="0" autoLine="0" autoPict="0" macro="[0]!Sheet1.deleteRow">
                <anchor moveWithCells="1" sizeWithCells="1">
                  <from>
                    <xdr:col>6</xdr:col>
                    <xdr:colOff>0</xdr:colOff>
                    <xdr:row>4340</xdr:row>
                    <xdr:rowOff>0</xdr:rowOff>
                  </from>
                  <to>
                    <xdr:col>7</xdr:col>
                    <xdr:colOff>0</xdr:colOff>
                    <xdr:row>4340</xdr:row>
                    <xdr:rowOff>165100</xdr:rowOff>
                  </to>
                </anchor>
              </controlPr>
            </control>
          </mc:Choice>
        </mc:AlternateContent>
        <mc:AlternateContent xmlns:mc="http://schemas.openxmlformats.org/markup-compatibility/2006">
          <mc:Choice Requires="x14">
            <control shapeId="12957" r:id="rId2524" name="Button 1693">
              <controlPr defaultSize="0" autoFill="0" autoLine="0" autoPict="0" macro="[0]!Sheet1.deleteRow">
                <anchor moveWithCells="1" sizeWithCells="1">
                  <from>
                    <xdr:col>6</xdr:col>
                    <xdr:colOff>0</xdr:colOff>
                    <xdr:row>4341</xdr:row>
                    <xdr:rowOff>0</xdr:rowOff>
                  </from>
                  <to>
                    <xdr:col>7</xdr:col>
                    <xdr:colOff>0</xdr:colOff>
                    <xdr:row>4341</xdr:row>
                    <xdr:rowOff>165100</xdr:rowOff>
                  </to>
                </anchor>
              </controlPr>
            </control>
          </mc:Choice>
        </mc:AlternateContent>
        <mc:AlternateContent xmlns:mc="http://schemas.openxmlformats.org/markup-compatibility/2006">
          <mc:Choice Requires="x14">
            <control shapeId="12956" r:id="rId2525" name="Button 1692">
              <controlPr defaultSize="0" autoFill="0" autoLine="0" autoPict="0" macro="[0]!Sheet1.deleteRow">
                <anchor moveWithCells="1" sizeWithCells="1">
                  <from>
                    <xdr:col>6</xdr:col>
                    <xdr:colOff>0</xdr:colOff>
                    <xdr:row>4342</xdr:row>
                    <xdr:rowOff>0</xdr:rowOff>
                  </from>
                  <to>
                    <xdr:col>7</xdr:col>
                    <xdr:colOff>0</xdr:colOff>
                    <xdr:row>4342</xdr:row>
                    <xdr:rowOff>165100</xdr:rowOff>
                  </to>
                </anchor>
              </controlPr>
            </control>
          </mc:Choice>
        </mc:AlternateContent>
        <mc:AlternateContent xmlns:mc="http://schemas.openxmlformats.org/markup-compatibility/2006">
          <mc:Choice Requires="x14">
            <control shapeId="12955" r:id="rId2526" name="Button 1691">
              <controlPr defaultSize="0" autoFill="0" autoLine="0" autoPict="0" macro="[0]!Sheet1.deleteRow">
                <anchor moveWithCells="1" sizeWithCells="1">
                  <from>
                    <xdr:col>6</xdr:col>
                    <xdr:colOff>0</xdr:colOff>
                    <xdr:row>4343</xdr:row>
                    <xdr:rowOff>0</xdr:rowOff>
                  </from>
                  <to>
                    <xdr:col>7</xdr:col>
                    <xdr:colOff>0</xdr:colOff>
                    <xdr:row>4343</xdr:row>
                    <xdr:rowOff>165100</xdr:rowOff>
                  </to>
                </anchor>
              </controlPr>
            </control>
          </mc:Choice>
        </mc:AlternateContent>
        <mc:AlternateContent xmlns:mc="http://schemas.openxmlformats.org/markup-compatibility/2006">
          <mc:Choice Requires="x14">
            <control shapeId="12954" r:id="rId2527" name="Button 1690">
              <controlPr defaultSize="0" autoFill="0" autoLine="0" autoPict="0" macro="[0]!Sheet1.deleteRow">
                <anchor moveWithCells="1" sizeWithCells="1">
                  <from>
                    <xdr:col>6</xdr:col>
                    <xdr:colOff>0</xdr:colOff>
                    <xdr:row>4344</xdr:row>
                    <xdr:rowOff>0</xdr:rowOff>
                  </from>
                  <to>
                    <xdr:col>7</xdr:col>
                    <xdr:colOff>0</xdr:colOff>
                    <xdr:row>4344</xdr:row>
                    <xdr:rowOff>165100</xdr:rowOff>
                  </to>
                </anchor>
              </controlPr>
            </control>
          </mc:Choice>
        </mc:AlternateContent>
        <mc:AlternateContent xmlns:mc="http://schemas.openxmlformats.org/markup-compatibility/2006">
          <mc:Choice Requires="x14">
            <control shapeId="12953" r:id="rId2528" name="Button 1689">
              <controlPr defaultSize="0" autoFill="0" autoLine="0" autoPict="0" macro="[0]!Sheet1.deleteRow">
                <anchor moveWithCells="1" sizeWithCells="1">
                  <from>
                    <xdr:col>6</xdr:col>
                    <xdr:colOff>0</xdr:colOff>
                    <xdr:row>4345</xdr:row>
                    <xdr:rowOff>0</xdr:rowOff>
                  </from>
                  <to>
                    <xdr:col>7</xdr:col>
                    <xdr:colOff>0</xdr:colOff>
                    <xdr:row>4345</xdr:row>
                    <xdr:rowOff>165100</xdr:rowOff>
                  </to>
                </anchor>
              </controlPr>
            </control>
          </mc:Choice>
        </mc:AlternateContent>
        <mc:AlternateContent xmlns:mc="http://schemas.openxmlformats.org/markup-compatibility/2006">
          <mc:Choice Requires="x14">
            <control shapeId="12952" r:id="rId2529" name="Button 1688">
              <controlPr defaultSize="0" autoFill="0" autoLine="0" autoPict="0" macro="[0]!Sheet1.deleteRow">
                <anchor moveWithCells="1" sizeWithCells="1">
                  <from>
                    <xdr:col>6</xdr:col>
                    <xdr:colOff>0</xdr:colOff>
                    <xdr:row>4346</xdr:row>
                    <xdr:rowOff>0</xdr:rowOff>
                  </from>
                  <to>
                    <xdr:col>7</xdr:col>
                    <xdr:colOff>0</xdr:colOff>
                    <xdr:row>4346</xdr:row>
                    <xdr:rowOff>165100</xdr:rowOff>
                  </to>
                </anchor>
              </controlPr>
            </control>
          </mc:Choice>
        </mc:AlternateContent>
        <mc:AlternateContent xmlns:mc="http://schemas.openxmlformats.org/markup-compatibility/2006">
          <mc:Choice Requires="x14">
            <control shapeId="12951" r:id="rId2530" name="Button 1687">
              <controlPr defaultSize="0" autoFill="0" autoLine="0" autoPict="0" macro="[0]!Sheet1.deleteProcedure">
                <anchor moveWithCells="1" sizeWithCells="1">
                  <from>
                    <xdr:col>6</xdr:col>
                    <xdr:colOff>0</xdr:colOff>
                    <xdr:row>4349</xdr:row>
                    <xdr:rowOff>0</xdr:rowOff>
                  </from>
                  <to>
                    <xdr:col>7</xdr:col>
                    <xdr:colOff>0</xdr:colOff>
                    <xdr:row>4350</xdr:row>
                    <xdr:rowOff>0</xdr:rowOff>
                  </to>
                </anchor>
              </controlPr>
            </control>
          </mc:Choice>
        </mc:AlternateContent>
        <mc:AlternateContent xmlns:mc="http://schemas.openxmlformats.org/markup-compatibility/2006">
          <mc:Choice Requires="x14">
            <control shapeId="12950" r:id="rId2531" name="Button 1686">
              <controlPr defaultSize="0" autoFill="0" autoLine="0" autoPict="0" macro="[0]!Sheet1.InsertNewTableRow">
                <anchor moveWithCells="1" sizeWithCells="1">
                  <from>
                    <xdr:col>6</xdr:col>
                    <xdr:colOff>0</xdr:colOff>
                    <xdr:row>4356</xdr:row>
                    <xdr:rowOff>0</xdr:rowOff>
                  </from>
                  <to>
                    <xdr:col>7</xdr:col>
                    <xdr:colOff>0</xdr:colOff>
                    <xdr:row>4356</xdr:row>
                    <xdr:rowOff>171450</xdr:rowOff>
                  </to>
                </anchor>
              </controlPr>
            </control>
          </mc:Choice>
        </mc:AlternateContent>
        <mc:AlternateContent xmlns:mc="http://schemas.openxmlformats.org/markup-compatibility/2006">
          <mc:Choice Requires="x14">
            <control shapeId="12949" r:id="rId2532" name="Button 1685">
              <controlPr defaultSize="0" autoFill="0" autoLine="0" autoPict="0" macro="[0]!Sheet1.deleteRow">
                <anchor moveWithCells="1" sizeWithCells="1">
                  <from>
                    <xdr:col>6</xdr:col>
                    <xdr:colOff>0</xdr:colOff>
                    <xdr:row>4357</xdr:row>
                    <xdr:rowOff>0</xdr:rowOff>
                  </from>
                  <to>
                    <xdr:col>7</xdr:col>
                    <xdr:colOff>0</xdr:colOff>
                    <xdr:row>4357</xdr:row>
                    <xdr:rowOff>165100</xdr:rowOff>
                  </to>
                </anchor>
              </controlPr>
            </control>
          </mc:Choice>
        </mc:AlternateContent>
        <mc:AlternateContent xmlns:mc="http://schemas.openxmlformats.org/markup-compatibility/2006">
          <mc:Choice Requires="x14">
            <control shapeId="12948" r:id="rId2533" name="Button 1684">
              <controlPr defaultSize="0" autoFill="0" autoLine="0" autoPict="0" macro="[0]!Sheet1.deleteProcedure">
                <anchor moveWithCells="1" sizeWithCells="1">
                  <from>
                    <xdr:col>6</xdr:col>
                    <xdr:colOff>0</xdr:colOff>
                    <xdr:row>4360</xdr:row>
                    <xdr:rowOff>0</xdr:rowOff>
                  </from>
                  <to>
                    <xdr:col>7</xdr:col>
                    <xdr:colOff>0</xdr:colOff>
                    <xdr:row>4361</xdr:row>
                    <xdr:rowOff>0</xdr:rowOff>
                  </to>
                </anchor>
              </controlPr>
            </control>
          </mc:Choice>
        </mc:AlternateContent>
        <mc:AlternateContent xmlns:mc="http://schemas.openxmlformats.org/markup-compatibility/2006">
          <mc:Choice Requires="x14">
            <control shapeId="12947" r:id="rId2534" name="Button 1683">
              <controlPr defaultSize="0" autoFill="0" autoLine="0" autoPict="0" macro="[0]!Sheet1.InsertNewTableRow">
                <anchor moveWithCells="1" sizeWithCells="1">
                  <from>
                    <xdr:col>6</xdr:col>
                    <xdr:colOff>0</xdr:colOff>
                    <xdr:row>4367</xdr:row>
                    <xdr:rowOff>0</xdr:rowOff>
                  </from>
                  <to>
                    <xdr:col>7</xdr:col>
                    <xdr:colOff>0</xdr:colOff>
                    <xdr:row>4367</xdr:row>
                    <xdr:rowOff>171450</xdr:rowOff>
                  </to>
                </anchor>
              </controlPr>
            </control>
          </mc:Choice>
        </mc:AlternateContent>
        <mc:AlternateContent xmlns:mc="http://schemas.openxmlformats.org/markup-compatibility/2006">
          <mc:Choice Requires="x14">
            <control shapeId="12946" r:id="rId2535" name="Button 1682">
              <controlPr defaultSize="0" autoFill="0" autoLine="0" autoPict="0" macro="[0]!Sheet1.deleteRow">
                <anchor moveWithCells="1" sizeWithCells="1">
                  <from>
                    <xdr:col>6</xdr:col>
                    <xdr:colOff>0</xdr:colOff>
                    <xdr:row>4368</xdr:row>
                    <xdr:rowOff>0</xdr:rowOff>
                  </from>
                  <to>
                    <xdr:col>7</xdr:col>
                    <xdr:colOff>0</xdr:colOff>
                    <xdr:row>4368</xdr:row>
                    <xdr:rowOff>165100</xdr:rowOff>
                  </to>
                </anchor>
              </controlPr>
            </control>
          </mc:Choice>
        </mc:AlternateContent>
        <mc:AlternateContent xmlns:mc="http://schemas.openxmlformats.org/markup-compatibility/2006">
          <mc:Choice Requires="x14">
            <control shapeId="12945" r:id="rId2536" name="Button 1681">
              <controlPr defaultSize="0" autoFill="0" autoLine="0" autoPict="0" macro="[0]!Sheet1.deleteProcedure">
                <anchor moveWithCells="1" sizeWithCells="1">
                  <from>
                    <xdr:col>6</xdr:col>
                    <xdr:colOff>0</xdr:colOff>
                    <xdr:row>4371</xdr:row>
                    <xdr:rowOff>0</xdr:rowOff>
                  </from>
                  <to>
                    <xdr:col>7</xdr:col>
                    <xdr:colOff>0</xdr:colOff>
                    <xdr:row>4372</xdr:row>
                    <xdr:rowOff>0</xdr:rowOff>
                  </to>
                </anchor>
              </controlPr>
            </control>
          </mc:Choice>
        </mc:AlternateContent>
        <mc:AlternateContent xmlns:mc="http://schemas.openxmlformats.org/markup-compatibility/2006">
          <mc:Choice Requires="x14">
            <control shapeId="12944" r:id="rId2537" name="Button 1680">
              <controlPr defaultSize="0" autoFill="0" autoLine="0" autoPict="0" macro="[0]!Sheet1.InsertNewTableRow">
                <anchor moveWithCells="1" sizeWithCells="1">
                  <from>
                    <xdr:col>6</xdr:col>
                    <xdr:colOff>0</xdr:colOff>
                    <xdr:row>4378</xdr:row>
                    <xdr:rowOff>0</xdr:rowOff>
                  </from>
                  <to>
                    <xdr:col>7</xdr:col>
                    <xdr:colOff>0</xdr:colOff>
                    <xdr:row>4378</xdr:row>
                    <xdr:rowOff>171450</xdr:rowOff>
                  </to>
                </anchor>
              </controlPr>
            </control>
          </mc:Choice>
        </mc:AlternateContent>
        <mc:AlternateContent xmlns:mc="http://schemas.openxmlformats.org/markup-compatibility/2006">
          <mc:Choice Requires="x14">
            <control shapeId="12943" r:id="rId2538" name="Button 1679">
              <controlPr defaultSize="0" autoFill="0" autoLine="0" autoPict="0" macro="[0]!Sheet1.deleteRow">
                <anchor moveWithCells="1" sizeWithCells="1">
                  <from>
                    <xdr:col>6</xdr:col>
                    <xdr:colOff>0</xdr:colOff>
                    <xdr:row>4379</xdr:row>
                    <xdr:rowOff>0</xdr:rowOff>
                  </from>
                  <to>
                    <xdr:col>7</xdr:col>
                    <xdr:colOff>0</xdr:colOff>
                    <xdr:row>4379</xdr:row>
                    <xdr:rowOff>165100</xdr:rowOff>
                  </to>
                </anchor>
              </controlPr>
            </control>
          </mc:Choice>
        </mc:AlternateContent>
        <mc:AlternateContent xmlns:mc="http://schemas.openxmlformats.org/markup-compatibility/2006">
          <mc:Choice Requires="x14">
            <control shapeId="12942" r:id="rId2539" name="Button 1678">
              <controlPr defaultSize="0" autoFill="0" autoLine="0" autoPict="0" macro="[0]!Sheet1.deleteRow">
                <anchor moveWithCells="1" sizeWithCells="1">
                  <from>
                    <xdr:col>6</xdr:col>
                    <xdr:colOff>0</xdr:colOff>
                    <xdr:row>4380</xdr:row>
                    <xdr:rowOff>0</xdr:rowOff>
                  </from>
                  <to>
                    <xdr:col>7</xdr:col>
                    <xdr:colOff>0</xdr:colOff>
                    <xdr:row>4380</xdr:row>
                    <xdr:rowOff>165100</xdr:rowOff>
                  </to>
                </anchor>
              </controlPr>
            </control>
          </mc:Choice>
        </mc:AlternateContent>
        <mc:AlternateContent xmlns:mc="http://schemas.openxmlformats.org/markup-compatibility/2006">
          <mc:Choice Requires="x14">
            <control shapeId="12941" r:id="rId2540" name="Button 1677">
              <controlPr defaultSize="0" autoFill="0" autoLine="0" autoPict="0" macro="[0]!Sheet1.deleteRow">
                <anchor moveWithCells="1" sizeWithCells="1">
                  <from>
                    <xdr:col>6</xdr:col>
                    <xdr:colOff>0</xdr:colOff>
                    <xdr:row>4381</xdr:row>
                    <xdr:rowOff>0</xdr:rowOff>
                  </from>
                  <to>
                    <xdr:col>7</xdr:col>
                    <xdr:colOff>0</xdr:colOff>
                    <xdr:row>4381</xdr:row>
                    <xdr:rowOff>165100</xdr:rowOff>
                  </to>
                </anchor>
              </controlPr>
            </control>
          </mc:Choice>
        </mc:AlternateContent>
        <mc:AlternateContent xmlns:mc="http://schemas.openxmlformats.org/markup-compatibility/2006">
          <mc:Choice Requires="x14">
            <control shapeId="12940" r:id="rId2541" name="Button 1676">
              <controlPr defaultSize="0" autoFill="0" autoLine="0" autoPict="0" macro="[0]!Sheet1.deleteProcedure">
                <anchor moveWithCells="1" sizeWithCells="1">
                  <from>
                    <xdr:col>6</xdr:col>
                    <xdr:colOff>0</xdr:colOff>
                    <xdr:row>4384</xdr:row>
                    <xdr:rowOff>0</xdr:rowOff>
                  </from>
                  <to>
                    <xdr:col>7</xdr:col>
                    <xdr:colOff>0</xdr:colOff>
                    <xdr:row>4385</xdr:row>
                    <xdr:rowOff>0</xdr:rowOff>
                  </to>
                </anchor>
              </controlPr>
            </control>
          </mc:Choice>
        </mc:AlternateContent>
        <mc:AlternateContent xmlns:mc="http://schemas.openxmlformats.org/markup-compatibility/2006">
          <mc:Choice Requires="x14">
            <control shapeId="12939" r:id="rId2542" name="Button 1675">
              <controlPr defaultSize="0" autoFill="0" autoLine="0" autoPict="0" macro="[0]!Sheet1.InsertNewTableRow">
                <anchor moveWithCells="1" sizeWithCells="1">
                  <from>
                    <xdr:col>6</xdr:col>
                    <xdr:colOff>0</xdr:colOff>
                    <xdr:row>4391</xdr:row>
                    <xdr:rowOff>0</xdr:rowOff>
                  </from>
                  <to>
                    <xdr:col>7</xdr:col>
                    <xdr:colOff>0</xdr:colOff>
                    <xdr:row>4391</xdr:row>
                    <xdr:rowOff>171450</xdr:rowOff>
                  </to>
                </anchor>
              </controlPr>
            </control>
          </mc:Choice>
        </mc:AlternateContent>
        <mc:AlternateContent xmlns:mc="http://schemas.openxmlformats.org/markup-compatibility/2006">
          <mc:Choice Requires="x14">
            <control shapeId="12938" r:id="rId2543" name="Button 1674">
              <controlPr defaultSize="0" autoFill="0" autoLine="0" autoPict="0" macro="[0]!Sheet1.deleteRow">
                <anchor moveWithCells="1" sizeWithCells="1">
                  <from>
                    <xdr:col>6</xdr:col>
                    <xdr:colOff>0</xdr:colOff>
                    <xdr:row>4392</xdr:row>
                    <xdr:rowOff>0</xdr:rowOff>
                  </from>
                  <to>
                    <xdr:col>7</xdr:col>
                    <xdr:colOff>0</xdr:colOff>
                    <xdr:row>4392</xdr:row>
                    <xdr:rowOff>165100</xdr:rowOff>
                  </to>
                </anchor>
              </controlPr>
            </control>
          </mc:Choice>
        </mc:AlternateContent>
        <mc:AlternateContent xmlns:mc="http://schemas.openxmlformats.org/markup-compatibility/2006">
          <mc:Choice Requires="x14">
            <control shapeId="12937" r:id="rId2544" name="Button 1673">
              <controlPr defaultSize="0" autoFill="0" autoLine="0" autoPict="0" macro="[0]!Sheet1.deleteProcedure">
                <anchor moveWithCells="1" sizeWithCells="1">
                  <from>
                    <xdr:col>6</xdr:col>
                    <xdr:colOff>0</xdr:colOff>
                    <xdr:row>4395</xdr:row>
                    <xdr:rowOff>0</xdr:rowOff>
                  </from>
                  <to>
                    <xdr:col>7</xdr:col>
                    <xdr:colOff>0</xdr:colOff>
                    <xdr:row>4396</xdr:row>
                    <xdr:rowOff>0</xdr:rowOff>
                  </to>
                </anchor>
              </controlPr>
            </control>
          </mc:Choice>
        </mc:AlternateContent>
        <mc:AlternateContent xmlns:mc="http://schemas.openxmlformats.org/markup-compatibility/2006">
          <mc:Choice Requires="x14">
            <control shapeId="12936" r:id="rId2545" name="Button 1672">
              <controlPr defaultSize="0" autoFill="0" autoLine="0" autoPict="0" macro="[0]!Sheet1.InsertNewTableRow">
                <anchor moveWithCells="1" sizeWithCells="1">
                  <from>
                    <xdr:col>6</xdr:col>
                    <xdr:colOff>0</xdr:colOff>
                    <xdr:row>4402</xdr:row>
                    <xdr:rowOff>0</xdr:rowOff>
                  </from>
                  <to>
                    <xdr:col>7</xdr:col>
                    <xdr:colOff>0</xdr:colOff>
                    <xdr:row>4402</xdr:row>
                    <xdr:rowOff>171450</xdr:rowOff>
                  </to>
                </anchor>
              </controlPr>
            </control>
          </mc:Choice>
        </mc:AlternateContent>
        <mc:AlternateContent xmlns:mc="http://schemas.openxmlformats.org/markup-compatibility/2006">
          <mc:Choice Requires="x14">
            <control shapeId="12935" r:id="rId2546" name="Button 1671">
              <controlPr defaultSize="0" autoFill="0" autoLine="0" autoPict="0" macro="[0]!Sheet1.deleteRow">
                <anchor moveWithCells="1" sizeWithCells="1">
                  <from>
                    <xdr:col>6</xdr:col>
                    <xdr:colOff>0</xdr:colOff>
                    <xdr:row>4403</xdr:row>
                    <xdr:rowOff>0</xdr:rowOff>
                  </from>
                  <to>
                    <xdr:col>7</xdr:col>
                    <xdr:colOff>0</xdr:colOff>
                    <xdr:row>4403</xdr:row>
                    <xdr:rowOff>165100</xdr:rowOff>
                  </to>
                </anchor>
              </controlPr>
            </control>
          </mc:Choice>
        </mc:AlternateContent>
        <mc:AlternateContent xmlns:mc="http://schemas.openxmlformats.org/markup-compatibility/2006">
          <mc:Choice Requires="x14">
            <control shapeId="12934" r:id="rId2547" name="Button 1670">
              <controlPr defaultSize="0" autoFill="0" autoLine="0" autoPict="0" macro="[0]!Sheet1.deleteProcedure">
                <anchor moveWithCells="1" sizeWithCells="1">
                  <from>
                    <xdr:col>6</xdr:col>
                    <xdr:colOff>0</xdr:colOff>
                    <xdr:row>4406</xdr:row>
                    <xdr:rowOff>0</xdr:rowOff>
                  </from>
                  <to>
                    <xdr:col>7</xdr:col>
                    <xdr:colOff>0</xdr:colOff>
                    <xdr:row>4407</xdr:row>
                    <xdr:rowOff>0</xdr:rowOff>
                  </to>
                </anchor>
              </controlPr>
            </control>
          </mc:Choice>
        </mc:AlternateContent>
        <mc:AlternateContent xmlns:mc="http://schemas.openxmlformats.org/markup-compatibility/2006">
          <mc:Choice Requires="x14">
            <control shapeId="12933" r:id="rId2548" name="Button 1669">
              <controlPr defaultSize="0" autoFill="0" autoLine="0" autoPict="0" macro="[0]!Sheet1.InsertNewTableRow">
                <anchor moveWithCells="1" sizeWithCells="1">
                  <from>
                    <xdr:col>6</xdr:col>
                    <xdr:colOff>0</xdr:colOff>
                    <xdr:row>4413</xdr:row>
                    <xdr:rowOff>0</xdr:rowOff>
                  </from>
                  <to>
                    <xdr:col>7</xdr:col>
                    <xdr:colOff>0</xdr:colOff>
                    <xdr:row>4413</xdr:row>
                    <xdr:rowOff>171450</xdr:rowOff>
                  </to>
                </anchor>
              </controlPr>
            </control>
          </mc:Choice>
        </mc:AlternateContent>
        <mc:AlternateContent xmlns:mc="http://schemas.openxmlformats.org/markup-compatibility/2006">
          <mc:Choice Requires="x14">
            <control shapeId="12932" r:id="rId2549" name="Button 1668">
              <controlPr defaultSize="0" autoFill="0" autoLine="0" autoPict="0" macro="[0]!Sheet1.deleteRow">
                <anchor moveWithCells="1" sizeWithCells="1">
                  <from>
                    <xdr:col>6</xdr:col>
                    <xdr:colOff>0</xdr:colOff>
                    <xdr:row>4414</xdr:row>
                    <xdr:rowOff>0</xdr:rowOff>
                  </from>
                  <to>
                    <xdr:col>7</xdr:col>
                    <xdr:colOff>0</xdr:colOff>
                    <xdr:row>4414</xdr:row>
                    <xdr:rowOff>165100</xdr:rowOff>
                  </to>
                </anchor>
              </controlPr>
            </control>
          </mc:Choice>
        </mc:AlternateContent>
        <mc:AlternateContent xmlns:mc="http://schemas.openxmlformats.org/markup-compatibility/2006">
          <mc:Choice Requires="x14">
            <control shapeId="12931" r:id="rId2550" name="Button 1667">
              <controlPr defaultSize="0" autoFill="0" autoLine="0" autoPict="0" macro="[0]!Sheet1.deleteRow">
                <anchor moveWithCells="1" sizeWithCells="1">
                  <from>
                    <xdr:col>6</xdr:col>
                    <xdr:colOff>0</xdr:colOff>
                    <xdr:row>4415</xdr:row>
                    <xdr:rowOff>0</xdr:rowOff>
                  </from>
                  <to>
                    <xdr:col>7</xdr:col>
                    <xdr:colOff>0</xdr:colOff>
                    <xdr:row>4415</xdr:row>
                    <xdr:rowOff>165100</xdr:rowOff>
                  </to>
                </anchor>
              </controlPr>
            </control>
          </mc:Choice>
        </mc:AlternateContent>
        <mc:AlternateContent xmlns:mc="http://schemas.openxmlformats.org/markup-compatibility/2006">
          <mc:Choice Requires="x14">
            <control shapeId="12930" r:id="rId2551" name="Button 1666">
              <controlPr defaultSize="0" autoFill="0" autoLine="0" autoPict="0" macro="[0]!Sheet1.deleteProcedure">
                <anchor moveWithCells="1" sizeWithCells="1">
                  <from>
                    <xdr:col>6</xdr:col>
                    <xdr:colOff>0</xdr:colOff>
                    <xdr:row>4418</xdr:row>
                    <xdr:rowOff>0</xdr:rowOff>
                  </from>
                  <to>
                    <xdr:col>7</xdr:col>
                    <xdr:colOff>0</xdr:colOff>
                    <xdr:row>4419</xdr:row>
                    <xdr:rowOff>0</xdr:rowOff>
                  </to>
                </anchor>
              </controlPr>
            </control>
          </mc:Choice>
        </mc:AlternateContent>
        <mc:AlternateContent xmlns:mc="http://schemas.openxmlformats.org/markup-compatibility/2006">
          <mc:Choice Requires="x14">
            <control shapeId="12929" r:id="rId2552" name="Button 1665">
              <controlPr defaultSize="0" autoFill="0" autoLine="0" autoPict="0" macro="[0]!Sheet1.InsertNewTableRow">
                <anchor moveWithCells="1" sizeWithCells="1">
                  <from>
                    <xdr:col>6</xdr:col>
                    <xdr:colOff>0</xdr:colOff>
                    <xdr:row>4425</xdr:row>
                    <xdr:rowOff>0</xdr:rowOff>
                  </from>
                  <to>
                    <xdr:col>7</xdr:col>
                    <xdr:colOff>0</xdr:colOff>
                    <xdr:row>4425</xdr:row>
                    <xdr:rowOff>171450</xdr:rowOff>
                  </to>
                </anchor>
              </controlPr>
            </control>
          </mc:Choice>
        </mc:AlternateContent>
        <mc:AlternateContent xmlns:mc="http://schemas.openxmlformats.org/markup-compatibility/2006">
          <mc:Choice Requires="x14">
            <control shapeId="12928" r:id="rId2553" name="Button 1664">
              <controlPr defaultSize="0" autoFill="0" autoLine="0" autoPict="0" macro="[0]!Sheet1.deleteRow">
                <anchor moveWithCells="1" sizeWithCells="1">
                  <from>
                    <xdr:col>6</xdr:col>
                    <xdr:colOff>0</xdr:colOff>
                    <xdr:row>4426</xdr:row>
                    <xdr:rowOff>0</xdr:rowOff>
                  </from>
                  <to>
                    <xdr:col>7</xdr:col>
                    <xdr:colOff>0</xdr:colOff>
                    <xdr:row>4426</xdr:row>
                    <xdr:rowOff>165100</xdr:rowOff>
                  </to>
                </anchor>
              </controlPr>
            </control>
          </mc:Choice>
        </mc:AlternateContent>
        <mc:AlternateContent xmlns:mc="http://schemas.openxmlformats.org/markup-compatibility/2006">
          <mc:Choice Requires="x14">
            <control shapeId="12927" r:id="rId2554" name="Button 1663">
              <controlPr defaultSize="0" autoFill="0" autoLine="0" autoPict="0" macro="[0]!Sheet1.deleteRow">
                <anchor moveWithCells="1" sizeWithCells="1">
                  <from>
                    <xdr:col>6</xdr:col>
                    <xdr:colOff>0</xdr:colOff>
                    <xdr:row>4427</xdr:row>
                    <xdr:rowOff>0</xdr:rowOff>
                  </from>
                  <to>
                    <xdr:col>7</xdr:col>
                    <xdr:colOff>0</xdr:colOff>
                    <xdr:row>4427</xdr:row>
                    <xdr:rowOff>165100</xdr:rowOff>
                  </to>
                </anchor>
              </controlPr>
            </control>
          </mc:Choice>
        </mc:AlternateContent>
        <mc:AlternateContent xmlns:mc="http://schemas.openxmlformats.org/markup-compatibility/2006">
          <mc:Choice Requires="x14">
            <control shapeId="12926" r:id="rId2555" name="Button 1662">
              <controlPr defaultSize="0" autoFill="0" autoLine="0" autoPict="0" macro="[0]!Sheet1.deleteProcedure">
                <anchor moveWithCells="1" sizeWithCells="1">
                  <from>
                    <xdr:col>6</xdr:col>
                    <xdr:colOff>0</xdr:colOff>
                    <xdr:row>4430</xdr:row>
                    <xdr:rowOff>0</xdr:rowOff>
                  </from>
                  <to>
                    <xdr:col>7</xdr:col>
                    <xdr:colOff>0</xdr:colOff>
                    <xdr:row>4431</xdr:row>
                    <xdr:rowOff>0</xdr:rowOff>
                  </to>
                </anchor>
              </controlPr>
            </control>
          </mc:Choice>
        </mc:AlternateContent>
        <mc:AlternateContent xmlns:mc="http://schemas.openxmlformats.org/markup-compatibility/2006">
          <mc:Choice Requires="x14">
            <control shapeId="12925" r:id="rId2556" name="Button 1661">
              <controlPr defaultSize="0" autoFill="0" autoLine="0" autoPict="0" macro="[0]!Sheet1.InsertNewTableRow">
                <anchor moveWithCells="1" sizeWithCells="1">
                  <from>
                    <xdr:col>6</xdr:col>
                    <xdr:colOff>0</xdr:colOff>
                    <xdr:row>4437</xdr:row>
                    <xdr:rowOff>0</xdr:rowOff>
                  </from>
                  <to>
                    <xdr:col>7</xdr:col>
                    <xdr:colOff>0</xdr:colOff>
                    <xdr:row>4437</xdr:row>
                    <xdr:rowOff>171450</xdr:rowOff>
                  </to>
                </anchor>
              </controlPr>
            </control>
          </mc:Choice>
        </mc:AlternateContent>
        <mc:AlternateContent xmlns:mc="http://schemas.openxmlformats.org/markup-compatibility/2006">
          <mc:Choice Requires="x14">
            <control shapeId="12924" r:id="rId2557" name="Button 1660">
              <controlPr defaultSize="0" autoFill="0" autoLine="0" autoPict="0" macro="[0]!Sheet1.deleteRow">
                <anchor moveWithCells="1" sizeWithCells="1">
                  <from>
                    <xdr:col>6</xdr:col>
                    <xdr:colOff>0</xdr:colOff>
                    <xdr:row>4438</xdr:row>
                    <xdr:rowOff>0</xdr:rowOff>
                  </from>
                  <to>
                    <xdr:col>7</xdr:col>
                    <xdr:colOff>0</xdr:colOff>
                    <xdr:row>4438</xdr:row>
                    <xdr:rowOff>165100</xdr:rowOff>
                  </to>
                </anchor>
              </controlPr>
            </control>
          </mc:Choice>
        </mc:AlternateContent>
        <mc:AlternateContent xmlns:mc="http://schemas.openxmlformats.org/markup-compatibility/2006">
          <mc:Choice Requires="x14">
            <control shapeId="12923" r:id="rId2558" name="Button 1659">
              <controlPr defaultSize="0" autoFill="0" autoLine="0" autoPict="0" macro="[0]!Sheet1.deleteProcedure">
                <anchor moveWithCells="1" sizeWithCells="1">
                  <from>
                    <xdr:col>6</xdr:col>
                    <xdr:colOff>0</xdr:colOff>
                    <xdr:row>4441</xdr:row>
                    <xdr:rowOff>0</xdr:rowOff>
                  </from>
                  <to>
                    <xdr:col>7</xdr:col>
                    <xdr:colOff>0</xdr:colOff>
                    <xdr:row>4442</xdr:row>
                    <xdr:rowOff>0</xdr:rowOff>
                  </to>
                </anchor>
              </controlPr>
            </control>
          </mc:Choice>
        </mc:AlternateContent>
        <mc:AlternateContent xmlns:mc="http://schemas.openxmlformats.org/markup-compatibility/2006">
          <mc:Choice Requires="x14">
            <control shapeId="12922" r:id="rId2559" name="Button 1658">
              <controlPr defaultSize="0" autoFill="0" autoLine="0" autoPict="0" macro="[0]!Sheet1.InsertNewTableRow">
                <anchor moveWithCells="1" sizeWithCells="1">
                  <from>
                    <xdr:col>6</xdr:col>
                    <xdr:colOff>0</xdr:colOff>
                    <xdr:row>4448</xdr:row>
                    <xdr:rowOff>0</xdr:rowOff>
                  </from>
                  <to>
                    <xdr:col>7</xdr:col>
                    <xdr:colOff>0</xdr:colOff>
                    <xdr:row>4448</xdr:row>
                    <xdr:rowOff>171450</xdr:rowOff>
                  </to>
                </anchor>
              </controlPr>
            </control>
          </mc:Choice>
        </mc:AlternateContent>
        <mc:AlternateContent xmlns:mc="http://schemas.openxmlformats.org/markup-compatibility/2006">
          <mc:Choice Requires="x14">
            <control shapeId="12921" r:id="rId2560" name="Button 1657">
              <controlPr defaultSize="0" autoFill="0" autoLine="0" autoPict="0" macro="[0]!Sheet1.deleteRow">
                <anchor moveWithCells="1" sizeWithCells="1">
                  <from>
                    <xdr:col>6</xdr:col>
                    <xdr:colOff>0</xdr:colOff>
                    <xdr:row>4449</xdr:row>
                    <xdr:rowOff>0</xdr:rowOff>
                  </from>
                  <to>
                    <xdr:col>7</xdr:col>
                    <xdr:colOff>0</xdr:colOff>
                    <xdr:row>4449</xdr:row>
                    <xdr:rowOff>165100</xdr:rowOff>
                  </to>
                </anchor>
              </controlPr>
            </control>
          </mc:Choice>
        </mc:AlternateContent>
        <mc:AlternateContent xmlns:mc="http://schemas.openxmlformats.org/markup-compatibility/2006">
          <mc:Choice Requires="x14">
            <control shapeId="12920" r:id="rId2561" name="Button 1656">
              <controlPr defaultSize="0" autoFill="0" autoLine="0" autoPict="0" macro="[0]!Sheet1.deleteProcedure">
                <anchor moveWithCells="1" sizeWithCells="1">
                  <from>
                    <xdr:col>6</xdr:col>
                    <xdr:colOff>0</xdr:colOff>
                    <xdr:row>4452</xdr:row>
                    <xdr:rowOff>0</xdr:rowOff>
                  </from>
                  <to>
                    <xdr:col>7</xdr:col>
                    <xdr:colOff>0</xdr:colOff>
                    <xdr:row>4453</xdr:row>
                    <xdr:rowOff>0</xdr:rowOff>
                  </to>
                </anchor>
              </controlPr>
            </control>
          </mc:Choice>
        </mc:AlternateContent>
        <mc:AlternateContent xmlns:mc="http://schemas.openxmlformats.org/markup-compatibility/2006">
          <mc:Choice Requires="x14">
            <control shapeId="12919" r:id="rId2562" name="Button 1655">
              <controlPr defaultSize="0" autoFill="0" autoLine="0" autoPict="0" macro="[0]!Sheet1.InsertNewTableRow">
                <anchor moveWithCells="1" sizeWithCells="1">
                  <from>
                    <xdr:col>6</xdr:col>
                    <xdr:colOff>0</xdr:colOff>
                    <xdr:row>4459</xdr:row>
                    <xdr:rowOff>0</xdr:rowOff>
                  </from>
                  <to>
                    <xdr:col>7</xdr:col>
                    <xdr:colOff>0</xdr:colOff>
                    <xdr:row>4459</xdr:row>
                    <xdr:rowOff>171450</xdr:rowOff>
                  </to>
                </anchor>
              </controlPr>
            </control>
          </mc:Choice>
        </mc:AlternateContent>
        <mc:AlternateContent xmlns:mc="http://schemas.openxmlformats.org/markup-compatibility/2006">
          <mc:Choice Requires="x14">
            <control shapeId="12918" r:id="rId2563" name="Button 1654">
              <controlPr defaultSize="0" autoFill="0" autoLine="0" autoPict="0" macro="[0]!Sheet1.deleteRow">
                <anchor moveWithCells="1" sizeWithCells="1">
                  <from>
                    <xdr:col>6</xdr:col>
                    <xdr:colOff>0</xdr:colOff>
                    <xdr:row>4460</xdr:row>
                    <xdr:rowOff>0</xdr:rowOff>
                  </from>
                  <to>
                    <xdr:col>7</xdr:col>
                    <xdr:colOff>0</xdr:colOff>
                    <xdr:row>4460</xdr:row>
                    <xdr:rowOff>165100</xdr:rowOff>
                  </to>
                </anchor>
              </controlPr>
            </control>
          </mc:Choice>
        </mc:AlternateContent>
        <mc:AlternateContent xmlns:mc="http://schemas.openxmlformats.org/markup-compatibility/2006">
          <mc:Choice Requires="x14">
            <control shapeId="12917" r:id="rId2564" name="Button 1653">
              <controlPr defaultSize="0" autoFill="0" autoLine="0" autoPict="0" macro="[0]!Sheet1.deleteRow">
                <anchor moveWithCells="1" sizeWithCells="1">
                  <from>
                    <xdr:col>6</xdr:col>
                    <xdr:colOff>0</xdr:colOff>
                    <xdr:row>4461</xdr:row>
                    <xdr:rowOff>0</xdr:rowOff>
                  </from>
                  <to>
                    <xdr:col>7</xdr:col>
                    <xdr:colOff>0</xdr:colOff>
                    <xdr:row>4461</xdr:row>
                    <xdr:rowOff>165100</xdr:rowOff>
                  </to>
                </anchor>
              </controlPr>
            </control>
          </mc:Choice>
        </mc:AlternateContent>
        <mc:AlternateContent xmlns:mc="http://schemas.openxmlformats.org/markup-compatibility/2006">
          <mc:Choice Requires="x14">
            <control shapeId="12916" r:id="rId2565" name="Button 1652">
              <controlPr defaultSize="0" autoFill="0" autoLine="0" autoPict="0" macro="[0]!Sheet1.deleteRow">
                <anchor moveWithCells="1" sizeWithCells="1">
                  <from>
                    <xdr:col>6</xdr:col>
                    <xdr:colOff>0</xdr:colOff>
                    <xdr:row>4462</xdr:row>
                    <xdr:rowOff>0</xdr:rowOff>
                  </from>
                  <to>
                    <xdr:col>7</xdr:col>
                    <xdr:colOff>0</xdr:colOff>
                    <xdr:row>4462</xdr:row>
                    <xdr:rowOff>165100</xdr:rowOff>
                  </to>
                </anchor>
              </controlPr>
            </control>
          </mc:Choice>
        </mc:AlternateContent>
        <mc:AlternateContent xmlns:mc="http://schemas.openxmlformats.org/markup-compatibility/2006">
          <mc:Choice Requires="x14">
            <control shapeId="12915" r:id="rId2566" name="Button 1651">
              <controlPr defaultSize="0" autoFill="0" autoLine="0" autoPict="0" macro="[0]!Sheet1.deleteRow">
                <anchor moveWithCells="1" sizeWithCells="1">
                  <from>
                    <xdr:col>6</xdr:col>
                    <xdr:colOff>0</xdr:colOff>
                    <xdr:row>4463</xdr:row>
                    <xdr:rowOff>0</xdr:rowOff>
                  </from>
                  <to>
                    <xdr:col>7</xdr:col>
                    <xdr:colOff>0</xdr:colOff>
                    <xdr:row>4463</xdr:row>
                    <xdr:rowOff>165100</xdr:rowOff>
                  </to>
                </anchor>
              </controlPr>
            </control>
          </mc:Choice>
        </mc:AlternateContent>
        <mc:AlternateContent xmlns:mc="http://schemas.openxmlformats.org/markup-compatibility/2006">
          <mc:Choice Requires="x14">
            <control shapeId="12914" r:id="rId2567" name="Button 1650">
              <controlPr defaultSize="0" autoFill="0" autoLine="0" autoPict="0" macro="[0]!Sheet1.deleteRow">
                <anchor moveWithCells="1" sizeWithCells="1">
                  <from>
                    <xdr:col>6</xdr:col>
                    <xdr:colOff>0</xdr:colOff>
                    <xdr:row>4464</xdr:row>
                    <xdr:rowOff>0</xdr:rowOff>
                  </from>
                  <to>
                    <xdr:col>7</xdr:col>
                    <xdr:colOff>0</xdr:colOff>
                    <xdr:row>4464</xdr:row>
                    <xdr:rowOff>165100</xdr:rowOff>
                  </to>
                </anchor>
              </controlPr>
            </control>
          </mc:Choice>
        </mc:AlternateContent>
        <mc:AlternateContent xmlns:mc="http://schemas.openxmlformats.org/markup-compatibility/2006">
          <mc:Choice Requires="x14">
            <control shapeId="12913" r:id="rId2568" name="Button 1649">
              <controlPr defaultSize="0" autoFill="0" autoLine="0" autoPict="0" macro="[0]!Sheet1.deleteProcedure">
                <anchor moveWithCells="1" sizeWithCells="1">
                  <from>
                    <xdr:col>6</xdr:col>
                    <xdr:colOff>0</xdr:colOff>
                    <xdr:row>4467</xdr:row>
                    <xdr:rowOff>0</xdr:rowOff>
                  </from>
                  <to>
                    <xdr:col>7</xdr:col>
                    <xdr:colOff>0</xdr:colOff>
                    <xdr:row>4468</xdr:row>
                    <xdr:rowOff>0</xdr:rowOff>
                  </to>
                </anchor>
              </controlPr>
            </control>
          </mc:Choice>
        </mc:AlternateContent>
        <mc:AlternateContent xmlns:mc="http://schemas.openxmlformats.org/markup-compatibility/2006">
          <mc:Choice Requires="x14">
            <control shapeId="12912" r:id="rId2569" name="Button 1648">
              <controlPr defaultSize="0" autoFill="0" autoLine="0" autoPict="0" macro="[0]!Sheet1.InsertNewTableRow">
                <anchor moveWithCells="1" sizeWithCells="1">
                  <from>
                    <xdr:col>6</xdr:col>
                    <xdr:colOff>0</xdr:colOff>
                    <xdr:row>4474</xdr:row>
                    <xdr:rowOff>0</xdr:rowOff>
                  </from>
                  <to>
                    <xdr:col>7</xdr:col>
                    <xdr:colOff>0</xdr:colOff>
                    <xdr:row>4474</xdr:row>
                    <xdr:rowOff>171450</xdr:rowOff>
                  </to>
                </anchor>
              </controlPr>
            </control>
          </mc:Choice>
        </mc:AlternateContent>
        <mc:AlternateContent xmlns:mc="http://schemas.openxmlformats.org/markup-compatibility/2006">
          <mc:Choice Requires="x14">
            <control shapeId="12911" r:id="rId2570" name="Button 1647">
              <controlPr defaultSize="0" autoFill="0" autoLine="0" autoPict="0" macro="[0]!Sheet1.deleteRow">
                <anchor moveWithCells="1" sizeWithCells="1">
                  <from>
                    <xdr:col>6</xdr:col>
                    <xdr:colOff>0</xdr:colOff>
                    <xdr:row>4475</xdr:row>
                    <xdr:rowOff>0</xdr:rowOff>
                  </from>
                  <to>
                    <xdr:col>7</xdr:col>
                    <xdr:colOff>0</xdr:colOff>
                    <xdr:row>4475</xdr:row>
                    <xdr:rowOff>165100</xdr:rowOff>
                  </to>
                </anchor>
              </controlPr>
            </control>
          </mc:Choice>
        </mc:AlternateContent>
        <mc:AlternateContent xmlns:mc="http://schemas.openxmlformats.org/markup-compatibility/2006">
          <mc:Choice Requires="x14">
            <control shapeId="12910" r:id="rId2571" name="Button 1646">
              <controlPr defaultSize="0" autoFill="0" autoLine="0" autoPict="0" macro="[0]!Sheet1.deleteRow">
                <anchor moveWithCells="1" sizeWithCells="1">
                  <from>
                    <xdr:col>6</xdr:col>
                    <xdr:colOff>0</xdr:colOff>
                    <xdr:row>4476</xdr:row>
                    <xdr:rowOff>0</xdr:rowOff>
                  </from>
                  <to>
                    <xdr:col>7</xdr:col>
                    <xdr:colOff>0</xdr:colOff>
                    <xdr:row>4476</xdr:row>
                    <xdr:rowOff>165100</xdr:rowOff>
                  </to>
                </anchor>
              </controlPr>
            </control>
          </mc:Choice>
        </mc:AlternateContent>
        <mc:AlternateContent xmlns:mc="http://schemas.openxmlformats.org/markup-compatibility/2006">
          <mc:Choice Requires="x14">
            <control shapeId="12909" r:id="rId2572" name="Button 1645">
              <controlPr defaultSize="0" autoFill="0" autoLine="0" autoPict="0" macro="[0]!Sheet1.deleteRow">
                <anchor moveWithCells="1" sizeWithCells="1">
                  <from>
                    <xdr:col>6</xdr:col>
                    <xdr:colOff>0</xdr:colOff>
                    <xdr:row>4477</xdr:row>
                    <xdr:rowOff>0</xdr:rowOff>
                  </from>
                  <to>
                    <xdr:col>7</xdr:col>
                    <xdr:colOff>0</xdr:colOff>
                    <xdr:row>4477</xdr:row>
                    <xdr:rowOff>165100</xdr:rowOff>
                  </to>
                </anchor>
              </controlPr>
            </control>
          </mc:Choice>
        </mc:AlternateContent>
        <mc:AlternateContent xmlns:mc="http://schemas.openxmlformats.org/markup-compatibility/2006">
          <mc:Choice Requires="x14">
            <control shapeId="12908" r:id="rId2573" name="Button 1644">
              <controlPr defaultSize="0" autoFill="0" autoLine="0" autoPict="0" macro="[0]!Sheet1.deleteRow">
                <anchor moveWithCells="1" sizeWithCells="1">
                  <from>
                    <xdr:col>6</xdr:col>
                    <xdr:colOff>0</xdr:colOff>
                    <xdr:row>4478</xdr:row>
                    <xdr:rowOff>0</xdr:rowOff>
                  </from>
                  <to>
                    <xdr:col>7</xdr:col>
                    <xdr:colOff>0</xdr:colOff>
                    <xdr:row>4478</xdr:row>
                    <xdr:rowOff>165100</xdr:rowOff>
                  </to>
                </anchor>
              </controlPr>
            </control>
          </mc:Choice>
        </mc:AlternateContent>
        <mc:AlternateContent xmlns:mc="http://schemas.openxmlformats.org/markup-compatibility/2006">
          <mc:Choice Requires="x14">
            <control shapeId="12907" r:id="rId2574" name="Button 1643">
              <controlPr defaultSize="0" autoFill="0" autoLine="0" autoPict="0" macro="[0]!Sheet1.deleteRow">
                <anchor moveWithCells="1" sizeWithCells="1">
                  <from>
                    <xdr:col>6</xdr:col>
                    <xdr:colOff>0</xdr:colOff>
                    <xdr:row>4479</xdr:row>
                    <xdr:rowOff>0</xdr:rowOff>
                  </from>
                  <to>
                    <xdr:col>7</xdr:col>
                    <xdr:colOff>0</xdr:colOff>
                    <xdr:row>4479</xdr:row>
                    <xdr:rowOff>165100</xdr:rowOff>
                  </to>
                </anchor>
              </controlPr>
            </control>
          </mc:Choice>
        </mc:AlternateContent>
        <mc:AlternateContent xmlns:mc="http://schemas.openxmlformats.org/markup-compatibility/2006">
          <mc:Choice Requires="x14">
            <control shapeId="12906" r:id="rId2575" name="Button 1642">
              <controlPr defaultSize="0" autoFill="0" autoLine="0" autoPict="0" macro="[0]!Sheet1.deleteProcedure">
                <anchor moveWithCells="1" sizeWithCells="1">
                  <from>
                    <xdr:col>6</xdr:col>
                    <xdr:colOff>0</xdr:colOff>
                    <xdr:row>4482</xdr:row>
                    <xdr:rowOff>0</xdr:rowOff>
                  </from>
                  <to>
                    <xdr:col>7</xdr:col>
                    <xdr:colOff>0</xdr:colOff>
                    <xdr:row>4483</xdr:row>
                    <xdr:rowOff>0</xdr:rowOff>
                  </to>
                </anchor>
              </controlPr>
            </control>
          </mc:Choice>
        </mc:AlternateContent>
        <mc:AlternateContent xmlns:mc="http://schemas.openxmlformats.org/markup-compatibility/2006">
          <mc:Choice Requires="x14">
            <control shapeId="12905" r:id="rId2576" name="Button 1641">
              <controlPr defaultSize="0" autoFill="0" autoLine="0" autoPict="0" macro="[0]!Sheet1.InsertNewTableRow">
                <anchor moveWithCells="1" sizeWithCells="1">
                  <from>
                    <xdr:col>6</xdr:col>
                    <xdr:colOff>0</xdr:colOff>
                    <xdr:row>4489</xdr:row>
                    <xdr:rowOff>0</xdr:rowOff>
                  </from>
                  <to>
                    <xdr:col>7</xdr:col>
                    <xdr:colOff>0</xdr:colOff>
                    <xdr:row>4489</xdr:row>
                    <xdr:rowOff>171450</xdr:rowOff>
                  </to>
                </anchor>
              </controlPr>
            </control>
          </mc:Choice>
        </mc:AlternateContent>
        <mc:AlternateContent xmlns:mc="http://schemas.openxmlformats.org/markup-compatibility/2006">
          <mc:Choice Requires="x14">
            <control shapeId="12904" r:id="rId2577" name="Button 1640">
              <controlPr defaultSize="0" autoFill="0" autoLine="0" autoPict="0" macro="[0]!Sheet1.deleteRow">
                <anchor moveWithCells="1" sizeWithCells="1">
                  <from>
                    <xdr:col>6</xdr:col>
                    <xdr:colOff>0</xdr:colOff>
                    <xdr:row>4490</xdr:row>
                    <xdr:rowOff>0</xdr:rowOff>
                  </from>
                  <to>
                    <xdr:col>7</xdr:col>
                    <xdr:colOff>0</xdr:colOff>
                    <xdr:row>4490</xdr:row>
                    <xdr:rowOff>165100</xdr:rowOff>
                  </to>
                </anchor>
              </controlPr>
            </control>
          </mc:Choice>
        </mc:AlternateContent>
        <mc:AlternateContent xmlns:mc="http://schemas.openxmlformats.org/markup-compatibility/2006">
          <mc:Choice Requires="x14">
            <control shapeId="12903" r:id="rId2578" name="Button 1639">
              <controlPr defaultSize="0" autoFill="0" autoLine="0" autoPict="0" macro="[0]!Sheet1.deleteProcedure">
                <anchor moveWithCells="1" sizeWithCells="1">
                  <from>
                    <xdr:col>6</xdr:col>
                    <xdr:colOff>0</xdr:colOff>
                    <xdr:row>4493</xdr:row>
                    <xdr:rowOff>0</xdr:rowOff>
                  </from>
                  <to>
                    <xdr:col>7</xdr:col>
                    <xdr:colOff>0</xdr:colOff>
                    <xdr:row>4494</xdr:row>
                    <xdr:rowOff>0</xdr:rowOff>
                  </to>
                </anchor>
              </controlPr>
            </control>
          </mc:Choice>
        </mc:AlternateContent>
        <mc:AlternateContent xmlns:mc="http://schemas.openxmlformats.org/markup-compatibility/2006">
          <mc:Choice Requires="x14">
            <control shapeId="12902" r:id="rId2579" name="Button 1638">
              <controlPr defaultSize="0" autoFill="0" autoLine="0" autoPict="0" macro="[0]!Sheet1.InsertNewTableRow">
                <anchor moveWithCells="1" sizeWithCells="1">
                  <from>
                    <xdr:col>6</xdr:col>
                    <xdr:colOff>0</xdr:colOff>
                    <xdr:row>4500</xdr:row>
                    <xdr:rowOff>0</xdr:rowOff>
                  </from>
                  <to>
                    <xdr:col>7</xdr:col>
                    <xdr:colOff>0</xdr:colOff>
                    <xdr:row>4500</xdr:row>
                    <xdr:rowOff>171450</xdr:rowOff>
                  </to>
                </anchor>
              </controlPr>
            </control>
          </mc:Choice>
        </mc:AlternateContent>
        <mc:AlternateContent xmlns:mc="http://schemas.openxmlformats.org/markup-compatibility/2006">
          <mc:Choice Requires="x14">
            <control shapeId="12901" r:id="rId2580" name="Button 1637">
              <controlPr defaultSize="0" autoFill="0" autoLine="0" autoPict="0" macro="[0]!Sheet1.deleteRow">
                <anchor moveWithCells="1" sizeWithCells="1">
                  <from>
                    <xdr:col>6</xdr:col>
                    <xdr:colOff>0</xdr:colOff>
                    <xdr:row>4501</xdr:row>
                    <xdr:rowOff>0</xdr:rowOff>
                  </from>
                  <to>
                    <xdr:col>7</xdr:col>
                    <xdr:colOff>0</xdr:colOff>
                    <xdr:row>4501</xdr:row>
                    <xdr:rowOff>165100</xdr:rowOff>
                  </to>
                </anchor>
              </controlPr>
            </control>
          </mc:Choice>
        </mc:AlternateContent>
        <mc:AlternateContent xmlns:mc="http://schemas.openxmlformats.org/markup-compatibility/2006">
          <mc:Choice Requires="x14">
            <control shapeId="12900" r:id="rId2581" name="Button 1636">
              <controlPr defaultSize="0" autoFill="0" autoLine="0" autoPict="0" macro="[0]!Sheet1.deleteProcedure">
                <anchor moveWithCells="1" sizeWithCells="1">
                  <from>
                    <xdr:col>6</xdr:col>
                    <xdr:colOff>0</xdr:colOff>
                    <xdr:row>4504</xdr:row>
                    <xdr:rowOff>0</xdr:rowOff>
                  </from>
                  <to>
                    <xdr:col>7</xdr:col>
                    <xdr:colOff>0</xdr:colOff>
                    <xdr:row>4505</xdr:row>
                    <xdr:rowOff>0</xdr:rowOff>
                  </to>
                </anchor>
              </controlPr>
            </control>
          </mc:Choice>
        </mc:AlternateContent>
        <mc:AlternateContent xmlns:mc="http://schemas.openxmlformats.org/markup-compatibility/2006">
          <mc:Choice Requires="x14">
            <control shapeId="12899" r:id="rId2582" name="Button 1635">
              <controlPr defaultSize="0" autoFill="0" autoLine="0" autoPict="0" macro="[0]!Sheet1.InsertNewTableRow">
                <anchor moveWithCells="1" sizeWithCells="1">
                  <from>
                    <xdr:col>6</xdr:col>
                    <xdr:colOff>0</xdr:colOff>
                    <xdr:row>4511</xdr:row>
                    <xdr:rowOff>0</xdr:rowOff>
                  </from>
                  <to>
                    <xdr:col>7</xdr:col>
                    <xdr:colOff>0</xdr:colOff>
                    <xdr:row>4511</xdr:row>
                    <xdr:rowOff>171450</xdr:rowOff>
                  </to>
                </anchor>
              </controlPr>
            </control>
          </mc:Choice>
        </mc:AlternateContent>
        <mc:AlternateContent xmlns:mc="http://schemas.openxmlformats.org/markup-compatibility/2006">
          <mc:Choice Requires="x14">
            <control shapeId="12898" r:id="rId2583" name="Button 1634">
              <controlPr defaultSize="0" autoFill="0" autoLine="0" autoPict="0" macro="[0]!Sheet1.deleteRow">
                <anchor moveWithCells="1" sizeWithCells="1">
                  <from>
                    <xdr:col>6</xdr:col>
                    <xdr:colOff>0</xdr:colOff>
                    <xdr:row>4512</xdr:row>
                    <xdr:rowOff>0</xdr:rowOff>
                  </from>
                  <to>
                    <xdr:col>7</xdr:col>
                    <xdr:colOff>0</xdr:colOff>
                    <xdr:row>4512</xdr:row>
                    <xdr:rowOff>165100</xdr:rowOff>
                  </to>
                </anchor>
              </controlPr>
            </control>
          </mc:Choice>
        </mc:AlternateContent>
        <mc:AlternateContent xmlns:mc="http://schemas.openxmlformats.org/markup-compatibility/2006">
          <mc:Choice Requires="x14">
            <control shapeId="12897" r:id="rId2584" name="Button 1633">
              <controlPr defaultSize="0" autoFill="0" autoLine="0" autoPict="0" macro="[0]!Sheet1.deleteProcedure">
                <anchor moveWithCells="1" sizeWithCells="1">
                  <from>
                    <xdr:col>6</xdr:col>
                    <xdr:colOff>0</xdr:colOff>
                    <xdr:row>4515</xdr:row>
                    <xdr:rowOff>0</xdr:rowOff>
                  </from>
                  <to>
                    <xdr:col>7</xdr:col>
                    <xdr:colOff>0</xdr:colOff>
                    <xdr:row>4516</xdr:row>
                    <xdr:rowOff>0</xdr:rowOff>
                  </to>
                </anchor>
              </controlPr>
            </control>
          </mc:Choice>
        </mc:AlternateContent>
        <mc:AlternateContent xmlns:mc="http://schemas.openxmlformats.org/markup-compatibility/2006">
          <mc:Choice Requires="x14">
            <control shapeId="12896" r:id="rId2585" name="Button 1632">
              <controlPr defaultSize="0" autoFill="0" autoLine="0" autoPict="0" macro="[0]!Sheet1.InsertNewTableRow">
                <anchor moveWithCells="1" sizeWithCells="1">
                  <from>
                    <xdr:col>6</xdr:col>
                    <xdr:colOff>0</xdr:colOff>
                    <xdr:row>4522</xdr:row>
                    <xdr:rowOff>0</xdr:rowOff>
                  </from>
                  <to>
                    <xdr:col>7</xdr:col>
                    <xdr:colOff>0</xdr:colOff>
                    <xdr:row>4522</xdr:row>
                    <xdr:rowOff>171450</xdr:rowOff>
                  </to>
                </anchor>
              </controlPr>
            </control>
          </mc:Choice>
        </mc:AlternateContent>
        <mc:AlternateContent xmlns:mc="http://schemas.openxmlformats.org/markup-compatibility/2006">
          <mc:Choice Requires="x14">
            <control shapeId="12895" r:id="rId2586" name="Button 1631">
              <controlPr defaultSize="0" autoFill="0" autoLine="0" autoPict="0" macro="[0]!Sheet1.deleteRow">
                <anchor moveWithCells="1" sizeWithCells="1">
                  <from>
                    <xdr:col>6</xdr:col>
                    <xdr:colOff>0</xdr:colOff>
                    <xdr:row>4523</xdr:row>
                    <xdr:rowOff>0</xdr:rowOff>
                  </from>
                  <to>
                    <xdr:col>7</xdr:col>
                    <xdr:colOff>0</xdr:colOff>
                    <xdr:row>4523</xdr:row>
                    <xdr:rowOff>165100</xdr:rowOff>
                  </to>
                </anchor>
              </controlPr>
            </control>
          </mc:Choice>
        </mc:AlternateContent>
        <mc:AlternateContent xmlns:mc="http://schemas.openxmlformats.org/markup-compatibility/2006">
          <mc:Choice Requires="x14">
            <control shapeId="12894" r:id="rId2587" name="Button 1630">
              <controlPr defaultSize="0" autoFill="0" autoLine="0" autoPict="0" macro="[0]!Sheet1.deleteProcedure">
                <anchor moveWithCells="1" sizeWithCells="1">
                  <from>
                    <xdr:col>6</xdr:col>
                    <xdr:colOff>0</xdr:colOff>
                    <xdr:row>4526</xdr:row>
                    <xdr:rowOff>0</xdr:rowOff>
                  </from>
                  <to>
                    <xdr:col>7</xdr:col>
                    <xdr:colOff>0</xdr:colOff>
                    <xdr:row>4527</xdr:row>
                    <xdr:rowOff>0</xdr:rowOff>
                  </to>
                </anchor>
              </controlPr>
            </control>
          </mc:Choice>
        </mc:AlternateContent>
        <mc:AlternateContent xmlns:mc="http://schemas.openxmlformats.org/markup-compatibility/2006">
          <mc:Choice Requires="x14">
            <control shapeId="12893" r:id="rId2588" name="Button 1629">
              <controlPr defaultSize="0" autoFill="0" autoLine="0" autoPict="0" macro="[0]!Sheet1.InsertNewTableRow">
                <anchor moveWithCells="1" sizeWithCells="1">
                  <from>
                    <xdr:col>6</xdr:col>
                    <xdr:colOff>0</xdr:colOff>
                    <xdr:row>4533</xdr:row>
                    <xdr:rowOff>0</xdr:rowOff>
                  </from>
                  <to>
                    <xdr:col>7</xdr:col>
                    <xdr:colOff>0</xdr:colOff>
                    <xdr:row>4533</xdr:row>
                    <xdr:rowOff>171450</xdr:rowOff>
                  </to>
                </anchor>
              </controlPr>
            </control>
          </mc:Choice>
        </mc:AlternateContent>
        <mc:AlternateContent xmlns:mc="http://schemas.openxmlformats.org/markup-compatibility/2006">
          <mc:Choice Requires="x14">
            <control shapeId="12892" r:id="rId2589" name="Button 1628">
              <controlPr defaultSize="0" autoFill="0" autoLine="0" autoPict="0" macro="[0]!Sheet1.deleteRow">
                <anchor moveWithCells="1" sizeWithCells="1">
                  <from>
                    <xdr:col>6</xdr:col>
                    <xdr:colOff>0</xdr:colOff>
                    <xdr:row>4534</xdr:row>
                    <xdr:rowOff>0</xdr:rowOff>
                  </from>
                  <to>
                    <xdr:col>7</xdr:col>
                    <xdr:colOff>0</xdr:colOff>
                    <xdr:row>4534</xdr:row>
                    <xdr:rowOff>165100</xdr:rowOff>
                  </to>
                </anchor>
              </controlPr>
            </control>
          </mc:Choice>
        </mc:AlternateContent>
        <mc:AlternateContent xmlns:mc="http://schemas.openxmlformats.org/markup-compatibility/2006">
          <mc:Choice Requires="x14">
            <control shapeId="12891" r:id="rId2590" name="Button 1627">
              <controlPr defaultSize="0" autoFill="0" autoLine="0" autoPict="0" macro="[0]!Sheet1.deleteProcedure">
                <anchor moveWithCells="1" sizeWithCells="1">
                  <from>
                    <xdr:col>6</xdr:col>
                    <xdr:colOff>0</xdr:colOff>
                    <xdr:row>4537</xdr:row>
                    <xdr:rowOff>0</xdr:rowOff>
                  </from>
                  <to>
                    <xdr:col>7</xdr:col>
                    <xdr:colOff>0</xdr:colOff>
                    <xdr:row>4538</xdr:row>
                    <xdr:rowOff>0</xdr:rowOff>
                  </to>
                </anchor>
              </controlPr>
            </control>
          </mc:Choice>
        </mc:AlternateContent>
        <mc:AlternateContent xmlns:mc="http://schemas.openxmlformats.org/markup-compatibility/2006">
          <mc:Choice Requires="x14">
            <control shapeId="12890" r:id="rId2591" name="Button 1626">
              <controlPr defaultSize="0" autoFill="0" autoLine="0" autoPict="0" macro="[0]!Sheet1.InsertNewTableRow">
                <anchor moveWithCells="1" sizeWithCells="1">
                  <from>
                    <xdr:col>6</xdr:col>
                    <xdr:colOff>0</xdr:colOff>
                    <xdr:row>4544</xdr:row>
                    <xdr:rowOff>0</xdr:rowOff>
                  </from>
                  <to>
                    <xdr:col>7</xdr:col>
                    <xdr:colOff>0</xdr:colOff>
                    <xdr:row>4544</xdr:row>
                    <xdr:rowOff>171450</xdr:rowOff>
                  </to>
                </anchor>
              </controlPr>
            </control>
          </mc:Choice>
        </mc:AlternateContent>
        <mc:AlternateContent xmlns:mc="http://schemas.openxmlformats.org/markup-compatibility/2006">
          <mc:Choice Requires="x14">
            <control shapeId="12889" r:id="rId2592" name="Button 1625">
              <controlPr defaultSize="0" autoFill="0" autoLine="0" autoPict="0" macro="[0]!Sheet1.deleteRow">
                <anchor moveWithCells="1" sizeWithCells="1">
                  <from>
                    <xdr:col>6</xdr:col>
                    <xdr:colOff>0</xdr:colOff>
                    <xdr:row>4545</xdr:row>
                    <xdr:rowOff>0</xdr:rowOff>
                  </from>
                  <to>
                    <xdr:col>7</xdr:col>
                    <xdr:colOff>0</xdr:colOff>
                    <xdr:row>4545</xdr:row>
                    <xdr:rowOff>165100</xdr:rowOff>
                  </to>
                </anchor>
              </controlPr>
            </control>
          </mc:Choice>
        </mc:AlternateContent>
        <mc:AlternateContent xmlns:mc="http://schemas.openxmlformats.org/markup-compatibility/2006">
          <mc:Choice Requires="x14">
            <control shapeId="12888" r:id="rId2593" name="Button 1624">
              <controlPr defaultSize="0" autoFill="0" autoLine="0" autoPict="0" macro="[0]!Sheet1.deleteProcedure">
                <anchor moveWithCells="1" sizeWithCells="1">
                  <from>
                    <xdr:col>6</xdr:col>
                    <xdr:colOff>0</xdr:colOff>
                    <xdr:row>4548</xdr:row>
                    <xdr:rowOff>0</xdr:rowOff>
                  </from>
                  <to>
                    <xdr:col>7</xdr:col>
                    <xdr:colOff>0</xdr:colOff>
                    <xdr:row>4549</xdr:row>
                    <xdr:rowOff>0</xdr:rowOff>
                  </to>
                </anchor>
              </controlPr>
            </control>
          </mc:Choice>
        </mc:AlternateContent>
        <mc:AlternateContent xmlns:mc="http://schemas.openxmlformats.org/markup-compatibility/2006">
          <mc:Choice Requires="x14">
            <control shapeId="12887" r:id="rId2594" name="Button 1623">
              <controlPr defaultSize="0" autoFill="0" autoLine="0" autoPict="0" macro="[0]!Sheet1.InsertNewTableRow">
                <anchor moveWithCells="1" sizeWithCells="1">
                  <from>
                    <xdr:col>6</xdr:col>
                    <xdr:colOff>0</xdr:colOff>
                    <xdr:row>4555</xdr:row>
                    <xdr:rowOff>0</xdr:rowOff>
                  </from>
                  <to>
                    <xdr:col>7</xdr:col>
                    <xdr:colOff>0</xdr:colOff>
                    <xdr:row>4555</xdr:row>
                    <xdr:rowOff>171450</xdr:rowOff>
                  </to>
                </anchor>
              </controlPr>
            </control>
          </mc:Choice>
        </mc:AlternateContent>
        <mc:AlternateContent xmlns:mc="http://schemas.openxmlformats.org/markup-compatibility/2006">
          <mc:Choice Requires="x14">
            <control shapeId="12886" r:id="rId2595" name="Button 1622">
              <controlPr defaultSize="0" autoFill="0" autoLine="0" autoPict="0" macro="[0]!Sheet1.deleteRow">
                <anchor moveWithCells="1" sizeWithCells="1">
                  <from>
                    <xdr:col>6</xdr:col>
                    <xdr:colOff>0</xdr:colOff>
                    <xdr:row>4556</xdr:row>
                    <xdr:rowOff>0</xdr:rowOff>
                  </from>
                  <to>
                    <xdr:col>7</xdr:col>
                    <xdr:colOff>0</xdr:colOff>
                    <xdr:row>4556</xdr:row>
                    <xdr:rowOff>165100</xdr:rowOff>
                  </to>
                </anchor>
              </controlPr>
            </control>
          </mc:Choice>
        </mc:AlternateContent>
        <mc:AlternateContent xmlns:mc="http://schemas.openxmlformats.org/markup-compatibility/2006">
          <mc:Choice Requires="x14">
            <control shapeId="12885" r:id="rId2596" name="Button 1621">
              <controlPr defaultSize="0" autoFill="0" autoLine="0" autoPict="0" macro="[0]!Sheet1.deleteRow">
                <anchor moveWithCells="1" sizeWithCells="1">
                  <from>
                    <xdr:col>6</xdr:col>
                    <xdr:colOff>0</xdr:colOff>
                    <xdr:row>4557</xdr:row>
                    <xdr:rowOff>0</xdr:rowOff>
                  </from>
                  <to>
                    <xdr:col>7</xdr:col>
                    <xdr:colOff>0</xdr:colOff>
                    <xdr:row>4557</xdr:row>
                    <xdr:rowOff>165100</xdr:rowOff>
                  </to>
                </anchor>
              </controlPr>
            </control>
          </mc:Choice>
        </mc:AlternateContent>
        <mc:AlternateContent xmlns:mc="http://schemas.openxmlformats.org/markup-compatibility/2006">
          <mc:Choice Requires="x14">
            <control shapeId="12884" r:id="rId2597" name="Button 1620">
              <controlPr defaultSize="0" autoFill="0" autoLine="0" autoPict="0" macro="[0]!Sheet1.deleteRow">
                <anchor moveWithCells="1" sizeWithCells="1">
                  <from>
                    <xdr:col>6</xdr:col>
                    <xdr:colOff>0</xdr:colOff>
                    <xdr:row>4558</xdr:row>
                    <xdr:rowOff>0</xdr:rowOff>
                  </from>
                  <to>
                    <xdr:col>7</xdr:col>
                    <xdr:colOff>0</xdr:colOff>
                    <xdr:row>4558</xdr:row>
                    <xdr:rowOff>165100</xdr:rowOff>
                  </to>
                </anchor>
              </controlPr>
            </control>
          </mc:Choice>
        </mc:AlternateContent>
        <mc:AlternateContent xmlns:mc="http://schemas.openxmlformats.org/markup-compatibility/2006">
          <mc:Choice Requires="x14">
            <control shapeId="12883" r:id="rId2598" name="Button 1619">
              <controlPr defaultSize="0" autoFill="0" autoLine="0" autoPict="0" macro="[0]!Sheet1.deleteRow">
                <anchor moveWithCells="1" sizeWithCells="1">
                  <from>
                    <xdr:col>6</xdr:col>
                    <xdr:colOff>0</xdr:colOff>
                    <xdr:row>4559</xdr:row>
                    <xdr:rowOff>0</xdr:rowOff>
                  </from>
                  <to>
                    <xdr:col>7</xdr:col>
                    <xdr:colOff>0</xdr:colOff>
                    <xdr:row>4559</xdr:row>
                    <xdr:rowOff>165100</xdr:rowOff>
                  </to>
                </anchor>
              </controlPr>
            </control>
          </mc:Choice>
        </mc:AlternateContent>
        <mc:AlternateContent xmlns:mc="http://schemas.openxmlformats.org/markup-compatibility/2006">
          <mc:Choice Requires="x14">
            <control shapeId="12882" r:id="rId2599" name="Button 1618">
              <controlPr defaultSize="0" autoFill="0" autoLine="0" autoPict="0" macro="[0]!Sheet1.deleteRow">
                <anchor moveWithCells="1" sizeWithCells="1">
                  <from>
                    <xdr:col>6</xdr:col>
                    <xdr:colOff>0</xdr:colOff>
                    <xdr:row>4560</xdr:row>
                    <xdr:rowOff>0</xdr:rowOff>
                  </from>
                  <to>
                    <xdr:col>7</xdr:col>
                    <xdr:colOff>0</xdr:colOff>
                    <xdr:row>4560</xdr:row>
                    <xdr:rowOff>165100</xdr:rowOff>
                  </to>
                </anchor>
              </controlPr>
            </control>
          </mc:Choice>
        </mc:AlternateContent>
        <mc:AlternateContent xmlns:mc="http://schemas.openxmlformats.org/markup-compatibility/2006">
          <mc:Choice Requires="x14">
            <control shapeId="12881" r:id="rId2600" name="Button 1617">
              <controlPr defaultSize="0" autoFill="0" autoLine="0" autoPict="0" macro="[0]!Sheet1.deleteProcedure">
                <anchor moveWithCells="1" sizeWithCells="1">
                  <from>
                    <xdr:col>6</xdr:col>
                    <xdr:colOff>0</xdr:colOff>
                    <xdr:row>4563</xdr:row>
                    <xdr:rowOff>0</xdr:rowOff>
                  </from>
                  <to>
                    <xdr:col>7</xdr:col>
                    <xdr:colOff>0</xdr:colOff>
                    <xdr:row>4564</xdr:row>
                    <xdr:rowOff>0</xdr:rowOff>
                  </to>
                </anchor>
              </controlPr>
            </control>
          </mc:Choice>
        </mc:AlternateContent>
        <mc:AlternateContent xmlns:mc="http://schemas.openxmlformats.org/markup-compatibility/2006">
          <mc:Choice Requires="x14">
            <control shapeId="12880" r:id="rId2601" name="Button 1616">
              <controlPr defaultSize="0" autoFill="0" autoLine="0" autoPict="0" macro="[0]!Sheet1.InsertNewTableRow">
                <anchor moveWithCells="1" sizeWithCells="1">
                  <from>
                    <xdr:col>6</xdr:col>
                    <xdr:colOff>0</xdr:colOff>
                    <xdr:row>4570</xdr:row>
                    <xdr:rowOff>0</xdr:rowOff>
                  </from>
                  <to>
                    <xdr:col>7</xdr:col>
                    <xdr:colOff>0</xdr:colOff>
                    <xdr:row>4570</xdr:row>
                    <xdr:rowOff>171450</xdr:rowOff>
                  </to>
                </anchor>
              </controlPr>
            </control>
          </mc:Choice>
        </mc:AlternateContent>
        <mc:AlternateContent xmlns:mc="http://schemas.openxmlformats.org/markup-compatibility/2006">
          <mc:Choice Requires="x14">
            <control shapeId="12879" r:id="rId2602" name="Button 1615">
              <controlPr defaultSize="0" autoFill="0" autoLine="0" autoPict="0" macro="[0]!Sheet1.deleteRow">
                <anchor moveWithCells="1" sizeWithCells="1">
                  <from>
                    <xdr:col>6</xdr:col>
                    <xdr:colOff>0</xdr:colOff>
                    <xdr:row>4571</xdr:row>
                    <xdr:rowOff>0</xdr:rowOff>
                  </from>
                  <to>
                    <xdr:col>7</xdr:col>
                    <xdr:colOff>0</xdr:colOff>
                    <xdr:row>4571</xdr:row>
                    <xdr:rowOff>165100</xdr:rowOff>
                  </to>
                </anchor>
              </controlPr>
            </control>
          </mc:Choice>
        </mc:AlternateContent>
        <mc:AlternateContent xmlns:mc="http://schemas.openxmlformats.org/markup-compatibility/2006">
          <mc:Choice Requires="x14">
            <control shapeId="12878" r:id="rId2603" name="Button 1614">
              <controlPr defaultSize="0" autoFill="0" autoLine="0" autoPict="0" macro="[0]!Sheet1.deleteProcedure">
                <anchor moveWithCells="1" sizeWithCells="1">
                  <from>
                    <xdr:col>6</xdr:col>
                    <xdr:colOff>0</xdr:colOff>
                    <xdr:row>4574</xdr:row>
                    <xdr:rowOff>0</xdr:rowOff>
                  </from>
                  <to>
                    <xdr:col>7</xdr:col>
                    <xdr:colOff>0</xdr:colOff>
                    <xdr:row>4575</xdr:row>
                    <xdr:rowOff>0</xdr:rowOff>
                  </to>
                </anchor>
              </controlPr>
            </control>
          </mc:Choice>
        </mc:AlternateContent>
        <mc:AlternateContent xmlns:mc="http://schemas.openxmlformats.org/markup-compatibility/2006">
          <mc:Choice Requires="x14">
            <control shapeId="12877" r:id="rId2604" name="Button 1613">
              <controlPr defaultSize="0" autoFill="0" autoLine="0" autoPict="0" macro="[0]!Sheet1.InsertNewTableRow">
                <anchor moveWithCells="1" sizeWithCells="1">
                  <from>
                    <xdr:col>6</xdr:col>
                    <xdr:colOff>0</xdr:colOff>
                    <xdr:row>4581</xdr:row>
                    <xdr:rowOff>0</xdr:rowOff>
                  </from>
                  <to>
                    <xdr:col>7</xdr:col>
                    <xdr:colOff>0</xdr:colOff>
                    <xdr:row>4581</xdr:row>
                    <xdr:rowOff>171450</xdr:rowOff>
                  </to>
                </anchor>
              </controlPr>
            </control>
          </mc:Choice>
        </mc:AlternateContent>
        <mc:AlternateContent xmlns:mc="http://schemas.openxmlformats.org/markup-compatibility/2006">
          <mc:Choice Requires="x14">
            <control shapeId="12876" r:id="rId2605" name="Button 1612">
              <controlPr defaultSize="0" autoFill="0" autoLine="0" autoPict="0" macro="[0]!Sheet1.deleteRow">
                <anchor moveWithCells="1" sizeWithCells="1">
                  <from>
                    <xdr:col>6</xdr:col>
                    <xdr:colOff>0</xdr:colOff>
                    <xdr:row>4582</xdr:row>
                    <xdr:rowOff>0</xdr:rowOff>
                  </from>
                  <to>
                    <xdr:col>7</xdr:col>
                    <xdr:colOff>0</xdr:colOff>
                    <xdr:row>4582</xdr:row>
                    <xdr:rowOff>165100</xdr:rowOff>
                  </to>
                </anchor>
              </controlPr>
            </control>
          </mc:Choice>
        </mc:AlternateContent>
        <mc:AlternateContent xmlns:mc="http://schemas.openxmlformats.org/markup-compatibility/2006">
          <mc:Choice Requires="x14">
            <control shapeId="12875" r:id="rId2606" name="Button 1611">
              <controlPr defaultSize="0" autoFill="0" autoLine="0" autoPict="0" macro="[0]!Sheet1.deleteRow">
                <anchor moveWithCells="1" sizeWithCells="1">
                  <from>
                    <xdr:col>6</xdr:col>
                    <xdr:colOff>0</xdr:colOff>
                    <xdr:row>4583</xdr:row>
                    <xdr:rowOff>0</xdr:rowOff>
                  </from>
                  <to>
                    <xdr:col>7</xdr:col>
                    <xdr:colOff>0</xdr:colOff>
                    <xdr:row>4583</xdr:row>
                    <xdr:rowOff>165100</xdr:rowOff>
                  </to>
                </anchor>
              </controlPr>
            </control>
          </mc:Choice>
        </mc:AlternateContent>
        <mc:AlternateContent xmlns:mc="http://schemas.openxmlformats.org/markup-compatibility/2006">
          <mc:Choice Requires="x14">
            <control shapeId="12874" r:id="rId2607" name="Button 1610">
              <controlPr defaultSize="0" autoFill="0" autoLine="0" autoPict="0" macro="[0]!Sheet1.deleteProcedure">
                <anchor moveWithCells="1" sizeWithCells="1">
                  <from>
                    <xdr:col>6</xdr:col>
                    <xdr:colOff>0</xdr:colOff>
                    <xdr:row>4586</xdr:row>
                    <xdr:rowOff>0</xdr:rowOff>
                  </from>
                  <to>
                    <xdr:col>7</xdr:col>
                    <xdr:colOff>0</xdr:colOff>
                    <xdr:row>4587</xdr:row>
                    <xdr:rowOff>0</xdr:rowOff>
                  </to>
                </anchor>
              </controlPr>
            </control>
          </mc:Choice>
        </mc:AlternateContent>
        <mc:AlternateContent xmlns:mc="http://schemas.openxmlformats.org/markup-compatibility/2006">
          <mc:Choice Requires="x14">
            <control shapeId="12873" r:id="rId2608" name="Button 1609">
              <controlPr defaultSize="0" autoFill="0" autoLine="0" autoPict="0" macro="[0]!Sheet1.InsertNewTableRow">
                <anchor moveWithCells="1" sizeWithCells="1">
                  <from>
                    <xdr:col>6</xdr:col>
                    <xdr:colOff>0</xdr:colOff>
                    <xdr:row>4593</xdr:row>
                    <xdr:rowOff>0</xdr:rowOff>
                  </from>
                  <to>
                    <xdr:col>7</xdr:col>
                    <xdr:colOff>0</xdr:colOff>
                    <xdr:row>4593</xdr:row>
                    <xdr:rowOff>171450</xdr:rowOff>
                  </to>
                </anchor>
              </controlPr>
            </control>
          </mc:Choice>
        </mc:AlternateContent>
        <mc:AlternateContent xmlns:mc="http://schemas.openxmlformats.org/markup-compatibility/2006">
          <mc:Choice Requires="x14">
            <control shapeId="12872" r:id="rId2609" name="Button 1608">
              <controlPr defaultSize="0" autoFill="0" autoLine="0" autoPict="0" macro="[0]!Sheet1.deleteRow">
                <anchor moveWithCells="1" sizeWithCells="1">
                  <from>
                    <xdr:col>6</xdr:col>
                    <xdr:colOff>0</xdr:colOff>
                    <xdr:row>4594</xdr:row>
                    <xdr:rowOff>0</xdr:rowOff>
                  </from>
                  <to>
                    <xdr:col>7</xdr:col>
                    <xdr:colOff>0</xdr:colOff>
                    <xdr:row>4594</xdr:row>
                    <xdr:rowOff>165100</xdr:rowOff>
                  </to>
                </anchor>
              </controlPr>
            </control>
          </mc:Choice>
        </mc:AlternateContent>
        <mc:AlternateContent xmlns:mc="http://schemas.openxmlformats.org/markup-compatibility/2006">
          <mc:Choice Requires="x14">
            <control shapeId="12871" r:id="rId2610" name="Button 1607">
              <controlPr defaultSize="0" autoFill="0" autoLine="0" autoPict="0" macro="[0]!Sheet1.deleteRow">
                <anchor moveWithCells="1" sizeWithCells="1">
                  <from>
                    <xdr:col>6</xdr:col>
                    <xdr:colOff>0</xdr:colOff>
                    <xdr:row>4595</xdr:row>
                    <xdr:rowOff>0</xdr:rowOff>
                  </from>
                  <to>
                    <xdr:col>7</xdr:col>
                    <xdr:colOff>0</xdr:colOff>
                    <xdr:row>4595</xdr:row>
                    <xdr:rowOff>165100</xdr:rowOff>
                  </to>
                </anchor>
              </controlPr>
            </control>
          </mc:Choice>
        </mc:AlternateContent>
        <mc:AlternateContent xmlns:mc="http://schemas.openxmlformats.org/markup-compatibility/2006">
          <mc:Choice Requires="x14">
            <control shapeId="12870" r:id="rId2611" name="Button 1606">
              <controlPr defaultSize="0" autoFill="0" autoLine="0" autoPict="0" macro="[0]!Sheet1.deleteProcedure">
                <anchor moveWithCells="1" sizeWithCells="1">
                  <from>
                    <xdr:col>6</xdr:col>
                    <xdr:colOff>0</xdr:colOff>
                    <xdr:row>4598</xdr:row>
                    <xdr:rowOff>0</xdr:rowOff>
                  </from>
                  <to>
                    <xdr:col>7</xdr:col>
                    <xdr:colOff>0</xdr:colOff>
                    <xdr:row>4599</xdr:row>
                    <xdr:rowOff>0</xdr:rowOff>
                  </to>
                </anchor>
              </controlPr>
            </control>
          </mc:Choice>
        </mc:AlternateContent>
        <mc:AlternateContent xmlns:mc="http://schemas.openxmlformats.org/markup-compatibility/2006">
          <mc:Choice Requires="x14">
            <control shapeId="12869" r:id="rId2612" name="Button 1605">
              <controlPr defaultSize="0" autoFill="0" autoLine="0" autoPict="0" macro="[0]!Sheet1.InsertNewTableRow">
                <anchor moveWithCells="1" sizeWithCells="1">
                  <from>
                    <xdr:col>6</xdr:col>
                    <xdr:colOff>0</xdr:colOff>
                    <xdr:row>4605</xdr:row>
                    <xdr:rowOff>0</xdr:rowOff>
                  </from>
                  <to>
                    <xdr:col>7</xdr:col>
                    <xdr:colOff>0</xdr:colOff>
                    <xdr:row>4605</xdr:row>
                    <xdr:rowOff>171450</xdr:rowOff>
                  </to>
                </anchor>
              </controlPr>
            </control>
          </mc:Choice>
        </mc:AlternateContent>
        <mc:AlternateContent xmlns:mc="http://schemas.openxmlformats.org/markup-compatibility/2006">
          <mc:Choice Requires="x14">
            <control shapeId="12868" r:id="rId2613" name="Button 1604">
              <controlPr defaultSize="0" autoFill="0" autoLine="0" autoPict="0" macro="[0]!Sheet1.deleteRow">
                <anchor moveWithCells="1" sizeWithCells="1">
                  <from>
                    <xdr:col>6</xdr:col>
                    <xdr:colOff>0</xdr:colOff>
                    <xdr:row>4606</xdr:row>
                    <xdr:rowOff>0</xdr:rowOff>
                  </from>
                  <to>
                    <xdr:col>7</xdr:col>
                    <xdr:colOff>0</xdr:colOff>
                    <xdr:row>4606</xdr:row>
                    <xdr:rowOff>165100</xdr:rowOff>
                  </to>
                </anchor>
              </controlPr>
            </control>
          </mc:Choice>
        </mc:AlternateContent>
        <mc:AlternateContent xmlns:mc="http://schemas.openxmlformats.org/markup-compatibility/2006">
          <mc:Choice Requires="x14">
            <control shapeId="12867" r:id="rId2614" name="Button 1603">
              <controlPr defaultSize="0" autoFill="0" autoLine="0" autoPict="0" macro="[0]!Sheet1.deleteProcedure">
                <anchor moveWithCells="1" sizeWithCells="1">
                  <from>
                    <xdr:col>6</xdr:col>
                    <xdr:colOff>0</xdr:colOff>
                    <xdr:row>4609</xdr:row>
                    <xdr:rowOff>0</xdr:rowOff>
                  </from>
                  <to>
                    <xdr:col>7</xdr:col>
                    <xdr:colOff>0</xdr:colOff>
                    <xdr:row>4610</xdr:row>
                    <xdr:rowOff>0</xdr:rowOff>
                  </to>
                </anchor>
              </controlPr>
            </control>
          </mc:Choice>
        </mc:AlternateContent>
        <mc:AlternateContent xmlns:mc="http://schemas.openxmlformats.org/markup-compatibility/2006">
          <mc:Choice Requires="x14">
            <control shapeId="12866" r:id="rId2615" name="Button 1602">
              <controlPr defaultSize="0" autoFill="0" autoLine="0" autoPict="0" macro="[0]!Sheet1.InsertNewTableRow">
                <anchor moveWithCells="1" sizeWithCells="1">
                  <from>
                    <xdr:col>6</xdr:col>
                    <xdr:colOff>0</xdr:colOff>
                    <xdr:row>4616</xdr:row>
                    <xdr:rowOff>0</xdr:rowOff>
                  </from>
                  <to>
                    <xdr:col>7</xdr:col>
                    <xdr:colOff>0</xdr:colOff>
                    <xdr:row>4616</xdr:row>
                    <xdr:rowOff>171450</xdr:rowOff>
                  </to>
                </anchor>
              </controlPr>
            </control>
          </mc:Choice>
        </mc:AlternateContent>
        <mc:AlternateContent xmlns:mc="http://schemas.openxmlformats.org/markup-compatibility/2006">
          <mc:Choice Requires="x14">
            <control shapeId="12865" r:id="rId2616" name="Button 1601">
              <controlPr defaultSize="0" autoFill="0" autoLine="0" autoPict="0" macro="[0]!Sheet1.deleteRow">
                <anchor moveWithCells="1" sizeWithCells="1">
                  <from>
                    <xdr:col>6</xdr:col>
                    <xdr:colOff>0</xdr:colOff>
                    <xdr:row>4617</xdr:row>
                    <xdr:rowOff>0</xdr:rowOff>
                  </from>
                  <to>
                    <xdr:col>7</xdr:col>
                    <xdr:colOff>0</xdr:colOff>
                    <xdr:row>4617</xdr:row>
                    <xdr:rowOff>165100</xdr:rowOff>
                  </to>
                </anchor>
              </controlPr>
            </control>
          </mc:Choice>
        </mc:AlternateContent>
        <mc:AlternateContent xmlns:mc="http://schemas.openxmlformats.org/markup-compatibility/2006">
          <mc:Choice Requires="x14">
            <control shapeId="12864" r:id="rId2617" name="Button 1600">
              <controlPr defaultSize="0" autoFill="0" autoLine="0" autoPict="0" macro="[0]!Sheet1.deleteProcedure">
                <anchor moveWithCells="1" sizeWithCells="1">
                  <from>
                    <xdr:col>6</xdr:col>
                    <xdr:colOff>0</xdr:colOff>
                    <xdr:row>4620</xdr:row>
                    <xdr:rowOff>0</xdr:rowOff>
                  </from>
                  <to>
                    <xdr:col>7</xdr:col>
                    <xdr:colOff>0</xdr:colOff>
                    <xdr:row>4621</xdr:row>
                    <xdr:rowOff>0</xdr:rowOff>
                  </to>
                </anchor>
              </controlPr>
            </control>
          </mc:Choice>
        </mc:AlternateContent>
        <mc:AlternateContent xmlns:mc="http://schemas.openxmlformats.org/markup-compatibility/2006">
          <mc:Choice Requires="x14">
            <control shapeId="12863" r:id="rId2618" name="Button 1599">
              <controlPr defaultSize="0" autoFill="0" autoLine="0" autoPict="0" macro="[0]!Sheet1.InsertNewTableRow">
                <anchor moveWithCells="1" sizeWithCells="1">
                  <from>
                    <xdr:col>6</xdr:col>
                    <xdr:colOff>0</xdr:colOff>
                    <xdr:row>4627</xdr:row>
                    <xdr:rowOff>0</xdr:rowOff>
                  </from>
                  <to>
                    <xdr:col>7</xdr:col>
                    <xdr:colOff>0</xdr:colOff>
                    <xdr:row>4627</xdr:row>
                    <xdr:rowOff>171450</xdr:rowOff>
                  </to>
                </anchor>
              </controlPr>
            </control>
          </mc:Choice>
        </mc:AlternateContent>
        <mc:AlternateContent xmlns:mc="http://schemas.openxmlformats.org/markup-compatibility/2006">
          <mc:Choice Requires="x14">
            <control shapeId="12862" r:id="rId2619" name="Button 1598">
              <controlPr defaultSize="0" autoFill="0" autoLine="0" autoPict="0" macro="[0]!Sheet1.deleteRow">
                <anchor moveWithCells="1" sizeWithCells="1">
                  <from>
                    <xdr:col>6</xdr:col>
                    <xdr:colOff>0</xdr:colOff>
                    <xdr:row>4628</xdr:row>
                    <xdr:rowOff>0</xdr:rowOff>
                  </from>
                  <to>
                    <xdr:col>7</xdr:col>
                    <xdr:colOff>0</xdr:colOff>
                    <xdr:row>4628</xdr:row>
                    <xdr:rowOff>165100</xdr:rowOff>
                  </to>
                </anchor>
              </controlPr>
            </control>
          </mc:Choice>
        </mc:AlternateContent>
        <mc:AlternateContent xmlns:mc="http://schemas.openxmlformats.org/markup-compatibility/2006">
          <mc:Choice Requires="x14">
            <control shapeId="12861" r:id="rId2620" name="Button 1597">
              <controlPr defaultSize="0" autoFill="0" autoLine="0" autoPict="0" macro="[0]!Sheet1.deleteRow">
                <anchor moveWithCells="1" sizeWithCells="1">
                  <from>
                    <xdr:col>6</xdr:col>
                    <xdr:colOff>0</xdr:colOff>
                    <xdr:row>4629</xdr:row>
                    <xdr:rowOff>0</xdr:rowOff>
                  </from>
                  <to>
                    <xdr:col>7</xdr:col>
                    <xdr:colOff>0</xdr:colOff>
                    <xdr:row>4629</xdr:row>
                    <xdr:rowOff>165100</xdr:rowOff>
                  </to>
                </anchor>
              </controlPr>
            </control>
          </mc:Choice>
        </mc:AlternateContent>
        <mc:AlternateContent xmlns:mc="http://schemas.openxmlformats.org/markup-compatibility/2006">
          <mc:Choice Requires="x14">
            <control shapeId="12860" r:id="rId2621" name="Button 1596">
              <controlPr defaultSize="0" autoFill="0" autoLine="0" autoPict="0" macro="[0]!Sheet1.deleteRow">
                <anchor moveWithCells="1" sizeWithCells="1">
                  <from>
                    <xdr:col>6</xdr:col>
                    <xdr:colOff>0</xdr:colOff>
                    <xdr:row>4630</xdr:row>
                    <xdr:rowOff>0</xdr:rowOff>
                  </from>
                  <to>
                    <xdr:col>7</xdr:col>
                    <xdr:colOff>0</xdr:colOff>
                    <xdr:row>4630</xdr:row>
                    <xdr:rowOff>165100</xdr:rowOff>
                  </to>
                </anchor>
              </controlPr>
            </control>
          </mc:Choice>
        </mc:AlternateContent>
        <mc:AlternateContent xmlns:mc="http://schemas.openxmlformats.org/markup-compatibility/2006">
          <mc:Choice Requires="x14">
            <control shapeId="12859" r:id="rId2622" name="Button 1595">
              <controlPr defaultSize="0" autoFill="0" autoLine="0" autoPict="0" macro="[0]!Sheet1.deleteProcedure">
                <anchor moveWithCells="1" sizeWithCells="1">
                  <from>
                    <xdr:col>6</xdr:col>
                    <xdr:colOff>0</xdr:colOff>
                    <xdr:row>4633</xdr:row>
                    <xdr:rowOff>0</xdr:rowOff>
                  </from>
                  <to>
                    <xdr:col>7</xdr:col>
                    <xdr:colOff>0</xdr:colOff>
                    <xdr:row>4634</xdr:row>
                    <xdr:rowOff>0</xdr:rowOff>
                  </to>
                </anchor>
              </controlPr>
            </control>
          </mc:Choice>
        </mc:AlternateContent>
        <mc:AlternateContent xmlns:mc="http://schemas.openxmlformats.org/markup-compatibility/2006">
          <mc:Choice Requires="x14">
            <control shapeId="12858" r:id="rId2623" name="Button 1594">
              <controlPr defaultSize="0" autoFill="0" autoLine="0" autoPict="0" macro="[0]!Sheet1.InsertNewTableRow">
                <anchor moveWithCells="1" sizeWithCells="1">
                  <from>
                    <xdr:col>6</xdr:col>
                    <xdr:colOff>0</xdr:colOff>
                    <xdr:row>4640</xdr:row>
                    <xdr:rowOff>0</xdr:rowOff>
                  </from>
                  <to>
                    <xdr:col>7</xdr:col>
                    <xdr:colOff>0</xdr:colOff>
                    <xdr:row>4640</xdr:row>
                    <xdr:rowOff>171450</xdr:rowOff>
                  </to>
                </anchor>
              </controlPr>
            </control>
          </mc:Choice>
        </mc:AlternateContent>
        <mc:AlternateContent xmlns:mc="http://schemas.openxmlformats.org/markup-compatibility/2006">
          <mc:Choice Requires="x14">
            <control shapeId="12857" r:id="rId2624" name="Button 1593">
              <controlPr defaultSize="0" autoFill="0" autoLine="0" autoPict="0" macro="[0]!Sheet1.deleteRow">
                <anchor moveWithCells="1" sizeWithCells="1">
                  <from>
                    <xdr:col>6</xdr:col>
                    <xdr:colOff>0</xdr:colOff>
                    <xdr:row>4641</xdr:row>
                    <xdr:rowOff>0</xdr:rowOff>
                  </from>
                  <to>
                    <xdr:col>7</xdr:col>
                    <xdr:colOff>0</xdr:colOff>
                    <xdr:row>4641</xdr:row>
                    <xdr:rowOff>165100</xdr:rowOff>
                  </to>
                </anchor>
              </controlPr>
            </control>
          </mc:Choice>
        </mc:AlternateContent>
        <mc:AlternateContent xmlns:mc="http://schemas.openxmlformats.org/markup-compatibility/2006">
          <mc:Choice Requires="x14">
            <control shapeId="12856" r:id="rId2625" name="Button 1592">
              <controlPr defaultSize="0" autoFill="0" autoLine="0" autoPict="0" macro="[0]!Sheet1.deleteRow">
                <anchor moveWithCells="1" sizeWithCells="1">
                  <from>
                    <xdr:col>6</xdr:col>
                    <xdr:colOff>0</xdr:colOff>
                    <xdr:row>4642</xdr:row>
                    <xdr:rowOff>0</xdr:rowOff>
                  </from>
                  <to>
                    <xdr:col>7</xdr:col>
                    <xdr:colOff>0</xdr:colOff>
                    <xdr:row>4642</xdr:row>
                    <xdr:rowOff>165100</xdr:rowOff>
                  </to>
                </anchor>
              </controlPr>
            </control>
          </mc:Choice>
        </mc:AlternateContent>
        <mc:AlternateContent xmlns:mc="http://schemas.openxmlformats.org/markup-compatibility/2006">
          <mc:Choice Requires="x14">
            <control shapeId="12855" r:id="rId2626" name="Button 1591">
              <controlPr defaultSize="0" autoFill="0" autoLine="0" autoPict="0" macro="[0]!Sheet1.deleteRow">
                <anchor moveWithCells="1" sizeWithCells="1">
                  <from>
                    <xdr:col>6</xdr:col>
                    <xdr:colOff>0</xdr:colOff>
                    <xdr:row>4643</xdr:row>
                    <xdr:rowOff>0</xdr:rowOff>
                  </from>
                  <to>
                    <xdr:col>7</xdr:col>
                    <xdr:colOff>0</xdr:colOff>
                    <xdr:row>4643</xdr:row>
                    <xdr:rowOff>165100</xdr:rowOff>
                  </to>
                </anchor>
              </controlPr>
            </control>
          </mc:Choice>
        </mc:AlternateContent>
        <mc:AlternateContent xmlns:mc="http://schemas.openxmlformats.org/markup-compatibility/2006">
          <mc:Choice Requires="x14">
            <control shapeId="12854" r:id="rId2627" name="Button 1590">
              <controlPr defaultSize="0" autoFill="0" autoLine="0" autoPict="0" macro="[0]!Sheet1.deleteRow">
                <anchor moveWithCells="1" sizeWithCells="1">
                  <from>
                    <xdr:col>6</xdr:col>
                    <xdr:colOff>0</xdr:colOff>
                    <xdr:row>4644</xdr:row>
                    <xdr:rowOff>0</xdr:rowOff>
                  </from>
                  <to>
                    <xdr:col>7</xdr:col>
                    <xdr:colOff>0</xdr:colOff>
                    <xdr:row>4644</xdr:row>
                    <xdr:rowOff>165100</xdr:rowOff>
                  </to>
                </anchor>
              </controlPr>
            </control>
          </mc:Choice>
        </mc:AlternateContent>
        <mc:AlternateContent xmlns:mc="http://schemas.openxmlformats.org/markup-compatibility/2006">
          <mc:Choice Requires="x14">
            <control shapeId="12853" r:id="rId2628" name="Button 1589">
              <controlPr defaultSize="0" autoFill="0" autoLine="0" autoPict="0" macro="[0]!Sheet1.deleteRow">
                <anchor moveWithCells="1" sizeWithCells="1">
                  <from>
                    <xdr:col>6</xdr:col>
                    <xdr:colOff>0</xdr:colOff>
                    <xdr:row>4645</xdr:row>
                    <xdr:rowOff>0</xdr:rowOff>
                  </from>
                  <to>
                    <xdr:col>7</xdr:col>
                    <xdr:colOff>0</xdr:colOff>
                    <xdr:row>4645</xdr:row>
                    <xdr:rowOff>165100</xdr:rowOff>
                  </to>
                </anchor>
              </controlPr>
            </control>
          </mc:Choice>
        </mc:AlternateContent>
        <mc:AlternateContent xmlns:mc="http://schemas.openxmlformats.org/markup-compatibility/2006">
          <mc:Choice Requires="x14">
            <control shapeId="12852" r:id="rId2629" name="Button 1588">
              <controlPr defaultSize="0" autoFill="0" autoLine="0" autoPict="0" macro="[0]!Sheet1.deleteRow">
                <anchor moveWithCells="1" sizeWithCells="1">
                  <from>
                    <xdr:col>6</xdr:col>
                    <xdr:colOff>0</xdr:colOff>
                    <xdr:row>4646</xdr:row>
                    <xdr:rowOff>0</xdr:rowOff>
                  </from>
                  <to>
                    <xdr:col>7</xdr:col>
                    <xdr:colOff>0</xdr:colOff>
                    <xdr:row>4646</xdr:row>
                    <xdr:rowOff>165100</xdr:rowOff>
                  </to>
                </anchor>
              </controlPr>
            </control>
          </mc:Choice>
        </mc:AlternateContent>
        <mc:AlternateContent xmlns:mc="http://schemas.openxmlformats.org/markup-compatibility/2006">
          <mc:Choice Requires="x14">
            <control shapeId="12851" r:id="rId2630" name="Button 1587">
              <controlPr defaultSize="0" autoFill="0" autoLine="0" autoPict="0" macro="[0]!Sheet1.deleteRow">
                <anchor moveWithCells="1" sizeWithCells="1">
                  <from>
                    <xdr:col>6</xdr:col>
                    <xdr:colOff>0</xdr:colOff>
                    <xdr:row>4647</xdr:row>
                    <xdr:rowOff>0</xdr:rowOff>
                  </from>
                  <to>
                    <xdr:col>7</xdr:col>
                    <xdr:colOff>0</xdr:colOff>
                    <xdr:row>4647</xdr:row>
                    <xdr:rowOff>165100</xdr:rowOff>
                  </to>
                </anchor>
              </controlPr>
            </control>
          </mc:Choice>
        </mc:AlternateContent>
        <mc:AlternateContent xmlns:mc="http://schemas.openxmlformats.org/markup-compatibility/2006">
          <mc:Choice Requires="x14">
            <control shapeId="12850" r:id="rId2631" name="Button 1586">
              <controlPr defaultSize="0" autoFill="0" autoLine="0" autoPict="0" macro="[0]!Sheet1.deleteRow">
                <anchor moveWithCells="1" sizeWithCells="1">
                  <from>
                    <xdr:col>6</xdr:col>
                    <xdr:colOff>0</xdr:colOff>
                    <xdr:row>4648</xdr:row>
                    <xdr:rowOff>0</xdr:rowOff>
                  </from>
                  <to>
                    <xdr:col>7</xdr:col>
                    <xdr:colOff>0</xdr:colOff>
                    <xdr:row>4648</xdr:row>
                    <xdr:rowOff>165100</xdr:rowOff>
                  </to>
                </anchor>
              </controlPr>
            </control>
          </mc:Choice>
        </mc:AlternateContent>
        <mc:AlternateContent xmlns:mc="http://schemas.openxmlformats.org/markup-compatibility/2006">
          <mc:Choice Requires="x14">
            <control shapeId="12849" r:id="rId2632" name="Button 1585">
              <controlPr defaultSize="0" autoFill="0" autoLine="0" autoPict="0" macro="[0]!Sheet1.deleteRow">
                <anchor moveWithCells="1" sizeWithCells="1">
                  <from>
                    <xdr:col>6</xdr:col>
                    <xdr:colOff>0</xdr:colOff>
                    <xdr:row>4649</xdr:row>
                    <xdr:rowOff>0</xdr:rowOff>
                  </from>
                  <to>
                    <xdr:col>7</xdr:col>
                    <xdr:colOff>0</xdr:colOff>
                    <xdr:row>4649</xdr:row>
                    <xdr:rowOff>165100</xdr:rowOff>
                  </to>
                </anchor>
              </controlPr>
            </control>
          </mc:Choice>
        </mc:AlternateContent>
        <mc:AlternateContent xmlns:mc="http://schemas.openxmlformats.org/markup-compatibility/2006">
          <mc:Choice Requires="x14">
            <control shapeId="12848" r:id="rId2633" name="Button 1584">
              <controlPr defaultSize="0" autoFill="0" autoLine="0" autoPict="0" macro="[0]!Sheet1.deleteRow">
                <anchor moveWithCells="1" sizeWithCells="1">
                  <from>
                    <xdr:col>6</xdr:col>
                    <xdr:colOff>0</xdr:colOff>
                    <xdr:row>4650</xdr:row>
                    <xdr:rowOff>0</xdr:rowOff>
                  </from>
                  <to>
                    <xdr:col>7</xdr:col>
                    <xdr:colOff>0</xdr:colOff>
                    <xdr:row>4650</xdr:row>
                    <xdr:rowOff>165100</xdr:rowOff>
                  </to>
                </anchor>
              </controlPr>
            </control>
          </mc:Choice>
        </mc:AlternateContent>
        <mc:AlternateContent xmlns:mc="http://schemas.openxmlformats.org/markup-compatibility/2006">
          <mc:Choice Requires="x14">
            <control shapeId="12847" r:id="rId2634" name="Button 1583">
              <controlPr defaultSize="0" autoFill="0" autoLine="0" autoPict="0" macro="[0]!Sheet1.deleteRow">
                <anchor moveWithCells="1" sizeWithCells="1">
                  <from>
                    <xdr:col>6</xdr:col>
                    <xdr:colOff>0</xdr:colOff>
                    <xdr:row>4651</xdr:row>
                    <xdr:rowOff>0</xdr:rowOff>
                  </from>
                  <to>
                    <xdr:col>7</xdr:col>
                    <xdr:colOff>0</xdr:colOff>
                    <xdr:row>4651</xdr:row>
                    <xdr:rowOff>165100</xdr:rowOff>
                  </to>
                </anchor>
              </controlPr>
            </control>
          </mc:Choice>
        </mc:AlternateContent>
        <mc:AlternateContent xmlns:mc="http://schemas.openxmlformats.org/markup-compatibility/2006">
          <mc:Choice Requires="x14">
            <control shapeId="12846" r:id="rId2635" name="Button 1582">
              <controlPr defaultSize="0" autoFill="0" autoLine="0" autoPict="0" macro="[0]!Sheet1.deleteRow">
                <anchor moveWithCells="1" sizeWithCells="1">
                  <from>
                    <xdr:col>6</xdr:col>
                    <xdr:colOff>0</xdr:colOff>
                    <xdr:row>4652</xdr:row>
                    <xdr:rowOff>0</xdr:rowOff>
                  </from>
                  <to>
                    <xdr:col>7</xdr:col>
                    <xdr:colOff>0</xdr:colOff>
                    <xdr:row>4652</xdr:row>
                    <xdr:rowOff>165100</xdr:rowOff>
                  </to>
                </anchor>
              </controlPr>
            </control>
          </mc:Choice>
        </mc:AlternateContent>
        <mc:AlternateContent xmlns:mc="http://schemas.openxmlformats.org/markup-compatibility/2006">
          <mc:Choice Requires="x14">
            <control shapeId="12845" r:id="rId2636" name="Button 1581">
              <controlPr defaultSize="0" autoFill="0" autoLine="0" autoPict="0" macro="[0]!Sheet1.deleteRow">
                <anchor moveWithCells="1" sizeWithCells="1">
                  <from>
                    <xdr:col>6</xdr:col>
                    <xdr:colOff>0</xdr:colOff>
                    <xdr:row>4653</xdr:row>
                    <xdr:rowOff>0</xdr:rowOff>
                  </from>
                  <to>
                    <xdr:col>7</xdr:col>
                    <xdr:colOff>0</xdr:colOff>
                    <xdr:row>4653</xdr:row>
                    <xdr:rowOff>165100</xdr:rowOff>
                  </to>
                </anchor>
              </controlPr>
            </control>
          </mc:Choice>
        </mc:AlternateContent>
        <mc:AlternateContent xmlns:mc="http://schemas.openxmlformats.org/markup-compatibility/2006">
          <mc:Choice Requires="x14">
            <control shapeId="12844" r:id="rId2637" name="Button 1580">
              <controlPr defaultSize="0" autoFill="0" autoLine="0" autoPict="0" macro="[0]!Sheet1.deleteRow">
                <anchor moveWithCells="1" sizeWithCells="1">
                  <from>
                    <xdr:col>6</xdr:col>
                    <xdr:colOff>0</xdr:colOff>
                    <xdr:row>4654</xdr:row>
                    <xdr:rowOff>0</xdr:rowOff>
                  </from>
                  <to>
                    <xdr:col>7</xdr:col>
                    <xdr:colOff>0</xdr:colOff>
                    <xdr:row>4654</xdr:row>
                    <xdr:rowOff>165100</xdr:rowOff>
                  </to>
                </anchor>
              </controlPr>
            </control>
          </mc:Choice>
        </mc:AlternateContent>
        <mc:AlternateContent xmlns:mc="http://schemas.openxmlformats.org/markup-compatibility/2006">
          <mc:Choice Requires="x14">
            <control shapeId="12843" r:id="rId2638" name="Button 1579">
              <controlPr defaultSize="0" autoFill="0" autoLine="0" autoPict="0" macro="[0]!Sheet1.deleteProcedure">
                <anchor moveWithCells="1" sizeWithCells="1">
                  <from>
                    <xdr:col>6</xdr:col>
                    <xdr:colOff>0</xdr:colOff>
                    <xdr:row>4657</xdr:row>
                    <xdr:rowOff>0</xdr:rowOff>
                  </from>
                  <to>
                    <xdr:col>7</xdr:col>
                    <xdr:colOff>0</xdr:colOff>
                    <xdr:row>4658</xdr:row>
                    <xdr:rowOff>0</xdr:rowOff>
                  </to>
                </anchor>
              </controlPr>
            </control>
          </mc:Choice>
        </mc:AlternateContent>
        <mc:AlternateContent xmlns:mc="http://schemas.openxmlformats.org/markup-compatibility/2006">
          <mc:Choice Requires="x14">
            <control shapeId="12842" r:id="rId2639" name="Button 1578">
              <controlPr defaultSize="0" autoFill="0" autoLine="0" autoPict="0" macro="[0]!Sheet1.InsertNewTableRow">
                <anchor moveWithCells="1" sizeWithCells="1">
                  <from>
                    <xdr:col>6</xdr:col>
                    <xdr:colOff>0</xdr:colOff>
                    <xdr:row>4664</xdr:row>
                    <xdr:rowOff>0</xdr:rowOff>
                  </from>
                  <to>
                    <xdr:col>7</xdr:col>
                    <xdr:colOff>0</xdr:colOff>
                    <xdr:row>4664</xdr:row>
                    <xdr:rowOff>171450</xdr:rowOff>
                  </to>
                </anchor>
              </controlPr>
            </control>
          </mc:Choice>
        </mc:AlternateContent>
        <mc:AlternateContent xmlns:mc="http://schemas.openxmlformats.org/markup-compatibility/2006">
          <mc:Choice Requires="x14">
            <control shapeId="12841" r:id="rId2640" name="Button 1577">
              <controlPr defaultSize="0" autoFill="0" autoLine="0" autoPict="0" macro="[0]!Sheet1.deleteRow">
                <anchor moveWithCells="1" sizeWithCells="1">
                  <from>
                    <xdr:col>6</xdr:col>
                    <xdr:colOff>0</xdr:colOff>
                    <xdr:row>4665</xdr:row>
                    <xdr:rowOff>0</xdr:rowOff>
                  </from>
                  <to>
                    <xdr:col>7</xdr:col>
                    <xdr:colOff>0</xdr:colOff>
                    <xdr:row>4665</xdr:row>
                    <xdr:rowOff>165100</xdr:rowOff>
                  </to>
                </anchor>
              </controlPr>
            </control>
          </mc:Choice>
        </mc:AlternateContent>
        <mc:AlternateContent xmlns:mc="http://schemas.openxmlformats.org/markup-compatibility/2006">
          <mc:Choice Requires="x14">
            <control shapeId="12840" r:id="rId2641" name="Button 1576">
              <controlPr defaultSize="0" autoFill="0" autoLine="0" autoPict="0" macro="[0]!Sheet1.deleteProcedure">
                <anchor moveWithCells="1" sizeWithCells="1">
                  <from>
                    <xdr:col>6</xdr:col>
                    <xdr:colOff>0</xdr:colOff>
                    <xdr:row>4668</xdr:row>
                    <xdr:rowOff>0</xdr:rowOff>
                  </from>
                  <to>
                    <xdr:col>7</xdr:col>
                    <xdr:colOff>0</xdr:colOff>
                    <xdr:row>4669</xdr:row>
                    <xdr:rowOff>0</xdr:rowOff>
                  </to>
                </anchor>
              </controlPr>
            </control>
          </mc:Choice>
        </mc:AlternateContent>
        <mc:AlternateContent xmlns:mc="http://schemas.openxmlformats.org/markup-compatibility/2006">
          <mc:Choice Requires="x14">
            <control shapeId="12839" r:id="rId2642" name="Button 1575">
              <controlPr defaultSize="0" autoFill="0" autoLine="0" autoPict="0" macro="[0]!Sheet1.InsertNewTableRow">
                <anchor moveWithCells="1" sizeWithCells="1">
                  <from>
                    <xdr:col>6</xdr:col>
                    <xdr:colOff>0</xdr:colOff>
                    <xdr:row>4675</xdr:row>
                    <xdr:rowOff>0</xdr:rowOff>
                  </from>
                  <to>
                    <xdr:col>7</xdr:col>
                    <xdr:colOff>0</xdr:colOff>
                    <xdr:row>4675</xdr:row>
                    <xdr:rowOff>171450</xdr:rowOff>
                  </to>
                </anchor>
              </controlPr>
            </control>
          </mc:Choice>
        </mc:AlternateContent>
        <mc:AlternateContent xmlns:mc="http://schemas.openxmlformats.org/markup-compatibility/2006">
          <mc:Choice Requires="x14">
            <control shapeId="12838" r:id="rId2643" name="Button 1574">
              <controlPr defaultSize="0" autoFill="0" autoLine="0" autoPict="0" macro="[0]!Sheet1.deleteRow">
                <anchor moveWithCells="1" sizeWithCells="1">
                  <from>
                    <xdr:col>6</xdr:col>
                    <xdr:colOff>0</xdr:colOff>
                    <xdr:row>4676</xdr:row>
                    <xdr:rowOff>0</xdr:rowOff>
                  </from>
                  <to>
                    <xdr:col>7</xdr:col>
                    <xdr:colOff>0</xdr:colOff>
                    <xdr:row>4676</xdr:row>
                    <xdr:rowOff>165100</xdr:rowOff>
                  </to>
                </anchor>
              </controlPr>
            </control>
          </mc:Choice>
        </mc:AlternateContent>
        <mc:AlternateContent xmlns:mc="http://schemas.openxmlformats.org/markup-compatibility/2006">
          <mc:Choice Requires="x14">
            <control shapeId="12837" r:id="rId2644" name="Button 1573">
              <controlPr defaultSize="0" autoFill="0" autoLine="0" autoPict="0" macro="[0]!Sheet1.deleteProcedure">
                <anchor moveWithCells="1" sizeWithCells="1">
                  <from>
                    <xdr:col>6</xdr:col>
                    <xdr:colOff>0</xdr:colOff>
                    <xdr:row>4679</xdr:row>
                    <xdr:rowOff>0</xdr:rowOff>
                  </from>
                  <to>
                    <xdr:col>7</xdr:col>
                    <xdr:colOff>0</xdr:colOff>
                    <xdr:row>4680</xdr:row>
                    <xdr:rowOff>0</xdr:rowOff>
                  </to>
                </anchor>
              </controlPr>
            </control>
          </mc:Choice>
        </mc:AlternateContent>
        <mc:AlternateContent xmlns:mc="http://schemas.openxmlformats.org/markup-compatibility/2006">
          <mc:Choice Requires="x14">
            <control shapeId="12836" r:id="rId2645" name="Button 1572">
              <controlPr defaultSize="0" autoFill="0" autoLine="0" autoPict="0" macro="[0]!Sheet1.InsertNewTableRow">
                <anchor moveWithCells="1" sizeWithCells="1">
                  <from>
                    <xdr:col>6</xdr:col>
                    <xdr:colOff>0</xdr:colOff>
                    <xdr:row>4686</xdr:row>
                    <xdr:rowOff>0</xdr:rowOff>
                  </from>
                  <to>
                    <xdr:col>7</xdr:col>
                    <xdr:colOff>0</xdr:colOff>
                    <xdr:row>4686</xdr:row>
                    <xdr:rowOff>171450</xdr:rowOff>
                  </to>
                </anchor>
              </controlPr>
            </control>
          </mc:Choice>
        </mc:AlternateContent>
        <mc:AlternateContent xmlns:mc="http://schemas.openxmlformats.org/markup-compatibility/2006">
          <mc:Choice Requires="x14">
            <control shapeId="12835" r:id="rId2646" name="Button 1571">
              <controlPr defaultSize="0" autoFill="0" autoLine="0" autoPict="0" macro="[0]!Sheet1.deleteRow">
                <anchor moveWithCells="1" sizeWithCells="1">
                  <from>
                    <xdr:col>6</xdr:col>
                    <xdr:colOff>0</xdr:colOff>
                    <xdr:row>4687</xdr:row>
                    <xdr:rowOff>0</xdr:rowOff>
                  </from>
                  <to>
                    <xdr:col>7</xdr:col>
                    <xdr:colOff>0</xdr:colOff>
                    <xdr:row>4687</xdr:row>
                    <xdr:rowOff>165100</xdr:rowOff>
                  </to>
                </anchor>
              </controlPr>
            </control>
          </mc:Choice>
        </mc:AlternateContent>
        <mc:AlternateContent xmlns:mc="http://schemas.openxmlformats.org/markup-compatibility/2006">
          <mc:Choice Requires="x14">
            <control shapeId="12834" r:id="rId2647" name="Button 1570">
              <controlPr defaultSize="0" autoFill="0" autoLine="0" autoPict="0" macro="[0]!Sheet1.deleteRow">
                <anchor moveWithCells="1" sizeWithCells="1">
                  <from>
                    <xdr:col>6</xdr:col>
                    <xdr:colOff>0</xdr:colOff>
                    <xdr:row>4688</xdr:row>
                    <xdr:rowOff>0</xdr:rowOff>
                  </from>
                  <to>
                    <xdr:col>7</xdr:col>
                    <xdr:colOff>0</xdr:colOff>
                    <xdr:row>4688</xdr:row>
                    <xdr:rowOff>165100</xdr:rowOff>
                  </to>
                </anchor>
              </controlPr>
            </control>
          </mc:Choice>
        </mc:AlternateContent>
        <mc:AlternateContent xmlns:mc="http://schemas.openxmlformats.org/markup-compatibility/2006">
          <mc:Choice Requires="x14">
            <control shapeId="12833" r:id="rId2648" name="Button 1569">
              <controlPr defaultSize="0" autoFill="0" autoLine="0" autoPict="0" macro="[0]!Sheet1.deleteProcedure">
                <anchor moveWithCells="1" sizeWithCells="1">
                  <from>
                    <xdr:col>6</xdr:col>
                    <xdr:colOff>0</xdr:colOff>
                    <xdr:row>4691</xdr:row>
                    <xdr:rowOff>0</xdr:rowOff>
                  </from>
                  <to>
                    <xdr:col>7</xdr:col>
                    <xdr:colOff>0</xdr:colOff>
                    <xdr:row>4692</xdr:row>
                    <xdr:rowOff>0</xdr:rowOff>
                  </to>
                </anchor>
              </controlPr>
            </control>
          </mc:Choice>
        </mc:AlternateContent>
        <mc:AlternateContent xmlns:mc="http://schemas.openxmlformats.org/markup-compatibility/2006">
          <mc:Choice Requires="x14">
            <control shapeId="12832" r:id="rId2649" name="Button 1568">
              <controlPr defaultSize="0" autoFill="0" autoLine="0" autoPict="0" macro="[0]!Sheet1.InsertNewTableRow">
                <anchor moveWithCells="1" sizeWithCells="1">
                  <from>
                    <xdr:col>6</xdr:col>
                    <xdr:colOff>0</xdr:colOff>
                    <xdr:row>4698</xdr:row>
                    <xdr:rowOff>0</xdr:rowOff>
                  </from>
                  <to>
                    <xdr:col>7</xdr:col>
                    <xdr:colOff>0</xdr:colOff>
                    <xdr:row>4698</xdr:row>
                    <xdr:rowOff>171450</xdr:rowOff>
                  </to>
                </anchor>
              </controlPr>
            </control>
          </mc:Choice>
        </mc:AlternateContent>
        <mc:AlternateContent xmlns:mc="http://schemas.openxmlformats.org/markup-compatibility/2006">
          <mc:Choice Requires="x14">
            <control shapeId="12831" r:id="rId2650" name="Button 1567">
              <controlPr defaultSize="0" autoFill="0" autoLine="0" autoPict="0" macro="[0]!Sheet1.deleteRow">
                <anchor moveWithCells="1" sizeWithCells="1">
                  <from>
                    <xdr:col>6</xdr:col>
                    <xdr:colOff>0</xdr:colOff>
                    <xdr:row>4699</xdr:row>
                    <xdr:rowOff>0</xdr:rowOff>
                  </from>
                  <to>
                    <xdr:col>7</xdr:col>
                    <xdr:colOff>0</xdr:colOff>
                    <xdr:row>4699</xdr:row>
                    <xdr:rowOff>165100</xdr:rowOff>
                  </to>
                </anchor>
              </controlPr>
            </control>
          </mc:Choice>
        </mc:AlternateContent>
        <mc:AlternateContent xmlns:mc="http://schemas.openxmlformats.org/markup-compatibility/2006">
          <mc:Choice Requires="x14">
            <control shapeId="12830" r:id="rId2651" name="Button 1566">
              <controlPr defaultSize="0" autoFill="0" autoLine="0" autoPict="0" macro="[0]!Sheet1.deleteProcedure">
                <anchor moveWithCells="1" sizeWithCells="1">
                  <from>
                    <xdr:col>6</xdr:col>
                    <xdr:colOff>0</xdr:colOff>
                    <xdr:row>4702</xdr:row>
                    <xdr:rowOff>0</xdr:rowOff>
                  </from>
                  <to>
                    <xdr:col>7</xdr:col>
                    <xdr:colOff>0</xdr:colOff>
                    <xdr:row>4703</xdr:row>
                    <xdr:rowOff>0</xdr:rowOff>
                  </to>
                </anchor>
              </controlPr>
            </control>
          </mc:Choice>
        </mc:AlternateContent>
        <mc:AlternateContent xmlns:mc="http://schemas.openxmlformats.org/markup-compatibility/2006">
          <mc:Choice Requires="x14">
            <control shapeId="12829" r:id="rId2652" name="Button 1565">
              <controlPr defaultSize="0" autoFill="0" autoLine="0" autoPict="0" macro="[0]!Sheet1.InsertNewTableRow">
                <anchor moveWithCells="1" sizeWithCells="1">
                  <from>
                    <xdr:col>6</xdr:col>
                    <xdr:colOff>0</xdr:colOff>
                    <xdr:row>4709</xdr:row>
                    <xdr:rowOff>0</xdr:rowOff>
                  </from>
                  <to>
                    <xdr:col>7</xdr:col>
                    <xdr:colOff>0</xdr:colOff>
                    <xdr:row>4709</xdr:row>
                    <xdr:rowOff>171450</xdr:rowOff>
                  </to>
                </anchor>
              </controlPr>
            </control>
          </mc:Choice>
        </mc:AlternateContent>
        <mc:AlternateContent xmlns:mc="http://schemas.openxmlformats.org/markup-compatibility/2006">
          <mc:Choice Requires="x14">
            <control shapeId="12828" r:id="rId2653" name="Button 1564">
              <controlPr defaultSize="0" autoFill="0" autoLine="0" autoPict="0" macro="[0]!Sheet1.deleteRow">
                <anchor moveWithCells="1" sizeWithCells="1">
                  <from>
                    <xdr:col>6</xdr:col>
                    <xdr:colOff>0</xdr:colOff>
                    <xdr:row>4710</xdr:row>
                    <xdr:rowOff>0</xdr:rowOff>
                  </from>
                  <to>
                    <xdr:col>7</xdr:col>
                    <xdr:colOff>0</xdr:colOff>
                    <xdr:row>4710</xdr:row>
                    <xdr:rowOff>165100</xdr:rowOff>
                  </to>
                </anchor>
              </controlPr>
            </control>
          </mc:Choice>
        </mc:AlternateContent>
        <mc:AlternateContent xmlns:mc="http://schemas.openxmlformats.org/markup-compatibility/2006">
          <mc:Choice Requires="x14">
            <control shapeId="12827" r:id="rId2654" name="Button 1563">
              <controlPr defaultSize="0" autoFill="0" autoLine="0" autoPict="0" macro="[0]!Sheet1.deleteRow">
                <anchor moveWithCells="1" sizeWithCells="1">
                  <from>
                    <xdr:col>6</xdr:col>
                    <xdr:colOff>0</xdr:colOff>
                    <xdr:row>4711</xdr:row>
                    <xdr:rowOff>0</xdr:rowOff>
                  </from>
                  <to>
                    <xdr:col>7</xdr:col>
                    <xdr:colOff>0</xdr:colOff>
                    <xdr:row>4711</xdr:row>
                    <xdr:rowOff>165100</xdr:rowOff>
                  </to>
                </anchor>
              </controlPr>
            </control>
          </mc:Choice>
        </mc:AlternateContent>
        <mc:AlternateContent xmlns:mc="http://schemas.openxmlformats.org/markup-compatibility/2006">
          <mc:Choice Requires="x14">
            <control shapeId="12826" r:id="rId2655" name="Button 1562">
              <controlPr defaultSize="0" autoFill="0" autoLine="0" autoPict="0" macro="[0]!Sheet1.deleteProcedure">
                <anchor moveWithCells="1" sizeWithCells="1">
                  <from>
                    <xdr:col>6</xdr:col>
                    <xdr:colOff>0</xdr:colOff>
                    <xdr:row>4714</xdr:row>
                    <xdr:rowOff>0</xdr:rowOff>
                  </from>
                  <to>
                    <xdr:col>7</xdr:col>
                    <xdr:colOff>0</xdr:colOff>
                    <xdr:row>4715</xdr:row>
                    <xdr:rowOff>0</xdr:rowOff>
                  </to>
                </anchor>
              </controlPr>
            </control>
          </mc:Choice>
        </mc:AlternateContent>
        <mc:AlternateContent xmlns:mc="http://schemas.openxmlformats.org/markup-compatibility/2006">
          <mc:Choice Requires="x14">
            <control shapeId="12825" r:id="rId2656" name="Button 1561">
              <controlPr defaultSize="0" autoFill="0" autoLine="0" autoPict="0" macro="[0]!Sheet1.InsertNewTableRow">
                <anchor moveWithCells="1" sizeWithCells="1">
                  <from>
                    <xdr:col>6</xdr:col>
                    <xdr:colOff>0</xdr:colOff>
                    <xdr:row>4721</xdr:row>
                    <xdr:rowOff>0</xdr:rowOff>
                  </from>
                  <to>
                    <xdr:col>7</xdr:col>
                    <xdr:colOff>0</xdr:colOff>
                    <xdr:row>4721</xdr:row>
                    <xdr:rowOff>171450</xdr:rowOff>
                  </to>
                </anchor>
              </controlPr>
            </control>
          </mc:Choice>
        </mc:AlternateContent>
        <mc:AlternateContent xmlns:mc="http://schemas.openxmlformats.org/markup-compatibility/2006">
          <mc:Choice Requires="x14">
            <control shapeId="12824" r:id="rId2657" name="Button 1560">
              <controlPr defaultSize="0" autoFill="0" autoLine="0" autoPict="0" macro="[0]!Sheet1.deleteRow">
                <anchor moveWithCells="1" sizeWithCells="1">
                  <from>
                    <xdr:col>6</xdr:col>
                    <xdr:colOff>0</xdr:colOff>
                    <xdr:row>4722</xdr:row>
                    <xdr:rowOff>0</xdr:rowOff>
                  </from>
                  <to>
                    <xdr:col>7</xdr:col>
                    <xdr:colOff>0</xdr:colOff>
                    <xdr:row>4722</xdr:row>
                    <xdr:rowOff>165100</xdr:rowOff>
                  </to>
                </anchor>
              </controlPr>
            </control>
          </mc:Choice>
        </mc:AlternateContent>
        <mc:AlternateContent xmlns:mc="http://schemas.openxmlformats.org/markup-compatibility/2006">
          <mc:Choice Requires="x14">
            <control shapeId="12823" r:id="rId2658" name="Button 1559">
              <controlPr defaultSize="0" autoFill="0" autoLine="0" autoPict="0" macro="[0]!Sheet1.deleteRow">
                <anchor moveWithCells="1" sizeWithCells="1">
                  <from>
                    <xdr:col>6</xdr:col>
                    <xdr:colOff>0</xdr:colOff>
                    <xdr:row>4723</xdr:row>
                    <xdr:rowOff>0</xdr:rowOff>
                  </from>
                  <to>
                    <xdr:col>7</xdr:col>
                    <xdr:colOff>0</xdr:colOff>
                    <xdr:row>4723</xdr:row>
                    <xdr:rowOff>165100</xdr:rowOff>
                  </to>
                </anchor>
              </controlPr>
            </control>
          </mc:Choice>
        </mc:AlternateContent>
        <mc:AlternateContent xmlns:mc="http://schemas.openxmlformats.org/markup-compatibility/2006">
          <mc:Choice Requires="x14">
            <control shapeId="12822" r:id="rId2659" name="Button 1558">
              <controlPr defaultSize="0" autoFill="0" autoLine="0" autoPict="0" macro="[0]!Sheet1.deleteRow">
                <anchor moveWithCells="1" sizeWithCells="1">
                  <from>
                    <xdr:col>6</xdr:col>
                    <xdr:colOff>0</xdr:colOff>
                    <xdr:row>4724</xdr:row>
                    <xdr:rowOff>0</xdr:rowOff>
                  </from>
                  <to>
                    <xdr:col>7</xdr:col>
                    <xdr:colOff>0</xdr:colOff>
                    <xdr:row>4724</xdr:row>
                    <xdr:rowOff>165100</xdr:rowOff>
                  </to>
                </anchor>
              </controlPr>
            </control>
          </mc:Choice>
        </mc:AlternateContent>
        <mc:AlternateContent xmlns:mc="http://schemas.openxmlformats.org/markup-compatibility/2006">
          <mc:Choice Requires="x14">
            <control shapeId="12821" r:id="rId2660" name="Button 1557">
              <controlPr defaultSize="0" autoFill="0" autoLine="0" autoPict="0" macro="[0]!Sheet1.deleteProcedure">
                <anchor moveWithCells="1" sizeWithCells="1">
                  <from>
                    <xdr:col>6</xdr:col>
                    <xdr:colOff>0</xdr:colOff>
                    <xdr:row>4727</xdr:row>
                    <xdr:rowOff>0</xdr:rowOff>
                  </from>
                  <to>
                    <xdr:col>7</xdr:col>
                    <xdr:colOff>0</xdr:colOff>
                    <xdr:row>4728</xdr:row>
                    <xdr:rowOff>0</xdr:rowOff>
                  </to>
                </anchor>
              </controlPr>
            </control>
          </mc:Choice>
        </mc:AlternateContent>
        <mc:AlternateContent xmlns:mc="http://schemas.openxmlformats.org/markup-compatibility/2006">
          <mc:Choice Requires="x14">
            <control shapeId="12820" r:id="rId2661" name="Button 1556">
              <controlPr defaultSize="0" autoFill="0" autoLine="0" autoPict="0" macro="[0]!Sheet1.InsertNewTableRow">
                <anchor moveWithCells="1" sizeWithCells="1">
                  <from>
                    <xdr:col>6</xdr:col>
                    <xdr:colOff>0</xdr:colOff>
                    <xdr:row>4734</xdr:row>
                    <xdr:rowOff>0</xdr:rowOff>
                  </from>
                  <to>
                    <xdr:col>7</xdr:col>
                    <xdr:colOff>0</xdr:colOff>
                    <xdr:row>4734</xdr:row>
                    <xdr:rowOff>171450</xdr:rowOff>
                  </to>
                </anchor>
              </controlPr>
            </control>
          </mc:Choice>
        </mc:AlternateContent>
        <mc:AlternateContent xmlns:mc="http://schemas.openxmlformats.org/markup-compatibility/2006">
          <mc:Choice Requires="x14">
            <control shapeId="12819" r:id="rId2662" name="Button 1555">
              <controlPr defaultSize="0" autoFill="0" autoLine="0" autoPict="0" macro="[0]!Sheet1.deleteRow">
                <anchor moveWithCells="1" sizeWithCells="1">
                  <from>
                    <xdr:col>6</xdr:col>
                    <xdr:colOff>0</xdr:colOff>
                    <xdr:row>4735</xdr:row>
                    <xdr:rowOff>0</xdr:rowOff>
                  </from>
                  <to>
                    <xdr:col>7</xdr:col>
                    <xdr:colOff>0</xdr:colOff>
                    <xdr:row>4735</xdr:row>
                    <xdr:rowOff>165100</xdr:rowOff>
                  </to>
                </anchor>
              </controlPr>
            </control>
          </mc:Choice>
        </mc:AlternateContent>
        <mc:AlternateContent xmlns:mc="http://schemas.openxmlformats.org/markup-compatibility/2006">
          <mc:Choice Requires="x14">
            <control shapeId="12818" r:id="rId2663" name="Button 1554">
              <controlPr defaultSize="0" autoFill="0" autoLine="0" autoPict="0" macro="[0]!Sheet1.deleteRow">
                <anchor moveWithCells="1" sizeWithCells="1">
                  <from>
                    <xdr:col>6</xdr:col>
                    <xdr:colOff>0</xdr:colOff>
                    <xdr:row>4736</xdr:row>
                    <xdr:rowOff>0</xdr:rowOff>
                  </from>
                  <to>
                    <xdr:col>7</xdr:col>
                    <xdr:colOff>0</xdr:colOff>
                    <xdr:row>4736</xdr:row>
                    <xdr:rowOff>165100</xdr:rowOff>
                  </to>
                </anchor>
              </controlPr>
            </control>
          </mc:Choice>
        </mc:AlternateContent>
        <mc:AlternateContent xmlns:mc="http://schemas.openxmlformats.org/markup-compatibility/2006">
          <mc:Choice Requires="x14">
            <control shapeId="12817" r:id="rId2664" name="Button 1553">
              <controlPr defaultSize="0" autoFill="0" autoLine="0" autoPict="0" macro="[0]!Sheet1.deleteRow">
                <anchor moveWithCells="1" sizeWithCells="1">
                  <from>
                    <xdr:col>6</xdr:col>
                    <xdr:colOff>0</xdr:colOff>
                    <xdr:row>4737</xdr:row>
                    <xdr:rowOff>0</xdr:rowOff>
                  </from>
                  <to>
                    <xdr:col>7</xdr:col>
                    <xdr:colOff>0</xdr:colOff>
                    <xdr:row>4737</xdr:row>
                    <xdr:rowOff>165100</xdr:rowOff>
                  </to>
                </anchor>
              </controlPr>
            </control>
          </mc:Choice>
        </mc:AlternateContent>
        <mc:AlternateContent xmlns:mc="http://schemas.openxmlformats.org/markup-compatibility/2006">
          <mc:Choice Requires="x14">
            <control shapeId="12816" r:id="rId2665" name="Button 1552">
              <controlPr defaultSize="0" autoFill="0" autoLine="0" autoPict="0" macro="[0]!Sheet1.deleteProcedure">
                <anchor moveWithCells="1" sizeWithCells="1">
                  <from>
                    <xdr:col>6</xdr:col>
                    <xdr:colOff>0</xdr:colOff>
                    <xdr:row>4740</xdr:row>
                    <xdr:rowOff>0</xdr:rowOff>
                  </from>
                  <to>
                    <xdr:col>7</xdr:col>
                    <xdr:colOff>0</xdr:colOff>
                    <xdr:row>4741</xdr:row>
                    <xdr:rowOff>0</xdr:rowOff>
                  </to>
                </anchor>
              </controlPr>
            </control>
          </mc:Choice>
        </mc:AlternateContent>
        <mc:AlternateContent xmlns:mc="http://schemas.openxmlformats.org/markup-compatibility/2006">
          <mc:Choice Requires="x14">
            <control shapeId="12815" r:id="rId2666" name="Button 1551">
              <controlPr defaultSize="0" autoFill="0" autoLine="0" autoPict="0" macro="[0]!Sheet1.InsertNewTableRow">
                <anchor moveWithCells="1" sizeWithCells="1">
                  <from>
                    <xdr:col>6</xdr:col>
                    <xdr:colOff>0</xdr:colOff>
                    <xdr:row>4747</xdr:row>
                    <xdr:rowOff>0</xdr:rowOff>
                  </from>
                  <to>
                    <xdr:col>7</xdr:col>
                    <xdr:colOff>0</xdr:colOff>
                    <xdr:row>4747</xdr:row>
                    <xdr:rowOff>171450</xdr:rowOff>
                  </to>
                </anchor>
              </controlPr>
            </control>
          </mc:Choice>
        </mc:AlternateContent>
        <mc:AlternateContent xmlns:mc="http://schemas.openxmlformats.org/markup-compatibility/2006">
          <mc:Choice Requires="x14">
            <control shapeId="12814" r:id="rId2667" name="Button 1550">
              <controlPr defaultSize="0" autoFill="0" autoLine="0" autoPict="0" macro="[0]!Sheet1.deleteRow">
                <anchor moveWithCells="1" sizeWithCells="1">
                  <from>
                    <xdr:col>6</xdr:col>
                    <xdr:colOff>0</xdr:colOff>
                    <xdr:row>4748</xdr:row>
                    <xdr:rowOff>0</xdr:rowOff>
                  </from>
                  <to>
                    <xdr:col>7</xdr:col>
                    <xdr:colOff>0</xdr:colOff>
                    <xdr:row>4748</xdr:row>
                    <xdr:rowOff>165100</xdr:rowOff>
                  </to>
                </anchor>
              </controlPr>
            </control>
          </mc:Choice>
        </mc:AlternateContent>
        <mc:AlternateContent xmlns:mc="http://schemas.openxmlformats.org/markup-compatibility/2006">
          <mc:Choice Requires="x14">
            <control shapeId="12813" r:id="rId2668" name="Button 1549">
              <controlPr defaultSize="0" autoFill="0" autoLine="0" autoPict="0" macro="[0]!Sheet1.deleteRow">
                <anchor moveWithCells="1" sizeWithCells="1">
                  <from>
                    <xdr:col>6</xdr:col>
                    <xdr:colOff>0</xdr:colOff>
                    <xdr:row>4749</xdr:row>
                    <xdr:rowOff>0</xdr:rowOff>
                  </from>
                  <to>
                    <xdr:col>7</xdr:col>
                    <xdr:colOff>0</xdr:colOff>
                    <xdr:row>4749</xdr:row>
                    <xdr:rowOff>165100</xdr:rowOff>
                  </to>
                </anchor>
              </controlPr>
            </control>
          </mc:Choice>
        </mc:AlternateContent>
        <mc:AlternateContent xmlns:mc="http://schemas.openxmlformats.org/markup-compatibility/2006">
          <mc:Choice Requires="x14">
            <control shapeId="12812" r:id="rId2669" name="Button 1548">
              <controlPr defaultSize="0" autoFill="0" autoLine="0" autoPict="0" macro="[0]!Sheet1.deleteProcedure">
                <anchor moveWithCells="1" sizeWithCells="1">
                  <from>
                    <xdr:col>6</xdr:col>
                    <xdr:colOff>0</xdr:colOff>
                    <xdr:row>4752</xdr:row>
                    <xdr:rowOff>0</xdr:rowOff>
                  </from>
                  <to>
                    <xdr:col>7</xdr:col>
                    <xdr:colOff>0</xdr:colOff>
                    <xdr:row>4753</xdr:row>
                    <xdr:rowOff>0</xdr:rowOff>
                  </to>
                </anchor>
              </controlPr>
            </control>
          </mc:Choice>
        </mc:AlternateContent>
        <mc:AlternateContent xmlns:mc="http://schemas.openxmlformats.org/markup-compatibility/2006">
          <mc:Choice Requires="x14">
            <control shapeId="12811" r:id="rId2670" name="Button 1547">
              <controlPr defaultSize="0" autoFill="0" autoLine="0" autoPict="0" macro="[0]!Sheet1.InsertNewTableRow">
                <anchor moveWithCells="1" sizeWithCells="1">
                  <from>
                    <xdr:col>6</xdr:col>
                    <xdr:colOff>0</xdr:colOff>
                    <xdr:row>4759</xdr:row>
                    <xdr:rowOff>0</xdr:rowOff>
                  </from>
                  <to>
                    <xdr:col>7</xdr:col>
                    <xdr:colOff>0</xdr:colOff>
                    <xdr:row>4759</xdr:row>
                    <xdr:rowOff>171450</xdr:rowOff>
                  </to>
                </anchor>
              </controlPr>
            </control>
          </mc:Choice>
        </mc:AlternateContent>
        <mc:AlternateContent xmlns:mc="http://schemas.openxmlformats.org/markup-compatibility/2006">
          <mc:Choice Requires="x14">
            <control shapeId="12810" r:id="rId2671" name="Button 1546">
              <controlPr defaultSize="0" autoFill="0" autoLine="0" autoPict="0" macro="[0]!Sheet1.deleteRow">
                <anchor moveWithCells="1" sizeWithCells="1">
                  <from>
                    <xdr:col>6</xdr:col>
                    <xdr:colOff>0</xdr:colOff>
                    <xdr:row>4760</xdr:row>
                    <xdr:rowOff>0</xdr:rowOff>
                  </from>
                  <to>
                    <xdr:col>7</xdr:col>
                    <xdr:colOff>0</xdr:colOff>
                    <xdr:row>4760</xdr:row>
                    <xdr:rowOff>165100</xdr:rowOff>
                  </to>
                </anchor>
              </controlPr>
            </control>
          </mc:Choice>
        </mc:AlternateContent>
        <mc:AlternateContent xmlns:mc="http://schemas.openxmlformats.org/markup-compatibility/2006">
          <mc:Choice Requires="x14">
            <control shapeId="12809" r:id="rId2672" name="Button 1545">
              <controlPr defaultSize="0" autoFill="0" autoLine="0" autoPict="0" macro="[0]!Sheet1.deleteProcedure">
                <anchor moveWithCells="1" sizeWithCells="1">
                  <from>
                    <xdr:col>6</xdr:col>
                    <xdr:colOff>0</xdr:colOff>
                    <xdr:row>4763</xdr:row>
                    <xdr:rowOff>0</xdr:rowOff>
                  </from>
                  <to>
                    <xdr:col>7</xdr:col>
                    <xdr:colOff>0</xdr:colOff>
                    <xdr:row>4764</xdr:row>
                    <xdr:rowOff>0</xdr:rowOff>
                  </to>
                </anchor>
              </controlPr>
            </control>
          </mc:Choice>
        </mc:AlternateContent>
        <mc:AlternateContent xmlns:mc="http://schemas.openxmlformats.org/markup-compatibility/2006">
          <mc:Choice Requires="x14">
            <control shapeId="12808" r:id="rId2673" name="Button 1544">
              <controlPr defaultSize="0" autoFill="0" autoLine="0" autoPict="0" macro="[0]!Sheet1.InsertNewTableRow">
                <anchor moveWithCells="1" sizeWithCells="1">
                  <from>
                    <xdr:col>6</xdr:col>
                    <xdr:colOff>0</xdr:colOff>
                    <xdr:row>4770</xdr:row>
                    <xdr:rowOff>0</xdr:rowOff>
                  </from>
                  <to>
                    <xdr:col>7</xdr:col>
                    <xdr:colOff>0</xdr:colOff>
                    <xdr:row>4770</xdr:row>
                    <xdr:rowOff>171450</xdr:rowOff>
                  </to>
                </anchor>
              </controlPr>
            </control>
          </mc:Choice>
        </mc:AlternateContent>
        <mc:AlternateContent xmlns:mc="http://schemas.openxmlformats.org/markup-compatibility/2006">
          <mc:Choice Requires="x14">
            <control shapeId="12807" r:id="rId2674" name="Button 1543">
              <controlPr defaultSize="0" autoFill="0" autoLine="0" autoPict="0" macro="[0]!Sheet1.deleteRow">
                <anchor moveWithCells="1" sizeWithCells="1">
                  <from>
                    <xdr:col>6</xdr:col>
                    <xdr:colOff>0</xdr:colOff>
                    <xdr:row>4771</xdr:row>
                    <xdr:rowOff>0</xdr:rowOff>
                  </from>
                  <to>
                    <xdr:col>7</xdr:col>
                    <xdr:colOff>0</xdr:colOff>
                    <xdr:row>4771</xdr:row>
                    <xdr:rowOff>165100</xdr:rowOff>
                  </to>
                </anchor>
              </controlPr>
            </control>
          </mc:Choice>
        </mc:AlternateContent>
        <mc:AlternateContent xmlns:mc="http://schemas.openxmlformats.org/markup-compatibility/2006">
          <mc:Choice Requires="x14">
            <control shapeId="12806" r:id="rId2675" name="Button 1542">
              <controlPr defaultSize="0" autoFill="0" autoLine="0" autoPict="0" macro="[0]!Sheet1.deleteRow">
                <anchor moveWithCells="1" sizeWithCells="1">
                  <from>
                    <xdr:col>6</xdr:col>
                    <xdr:colOff>0</xdr:colOff>
                    <xdr:row>4772</xdr:row>
                    <xdr:rowOff>0</xdr:rowOff>
                  </from>
                  <to>
                    <xdr:col>7</xdr:col>
                    <xdr:colOff>0</xdr:colOff>
                    <xdr:row>4772</xdr:row>
                    <xdr:rowOff>165100</xdr:rowOff>
                  </to>
                </anchor>
              </controlPr>
            </control>
          </mc:Choice>
        </mc:AlternateContent>
        <mc:AlternateContent xmlns:mc="http://schemas.openxmlformats.org/markup-compatibility/2006">
          <mc:Choice Requires="x14">
            <control shapeId="12805" r:id="rId2676" name="Button 1541">
              <controlPr defaultSize="0" autoFill="0" autoLine="0" autoPict="0" macro="[0]!Sheet1.deleteRow">
                <anchor moveWithCells="1" sizeWithCells="1">
                  <from>
                    <xdr:col>6</xdr:col>
                    <xdr:colOff>0</xdr:colOff>
                    <xdr:row>4773</xdr:row>
                    <xdr:rowOff>0</xdr:rowOff>
                  </from>
                  <to>
                    <xdr:col>7</xdr:col>
                    <xdr:colOff>0</xdr:colOff>
                    <xdr:row>4773</xdr:row>
                    <xdr:rowOff>165100</xdr:rowOff>
                  </to>
                </anchor>
              </controlPr>
            </control>
          </mc:Choice>
        </mc:AlternateContent>
        <mc:AlternateContent xmlns:mc="http://schemas.openxmlformats.org/markup-compatibility/2006">
          <mc:Choice Requires="x14">
            <control shapeId="12804" r:id="rId2677" name="Button 1540">
              <controlPr defaultSize="0" autoFill="0" autoLine="0" autoPict="0" macro="[0]!Sheet1.deleteRow">
                <anchor moveWithCells="1" sizeWithCells="1">
                  <from>
                    <xdr:col>6</xdr:col>
                    <xdr:colOff>0</xdr:colOff>
                    <xdr:row>4774</xdr:row>
                    <xdr:rowOff>0</xdr:rowOff>
                  </from>
                  <to>
                    <xdr:col>7</xdr:col>
                    <xdr:colOff>0</xdr:colOff>
                    <xdr:row>4774</xdr:row>
                    <xdr:rowOff>165100</xdr:rowOff>
                  </to>
                </anchor>
              </controlPr>
            </control>
          </mc:Choice>
        </mc:AlternateContent>
        <mc:AlternateContent xmlns:mc="http://schemas.openxmlformats.org/markup-compatibility/2006">
          <mc:Choice Requires="x14">
            <control shapeId="12803" r:id="rId2678" name="Button 1539">
              <controlPr defaultSize="0" autoFill="0" autoLine="0" autoPict="0" macro="[0]!Sheet1.deleteRow">
                <anchor moveWithCells="1" sizeWithCells="1">
                  <from>
                    <xdr:col>6</xdr:col>
                    <xdr:colOff>0</xdr:colOff>
                    <xdr:row>4775</xdr:row>
                    <xdr:rowOff>0</xdr:rowOff>
                  </from>
                  <to>
                    <xdr:col>7</xdr:col>
                    <xdr:colOff>0</xdr:colOff>
                    <xdr:row>4775</xdr:row>
                    <xdr:rowOff>165100</xdr:rowOff>
                  </to>
                </anchor>
              </controlPr>
            </control>
          </mc:Choice>
        </mc:AlternateContent>
        <mc:AlternateContent xmlns:mc="http://schemas.openxmlformats.org/markup-compatibility/2006">
          <mc:Choice Requires="x14">
            <control shapeId="12802" r:id="rId2679" name="Button 1538">
              <controlPr defaultSize="0" autoFill="0" autoLine="0" autoPict="0" macro="[0]!Sheet1.deleteRow">
                <anchor moveWithCells="1" sizeWithCells="1">
                  <from>
                    <xdr:col>6</xdr:col>
                    <xdr:colOff>0</xdr:colOff>
                    <xdr:row>4776</xdr:row>
                    <xdr:rowOff>0</xdr:rowOff>
                  </from>
                  <to>
                    <xdr:col>7</xdr:col>
                    <xdr:colOff>0</xdr:colOff>
                    <xdr:row>4776</xdr:row>
                    <xdr:rowOff>165100</xdr:rowOff>
                  </to>
                </anchor>
              </controlPr>
            </control>
          </mc:Choice>
        </mc:AlternateContent>
        <mc:AlternateContent xmlns:mc="http://schemas.openxmlformats.org/markup-compatibility/2006">
          <mc:Choice Requires="x14">
            <control shapeId="12801" r:id="rId2680" name="Button 1537">
              <controlPr defaultSize="0" autoFill="0" autoLine="0" autoPict="0" macro="[0]!Sheet1.deleteRow">
                <anchor moveWithCells="1" sizeWithCells="1">
                  <from>
                    <xdr:col>6</xdr:col>
                    <xdr:colOff>0</xdr:colOff>
                    <xdr:row>4777</xdr:row>
                    <xdr:rowOff>0</xdr:rowOff>
                  </from>
                  <to>
                    <xdr:col>7</xdr:col>
                    <xdr:colOff>0</xdr:colOff>
                    <xdr:row>4777</xdr:row>
                    <xdr:rowOff>165100</xdr:rowOff>
                  </to>
                </anchor>
              </controlPr>
            </control>
          </mc:Choice>
        </mc:AlternateContent>
        <mc:AlternateContent xmlns:mc="http://schemas.openxmlformats.org/markup-compatibility/2006">
          <mc:Choice Requires="x14">
            <control shapeId="12800" r:id="rId2681" name="Button 1536">
              <controlPr defaultSize="0" autoFill="0" autoLine="0" autoPict="0" macro="[0]!Sheet1.deleteRow">
                <anchor moveWithCells="1" sizeWithCells="1">
                  <from>
                    <xdr:col>6</xdr:col>
                    <xdr:colOff>0</xdr:colOff>
                    <xdr:row>4778</xdr:row>
                    <xdr:rowOff>0</xdr:rowOff>
                  </from>
                  <to>
                    <xdr:col>7</xdr:col>
                    <xdr:colOff>0</xdr:colOff>
                    <xdr:row>4778</xdr:row>
                    <xdr:rowOff>165100</xdr:rowOff>
                  </to>
                </anchor>
              </controlPr>
            </control>
          </mc:Choice>
        </mc:AlternateContent>
        <mc:AlternateContent xmlns:mc="http://schemas.openxmlformats.org/markup-compatibility/2006">
          <mc:Choice Requires="x14">
            <control shapeId="12799" r:id="rId2682" name="Button 1535">
              <controlPr defaultSize="0" autoFill="0" autoLine="0" autoPict="0" macro="[0]!Sheet1.deleteRow">
                <anchor moveWithCells="1" sizeWithCells="1">
                  <from>
                    <xdr:col>6</xdr:col>
                    <xdr:colOff>0</xdr:colOff>
                    <xdr:row>4779</xdr:row>
                    <xdr:rowOff>0</xdr:rowOff>
                  </from>
                  <to>
                    <xdr:col>7</xdr:col>
                    <xdr:colOff>0</xdr:colOff>
                    <xdr:row>4779</xdr:row>
                    <xdr:rowOff>165100</xdr:rowOff>
                  </to>
                </anchor>
              </controlPr>
            </control>
          </mc:Choice>
        </mc:AlternateContent>
        <mc:AlternateContent xmlns:mc="http://schemas.openxmlformats.org/markup-compatibility/2006">
          <mc:Choice Requires="x14">
            <control shapeId="12798" r:id="rId2683" name="Button 1534">
              <controlPr defaultSize="0" autoFill="0" autoLine="0" autoPict="0" macro="[0]!Sheet1.deleteRow">
                <anchor moveWithCells="1" sizeWithCells="1">
                  <from>
                    <xdr:col>6</xdr:col>
                    <xdr:colOff>0</xdr:colOff>
                    <xdr:row>4780</xdr:row>
                    <xdr:rowOff>0</xdr:rowOff>
                  </from>
                  <to>
                    <xdr:col>7</xdr:col>
                    <xdr:colOff>0</xdr:colOff>
                    <xdr:row>4780</xdr:row>
                    <xdr:rowOff>165100</xdr:rowOff>
                  </to>
                </anchor>
              </controlPr>
            </control>
          </mc:Choice>
        </mc:AlternateContent>
        <mc:AlternateContent xmlns:mc="http://schemas.openxmlformats.org/markup-compatibility/2006">
          <mc:Choice Requires="x14">
            <control shapeId="12797" r:id="rId2684" name="Button 1533">
              <controlPr defaultSize="0" autoFill="0" autoLine="0" autoPict="0" macro="[0]!Sheet1.deleteRow">
                <anchor moveWithCells="1" sizeWithCells="1">
                  <from>
                    <xdr:col>6</xdr:col>
                    <xdr:colOff>0</xdr:colOff>
                    <xdr:row>4781</xdr:row>
                    <xdr:rowOff>0</xdr:rowOff>
                  </from>
                  <to>
                    <xdr:col>7</xdr:col>
                    <xdr:colOff>0</xdr:colOff>
                    <xdr:row>4781</xdr:row>
                    <xdr:rowOff>165100</xdr:rowOff>
                  </to>
                </anchor>
              </controlPr>
            </control>
          </mc:Choice>
        </mc:AlternateContent>
        <mc:AlternateContent xmlns:mc="http://schemas.openxmlformats.org/markup-compatibility/2006">
          <mc:Choice Requires="x14">
            <control shapeId="12796" r:id="rId2685" name="Button 1532">
              <controlPr defaultSize="0" autoFill="0" autoLine="0" autoPict="0" macro="[0]!Sheet1.deleteRow">
                <anchor moveWithCells="1" sizeWithCells="1">
                  <from>
                    <xdr:col>6</xdr:col>
                    <xdr:colOff>0</xdr:colOff>
                    <xdr:row>4782</xdr:row>
                    <xdr:rowOff>0</xdr:rowOff>
                  </from>
                  <to>
                    <xdr:col>7</xdr:col>
                    <xdr:colOff>0</xdr:colOff>
                    <xdr:row>4782</xdr:row>
                    <xdr:rowOff>165100</xdr:rowOff>
                  </to>
                </anchor>
              </controlPr>
            </control>
          </mc:Choice>
        </mc:AlternateContent>
        <mc:AlternateContent xmlns:mc="http://schemas.openxmlformats.org/markup-compatibility/2006">
          <mc:Choice Requires="x14">
            <control shapeId="12795" r:id="rId2686" name="Button 1531">
              <controlPr defaultSize="0" autoFill="0" autoLine="0" autoPict="0" macro="[0]!Sheet1.deleteRow">
                <anchor moveWithCells="1" sizeWithCells="1">
                  <from>
                    <xdr:col>6</xdr:col>
                    <xdr:colOff>0</xdr:colOff>
                    <xdr:row>4783</xdr:row>
                    <xdr:rowOff>0</xdr:rowOff>
                  </from>
                  <to>
                    <xdr:col>7</xdr:col>
                    <xdr:colOff>0</xdr:colOff>
                    <xdr:row>4783</xdr:row>
                    <xdr:rowOff>165100</xdr:rowOff>
                  </to>
                </anchor>
              </controlPr>
            </control>
          </mc:Choice>
        </mc:AlternateContent>
        <mc:AlternateContent xmlns:mc="http://schemas.openxmlformats.org/markup-compatibility/2006">
          <mc:Choice Requires="x14">
            <control shapeId="12794" r:id="rId2687" name="Button 1530">
              <controlPr defaultSize="0" autoFill="0" autoLine="0" autoPict="0" macro="[0]!Sheet1.deleteProcedure">
                <anchor moveWithCells="1" sizeWithCells="1">
                  <from>
                    <xdr:col>6</xdr:col>
                    <xdr:colOff>0</xdr:colOff>
                    <xdr:row>4786</xdr:row>
                    <xdr:rowOff>0</xdr:rowOff>
                  </from>
                  <to>
                    <xdr:col>7</xdr:col>
                    <xdr:colOff>0</xdr:colOff>
                    <xdr:row>4787</xdr:row>
                    <xdr:rowOff>0</xdr:rowOff>
                  </to>
                </anchor>
              </controlPr>
            </control>
          </mc:Choice>
        </mc:AlternateContent>
        <mc:AlternateContent xmlns:mc="http://schemas.openxmlformats.org/markup-compatibility/2006">
          <mc:Choice Requires="x14">
            <control shapeId="12793" r:id="rId2688" name="Button 1529">
              <controlPr defaultSize="0" autoFill="0" autoLine="0" autoPict="0" macro="[0]!Sheet1.InsertNewTableRow">
                <anchor moveWithCells="1" sizeWithCells="1">
                  <from>
                    <xdr:col>6</xdr:col>
                    <xdr:colOff>0</xdr:colOff>
                    <xdr:row>4793</xdr:row>
                    <xdr:rowOff>0</xdr:rowOff>
                  </from>
                  <to>
                    <xdr:col>7</xdr:col>
                    <xdr:colOff>0</xdr:colOff>
                    <xdr:row>4793</xdr:row>
                    <xdr:rowOff>171450</xdr:rowOff>
                  </to>
                </anchor>
              </controlPr>
            </control>
          </mc:Choice>
        </mc:AlternateContent>
        <mc:AlternateContent xmlns:mc="http://schemas.openxmlformats.org/markup-compatibility/2006">
          <mc:Choice Requires="x14">
            <control shapeId="12792" r:id="rId2689" name="Button 1528">
              <controlPr defaultSize="0" autoFill="0" autoLine="0" autoPict="0" macro="[0]!Sheet1.deleteRow">
                <anchor moveWithCells="1" sizeWithCells="1">
                  <from>
                    <xdr:col>6</xdr:col>
                    <xdr:colOff>0</xdr:colOff>
                    <xdr:row>4794</xdr:row>
                    <xdr:rowOff>0</xdr:rowOff>
                  </from>
                  <to>
                    <xdr:col>7</xdr:col>
                    <xdr:colOff>0</xdr:colOff>
                    <xdr:row>4794</xdr:row>
                    <xdr:rowOff>165100</xdr:rowOff>
                  </to>
                </anchor>
              </controlPr>
            </control>
          </mc:Choice>
        </mc:AlternateContent>
        <mc:AlternateContent xmlns:mc="http://schemas.openxmlformats.org/markup-compatibility/2006">
          <mc:Choice Requires="x14">
            <control shapeId="12791" r:id="rId2690" name="Button 1527">
              <controlPr defaultSize="0" autoFill="0" autoLine="0" autoPict="0" macro="[0]!Sheet1.deleteProcedure">
                <anchor moveWithCells="1" sizeWithCells="1">
                  <from>
                    <xdr:col>6</xdr:col>
                    <xdr:colOff>0</xdr:colOff>
                    <xdr:row>4797</xdr:row>
                    <xdr:rowOff>0</xdr:rowOff>
                  </from>
                  <to>
                    <xdr:col>7</xdr:col>
                    <xdr:colOff>0</xdr:colOff>
                    <xdr:row>4798</xdr:row>
                    <xdr:rowOff>0</xdr:rowOff>
                  </to>
                </anchor>
              </controlPr>
            </control>
          </mc:Choice>
        </mc:AlternateContent>
        <mc:AlternateContent xmlns:mc="http://schemas.openxmlformats.org/markup-compatibility/2006">
          <mc:Choice Requires="x14">
            <control shapeId="12790" r:id="rId2691" name="Button 1526">
              <controlPr defaultSize="0" autoFill="0" autoLine="0" autoPict="0" macro="[0]!Sheet1.InsertNewTableRow">
                <anchor moveWithCells="1" sizeWithCells="1">
                  <from>
                    <xdr:col>6</xdr:col>
                    <xdr:colOff>0</xdr:colOff>
                    <xdr:row>4804</xdr:row>
                    <xdr:rowOff>0</xdr:rowOff>
                  </from>
                  <to>
                    <xdr:col>7</xdr:col>
                    <xdr:colOff>0</xdr:colOff>
                    <xdr:row>4804</xdr:row>
                    <xdr:rowOff>171450</xdr:rowOff>
                  </to>
                </anchor>
              </controlPr>
            </control>
          </mc:Choice>
        </mc:AlternateContent>
        <mc:AlternateContent xmlns:mc="http://schemas.openxmlformats.org/markup-compatibility/2006">
          <mc:Choice Requires="x14">
            <control shapeId="12789" r:id="rId2692" name="Button 1525">
              <controlPr defaultSize="0" autoFill="0" autoLine="0" autoPict="0" macro="[0]!Sheet1.deleteRow">
                <anchor moveWithCells="1" sizeWithCells="1">
                  <from>
                    <xdr:col>6</xdr:col>
                    <xdr:colOff>0</xdr:colOff>
                    <xdr:row>4805</xdr:row>
                    <xdr:rowOff>0</xdr:rowOff>
                  </from>
                  <to>
                    <xdr:col>7</xdr:col>
                    <xdr:colOff>0</xdr:colOff>
                    <xdr:row>4805</xdr:row>
                    <xdr:rowOff>165100</xdr:rowOff>
                  </to>
                </anchor>
              </controlPr>
            </control>
          </mc:Choice>
        </mc:AlternateContent>
        <mc:AlternateContent xmlns:mc="http://schemas.openxmlformats.org/markup-compatibility/2006">
          <mc:Choice Requires="x14">
            <control shapeId="12788" r:id="rId2693" name="Button 1524">
              <controlPr defaultSize="0" autoFill="0" autoLine="0" autoPict="0" macro="[0]!Sheet1.deleteProcedure">
                <anchor moveWithCells="1" sizeWithCells="1">
                  <from>
                    <xdr:col>6</xdr:col>
                    <xdr:colOff>0</xdr:colOff>
                    <xdr:row>4808</xdr:row>
                    <xdr:rowOff>0</xdr:rowOff>
                  </from>
                  <to>
                    <xdr:col>7</xdr:col>
                    <xdr:colOff>0</xdr:colOff>
                    <xdr:row>4809</xdr:row>
                    <xdr:rowOff>0</xdr:rowOff>
                  </to>
                </anchor>
              </controlPr>
            </control>
          </mc:Choice>
        </mc:AlternateContent>
        <mc:AlternateContent xmlns:mc="http://schemas.openxmlformats.org/markup-compatibility/2006">
          <mc:Choice Requires="x14">
            <control shapeId="12787" r:id="rId2694" name="Button 1523">
              <controlPr defaultSize="0" autoFill="0" autoLine="0" autoPict="0" macro="[0]!Sheet1.InsertNewTableRow">
                <anchor moveWithCells="1" sizeWithCells="1">
                  <from>
                    <xdr:col>6</xdr:col>
                    <xdr:colOff>0</xdr:colOff>
                    <xdr:row>4815</xdr:row>
                    <xdr:rowOff>0</xdr:rowOff>
                  </from>
                  <to>
                    <xdr:col>7</xdr:col>
                    <xdr:colOff>0</xdr:colOff>
                    <xdr:row>4815</xdr:row>
                    <xdr:rowOff>171450</xdr:rowOff>
                  </to>
                </anchor>
              </controlPr>
            </control>
          </mc:Choice>
        </mc:AlternateContent>
        <mc:AlternateContent xmlns:mc="http://schemas.openxmlformats.org/markup-compatibility/2006">
          <mc:Choice Requires="x14">
            <control shapeId="12786" r:id="rId2695" name="Button 1522">
              <controlPr defaultSize="0" autoFill="0" autoLine="0" autoPict="0" macro="[0]!Sheet1.deleteRow">
                <anchor moveWithCells="1" sizeWithCells="1">
                  <from>
                    <xdr:col>6</xdr:col>
                    <xdr:colOff>0</xdr:colOff>
                    <xdr:row>4816</xdr:row>
                    <xdr:rowOff>0</xdr:rowOff>
                  </from>
                  <to>
                    <xdr:col>7</xdr:col>
                    <xdr:colOff>0</xdr:colOff>
                    <xdr:row>4816</xdr:row>
                    <xdr:rowOff>165100</xdr:rowOff>
                  </to>
                </anchor>
              </controlPr>
            </control>
          </mc:Choice>
        </mc:AlternateContent>
        <mc:AlternateContent xmlns:mc="http://schemas.openxmlformats.org/markup-compatibility/2006">
          <mc:Choice Requires="x14">
            <control shapeId="12785" r:id="rId2696" name="Button 1521">
              <controlPr defaultSize="0" autoFill="0" autoLine="0" autoPict="0" macro="[0]!Sheet1.deleteRow">
                <anchor moveWithCells="1" sizeWithCells="1">
                  <from>
                    <xdr:col>6</xdr:col>
                    <xdr:colOff>0</xdr:colOff>
                    <xdr:row>4817</xdr:row>
                    <xdr:rowOff>0</xdr:rowOff>
                  </from>
                  <to>
                    <xdr:col>7</xdr:col>
                    <xdr:colOff>0</xdr:colOff>
                    <xdr:row>4817</xdr:row>
                    <xdr:rowOff>165100</xdr:rowOff>
                  </to>
                </anchor>
              </controlPr>
            </control>
          </mc:Choice>
        </mc:AlternateContent>
        <mc:AlternateContent xmlns:mc="http://schemas.openxmlformats.org/markup-compatibility/2006">
          <mc:Choice Requires="x14">
            <control shapeId="12784" r:id="rId2697" name="Button 1520">
              <controlPr defaultSize="0" autoFill="0" autoLine="0" autoPict="0" macro="[0]!Sheet1.deleteProcedure">
                <anchor moveWithCells="1" sizeWithCells="1">
                  <from>
                    <xdr:col>6</xdr:col>
                    <xdr:colOff>0</xdr:colOff>
                    <xdr:row>4820</xdr:row>
                    <xdr:rowOff>0</xdr:rowOff>
                  </from>
                  <to>
                    <xdr:col>7</xdr:col>
                    <xdr:colOff>0</xdr:colOff>
                    <xdr:row>4821</xdr:row>
                    <xdr:rowOff>0</xdr:rowOff>
                  </to>
                </anchor>
              </controlPr>
            </control>
          </mc:Choice>
        </mc:AlternateContent>
        <mc:AlternateContent xmlns:mc="http://schemas.openxmlformats.org/markup-compatibility/2006">
          <mc:Choice Requires="x14">
            <control shapeId="12783" r:id="rId2698" name="Button 1519">
              <controlPr defaultSize="0" autoFill="0" autoLine="0" autoPict="0" macro="[0]!Sheet1.InsertNewTableRow">
                <anchor moveWithCells="1" sizeWithCells="1">
                  <from>
                    <xdr:col>6</xdr:col>
                    <xdr:colOff>0</xdr:colOff>
                    <xdr:row>4827</xdr:row>
                    <xdr:rowOff>0</xdr:rowOff>
                  </from>
                  <to>
                    <xdr:col>7</xdr:col>
                    <xdr:colOff>0</xdr:colOff>
                    <xdr:row>4827</xdr:row>
                    <xdr:rowOff>171450</xdr:rowOff>
                  </to>
                </anchor>
              </controlPr>
            </control>
          </mc:Choice>
        </mc:AlternateContent>
        <mc:AlternateContent xmlns:mc="http://schemas.openxmlformats.org/markup-compatibility/2006">
          <mc:Choice Requires="x14">
            <control shapeId="12782" r:id="rId2699" name="Button 1518">
              <controlPr defaultSize="0" autoFill="0" autoLine="0" autoPict="0" macro="[0]!Sheet1.deleteRow">
                <anchor moveWithCells="1" sizeWithCells="1">
                  <from>
                    <xdr:col>6</xdr:col>
                    <xdr:colOff>0</xdr:colOff>
                    <xdr:row>4828</xdr:row>
                    <xdr:rowOff>0</xdr:rowOff>
                  </from>
                  <to>
                    <xdr:col>7</xdr:col>
                    <xdr:colOff>0</xdr:colOff>
                    <xdr:row>4828</xdr:row>
                    <xdr:rowOff>165100</xdr:rowOff>
                  </to>
                </anchor>
              </controlPr>
            </control>
          </mc:Choice>
        </mc:AlternateContent>
        <mc:AlternateContent xmlns:mc="http://schemas.openxmlformats.org/markup-compatibility/2006">
          <mc:Choice Requires="x14">
            <control shapeId="12781" r:id="rId2700" name="Button 1517">
              <controlPr defaultSize="0" autoFill="0" autoLine="0" autoPict="0" macro="[0]!Sheet1.deleteRow">
                <anchor moveWithCells="1" sizeWithCells="1">
                  <from>
                    <xdr:col>6</xdr:col>
                    <xdr:colOff>0</xdr:colOff>
                    <xdr:row>4829</xdr:row>
                    <xdr:rowOff>0</xdr:rowOff>
                  </from>
                  <to>
                    <xdr:col>7</xdr:col>
                    <xdr:colOff>0</xdr:colOff>
                    <xdr:row>4829</xdr:row>
                    <xdr:rowOff>165100</xdr:rowOff>
                  </to>
                </anchor>
              </controlPr>
            </control>
          </mc:Choice>
        </mc:AlternateContent>
        <mc:AlternateContent xmlns:mc="http://schemas.openxmlformats.org/markup-compatibility/2006">
          <mc:Choice Requires="x14">
            <control shapeId="12780" r:id="rId2701" name="Button 1516">
              <controlPr defaultSize="0" autoFill="0" autoLine="0" autoPict="0" macro="[0]!Sheet1.deleteRow">
                <anchor moveWithCells="1" sizeWithCells="1">
                  <from>
                    <xdr:col>6</xdr:col>
                    <xdr:colOff>0</xdr:colOff>
                    <xdr:row>4830</xdr:row>
                    <xdr:rowOff>0</xdr:rowOff>
                  </from>
                  <to>
                    <xdr:col>7</xdr:col>
                    <xdr:colOff>0</xdr:colOff>
                    <xdr:row>4830</xdr:row>
                    <xdr:rowOff>165100</xdr:rowOff>
                  </to>
                </anchor>
              </controlPr>
            </control>
          </mc:Choice>
        </mc:AlternateContent>
        <mc:AlternateContent xmlns:mc="http://schemas.openxmlformats.org/markup-compatibility/2006">
          <mc:Choice Requires="x14">
            <control shapeId="12779" r:id="rId2702" name="Button 1515">
              <controlPr defaultSize="0" autoFill="0" autoLine="0" autoPict="0" macro="[0]!Sheet1.deleteRow">
                <anchor moveWithCells="1" sizeWithCells="1">
                  <from>
                    <xdr:col>6</xdr:col>
                    <xdr:colOff>0</xdr:colOff>
                    <xdr:row>4831</xdr:row>
                    <xdr:rowOff>0</xdr:rowOff>
                  </from>
                  <to>
                    <xdr:col>7</xdr:col>
                    <xdr:colOff>0</xdr:colOff>
                    <xdr:row>4831</xdr:row>
                    <xdr:rowOff>165100</xdr:rowOff>
                  </to>
                </anchor>
              </controlPr>
            </control>
          </mc:Choice>
        </mc:AlternateContent>
        <mc:AlternateContent xmlns:mc="http://schemas.openxmlformats.org/markup-compatibility/2006">
          <mc:Choice Requires="x14">
            <control shapeId="12778" r:id="rId2703" name="Button 1514">
              <controlPr defaultSize="0" autoFill="0" autoLine="0" autoPict="0" macro="[0]!Sheet1.deleteRow">
                <anchor moveWithCells="1" sizeWithCells="1">
                  <from>
                    <xdr:col>6</xdr:col>
                    <xdr:colOff>0</xdr:colOff>
                    <xdr:row>4832</xdr:row>
                    <xdr:rowOff>0</xdr:rowOff>
                  </from>
                  <to>
                    <xdr:col>7</xdr:col>
                    <xdr:colOff>0</xdr:colOff>
                    <xdr:row>4832</xdr:row>
                    <xdr:rowOff>165100</xdr:rowOff>
                  </to>
                </anchor>
              </controlPr>
            </control>
          </mc:Choice>
        </mc:AlternateContent>
        <mc:AlternateContent xmlns:mc="http://schemas.openxmlformats.org/markup-compatibility/2006">
          <mc:Choice Requires="x14">
            <control shapeId="12777" r:id="rId2704" name="Button 1513">
              <controlPr defaultSize="0" autoFill="0" autoLine="0" autoPict="0" macro="[0]!Sheet1.deleteRow">
                <anchor moveWithCells="1" sizeWithCells="1">
                  <from>
                    <xdr:col>6</xdr:col>
                    <xdr:colOff>0</xdr:colOff>
                    <xdr:row>4833</xdr:row>
                    <xdr:rowOff>0</xdr:rowOff>
                  </from>
                  <to>
                    <xdr:col>7</xdr:col>
                    <xdr:colOff>0</xdr:colOff>
                    <xdr:row>4833</xdr:row>
                    <xdr:rowOff>165100</xdr:rowOff>
                  </to>
                </anchor>
              </controlPr>
            </control>
          </mc:Choice>
        </mc:AlternateContent>
        <mc:AlternateContent xmlns:mc="http://schemas.openxmlformats.org/markup-compatibility/2006">
          <mc:Choice Requires="x14">
            <control shapeId="12776" r:id="rId2705" name="Button 1512">
              <controlPr defaultSize="0" autoFill="0" autoLine="0" autoPict="0" macro="[0]!Sheet1.deleteRow">
                <anchor moveWithCells="1" sizeWithCells="1">
                  <from>
                    <xdr:col>6</xdr:col>
                    <xdr:colOff>0</xdr:colOff>
                    <xdr:row>4834</xdr:row>
                    <xdr:rowOff>0</xdr:rowOff>
                  </from>
                  <to>
                    <xdr:col>7</xdr:col>
                    <xdr:colOff>0</xdr:colOff>
                    <xdr:row>4834</xdr:row>
                    <xdr:rowOff>165100</xdr:rowOff>
                  </to>
                </anchor>
              </controlPr>
            </control>
          </mc:Choice>
        </mc:AlternateContent>
        <mc:AlternateContent xmlns:mc="http://schemas.openxmlformats.org/markup-compatibility/2006">
          <mc:Choice Requires="x14">
            <control shapeId="12775" r:id="rId2706" name="Button 1511">
              <controlPr defaultSize="0" autoFill="0" autoLine="0" autoPict="0" macro="[0]!Sheet1.deleteRow">
                <anchor moveWithCells="1" sizeWithCells="1">
                  <from>
                    <xdr:col>6</xdr:col>
                    <xdr:colOff>0</xdr:colOff>
                    <xdr:row>4835</xdr:row>
                    <xdr:rowOff>0</xdr:rowOff>
                  </from>
                  <to>
                    <xdr:col>7</xdr:col>
                    <xdr:colOff>0</xdr:colOff>
                    <xdr:row>4835</xdr:row>
                    <xdr:rowOff>165100</xdr:rowOff>
                  </to>
                </anchor>
              </controlPr>
            </control>
          </mc:Choice>
        </mc:AlternateContent>
        <mc:AlternateContent xmlns:mc="http://schemas.openxmlformats.org/markup-compatibility/2006">
          <mc:Choice Requires="x14">
            <control shapeId="12774" r:id="rId2707" name="Button 1510">
              <controlPr defaultSize="0" autoFill="0" autoLine="0" autoPict="0" macro="[0]!Sheet1.deleteRow">
                <anchor moveWithCells="1" sizeWithCells="1">
                  <from>
                    <xdr:col>6</xdr:col>
                    <xdr:colOff>0</xdr:colOff>
                    <xdr:row>4836</xdr:row>
                    <xdr:rowOff>0</xdr:rowOff>
                  </from>
                  <to>
                    <xdr:col>7</xdr:col>
                    <xdr:colOff>0</xdr:colOff>
                    <xdr:row>4836</xdr:row>
                    <xdr:rowOff>165100</xdr:rowOff>
                  </to>
                </anchor>
              </controlPr>
            </control>
          </mc:Choice>
        </mc:AlternateContent>
        <mc:AlternateContent xmlns:mc="http://schemas.openxmlformats.org/markup-compatibility/2006">
          <mc:Choice Requires="x14">
            <control shapeId="12773" r:id="rId2708" name="Button 1509">
              <controlPr defaultSize="0" autoFill="0" autoLine="0" autoPict="0" macro="[0]!Sheet1.deleteRow">
                <anchor moveWithCells="1" sizeWithCells="1">
                  <from>
                    <xdr:col>6</xdr:col>
                    <xdr:colOff>0</xdr:colOff>
                    <xdr:row>4837</xdr:row>
                    <xdr:rowOff>0</xdr:rowOff>
                  </from>
                  <to>
                    <xdr:col>7</xdr:col>
                    <xdr:colOff>0</xdr:colOff>
                    <xdr:row>4837</xdr:row>
                    <xdr:rowOff>165100</xdr:rowOff>
                  </to>
                </anchor>
              </controlPr>
            </control>
          </mc:Choice>
        </mc:AlternateContent>
        <mc:AlternateContent xmlns:mc="http://schemas.openxmlformats.org/markup-compatibility/2006">
          <mc:Choice Requires="x14">
            <control shapeId="12772" r:id="rId2709" name="Button 1508">
              <controlPr defaultSize="0" autoFill="0" autoLine="0" autoPict="0" macro="[0]!Sheet1.deleteProcedure">
                <anchor moveWithCells="1" sizeWithCells="1">
                  <from>
                    <xdr:col>6</xdr:col>
                    <xdr:colOff>0</xdr:colOff>
                    <xdr:row>4840</xdr:row>
                    <xdr:rowOff>0</xdr:rowOff>
                  </from>
                  <to>
                    <xdr:col>7</xdr:col>
                    <xdr:colOff>0</xdr:colOff>
                    <xdr:row>4841</xdr:row>
                    <xdr:rowOff>0</xdr:rowOff>
                  </to>
                </anchor>
              </controlPr>
            </control>
          </mc:Choice>
        </mc:AlternateContent>
        <mc:AlternateContent xmlns:mc="http://schemas.openxmlformats.org/markup-compatibility/2006">
          <mc:Choice Requires="x14">
            <control shapeId="12771" r:id="rId2710" name="Button 1507">
              <controlPr defaultSize="0" autoFill="0" autoLine="0" autoPict="0" macro="[0]!Sheet1.InsertNewTableRow">
                <anchor moveWithCells="1" sizeWithCells="1">
                  <from>
                    <xdr:col>6</xdr:col>
                    <xdr:colOff>0</xdr:colOff>
                    <xdr:row>4847</xdr:row>
                    <xdr:rowOff>0</xdr:rowOff>
                  </from>
                  <to>
                    <xdr:col>7</xdr:col>
                    <xdr:colOff>0</xdr:colOff>
                    <xdr:row>4847</xdr:row>
                    <xdr:rowOff>171450</xdr:rowOff>
                  </to>
                </anchor>
              </controlPr>
            </control>
          </mc:Choice>
        </mc:AlternateContent>
        <mc:AlternateContent xmlns:mc="http://schemas.openxmlformats.org/markup-compatibility/2006">
          <mc:Choice Requires="x14">
            <control shapeId="12770" r:id="rId2711" name="Button 1506">
              <controlPr defaultSize="0" autoFill="0" autoLine="0" autoPict="0" macro="[0]!Sheet1.deleteRow">
                <anchor moveWithCells="1" sizeWithCells="1">
                  <from>
                    <xdr:col>6</xdr:col>
                    <xdr:colOff>0</xdr:colOff>
                    <xdr:row>4848</xdr:row>
                    <xdr:rowOff>0</xdr:rowOff>
                  </from>
                  <to>
                    <xdr:col>7</xdr:col>
                    <xdr:colOff>0</xdr:colOff>
                    <xdr:row>4848</xdr:row>
                    <xdr:rowOff>165100</xdr:rowOff>
                  </to>
                </anchor>
              </controlPr>
            </control>
          </mc:Choice>
        </mc:AlternateContent>
        <mc:AlternateContent xmlns:mc="http://schemas.openxmlformats.org/markup-compatibility/2006">
          <mc:Choice Requires="x14">
            <control shapeId="12769" r:id="rId2712" name="Button 1505">
              <controlPr defaultSize="0" autoFill="0" autoLine="0" autoPict="0" macro="[0]!Sheet1.deleteRow">
                <anchor moveWithCells="1" sizeWithCells="1">
                  <from>
                    <xdr:col>6</xdr:col>
                    <xdr:colOff>0</xdr:colOff>
                    <xdr:row>4849</xdr:row>
                    <xdr:rowOff>0</xdr:rowOff>
                  </from>
                  <to>
                    <xdr:col>7</xdr:col>
                    <xdr:colOff>0</xdr:colOff>
                    <xdr:row>4849</xdr:row>
                    <xdr:rowOff>165100</xdr:rowOff>
                  </to>
                </anchor>
              </controlPr>
            </control>
          </mc:Choice>
        </mc:AlternateContent>
        <mc:AlternateContent xmlns:mc="http://schemas.openxmlformats.org/markup-compatibility/2006">
          <mc:Choice Requires="x14">
            <control shapeId="12768" r:id="rId2713" name="Button 1504">
              <controlPr defaultSize="0" autoFill="0" autoLine="0" autoPict="0" macro="[0]!Sheet1.deleteRow">
                <anchor moveWithCells="1" sizeWithCells="1">
                  <from>
                    <xdr:col>6</xdr:col>
                    <xdr:colOff>0</xdr:colOff>
                    <xdr:row>4850</xdr:row>
                    <xdr:rowOff>0</xdr:rowOff>
                  </from>
                  <to>
                    <xdr:col>7</xdr:col>
                    <xdr:colOff>0</xdr:colOff>
                    <xdr:row>4850</xdr:row>
                    <xdr:rowOff>165100</xdr:rowOff>
                  </to>
                </anchor>
              </controlPr>
            </control>
          </mc:Choice>
        </mc:AlternateContent>
        <mc:AlternateContent xmlns:mc="http://schemas.openxmlformats.org/markup-compatibility/2006">
          <mc:Choice Requires="x14">
            <control shapeId="12767" r:id="rId2714" name="Button 1503">
              <controlPr defaultSize="0" autoFill="0" autoLine="0" autoPict="0" macro="[0]!Sheet1.deleteRow">
                <anchor moveWithCells="1" sizeWithCells="1">
                  <from>
                    <xdr:col>6</xdr:col>
                    <xdr:colOff>0</xdr:colOff>
                    <xdr:row>4851</xdr:row>
                    <xdr:rowOff>0</xdr:rowOff>
                  </from>
                  <to>
                    <xdr:col>7</xdr:col>
                    <xdr:colOff>0</xdr:colOff>
                    <xdr:row>4851</xdr:row>
                    <xdr:rowOff>165100</xdr:rowOff>
                  </to>
                </anchor>
              </controlPr>
            </control>
          </mc:Choice>
        </mc:AlternateContent>
        <mc:AlternateContent xmlns:mc="http://schemas.openxmlformats.org/markup-compatibility/2006">
          <mc:Choice Requires="x14">
            <control shapeId="12766" r:id="rId2715" name="Button 1502">
              <controlPr defaultSize="0" autoFill="0" autoLine="0" autoPict="0" macro="[0]!Sheet1.deleteRow">
                <anchor moveWithCells="1" sizeWithCells="1">
                  <from>
                    <xdr:col>6</xdr:col>
                    <xdr:colOff>0</xdr:colOff>
                    <xdr:row>4852</xdr:row>
                    <xdr:rowOff>0</xdr:rowOff>
                  </from>
                  <to>
                    <xdr:col>7</xdr:col>
                    <xdr:colOff>0</xdr:colOff>
                    <xdr:row>4852</xdr:row>
                    <xdr:rowOff>165100</xdr:rowOff>
                  </to>
                </anchor>
              </controlPr>
            </control>
          </mc:Choice>
        </mc:AlternateContent>
        <mc:AlternateContent xmlns:mc="http://schemas.openxmlformats.org/markup-compatibility/2006">
          <mc:Choice Requires="x14">
            <control shapeId="12765" r:id="rId2716" name="Button 1501">
              <controlPr defaultSize="0" autoFill="0" autoLine="0" autoPict="0" macro="[0]!Sheet1.deleteRow">
                <anchor moveWithCells="1" sizeWithCells="1">
                  <from>
                    <xdr:col>6</xdr:col>
                    <xdr:colOff>0</xdr:colOff>
                    <xdr:row>4853</xdr:row>
                    <xdr:rowOff>0</xdr:rowOff>
                  </from>
                  <to>
                    <xdr:col>7</xdr:col>
                    <xdr:colOff>0</xdr:colOff>
                    <xdr:row>4853</xdr:row>
                    <xdr:rowOff>165100</xdr:rowOff>
                  </to>
                </anchor>
              </controlPr>
            </control>
          </mc:Choice>
        </mc:AlternateContent>
        <mc:AlternateContent xmlns:mc="http://schemas.openxmlformats.org/markup-compatibility/2006">
          <mc:Choice Requires="x14">
            <control shapeId="12764" r:id="rId2717" name="Button 1500">
              <controlPr defaultSize="0" autoFill="0" autoLine="0" autoPict="0" macro="[0]!Sheet1.deleteRow">
                <anchor moveWithCells="1" sizeWithCells="1">
                  <from>
                    <xdr:col>6</xdr:col>
                    <xdr:colOff>0</xdr:colOff>
                    <xdr:row>4854</xdr:row>
                    <xdr:rowOff>0</xdr:rowOff>
                  </from>
                  <to>
                    <xdr:col>7</xdr:col>
                    <xdr:colOff>0</xdr:colOff>
                    <xdr:row>4854</xdr:row>
                    <xdr:rowOff>165100</xdr:rowOff>
                  </to>
                </anchor>
              </controlPr>
            </control>
          </mc:Choice>
        </mc:AlternateContent>
        <mc:AlternateContent xmlns:mc="http://schemas.openxmlformats.org/markup-compatibility/2006">
          <mc:Choice Requires="x14">
            <control shapeId="12763" r:id="rId2718" name="Button 1499">
              <controlPr defaultSize="0" autoFill="0" autoLine="0" autoPict="0" macro="[0]!Sheet1.deleteRow">
                <anchor moveWithCells="1" sizeWithCells="1">
                  <from>
                    <xdr:col>6</xdr:col>
                    <xdr:colOff>0</xdr:colOff>
                    <xdr:row>4855</xdr:row>
                    <xdr:rowOff>0</xdr:rowOff>
                  </from>
                  <to>
                    <xdr:col>7</xdr:col>
                    <xdr:colOff>0</xdr:colOff>
                    <xdr:row>4855</xdr:row>
                    <xdr:rowOff>165100</xdr:rowOff>
                  </to>
                </anchor>
              </controlPr>
            </control>
          </mc:Choice>
        </mc:AlternateContent>
        <mc:AlternateContent xmlns:mc="http://schemas.openxmlformats.org/markup-compatibility/2006">
          <mc:Choice Requires="x14">
            <control shapeId="12762" r:id="rId2719" name="Button 1498">
              <controlPr defaultSize="0" autoFill="0" autoLine="0" autoPict="0" macro="[0]!Sheet1.deleteRow">
                <anchor moveWithCells="1" sizeWithCells="1">
                  <from>
                    <xdr:col>6</xdr:col>
                    <xdr:colOff>0</xdr:colOff>
                    <xdr:row>4856</xdr:row>
                    <xdr:rowOff>0</xdr:rowOff>
                  </from>
                  <to>
                    <xdr:col>7</xdr:col>
                    <xdr:colOff>0</xdr:colOff>
                    <xdr:row>4856</xdr:row>
                    <xdr:rowOff>165100</xdr:rowOff>
                  </to>
                </anchor>
              </controlPr>
            </control>
          </mc:Choice>
        </mc:AlternateContent>
        <mc:AlternateContent xmlns:mc="http://schemas.openxmlformats.org/markup-compatibility/2006">
          <mc:Choice Requires="x14">
            <control shapeId="12761" r:id="rId2720" name="Button 1497">
              <controlPr defaultSize="0" autoFill="0" autoLine="0" autoPict="0" macro="[0]!Sheet1.deleteRow">
                <anchor moveWithCells="1" sizeWithCells="1">
                  <from>
                    <xdr:col>6</xdr:col>
                    <xdr:colOff>0</xdr:colOff>
                    <xdr:row>4857</xdr:row>
                    <xdr:rowOff>0</xdr:rowOff>
                  </from>
                  <to>
                    <xdr:col>7</xdr:col>
                    <xdr:colOff>0</xdr:colOff>
                    <xdr:row>4857</xdr:row>
                    <xdr:rowOff>165100</xdr:rowOff>
                  </to>
                </anchor>
              </controlPr>
            </control>
          </mc:Choice>
        </mc:AlternateContent>
        <mc:AlternateContent xmlns:mc="http://schemas.openxmlformats.org/markup-compatibility/2006">
          <mc:Choice Requires="x14">
            <control shapeId="12760" r:id="rId2721" name="Button 1496">
              <controlPr defaultSize="0" autoFill="0" autoLine="0" autoPict="0" macro="[0]!Sheet1.deleteRow">
                <anchor moveWithCells="1" sizeWithCells="1">
                  <from>
                    <xdr:col>6</xdr:col>
                    <xdr:colOff>0</xdr:colOff>
                    <xdr:row>4858</xdr:row>
                    <xdr:rowOff>0</xdr:rowOff>
                  </from>
                  <to>
                    <xdr:col>7</xdr:col>
                    <xdr:colOff>0</xdr:colOff>
                    <xdr:row>4858</xdr:row>
                    <xdr:rowOff>165100</xdr:rowOff>
                  </to>
                </anchor>
              </controlPr>
            </control>
          </mc:Choice>
        </mc:AlternateContent>
        <mc:AlternateContent xmlns:mc="http://schemas.openxmlformats.org/markup-compatibility/2006">
          <mc:Choice Requires="x14">
            <control shapeId="12759" r:id="rId2722" name="Button 1495">
              <controlPr defaultSize="0" autoFill="0" autoLine="0" autoPict="0" macro="[0]!Sheet1.deleteRow">
                <anchor moveWithCells="1" sizeWithCells="1">
                  <from>
                    <xdr:col>6</xdr:col>
                    <xdr:colOff>0</xdr:colOff>
                    <xdr:row>4859</xdr:row>
                    <xdr:rowOff>0</xdr:rowOff>
                  </from>
                  <to>
                    <xdr:col>7</xdr:col>
                    <xdr:colOff>0</xdr:colOff>
                    <xdr:row>4859</xdr:row>
                    <xdr:rowOff>165100</xdr:rowOff>
                  </to>
                </anchor>
              </controlPr>
            </control>
          </mc:Choice>
        </mc:AlternateContent>
        <mc:AlternateContent xmlns:mc="http://schemas.openxmlformats.org/markup-compatibility/2006">
          <mc:Choice Requires="x14">
            <control shapeId="12758" r:id="rId2723" name="Button 1494">
              <controlPr defaultSize="0" autoFill="0" autoLine="0" autoPict="0" macro="[0]!Sheet1.deleteRow">
                <anchor moveWithCells="1" sizeWithCells="1">
                  <from>
                    <xdr:col>6</xdr:col>
                    <xdr:colOff>0</xdr:colOff>
                    <xdr:row>4860</xdr:row>
                    <xdr:rowOff>0</xdr:rowOff>
                  </from>
                  <to>
                    <xdr:col>7</xdr:col>
                    <xdr:colOff>0</xdr:colOff>
                    <xdr:row>4860</xdr:row>
                    <xdr:rowOff>165100</xdr:rowOff>
                  </to>
                </anchor>
              </controlPr>
            </control>
          </mc:Choice>
        </mc:AlternateContent>
        <mc:AlternateContent xmlns:mc="http://schemas.openxmlformats.org/markup-compatibility/2006">
          <mc:Choice Requires="x14">
            <control shapeId="12757" r:id="rId2724" name="Button 1493">
              <controlPr defaultSize="0" autoFill="0" autoLine="0" autoPict="0" macro="[0]!Sheet1.deleteRow">
                <anchor moveWithCells="1" sizeWithCells="1">
                  <from>
                    <xdr:col>6</xdr:col>
                    <xdr:colOff>0</xdr:colOff>
                    <xdr:row>4861</xdr:row>
                    <xdr:rowOff>0</xdr:rowOff>
                  </from>
                  <to>
                    <xdr:col>7</xdr:col>
                    <xdr:colOff>0</xdr:colOff>
                    <xdr:row>4861</xdr:row>
                    <xdr:rowOff>165100</xdr:rowOff>
                  </to>
                </anchor>
              </controlPr>
            </control>
          </mc:Choice>
        </mc:AlternateContent>
        <mc:AlternateContent xmlns:mc="http://schemas.openxmlformats.org/markup-compatibility/2006">
          <mc:Choice Requires="x14">
            <control shapeId="12756" r:id="rId2725" name="Button 1492">
              <controlPr defaultSize="0" autoFill="0" autoLine="0" autoPict="0" macro="[0]!Sheet1.deleteRow">
                <anchor moveWithCells="1" sizeWithCells="1">
                  <from>
                    <xdr:col>6</xdr:col>
                    <xdr:colOff>0</xdr:colOff>
                    <xdr:row>4862</xdr:row>
                    <xdr:rowOff>0</xdr:rowOff>
                  </from>
                  <to>
                    <xdr:col>7</xdr:col>
                    <xdr:colOff>0</xdr:colOff>
                    <xdr:row>4862</xdr:row>
                    <xdr:rowOff>165100</xdr:rowOff>
                  </to>
                </anchor>
              </controlPr>
            </control>
          </mc:Choice>
        </mc:AlternateContent>
        <mc:AlternateContent xmlns:mc="http://schemas.openxmlformats.org/markup-compatibility/2006">
          <mc:Choice Requires="x14">
            <control shapeId="12755" r:id="rId2726" name="Button 1491">
              <controlPr defaultSize="0" autoFill="0" autoLine="0" autoPict="0" macro="[0]!Sheet1.deleteRow">
                <anchor moveWithCells="1" sizeWithCells="1">
                  <from>
                    <xdr:col>6</xdr:col>
                    <xdr:colOff>0</xdr:colOff>
                    <xdr:row>4863</xdr:row>
                    <xdr:rowOff>0</xdr:rowOff>
                  </from>
                  <to>
                    <xdr:col>7</xdr:col>
                    <xdr:colOff>0</xdr:colOff>
                    <xdr:row>4863</xdr:row>
                    <xdr:rowOff>165100</xdr:rowOff>
                  </to>
                </anchor>
              </controlPr>
            </control>
          </mc:Choice>
        </mc:AlternateContent>
        <mc:AlternateContent xmlns:mc="http://schemas.openxmlformats.org/markup-compatibility/2006">
          <mc:Choice Requires="x14">
            <control shapeId="12754" r:id="rId2727" name="Button 1490">
              <controlPr defaultSize="0" autoFill="0" autoLine="0" autoPict="0" macro="[0]!Sheet1.deleteProcedure">
                <anchor moveWithCells="1" sizeWithCells="1">
                  <from>
                    <xdr:col>6</xdr:col>
                    <xdr:colOff>0</xdr:colOff>
                    <xdr:row>4866</xdr:row>
                    <xdr:rowOff>0</xdr:rowOff>
                  </from>
                  <to>
                    <xdr:col>7</xdr:col>
                    <xdr:colOff>0</xdr:colOff>
                    <xdr:row>4867</xdr:row>
                    <xdr:rowOff>0</xdr:rowOff>
                  </to>
                </anchor>
              </controlPr>
            </control>
          </mc:Choice>
        </mc:AlternateContent>
        <mc:AlternateContent xmlns:mc="http://schemas.openxmlformats.org/markup-compatibility/2006">
          <mc:Choice Requires="x14">
            <control shapeId="12753" r:id="rId2728" name="Button 1489">
              <controlPr defaultSize="0" autoFill="0" autoLine="0" autoPict="0" macro="[0]!Sheet1.InsertNewTableRow">
                <anchor moveWithCells="1" sizeWithCells="1">
                  <from>
                    <xdr:col>6</xdr:col>
                    <xdr:colOff>0</xdr:colOff>
                    <xdr:row>4873</xdr:row>
                    <xdr:rowOff>0</xdr:rowOff>
                  </from>
                  <to>
                    <xdr:col>7</xdr:col>
                    <xdr:colOff>0</xdr:colOff>
                    <xdr:row>4873</xdr:row>
                    <xdr:rowOff>171450</xdr:rowOff>
                  </to>
                </anchor>
              </controlPr>
            </control>
          </mc:Choice>
        </mc:AlternateContent>
        <mc:AlternateContent xmlns:mc="http://schemas.openxmlformats.org/markup-compatibility/2006">
          <mc:Choice Requires="x14">
            <control shapeId="12752" r:id="rId2729" name="Button 1488">
              <controlPr defaultSize="0" autoFill="0" autoLine="0" autoPict="0" macro="[0]!Sheet1.deleteRow">
                <anchor moveWithCells="1" sizeWithCells="1">
                  <from>
                    <xdr:col>6</xdr:col>
                    <xdr:colOff>0</xdr:colOff>
                    <xdr:row>4874</xdr:row>
                    <xdr:rowOff>0</xdr:rowOff>
                  </from>
                  <to>
                    <xdr:col>7</xdr:col>
                    <xdr:colOff>0</xdr:colOff>
                    <xdr:row>4874</xdr:row>
                    <xdr:rowOff>165100</xdr:rowOff>
                  </to>
                </anchor>
              </controlPr>
            </control>
          </mc:Choice>
        </mc:AlternateContent>
        <mc:AlternateContent xmlns:mc="http://schemas.openxmlformats.org/markup-compatibility/2006">
          <mc:Choice Requires="x14">
            <control shapeId="12751" r:id="rId2730" name="Button 1487">
              <controlPr defaultSize="0" autoFill="0" autoLine="0" autoPict="0" macro="[0]!Sheet1.deleteRow">
                <anchor moveWithCells="1" sizeWithCells="1">
                  <from>
                    <xdr:col>6</xdr:col>
                    <xdr:colOff>0</xdr:colOff>
                    <xdr:row>4875</xdr:row>
                    <xdr:rowOff>0</xdr:rowOff>
                  </from>
                  <to>
                    <xdr:col>7</xdr:col>
                    <xdr:colOff>0</xdr:colOff>
                    <xdr:row>4875</xdr:row>
                    <xdr:rowOff>165100</xdr:rowOff>
                  </to>
                </anchor>
              </controlPr>
            </control>
          </mc:Choice>
        </mc:AlternateContent>
        <mc:AlternateContent xmlns:mc="http://schemas.openxmlformats.org/markup-compatibility/2006">
          <mc:Choice Requires="x14">
            <control shapeId="12750" r:id="rId2731" name="Button 1486">
              <controlPr defaultSize="0" autoFill="0" autoLine="0" autoPict="0" macro="[0]!Sheet1.deleteRow">
                <anchor moveWithCells="1" sizeWithCells="1">
                  <from>
                    <xdr:col>6</xdr:col>
                    <xdr:colOff>0</xdr:colOff>
                    <xdr:row>4876</xdr:row>
                    <xdr:rowOff>0</xdr:rowOff>
                  </from>
                  <to>
                    <xdr:col>7</xdr:col>
                    <xdr:colOff>0</xdr:colOff>
                    <xdr:row>4876</xdr:row>
                    <xdr:rowOff>165100</xdr:rowOff>
                  </to>
                </anchor>
              </controlPr>
            </control>
          </mc:Choice>
        </mc:AlternateContent>
        <mc:AlternateContent xmlns:mc="http://schemas.openxmlformats.org/markup-compatibility/2006">
          <mc:Choice Requires="x14">
            <control shapeId="12749" r:id="rId2732" name="Button 1485">
              <controlPr defaultSize="0" autoFill="0" autoLine="0" autoPict="0" macro="[0]!Sheet1.deleteRow">
                <anchor moveWithCells="1" sizeWithCells="1">
                  <from>
                    <xdr:col>6</xdr:col>
                    <xdr:colOff>0</xdr:colOff>
                    <xdr:row>4877</xdr:row>
                    <xdr:rowOff>0</xdr:rowOff>
                  </from>
                  <to>
                    <xdr:col>7</xdr:col>
                    <xdr:colOff>0</xdr:colOff>
                    <xdr:row>4877</xdr:row>
                    <xdr:rowOff>165100</xdr:rowOff>
                  </to>
                </anchor>
              </controlPr>
            </control>
          </mc:Choice>
        </mc:AlternateContent>
        <mc:AlternateContent xmlns:mc="http://schemas.openxmlformats.org/markup-compatibility/2006">
          <mc:Choice Requires="x14">
            <control shapeId="12748" r:id="rId2733" name="Button 1484">
              <controlPr defaultSize="0" autoFill="0" autoLine="0" autoPict="0" macro="[0]!Sheet1.deleteRow">
                <anchor moveWithCells="1" sizeWithCells="1">
                  <from>
                    <xdr:col>6</xdr:col>
                    <xdr:colOff>0</xdr:colOff>
                    <xdr:row>4878</xdr:row>
                    <xdr:rowOff>0</xdr:rowOff>
                  </from>
                  <to>
                    <xdr:col>7</xdr:col>
                    <xdr:colOff>0</xdr:colOff>
                    <xdr:row>4878</xdr:row>
                    <xdr:rowOff>165100</xdr:rowOff>
                  </to>
                </anchor>
              </controlPr>
            </control>
          </mc:Choice>
        </mc:AlternateContent>
        <mc:AlternateContent xmlns:mc="http://schemas.openxmlformats.org/markup-compatibility/2006">
          <mc:Choice Requires="x14">
            <control shapeId="12747" r:id="rId2734" name="Button 1483">
              <controlPr defaultSize="0" autoFill="0" autoLine="0" autoPict="0" macro="[0]!Sheet1.deleteRow">
                <anchor moveWithCells="1" sizeWithCells="1">
                  <from>
                    <xdr:col>6</xdr:col>
                    <xdr:colOff>0</xdr:colOff>
                    <xdr:row>4879</xdr:row>
                    <xdr:rowOff>0</xdr:rowOff>
                  </from>
                  <to>
                    <xdr:col>7</xdr:col>
                    <xdr:colOff>0</xdr:colOff>
                    <xdr:row>4879</xdr:row>
                    <xdr:rowOff>165100</xdr:rowOff>
                  </to>
                </anchor>
              </controlPr>
            </control>
          </mc:Choice>
        </mc:AlternateContent>
        <mc:AlternateContent xmlns:mc="http://schemas.openxmlformats.org/markup-compatibility/2006">
          <mc:Choice Requires="x14">
            <control shapeId="12746" r:id="rId2735" name="Button 1482">
              <controlPr defaultSize="0" autoFill="0" autoLine="0" autoPict="0" macro="[0]!Sheet1.deleteRow">
                <anchor moveWithCells="1" sizeWithCells="1">
                  <from>
                    <xdr:col>6</xdr:col>
                    <xdr:colOff>0</xdr:colOff>
                    <xdr:row>4880</xdr:row>
                    <xdr:rowOff>0</xdr:rowOff>
                  </from>
                  <to>
                    <xdr:col>7</xdr:col>
                    <xdr:colOff>0</xdr:colOff>
                    <xdr:row>4880</xdr:row>
                    <xdr:rowOff>165100</xdr:rowOff>
                  </to>
                </anchor>
              </controlPr>
            </control>
          </mc:Choice>
        </mc:AlternateContent>
        <mc:AlternateContent xmlns:mc="http://schemas.openxmlformats.org/markup-compatibility/2006">
          <mc:Choice Requires="x14">
            <control shapeId="12745" r:id="rId2736" name="Button 1481">
              <controlPr defaultSize="0" autoFill="0" autoLine="0" autoPict="0" macro="[0]!Sheet1.deleteRow">
                <anchor moveWithCells="1" sizeWithCells="1">
                  <from>
                    <xdr:col>6</xdr:col>
                    <xdr:colOff>0</xdr:colOff>
                    <xdr:row>4881</xdr:row>
                    <xdr:rowOff>0</xdr:rowOff>
                  </from>
                  <to>
                    <xdr:col>7</xdr:col>
                    <xdr:colOff>0</xdr:colOff>
                    <xdr:row>4881</xdr:row>
                    <xdr:rowOff>165100</xdr:rowOff>
                  </to>
                </anchor>
              </controlPr>
            </control>
          </mc:Choice>
        </mc:AlternateContent>
        <mc:AlternateContent xmlns:mc="http://schemas.openxmlformats.org/markup-compatibility/2006">
          <mc:Choice Requires="x14">
            <control shapeId="12744" r:id="rId2737" name="Button 1480">
              <controlPr defaultSize="0" autoFill="0" autoLine="0" autoPict="0" macro="[0]!Sheet1.deleteRow">
                <anchor moveWithCells="1" sizeWithCells="1">
                  <from>
                    <xdr:col>6</xdr:col>
                    <xdr:colOff>0</xdr:colOff>
                    <xdr:row>4882</xdr:row>
                    <xdr:rowOff>0</xdr:rowOff>
                  </from>
                  <to>
                    <xdr:col>7</xdr:col>
                    <xdr:colOff>0</xdr:colOff>
                    <xdr:row>4882</xdr:row>
                    <xdr:rowOff>165100</xdr:rowOff>
                  </to>
                </anchor>
              </controlPr>
            </control>
          </mc:Choice>
        </mc:AlternateContent>
        <mc:AlternateContent xmlns:mc="http://schemas.openxmlformats.org/markup-compatibility/2006">
          <mc:Choice Requires="x14">
            <control shapeId="12743" r:id="rId2738" name="Button 1479">
              <controlPr defaultSize="0" autoFill="0" autoLine="0" autoPict="0" macro="[0]!Sheet1.deleteRow">
                <anchor moveWithCells="1" sizeWithCells="1">
                  <from>
                    <xdr:col>6</xdr:col>
                    <xdr:colOff>0</xdr:colOff>
                    <xdr:row>4883</xdr:row>
                    <xdr:rowOff>0</xdr:rowOff>
                  </from>
                  <to>
                    <xdr:col>7</xdr:col>
                    <xdr:colOff>0</xdr:colOff>
                    <xdr:row>4883</xdr:row>
                    <xdr:rowOff>165100</xdr:rowOff>
                  </to>
                </anchor>
              </controlPr>
            </control>
          </mc:Choice>
        </mc:AlternateContent>
        <mc:AlternateContent xmlns:mc="http://schemas.openxmlformats.org/markup-compatibility/2006">
          <mc:Choice Requires="x14">
            <control shapeId="12742" r:id="rId2739" name="Button 1478">
              <controlPr defaultSize="0" autoFill="0" autoLine="0" autoPict="0" macro="[0]!Sheet1.deleteRow">
                <anchor moveWithCells="1" sizeWithCells="1">
                  <from>
                    <xdr:col>6</xdr:col>
                    <xdr:colOff>0</xdr:colOff>
                    <xdr:row>4884</xdr:row>
                    <xdr:rowOff>0</xdr:rowOff>
                  </from>
                  <to>
                    <xdr:col>7</xdr:col>
                    <xdr:colOff>0</xdr:colOff>
                    <xdr:row>4884</xdr:row>
                    <xdr:rowOff>165100</xdr:rowOff>
                  </to>
                </anchor>
              </controlPr>
            </control>
          </mc:Choice>
        </mc:AlternateContent>
        <mc:AlternateContent xmlns:mc="http://schemas.openxmlformats.org/markup-compatibility/2006">
          <mc:Choice Requires="x14">
            <control shapeId="12741" r:id="rId2740" name="Button 1477">
              <controlPr defaultSize="0" autoFill="0" autoLine="0" autoPict="0" macro="[0]!Sheet1.deleteRow">
                <anchor moveWithCells="1" sizeWithCells="1">
                  <from>
                    <xdr:col>6</xdr:col>
                    <xdr:colOff>0</xdr:colOff>
                    <xdr:row>4885</xdr:row>
                    <xdr:rowOff>0</xdr:rowOff>
                  </from>
                  <to>
                    <xdr:col>7</xdr:col>
                    <xdr:colOff>0</xdr:colOff>
                    <xdr:row>4885</xdr:row>
                    <xdr:rowOff>165100</xdr:rowOff>
                  </to>
                </anchor>
              </controlPr>
            </control>
          </mc:Choice>
        </mc:AlternateContent>
        <mc:AlternateContent xmlns:mc="http://schemas.openxmlformats.org/markup-compatibility/2006">
          <mc:Choice Requires="x14">
            <control shapeId="12740" r:id="rId2741" name="Button 1476">
              <controlPr defaultSize="0" autoFill="0" autoLine="0" autoPict="0" macro="[0]!Sheet1.deleteRow">
                <anchor moveWithCells="1" sizeWithCells="1">
                  <from>
                    <xdr:col>6</xdr:col>
                    <xdr:colOff>0</xdr:colOff>
                    <xdr:row>4886</xdr:row>
                    <xdr:rowOff>0</xdr:rowOff>
                  </from>
                  <to>
                    <xdr:col>7</xdr:col>
                    <xdr:colOff>0</xdr:colOff>
                    <xdr:row>4886</xdr:row>
                    <xdr:rowOff>165100</xdr:rowOff>
                  </to>
                </anchor>
              </controlPr>
            </control>
          </mc:Choice>
        </mc:AlternateContent>
        <mc:AlternateContent xmlns:mc="http://schemas.openxmlformats.org/markup-compatibility/2006">
          <mc:Choice Requires="x14">
            <control shapeId="12739" r:id="rId2742" name="Button 1475">
              <controlPr defaultSize="0" autoFill="0" autoLine="0" autoPict="0" macro="[0]!Sheet1.deleteProcedure">
                <anchor moveWithCells="1" sizeWithCells="1">
                  <from>
                    <xdr:col>6</xdr:col>
                    <xdr:colOff>0</xdr:colOff>
                    <xdr:row>4889</xdr:row>
                    <xdr:rowOff>0</xdr:rowOff>
                  </from>
                  <to>
                    <xdr:col>7</xdr:col>
                    <xdr:colOff>0</xdr:colOff>
                    <xdr:row>4890</xdr:row>
                    <xdr:rowOff>0</xdr:rowOff>
                  </to>
                </anchor>
              </controlPr>
            </control>
          </mc:Choice>
        </mc:AlternateContent>
        <mc:AlternateContent xmlns:mc="http://schemas.openxmlformats.org/markup-compatibility/2006">
          <mc:Choice Requires="x14">
            <control shapeId="12738" r:id="rId2743" name="Button 1474">
              <controlPr defaultSize="0" autoFill="0" autoLine="0" autoPict="0" macro="[0]!Sheet1.InsertNewTableRow">
                <anchor moveWithCells="1" sizeWithCells="1">
                  <from>
                    <xdr:col>6</xdr:col>
                    <xdr:colOff>0</xdr:colOff>
                    <xdr:row>4896</xdr:row>
                    <xdr:rowOff>0</xdr:rowOff>
                  </from>
                  <to>
                    <xdr:col>7</xdr:col>
                    <xdr:colOff>0</xdr:colOff>
                    <xdr:row>4896</xdr:row>
                    <xdr:rowOff>171450</xdr:rowOff>
                  </to>
                </anchor>
              </controlPr>
            </control>
          </mc:Choice>
        </mc:AlternateContent>
        <mc:AlternateContent xmlns:mc="http://schemas.openxmlformats.org/markup-compatibility/2006">
          <mc:Choice Requires="x14">
            <control shapeId="12737" r:id="rId2744" name="Button 1473">
              <controlPr defaultSize="0" autoFill="0" autoLine="0" autoPict="0" macro="[0]!Sheet1.deleteRow">
                <anchor moveWithCells="1" sizeWithCells="1">
                  <from>
                    <xdr:col>6</xdr:col>
                    <xdr:colOff>0</xdr:colOff>
                    <xdr:row>4897</xdr:row>
                    <xdr:rowOff>0</xdr:rowOff>
                  </from>
                  <to>
                    <xdr:col>7</xdr:col>
                    <xdr:colOff>0</xdr:colOff>
                    <xdr:row>4897</xdr:row>
                    <xdr:rowOff>165100</xdr:rowOff>
                  </to>
                </anchor>
              </controlPr>
            </control>
          </mc:Choice>
        </mc:AlternateContent>
        <mc:AlternateContent xmlns:mc="http://schemas.openxmlformats.org/markup-compatibility/2006">
          <mc:Choice Requires="x14">
            <control shapeId="12736" r:id="rId2745" name="Button 1472">
              <controlPr defaultSize="0" autoFill="0" autoLine="0" autoPict="0" macro="[0]!Sheet1.deleteRow">
                <anchor moveWithCells="1" sizeWithCells="1">
                  <from>
                    <xdr:col>6</xdr:col>
                    <xdr:colOff>0</xdr:colOff>
                    <xdr:row>4898</xdr:row>
                    <xdr:rowOff>0</xdr:rowOff>
                  </from>
                  <to>
                    <xdr:col>7</xdr:col>
                    <xdr:colOff>0</xdr:colOff>
                    <xdr:row>4898</xdr:row>
                    <xdr:rowOff>165100</xdr:rowOff>
                  </to>
                </anchor>
              </controlPr>
            </control>
          </mc:Choice>
        </mc:AlternateContent>
        <mc:AlternateContent xmlns:mc="http://schemas.openxmlformats.org/markup-compatibility/2006">
          <mc:Choice Requires="x14">
            <control shapeId="12735" r:id="rId2746" name="Button 1471">
              <controlPr defaultSize="0" autoFill="0" autoLine="0" autoPict="0" macro="[0]!Sheet1.deleteRow">
                <anchor moveWithCells="1" sizeWithCells="1">
                  <from>
                    <xdr:col>6</xdr:col>
                    <xdr:colOff>0</xdr:colOff>
                    <xdr:row>4899</xdr:row>
                    <xdr:rowOff>0</xdr:rowOff>
                  </from>
                  <to>
                    <xdr:col>7</xdr:col>
                    <xdr:colOff>0</xdr:colOff>
                    <xdr:row>4899</xdr:row>
                    <xdr:rowOff>165100</xdr:rowOff>
                  </to>
                </anchor>
              </controlPr>
            </control>
          </mc:Choice>
        </mc:AlternateContent>
        <mc:AlternateContent xmlns:mc="http://schemas.openxmlformats.org/markup-compatibility/2006">
          <mc:Choice Requires="x14">
            <control shapeId="12734" r:id="rId2747" name="Button 1470">
              <controlPr defaultSize="0" autoFill="0" autoLine="0" autoPict="0" macro="[0]!Sheet1.deleteRow">
                <anchor moveWithCells="1" sizeWithCells="1">
                  <from>
                    <xdr:col>6</xdr:col>
                    <xdr:colOff>0</xdr:colOff>
                    <xdr:row>4900</xdr:row>
                    <xdr:rowOff>0</xdr:rowOff>
                  </from>
                  <to>
                    <xdr:col>7</xdr:col>
                    <xdr:colOff>0</xdr:colOff>
                    <xdr:row>4900</xdr:row>
                    <xdr:rowOff>165100</xdr:rowOff>
                  </to>
                </anchor>
              </controlPr>
            </control>
          </mc:Choice>
        </mc:AlternateContent>
        <mc:AlternateContent xmlns:mc="http://schemas.openxmlformats.org/markup-compatibility/2006">
          <mc:Choice Requires="x14">
            <control shapeId="12733" r:id="rId2748" name="Button 1469">
              <controlPr defaultSize="0" autoFill="0" autoLine="0" autoPict="0" macro="[0]!Sheet1.deleteRow">
                <anchor moveWithCells="1" sizeWithCells="1">
                  <from>
                    <xdr:col>6</xdr:col>
                    <xdr:colOff>0</xdr:colOff>
                    <xdr:row>4901</xdr:row>
                    <xdr:rowOff>0</xdr:rowOff>
                  </from>
                  <to>
                    <xdr:col>7</xdr:col>
                    <xdr:colOff>0</xdr:colOff>
                    <xdr:row>4901</xdr:row>
                    <xdr:rowOff>165100</xdr:rowOff>
                  </to>
                </anchor>
              </controlPr>
            </control>
          </mc:Choice>
        </mc:AlternateContent>
        <mc:AlternateContent xmlns:mc="http://schemas.openxmlformats.org/markup-compatibility/2006">
          <mc:Choice Requires="x14">
            <control shapeId="12732" r:id="rId2749" name="Button 1468">
              <controlPr defaultSize="0" autoFill="0" autoLine="0" autoPict="0" macro="[0]!Sheet1.deleteRow">
                <anchor moveWithCells="1" sizeWithCells="1">
                  <from>
                    <xdr:col>6</xdr:col>
                    <xdr:colOff>0</xdr:colOff>
                    <xdr:row>4902</xdr:row>
                    <xdr:rowOff>0</xdr:rowOff>
                  </from>
                  <to>
                    <xdr:col>7</xdr:col>
                    <xdr:colOff>0</xdr:colOff>
                    <xdr:row>4902</xdr:row>
                    <xdr:rowOff>165100</xdr:rowOff>
                  </to>
                </anchor>
              </controlPr>
            </control>
          </mc:Choice>
        </mc:AlternateContent>
        <mc:AlternateContent xmlns:mc="http://schemas.openxmlformats.org/markup-compatibility/2006">
          <mc:Choice Requires="x14">
            <control shapeId="12731" r:id="rId2750" name="Button 1467">
              <controlPr defaultSize="0" autoFill="0" autoLine="0" autoPict="0" macro="[0]!Sheet1.deleteRow">
                <anchor moveWithCells="1" sizeWithCells="1">
                  <from>
                    <xdr:col>6</xdr:col>
                    <xdr:colOff>0</xdr:colOff>
                    <xdr:row>4903</xdr:row>
                    <xdr:rowOff>0</xdr:rowOff>
                  </from>
                  <to>
                    <xdr:col>7</xdr:col>
                    <xdr:colOff>0</xdr:colOff>
                    <xdr:row>4903</xdr:row>
                    <xdr:rowOff>165100</xdr:rowOff>
                  </to>
                </anchor>
              </controlPr>
            </control>
          </mc:Choice>
        </mc:AlternateContent>
        <mc:AlternateContent xmlns:mc="http://schemas.openxmlformats.org/markup-compatibility/2006">
          <mc:Choice Requires="x14">
            <control shapeId="12730" r:id="rId2751" name="Button 1466">
              <controlPr defaultSize="0" autoFill="0" autoLine="0" autoPict="0" macro="[0]!Sheet1.deleteRow">
                <anchor moveWithCells="1" sizeWithCells="1">
                  <from>
                    <xdr:col>6</xdr:col>
                    <xdr:colOff>0</xdr:colOff>
                    <xdr:row>4904</xdr:row>
                    <xdr:rowOff>0</xdr:rowOff>
                  </from>
                  <to>
                    <xdr:col>7</xdr:col>
                    <xdr:colOff>0</xdr:colOff>
                    <xdr:row>4904</xdr:row>
                    <xdr:rowOff>165100</xdr:rowOff>
                  </to>
                </anchor>
              </controlPr>
            </control>
          </mc:Choice>
        </mc:AlternateContent>
        <mc:AlternateContent xmlns:mc="http://schemas.openxmlformats.org/markup-compatibility/2006">
          <mc:Choice Requires="x14">
            <control shapeId="12729" r:id="rId2752" name="Button 1465">
              <controlPr defaultSize="0" autoFill="0" autoLine="0" autoPict="0" macro="[0]!Sheet1.deleteRow">
                <anchor moveWithCells="1" sizeWithCells="1">
                  <from>
                    <xdr:col>6</xdr:col>
                    <xdr:colOff>0</xdr:colOff>
                    <xdr:row>4905</xdr:row>
                    <xdr:rowOff>0</xdr:rowOff>
                  </from>
                  <to>
                    <xdr:col>7</xdr:col>
                    <xdr:colOff>0</xdr:colOff>
                    <xdr:row>4905</xdr:row>
                    <xdr:rowOff>165100</xdr:rowOff>
                  </to>
                </anchor>
              </controlPr>
            </control>
          </mc:Choice>
        </mc:AlternateContent>
        <mc:AlternateContent xmlns:mc="http://schemas.openxmlformats.org/markup-compatibility/2006">
          <mc:Choice Requires="x14">
            <control shapeId="12728" r:id="rId2753" name="Button 1464">
              <controlPr defaultSize="0" autoFill="0" autoLine="0" autoPict="0" macro="[0]!Sheet1.deleteRow">
                <anchor moveWithCells="1" sizeWithCells="1">
                  <from>
                    <xdr:col>6</xdr:col>
                    <xdr:colOff>0</xdr:colOff>
                    <xdr:row>4906</xdr:row>
                    <xdr:rowOff>0</xdr:rowOff>
                  </from>
                  <to>
                    <xdr:col>7</xdr:col>
                    <xdr:colOff>0</xdr:colOff>
                    <xdr:row>4906</xdr:row>
                    <xdr:rowOff>165100</xdr:rowOff>
                  </to>
                </anchor>
              </controlPr>
            </control>
          </mc:Choice>
        </mc:AlternateContent>
        <mc:AlternateContent xmlns:mc="http://schemas.openxmlformats.org/markup-compatibility/2006">
          <mc:Choice Requires="x14">
            <control shapeId="12727" r:id="rId2754" name="Button 1463">
              <controlPr defaultSize="0" autoFill="0" autoLine="0" autoPict="0" macro="[0]!Sheet1.deleteRow">
                <anchor moveWithCells="1" sizeWithCells="1">
                  <from>
                    <xdr:col>6</xdr:col>
                    <xdr:colOff>0</xdr:colOff>
                    <xdr:row>4907</xdr:row>
                    <xdr:rowOff>0</xdr:rowOff>
                  </from>
                  <to>
                    <xdr:col>7</xdr:col>
                    <xdr:colOff>0</xdr:colOff>
                    <xdr:row>4907</xdr:row>
                    <xdr:rowOff>165100</xdr:rowOff>
                  </to>
                </anchor>
              </controlPr>
            </control>
          </mc:Choice>
        </mc:AlternateContent>
        <mc:AlternateContent xmlns:mc="http://schemas.openxmlformats.org/markup-compatibility/2006">
          <mc:Choice Requires="x14">
            <control shapeId="12726" r:id="rId2755" name="Button 1462">
              <controlPr defaultSize="0" autoFill="0" autoLine="0" autoPict="0" macro="[0]!Sheet1.deleteRow">
                <anchor moveWithCells="1" sizeWithCells="1">
                  <from>
                    <xdr:col>6</xdr:col>
                    <xdr:colOff>0</xdr:colOff>
                    <xdr:row>4908</xdr:row>
                    <xdr:rowOff>0</xdr:rowOff>
                  </from>
                  <to>
                    <xdr:col>7</xdr:col>
                    <xdr:colOff>0</xdr:colOff>
                    <xdr:row>4908</xdr:row>
                    <xdr:rowOff>165100</xdr:rowOff>
                  </to>
                </anchor>
              </controlPr>
            </control>
          </mc:Choice>
        </mc:AlternateContent>
        <mc:AlternateContent xmlns:mc="http://schemas.openxmlformats.org/markup-compatibility/2006">
          <mc:Choice Requires="x14">
            <control shapeId="12725" r:id="rId2756" name="Button 1461">
              <controlPr defaultSize="0" autoFill="0" autoLine="0" autoPict="0" macro="[0]!Sheet1.deleteRow">
                <anchor moveWithCells="1" sizeWithCells="1">
                  <from>
                    <xdr:col>6</xdr:col>
                    <xdr:colOff>0</xdr:colOff>
                    <xdr:row>4909</xdr:row>
                    <xdr:rowOff>0</xdr:rowOff>
                  </from>
                  <to>
                    <xdr:col>7</xdr:col>
                    <xdr:colOff>0</xdr:colOff>
                    <xdr:row>4909</xdr:row>
                    <xdr:rowOff>165100</xdr:rowOff>
                  </to>
                </anchor>
              </controlPr>
            </control>
          </mc:Choice>
        </mc:AlternateContent>
        <mc:AlternateContent xmlns:mc="http://schemas.openxmlformats.org/markup-compatibility/2006">
          <mc:Choice Requires="x14">
            <control shapeId="12724" r:id="rId2757" name="Button 1460">
              <controlPr defaultSize="0" autoFill="0" autoLine="0" autoPict="0" macro="[0]!Sheet1.deleteProcedure">
                <anchor moveWithCells="1" sizeWithCells="1">
                  <from>
                    <xdr:col>6</xdr:col>
                    <xdr:colOff>0</xdr:colOff>
                    <xdr:row>4912</xdr:row>
                    <xdr:rowOff>0</xdr:rowOff>
                  </from>
                  <to>
                    <xdr:col>7</xdr:col>
                    <xdr:colOff>0</xdr:colOff>
                    <xdr:row>4913</xdr:row>
                    <xdr:rowOff>0</xdr:rowOff>
                  </to>
                </anchor>
              </controlPr>
            </control>
          </mc:Choice>
        </mc:AlternateContent>
        <mc:AlternateContent xmlns:mc="http://schemas.openxmlformats.org/markup-compatibility/2006">
          <mc:Choice Requires="x14">
            <control shapeId="12723" r:id="rId2758" name="Button 1459">
              <controlPr defaultSize="0" autoFill="0" autoLine="0" autoPict="0" macro="[0]!Sheet1.InsertNewTableRow">
                <anchor moveWithCells="1" sizeWithCells="1">
                  <from>
                    <xdr:col>6</xdr:col>
                    <xdr:colOff>0</xdr:colOff>
                    <xdr:row>4919</xdr:row>
                    <xdr:rowOff>0</xdr:rowOff>
                  </from>
                  <to>
                    <xdr:col>7</xdr:col>
                    <xdr:colOff>0</xdr:colOff>
                    <xdr:row>4919</xdr:row>
                    <xdr:rowOff>171450</xdr:rowOff>
                  </to>
                </anchor>
              </controlPr>
            </control>
          </mc:Choice>
        </mc:AlternateContent>
        <mc:AlternateContent xmlns:mc="http://schemas.openxmlformats.org/markup-compatibility/2006">
          <mc:Choice Requires="x14">
            <control shapeId="12722" r:id="rId2759" name="Button 1458">
              <controlPr defaultSize="0" autoFill="0" autoLine="0" autoPict="0" macro="[0]!Sheet1.deleteRow">
                <anchor moveWithCells="1" sizeWithCells="1">
                  <from>
                    <xdr:col>6</xdr:col>
                    <xdr:colOff>0</xdr:colOff>
                    <xdr:row>4920</xdr:row>
                    <xdr:rowOff>0</xdr:rowOff>
                  </from>
                  <to>
                    <xdr:col>7</xdr:col>
                    <xdr:colOff>0</xdr:colOff>
                    <xdr:row>4920</xdr:row>
                    <xdr:rowOff>165100</xdr:rowOff>
                  </to>
                </anchor>
              </controlPr>
            </control>
          </mc:Choice>
        </mc:AlternateContent>
        <mc:AlternateContent xmlns:mc="http://schemas.openxmlformats.org/markup-compatibility/2006">
          <mc:Choice Requires="x14">
            <control shapeId="12721" r:id="rId2760" name="Button 1457">
              <controlPr defaultSize="0" autoFill="0" autoLine="0" autoPict="0" macro="[0]!Sheet1.deleteRow">
                <anchor moveWithCells="1" sizeWithCells="1">
                  <from>
                    <xdr:col>6</xdr:col>
                    <xdr:colOff>0</xdr:colOff>
                    <xdr:row>4921</xdr:row>
                    <xdr:rowOff>0</xdr:rowOff>
                  </from>
                  <to>
                    <xdr:col>7</xdr:col>
                    <xdr:colOff>0</xdr:colOff>
                    <xdr:row>4921</xdr:row>
                    <xdr:rowOff>165100</xdr:rowOff>
                  </to>
                </anchor>
              </controlPr>
            </control>
          </mc:Choice>
        </mc:AlternateContent>
        <mc:AlternateContent xmlns:mc="http://schemas.openxmlformats.org/markup-compatibility/2006">
          <mc:Choice Requires="x14">
            <control shapeId="12720" r:id="rId2761" name="Button 1456">
              <controlPr defaultSize="0" autoFill="0" autoLine="0" autoPict="0" macro="[0]!Sheet1.deleteRow">
                <anchor moveWithCells="1" sizeWithCells="1">
                  <from>
                    <xdr:col>6</xdr:col>
                    <xdr:colOff>0</xdr:colOff>
                    <xdr:row>4922</xdr:row>
                    <xdr:rowOff>0</xdr:rowOff>
                  </from>
                  <to>
                    <xdr:col>7</xdr:col>
                    <xdr:colOff>0</xdr:colOff>
                    <xdr:row>4922</xdr:row>
                    <xdr:rowOff>165100</xdr:rowOff>
                  </to>
                </anchor>
              </controlPr>
            </control>
          </mc:Choice>
        </mc:AlternateContent>
        <mc:AlternateContent xmlns:mc="http://schemas.openxmlformats.org/markup-compatibility/2006">
          <mc:Choice Requires="x14">
            <control shapeId="12719" r:id="rId2762" name="Button 1455">
              <controlPr defaultSize="0" autoFill="0" autoLine="0" autoPict="0" macro="[0]!Sheet1.deleteProcedure">
                <anchor moveWithCells="1" sizeWithCells="1">
                  <from>
                    <xdr:col>6</xdr:col>
                    <xdr:colOff>0</xdr:colOff>
                    <xdr:row>4925</xdr:row>
                    <xdr:rowOff>0</xdr:rowOff>
                  </from>
                  <to>
                    <xdr:col>7</xdr:col>
                    <xdr:colOff>0</xdr:colOff>
                    <xdr:row>4926</xdr:row>
                    <xdr:rowOff>0</xdr:rowOff>
                  </to>
                </anchor>
              </controlPr>
            </control>
          </mc:Choice>
        </mc:AlternateContent>
        <mc:AlternateContent xmlns:mc="http://schemas.openxmlformats.org/markup-compatibility/2006">
          <mc:Choice Requires="x14">
            <control shapeId="12718" r:id="rId2763" name="Button 1454">
              <controlPr defaultSize="0" autoFill="0" autoLine="0" autoPict="0" macro="[0]!Sheet1.InsertNewTableRow">
                <anchor moveWithCells="1" sizeWithCells="1">
                  <from>
                    <xdr:col>6</xdr:col>
                    <xdr:colOff>0</xdr:colOff>
                    <xdr:row>4932</xdr:row>
                    <xdr:rowOff>0</xdr:rowOff>
                  </from>
                  <to>
                    <xdr:col>7</xdr:col>
                    <xdr:colOff>0</xdr:colOff>
                    <xdr:row>4932</xdr:row>
                    <xdr:rowOff>171450</xdr:rowOff>
                  </to>
                </anchor>
              </controlPr>
            </control>
          </mc:Choice>
        </mc:AlternateContent>
        <mc:AlternateContent xmlns:mc="http://schemas.openxmlformats.org/markup-compatibility/2006">
          <mc:Choice Requires="x14">
            <control shapeId="12717" r:id="rId2764" name="Button 1453">
              <controlPr defaultSize="0" autoFill="0" autoLine="0" autoPict="0" macro="[0]!Sheet1.deleteRow">
                <anchor moveWithCells="1" sizeWithCells="1">
                  <from>
                    <xdr:col>6</xdr:col>
                    <xdr:colOff>0</xdr:colOff>
                    <xdr:row>4933</xdr:row>
                    <xdr:rowOff>0</xdr:rowOff>
                  </from>
                  <to>
                    <xdr:col>7</xdr:col>
                    <xdr:colOff>0</xdr:colOff>
                    <xdr:row>4933</xdr:row>
                    <xdr:rowOff>165100</xdr:rowOff>
                  </to>
                </anchor>
              </controlPr>
            </control>
          </mc:Choice>
        </mc:AlternateContent>
        <mc:AlternateContent xmlns:mc="http://schemas.openxmlformats.org/markup-compatibility/2006">
          <mc:Choice Requires="x14">
            <control shapeId="12716" r:id="rId2765" name="Button 1452">
              <controlPr defaultSize="0" autoFill="0" autoLine="0" autoPict="0" macro="[0]!Sheet1.deleteRow">
                <anchor moveWithCells="1" sizeWithCells="1">
                  <from>
                    <xdr:col>6</xdr:col>
                    <xdr:colOff>0</xdr:colOff>
                    <xdr:row>4934</xdr:row>
                    <xdr:rowOff>0</xdr:rowOff>
                  </from>
                  <to>
                    <xdr:col>7</xdr:col>
                    <xdr:colOff>0</xdr:colOff>
                    <xdr:row>4934</xdr:row>
                    <xdr:rowOff>165100</xdr:rowOff>
                  </to>
                </anchor>
              </controlPr>
            </control>
          </mc:Choice>
        </mc:AlternateContent>
        <mc:AlternateContent xmlns:mc="http://schemas.openxmlformats.org/markup-compatibility/2006">
          <mc:Choice Requires="x14">
            <control shapeId="12715" r:id="rId2766" name="Button 1451">
              <controlPr defaultSize="0" autoFill="0" autoLine="0" autoPict="0" macro="[0]!Sheet1.deleteRow">
                <anchor moveWithCells="1" sizeWithCells="1">
                  <from>
                    <xdr:col>6</xdr:col>
                    <xdr:colOff>0</xdr:colOff>
                    <xdr:row>4935</xdr:row>
                    <xdr:rowOff>0</xdr:rowOff>
                  </from>
                  <to>
                    <xdr:col>7</xdr:col>
                    <xdr:colOff>0</xdr:colOff>
                    <xdr:row>4935</xdr:row>
                    <xdr:rowOff>165100</xdr:rowOff>
                  </to>
                </anchor>
              </controlPr>
            </control>
          </mc:Choice>
        </mc:AlternateContent>
        <mc:AlternateContent xmlns:mc="http://schemas.openxmlformats.org/markup-compatibility/2006">
          <mc:Choice Requires="x14">
            <control shapeId="12714" r:id="rId2767" name="Button 1450">
              <controlPr defaultSize="0" autoFill="0" autoLine="0" autoPict="0" macro="[0]!Sheet1.deleteRow">
                <anchor moveWithCells="1" sizeWithCells="1">
                  <from>
                    <xdr:col>6</xdr:col>
                    <xdr:colOff>0</xdr:colOff>
                    <xdr:row>4936</xdr:row>
                    <xdr:rowOff>0</xdr:rowOff>
                  </from>
                  <to>
                    <xdr:col>7</xdr:col>
                    <xdr:colOff>0</xdr:colOff>
                    <xdr:row>4936</xdr:row>
                    <xdr:rowOff>165100</xdr:rowOff>
                  </to>
                </anchor>
              </controlPr>
            </control>
          </mc:Choice>
        </mc:AlternateContent>
        <mc:AlternateContent xmlns:mc="http://schemas.openxmlformats.org/markup-compatibility/2006">
          <mc:Choice Requires="x14">
            <control shapeId="12713" r:id="rId2768" name="Button 1449">
              <controlPr defaultSize="0" autoFill="0" autoLine="0" autoPict="0" macro="[0]!Sheet1.deleteProcedure">
                <anchor moveWithCells="1" sizeWithCells="1">
                  <from>
                    <xdr:col>6</xdr:col>
                    <xdr:colOff>0</xdr:colOff>
                    <xdr:row>4939</xdr:row>
                    <xdr:rowOff>0</xdr:rowOff>
                  </from>
                  <to>
                    <xdr:col>7</xdr:col>
                    <xdr:colOff>0</xdr:colOff>
                    <xdr:row>4940</xdr:row>
                    <xdr:rowOff>0</xdr:rowOff>
                  </to>
                </anchor>
              </controlPr>
            </control>
          </mc:Choice>
        </mc:AlternateContent>
        <mc:AlternateContent xmlns:mc="http://schemas.openxmlformats.org/markup-compatibility/2006">
          <mc:Choice Requires="x14">
            <control shapeId="12712" r:id="rId2769" name="Button 1448">
              <controlPr defaultSize="0" autoFill="0" autoLine="0" autoPict="0" macro="[0]!Sheet1.InsertNewTableRow">
                <anchor moveWithCells="1" sizeWithCells="1">
                  <from>
                    <xdr:col>6</xdr:col>
                    <xdr:colOff>0</xdr:colOff>
                    <xdr:row>4946</xdr:row>
                    <xdr:rowOff>0</xdr:rowOff>
                  </from>
                  <to>
                    <xdr:col>7</xdr:col>
                    <xdr:colOff>0</xdr:colOff>
                    <xdr:row>4946</xdr:row>
                    <xdr:rowOff>171450</xdr:rowOff>
                  </to>
                </anchor>
              </controlPr>
            </control>
          </mc:Choice>
        </mc:AlternateContent>
        <mc:AlternateContent xmlns:mc="http://schemas.openxmlformats.org/markup-compatibility/2006">
          <mc:Choice Requires="x14">
            <control shapeId="12711" r:id="rId2770" name="Button 1447">
              <controlPr defaultSize="0" autoFill="0" autoLine="0" autoPict="0" macro="[0]!Sheet1.deleteRow">
                <anchor moveWithCells="1" sizeWithCells="1">
                  <from>
                    <xdr:col>6</xdr:col>
                    <xdr:colOff>0</xdr:colOff>
                    <xdr:row>4947</xdr:row>
                    <xdr:rowOff>0</xdr:rowOff>
                  </from>
                  <to>
                    <xdr:col>7</xdr:col>
                    <xdr:colOff>0</xdr:colOff>
                    <xdr:row>4947</xdr:row>
                    <xdr:rowOff>165100</xdr:rowOff>
                  </to>
                </anchor>
              </controlPr>
            </control>
          </mc:Choice>
        </mc:AlternateContent>
        <mc:AlternateContent xmlns:mc="http://schemas.openxmlformats.org/markup-compatibility/2006">
          <mc:Choice Requires="x14">
            <control shapeId="12710" r:id="rId2771" name="Button 1446">
              <controlPr defaultSize="0" autoFill="0" autoLine="0" autoPict="0" macro="[0]!Sheet1.deleteRow">
                <anchor moveWithCells="1" sizeWithCells="1">
                  <from>
                    <xdr:col>6</xdr:col>
                    <xdr:colOff>0</xdr:colOff>
                    <xdr:row>4948</xdr:row>
                    <xdr:rowOff>0</xdr:rowOff>
                  </from>
                  <to>
                    <xdr:col>7</xdr:col>
                    <xdr:colOff>0</xdr:colOff>
                    <xdr:row>4948</xdr:row>
                    <xdr:rowOff>165100</xdr:rowOff>
                  </to>
                </anchor>
              </controlPr>
            </control>
          </mc:Choice>
        </mc:AlternateContent>
        <mc:AlternateContent xmlns:mc="http://schemas.openxmlformats.org/markup-compatibility/2006">
          <mc:Choice Requires="x14">
            <control shapeId="12709" r:id="rId2772" name="Button 1445">
              <controlPr defaultSize="0" autoFill="0" autoLine="0" autoPict="0" macro="[0]!Sheet1.deleteProcedure">
                <anchor moveWithCells="1" sizeWithCells="1">
                  <from>
                    <xdr:col>6</xdr:col>
                    <xdr:colOff>0</xdr:colOff>
                    <xdr:row>4951</xdr:row>
                    <xdr:rowOff>0</xdr:rowOff>
                  </from>
                  <to>
                    <xdr:col>7</xdr:col>
                    <xdr:colOff>0</xdr:colOff>
                    <xdr:row>4952</xdr:row>
                    <xdr:rowOff>0</xdr:rowOff>
                  </to>
                </anchor>
              </controlPr>
            </control>
          </mc:Choice>
        </mc:AlternateContent>
        <mc:AlternateContent xmlns:mc="http://schemas.openxmlformats.org/markup-compatibility/2006">
          <mc:Choice Requires="x14">
            <control shapeId="12708" r:id="rId2773" name="Button 1444">
              <controlPr defaultSize="0" autoFill="0" autoLine="0" autoPict="0" macro="[0]!Sheet1.InsertNewTableRow">
                <anchor moveWithCells="1" sizeWithCells="1">
                  <from>
                    <xdr:col>6</xdr:col>
                    <xdr:colOff>0</xdr:colOff>
                    <xdr:row>4958</xdr:row>
                    <xdr:rowOff>0</xdr:rowOff>
                  </from>
                  <to>
                    <xdr:col>7</xdr:col>
                    <xdr:colOff>0</xdr:colOff>
                    <xdr:row>4958</xdr:row>
                    <xdr:rowOff>171450</xdr:rowOff>
                  </to>
                </anchor>
              </controlPr>
            </control>
          </mc:Choice>
        </mc:AlternateContent>
        <mc:AlternateContent xmlns:mc="http://schemas.openxmlformats.org/markup-compatibility/2006">
          <mc:Choice Requires="x14">
            <control shapeId="12707" r:id="rId2774" name="Button 1443">
              <controlPr defaultSize="0" autoFill="0" autoLine="0" autoPict="0" macro="[0]!Sheet1.deleteRow">
                <anchor moveWithCells="1" sizeWithCells="1">
                  <from>
                    <xdr:col>6</xdr:col>
                    <xdr:colOff>0</xdr:colOff>
                    <xdr:row>4959</xdr:row>
                    <xdr:rowOff>0</xdr:rowOff>
                  </from>
                  <to>
                    <xdr:col>7</xdr:col>
                    <xdr:colOff>0</xdr:colOff>
                    <xdr:row>4959</xdr:row>
                    <xdr:rowOff>165100</xdr:rowOff>
                  </to>
                </anchor>
              </controlPr>
            </control>
          </mc:Choice>
        </mc:AlternateContent>
        <mc:AlternateContent xmlns:mc="http://schemas.openxmlformats.org/markup-compatibility/2006">
          <mc:Choice Requires="x14">
            <control shapeId="12706" r:id="rId2775" name="Button 1442">
              <controlPr defaultSize="0" autoFill="0" autoLine="0" autoPict="0" macro="[0]!Sheet1.deleteRow">
                <anchor moveWithCells="1" sizeWithCells="1">
                  <from>
                    <xdr:col>6</xdr:col>
                    <xdr:colOff>0</xdr:colOff>
                    <xdr:row>4960</xdr:row>
                    <xdr:rowOff>0</xdr:rowOff>
                  </from>
                  <to>
                    <xdr:col>7</xdr:col>
                    <xdr:colOff>0</xdr:colOff>
                    <xdr:row>4960</xdr:row>
                    <xdr:rowOff>165100</xdr:rowOff>
                  </to>
                </anchor>
              </controlPr>
            </control>
          </mc:Choice>
        </mc:AlternateContent>
        <mc:AlternateContent xmlns:mc="http://schemas.openxmlformats.org/markup-compatibility/2006">
          <mc:Choice Requires="x14">
            <control shapeId="12705" r:id="rId2776" name="Button 1441">
              <controlPr defaultSize="0" autoFill="0" autoLine="0" autoPict="0" macro="[0]!Sheet1.deleteProcedure">
                <anchor moveWithCells="1" sizeWithCells="1">
                  <from>
                    <xdr:col>6</xdr:col>
                    <xdr:colOff>0</xdr:colOff>
                    <xdr:row>4963</xdr:row>
                    <xdr:rowOff>0</xdr:rowOff>
                  </from>
                  <to>
                    <xdr:col>7</xdr:col>
                    <xdr:colOff>0</xdr:colOff>
                    <xdr:row>4964</xdr:row>
                    <xdr:rowOff>0</xdr:rowOff>
                  </to>
                </anchor>
              </controlPr>
            </control>
          </mc:Choice>
        </mc:AlternateContent>
        <mc:AlternateContent xmlns:mc="http://schemas.openxmlformats.org/markup-compatibility/2006">
          <mc:Choice Requires="x14">
            <control shapeId="12704" r:id="rId2777" name="Button 1440">
              <controlPr defaultSize="0" autoFill="0" autoLine="0" autoPict="0" macro="[0]!Sheet1.InsertNewTableRow">
                <anchor moveWithCells="1" sizeWithCells="1">
                  <from>
                    <xdr:col>6</xdr:col>
                    <xdr:colOff>0</xdr:colOff>
                    <xdr:row>4970</xdr:row>
                    <xdr:rowOff>0</xdr:rowOff>
                  </from>
                  <to>
                    <xdr:col>7</xdr:col>
                    <xdr:colOff>0</xdr:colOff>
                    <xdr:row>4970</xdr:row>
                    <xdr:rowOff>171450</xdr:rowOff>
                  </to>
                </anchor>
              </controlPr>
            </control>
          </mc:Choice>
        </mc:AlternateContent>
        <mc:AlternateContent xmlns:mc="http://schemas.openxmlformats.org/markup-compatibility/2006">
          <mc:Choice Requires="x14">
            <control shapeId="12703" r:id="rId2778" name="Button 1439">
              <controlPr defaultSize="0" autoFill="0" autoLine="0" autoPict="0" macro="[0]!Sheet1.deleteRow">
                <anchor moveWithCells="1" sizeWithCells="1">
                  <from>
                    <xdr:col>6</xdr:col>
                    <xdr:colOff>0</xdr:colOff>
                    <xdr:row>4971</xdr:row>
                    <xdr:rowOff>0</xdr:rowOff>
                  </from>
                  <to>
                    <xdr:col>7</xdr:col>
                    <xdr:colOff>0</xdr:colOff>
                    <xdr:row>4971</xdr:row>
                    <xdr:rowOff>165100</xdr:rowOff>
                  </to>
                </anchor>
              </controlPr>
            </control>
          </mc:Choice>
        </mc:AlternateContent>
        <mc:AlternateContent xmlns:mc="http://schemas.openxmlformats.org/markup-compatibility/2006">
          <mc:Choice Requires="x14">
            <control shapeId="12702" r:id="rId2779" name="Button 1438">
              <controlPr defaultSize="0" autoFill="0" autoLine="0" autoPict="0" macro="[0]!Sheet1.deleteProcedure">
                <anchor moveWithCells="1" sizeWithCells="1">
                  <from>
                    <xdr:col>6</xdr:col>
                    <xdr:colOff>0</xdr:colOff>
                    <xdr:row>4974</xdr:row>
                    <xdr:rowOff>0</xdr:rowOff>
                  </from>
                  <to>
                    <xdr:col>7</xdr:col>
                    <xdr:colOff>0</xdr:colOff>
                    <xdr:row>4975</xdr:row>
                    <xdr:rowOff>0</xdr:rowOff>
                  </to>
                </anchor>
              </controlPr>
            </control>
          </mc:Choice>
        </mc:AlternateContent>
        <mc:AlternateContent xmlns:mc="http://schemas.openxmlformats.org/markup-compatibility/2006">
          <mc:Choice Requires="x14">
            <control shapeId="12701" r:id="rId2780" name="Button 1437">
              <controlPr defaultSize="0" autoFill="0" autoLine="0" autoPict="0" macro="[0]!Sheet1.InsertNewTableRow">
                <anchor moveWithCells="1" sizeWithCells="1">
                  <from>
                    <xdr:col>6</xdr:col>
                    <xdr:colOff>0</xdr:colOff>
                    <xdr:row>4981</xdr:row>
                    <xdr:rowOff>0</xdr:rowOff>
                  </from>
                  <to>
                    <xdr:col>7</xdr:col>
                    <xdr:colOff>0</xdr:colOff>
                    <xdr:row>4981</xdr:row>
                    <xdr:rowOff>171450</xdr:rowOff>
                  </to>
                </anchor>
              </controlPr>
            </control>
          </mc:Choice>
        </mc:AlternateContent>
        <mc:AlternateContent xmlns:mc="http://schemas.openxmlformats.org/markup-compatibility/2006">
          <mc:Choice Requires="x14">
            <control shapeId="12700" r:id="rId2781" name="Button 1436">
              <controlPr defaultSize="0" autoFill="0" autoLine="0" autoPict="0" macro="[0]!Sheet1.deleteRow">
                <anchor moveWithCells="1" sizeWithCells="1">
                  <from>
                    <xdr:col>6</xdr:col>
                    <xdr:colOff>0</xdr:colOff>
                    <xdr:row>4982</xdr:row>
                    <xdr:rowOff>0</xdr:rowOff>
                  </from>
                  <to>
                    <xdr:col>7</xdr:col>
                    <xdr:colOff>0</xdr:colOff>
                    <xdr:row>4982</xdr:row>
                    <xdr:rowOff>165100</xdr:rowOff>
                  </to>
                </anchor>
              </controlPr>
            </control>
          </mc:Choice>
        </mc:AlternateContent>
        <mc:AlternateContent xmlns:mc="http://schemas.openxmlformats.org/markup-compatibility/2006">
          <mc:Choice Requires="x14">
            <control shapeId="12699" r:id="rId2782" name="Button 1435">
              <controlPr defaultSize="0" autoFill="0" autoLine="0" autoPict="0" macro="[0]!Sheet1.deleteRow">
                <anchor moveWithCells="1" sizeWithCells="1">
                  <from>
                    <xdr:col>6</xdr:col>
                    <xdr:colOff>0</xdr:colOff>
                    <xdr:row>4983</xdr:row>
                    <xdr:rowOff>0</xdr:rowOff>
                  </from>
                  <to>
                    <xdr:col>7</xdr:col>
                    <xdr:colOff>0</xdr:colOff>
                    <xdr:row>4983</xdr:row>
                    <xdr:rowOff>165100</xdr:rowOff>
                  </to>
                </anchor>
              </controlPr>
            </control>
          </mc:Choice>
        </mc:AlternateContent>
        <mc:AlternateContent xmlns:mc="http://schemas.openxmlformats.org/markup-compatibility/2006">
          <mc:Choice Requires="x14">
            <control shapeId="12698" r:id="rId2783" name="Button 1434">
              <controlPr defaultSize="0" autoFill="0" autoLine="0" autoPict="0" macro="[0]!Sheet1.deleteRow">
                <anchor moveWithCells="1" sizeWithCells="1">
                  <from>
                    <xdr:col>6</xdr:col>
                    <xdr:colOff>0</xdr:colOff>
                    <xdr:row>4984</xdr:row>
                    <xdr:rowOff>0</xdr:rowOff>
                  </from>
                  <to>
                    <xdr:col>7</xdr:col>
                    <xdr:colOff>0</xdr:colOff>
                    <xdr:row>4984</xdr:row>
                    <xdr:rowOff>165100</xdr:rowOff>
                  </to>
                </anchor>
              </controlPr>
            </control>
          </mc:Choice>
        </mc:AlternateContent>
        <mc:AlternateContent xmlns:mc="http://schemas.openxmlformats.org/markup-compatibility/2006">
          <mc:Choice Requires="x14">
            <control shapeId="12697" r:id="rId2784" name="Button 1433">
              <controlPr defaultSize="0" autoFill="0" autoLine="0" autoPict="0" macro="[0]!Sheet1.deleteRow">
                <anchor moveWithCells="1" sizeWithCells="1">
                  <from>
                    <xdr:col>6</xdr:col>
                    <xdr:colOff>0</xdr:colOff>
                    <xdr:row>4985</xdr:row>
                    <xdr:rowOff>0</xdr:rowOff>
                  </from>
                  <to>
                    <xdr:col>7</xdr:col>
                    <xdr:colOff>0</xdr:colOff>
                    <xdr:row>4985</xdr:row>
                    <xdr:rowOff>165100</xdr:rowOff>
                  </to>
                </anchor>
              </controlPr>
            </control>
          </mc:Choice>
        </mc:AlternateContent>
        <mc:AlternateContent xmlns:mc="http://schemas.openxmlformats.org/markup-compatibility/2006">
          <mc:Choice Requires="x14">
            <control shapeId="12696" r:id="rId2785" name="Button 1432">
              <controlPr defaultSize="0" autoFill="0" autoLine="0" autoPict="0" macro="[0]!Sheet1.deleteRow">
                <anchor moveWithCells="1" sizeWithCells="1">
                  <from>
                    <xdr:col>6</xdr:col>
                    <xdr:colOff>0</xdr:colOff>
                    <xdr:row>4986</xdr:row>
                    <xdr:rowOff>0</xdr:rowOff>
                  </from>
                  <to>
                    <xdr:col>7</xdr:col>
                    <xdr:colOff>0</xdr:colOff>
                    <xdr:row>4986</xdr:row>
                    <xdr:rowOff>165100</xdr:rowOff>
                  </to>
                </anchor>
              </controlPr>
            </control>
          </mc:Choice>
        </mc:AlternateContent>
        <mc:AlternateContent xmlns:mc="http://schemas.openxmlformats.org/markup-compatibility/2006">
          <mc:Choice Requires="x14">
            <control shapeId="12695" r:id="rId2786" name="Button 1431">
              <controlPr defaultSize="0" autoFill="0" autoLine="0" autoPict="0" macro="[0]!Sheet1.deleteRow">
                <anchor moveWithCells="1" sizeWithCells="1">
                  <from>
                    <xdr:col>6</xdr:col>
                    <xdr:colOff>0</xdr:colOff>
                    <xdr:row>4987</xdr:row>
                    <xdr:rowOff>0</xdr:rowOff>
                  </from>
                  <to>
                    <xdr:col>7</xdr:col>
                    <xdr:colOff>0</xdr:colOff>
                    <xdr:row>4987</xdr:row>
                    <xdr:rowOff>165100</xdr:rowOff>
                  </to>
                </anchor>
              </controlPr>
            </control>
          </mc:Choice>
        </mc:AlternateContent>
        <mc:AlternateContent xmlns:mc="http://schemas.openxmlformats.org/markup-compatibility/2006">
          <mc:Choice Requires="x14">
            <control shapeId="12694" r:id="rId2787" name="Button 1430">
              <controlPr defaultSize="0" autoFill="0" autoLine="0" autoPict="0" macro="[0]!Sheet1.deleteProcedure">
                <anchor moveWithCells="1" sizeWithCells="1">
                  <from>
                    <xdr:col>6</xdr:col>
                    <xdr:colOff>0</xdr:colOff>
                    <xdr:row>4990</xdr:row>
                    <xdr:rowOff>0</xdr:rowOff>
                  </from>
                  <to>
                    <xdr:col>7</xdr:col>
                    <xdr:colOff>0</xdr:colOff>
                    <xdr:row>4991</xdr:row>
                    <xdr:rowOff>0</xdr:rowOff>
                  </to>
                </anchor>
              </controlPr>
            </control>
          </mc:Choice>
        </mc:AlternateContent>
        <mc:AlternateContent xmlns:mc="http://schemas.openxmlformats.org/markup-compatibility/2006">
          <mc:Choice Requires="x14">
            <control shapeId="12693" r:id="rId2788" name="Button 1429">
              <controlPr defaultSize="0" autoFill="0" autoLine="0" autoPict="0" macro="[0]!Sheet1.InsertNewTableRow">
                <anchor moveWithCells="1" sizeWithCells="1">
                  <from>
                    <xdr:col>6</xdr:col>
                    <xdr:colOff>0</xdr:colOff>
                    <xdr:row>4997</xdr:row>
                    <xdr:rowOff>0</xdr:rowOff>
                  </from>
                  <to>
                    <xdr:col>7</xdr:col>
                    <xdr:colOff>0</xdr:colOff>
                    <xdr:row>4997</xdr:row>
                    <xdr:rowOff>171450</xdr:rowOff>
                  </to>
                </anchor>
              </controlPr>
            </control>
          </mc:Choice>
        </mc:AlternateContent>
        <mc:AlternateContent xmlns:mc="http://schemas.openxmlformats.org/markup-compatibility/2006">
          <mc:Choice Requires="x14">
            <control shapeId="12692" r:id="rId2789" name="Button 1428">
              <controlPr defaultSize="0" autoFill="0" autoLine="0" autoPict="0" macro="[0]!Sheet1.deleteRow">
                <anchor moveWithCells="1" sizeWithCells="1">
                  <from>
                    <xdr:col>6</xdr:col>
                    <xdr:colOff>0</xdr:colOff>
                    <xdr:row>4998</xdr:row>
                    <xdr:rowOff>0</xdr:rowOff>
                  </from>
                  <to>
                    <xdr:col>7</xdr:col>
                    <xdr:colOff>0</xdr:colOff>
                    <xdr:row>4998</xdr:row>
                    <xdr:rowOff>165100</xdr:rowOff>
                  </to>
                </anchor>
              </controlPr>
            </control>
          </mc:Choice>
        </mc:AlternateContent>
        <mc:AlternateContent xmlns:mc="http://schemas.openxmlformats.org/markup-compatibility/2006">
          <mc:Choice Requires="x14">
            <control shapeId="12691" r:id="rId2790" name="Button 1427">
              <controlPr defaultSize="0" autoFill="0" autoLine="0" autoPict="0" macro="[0]!Sheet1.deleteRow">
                <anchor moveWithCells="1" sizeWithCells="1">
                  <from>
                    <xdr:col>6</xdr:col>
                    <xdr:colOff>0</xdr:colOff>
                    <xdr:row>4999</xdr:row>
                    <xdr:rowOff>0</xdr:rowOff>
                  </from>
                  <to>
                    <xdr:col>7</xdr:col>
                    <xdr:colOff>0</xdr:colOff>
                    <xdr:row>4999</xdr:row>
                    <xdr:rowOff>165100</xdr:rowOff>
                  </to>
                </anchor>
              </controlPr>
            </control>
          </mc:Choice>
        </mc:AlternateContent>
        <mc:AlternateContent xmlns:mc="http://schemas.openxmlformats.org/markup-compatibility/2006">
          <mc:Choice Requires="x14">
            <control shapeId="12690" r:id="rId2791" name="Button 1426">
              <controlPr defaultSize="0" autoFill="0" autoLine="0" autoPict="0" macro="[0]!Sheet1.deleteRow">
                <anchor moveWithCells="1" sizeWithCells="1">
                  <from>
                    <xdr:col>6</xdr:col>
                    <xdr:colOff>0</xdr:colOff>
                    <xdr:row>5000</xdr:row>
                    <xdr:rowOff>0</xdr:rowOff>
                  </from>
                  <to>
                    <xdr:col>7</xdr:col>
                    <xdr:colOff>0</xdr:colOff>
                    <xdr:row>5000</xdr:row>
                    <xdr:rowOff>165100</xdr:rowOff>
                  </to>
                </anchor>
              </controlPr>
            </control>
          </mc:Choice>
        </mc:AlternateContent>
        <mc:AlternateContent xmlns:mc="http://schemas.openxmlformats.org/markup-compatibility/2006">
          <mc:Choice Requires="x14">
            <control shapeId="12689" r:id="rId2792" name="Button 1425">
              <controlPr defaultSize="0" autoFill="0" autoLine="0" autoPict="0" macro="[0]!Sheet1.deleteRow">
                <anchor moveWithCells="1" sizeWithCells="1">
                  <from>
                    <xdr:col>6</xdr:col>
                    <xdr:colOff>0</xdr:colOff>
                    <xdr:row>5001</xdr:row>
                    <xdr:rowOff>0</xdr:rowOff>
                  </from>
                  <to>
                    <xdr:col>7</xdr:col>
                    <xdr:colOff>0</xdr:colOff>
                    <xdr:row>5001</xdr:row>
                    <xdr:rowOff>165100</xdr:rowOff>
                  </to>
                </anchor>
              </controlPr>
            </control>
          </mc:Choice>
        </mc:AlternateContent>
        <mc:AlternateContent xmlns:mc="http://schemas.openxmlformats.org/markup-compatibility/2006">
          <mc:Choice Requires="x14">
            <control shapeId="12688" r:id="rId2793" name="Button 1424">
              <controlPr defaultSize="0" autoFill="0" autoLine="0" autoPict="0" macro="[0]!Sheet1.deleteRow">
                <anchor moveWithCells="1" sizeWithCells="1">
                  <from>
                    <xdr:col>6</xdr:col>
                    <xdr:colOff>0</xdr:colOff>
                    <xdr:row>5002</xdr:row>
                    <xdr:rowOff>0</xdr:rowOff>
                  </from>
                  <to>
                    <xdr:col>7</xdr:col>
                    <xdr:colOff>0</xdr:colOff>
                    <xdr:row>5002</xdr:row>
                    <xdr:rowOff>165100</xdr:rowOff>
                  </to>
                </anchor>
              </controlPr>
            </control>
          </mc:Choice>
        </mc:AlternateContent>
        <mc:AlternateContent xmlns:mc="http://schemas.openxmlformats.org/markup-compatibility/2006">
          <mc:Choice Requires="x14">
            <control shapeId="12687" r:id="rId2794" name="Button 1423">
              <controlPr defaultSize="0" autoFill="0" autoLine="0" autoPict="0" macro="[0]!Sheet1.deleteRow">
                <anchor moveWithCells="1" sizeWithCells="1">
                  <from>
                    <xdr:col>6</xdr:col>
                    <xdr:colOff>0</xdr:colOff>
                    <xdr:row>5003</xdr:row>
                    <xdr:rowOff>0</xdr:rowOff>
                  </from>
                  <to>
                    <xdr:col>7</xdr:col>
                    <xdr:colOff>0</xdr:colOff>
                    <xdr:row>5003</xdr:row>
                    <xdr:rowOff>165100</xdr:rowOff>
                  </to>
                </anchor>
              </controlPr>
            </control>
          </mc:Choice>
        </mc:AlternateContent>
        <mc:AlternateContent xmlns:mc="http://schemas.openxmlformats.org/markup-compatibility/2006">
          <mc:Choice Requires="x14">
            <control shapeId="12686" r:id="rId2795" name="Button 1422">
              <controlPr defaultSize="0" autoFill="0" autoLine="0" autoPict="0" macro="[0]!Sheet1.deleteProcedure">
                <anchor moveWithCells="1" sizeWithCells="1">
                  <from>
                    <xdr:col>6</xdr:col>
                    <xdr:colOff>0</xdr:colOff>
                    <xdr:row>5006</xdr:row>
                    <xdr:rowOff>0</xdr:rowOff>
                  </from>
                  <to>
                    <xdr:col>7</xdr:col>
                    <xdr:colOff>0</xdr:colOff>
                    <xdr:row>5007</xdr:row>
                    <xdr:rowOff>0</xdr:rowOff>
                  </to>
                </anchor>
              </controlPr>
            </control>
          </mc:Choice>
        </mc:AlternateContent>
        <mc:AlternateContent xmlns:mc="http://schemas.openxmlformats.org/markup-compatibility/2006">
          <mc:Choice Requires="x14">
            <control shapeId="12685" r:id="rId2796" name="Button 1421">
              <controlPr defaultSize="0" autoFill="0" autoLine="0" autoPict="0" macro="[0]!Sheet1.InsertNewTableRow">
                <anchor moveWithCells="1" sizeWithCells="1">
                  <from>
                    <xdr:col>6</xdr:col>
                    <xdr:colOff>0</xdr:colOff>
                    <xdr:row>5013</xdr:row>
                    <xdr:rowOff>0</xdr:rowOff>
                  </from>
                  <to>
                    <xdr:col>7</xdr:col>
                    <xdr:colOff>0</xdr:colOff>
                    <xdr:row>5013</xdr:row>
                    <xdr:rowOff>171450</xdr:rowOff>
                  </to>
                </anchor>
              </controlPr>
            </control>
          </mc:Choice>
        </mc:AlternateContent>
        <mc:AlternateContent xmlns:mc="http://schemas.openxmlformats.org/markup-compatibility/2006">
          <mc:Choice Requires="x14">
            <control shapeId="12684" r:id="rId2797" name="Button 1420">
              <controlPr defaultSize="0" autoFill="0" autoLine="0" autoPict="0" macro="[0]!Sheet1.deleteRow">
                <anchor moveWithCells="1" sizeWithCells="1">
                  <from>
                    <xdr:col>6</xdr:col>
                    <xdr:colOff>0</xdr:colOff>
                    <xdr:row>5014</xdr:row>
                    <xdr:rowOff>0</xdr:rowOff>
                  </from>
                  <to>
                    <xdr:col>7</xdr:col>
                    <xdr:colOff>0</xdr:colOff>
                    <xdr:row>5014</xdr:row>
                    <xdr:rowOff>165100</xdr:rowOff>
                  </to>
                </anchor>
              </controlPr>
            </control>
          </mc:Choice>
        </mc:AlternateContent>
        <mc:AlternateContent xmlns:mc="http://schemas.openxmlformats.org/markup-compatibility/2006">
          <mc:Choice Requires="x14">
            <control shapeId="12683" r:id="rId2798" name="Button 1419">
              <controlPr defaultSize="0" autoFill="0" autoLine="0" autoPict="0" macro="[0]!Sheet1.deleteRow">
                <anchor moveWithCells="1" sizeWithCells="1">
                  <from>
                    <xdr:col>6</xdr:col>
                    <xdr:colOff>0</xdr:colOff>
                    <xdr:row>5015</xdr:row>
                    <xdr:rowOff>0</xdr:rowOff>
                  </from>
                  <to>
                    <xdr:col>7</xdr:col>
                    <xdr:colOff>0</xdr:colOff>
                    <xdr:row>5015</xdr:row>
                    <xdr:rowOff>165100</xdr:rowOff>
                  </to>
                </anchor>
              </controlPr>
            </control>
          </mc:Choice>
        </mc:AlternateContent>
        <mc:AlternateContent xmlns:mc="http://schemas.openxmlformats.org/markup-compatibility/2006">
          <mc:Choice Requires="x14">
            <control shapeId="12682" r:id="rId2799" name="Button 1418">
              <controlPr defaultSize="0" autoFill="0" autoLine="0" autoPict="0" macro="[0]!Sheet1.deleteRow">
                <anchor moveWithCells="1" sizeWithCells="1">
                  <from>
                    <xdr:col>6</xdr:col>
                    <xdr:colOff>0</xdr:colOff>
                    <xdr:row>5016</xdr:row>
                    <xdr:rowOff>0</xdr:rowOff>
                  </from>
                  <to>
                    <xdr:col>7</xdr:col>
                    <xdr:colOff>0</xdr:colOff>
                    <xdr:row>5016</xdr:row>
                    <xdr:rowOff>165100</xdr:rowOff>
                  </to>
                </anchor>
              </controlPr>
            </control>
          </mc:Choice>
        </mc:AlternateContent>
        <mc:AlternateContent xmlns:mc="http://schemas.openxmlformats.org/markup-compatibility/2006">
          <mc:Choice Requires="x14">
            <control shapeId="12681" r:id="rId2800" name="Button 1417">
              <controlPr defaultSize="0" autoFill="0" autoLine="0" autoPict="0" macro="[0]!Sheet1.deleteRow">
                <anchor moveWithCells="1" sizeWithCells="1">
                  <from>
                    <xdr:col>6</xdr:col>
                    <xdr:colOff>0</xdr:colOff>
                    <xdr:row>5017</xdr:row>
                    <xdr:rowOff>0</xdr:rowOff>
                  </from>
                  <to>
                    <xdr:col>7</xdr:col>
                    <xdr:colOff>0</xdr:colOff>
                    <xdr:row>5017</xdr:row>
                    <xdr:rowOff>165100</xdr:rowOff>
                  </to>
                </anchor>
              </controlPr>
            </control>
          </mc:Choice>
        </mc:AlternateContent>
        <mc:AlternateContent xmlns:mc="http://schemas.openxmlformats.org/markup-compatibility/2006">
          <mc:Choice Requires="x14">
            <control shapeId="12680" r:id="rId2801" name="Button 1416">
              <controlPr defaultSize="0" autoFill="0" autoLine="0" autoPict="0" macro="[0]!Sheet1.deleteRow">
                <anchor moveWithCells="1" sizeWithCells="1">
                  <from>
                    <xdr:col>6</xdr:col>
                    <xdr:colOff>0</xdr:colOff>
                    <xdr:row>5018</xdr:row>
                    <xdr:rowOff>0</xdr:rowOff>
                  </from>
                  <to>
                    <xdr:col>7</xdr:col>
                    <xdr:colOff>0</xdr:colOff>
                    <xdr:row>5018</xdr:row>
                    <xdr:rowOff>165100</xdr:rowOff>
                  </to>
                </anchor>
              </controlPr>
            </control>
          </mc:Choice>
        </mc:AlternateContent>
        <mc:AlternateContent xmlns:mc="http://schemas.openxmlformats.org/markup-compatibility/2006">
          <mc:Choice Requires="x14">
            <control shapeId="12679" r:id="rId2802" name="Button 1415">
              <controlPr defaultSize="0" autoFill="0" autoLine="0" autoPict="0" macro="[0]!Sheet1.deleteProcedure">
                <anchor moveWithCells="1" sizeWithCells="1">
                  <from>
                    <xdr:col>6</xdr:col>
                    <xdr:colOff>0</xdr:colOff>
                    <xdr:row>5021</xdr:row>
                    <xdr:rowOff>0</xdr:rowOff>
                  </from>
                  <to>
                    <xdr:col>7</xdr:col>
                    <xdr:colOff>0</xdr:colOff>
                    <xdr:row>5022</xdr:row>
                    <xdr:rowOff>0</xdr:rowOff>
                  </to>
                </anchor>
              </controlPr>
            </control>
          </mc:Choice>
        </mc:AlternateContent>
        <mc:AlternateContent xmlns:mc="http://schemas.openxmlformats.org/markup-compatibility/2006">
          <mc:Choice Requires="x14">
            <control shapeId="12678" r:id="rId2803" name="Button 1414">
              <controlPr defaultSize="0" autoFill="0" autoLine="0" autoPict="0" macro="[0]!Sheet1.InsertNewTableRow">
                <anchor moveWithCells="1" sizeWithCells="1">
                  <from>
                    <xdr:col>6</xdr:col>
                    <xdr:colOff>0</xdr:colOff>
                    <xdr:row>5028</xdr:row>
                    <xdr:rowOff>0</xdr:rowOff>
                  </from>
                  <to>
                    <xdr:col>7</xdr:col>
                    <xdr:colOff>0</xdr:colOff>
                    <xdr:row>5028</xdr:row>
                    <xdr:rowOff>171450</xdr:rowOff>
                  </to>
                </anchor>
              </controlPr>
            </control>
          </mc:Choice>
        </mc:AlternateContent>
        <mc:AlternateContent xmlns:mc="http://schemas.openxmlformats.org/markup-compatibility/2006">
          <mc:Choice Requires="x14">
            <control shapeId="12677" r:id="rId2804" name="Button 1413">
              <controlPr defaultSize="0" autoFill="0" autoLine="0" autoPict="0" macro="[0]!Sheet1.deleteRow">
                <anchor moveWithCells="1" sizeWithCells="1">
                  <from>
                    <xdr:col>6</xdr:col>
                    <xdr:colOff>0</xdr:colOff>
                    <xdr:row>5029</xdr:row>
                    <xdr:rowOff>0</xdr:rowOff>
                  </from>
                  <to>
                    <xdr:col>7</xdr:col>
                    <xdr:colOff>0</xdr:colOff>
                    <xdr:row>5029</xdr:row>
                    <xdr:rowOff>165100</xdr:rowOff>
                  </to>
                </anchor>
              </controlPr>
            </control>
          </mc:Choice>
        </mc:AlternateContent>
        <mc:AlternateContent xmlns:mc="http://schemas.openxmlformats.org/markup-compatibility/2006">
          <mc:Choice Requires="x14">
            <control shapeId="12676" r:id="rId2805" name="Button 1412">
              <controlPr defaultSize="0" autoFill="0" autoLine="0" autoPict="0" macro="[0]!Sheet1.deleteRow">
                <anchor moveWithCells="1" sizeWithCells="1">
                  <from>
                    <xdr:col>6</xdr:col>
                    <xdr:colOff>0</xdr:colOff>
                    <xdr:row>5030</xdr:row>
                    <xdr:rowOff>0</xdr:rowOff>
                  </from>
                  <to>
                    <xdr:col>7</xdr:col>
                    <xdr:colOff>0</xdr:colOff>
                    <xdr:row>5030</xdr:row>
                    <xdr:rowOff>165100</xdr:rowOff>
                  </to>
                </anchor>
              </controlPr>
            </control>
          </mc:Choice>
        </mc:AlternateContent>
        <mc:AlternateContent xmlns:mc="http://schemas.openxmlformats.org/markup-compatibility/2006">
          <mc:Choice Requires="x14">
            <control shapeId="12675" r:id="rId2806" name="Button 1411">
              <controlPr defaultSize="0" autoFill="0" autoLine="0" autoPict="0" macro="[0]!Sheet1.deleteRow">
                <anchor moveWithCells="1" sizeWithCells="1">
                  <from>
                    <xdr:col>6</xdr:col>
                    <xdr:colOff>0</xdr:colOff>
                    <xdr:row>5031</xdr:row>
                    <xdr:rowOff>0</xdr:rowOff>
                  </from>
                  <to>
                    <xdr:col>7</xdr:col>
                    <xdr:colOff>0</xdr:colOff>
                    <xdr:row>5031</xdr:row>
                    <xdr:rowOff>165100</xdr:rowOff>
                  </to>
                </anchor>
              </controlPr>
            </control>
          </mc:Choice>
        </mc:AlternateContent>
        <mc:AlternateContent xmlns:mc="http://schemas.openxmlformats.org/markup-compatibility/2006">
          <mc:Choice Requires="x14">
            <control shapeId="12674" r:id="rId2807" name="Button 1410">
              <controlPr defaultSize="0" autoFill="0" autoLine="0" autoPict="0" macro="[0]!Sheet1.deleteProcedure">
                <anchor moveWithCells="1" sizeWithCells="1">
                  <from>
                    <xdr:col>6</xdr:col>
                    <xdr:colOff>0</xdr:colOff>
                    <xdr:row>5034</xdr:row>
                    <xdr:rowOff>0</xdr:rowOff>
                  </from>
                  <to>
                    <xdr:col>7</xdr:col>
                    <xdr:colOff>0</xdr:colOff>
                    <xdr:row>5035</xdr:row>
                    <xdr:rowOff>0</xdr:rowOff>
                  </to>
                </anchor>
              </controlPr>
            </control>
          </mc:Choice>
        </mc:AlternateContent>
        <mc:AlternateContent xmlns:mc="http://schemas.openxmlformats.org/markup-compatibility/2006">
          <mc:Choice Requires="x14">
            <control shapeId="12673" r:id="rId2808" name="Button 1409">
              <controlPr defaultSize="0" autoFill="0" autoLine="0" autoPict="0" macro="[0]!Sheet1.InsertNewTableRow">
                <anchor moveWithCells="1" sizeWithCells="1">
                  <from>
                    <xdr:col>6</xdr:col>
                    <xdr:colOff>0</xdr:colOff>
                    <xdr:row>5041</xdr:row>
                    <xdr:rowOff>0</xdr:rowOff>
                  </from>
                  <to>
                    <xdr:col>7</xdr:col>
                    <xdr:colOff>0</xdr:colOff>
                    <xdr:row>5041</xdr:row>
                    <xdr:rowOff>171450</xdr:rowOff>
                  </to>
                </anchor>
              </controlPr>
            </control>
          </mc:Choice>
        </mc:AlternateContent>
        <mc:AlternateContent xmlns:mc="http://schemas.openxmlformats.org/markup-compatibility/2006">
          <mc:Choice Requires="x14">
            <control shapeId="12672" r:id="rId2809" name="Button 1408">
              <controlPr defaultSize="0" autoFill="0" autoLine="0" autoPict="0" macro="[0]!Sheet1.deleteRow">
                <anchor moveWithCells="1" sizeWithCells="1">
                  <from>
                    <xdr:col>6</xdr:col>
                    <xdr:colOff>0</xdr:colOff>
                    <xdr:row>5042</xdr:row>
                    <xdr:rowOff>0</xdr:rowOff>
                  </from>
                  <to>
                    <xdr:col>7</xdr:col>
                    <xdr:colOff>0</xdr:colOff>
                    <xdr:row>5042</xdr:row>
                    <xdr:rowOff>165100</xdr:rowOff>
                  </to>
                </anchor>
              </controlPr>
            </control>
          </mc:Choice>
        </mc:AlternateContent>
        <mc:AlternateContent xmlns:mc="http://schemas.openxmlformats.org/markup-compatibility/2006">
          <mc:Choice Requires="x14">
            <control shapeId="12671" r:id="rId2810" name="Button 1407">
              <controlPr defaultSize="0" autoFill="0" autoLine="0" autoPict="0" macro="[0]!Sheet1.deleteRow">
                <anchor moveWithCells="1" sizeWithCells="1">
                  <from>
                    <xdr:col>6</xdr:col>
                    <xdr:colOff>0</xdr:colOff>
                    <xdr:row>5043</xdr:row>
                    <xdr:rowOff>0</xdr:rowOff>
                  </from>
                  <to>
                    <xdr:col>7</xdr:col>
                    <xdr:colOff>0</xdr:colOff>
                    <xdr:row>5043</xdr:row>
                    <xdr:rowOff>165100</xdr:rowOff>
                  </to>
                </anchor>
              </controlPr>
            </control>
          </mc:Choice>
        </mc:AlternateContent>
        <mc:AlternateContent xmlns:mc="http://schemas.openxmlformats.org/markup-compatibility/2006">
          <mc:Choice Requires="x14">
            <control shapeId="12670" r:id="rId2811" name="Button 1406">
              <controlPr defaultSize="0" autoFill="0" autoLine="0" autoPict="0" macro="[0]!Sheet1.deleteRow">
                <anchor moveWithCells="1" sizeWithCells="1">
                  <from>
                    <xdr:col>6</xdr:col>
                    <xdr:colOff>0</xdr:colOff>
                    <xdr:row>5044</xdr:row>
                    <xdr:rowOff>0</xdr:rowOff>
                  </from>
                  <to>
                    <xdr:col>7</xdr:col>
                    <xdr:colOff>0</xdr:colOff>
                    <xdr:row>5044</xdr:row>
                    <xdr:rowOff>165100</xdr:rowOff>
                  </to>
                </anchor>
              </controlPr>
            </control>
          </mc:Choice>
        </mc:AlternateContent>
        <mc:AlternateContent xmlns:mc="http://schemas.openxmlformats.org/markup-compatibility/2006">
          <mc:Choice Requires="x14">
            <control shapeId="12669" r:id="rId2812" name="Button 1405">
              <controlPr defaultSize="0" autoFill="0" autoLine="0" autoPict="0" macro="[0]!Sheet1.deleteRow">
                <anchor moveWithCells="1" sizeWithCells="1">
                  <from>
                    <xdr:col>6</xdr:col>
                    <xdr:colOff>0</xdr:colOff>
                    <xdr:row>5045</xdr:row>
                    <xdr:rowOff>0</xdr:rowOff>
                  </from>
                  <to>
                    <xdr:col>7</xdr:col>
                    <xdr:colOff>0</xdr:colOff>
                    <xdr:row>5045</xdr:row>
                    <xdr:rowOff>165100</xdr:rowOff>
                  </to>
                </anchor>
              </controlPr>
            </control>
          </mc:Choice>
        </mc:AlternateContent>
        <mc:AlternateContent xmlns:mc="http://schemas.openxmlformats.org/markup-compatibility/2006">
          <mc:Choice Requires="x14">
            <control shapeId="12668" r:id="rId2813" name="Button 1404">
              <controlPr defaultSize="0" autoFill="0" autoLine="0" autoPict="0" macro="[0]!Sheet1.deleteRow">
                <anchor moveWithCells="1" sizeWithCells="1">
                  <from>
                    <xdr:col>6</xdr:col>
                    <xdr:colOff>0</xdr:colOff>
                    <xdr:row>5046</xdr:row>
                    <xdr:rowOff>0</xdr:rowOff>
                  </from>
                  <to>
                    <xdr:col>7</xdr:col>
                    <xdr:colOff>0</xdr:colOff>
                    <xdr:row>5046</xdr:row>
                    <xdr:rowOff>165100</xdr:rowOff>
                  </to>
                </anchor>
              </controlPr>
            </control>
          </mc:Choice>
        </mc:AlternateContent>
        <mc:AlternateContent xmlns:mc="http://schemas.openxmlformats.org/markup-compatibility/2006">
          <mc:Choice Requires="x14">
            <control shapeId="12667" r:id="rId2814" name="Button 1403">
              <controlPr defaultSize="0" autoFill="0" autoLine="0" autoPict="0" macro="[0]!Sheet1.deleteRow">
                <anchor moveWithCells="1" sizeWithCells="1">
                  <from>
                    <xdr:col>6</xdr:col>
                    <xdr:colOff>0</xdr:colOff>
                    <xdr:row>5047</xdr:row>
                    <xdr:rowOff>0</xdr:rowOff>
                  </from>
                  <to>
                    <xdr:col>7</xdr:col>
                    <xdr:colOff>0</xdr:colOff>
                    <xdr:row>5047</xdr:row>
                    <xdr:rowOff>165100</xdr:rowOff>
                  </to>
                </anchor>
              </controlPr>
            </control>
          </mc:Choice>
        </mc:AlternateContent>
        <mc:AlternateContent xmlns:mc="http://schemas.openxmlformats.org/markup-compatibility/2006">
          <mc:Choice Requires="x14">
            <control shapeId="12666" r:id="rId2815" name="Button 1402">
              <controlPr defaultSize="0" autoFill="0" autoLine="0" autoPict="0" macro="[0]!Sheet1.deleteProcedure">
                <anchor moveWithCells="1" sizeWithCells="1">
                  <from>
                    <xdr:col>6</xdr:col>
                    <xdr:colOff>0</xdr:colOff>
                    <xdr:row>5050</xdr:row>
                    <xdr:rowOff>0</xdr:rowOff>
                  </from>
                  <to>
                    <xdr:col>7</xdr:col>
                    <xdr:colOff>0</xdr:colOff>
                    <xdr:row>5051</xdr:row>
                    <xdr:rowOff>0</xdr:rowOff>
                  </to>
                </anchor>
              </controlPr>
            </control>
          </mc:Choice>
        </mc:AlternateContent>
        <mc:AlternateContent xmlns:mc="http://schemas.openxmlformats.org/markup-compatibility/2006">
          <mc:Choice Requires="x14">
            <control shapeId="12665" r:id="rId2816" name="Button 1401">
              <controlPr defaultSize="0" autoFill="0" autoLine="0" autoPict="0" macro="[0]!Sheet1.InsertNewTableRow">
                <anchor moveWithCells="1" sizeWithCells="1">
                  <from>
                    <xdr:col>6</xdr:col>
                    <xdr:colOff>0</xdr:colOff>
                    <xdr:row>5057</xdr:row>
                    <xdr:rowOff>0</xdr:rowOff>
                  </from>
                  <to>
                    <xdr:col>7</xdr:col>
                    <xdr:colOff>0</xdr:colOff>
                    <xdr:row>5057</xdr:row>
                    <xdr:rowOff>171450</xdr:rowOff>
                  </to>
                </anchor>
              </controlPr>
            </control>
          </mc:Choice>
        </mc:AlternateContent>
        <mc:AlternateContent xmlns:mc="http://schemas.openxmlformats.org/markup-compatibility/2006">
          <mc:Choice Requires="x14">
            <control shapeId="12664" r:id="rId2817" name="Button 1400">
              <controlPr defaultSize="0" autoFill="0" autoLine="0" autoPict="0" macro="[0]!Sheet1.deleteRow">
                <anchor moveWithCells="1" sizeWithCells="1">
                  <from>
                    <xdr:col>6</xdr:col>
                    <xdr:colOff>0</xdr:colOff>
                    <xdr:row>5058</xdr:row>
                    <xdr:rowOff>0</xdr:rowOff>
                  </from>
                  <to>
                    <xdr:col>7</xdr:col>
                    <xdr:colOff>0</xdr:colOff>
                    <xdr:row>5058</xdr:row>
                    <xdr:rowOff>165100</xdr:rowOff>
                  </to>
                </anchor>
              </controlPr>
            </control>
          </mc:Choice>
        </mc:AlternateContent>
        <mc:AlternateContent xmlns:mc="http://schemas.openxmlformats.org/markup-compatibility/2006">
          <mc:Choice Requires="x14">
            <control shapeId="12663" r:id="rId2818" name="Button 1399">
              <controlPr defaultSize="0" autoFill="0" autoLine="0" autoPict="0" macro="[0]!Sheet1.deleteRow">
                <anchor moveWithCells="1" sizeWithCells="1">
                  <from>
                    <xdr:col>6</xdr:col>
                    <xdr:colOff>0</xdr:colOff>
                    <xdr:row>5059</xdr:row>
                    <xdr:rowOff>0</xdr:rowOff>
                  </from>
                  <to>
                    <xdr:col>7</xdr:col>
                    <xdr:colOff>0</xdr:colOff>
                    <xdr:row>5059</xdr:row>
                    <xdr:rowOff>165100</xdr:rowOff>
                  </to>
                </anchor>
              </controlPr>
            </control>
          </mc:Choice>
        </mc:AlternateContent>
        <mc:AlternateContent xmlns:mc="http://schemas.openxmlformats.org/markup-compatibility/2006">
          <mc:Choice Requires="x14">
            <control shapeId="12662" r:id="rId2819" name="Button 1398">
              <controlPr defaultSize="0" autoFill="0" autoLine="0" autoPict="0" macro="[0]!Sheet1.deleteProcedure">
                <anchor moveWithCells="1" sizeWithCells="1">
                  <from>
                    <xdr:col>6</xdr:col>
                    <xdr:colOff>0</xdr:colOff>
                    <xdr:row>5062</xdr:row>
                    <xdr:rowOff>0</xdr:rowOff>
                  </from>
                  <to>
                    <xdr:col>7</xdr:col>
                    <xdr:colOff>0</xdr:colOff>
                    <xdr:row>5063</xdr:row>
                    <xdr:rowOff>0</xdr:rowOff>
                  </to>
                </anchor>
              </controlPr>
            </control>
          </mc:Choice>
        </mc:AlternateContent>
        <mc:AlternateContent xmlns:mc="http://schemas.openxmlformats.org/markup-compatibility/2006">
          <mc:Choice Requires="x14">
            <control shapeId="12661" r:id="rId2820" name="Button 1397">
              <controlPr defaultSize="0" autoFill="0" autoLine="0" autoPict="0" macro="[0]!Sheet1.InsertNewTableRow">
                <anchor moveWithCells="1" sizeWithCells="1">
                  <from>
                    <xdr:col>6</xdr:col>
                    <xdr:colOff>0</xdr:colOff>
                    <xdr:row>5069</xdr:row>
                    <xdr:rowOff>0</xdr:rowOff>
                  </from>
                  <to>
                    <xdr:col>7</xdr:col>
                    <xdr:colOff>0</xdr:colOff>
                    <xdr:row>5069</xdr:row>
                    <xdr:rowOff>171450</xdr:rowOff>
                  </to>
                </anchor>
              </controlPr>
            </control>
          </mc:Choice>
        </mc:AlternateContent>
        <mc:AlternateContent xmlns:mc="http://schemas.openxmlformats.org/markup-compatibility/2006">
          <mc:Choice Requires="x14">
            <control shapeId="12660" r:id="rId2821" name="Button 1396">
              <controlPr defaultSize="0" autoFill="0" autoLine="0" autoPict="0" macro="[0]!Sheet1.deleteRow">
                <anchor moveWithCells="1" sizeWithCells="1">
                  <from>
                    <xdr:col>6</xdr:col>
                    <xdr:colOff>0</xdr:colOff>
                    <xdr:row>5070</xdr:row>
                    <xdr:rowOff>0</xdr:rowOff>
                  </from>
                  <to>
                    <xdr:col>7</xdr:col>
                    <xdr:colOff>0</xdr:colOff>
                    <xdr:row>5070</xdr:row>
                    <xdr:rowOff>165100</xdr:rowOff>
                  </to>
                </anchor>
              </controlPr>
            </control>
          </mc:Choice>
        </mc:AlternateContent>
        <mc:AlternateContent xmlns:mc="http://schemas.openxmlformats.org/markup-compatibility/2006">
          <mc:Choice Requires="x14">
            <control shapeId="12659" r:id="rId2822" name="Button 1395">
              <controlPr defaultSize="0" autoFill="0" autoLine="0" autoPict="0" macro="[0]!Sheet1.deleteRow">
                <anchor moveWithCells="1" sizeWithCells="1">
                  <from>
                    <xdr:col>6</xdr:col>
                    <xdr:colOff>0</xdr:colOff>
                    <xdr:row>5071</xdr:row>
                    <xdr:rowOff>0</xdr:rowOff>
                  </from>
                  <to>
                    <xdr:col>7</xdr:col>
                    <xdr:colOff>0</xdr:colOff>
                    <xdr:row>5071</xdr:row>
                    <xdr:rowOff>165100</xdr:rowOff>
                  </to>
                </anchor>
              </controlPr>
            </control>
          </mc:Choice>
        </mc:AlternateContent>
        <mc:AlternateContent xmlns:mc="http://schemas.openxmlformats.org/markup-compatibility/2006">
          <mc:Choice Requires="x14">
            <control shapeId="12658" r:id="rId2823" name="Button 1394">
              <controlPr defaultSize="0" autoFill="0" autoLine="0" autoPict="0" macro="[0]!Sheet1.deleteProcedure">
                <anchor moveWithCells="1" sizeWithCells="1">
                  <from>
                    <xdr:col>6</xdr:col>
                    <xdr:colOff>0</xdr:colOff>
                    <xdr:row>5074</xdr:row>
                    <xdr:rowOff>0</xdr:rowOff>
                  </from>
                  <to>
                    <xdr:col>7</xdr:col>
                    <xdr:colOff>0</xdr:colOff>
                    <xdr:row>5075</xdr:row>
                    <xdr:rowOff>0</xdr:rowOff>
                  </to>
                </anchor>
              </controlPr>
            </control>
          </mc:Choice>
        </mc:AlternateContent>
        <mc:AlternateContent xmlns:mc="http://schemas.openxmlformats.org/markup-compatibility/2006">
          <mc:Choice Requires="x14">
            <control shapeId="12657" r:id="rId2824" name="Button 1393">
              <controlPr defaultSize="0" autoFill="0" autoLine="0" autoPict="0" macro="[0]!Sheet1.InsertNewTableRow">
                <anchor moveWithCells="1" sizeWithCells="1">
                  <from>
                    <xdr:col>6</xdr:col>
                    <xdr:colOff>0</xdr:colOff>
                    <xdr:row>5081</xdr:row>
                    <xdr:rowOff>0</xdr:rowOff>
                  </from>
                  <to>
                    <xdr:col>7</xdr:col>
                    <xdr:colOff>0</xdr:colOff>
                    <xdr:row>5081</xdr:row>
                    <xdr:rowOff>171450</xdr:rowOff>
                  </to>
                </anchor>
              </controlPr>
            </control>
          </mc:Choice>
        </mc:AlternateContent>
        <mc:AlternateContent xmlns:mc="http://schemas.openxmlformats.org/markup-compatibility/2006">
          <mc:Choice Requires="x14">
            <control shapeId="12656" r:id="rId2825" name="Button 1392">
              <controlPr defaultSize="0" autoFill="0" autoLine="0" autoPict="0" macro="[0]!Sheet1.deleteRow">
                <anchor moveWithCells="1" sizeWithCells="1">
                  <from>
                    <xdr:col>6</xdr:col>
                    <xdr:colOff>0</xdr:colOff>
                    <xdr:row>5082</xdr:row>
                    <xdr:rowOff>0</xdr:rowOff>
                  </from>
                  <to>
                    <xdr:col>7</xdr:col>
                    <xdr:colOff>0</xdr:colOff>
                    <xdr:row>5082</xdr:row>
                    <xdr:rowOff>165100</xdr:rowOff>
                  </to>
                </anchor>
              </controlPr>
            </control>
          </mc:Choice>
        </mc:AlternateContent>
        <mc:AlternateContent xmlns:mc="http://schemas.openxmlformats.org/markup-compatibility/2006">
          <mc:Choice Requires="x14">
            <control shapeId="12655" r:id="rId2826" name="Button 1391">
              <controlPr defaultSize="0" autoFill="0" autoLine="0" autoPict="0" macro="[0]!Sheet1.deleteRow">
                <anchor moveWithCells="1" sizeWithCells="1">
                  <from>
                    <xdr:col>6</xdr:col>
                    <xdr:colOff>0</xdr:colOff>
                    <xdr:row>5083</xdr:row>
                    <xdr:rowOff>0</xdr:rowOff>
                  </from>
                  <to>
                    <xdr:col>7</xdr:col>
                    <xdr:colOff>0</xdr:colOff>
                    <xdr:row>5083</xdr:row>
                    <xdr:rowOff>165100</xdr:rowOff>
                  </to>
                </anchor>
              </controlPr>
            </control>
          </mc:Choice>
        </mc:AlternateContent>
        <mc:AlternateContent xmlns:mc="http://schemas.openxmlformats.org/markup-compatibility/2006">
          <mc:Choice Requires="x14">
            <control shapeId="12654" r:id="rId2827" name="Button 1390">
              <controlPr defaultSize="0" autoFill="0" autoLine="0" autoPict="0" macro="[0]!Sheet1.deleteRow">
                <anchor moveWithCells="1" sizeWithCells="1">
                  <from>
                    <xdr:col>6</xdr:col>
                    <xdr:colOff>0</xdr:colOff>
                    <xdr:row>5084</xdr:row>
                    <xdr:rowOff>0</xdr:rowOff>
                  </from>
                  <to>
                    <xdr:col>7</xdr:col>
                    <xdr:colOff>0</xdr:colOff>
                    <xdr:row>5084</xdr:row>
                    <xdr:rowOff>165100</xdr:rowOff>
                  </to>
                </anchor>
              </controlPr>
            </control>
          </mc:Choice>
        </mc:AlternateContent>
        <mc:AlternateContent xmlns:mc="http://schemas.openxmlformats.org/markup-compatibility/2006">
          <mc:Choice Requires="x14">
            <control shapeId="12653" r:id="rId2828" name="Button 1389">
              <controlPr defaultSize="0" autoFill="0" autoLine="0" autoPict="0" macro="[0]!Sheet1.deleteRow">
                <anchor moveWithCells="1" sizeWithCells="1">
                  <from>
                    <xdr:col>6</xdr:col>
                    <xdr:colOff>0</xdr:colOff>
                    <xdr:row>5085</xdr:row>
                    <xdr:rowOff>0</xdr:rowOff>
                  </from>
                  <to>
                    <xdr:col>7</xdr:col>
                    <xdr:colOff>0</xdr:colOff>
                    <xdr:row>5085</xdr:row>
                    <xdr:rowOff>165100</xdr:rowOff>
                  </to>
                </anchor>
              </controlPr>
            </control>
          </mc:Choice>
        </mc:AlternateContent>
        <mc:AlternateContent xmlns:mc="http://schemas.openxmlformats.org/markup-compatibility/2006">
          <mc:Choice Requires="x14">
            <control shapeId="12652" r:id="rId2829" name="Button 1388">
              <controlPr defaultSize="0" autoFill="0" autoLine="0" autoPict="0" macro="[0]!Sheet1.deleteRow">
                <anchor moveWithCells="1" sizeWithCells="1">
                  <from>
                    <xdr:col>6</xdr:col>
                    <xdr:colOff>0</xdr:colOff>
                    <xdr:row>5086</xdr:row>
                    <xdr:rowOff>0</xdr:rowOff>
                  </from>
                  <to>
                    <xdr:col>7</xdr:col>
                    <xdr:colOff>0</xdr:colOff>
                    <xdr:row>5086</xdr:row>
                    <xdr:rowOff>165100</xdr:rowOff>
                  </to>
                </anchor>
              </controlPr>
            </control>
          </mc:Choice>
        </mc:AlternateContent>
        <mc:AlternateContent xmlns:mc="http://schemas.openxmlformats.org/markup-compatibility/2006">
          <mc:Choice Requires="x14">
            <control shapeId="12651" r:id="rId2830" name="Button 1387">
              <controlPr defaultSize="0" autoFill="0" autoLine="0" autoPict="0" macro="[0]!Sheet1.deleteRow">
                <anchor moveWithCells="1" sizeWithCells="1">
                  <from>
                    <xdr:col>6</xdr:col>
                    <xdr:colOff>0</xdr:colOff>
                    <xdr:row>5087</xdr:row>
                    <xdr:rowOff>0</xdr:rowOff>
                  </from>
                  <to>
                    <xdr:col>7</xdr:col>
                    <xdr:colOff>0</xdr:colOff>
                    <xdr:row>5087</xdr:row>
                    <xdr:rowOff>165100</xdr:rowOff>
                  </to>
                </anchor>
              </controlPr>
            </control>
          </mc:Choice>
        </mc:AlternateContent>
        <mc:AlternateContent xmlns:mc="http://schemas.openxmlformats.org/markup-compatibility/2006">
          <mc:Choice Requires="x14">
            <control shapeId="12650" r:id="rId2831" name="Button 1386">
              <controlPr defaultSize="0" autoFill="0" autoLine="0" autoPict="0" macro="[0]!Sheet1.deleteProcedure">
                <anchor moveWithCells="1" sizeWithCells="1">
                  <from>
                    <xdr:col>6</xdr:col>
                    <xdr:colOff>0</xdr:colOff>
                    <xdr:row>5090</xdr:row>
                    <xdr:rowOff>0</xdr:rowOff>
                  </from>
                  <to>
                    <xdr:col>7</xdr:col>
                    <xdr:colOff>0</xdr:colOff>
                    <xdr:row>5091</xdr:row>
                    <xdr:rowOff>0</xdr:rowOff>
                  </to>
                </anchor>
              </controlPr>
            </control>
          </mc:Choice>
        </mc:AlternateContent>
        <mc:AlternateContent xmlns:mc="http://schemas.openxmlformats.org/markup-compatibility/2006">
          <mc:Choice Requires="x14">
            <control shapeId="12649" r:id="rId2832" name="Button 1385">
              <controlPr defaultSize="0" autoFill="0" autoLine="0" autoPict="0" macro="[0]!Sheet1.InsertNewTableRow">
                <anchor moveWithCells="1" sizeWithCells="1">
                  <from>
                    <xdr:col>6</xdr:col>
                    <xdr:colOff>0</xdr:colOff>
                    <xdr:row>5097</xdr:row>
                    <xdr:rowOff>0</xdr:rowOff>
                  </from>
                  <to>
                    <xdr:col>7</xdr:col>
                    <xdr:colOff>0</xdr:colOff>
                    <xdr:row>5097</xdr:row>
                    <xdr:rowOff>171450</xdr:rowOff>
                  </to>
                </anchor>
              </controlPr>
            </control>
          </mc:Choice>
        </mc:AlternateContent>
        <mc:AlternateContent xmlns:mc="http://schemas.openxmlformats.org/markup-compatibility/2006">
          <mc:Choice Requires="x14">
            <control shapeId="12648" r:id="rId2833" name="Button 1384">
              <controlPr defaultSize="0" autoFill="0" autoLine="0" autoPict="0" macro="[0]!Sheet1.deleteRow">
                <anchor moveWithCells="1" sizeWithCells="1">
                  <from>
                    <xdr:col>6</xdr:col>
                    <xdr:colOff>0</xdr:colOff>
                    <xdr:row>5098</xdr:row>
                    <xdr:rowOff>0</xdr:rowOff>
                  </from>
                  <to>
                    <xdr:col>7</xdr:col>
                    <xdr:colOff>0</xdr:colOff>
                    <xdr:row>5098</xdr:row>
                    <xdr:rowOff>165100</xdr:rowOff>
                  </to>
                </anchor>
              </controlPr>
            </control>
          </mc:Choice>
        </mc:AlternateContent>
        <mc:AlternateContent xmlns:mc="http://schemas.openxmlformats.org/markup-compatibility/2006">
          <mc:Choice Requires="x14">
            <control shapeId="12647" r:id="rId2834" name="Button 1383">
              <controlPr defaultSize="0" autoFill="0" autoLine="0" autoPict="0" macro="[0]!Sheet1.deleteRow">
                <anchor moveWithCells="1" sizeWithCells="1">
                  <from>
                    <xdr:col>6</xdr:col>
                    <xdr:colOff>0</xdr:colOff>
                    <xdr:row>5099</xdr:row>
                    <xdr:rowOff>0</xdr:rowOff>
                  </from>
                  <to>
                    <xdr:col>7</xdr:col>
                    <xdr:colOff>0</xdr:colOff>
                    <xdr:row>5099</xdr:row>
                    <xdr:rowOff>165100</xdr:rowOff>
                  </to>
                </anchor>
              </controlPr>
            </control>
          </mc:Choice>
        </mc:AlternateContent>
        <mc:AlternateContent xmlns:mc="http://schemas.openxmlformats.org/markup-compatibility/2006">
          <mc:Choice Requires="x14">
            <control shapeId="12646" r:id="rId2835" name="Button 1382">
              <controlPr defaultSize="0" autoFill="0" autoLine="0" autoPict="0" macro="[0]!Sheet1.deleteRow">
                <anchor moveWithCells="1" sizeWithCells="1">
                  <from>
                    <xdr:col>6</xdr:col>
                    <xdr:colOff>0</xdr:colOff>
                    <xdr:row>5100</xdr:row>
                    <xdr:rowOff>0</xdr:rowOff>
                  </from>
                  <to>
                    <xdr:col>7</xdr:col>
                    <xdr:colOff>0</xdr:colOff>
                    <xdr:row>5100</xdr:row>
                    <xdr:rowOff>165100</xdr:rowOff>
                  </to>
                </anchor>
              </controlPr>
            </control>
          </mc:Choice>
        </mc:AlternateContent>
        <mc:AlternateContent xmlns:mc="http://schemas.openxmlformats.org/markup-compatibility/2006">
          <mc:Choice Requires="x14">
            <control shapeId="12645" r:id="rId2836" name="Button 1381">
              <controlPr defaultSize="0" autoFill="0" autoLine="0" autoPict="0" macro="[0]!Sheet1.deleteRow">
                <anchor moveWithCells="1" sizeWithCells="1">
                  <from>
                    <xdr:col>6</xdr:col>
                    <xdr:colOff>0</xdr:colOff>
                    <xdr:row>5101</xdr:row>
                    <xdr:rowOff>0</xdr:rowOff>
                  </from>
                  <to>
                    <xdr:col>7</xdr:col>
                    <xdr:colOff>0</xdr:colOff>
                    <xdr:row>5101</xdr:row>
                    <xdr:rowOff>165100</xdr:rowOff>
                  </to>
                </anchor>
              </controlPr>
            </control>
          </mc:Choice>
        </mc:AlternateContent>
        <mc:AlternateContent xmlns:mc="http://schemas.openxmlformats.org/markup-compatibility/2006">
          <mc:Choice Requires="x14">
            <control shapeId="12644" r:id="rId2837" name="Button 1380">
              <controlPr defaultSize="0" autoFill="0" autoLine="0" autoPict="0" macro="[0]!Sheet1.deleteProcedure">
                <anchor moveWithCells="1" sizeWithCells="1">
                  <from>
                    <xdr:col>6</xdr:col>
                    <xdr:colOff>0</xdr:colOff>
                    <xdr:row>5104</xdr:row>
                    <xdr:rowOff>0</xdr:rowOff>
                  </from>
                  <to>
                    <xdr:col>7</xdr:col>
                    <xdr:colOff>0</xdr:colOff>
                    <xdr:row>5105</xdr:row>
                    <xdr:rowOff>0</xdr:rowOff>
                  </to>
                </anchor>
              </controlPr>
            </control>
          </mc:Choice>
        </mc:AlternateContent>
        <mc:AlternateContent xmlns:mc="http://schemas.openxmlformats.org/markup-compatibility/2006">
          <mc:Choice Requires="x14">
            <control shapeId="12643" r:id="rId2838" name="Button 1379">
              <controlPr defaultSize="0" autoFill="0" autoLine="0" autoPict="0" macro="[0]!Sheet1.InsertNewTableRow">
                <anchor moveWithCells="1" sizeWithCells="1">
                  <from>
                    <xdr:col>6</xdr:col>
                    <xdr:colOff>0</xdr:colOff>
                    <xdr:row>5111</xdr:row>
                    <xdr:rowOff>0</xdr:rowOff>
                  </from>
                  <to>
                    <xdr:col>7</xdr:col>
                    <xdr:colOff>0</xdr:colOff>
                    <xdr:row>5111</xdr:row>
                    <xdr:rowOff>171450</xdr:rowOff>
                  </to>
                </anchor>
              </controlPr>
            </control>
          </mc:Choice>
        </mc:AlternateContent>
        <mc:AlternateContent xmlns:mc="http://schemas.openxmlformats.org/markup-compatibility/2006">
          <mc:Choice Requires="x14">
            <control shapeId="12642" r:id="rId2839" name="Button 1378">
              <controlPr defaultSize="0" autoFill="0" autoLine="0" autoPict="0" macro="[0]!Sheet1.deleteRow">
                <anchor moveWithCells="1" sizeWithCells="1">
                  <from>
                    <xdr:col>6</xdr:col>
                    <xdr:colOff>0</xdr:colOff>
                    <xdr:row>5112</xdr:row>
                    <xdr:rowOff>0</xdr:rowOff>
                  </from>
                  <to>
                    <xdr:col>7</xdr:col>
                    <xdr:colOff>0</xdr:colOff>
                    <xdr:row>5112</xdr:row>
                    <xdr:rowOff>165100</xdr:rowOff>
                  </to>
                </anchor>
              </controlPr>
            </control>
          </mc:Choice>
        </mc:AlternateContent>
        <mc:AlternateContent xmlns:mc="http://schemas.openxmlformats.org/markup-compatibility/2006">
          <mc:Choice Requires="x14">
            <control shapeId="12641" r:id="rId2840" name="Button 1377">
              <controlPr defaultSize="0" autoFill="0" autoLine="0" autoPict="0" macro="[0]!Sheet1.deleteRow">
                <anchor moveWithCells="1" sizeWithCells="1">
                  <from>
                    <xdr:col>6</xdr:col>
                    <xdr:colOff>0</xdr:colOff>
                    <xdr:row>5113</xdr:row>
                    <xdr:rowOff>0</xdr:rowOff>
                  </from>
                  <to>
                    <xdr:col>7</xdr:col>
                    <xdr:colOff>0</xdr:colOff>
                    <xdr:row>5113</xdr:row>
                    <xdr:rowOff>165100</xdr:rowOff>
                  </to>
                </anchor>
              </controlPr>
            </control>
          </mc:Choice>
        </mc:AlternateContent>
        <mc:AlternateContent xmlns:mc="http://schemas.openxmlformats.org/markup-compatibility/2006">
          <mc:Choice Requires="x14">
            <control shapeId="12640" r:id="rId2841" name="Button 1376">
              <controlPr defaultSize="0" autoFill="0" autoLine="0" autoPict="0" macro="[0]!Sheet1.deleteRow">
                <anchor moveWithCells="1" sizeWithCells="1">
                  <from>
                    <xdr:col>6</xdr:col>
                    <xdr:colOff>0</xdr:colOff>
                    <xdr:row>5114</xdr:row>
                    <xdr:rowOff>0</xdr:rowOff>
                  </from>
                  <to>
                    <xdr:col>7</xdr:col>
                    <xdr:colOff>0</xdr:colOff>
                    <xdr:row>5114</xdr:row>
                    <xdr:rowOff>165100</xdr:rowOff>
                  </to>
                </anchor>
              </controlPr>
            </control>
          </mc:Choice>
        </mc:AlternateContent>
        <mc:AlternateContent xmlns:mc="http://schemas.openxmlformats.org/markup-compatibility/2006">
          <mc:Choice Requires="x14">
            <control shapeId="12639" r:id="rId2842" name="Button 1375">
              <controlPr defaultSize="0" autoFill="0" autoLine="0" autoPict="0" macro="[0]!Sheet1.deleteProcedure">
                <anchor moveWithCells="1" sizeWithCells="1">
                  <from>
                    <xdr:col>6</xdr:col>
                    <xdr:colOff>0</xdr:colOff>
                    <xdr:row>5117</xdr:row>
                    <xdr:rowOff>0</xdr:rowOff>
                  </from>
                  <to>
                    <xdr:col>7</xdr:col>
                    <xdr:colOff>0</xdr:colOff>
                    <xdr:row>5118</xdr:row>
                    <xdr:rowOff>0</xdr:rowOff>
                  </to>
                </anchor>
              </controlPr>
            </control>
          </mc:Choice>
        </mc:AlternateContent>
        <mc:AlternateContent xmlns:mc="http://schemas.openxmlformats.org/markup-compatibility/2006">
          <mc:Choice Requires="x14">
            <control shapeId="12638" r:id="rId2843" name="Button 1374">
              <controlPr defaultSize="0" autoFill="0" autoLine="0" autoPict="0" macro="[0]!Sheet1.InsertNewTableRow">
                <anchor moveWithCells="1" sizeWithCells="1">
                  <from>
                    <xdr:col>6</xdr:col>
                    <xdr:colOff>0</xdr:colOff>
                    <xdr:row>5124</xdr:row>
                    <xdr:rowOff>0</xdr:rowOff>
                  </from>
                  <to>
                    <xdr:col>7</xdr:col>
                    <xdr:colOff>0</xdr:colOff>
                    <xdr:row>5124</xdr:row>
                    <xdr:rowOff>171450</xdr:rowOff>
                  </to>
                </anchor>
              </controlPr>
            </control>
          </mc:Choice>
        </mc:AlternateContent>
        <mc:AlternateContent xmlns:mc="http://schemas.openxmlformats.org/markup-compatibility/2006">
          <mc:Choice Requires="x14">
            <control shapeId="12637" r:id="rId2844" name="Button 1373">
              <controlPr defaultSize="0" autoFill="0" autoLine="0" autoPict="0" macro="[0]!Sheet1.deleteRow">
                <anchor moveWithCells="1" sizeWithCells="1">
                  <from>
                    <xdr:col>6</xdr:col>
                    <xdr:colOff>0</xdr:colOff>
                    <xdr:row>5125</xdr:row>
                    <xdr:rowOff>0</xdr:rowOff>
                  </from>
                  <to>
                    <xdr:col>7</xdr:col>
                    <xdr:colOff>0</xdr:colOff>
                    <xdr:row>5125</xdr:row>
                    <xdr:rowOff>165100</xdr:rowOff>
                  </to>
                </anchor>
              </controlPr>
            </control>
          </mc:Choice>
        </mc:AlternateContent>
        <mc:AlternateContent xmlns:mc="http://schemas.openxmlformats.org/markup-compatibility/2006">
          <mc:Choice Requires="x14">
            <control shapeId="12636" r:id="rId2845" name="Button 1372">
              <controlPr defaultSize="0" autoFill="0" autoLine="0" autoPict="0" macro="[0]!Sheet1.deleteProcedure">
                <anchor moveWithCells="1" sizeWithCells="1">
                  <from>
                    <xdr:col>6</xdr:col>
                    <xdr:colOff>0</xdr:colOff>
                    <xdr:row>5128</xdr:row>
                    <xdr:rowOff>0</xdr:rowOff>
                  </from>
                  <to>
                    <xdr:col>7</xdr:col>
                    <xdr:colOff>0</xdr:colOff>
                    <xdr:row>5129</xdr:row>
                    <xdr:rowOff>0</xdr:rowOff>
                  </to>
                </anchor>
              </controlPr>
            </control>
          </mc:Choice>
        </mc:AlternateContent>
        <mc:AlternateContent xmlns:mc="http://schemas.openxmlformats.org/markup-compatibility/2006">
          <mc:Choice Requires="x14">
            <control shapeId="12635" r:id="rId2846" name="Button 1371">
              <controlPr defaultSize="0" autoFill="0" autoLine="0" autoPict="0" macro="[0]!Sheet1.InsertNewTableRow">
                <anchor moveWithCells="1" sizeWithCells="1">
                  <from>
                    <xdr:col>6</xdr:col>
                    <xdr:colOff>0</xdr:colOff>
                    <xdr:row>5135</xdr:row>
                    <xdr:rowOff>0</xdr:rowOff>
                  </from>
                  <to>
                    <xdr:col>7</xdr:col>
                    <xdr:colOff>0</xdr:colOff>
                    <xdr:row>5135</xdr:row>
                    <xdr:rowOff>171450</xdr:rowOff>
                  </to>
                </anchor>
              </controlPr>
            </control>
          </mc:Choice>
        </mc:AlternateContent>
        <mc:AlternateContent xmlns:mc="http://schemas.openxmlformats.org/markup-compatibility/2006">
          <mc:Choice Requires="x14">
            <control shapeId="12634" r:id="rId2847" name="Button 1370">
              <controlPr defaultSize="0" autoFill="0" autoLine="0" autoPict="0" macro="[0]!Sheet1.deleteRow">
                <anchor moveWithCells="1" sizeWithCells="1">
                  <from>
                    <xdr:col>6</xdr:col>
                    <xdr:colOff>0</xdr:colOff>
                    <xdr:row>5136</xdr:row>
                    <xdr:rowOff>0</xdr:rowOff>
                  </from>
                  <to>
                    <xdr:col>7</xdr:col>
                    <xdr:colOff>0</xdr:colOff>
                    <xdr:row>5136</xdr:row>
                    <xdr:rowOff>165100</xdr:rowOff>
                  </to>
                </anchor>
              </controlPr>
            </control>
          </mc:Choice>
        </mc:AlternateContent>
        <mc:AlternateContent xmlns:mc="http://schemas.openxmlformats.org/markup-compatibility/2006">
          <mc:Choice Requires="x14">
            <control shapeId="12633" r:id="rId2848" name="Button 1369">
              <controlPr defaultSize="0" autoFill="0" autoLine="0" autoPict="0" macro="[0]!Sheet1.deleteProcedure">
                <anchor moveWithCells="1" sizeWithCells="1">
                  <from>
                    <xdr:col>6</xdr:col>
                    <xdr:colOff>0</xdr:colOff>
                    <xdr:row>5139</xdr:row>
                    <xdr:rowOff>0</xdr:rowOff>
                  </from>
                  <to>
                    <xdr:col>7</xdr:col>
                    <xdr:colOff>0</xdr:colOff>
                    <xdr:row>5140</xdr:row>
                    <xdr:rowOff>0</xdr:rowOff>
                  </to>
                </anchor>
              </controlPr>
            </control>
          </mc:Choice>
        </mc:AlternateContent>
        <mc:AlternateContent xmlns:mc="http://schemas.openxmlformats.org/markup-compatibility/2006">
          <mc:Choice Requires="x14">
            <control shapeId="12632" r:id="rId2849" name="Button 1368">
              <controlPr defaultSize="0" autoFill="0" autoLine="0" autoPict="0" macro="[0]!Sheet1.InsertNewTableRow">
                <anchor moveWithCells="1" sizeWithCells="1">
                  <from>
                    <xdr:col>6</xdr:col>
                    <xdr:colOff>0</xdr:colOff>
                    <xdr:row>5146</xdr:row>
                    <xdr:rowOff>0</xdr:rowOff>
                  </from>
                  <to>
                    <xdr:col>7</xdr:col>
                    <xdr:colOff>0</xdr:colOff>
                    <xdr:row>5146</xdr:row>
                    <xdr:rowOff>171450</xdr:rowOff>
                  </to>
                </anchor>
              </controlPr>
            </control>
          </mc:Choice>
        </mc:AlternateContent>
        <mc:AlternateContent xmlns:mc="http://schemas.openxmlformats.org/markup-compatibility/2006">
          <mc:Choice Requires="x14">
            <control shapeId="12631" r:id="rId2850" name="Button 1367">
              <controlPr defaultSize="0" autoFill="0" autoLine="0" autoPict="0" macro="[0]!Sheet1.deleteRow">
                <anchor moveWithCells="1" sizeWithCells="1">
                  <from>
                    <xdr:col>6</xdr:col>
                    <xdr:colOff>0</xdr:colOff>
                    <xdr:row>5147</xdr:row>
                    <xdr:rowOff>0</xdr:rowOff>
                  </from>
                  <to>
                    <xdr:col>7</xdr:col>
                    <xdr:colOff>0</xdr:colOff>
                    <xdr:row>5147</xdr:row>
                    <xdr:rowOff>165100</xdr:rowOff>
                  </to>
                </anchor>
              </controlPr>
            </control>
          </mc:Choice>
        </mc:AlternateContent>
        <mc:AlternateContent xmlns:mc="http://schemas.openxmlformats.org/markup-compatibility/2006">
          <mc:Choice Requires="x14">
            <control shapeId="12630" r:id="rId2851" name="Button 1366">
              <controlPr defaultSize="0" autoFill="0" autoLine="0" autoPict="0" macro="[0]!Sheet1.deleteRow">
                <anchor moveWithCells="1" sizeWithCells="1">
                  <from>
                    <xdr:col>6</xdr:col>
                    <xdr:colOff>0</xdr:colOff>
                    <xdr:row>5148</xdr:row>
                    <xdr:rowOff>0</xdr:rowOff>
                  </from>
                  <to>
                    <xdr:col>7</xdr:col>
                    <xdr:colOff>0</xdr:colOff>
                    <xdr:row>5148</xdr:row>
                    <xdr:rowOff>165100</xdr:rowOff>
                  </to>
                </anchor>
              </controlPr>
            </control>
          </mc:Choice>
        </mc:AlternateContent>
        <mc:AlternateContent xmlns:mc="http://schemas.openxmlformats.org/markup-compatibility/2006">
          <mc:Choice Requires="x14">
            <control shapeId="12629" r:id="rId2852" name="Button 1365">
              <controlPr defaultSize="0" autoFill="0" autoLine="0" autoPict="0" macro="[0]!Sheet1.deleteRow">
                <anchor moveWithCells="1" sizeWithCells="1">
                  <from>
                    <xdr:col>6</xdr:col>
                    <xdr:colOff>0</xdr:colOff>
                    <xdr:row>5149</xdr:row>
                    <xdr:rowOff>0</xdr:rowOff>
                  </from>
                  <to>
                    <xdr:col>7</xdr:col>
                    <xdr:colOff>0</xdr:colOff>
                    <xdr:row>5149</xdr:row>
                    <xdr:rowOff>165100</xdr:rowOff>
                  </to>
                </anchor>
              </controlPr>
            </control>
          </mc:Choice>
        </mc:AlternateContent>
        <mc:AlternateContent xmlns:mc="http://schemas.openxmlformats.org/markup-compatibility/2006">
          <mc:Choice Requires="x14">
            <control shapeId="12628" r:id="rId2853" name="Button 1364">
              <controlPr defaultSize="0" autoFill="0" autoLine="0" autoPict="0" macro="[0]!Sheet1.deleteProcedure">
                <anchor moveWithCells="1" sizeWithCells="1">
                  <from>
                    <xdr:col>6</xdr:col>
                    <xdr:colOff>0</xdr:colOff>
                    <xdr:row>5152</xdr:row>
                    <xdr:rowOff>0</xdr:rowOff>
                  </from>
                  <to>
                    <xdr:col>7</xdr:col>
                    <xdr:colOff>0</xdr:colOff>
                    <xdr:row>5153</xdr:row>
                    <xdr:rowOff>0</xdr:rowOff>
                  </to>
                </anchor>
              </controlPr>
            </control>
          </mc:Choice>
        </mc:AlternateContent>
        <mc:AlternateContent xmlns:mc="http://schemas.openxmlformats.org/markup-compatibility/2006">
          <mc:Choice Requires="x14">
            <control shapeId="12627" r:id="rId2854" name="Button 1363">
              <controlPr defaultSize="0" autoFill="0" autoLine="0" autoPict="0" macro="[0]!Sheet1.InsertNewTableRow">
                <anchor moveWithCells="1" sizeWithCells="1">
                  <from>
                    <xdr:col>6</xdr:col>
                    <xdr:colOff>0</xdr:colOff>
                    <xdr:row>5159</xdr:row>
                    <xdr:rowOff>0</xdr:rowOff>
                  </from>
                  <to>
                    <xdr:col>7</xdr:col>
                    <xdr:colOff>0</xdr:colOff>
                    <xdr:row>5159</xdr:row>
                    <xdr:rowOff>171450</xdr:rowOff>
                  </to>
                </anchor>
              </controlPr>
            </control>
          </mc:Choice>
        </mc:AlternateContent>
        <mc:AlternateContent xmlns:mc="http://schemas.openxmlformats.org/markup-compatibility/2006">
          <mc:Choice Requires="x14">
            <control shapeId="12626" r:id="rId2855" name="Button 1362">
              <controlPr defaultSize="0" autoFill="0" autoLine="0" autoPict="0" macro="[0]!Sheet1.deleteRow">
                <anchor moveWithCells="1" sizeWithCells="1">
                  <from>
                    <xdr:col>6</xdr:col>
                    <xdr:colOff>0</xdr:colOff>
                    <xdr:row>5160</xdr:row>
                    <xdr:rowOff>0</xdr:rowOff>
                  </from>
                  <to>
                    <xdr:col>7</xdr:col>
                    <xdr:colOff>0</xdr:colOff>
                    <xdr:row>5160</xdr:row>
                    <xdr:rowOff>165100</xdr:rowOff>
                  </to>
                </anchor>
              </controlPr>
            </control>
          </mc:Choice>
        </mc:AlternateContent>
        <mc:AlternateContent xmlns:mc="http://schemas.openxmlformats.org/markup-compatibility/2006">
          <mc:Choice Requires="x14">
            <control shapeId="12625" r:id="rId2856" name="Button 1361">
              <controlPr defaultSize="0" autoFill="0" autoLine="0" autoPict="0" macro="[0]!Sheet1.deleteProcedure">
                <anchor moveWithCells="1" sizeWithCells="1">
                  <from>
                    <xdr:col>6</xdr:col>
                    <xdr:colOff>0</xdr:colOff>
                    <xdr:row>5163</xdr:row>
                    <xdr:rowOff>0</xdr:rowOff>
                  </from>
                  <to>
                    <xdr:col>7</xdr:col>
                    <xdr:colOff>0</xdr:colOff>
                    <xdr:row>5164</xdr:row>
                    <xdr:rowOff>0</xdr:rowOff>
                  </to>
                </anchor>
              </controlPr>
            </control>
          </mc:Choice>
        </mc:AlternateContent>
        <mc:AlternateContent xmlns:mc="http://schemas.openxmlformats.org/markup-compatibility/2006">
          <mc:Choice Requires="x14">
            <control shapeId="12624" r:id="rId2857" name="Button 1360">
              <controlPr defaultSize="0" autoFill="0" autoLine="0" autoPict="0" macro="[0]!Sheet1.InsertNewTableRow">
                <anchor moveWithCells="1" sizeWithCells="1">
                  <from>
                    <xdr:col>6</xdr:col>
                    <xdr:colOff>0</xdr:colOff>
                    <xdr:row>5170</xdr:row>
                    <xdr:rowOff>0</xdr:rowOff>
                  </from>
                  <to>
                    <xdr:col>7</xdr:col>
                    <xdr:colOff>0</xdr:colOff>
                    <xdr:row>5170</xdr:row>
                    <xdr:rowOff>171450</xdr:rowOff>
                  </to>
                </anchor>
              </controlPr>
            </control>
          </mc:Choice>
        </mc:AlternateContent>
        <mc:AlternateContent xmlns:mc="http://schemas.openxmlformats.org/markup-compatibility/2006">
          <mc:Choice Requires="x14">
            <control shapeId="12623" r:id="rId2858" name="Button 1359">
              <controlPr defaultSize="0" autoFill="0" autoLine="0" autoPict="0" macro="[0]!Sheet1.deleteRow">
                <anchor moveWithCells="1" sizeWithCells="1">
                  <from>
                    <xdr:col>6</xdr:col>
                    <xdr:colOff>0</xdr:colOff>
                    <xdr:row>5171</xdr:row>
                    <xdr:rowOff>0</xdr:rowOff>
                  </from>
                  <to>
                    <xdr:col>7</xdr:col>
                    <xdr:colOff>0</xdr:colOff>
                    <xdr:row>5171</xdr:row>
                    <xdr:rowOff>165100</xdr:rowOff>
                  </to>
                </anchor>
              </controlPr>
            </control>
          </mc:Choice>
        </mc:AlternateContent>
        <mc:AlternateContent xmlns:mc="http://schemas.openxmlformats.org/markup-compatibility/2006">
          <mc:Choice Requires="x14">
            <control shapeId="12622" r:id="rId2859" name="Button 1358">
              <controlPr defaultSize="0" autoFill="0" autoLine="0" autoPict="0" macro="[0]!Sheet1.deleteProcedure">
                <anchor moveWithCells="1" sizeWithCells="1">
                  <from>
                    <xdr:col>6</xdr:col>
                    <xdr:colOff>0</xdr:colOff>
                    <xdr:row>5174</xdr:row>
                    <xdr:rowOff>0</xdr:rowOff>
                  </from>
                  <to>
                    <xdr:col>7</xdr:col>
                    <xdr:colOff>0</xdr:colOff>
                    <xdr:row>5175</xdr:row>
                    <xdr:rowOff>0</xdr:rowOff>
                  </to>
                </anchor>
              </controlPr>
            </control>
          </mc:Choice>
        </mc:AlternateContent>
        <mc:AlternateContent xmlns:mc="http://schemas.openxmlformats.org/markup-compatibility/2006">
          <mc:Choice Requires="x14">
            <control shapeId="12621" r:id="rId2860" name="Button 1357">
              <controlPr defaultSize="0" autoFill="0" autoLine="0" autoPict="0" macro="[0]!Sheet1.InsertNewTableRow">
                <anchor moveWithCells="1" sizeWithCells="1">
                  <from>
                    <xdr:col>6</xdr:col>
                    <xdr:colOff>0</xdr:colOff>
                    <xdr:row>5181</xdr:row>
                    <xdr:rowOff>0</xdr:rowOff>
                  </from>
                  <to>
                    <xdr:col>7</xdr:col>
                    <xdr:colOff>0</xdr:colOff>
                    <xdr:row>5181</xdr:row>
                    <xdr:rowOff>171450</xdr:rowOff>
                  </to>
                </anchor>
              </controlPr>
            </control>
          </mc:Choice>
        </mc:AlternateContent>
        <mc:AlternateContent xmlns:mc="http://schemas.openxmlformats.org/markup-compatibility/2006">
          <mc:Choice Requires="x14">
            <control shapeId="12620" r:id="rId2861" name="Button 1356">
              <controlPr defaultSize="0" autoFill="0" autoLine="0" autoPict="0" macro="[0]!Sheet1.deleteRow">
                <anchor moveWithCells="1" sizeWithCells="1">
                  <from>
                    <xdr:col>6</xdr:col>
                    <xdr:colOff>0</xdr:colOff>
                    <xdr:row>5182</xdr:row>
                    <xdr:rowOff>0</xdr:rowOff>
                  </from>
                  <to>
                    <xdr:col>7</xdr:col>
                    <xdr:colOff>0</xdr:colOff>
                    <xdr:row>5182</xdr:row>
                    <xdr:rowOff>165100</xdr:rowOff>
                  </to>
                </anchor>
              </controlPr>
            </control>
          </mc:Choice>
        </mc:AlternateContent>
        <mc:AlternateContent xmlns:mc="http://schemas.openxmlformats.org/markup-compatibility/2006">
          <mc:Choice Requires="x14">
            <control shapeId="12619" r:id="rId2862" name="Button 1355">
              <controlPr defaultSize="0" autoFill="0" autoLine="0" autoPict="0" macro="[0]!Sheet1.deleteProcedure">
                <anchor moveWithCells="1" sizeWithCells="1">
                  <from>
                    <xdr:col>6</xdr:col>
                    <xdr:colOff>0</xdr:colOff>
                    <xdr:row>5185</xdr:row>
                    <xdr:rowOff>0</xdr:rowOff>
                  </from>
                  <to>
                    <xdr:col>7</xdr:col>
                    <xdr:colOff>0</xdr:colOff>
                    <xdr:row>5186</xdr:row>
                    <xdr:rowOff>0</xdr:rowOff>
                  </to>
                </anchor>
              </controlPr>
            </control>
          </mc:Choice>
        </mc:AlternateContent>
        <mc:AlternateContent xmlns:mc="http://schemas.openxmlformats.org/markup-compatibility/2006">
          <mc:Choice Requires="x14">
            <control shapeId="12618" r:id="rId2863" name="Button 1354">
              <controlPr defaultSize="0" autoFill="0" autoLine="0" autoPict="0" macro="[0]!Sheet1.InsertNewTableRow">
                <anchor moveWithCells="1" sizeWithCells="1">
                  <from>
                    <xdr:col>6</xdr:col>
                    <xdr:colOff>0</xdr:colOff>
                    <xdr:row>5192</xdr:row>
                    <xdr:rowOff>0</xdr:rowOff>
                  </from>
                  <to>
                    <xdr:col>7</xdr:col>
                    <xdr:colOff>0</xdr:colOff>
                    <xdr:row>5192</xdr:row>
                    <xdr:rowOff>171450</xdr:rowOff>
                  </to>
                </anchor>
              </controlPr>
            </control>
          </mc:Choice>
        </mc:AlternateContent>
        <mc:AlternateContent xmlns:mc="http://schemas.openxmlformats.org/markup-compatibility/2006">
          <mc:Choice Requires="x14">
            <control shapeId="12617" r:id="rId2864" name="Button 1353">
              <controlPr defaultSize="0" autoFill="0" autoLine="0" autoPict="0" macro="[0]!Sheet1.deleteRow">
                <anchor moveWithCells="1" sizeWithCells="1">
                  <from>
                    <xdr:col>6</xdr:col>
                    <xdr:colOff>0</xdr:colOff>
                    <xdr:row>5193</xdr:row>
                    <xdr:rowOff>0</xdr:rowOff>
                  </from>
                  <to>
                    <xdr:col>7</xdr:col>
                    <xdr:colOff>0</xdr:colOff>
                    <xdr:row>5193</xdr:row>
                    <xdr:rowOff>165100</xdr:rowOff>
                  </to>
                </anchor>
              </controlPr>
            </control>
          </mc:Choice>
        </mc:AlternateContent>
        <mc:AlternateContent xmlns:mc="http://schemas.openxmlformats.org/markup-compatibility/2006">
          <mc:Choice Requires="x14">
            <control shapeId="12616" r:id="rId2865" name="Button 1352">
              <controlPr defaultSize="0" autoFill="0" autoLine="0" autoPict="0" macro="[0]!Sheet1.deleteProcedure">
                <anchor moveWithCells="1" sizeWithCells="1">
                  <from>
                    <xdr:col>6</xdr:col>
                    <xdr:colOff>0</xdr:colOff>
                    <xdr:row>5196</xdr:row>
                    <xdr:rowOff>0</xdr:rowOff>
                  </from>
                  <to>
                    <xdr:col>7</xdr:col>
                    <xdr:colOff>0</xdr:colOff>
                    <xdr:row>5197</xdr:row>
                    <xdr:rowOff>0</xdr:rowOff>
                  </to>
                </anchor>
              </controlPr>
            </control>
          </mc:Choice>
        </mc:AlternateContent>
        <mc:AlternateContent xmlns:mc="http://schemas.openxmlformats.org/markup-compatibility/2006">
          <mc:Choice Requires="x14">
            <control shapeId="12615" r:id="rId2866" name="Button 1351">
              <controlPr defaultSize="0" autoFill="0" autoLine="0" autoPict="0" macro="[0]!Sheet1.InsertNewTableRow">
                <anchor moveWithCells="1" sizeWithCells="1">
                  <from>
                    <xdr:col>6</xdr:col>
                    <xdr:colOff>0</xdr:colOff>
                    <xdr:row>5203</xdr:row>
                    <xdr:rowOff>0</xdr:rowOff>
                  </from>
                  <to>
                    <xdr:col>7</xdr:col>
                    <xdr:colOff>0</xdr:colOff>
                    <xdr:row>5203</xdr:row>
                    <xdr:rowOff>171450</xdr:rowOff>
                  </to>
                </anchor>
              </controlPr>
            </control>
          </mc:Choice>
        </mc:AlternateContent>
        <mc:AlternateContent xmlns:mc="http://schemas.openxmlformats.org/markup-compatibility/2006">
          <mc:Choice Requires="x14">
            <control shapeId="12614" r:id="rId2867" name="Button 1350">
              <controlPr defaultSize="0" autoFill="0" autoLine="0" autoPict="0" macro="[0]!Sheet1.deleteRow">
                <anchor moveWithCells="1" sizeWithCells="1">
                  <from>
                    <xdr:col>6</xdr:col>
                    <xdr:colOff>0</xdr:colOff>
                    <xdr:row>5204</xdr:row>
                    <xdr:rowOff>0</xdr:rowOff>
                  </from>
                  <to>
                    <xdr:col>7</xdr:col>
                    <xdr:colOff>0</xdr:colOff>
                    <xdr:row>5204</xdr:row>
                    <xdr:rowOff>165100</xdr:rowOff>
                  </to>
                </anchor>
              </controlPr>
            </control>
          </mc:Choice>
        </mc:AlternateContent>
        <mc:AlternateContent xmlns:mc="http://schemas.openxmlformats.org/markup-compatibility/2006">
          <mc:Choice Requires="x14">
            <control shapeId="12613" r:id="rId2868" name="Button 1349">
              <controlPr defaultSize="0" autoFill="0" autoLine="0" autoPict="0" macro="[0]!Sheet1.deleteRow">
                <anchor moveWithCells="1" sizeWithCells="1">
                  <from>
                    <xdr:col>6</xdr:col>
                    <xdr:colOff>0</xdr:colOff>
                    <xdr:row>5205</xdr:row>
                    <xdr:rowOff>0</xdr:rowOff>
                  </from>
                  <to>
                    <xdr:col>7</xdr:col>
                    <xdr:colOff>0</xdr:colOff>
                    <xdr:row>5205</xdr:row>
                    <xdr:rowOff>165100</xdr:rowOff>
                  </to>
                </anchor>
              </controlPr>
            </control>
          </mc:Choice>
        </mc:AlternateContent>
        <mc:AlternateContent xmlns:mc="http://schemas.openxmlformats.org/markup-compatibility/2006">
          <mc:Choice Requires="x14">
            <control shapeId="12612" r:id="rId2869" name="Button 1348">
              <controlPr defaultSize="0" autoFill="0" autoLine="0" autoPict="0" macro="[0]!Sheet1.deleteProcedure">
                <anchor moveWithCells="1" sizeWithCells="1">
                  <from>
                    <xdr:col>6</xdr:col>
                    <xdr:colOff>0</xdr:colOff>
                    <xdr:row>5208</xdr:row>
                    <xdr:rowOff>0</xdr:rowOff>
                  </from>
                  <to>
                    <xdr:col>7</xdr:col>
                    <xdr:colOff>0</xdr:colOff>
                    <xdr:row>5209</xdr:row>
                    <xdr:rowOff>0</xdr:rowOff>
                  </to>
                </anchor>
              </controlPr>
            </control>
          </mc:Choice>
        </mc:AlternateContent>
        <mc:AlternateContent xmlns:mc="http://schemas.openxmlformats.org/markup-compatibility/2006">
          <mc:Choice Requires="x14">
            <control shapeId="12611" r:id="rId2870" name="Button 1347">
              <controlPr defaultSize="0" autoFill="0" autoLine="0" autoPict="0" macro="[0]!Sheet1.InsertNewTableRow">
                <anchor moveWithCells="1" sizeWithCells="1">
                  <from>
                    <xdr:col>6</xdr:col>
                    <xdr:colOff>0</xdr:colOff>
                    <xdr:row>5215</xdr:row>
                    <xdr:rowOff>0</xdr:rowOff>
                  </from>
                  <to>
                    <xdr:col>7</xdr:col>
                    <xdr:colOff>0</xdr:colOff>
                    <xdr:row>5215</xdr:row>
                    <xdr:rowOff>171450</xdr:rowOff>
                  </to>
                </anchor>
              </controlPr>
            </control>
          </mc:Choice>
        </mc:AlternateContent>
        <mc:AlternateContent xmlns:mc="http://schemas.openxmlformats.org/markup-compatibility/2006">
          <mc:Choice Requires="x14">
            <control shapeId="12610" r:id="rId2871" name="Button 1346">
              <controlPr defaultSize="0" autoFill="0" autoLine="0" autoPict="0" macro="[0]!Sheet1.deleteRow">
                <anchor moveWithCells="1" sizeWithCells="1">
                  <from>
                    <xdr:col>6</xdr:col>
                    <xdr:colOff>0</xdr:colOff>
                    <xdr:row>5216</xdr:row>
                    <xdr:rowOff>0</xdr:rowOff>
                  </from>
                  <to>
                    <xdr:col>7</xdr:col>
                    <xdr:colOff>0</xdr:colOff>
                    <xdr:row>5216</xdr:row>
                    <xdr:rowOff>165100</xdr:rowOff>
                  </to>
                </anchor>
              </controlPr>
            </control>
          </mc:Choice>
        </mc:AlternateContent>
        <mc:AlternateContent xmlns:mc="http://schemas.openxmlformats.org/markup-compatibility/2006">
          <mc:Choice Requires="x14">
            <control shapeId="12609" r:id="rId2872" name="Button 1345">
              <controlPr defaultSize="0" autoFill="0" autoLine="0" autoPict="0" macro="[0]!Sheet1.deleteRow">
                <anchor moveWithCells="1" sizeWithCells="1">
                  <from>
                    <xdr:col>6</xdr:col>
                    <xdr:colOff>0</xdr:colOff>
                    <xdr:row>5217</xdr:row>
                    <xdr:rowOff>0</xdr:rowOff>
                  </from>
                  <to>
                    <xdr:col>7</xdr:col>
                    <xdr:colOff>0</xdr:colOff>
                    <xdr:row>5217</xdr:row>
                    <xdr:rowOff>165100</xdr:rowOff>
                  </to>
                </anchor>
              </controlPr>
            </control>
          </mc:Choice>
        </mc:AlternateContent>
        <mc:AlternateContent xmlns:mc="http://schemas.openxmlformats.org/markup-compatibility/2006">
          <mc:Choice Requires="x14">
            <control shapeId="12608" r:id="rId2873" name="Button 1344">
              <controlPr defaultSize="0" autoFill="0" autoLine="0" autoPict="0" macro="[0]!Sheet1.deleteProcedure">
                <anchor moveWithCells="1" sizeWithCells="1">
                  <from>
                    <xdr:col>6</xdr:col>
                    <xdr:colOff>0</xdr:colOff>
                    <xdr:row>5220</xdr:row>
                    <xdr:rowOff>0</xdr:rowOff>
                  </from>
                  <to>
                    <xdr:col>7</xdr:col>
                    <xdr:colOff>0</xdr:colOff>
                    <xdr:row>5221</xdr:row>
                    <xdr:rowOff>0</xdr:rowOff>
                  </to>
                </anchor>
              </controlPr>
            </control>
          </mc:Choice>
        </mc:AlternateContent>
        <mc:AlternateContent xmlns:mc="http://schemas.openxmlformats.org/markup-compatibility/2006">
          <mc:Choice Requires="x14">
            <control shapeId="12607" r:id="rId2874" name="Button 1343">
              <controlPr defaultSize="0" autoFill="0" autoLine="0" autoPict="0" macro="[0]!Sheet1.InsertNewTableRow">
                <anchor moveWithCells="1" sizeWithCells="1">
                  <from>
                    <xdr:col>6</xdr:col>
                    <xdr:colOff>0</xdr:colOff>
                    <xdr:row>5227</xdr:row>
                    <xdr:rowOff>0</xdr:rowOff>
                  </from>
                  <to>
                    <xdr:col>7</xdr:col>
                    <xdr:colOff>0</xdr:colOff>
                    <xdr:row>5227</xdr:row>
                    <xdr:rowOff>171450</xdr:rowOff>
                  </to>
                </anchor>
              </controlPr>
            </control>
          </mc:Choice>
        </mc:AlternateContent>
        <mc:AlternateContent xmlns:mc="http://schemas.openxmlformats.org/markup-compatibility/2006">
          <mc:Choice Requires="x14">
            <control shapeId="12606" r:id="rId2875" name="Button 1342">
              <controlPr defaultSize="0" autoFill="0" autoLine="0" autoPict="0" macro="[0]!Sheet1.deleteRow">
                <anchor moveWithCells="1" sizeWithCells="1">
                  <from>
                    <xdr:col>6</xdr:col>
                    <xdr:colOff>0</xdr:colOff>
                    <xdr:row>5228</xdr:row>
                    <xdr:rowOff>0</xdr:rowOff>
                  </from>
                  <to>
                    <xdr:col>7</xdr:col>
                    <xdr:colOff>0</xdr:colOff>
                    <xdr:row>5228</xdr:row>
                    <xdr:rowOff>165100</xdr:rowOff>
                  </to>
                </anchor>
              </controlPr>
            </control>
          </mc:Choice>
        </mc:AlternateContent>
        <mc:AlternateContent xmlns:mc="http://schemas.openxmlformats.org/markup-compatibility/2006">
          <mc:Choice Requires="x14">
            <control shapeId="12605" r:id="rId2876" name="Button 1341">
              <controlPr defaultSize="0" autoFill="0" autoLine="0" autoPict="0" macro="[0]!Sheet1.deleteRow">
                <anchor moveWithCells="1" sizeWithCells="1">
                  <from>
                    <xdr:col>6</xdr:col>
                    <xdr:colOff>0</xdr:colOff>
                    <xdr:row>5229</xdr:row>
                    <xdr:rowOff>0</xdr:rowOff>
                  </from>
                  <to>
                    <xdr:col>7</xdr:col>
                    <xdr:colOff>0</xdr:colOff>
                    <xdr:row>5229</xdr:row>
                    <xdr:rowOff>165100</xdr:rowOff>
                  </to>
                </anchor>
              </controlPr>
            </control>
          </mc:Choice>
        </mc:AlternateContent>
        <mc:AlternateContent xmlns:mc="http://schemas.openxmlformats.org/markup-compatibility/2006">
          <mc:Choice Requires="x14">
            <control shapeId="12604" r:id="rId2877" name="Button 1340">
              <controlPr defaultSize="0" autoFill="0" autoLine="0" autoPict="0" macro="[0]!Sheet1.deleteProcedure">
                <anchor moveWithCells="1" sizeWithCells="1">
                  <from>
                    <xdr:col>6</xdr:col>
                    <xdr:colOff>0</xdr:colOff>
                    <xdr:row>5232</xdr:row>
                    <xdr:rowOff>0</xdr:rowOff>
                  </from>
                  <to>
                    <xdr:col>7</xdr:col>
                    <xdr:colOff>0</xdr:colOff>
                    <xdr:row>5233</xdr:row>
                    <xdr:rowOff>0</xdr:rowOff>
                  </to>
                </anchor>
              </controlPr>
            </control>
          </mc:Choice>
        </mc:AlternateContent>
        <mc:AlternateContent xmlns:mc="http://schemas.openxmlformats.org/markup-compatibility/2006">
          <mc:Choice Requires="x14">
            <control shapeId="12603" r:id="rId2878" name="Button 1339">
              <controlPr defaultSize="0" autoFill="0" autoLine="0" autoPict="0" macro="[0]!Sheet1.InsertNewTableRow">
                <anchor moveWithCells="1" sizeWithCells="1">
                  <from>
                    <xdr:col>6</xdr:col>
                    <xdr:colOff>0</xdr:colOff>
                    <xdr:row>5239</xdr:row>
                    <xdr:rowOff>0</xdr:rowOff>
                  </from>
                  <to>
                    <xdr:col>7</xdr:col>
                    <xdr:colOff>0</xdr:colOff>
                    <xdr:row>5239</xdr:row>
                    <xdr:rowOff>171450</xdr:rowOff>
                  </to>
                </anchor>
              </controlPr>
            </control>
          </mc:Choice>
        </mc:AlternateContent>
        <mc:AlternateContent xmlns:mc="http://schemas.openxmlformats.org/markup-compatibility/2006">
          <mc:Choice Requires="x14">
            <control shapeId="12602" r:id="rId2879" name="Button 1338">
              <controlPr defaultSize="0" autoFill="0" autoLine="0" autoPict="0" macro="[0]!Sheet1.deleteRow">
                <anchor moveWithCells="1" sizeWithCells="1">
                  <from>
                    <xdr:col>6</xdr:col>
                    <xdr:colOff>0</xdr:colOff>
                    <xdr:row>5240</xdr:row>
                    <xdr:rowOff>0</xdr:rowOff>
                  </from>
                  <to>
                    <xdr:col>7</xdr:col>
                    <xdr:colOff>0</xdr:colOff>
                    <xdr:row>5240</xdr:row>
                    <xdr:rowOff>165100</xdr:rowOff>
                  </to>
                </anchor>
              </controlPr>
            </control>
          </mc:Choice>
        </mc:AlternateContent>
        <mc:AlternateContent xmlns:mc="http://schemas.openxmlformats.org/markup-compatibility/2006">
          <mc:Choice Requires="x14">
            <control shapeId="12601" r:id="rId2880" name="Button 1337">
              <controlPr defaultSize="0" autoFill="0" autoLine="0" autoPict="0" macro="[0]!Sheet1.deleteRow">
                <anchor moveWithCells="1" sizeWithCells="1">
                  <from>
                    <xdr:col>6</xdr:col>
                    <xdr:colOff>0</xdr:colOff>
                    <xdr:row>5241</xdr:row>
                    <xdr:rowOff>0</xdr:rowOff>
                  </from>
                  <to>
                    <xdr:col>7</xdr:col>
                    <xdr:colOff>0</xdr:colOff>
                    <xdr:row>5241</xdr:row>
                    <xdr:rowOff>165100</xdr:rowOff>
                  </to>
                </anchor>
              </controlPr>
            </control>
          </mc:Choice>
        </mc:AlternateContent>
        <mc:AlternateContent xmlns:mc="http://schemas.openxmlformats.org/markup-compatibility/2006">
          <mc:Choice Requires="x14">
            <control shapeId="12600" r:id="rId2881" name="Button 1336">
              <controlPr defaultSize="0" autoFill="0" autoLine="0" autoPict="0" macro="[0]!Sheet1.deleteProcedure">
                <anchor moveWithCells="1" sizeWithCells="1">
                  <from>
                    <xdr:col>6</xdr:col>
                    <xdr:colOff>0</xdr:colOff>
                    <xdr:row>5244</xdr:row>
                    <xdr:rowOff>0</xdr:rowOff>
                  </from>
                  <to>
                    <xdr:col>7</xdr:col>
                    <xdr:colOff>0</xdr:colOff>
                    <xdr:row>5245</xdr:row>
                    <xdr:rowOff>0</xdr:rowOff>
                  </to>
                </anchor>
              </controlPr>
            </control>
          </mc:Choice>
        </mc:AlternateContent>
        <mc:AlternateContent xmlns:mc="http://schemas.openxmlformats.org/markup-compatibility/2006">
          <mc:Choice Requires="x14">
            <control shapeId="12599" r:id="rId2882" name="Button 1335">
              <controlPr defaultSize="0" autoFill="0" autoLine="0" autoPict="0" macro="[0]!Sheet1.InsertNewTableRow">
                <anchor moveWithCells="1" sizeWithCells="1">
                  <from>
                    <xdr:col>6</xdr:col>
                    <xdr:colOff>0</xdr:colOff>
                    <xdr:row>5251</xdr:row>
                    <xdr:rowOff>0</xdr:rowOff>
                  </from>
                  <to>
                    <xdr:col>7</xdr:col>
                    <xdr:colOff>0</xdr:colOff>
                    <xdr:row>5251</xdr:row>
                    <xdr:rowOff>171450</xdr:rowOff>
                  </to>
                </anchor>
              </controlPr>
            </control>
          </mc:Choice>
        </mc:AlternateContent>
        <mc:AlternateContent xmlns:mc="http://schemas.openxmlformats.org/markup-compatibility/2006">
          <mc:Choice Requires="x14">
            <control shapeId="12598" r:id="rId2883" name="Button 1334">
              <controlPr defaultSize="0" autoFill="0" autoLine="0" autoPict="0" macro="[0]!Sheet1.deleteRow">
                <anchor moveWithCells="1" sizeWithCells="1">
                  <from>
                    <xdr:col>6</xdr:col>
                    <xdr:colOff>0</xdr:colOff>
                    <xdr:row>5252</xdr:row>
                    <xdr:rowOff>0</xdr:rowOff>
                  </from>
                  <to>
                    <xdr:col>7</xdr:col>
                    <xdr:colOff>0</xdr:colOff>
                    <xdr:row>5252</xdr:row>
                    <xdr:rowOff>165100</xdr:rowOff>
                  </to>
                </anchor>
              </controlPr>
            </control>
          </mc:Choice>
        </mc:AlternateContent>
        <mc:AlternateContent xmlns:mc="http://schemas.openxmlformats.org/markup-compatibility/2006">
          <mc:Choice Requires="x14">
            <control shapeId="12597" r:id="rId2884" name="Button 1333">
              <controlPr defaultSize="0" autoFill="0" autoLine="0" autoPict="0" macro="[0]!Sheet1.deleteRow">
                <anchor moveWithCells="1" sizeWithCells="1">
                  <from>
                    <xdr:col>6</xdr:col>
                    <xdr:colOff>0</xdr:colOff>
                    <xdr:row>5253</xdr:row>
                    <xdr:rowOff>0</xdr:rowOff>
                  </from>
                  <to>
                    <xdr:col>7</xdr:col>
                    <xdr:colOff>0</xdr:colOff>
                    <xdr:row>5253</xdr:row>
                    <xdr:rowOff>165100</xdr:rowOff>
                  </to>
                </anchor>
              </controlPr>
            </control>
          </mc:Choice>
        </mc:AlternateContent>
        <mc:AlternateContent xmlns:mc="http://schemas.openxmlformats.org/markup-compatibility/2006">
          <mc:Choice Requires="x14">
            <control shapeId="12596" r:id="rId2885" name="Button 1332">
              <controlPr defaultSize="0" autoFill="0" autoLine="0" autoPict="0" macro="[0]!Sheet1.deleteRow">
                <anchor moveWithCells="1" sizeWithCells="1">
                  <from>
                    <xdr:col>6</xdr:col>
                    <xdr:colOff>0</xdr:colOff>
                    <xdr:row>5254</xdr:row>
                    <xdr:rowOff>0</xdr:rowOff>
                  </from>
                  <to>
                    <xdr:col>7</xdr:col>
                    <xdr:colOff>0</xdr:colOff>
                    <xdr:row>5254</xdr:row>
                    <xdr:rowOff>165100</xdr:rowOff>
                  </to>
                </anchor>
              </controlPr>
            </control>
          </mc:Choice>
        </mc:AlternateContent>
        <mc:AlternateContent xmlns:mc="http://schemas.openxmlformats.org/markup-compatibility/2006">
          <mc:Choice Requires="x14">
            <control shapeId="12595" r:id="rId2886" name="Button 1331">
              <controlPr defaultSize="0" autoFill="0" autoLine="0" autoPict="0" macro="[0]!Sheet1.deleteRow">
                <anchor moveWithCells="1" sizeWithCells="1">
                  <from>
                    <xdr:col>6</xdr:col>
                    <xdr:colOff>0</xdr:colOff>
                    <xdr:row>5255</xdr:row>
                    <xdr:rowOff>0</xdr:rowOff>
                  </from>
                  <to>
                    <xdr:col>7</xdr:col>
                    <xdr:colOff>0</xdr:colOff>
                    <xdr:row>5255</xdr:row>
                    <xdr:rowOff>165100</xdr:rowOff>
                  </to>
                </anchor>
              </controlPr>
            </control>
          </mc:Choice>
        </mc:AlternateContent>
        <mc:AlternateContent xmlns:mc="http://schemas.openxmlformats.org/markup-compatibility/2006">
          <mc:Choice Requires="x14">
            <control shapeId="12594" r:id="rId2887" name="Button 1330">
              <controlPr defaultSize="0" autoFill="0" autoLine="0" autoPict="0" macro="[0]!Sheet1.deleteRow">
                <anchor moveWithCells="1" sizeWithCells="1">
                  <from>
                    <xdr:col>6</xdr:col>
                    <xdr:colOff>0</xdr:colOff>
                    <xdr:row>5256</xdr:row>
                    <xdr:rowOff>0</xdr:rowOff>
                  </from>
                  <to>
                    <xdr:col>7</xdr:col>
                    <xdr:colOff>0</xdr:colOff>
                    <xdr:row>5256</xdr:row>
                    <xdr:rowOff>165100</xdr:rowOff>
                  </to>
                </anchor>
              </controlPr>
            </control>
          </mc:Choice>
        </mc:AlternateContent>
        <mc:AlternateContent xmlns:mc="http://schemas.openxmlformats.org/markup-compatibility/2006">
          <mc:Choice Requires="x14">
            <control shapeId="12593" r:id="rId2888" name="Button 1329">
              <controlPr defaultSize="0" autoFill="0" autoLine="0" autoPict="0" macro="[0]!Sheet1.deleteRow">
                <anchor moveWithCells="1" sizeWithCells="1">
                  <from>
                    <xdr:col>6</xdr:col>
                    <xdr:colOff>0</xdr:colOff>
                    <xdr:row>5257</xdr:row>
                    <xdr:rowOff>0</xdr:rowOff>
                  </from>
                  <to>
                    <xdr:col>7</xdr:col>
                    <xdr:colOff>0</xdr:colOff>
                    <xdr:row>5257</xdr:row>
                    <xdr:rowOff>165100</xdr:rowOff>
                  </to>
                </anchor>
              </controlPr>
            </control>
          </mc:Choice>
        </mc:AlternateContent>
        <mc:AlternateContent xmlns:mc="http://schemas.openxmlformats.org/markup-compatibility/2006">
          <mc:Choice Requires="x14">
            <control shapeId="12592" r:id="rId2889" name="Button 1328">
              <controlPr defaultSize="0" autoFill="0" autoLine="0" autoPict="0" macro="[0]!Sheet1.deleteRow">
                <anchor moveWithCells="1" sizeWithCells="1">
                  <from>
                    <xdr:col>6</xdr:col>
                    <xdr:colOff>0</xdr:colOff>
                    <xdr:row>5258</xdr:row>
                    <xdr:rowOff>0</xdr:rowOff>
                  </from>
                  <to>
                    <xdr:col>7</xdr:col>
                    <xdr:colOff>0</xdr:colOff>
                    <xdr:row>5258</xdr:row>
                    <xdr:rowOff>165100</xdr:rowOff>
                  </to>
                </anchor>
              </controlPr>
            </control>
          </mc:Choice>
        </mc:AlternateContent>
        <mc:AlternateContent xmlns:mc="http://schemas.openxmlformats.org/markup-compatibility/2006">
          <mc:Choice Requires="x14">
            <control shapeId="12591" r:id="rId2890" name="Button 1327">
              <controlPr defaultSize="0" autoFill="0" autoLine="0" autoPict="0" macro="[0]!Sheet1.deleteRow">
                <anchor moveWithCells="1" sizeWithCells="1">
                  <from>
                    <xdr:col>6</xdr:col>
                    <xdr:colOff>0</xdr:colOff>
                    <xdr:row>5259</xdr:row>
                    <xdr:rowOff>0</xdr:rowOff>
                  </from>
                  <to>
                    <xdr:col>7</xdr:col>
                    <xdr:colOff>0</xdr:colOff>
                    <xdr:row>5259</xdr:row>
                    <xdr:rowOff>165100</xdr:rowOff>
                  </to>
                </anchor>
              </controlPr>
            </control>
          </mc:Choice>
        </mc:AlternateContent>
        <mc:AlternateContent xmlns:mc="http://schemas.openxmlformats.org/markup-compatibility/2006">
          <mc:Choice Requires="x14">
            <control shapeId="12590" r:id="rId2891" name="Button 1326">
              <controlPr defaultSize="0" autoFill="0" autoLine="0" autoPict="0" macro="[0]!Sheet1.deleteRow">
                <anchor moveWithCells="1" sizeWithCells="1">
                  <from>
                    <xdr:col>6</xdr:col>
                    <xdr:colOff>0</xdr:colOff>
                    <xdr:row>5260</xdr:row>
                    <xdr:rowOff>0</xdr:rowOff>
                  </from>
                  <to>
                    <xdr:col>7</xdr:col>
                    <xdr:colOff>0</xdr:colOff>
                    <xdr:row>5260</xdr:row>
                    <xdr:rowOff>165100</xdr:rowOff>
                  </to>
                </anchor>
              </controlPr>
            </control>
          </mc:Choice>
        </mc:AlternateContent>
        <mc:AlternateContent xmlns:mc="http://schemas.openxmlformats.org/markup-compatibility/2006">
          <mc:Choice Requires="x14">
            <control shapeId="12589" r:id="rId2892" name="Button 1325">
              <controlPr defaultSize="0" autoFill="0" autoLine="0" autoPict="0" macro="[0]!Sheet1.deleteRow">
                <anchor moveWithCells="1" sizeWithCells="1">
                  <from>
                    <xdr:col>6</xdr:col>
                    <xdr:colOff>0</xdr:colOff>
                    <xdr:row>5261</xdr:row>
                    <xdr:rowOff>0</xdr:rowOff>
                  </from>
                  <to>
                    <xdr:col>7</xdr:col>
                    <xdr:colOff>0</xdr:colOff>
                    <xdr:row>5261</xdr:row>
                    <xdr:rowOff>165100</xdr:rowOff>
                  </to>
                </anchor>
              </controlPr>
            </control>
          </mc:Choice>
        </mc:AlternateContent>
        <mc:AlternateContent xmlns:mc="http://schemas.openxmlformats.org/markup-compatibility/2006">
          <mc:Choice Requires="x14">
            <control shapeId="12588" r:id="rId2893" name="Button 1324">
              <controlPr defaultSize="0" autoFill="0" autoLine="0" autoPict="0" macro="[0]!Sheet1.deleteRow">
                <anchor moveWithCells="1" sizeWithCells="1">
                  <from>
                    <xdr:col>6</xdr:col>
                    <xdr:colOff>0</xdr:colOff>
                    <xdr:row>5262</xdr:row>
                    <xdr:rowOff>0</xdr:rowOff>
                  </from>
                  <to>
                    <xdr:col>7</xdr:col>
                    <xdr:colOff>0</xdr:colOff>
                    <xdr:row>5262</xdr:row>
                    <xdr:rowOff>165100</xdr:rowOff>
                  </to>
                </anchor>
              </controlPr>
            </control>
          </mc:Choice>
        </mc:AlternateContent>
        <mc:AlternateContent xmlns:mc="http://schemas.openxmlformats.org/markup-compatibility/2006">
          <mc:Choice Requires="x14">
            <control shapeId="12587" r:id="rId2894" name="Button 1323">
              <controlPr defaultSize="0" autoFill="0" autoLine="0" autoPict="0" macro="[0]!Sheet1.deleteRow">
                <anchor moveWithCells="1" sizeWithCells="1">
                  <from>
                    <xdr:col>6</xdr:col>
                    <xdr:colOff>0</xdr:colOff>
                    <xdr:row>5263</xdr:row>
                    <xdr:rowOff>0</xdr:rowOff>
                  </from>
                  <to>
                    <xdr:col>7</xdr:col>
                    <xdr:colOff>0</xdr:colOff>
                    <xdr:row>5263</xdr:row>
                    <xdr:rowOff>165100</xdr:rowOff>
                  </to>
                </anchor>
              </controlPr>
            </control>
          </mc:Choice>
        </mc:AlternateContent>
        <mc:AlternateContent xmlns:mc="http://schemas.openxmlformats.org/markup-compatibility/2006">
          <mc:Choice Requires="x14">
            <control shapeId="12586" r:id="rId2895" name="Button 1322">
              <controlPr defaultSize="0" autoFill="0" autoLine="0" autoPict="0" macro="[0]!Sheet1.deleteRow">
                <anchor moveWithCells="1" sizeWithCells="1">
                  <from>
                    <xdr:col>6</xdr:col>
                    <xdr:colOff>0</xdr:colOff>
                    <xdr:row>5264</xdr:row>
                    <xdr:rowOff>0</xdr:rowOff>
                  </from>
                  <to>
                    <xdr:col>7</xdr:col>
                    <xdr:colOff>0</xdr:colOff>
                    <xdr:row>5264</xdr:row>
                    <xdr:rowOff>165100</xdr:rowOff>
                  </to>
                </anchor>
              </controlPr>
            </control>
          </mc:Choice>
        </mc:AlternateContent>
        <mc:AlternateContent xmlns:mc="http://schemas.openxmlformats.org/markup-compatibility/2006">
          <mc:Choice Requires="x14">
            <control shapeId="12585" r:id="rId2896" name="Button 1321">
              <controlPr defaultSize="0" autoFill="0" autoLine="0" autoPict="0" macro="[0]!Sheet1.deleteRow">
                <anchor moveWithCells="1" sizeWithCells="1">
                  <from>
                    <xdr:col>6</xdr:col>
                    <xdr:colOff>0</xdr:colOff>
                    <xdr:row>5265</xdr:row>
                    <xdr:rowOff>0</xdr:rowOff>
                  </from>
                  <to>
                    <xdr:col>7</xdr:col>
                    <xdr:colOff>0</xdr:colOff>
                    <xdr:row>5265</xdr:row>
                    <xdr:rowOff>165100</xdr:rowOff>
                  </to>
                </anchor>
              </controlPr>
            </control>
          </mc:Choice>
        </mc:AlternateContent>
        <mc:AlternateContent xmlns:mc="http://schemas.openxmlformats.org/markup-compatibility/2006">
          <mc:Choice Requires="x14">
            <control shapeId="12584" r:id="rId2897" name="Button 1320">
              <controlPr defaultSize="0" autoFill="0" autoLine="0" autoPict="0" macro="[0]!Sheet1.deleteRow">
                <anchor moveWithCells="1" sizeWithCells="1">
                  <from>
                    <xdr:col>6</xdr:col>
                    <xdr:colOff>0</xdr:colOff>
                    <xdr:row>5266</xdr:row>
                    <xdr:rowOff>0</xdr:rowOff>
                  </from>
                  <to>
                    <xdr:col>7</xdr:col>
                    <xdr:colOff>0</xdr:colOff>
                    <xdr:row>5266</xdr:row>
                    <xdr:rowOff>165100</xdr:rowOff>
                  </to>
                </anchor>
              </controlPr>
            </control>
          </mc:Choice>
        </mc:AlternateContent>
        <mc:AlternateContent xmlns:mc="http://schemas.openxmlformats.org/markup-compatibility/2006">
          <mc:Choice Requires="x14">
            <control shapeId="12583" r:id="rId2898" name="Button 1319">
              <controlPr defaultSize="0" autoFill="0" autoLine="0" autoPict="0" macro="[0]!Sheet1.deleteRow">
                <anchor moveWithCells="1" sizeWithCells="1">
                  <from>
                    <xdr:col>6</xdr:col>
                    <xdr:colOff>0</xdr:colOff>
                    <xdr:row>5267</xdr:row>
                    <xdr:rowOff>0</xdr:rowOff>
                  </from>
                  <to>
                    <xdr:col>7</xdr:col>
                    <xdr:colOff>0</xdr:colOff>
                    <xdr:row>5267</xdr:row>
                    <xdr:rowOff>165100</xdr:rowOff>
                  </to>
                </anchor>
              </controlPr>
            </control>
          </mc:Choice>
        </mc:AlternateContent>
        <mc:AlternateContent xmlns:mc="http://schemas.openxmlformats.org/markup-compatibility/2006">
          <mc:Choice Requires="x14">
            <control shapeId="12582" r:id="rId2899" name="Button 1318">
              <controlPr defaultSize="0" autoFill="0" autoLine="0" autoPict="0" macro="[0]!Sheet1.deleteRow">
                <anchor moveWithCells="1" sizeWithCells="1">
                  <from>
                    <xdr:col>6</xdr:col>
                    <xdr:colOff>0</xdr:colOff>
                    <xdr:row>5268</xdr:row>
                    <xdr:rowOff>0</xdr:rowOff>
                  </from>
                  <to>
                    <xdr:col>7</xdr:col>
                    <xdr:colOff>0</xdr:colOff>
                    <xdr:row>5268</xdr:row>
                    <xdr:rowOff>165100</xdr:rowOff>
                  </to>
                </anchor>
              </controlPr>
            </control>
          </mc:Choice>
        </mc:AlternateContent>
        <mc:AlternateContent xmlns:mc="http://schemas.openxmlformats.org/markup-compatibility/2006">
          <mc:Choice Requires="x14">
            <control shapeId="12581" r:id="rId2900" name="Button 1317">
              <controlPr defaultSize="0" autoFill="0" autoLine="0" autoPict="0" macro="[0]!Sheet1.deleteRow">
                <anchor moveWithCells="1" sizeWithCells="1">
                  <from>
                    <xdr:col>6</xdr:col>
                    <xdr:colOff>0</xdr:colOff>
                    <xdr:row>5269</xdr:row>
                    <xdr:rowOff>0</xdr:rowOff>
                  </from>
                  <to>
                    <xdr:col>7</xdr:col>
                    <xdr:colOff>0</xdr:colOff>
                    <xdr:row>5269</xdr:row>
                    <xdr:rowOff>165100</xdr:rowOff>
                  </to>
                </anchor>
              </controlPr>
            </control>
          </mc:Choice>
        </mc:AlternateContent>
        <mc:AlternateContent xmlns:mc="http://schemas.openxmlformats.org/markup-compatibility/2006">
          <mc:Choice Requires="x14">
            <control shapeId="12580" r:id="rId2901" name="Button 1316">
              <controlPr defaultSize="0" autoFill="0" autoLine="0" autoPict="0" macro="[0]!Sheet1.deleteRow">
                <anchor moveWithCells="1" sizeWithCells="1">
                  <from>
                    <xdr:col>6</xdr:col>
                    <xdr:colOff>0</xdr:colOff>
                    <xdr:row>5270</xdr:row>
                    <xdr:rowOff>0</xdr:rowOff>
                  </from>
                  <to>
                    <xdr:col>7</xdr:col>
                    <xdr:colOff>0</xdr:colOff>
                    <xdr:row>5270</xdr:row>
                    <xdr:rowOff>165100</xdr:rowOff>
                  </to>
                </anchor>
              </controlPr>
            </control>
          </mc:Choice>
        </mc:AlternateContent>
        <mc:AlternateContent xmlns:mc="http://schemas.openxmlformats.org/markup-compatibility/2006">
          <mc:Choice Requires="x14">
            <control shapeId="12579" r:id="rId2902" name="Button 1315">
              <controlPr defaultSize="0" autoFill="0" autoLine="0" autoPict="0" macro="[0]!Sheet1.deleteRow">
                <anchor moveWithCells="1" sizeWithCells="1">
                  <from>
                    <xdr:col>6</xdr:col>
                    <xdr:colOff>0</xdr:colOff>
                    <xdr:row>5271</xdr:row>
                    <xdr:rowOff>0</xdr:rowOff>
                  </from>
                  <to>
                    <xdr:col>7</xdr:col>
                    <xdr:colOff>0</xdr:colOff>
                    <xdr:row>5271</xdr:row>
                    <xdr:rowOff>165100</xdr:rowOff>
                  </to>
                </anchor>
              </controlPr>
            </control>
          </mc:Choice>
        </mc:AlternateContent>
        <mc:AlternateContent xmlns:mc="http://schemas.openxmlformats.org/markup-compatibility/2006">
          <mc:Choice Requires="x14">
            <control shapeId="12578" r:id="rId2903" name="Button 1314">
              <controlPr defaultSize="0" autoFill="0" autoLine="0" autoPict="0" macro="[0]!Sheet1.deleteRow">
                <anchor moveWithCells="1" sizeWithCells="1">
                  <from>
                    <xdr:col>6</xdr:col>
                    <xdr:colOff>0</xdr:colOff>
                    <xdr:row>5272</xdr:row>
                    <xdr:rowOff>0</xdr:rowOff>
                  </from>
                  <to>
                    <xdr:col>7</xdr:col>
                    <xdr:colOff>0</xdr:colOff>
                    <xdr:row>5272</xdr:row>
                    <xdr:rowOff>165100</xdr:rowOff>
                  </to>
                </anchor>
              </controlPr>
            </control>
          </mc:Choice>
        </mc:AlternateContent>
        <mc:AlternateContent xmlns:mc="http://schemas.openxmlformats.org/markup-compatibility/2006">
          <mc:Choice Requires="x14">
            <control shapeId="12577" r:id="rId2904" name="Button 1313">
              <controlPr defaultSize="0" autoFill="0" autoLine="0" autoPict="0" macro="[0]!Sheet1.deleteProcedure">
                <anchor moveWithCells="1" sizeWithCells="1">
                  <from>
                    <xdr:col>6</xdr:col>
                    <xdr:colOff>0</xdr:colOff>
                    <xdr:row>5275</xdr:row>
                    <xdr:rowOff>0</xdr:rowOff>
                  </from>
                  <to>
                    <xdr:col>7</xdr:col>
                    <xdr:colOff>0</xdr:colOff>
                    <xdr:row>5276</xdr:row>
                    <xdr:rowOff>0</xdr:rowOff>
                  </to>
                </anchor>
              </controlPr>
            </control>
          </mc:Choice>
        </mc:AlternateContent>
        <mc:AlternateContent xmlns:mc="http://schemas.openxmlformats.org/markup-compatibility/2006">
          <mc:Choice Requires="x14">
            <control shapeId="12576" r:id="rId2905" name="Button 1312">
              <controlPr defaultSize="0" autoFill="0" autoLine="0" autoPict="0" macro="[0]!Sheet1.InsertNewTableRow">
                <anchor moveWithCells="1" sizeWithCells="1">
                  <from>
                    <xdr:col>6</xdr:col>
                    <xdr:colOff>0</xdr:colOff>
                    <xdr:row>5282</xdr:row>
                    <xdr:rowOff>0</xdr:rowOff>
                  </from>
                  <to>
                    <xdr:col>7</xdr:col>
                    <xdr:colOff>0</xdr:colOff>
                    <xdr:row>5282</xdr:row>
                    <xdr:rowOff>171450</xdr:rowOff>
                  </to>
                </anchor>
              </controlPr>
            </control>
          </mc:Choice>
        </mc:AlternateContent>
        <mc:AlternateContent xmlns:mc="http://schemas.openxmlformats.org/markup-compatibility/2006">
          <mc:Choice Requires="x14">
            <control shapeId="12575" r:id="rId2906" name="Button 1311">
              <controlPr defaultSize="0" autoFill="0" autoLine="0" autoPict="0" macro="[0]!Sheet1.deleteRow">
                <anchor moveWithCells="1" sizeWithCells="1">
                  <from>
                    <xdr:col>6</xdr:col>
                    <xdr:colOff>0</xdr:colOff>
                    <xdr:row>5283</xdr:row>
                    <xdr:rowOff>0</xdr:rowOff>
                  </from>
                  <to>
                    <xdr:col>7</xdr:col>
                    <xdr:colOff>0</xdr:colOff>
                    <xdr:row>5283</xdr:row>
                    <xdr:rowOff>165100</xdr:rowOff>
                  </to>
                </anchor>
              </controlPr>
            </control>
          </mc:Choice>
        </mc:AlternateContent>
        <mc:AlternateContent xmlns:mc="http://schemas.openxmlformats.org/markup-compatibility/2006">
          <mc:Choice Requires="x14">
            <control shapeId="12574" r:id="rId2907" name="Button 1310">
              <controlPr defaultSize="0" autoFill="0" autoLine="0" autoPict="0" macro="[0]!Sheet1.deleteRow">
                <anchor moveWithCells="1" sizeWithCells="1">
                  <from>
                    <xdr:col>6</xdr:col>
                    <xdr:colOff>0</xdr:colOff>
                    <xdr:row>5284</xdr:row>
                    <xdr:rowOff>0</xdr:rowOff>
                  </from>
                  <to>
                    <xdr:col>7</xdr:col>
                    <xdr:colOff>0</xdr:colOff>
                    <xdr:row>5284</xdr:row>
                    <xdr:rowOff>165100</xdr:rowOff>
                  </to>
                </anchor>
              </controlPr>
            </control>
          </mc:Choice>
        </mc:AlternateContent>
        <mc:AlternateContent xmlns:mc="http://schemas.openxmlformats.org/markup-compatibility/2006">
          <mc:Choice Requires="x14">
            <control shapeId="12573" r:id="rId2908" name="Button 1309">
              <controlPr defaultSize="0" autoFill="0" autoLine="0" autoPict="0" macro="[0]!Sheet1.deleteRow">
                <anchor moveWithCells="1" sizeWithCells="1">
                  <from>
                    <xdr:col>6</xdr:col>
                    <xdr:colOff>0</xdr:colOff>
                    <xdr:row>5285</xdr:row>
                    <xdr:rowOff>0</xdr:rowOff>
                  </from>
                  <to>
                    <xdr:col>7</xdr:col>
                    <xdr:colOff>0</xdr:colOff>
                    <xdr:row>5285</xdr:row>
                    <xdr:rowOff>165100</xdr:rowOff>
                  </to>
                </anchor>
              </controlPr>
            </control>
          </mc:Choice>
        </mc:AlternateContent>
        <mc:AlternateContent xmlns:mc="http://schemas.openxmlformats.org/markup-compatibility/2006">
          <mc:Choice Requires="x14">
            <control shapeId="12572" r:id="rId2909" name="Button 1308">
              <controlPr defaultSize="0" autoFill="0" autoLine="0" autoPict="0" macro="[0]!Sheet1.deleteRow">
                <anchor moveWithCells="1" sizeWithCells="1">
                  <from>
                    <xdr:col>6</xdr:col>
                    <xdr:colOff>0</xdr:colOff>
                    <xdr:row>5286</xdr:row>
                    <xdr:rowOff>0</xdr:rowOff>
                  </from>
                  <to>
                    <xdr:col>7</xdr:col>
                    <xdr:colOff>0</xdr:colOff>
                    <xdr:row>5286</xdr:row>
                    <xdr:rowOff>165100</xdr:rowOff>
                  </to>
                </anchor>
              </controlPr>
            </control>
          </mc:Choice>
        </mc:AlternateContent>
        <mc:AlternateContent xmlns:mc="http://schemas.openxmlformats.org/markup-compatibility/2006">
          <mc:Choice Requires="x14">
            <control shapeId="12571" r:id="rId2910" name="Button 1307">
              <controlPr defaultSize="0" autoFill="0" autoLine="0" autoPict="0" macro="[0]!Sheet1.deleteRow">
                <anchor moveWithCells="1" sizeWithCells="1">
                  <from>
                    <xdr:col>6</xdr:col>
                    <xdr:colOff>0</xdr:colOff>
                    <xdr:row>5287</xdr:row>
                    <xdr:rowOff>0</xdr:rowOff>
                  </from>
                  <to>
                    <xdr:col>7</xdr:col>
                    <xdr:colOff>0</xdr:colOff>
                    <xdr:row>5287</xdr:row>
                    <xdr:rowOff>165100</xdr:rowOff>
                  </to>
                </anchor>
              </controlPr>
            </control>
          </mc:Choice>
        </mc:AlternateContent>
        <mc:AlternateContent xmlns:mc="http://schemas.openxmlformats.org/markup-compatibility/2006">
          <mc:Choice Requires="x14">
            <control shapeId="12570" r:id="rId2911" name="Button 1306">
              <controlPr defaultSize="0" autoFill="0" autoLine="0" autoPict="0" macro="[0]!Sheet1.deleteRow">
                <anchor moveWithCells="1" sizeWithCells="1">
                  <from>
                    <xdr:col>6</xdr:col>
                    <xdr:colOff>0</xdr:colOff>
                    <xdr:row>5288</xdr:row>
                    <xdr:rowOff>0</xdr:rowOff>
                  </from>
                  <to>
                    <xdr:col>7</xdr:col>
                    <xdr:colOff>0</xdr:colOff>
                    <xdr:row>5288</xdr:row>
                    <xdr:rowOff>165100</xdr:rowOff>
                  </to>
                </anchor>
              </controlPr>
            </control>
          </mc:Choice>
        </mc:AlternateContent>
        <mc:AlternateContent xmlns:mc="http://schemas.openxmlformats.org/markup-compatibility/2006">
          <mc:Choice Requires="x14">
            <control shapeId="12569" r:id="rId2912" name="Button 1305">
              <controlPr defaultSize="0" autoFill="0" autoLine="0" autoPict="0" macro="[0]!Sheet1.deleteRow">
                <anchor moveWithCells="1" sizeWithCells="1">
                  <from>
                    <xdr:col>6</xdr:col>
                    <xdr:colOff>0</xdr:colOff>
                    <xdr:row>5289</xdr:row>
                    <xdr:rowOff>0</xdr:rowOff>
                  </from>
                  <to>
                    <xdr:col>7</xdr:col>
                    <xdr:colOff>0</xdr:colOff>
                    <xdr:row>5289</xdr:row>
                    <xdr:rowOff>165100</xdr:rowOff>
                  </to>
                </anchor>
              </controlPr>
            </control>
          </mc:Choice>
        </mc:AlternateContent>
        <mc:AlternateContent xmlns:mc="http://schemas.openxmlformats.org/markup-compatibility/2006">
          <mc:Choice Requires="x14">
            <control shapeId="12568" r:id="rId2913" name="Button 1304">
              <controlPr defaultSize="0" autoFill="0" autoLine="0" autoPict="0" macro="[0]!Sheet1.deleteRow">
                <anchor moveWithCells="1" sizeWithCells="1">
                  <from>
                    <xdr:col>6</xdr:col>
                    <xdr:colOff>0</xdr:colOff>
                    <xdr:row>5290</xdr:row>
                    <xdr:rowOff>0</xdr:rowOff>
                  </from>
                  <to>
                    <xdr:col>7</xdr:col>
                    <xdr:colOff>0</xdr:colOff>
                    <xdr:row>5290</xdr:row>
                    <xdr:rowOff>165100</xdr:rowOff>
                  </to>
                </anchor>
              </controlPr>
            </control>
          </mc:Choice>
        </mc:AlternateContent>
        <mc:AlternateContent xmlns:mc="http://schemas.openxmlformats.org/markup-compatibility/2006">
          <mc:Choice Requires="x14">
            <control shapeId="12567" r:id="rId2914" name="Button 1303">
              <controlPr defaultSize="0" autoFill="0" autoLine="0" autoPict="0" macro="[0]!Sheet1.deleteRow">
                <anchor moveWithCells="1" sizeWithCells="1">
                  <from>
                    <xdr:col>6</xdr:col>
                    <xdr:colOff>0</xdr:colOff>
                    <xdr:row>5291</xdr:row>
                    <xdr:rowOff>0</xdr:rowOff>
                  </from>
                  <to>
                    <xdr:col>7</xdr:col>
                    <xdr:colOff>0</xdr:colOff>
                    <xdr:row>5291</xdr:row>
                    <xdr:rowOff>165100</xdr:rowOff>
                  </to>
                </anchor>
              </controlPr>
            </control>
          </mc:Choice>
        </mc:AlternateContent>
        <mc:AlternateContent xmlns:mc="http://schemas.openxmlformats.org/markup-compatibility/2006">
          <mc:Choice Requires="x14">
            <control shapeId="12566" r:id="rId2915" name="Button 1302">
              <controlPr defaultSize="0" autoFill="0" autoLine="0" autoPict="0" macro="[0]!Sheet1.deleteRow">
                <anchor moveWithCells="1" sizeWithCells="1">
                  <from>
                    <xdr:col>6</xdr:col>
                    <xdr:colOff>0</xdr:colOff>
                    <xdr:row>5292</xdr:row>
                    <xdr:rowOff>0</xdr:rowOff>
                  </from>
                  <to>
                    <xdr:col>7</xdr:col>
                    <xdr:colOff>0</xdr:colOff>
                    <xdr:row>5292</xdr:row>
                    <xdr:rowOff>165100</xdr:rowOff>
                  </to>
                </anchor>
              </controlPr>
            </control>
          </mc:Choice>
        </mc:AlternateContent>
        <mc:AlternateContent xmlns:mc="http://schemas.openxmlformats.org/markup-compatibility/2006">
          <mc:Choice Requires="x14">
            <control shapeId="12565" r:id="rId2916" name="Button 1301">
              <controlPr defaultSize="0" autoFill="0" autoLine="0" autoPict="0" macro="[0]!Sheet1.deleteRow">
                <anchor moveWithCells="1" sizeWithCells="1">
                  <from>
                    <xdr:col>6</xdr:col>
                    <xdr:colOff>0</xdr:colOff>
                    <xdr:row>5293</xdr:row>
                    <xdr:rowOff>0</xdr:rowOff>
                  </from>
                  <to>
                    <xdr:col>7</xdr:col>
                    <xdr:colOff>0</xdr:colOff>
                    <xdr:row>5293</xdr:row>
                    <xdr:rowOff>165100</xdr:rowOff>
                  </to>
                </anchor>
              </controlPr>
            </control>
          </mc:Choice>
        </mc:AlternateContent>
        <mc:AlternateContent xmlns:mc="http://schemas.openxmlformats.org/markup-compatibility/2006">
          <mc:Choice Requires="x14">
            <control shapeId="12564" r:id="rId2917" name="Button 1300">
              <controlPr defaultSize="0" autoFill="0" autoLine="0" autoPict="0" macro="[0]!Sheet1.deleteRow">
                <anchor moveWithCells="1" sizeWithCells="1">
                  <from>
                    <xdr:col>6</xdr:col>
                    <xdr:colOff>0</xdr:colOff>
                    <xdr:row>5294</xdr:row>
                    <xdr:rowOff>0</xdr:rowOff>
                  </from>
                  <to>
                    <xdr:col>7</xdr:col>
                    <xdr:colOff>0</xdr:colOff>
                    <xdr:row>5294</xdr:row>
                    <xdr:rowOff>165100</xdr:rowOff>
                  </to>
                </anchor>
              </controlPr>
            </control>
          </mc:Choice>
        </mc:AlternateContent>
        <mc:AlternateContent xmlns:mc="http://schemas.openxmlformats.org/markup-compatibility/2006">
          <mc:Choice Requires="x14">
            <control shapeId="12563" r:id="rId2918" name="Button 1299">
              <controlPr defaultSize="0" autoFill="0" autoLine="0" autoPict="0" macro="[0]!Sheet1.deleteRow">
                <anchor moveWithCells="1" sizeWithCells="1">
                  <from>
                    <xdr:col>6</xdr:col>
                    <xdr:colOff>0</xdr:colOff>
                    <xdr:row>5295</xdr:row>
                    <xdr:rowOff>0</xdr:rowOff>
                  </from>
                  <to>
                    <xdr:col>7</xdr:col>
                    <xdr:colOff>0</xdr:colOff>
                    <xdr:row>5295</xdr:row>
                    <xdr:rowOff>165100</xdr:rowOff>
                  </to>
                </anchor>
              </controlPr>
            </control>
          </mc:Choice>
        </mc:AlternateContent>
        <mc:AlternateContent xmlns:mc="http://schemas.openxmlformats.org/markup-compatibility/2006">
          <mc:Choice Requires="x14">
            <control shapeId="12562" r:id="rId2919" name="Button 1298">
              <controlPr defaultSize="0" autoFill="0" autoLine="0" autoPict="0" macro="[0]!Sheet1.deleteRow">
                <anchor moveWithCells="1" sizeWithCells="1">
                  <from>
                    <xdr:col>6</xdr:col>
                    <xdr:colOff>0</xdr:colOff>
                    <xdr:row>5296</xdr:row>
                    <xdr:rowOff>0</xdr:rowOff>
                  </from>
                  <to>
                    <xdr:col>7</xdr:col>
                    <xdr:colOff>0</xdr:colOff>
                    <xdr:row>5296</xdr:row>
                    <xdr:rowOff>165100</xdr:rowOff>
                  </to>
                </anchor>
              </controlPr>
            </control>
          </mc:Choice>
        </mc:AlternateContent>
        <mc:AlternateContent xmlns:mc="http://schemas.openxmlformats.org/markup-compatibility/2006">
          <mc:Choice Requires="x14">
            <control shapeId="12561" r:id="rId2920" name="Button 1297">
              <controlPr defaultSize="0" autoFill="0" autoLine="0" autoPict="0" macro="[0]!Sheet1.deleteRow">
                <anchor moveWithCells="1" sizeWithCells="1">
                  <from>
                    <xdr:col>6</xdr:col>
                    <xdr:colOff>0</xdr:colOff>
                    <xdr:row>5297</xdr:row>
                    <xdr:rowOff>0</xdr:rowOff>
                  </from>
                  <to>
                    <xdr:col>7</xdr:col>
                    <xdr:colOff>0</xdr:colOff>
                    <xdr:row>5297</xdr:row>
                    <xdr:rowOff>165100</xdr:rowOff>
                  </to>
                </anchor>
              </controlPr>
            </control>
          </mc:Choice>
        </mc:AlternateContent>
        <mc:AlternateContent xmlns:mc="http://schemas.openxmlformats.org/markup-compatibility/2006">
          <mc:Choice Requires="x14">
            <control shapeId="12560" r:id="rId2921" name="Button 1296">
              <controlPr defaultSize="0" autoFill="0" autoLine="0" autoPict="0" macro="[0]!Sheet1.deleteRow">
                <anchor moveWithCells="1" sizeWithCells="1">
                  <from>
                    <xdr:col>6</xdr:col>
                    <xdr:colOff>0</xdr:colOff>
                    <xdr:row>5298</xdr:row>
                    <xdr:rowOff>0</xdr:rowOff>
                  </from>
                  <to>
                    <xdr:col>7</xdr:col>
                    <xdr:colOff>0</xdr:colOff>
                    <xdr:row>5298</xdr:row>
                    <xdr:rowOff>165100</xdr:rowOff>
                  </to>
                </anchor>
              </controlPr>
            </control>
          </mc:Choice>
        </mc:AlternateContent>
        <mc:AlternateContent xmlns:mc="http://schemas.openxmlformats.org/markup-compatibility/2006">
          <mc:Choice Requires="x14">
            <control shapeId="12559" r:id="rId2922" name="Button 1295">
              <controlPr defaultSize="0" autoFill="0" autoLine="0" autoPict="0" macro="[0]!Sheet1.deleteRow">
                <anchor moveWithCells="1" sizeWithCells="1">
                  <from>
                    <xdr:col>6</xdr:col>
                    <xdr:colOff>0</xdr:colOff>
                    <xdr:row>5299</xdr:row>
                    <xdr:rowOff>0</xdr:rowOff>
                  </from>
                  <to>
                    <xdr:col>7</xdr:col>
                    <xdr:colOff>0</xdr:colOff>
                    <xdr:row>5299</xdr:row>
                    <xdr:rowOff>165100</xdr:rowOff>
                  </to>
                </anchor>
              </controlPr>
            </control>
          </mc:Choice>
        </mc:AlternateContent>
        <mc:AlternateContent xmlns:mc="http://schemas.openxmlformats.org/markup-compatibility/2006">
          <mc:Choice Requires="x14">
            <control shapeId="12558" r:id="rId2923" name="Button 1294">
              <controlPr defaultSize="0" autoFill="0" autoLine="0" autoPict="0" macro="[0]!Sheet1.deleteProcedure">
                <anchor moveWithCells="1" sizeWithCells="1">
                  <from>
                    <xdr:col>6</xdr:col>
                    <xdr:colOff>0</xdr:colOff>
                    <xdr:row>5302</xdr:row>
                    <xdr:rowOff>0</xdr:rowOff>
                  </from>
                  <to>
                    <xdr:col>7</xdr:col>
                    <xdr:colOff>0</xdr:colOff>
                    <xdr:row>5303</xdr:row>
                    <xdr:rowOff>0</xdr:rowOff>
                  </to>
                </anchor>
              </controlPr>
            </control>
          </mc:Choice>
        </mc:AlternateContent>
        <mc:AlternateContent xmlns:mc="http://schemas.openxmlformats.org/markup-compatibility/2006">
          <mc:Choice Requires="x14">
            <control shapeId="12557" r:id="rId2924" name="Button 1293">
              <controlPr defaultSize="0" autoFill="0" autoLine="0" autoPict="0" macro="[0]!Sheet1.InsertNewTableRow">
                <anchor moveWithCells="1" sizeWithCells="1">
                  <from>
                    <xdr:col>6</xdr:col>
                    <xdr:colOff>0</xdr:colOff>
                    <xdr:row>5309</xdr:row>
                    <xdr:rowOff>0</xdr:rowOff>
                  </from>
                  <to>
                    <xdr:col>7</xdr:col>
                    <xdr:colOff>0</xdr:colOff>
                    <xdr:row>5309</xdr:row>
                    <xdr:rowOff>171450</xdr:rowOff>
                  </to>
                </anchor>
              </controlPr>
            </control>
          </mc:Choice>
        </mc:AlternateContent>
        <mc:AlternateContent xmlns:mc="http://schemas.openxmlformats.org/markup-compatibility/2006">
          <mc:Choice Requires="x14">
            <control shapeId="12556" r:id="rId2925" name="Button 1292">
              <controlPr defaultSize="0" autoFill="0" autoLine="0" autoPict="0" macro="[0]!Sheet1.deleteRow">
                <anchor moveWithCells="1" sizeWithCells="1">
                  <from>
                    <xdr:col>6</xdr:col>
                    <xdr:colOff>0</xdr:colOff>
                    <xdr:row>5310</xdr:row>
                    <xdr:rowOff>0</xdr:rowOff>
                  </from>
                  <to>
                    <xdr:col>7</xdr:col>
                    <xdr:colOff>0</xdr:colOff>
                    <xdr:row>5310</xdr:row>
                    <xdr:rowOff>165100</xdr:rowOff>
                  </to>
                </anchor>
              </controlPr>
            </control>
          </mc:Choice>
        </mc:AlternateContent>
        <mc:AlternateContent xmlns:mc="http://schemas.openxmlformats.org/markup-compatibility/2006">
          <mc:Choice Requires="x14">
            <control shapeId="12555" r:id="rId2926" name="Button 1291">
              <controlPr defaultSize="0" autoFill="0" autoLine="0" autoPict="0" macro="[0]!Sheet1.deleteRow">
                <anchor moveWithCells="1" sizeWithCells="1">
                  <from>
                    <xdr:col>6</xdr:col>
                    <xdr:colOff>0</xdr:colOff>
                    <xdr:row>5311</xdr:row>
                    <xdr:rowOff>0</xdr:rowOff>
                  </from>
                  <to>
                    <xdr:col>7</xdr:col>
                    <xdr:colOff>0</xdr:colOff>
                    <xdr:row>5311</xdr:row>
                    <xdr:rowOff>165100</xdr:rowOff>
                  </to>
                </anchor>
              </controlPr>
            </control>
          </mc:Choice>
        </mc:AlternateContent>
        <mc:AlternateContent xmlns:mc="http://schemas.openxmlformats.org/markup-compatibility/2006">
          <mc:Choice Requires="x14">
            <control shapeId="12554" r:id="rId2927" name="Button 1290">
              <controlPr defaultSize="0" autoFill="0" autoLine="0" autoPict="0" macro="[0]!Sheet1.deleteRow">
                <anchor moveWithCells="1" sizeWithCells="1">
                  <from>
                    <xdr:col>6</xdr:col>
                    <xdr:colOff>0</xdr:colOff>
                    <xdr:row>5312</xdr:row>
                    <xdr:rowOff>0</xdr:rowOff>
                  </from>
                  <to>
                    <xdr:col>7</xdr:col>
                    <xdr:colOff>0</xdr:colOff>
                    <xdr:row>5312</xdr:row>
                    <xdr:rowOff>165100</xdr:rowOff>
                  </to>
                </anchor>
              </controlPr>
            </control>
          </mc:Choice>
        </mc:AlternateContent>
        <mc:AlternateContent xmlns:mc="http://schemas.openxmlformats.org/markup-compatibility/2006">
          <mc:Choice Requires="x14">
            <control shapeId="12553" r:id="rId2928" name="Button 1289">
              <controlPr defaultSize="0" autoFill="0" autoLine="0" autoPict="0" macro="[0]!Sheet1.deleteRow">
                <anchor moveWithCells="1" sizeWithCells="1">
                  <from>
                    <xdr:col>6</xdr:col>
                    <xdr:colOff>0</xdr:colOff>
                    <xdr:row>5313</xdr:row>
                    <xdr:rowOff>0</xdr:rowOff>
                  </from>
                  <to>
                    <xdr:col>7</xdr:col>
                    <xdr:colOff>0</xdr:colOff>
                    <xdr:row>5313</xdr:row>
                    <xdr:rowOff>165100</xdr:rowOff>
                  </to>
                </anchor>
              </controlPr>
            </control>
          </mc:Choice>
        </mc:AlternateContent>
        <mc:AlternateContent xmlns:mc="http://schemas.openxmlformats.org/markup-compatibility/2006">
          <mc:Choice Requires="x14">
            <control shapeId="12552" r:id="rId2929" name="Button 1288">
              <controlPr defaultSize="0" autoFill="0" autoLine="0" autoPict="0" macro="[0]!Sheet1.deleteRow">
                <anchor moveWithCells="1" sizeWithCells="1">
                  <from>
                    <xdr:col>6</xdr:col>
                    <xdr:colOff>0</xdr:colOff>
                    <xdr:row>5314</xdr:row>
                    <xdr:rowOff>0</xdr:rowOff>
                  </from>
                  <to>
                    <xdr:col>7</xdr:col>
                    <xdr:colOff>0</xdr:colOff>
                    <xdr:row>5314</xdr:row>
                    <xdr:rowOff>165100</xdr:rowOff>
                  </to>
                </anchor>
              </controlPr>
            </control>
          </mc:Choice>
        </mc:AlternateContent>
        <mc:AlternateContent xmlns:mc="http://schemas.openxmlformats.org/markup-compatibility/2006">
          <mc:Choice Requires="x14">
            <control shapeId="12551" r:id="rId2930" name="Button 1287">
              <controlPr defaultSize="0" autoFill="0" autoLine="0" autoPict="0" macro="[0]!Sheet1.deleteRow">
                <anchor moveWithCells="1" sizeWithCells="1">
                  <from>
                    <xdr:col>6</xdr:col>
                    <xdr:colOff>0</xdr:colOff>
                    <xdr:row>5315</xdr:row>
                    <xdr:rowOff>0</xdr:rowOff>
                  </from>
                  <to>
                    <xdr:col>7</xdr:col>
                    <xdr:colOff>0</xdr:colOff>
                    <xdr:row>5315</xdr:row>
                    <xdr:rowOff>165100</xdr:rowOff>
                  </to>
                </anchor>
              </controlPr>
            </control>
          </mc:Choice>
        </mc:AlternateContent>
        <mc:AlternateContent xmlns:mc="http://schemas.openxmlformats.org/markup-compatibility/2006">
          <mc:Choice Requires="x14">
            <control shapeId="12550" r:id="rId2931" name="Button 1286">
              <controlPr defaultSize="0" autoFill="0" autoLine="0" autoPict="0" macro="[0]!Sheet1.deleteRow">
                <anchor moveWithCells="1" sizeWithCells="1">
                  <from>
                    <xdr:col>6</xdr:col>
                    <xdr:colOff>0</xdr:colOff>
                    <xdr:row>5316</xdr:row>
                    <xdr:rowOff>0</xdr:rowOff>
                  </from>
                  <to>
                    <xdr:col>7</xdr:col>
                    <xdr:colOff>0</xdr:colOff>
                    <xdr:row>5316</xdr:row>
                    <xdr:rowOff>165100</xdr:rowOff>
                  </to>
                </anchor>
              </controlPr>
            </control>
          </mc:Choice>
        </mc:AlternateContent>
        <mc:AlternateContent xmlns:mc="http://schemas.openxmlformats.org/markup-compatibility/2006">
          <mc:Choice Requires="x14">
            <control shapeId="12549" r:id="rId2932" name="Button 1285">
              <controlPr defaultSize="0" autoFill="0" autoLine="0" autoPict="0" macro="[0]!Sheet1.deleteRow">
                <anchor moveWithCells="1" sizeWithCells="1">
                  <from>
                    <xdr:col>6</xdr:col>
                    <xdr:colOff>0</xdr:colOff>
                    <xdr:row>5317</xdr:row>
                    <xdr:rowOff>0</xdr:rowOff>
                  </from>
                  <to>
                    <xdr:col>7</xdr:col>
                    <xdr:colOff>0</xdr:colOff>
                    <xdr:row>5317</xdr:row>
                    <xdr:rowOff>165100</xdr:rowOff>
                  </to>
                </anchor>
              </controlPr>
            </control>
          </mc:Choice>
        </mc:AlternateContent>
        <mc:AlternateContent xmlns:mc="http://schemas.openxmlformats.org/markup-compatibility/2006">
          <mc:Choice Requires="x14">
            <control shapeId="12548" r:id="rId2933" name="Button 1284">
              <controlPr defaultSize="0" autoFill="0" autoLine="0" autoPict="0" macro="[0]!Sheet1.deleteRow">
                <anchor moveWithCells="1" sizeWithCells="1">
                  <from>
                    <xdr:col>6</xdr:col>
                    <xdr:colOff>0</xdr:colOff>
                    <xdr:row>5318</xdr:row>
                    <xdr:rowOff>0</xdr:rowOff>
                  </from>
                  <to>
                    <xdr:col>7</xdr:col>
                    <xdr:colOff>0</xdr:colOff>
                    <xdr:row>5318</xdr:row>
                    <xdr:rowOff>165100</xdr:rowOff>
                  </to>
                </anchor>
              </controlPr>
            </control>
          </mc:Choice>
        </mc:AlternateContent>
        <mc:AlternateContent xmlns:mc="http://schemas.openxmlformats.org/markup-compatibility/2006">
          <mc:Choice Requires="x14">
            <control shapeId="12547" r:id="rId2934" name="Button 1283">
              <controlPr defaultSize="0" autoFill="0" autoLine="0" autoPict="0" macro="[0]!Sheet1.deleteRow">
                <anchor moveWithCells="1" sizeWithCells="1">
                  <from>
                    <xdr:col>6</xdr:col>
                    <xdr:colOff>0</xdr:colOff>
                    <xdr:row>5319</xdr:row>
                    <xdr:rowOff>0</xdr:rowOff>
                  </from>
                  <to>
                    <xdr:col>7</xdr:col>
                    <xdr:colOff>0</xdr:colOff>
                    <xdr:row>5319</xdr:row>
                    <xdr:rowOff>165100</xdr:rowOff>
                  </to>
                </anchor>
              </controlPr>
            </control>
          </mc:Choice>
        </mc:AlternateContent>
        <mc:AlternateContent xmlns:mc="http://schemas.openxmlformats.org/markup-compatibility/2006">
          <mc:Choice Requires="x14">
            <control shapeId="12546" r:id="rId2935" name="Button 1282">
              <controlPr defaultSize="0" autoFill="0" autoLine="0" autoPict="0" macro="[0]!Sheet1.deleteRow">
                <anchor moveWithCells="1" sizeWithCells="1">
                  <from>
                    <xdr:col>6</xdr:col>
                    <xdr:colOff>0</xdr:colOff>
                    <xdr:row>5320</xdr:row>
                    <xdr:rowOff>0</xdr:rowOff>
                  </from>
                  <to>
                    <xdr:col>7</xdr:col>
                    <xdr:colOff>0</xdr:colOff>
                    <xdr:row>5320</xdr:row>
                    <xdr:rowOff>165100</xdr:rowOff>
                  </to>
                </anchor>
              </controlPr>
            </control>
          </mc:Choice>
        </mc:AlternateContent>
        <mc:AlternateContent xmlns:mc="http://schemas.openxmlformats.org/markup-compatibility/2006">
          <mc:Choice Requires="x14">
            <control shapeId="12545" r:id="rId2936" name="Button 1281">
              <controlPr defaultSize="0" autoFill="0" autoLine="0" autoPict="0" macro="[0]!Sheet1.deleteRow">
                <anchor moveWithCells="1" sizeWithCells="1">
                  <from>
                    <xdr:col>6</xdr:col>
                    <xdr:colOff>0</xdr:colOff>
                    <xdr:row>5321</xdr:row>
                    <xdr:rowOff>0</xdr:rowOff>
                  </from>
                  <to>
                    <xdr:col>7</xdr:col>
                    <xdr:colOff>0</xdr:colOff>
                    <xdr:row>5321</xdr:row>
                    <xdr:rowOff>165100</xdr:rowOff>
                  </to>
                </anchor>
              </controlPr>
            </control>
          </mc:Choice>
        </mc:AlternateContent>
        <mc:AlternateContent xmlns:mc="http://schemas.openxmlformats.org/markup-compatibility/2006">
          <mc:Choice Requires="x14">
            <control shapeId="12544" r:id="rId2937" name="Button 1280">
              <controlPr defaultSize="0" autoFill="0" autoLine="0" autoPict="0" macro="[0]!Sheet1.deleteRow">
                <anchor moveWithCells="1" sizeWithCells="1">
                  <from>
                    <xdr:col>6</xdr:col>
                    <xdr:colOff>0</xdr:colOff>
                    <xdr:row>5322</xdr:row>
                    <xdr:rowOff>0</xdr:rowOff>
                  </from>
                  <to>
                    <xdr:col>7</xdr:col>
                    <xdr:colOff>0</xdr:colOff>
                    <xdr:row>5322</xdr:row>
                    <xdr:rowOff>165100</xdr:rowOff>
                  </to>
                </anchor>
              </controlPr>
            </control>
          </mc:Choice>
        </mc:AlternateContent>
        <mc:AlternateContent xmlns:mc="http://schemas.openxmlformats.org/markup-compatibility/2006">
          <mc:Choice Requires="x14">
            <control shapeId="12543" r:id="rId2938" name="Button 1279">
              <controlPr defaultSize="0" autoFill="0" autoLine="0" autoPict="0" macro="[0]!Sheet1.deleteRow">
                <anchor moveWithCells="1" sizeWithCells="1">
                  <from>
                    <xdr:col>6</xdr:col>
                    <xdr:colOff>0</xdr:colOff>
                    <xdr:row>5323</xdr:row>
                    <xdr:rowOff>0</xdr:rowOff>
                  </from>
                  <to>
                    <xdr:col>7</xdr:col>
                    <xdr:colOff>0</xdr:colOff>
                    <xdr:row>5323</xdr:row>
                    <xdr:rowOff>165100</xdr:rowOff>
                  </to>
                </anchor>
              </controlPr>
            </control>
          </mc:Choice>
        </mc:AlternateContent>
        <mc:AlternateContent xmlns:mc="http://schemas.openxmlformats.org/markup-compatibility/2006">
          <mc:Choice Requires="x14">
            <control shapeId="12542" r:id="rId2939" name="Button 1278">
              <controlPr defaultSize="0" autoFill="0" autoLine="0" autoPict="0" macro="[0]!Sheet1.deleteRow">
                <anchor moveWithCells="1" sizeWithCells="1">
                  <from>
                    <xdr:col>6</xdr:col>
                    <xdr:colOff>0</xdr:colOff>
                    <xdr:row>5324</xdr:row>
                    <xdr:rowOff>0</xdr:rowOff>
                  </from>
                  <to>
                    <xdr:col>7</xdr:col>
                    <xdr:colOff>0</xdr:colOff>
                    <xdr:row>5324</xdr:row>
                    <xdr:rowOff>165100</xdr:rowOff>
                  </to>
                </anchor>
              </controlPr>
            </control>
          </mc:Choice>
        </mc:AlternateContent>
        <mc:AlternateContent xmlns:mc="http://schemas.openxmlformats.org/markup-compatibility/2006">
          <mc:Choice Requires="x14">
            <control shapeId="12541" r:id="rId2940" name="Button 1277">
              <controlPr defaultSize="0" autoFill="0" autoLine="0" autoPict="0" macro="[0]!Sheet1.deleteRow">
                <anchor moveWithCells="1" sizeWithCells="1">
                  <from>
                    <xdr:col>6</xdr:col>
                    <xdr:colOff>0</xdr:colOff>
                    <xdr:row>5325</xdr:row>
                    <xdr:rowOff>0</xdr:rowOff>
                  </from>
                  <to>
                    <xdr:col>7</xdr:col>
                    <xdr:colOff>0</xdr:colOff>
                    <xdr:row>5325</xdr:row>
                    <xdr:rowOff>165100</xdr:rowOff>
                  </to>
                </anchor>
              </controlPr>
            </control>
          </mc:Choice>
        </mc:AlternateContent>
        <mc:AlternateContent xmlns:mc="http://schemas.openxmlformats.org/markup-compatibility/2006">
          <mc:Choice Requires="x14">
            <control shapeId="12540" r:id="rId2941" name="Button 1276">
              <controlPr defaultSize="0" autoFill="0" autoLine="0" autoPict="0" macro="[0]!Sheet1.deleteRow">
                <anchor moveWithCells="1" sizeWithCells="1">
                  <from>
                    <xdr:col>6</xdr:col>
                    <xdr:colOff>0</xdr:colOff>
                    <xdr:row>5326</xdr:row>
                    <xdr:rowOff>0</xdr:rowOff>
                  </from>
                  <to>
                    <xdr:col>7</xdr:col>
                    <xdr:colOff>0</xdr:colOff>
                    <xdr:row>5326</xdr:row>
                    <xdr:rowOff>165100</xdr:rowOff>
                  </to>
                </anchor>
              </controlPr>
            </control>
          </mc:Choice>
        </mc:AlternateContent>
        <mc:AlternateContent xmlns:mc="http://schemas.openxmlformats.org/markup-compatibility/2006">
          <mc:Choice Requires="x14">
            <control shapeId="12539" r:id="rId2942" name="Button 1275">
              <controlPr defaultSize="0" autoFill="0" autoLine="0" autoPict="0" macro="[0]!Sheet1.deleteRow">
                <anchor moveWithCells="1" sizeWithCells="1">
                  <from>
                    <xdr:col>6</xdr:col>
                    <xdr:colOff>0</xdr:colOff>
                    <xdr:row>5327</xdr:row>
                    <xdr:rowOff>0</xdr:rowOff>
                  </from>
                  <to>
                    <xdr:col>7</xdr:col>
                    <xdr:colOff>0</xdr:colOff>
                    <xdr:row>5327</xdr:row>
                    <xdr:rowOff>165100</xdr:rowOff>
                  </to>
                </anchor>
              </controlPr>
            </control>
          </mc:Choice>
        </mc:AlternateContent>
        <mc:AlternateContent xmlns:mc="http://schemas.openxmlformats.org/markup-compatibility/2006">
          <mc:Choice Requires="x14">
            <control shapeId="12538" r:id="rId2943" name="Button 1274">
              <controlPr defaultSize="0" autoFill="0" autoLine="0" autoPict="0" macro="[0]!Sheet1.deleteRow">
                <anchor moveWithCells="1" sizeWithCells="1">
                  <from>
                    <xdr:col>6</xdr:col>
                    <xdr:colOff>0</xdr:colOff>
                    <xdr:row>5328</xdr:row>
                    <xdr:rowOff>0</xdr:rowOff>
                  </from>
                  <to>
                    <xdr:col>7</xdr:col>
                    <xdr:colOff>0</xdr:colOff>
                    <xdr:row>5328</xdr:row>
                    <xdr:rowOff>165100</xdr:rowOff>
                  </to>
                </anchor>
              </controlPr>
            </control>
          </mc:Choice>
        </mc:AlternateContent>
        <mc:AlternateContent xmlns:mc="http://schemas.openxmlformats.org/markup-compatibility/2006">
          <mc:Choice Requires="x14">
            <control shapeId="12537" r:id="rId2944" name="Button 1273">
              <controlPr defaultSize="0" autoFill="0" autoLine="0" autoPict="0" macro="[0]!Sheet1.deleteRow">
                <anchor moveWithCells="1" sizeWithCells="1">
                  <from>
                    <xdr:col>6</xdr:col>
                    <xdr:colOff>0</xdr:colOff>
                    <xdr:row>5329</xdr:row>
                    <xdr:rowOff>0</xdr:rowOff>
                  </from>
                  <to>
                    <xdr:col>7</xdr:col>
                    <xdr:colOff>0</xdr:colOff>
                    <xdr:row>5329</xdr:row>
                    <xdr:rowOff>165100</xdr:rowOff>
                  </to>
                </anchor>
              </controlPr>
            </control>
          </mc:Choice>
        </mc:AlternateContent>
        <mc:AlternateContent xmlns:mc="http://schemas.openxmlformats.org/markup-compatibility/2006">
          <mc:Choice Requires="x14">
            <control shapeId="12536" r:id="rId2945" name="Button 1272">
              <controlPr defaultSize="0" autoFill="0" autoLine="0" autoPict="0" macro="[0]!Sheet1.deleteProcedure">
                <anchor moveWithCells="1" sizeWithCells="1">
                  <from>
                    <xdr:col>6</xdr:col>
                    <xdr:colOff>0</xdr:colOff>
                    <xdr:row>5332</xdr:row>
                    <xdr:rowOff>0</xdr:rowOff>
                  </from>
                  <to>
                    <xdr:col>7</xdr:col>
                    <xdr:colOff>0</xdr:colOff>
                    <xdr:row>5333</xdr:row>
                    <xdr:rowOff>0</xdr:rowOff>
                  </to>
                </anchor>
              </controlPr>
            </control>
          </mc:Choice>
        </mc:AlternateContent>
        <mc:AlternateContent xmlns:mc="http://schemas.openxmlformats.org/markup-compatibility/2006">
          <mc:Choice Requires="x14">
            <control shapeId="12535" r:id="rId2946" name="Button 1271">
              <controlPr defaultSize="0" autoFill="0" autoLine="0" autoPict="0" macro="[0]!Sheet1.InsertNewTableRow">
                <anchor moveWithCells="1" sizeWithCells="1">
                  <from>
                    <xdr:col>6</xdr:col>
                    <xdr:colOff>0</xdr:colOff>
                    <xdr:row>5339</xdr:row>
                    <xdr:rowOff>0</xdr:rowOff>
                  </from>
                  <to>
                    <xdr:col>7</xdr:col>
                    <xdr:colOff>0</xdr:colOff>
                    <xdr:row>5339</xdr:row>
                    <xdr:rowOff>171450</xdr:rowOff>
                  </to>
                </anchor>
              </controlPr>
            </control>
          </mc:Choice>
        </mc:AlternateContent>
        <mc:AlternateContent xmlns:mc="http://schemas.openxmlformats.org/markup-compatibility/2006">
          <mc:Choice Requires="x14">
            <control shapeId="12534" r:id="rId2947" name="Button 1270">
              <controlPr defaultSize="0" autoFill="0" autoLine="0" autoPict="0" macro="[0]!Sheet1.deleteRow">
                <anchor moveWithCells="1" sizeWithCells="1">
                  <from>
                    <xdr:col>6</xdr:col>
                    <xdr:colOff>0</xdr:colOff>
                    <xdr:row>5340</xdr:row>
                    <xdr:rowOff>0</xdr:rowOff>
                  </from>
                  <to>
                    <xdr:col>7</xdr:col>
                    <xdr:colOff>0</xdr:colOff>
                    <xdr:row>5340</xdr:row>
                    <xdr:rowOff>165100</xdr:rowOff>
                  </to>
                </anchor>
              </controlPr>
            </control>
          </mc:Choice>
        </mc:AlternateContent>
        <mc:AlternateContent xmlns:mc="http://schemas.openxmlformats.org/markup-compatibility/2006">
          <mc:Choice Requires="x14">
            <control shapeId="12533" r:id="rId2948" name="Button 1269">
              <controlPr defaultSize="0" autoFill="0" autoLine="0" autoPict="0" macro="[0]!Sheet1.deleteRow">
                <anchor moveWithCells="1" sizeWithCells="1">
                  <from>
                    <xdr:col>6</xdr:col>
                    <xdr:colOff>0</xdr:colOff>
                    <xdr:row>5341</xdr:row>
                    <xdr:rowOff>0</xdr:rowOff>
                  </from>
                  <to>
                    <xdr:col>7</xdr:col>
                    <xdr:colOff>0</xdr:colOff>
                    <xdr:row>5341</xdr:row>
                    <xdr:rowOff>165100</xdr:rowOff>
                  </to>
                </anchor>
              </controlPr>
            </control>
          </mc:Choice>
        </mc:AlternateContent>
        <mc:AlternateContent xmlns:mc="http://schemas.openxmlformats.org/markup-compatibility/2006">
          <mc:Choice Requires="x14">
            <control shapeId="12532" r:id="rId2949" name="Button 1268">
              <controlPr defaultSize="0" autoFill="0" autoLine="0" autoPict="0" macro="[0]!Sheet1.deleteRow">
                <anchor moveWithCells="1" sizeWithCells="1">
                  <from>
                    <xdr:col>6</xdr:col>
                    <xdr:colOff>0</xdr:colOff>
                    <xdr:row>5342</xdr:row>
                    <xdr:rowOff>0</xdr:rowOff>
                  </from>
                  <to>
                    <xdr:col>7</xdr:col>
                    <xdr:colOff>0</xdr:colOff>
                    <xdr:row>5342</xdr:row>
                    <xdr:rowOff>165100</xdr:rowOff>
                  </to>
                </anchor>
              </controlPr>
            </control>
          </mc:Choice>
        </mc:AlternateContent>
        <mc:AlternateContent xmlns:mc="http://schemas.openxmlformats.org/markup-compatibility/2006">
          <mc:Choice Requires="x14">
            <control shapeId="12531" r:id="rId2950" name="Button 1267">
              <controlPr defaultSize="0" autoFill="0" autoLine="0" autoPict="0" macro="[0]!Sheet1.deleteRow">
                <anchor moveWithCells="1" sizeWithCells="1">
                  <from>
                    <xdr:col>6</xdr:col>
                    <xdr:colOff>0</xdr:colOff>
                    <xdr:row>5343</xdr:row>
                    <xdr:rowOff>0</xdr:rowOff>
                  </from>
                  <to>
                    <xdr:col>7</xdr:col>
                    <xdr:colOff>0</xdr:colOff>
                    <xdr:row>5343</xdr:row>
                    <xdr:rowOff>165100</xdr:rowOff>
                  </to>
                </anchor>
              </controlPr>
            </control>
          </mc:Choice>
        </mc:AlternateContent>
        <mc:AlternateContent xmlns:mc="http://schemas.openxmlformats.org/markup-compatibility/2006">
          <mc:Choice Requires="x14">
            <control shapeId="12530" r:id="rId2951" name="Button 1266">
              <controlPr defaultSize="0" autoFill="0" autoLine="0" autoPict="0" macro="[0]!Sheet1.deleteRow">
                <anchor moveWithCells="1" sizeWithCells="1">
                  <from>
                    <xdr:col>6</xdr:col>
                    <xdr:colOff>0</xdr:colOff>
                    <xdr:row>5344</xdr:row>
                    <xdr:rowOff>0</xdr:rowOff>
                  </from>
                  <to>
                    <xdr:col>7</xdr:col>
                    <xdr:colOff>0</xdr:colOff>
                    <xdr:row>5344</xdr:row>
                    <xdr:rowOff>165100</xdr:rowOff>
                  </to>
                </anchor>
              </controlPr>
            </control>
          </mc:Choice>
        </mc:AlternateContent>
        <mc:AlternateContent xmlns:mc="http://schemas.openxmlformats.org/markup-compatibility/2006">
          <mc:Choice Requires="x14">
            <control shapeId="12529" r:id="rId2952" name="Button 1265">
              <controlPr defaultSize="0" autoFill="0" autoLine="0" autoPict="0" macro="[0]!Sheet1.deleteRow">
                <anchor moveWithCells="1" sizeWithCells="1">
                  <from>
                    <xdr:col>6</xdr:col>
                    <xdr:colOff>0</xdr:colOff>
                    <xdr:row>5345</xdr:row>
                    <xdr:rowOff>0</xdr:rowOff>
                  </from>
                  <to>
                    <xdr:col>7</xdr:col>
                    <xdr:colOff>0</xdr:colOff>
                    <xdr:row>5345</xdr:row>
                    <xdr:rowOff>165100</xdr:rowOff>
                  </to>
                </anchor>
              </controlPr>
            </control>
          </mc:Choice>
        </mc:AlternateContent>
        <mc:AlternateContent xmlns:mc="http://schemas.openxmlformats.org/markup-compatibility/2006">
          <mc:Choice Requires="x14">
            <control shapeId="12528" r:id="rId2953" name="Button 1264">
              <controlPr defaultSize="0" autoFill="0" autoLine="0" autoPict="0" macro="[0]!Sheet1.deleteRow">
                <anchor moveWithCells="1" sizeWithCells="1">
                  <from>
                    <xdr:col>6</xdr:col>
                    <xdr:colOff>0</xdr:colOff>
                    <xdr:row>5346</xdr:row>
                    <xdr:rowOff>0</xdr:rowOff>
                  </from>
                  <to>
                    <xdr:col>7</xdr:col>
                    <xdr:colOff>0</xdr:colOff>
                    <xdr:row>5346</xdr:row>
                    <xdr:rowOff>165100</xdr:rowOff>
                  </to>
                </anchor>
              </controlPr>
            </control>
          </mc:Choice>
        </mc:AlternateContent>
        <mc:AlternateContent xmlns:mc="http://schemas.openxmlformats.org/markup-compatibility/2006">
          <mc:Choice Requires="x14">
            <control shapeId="12527" r:id="rId2954" name="Button 1263">
              <controlPr defaultSize="0" autoFill="0" autoLine="0" autoPict="0" macro="[0]!Sheet1.deleteRow">
                <anchor moveWithCells="1" sizeWithCells="1">
                  <from>
                    <xdr:col>6</xdr:col>
                    <xdr:colOff>0</xdr:colOff>
                    <xdr:row>5347</xdr:row>
                    <xdr:rowOff>0</xdr:rowOff>
                  </from>
                  <to>
                    <xdr:col>7</xdr:col>
                    <xdr:colOff>0</xdr:colOff>
                    <xdr:row>5347</xdr:row>
                    <xdr:rowOff>165100</xdr:rowOff>
                  </to>
                </anchor>
              </controlPr>
            </control>
          </mc:Choice>
        </mc:AlternateContent>
        <mc:AlternateContent xmlns:mc="http://schemas.openxmlformats.org/markup-compatibility/2006">
          <mc:Choice Requires="x14">
            <control shapeId="12526" r:id="rId2955" name="Button 1262">
              <controlPr defaultSize="0" autoFill="0" autoLine="0" autoPict="0" macro="[0]!Sheet1.deleteRow">
                <anchor moveWithCells="1" sizeWithCells="1">
                  <from>
                    <xdr:col>6</xdr:col>
                    <xdr:colOff>0</xdr:colOff>
                    <xdr:row>5348</xdr:row>
                    <xdr:rowOff>0</xdr:rowOff>
                  </from>
                  <to>
                    <xdr:col>7</xdr:col>
                    <xdr:colOff>0</xdr:colOff>
                    <xdr:row>5348</xdr:row>
                    <xdr:rowOff>165100</xdr:rowOff>
                  </to>
                </anchor>
              </controlPr>
            </control>
          </mc:Choice>
        </mc:AlternateContent>
        <mc:AlternateContent xmlns:mc="http://schemas.openxmlformats.org/markup-compatibility/2006">
          <mc:Choice Requires="x14">
            <control shapeId="12525" r:id="rId2956" name="Button 1261">
              <controlPr defaultSize="0" autoFill="0" autoLine="0" autoPict="0" macro="[0]!Sheet1.deleteRow">
                <anchor moveWithCells="1" sizeWithCells="1">
                  <from>
                    <xdr:col>6</xdr:col>
                    <xdr:colOff>0</xdr:colOff>
                    <xdr:row>5349</xdr:row>
                    <xdr:rowOff>0</xdr:rowOff>
                  </from>
                  <to>
                    <xdr:col>7</xdr:col>
                    <xdr:colOff>0</xdr:colOff>
                    <xdr:row>5349</xdr:row>
                    <xdr:rowOff>165100</xdr:rowOff>
                  </to>
                </anchor>
              </controlPr>
            </control>
          </mc:Choice>
        </mc:AlternateContent>
        <mc:AlternateContent xmlns:mc="http://schemas.openxmlformats.org/markup-compatibility/2006">
          <mc:Choice Requires="x14">
            <control shapeId="12524" r:id="rId2957" name="Button 1260">
              <controlPr defaultSize="0" autoFill="0" autoLine="0" autoPict="0" macro="[0]!Sheet1.deleteRow">
                <anchor moveWithCells="1" sizeWithCells="1">
                  <from>
                    <xdr:col>6</xdr:col>
                    <xdr:colOff>0</xdr:colOff>
                    <xdr:row>5350</xdr:row>
                    <xdr:rowOff>0</xdr:rowOff>
                  </from>
                  <to>
                    <xdr:col>7</xdr:col>
                    <xdr:colOff>0</xdr:colOff>
                    <xdr:row>5350</xdr:row>
                    <xdr:rowOff>165100</xdr:rowOff>
                  </to>
                </anchor>
              </controlPr>
            </control>
          </mc:Choice>
        </mc:AlternateContent>
        <mc:AlternateContent xmlns:mc="http://schemas.openxmlformats.org/markup-compatibility/2006">
          <mc:Choice Requires="x14">
            <control shapeId="12523" r:id="rId2958" name="Button 1259">
              <controlPr defaultSize="0" autoFill="0" autoLine="0" autoPict="0" macro="[0]!Sheet1.deleteRow">
                <anchor moveWithCells="1" sizeWithCells="1">
                  <from>
                    <xdr:col>6</xdr:col>
                    <xdr:colOff>0</xdr:colOff>
                    <xdr:row>5351</xdr:row>
                    <xdr:rowOff>0</xdr:rowOff>
                  </from>
                  <to>
                    <xdr:col>7</xdr:col>
                    <xdr:colOff>0</xdr:colOff>
                    <xdr:row>5351</xdr:row>
                    <xdr:rowOff>165100</xdr:rowOff>
                  </to>
                </anchor>
              </controlPr>
            </control>
          </mc:Choice>
        </mc:AlternateContent>
        <mc:AlternateContent xmlns:mc="http://schemas.openxmlformats.org/markup-compatibility/2006">
          <mc:Choice Requires="x14">
            <control shapeId="12522" r:id="rId2959" name="Button 1258">
              <controlPr defaultSize="0" autoFill="0" autoLine="0" autoPict="0" macro="[0]!Sheet1.deleteRow">
                <anchor moveWithCells="1" sizeWithCells="1">
                  <from>
                    <xdr:col>6</xdr:col>
                    <xdr:colOff>0</xdr:colOff>
                    <xdr:row>5352</xdr:row>
                    <xdr:rowOff>0</xdr:rowOff>
                  </from>
                  <to>
                    <xdr:col>7</xdr:col>
                    <xdr:colOff>0</xdr:colOff>
                    <xdr:row>5352</xdr:row>
                    <xdr:rowOff>165100</xdr:rowOff>
                  </to>
                </anchor>
              </controlPr>
            </control>
          </mc:Choice>
        </mc:AlternateContent>
        <mc:AlternateContent xmlns:mc="http://schemas.openxmlformats.org/markup-compatibility/2006">
          <mc:Choice Requires="x14">
            <control shapeId="12521" r:id="rId2960" name="Button 1257">
              <controlPr defaultSize="0" autoFill="0" autoLine="0" autoPict="0" macro="[0]!Sheet1.deleteRow">
                <anchor moveWithCells="1" sizeWithCells="1">
                  <from>
                    <xdr:col>6</xdr:col>
                    <xdr:colOff>0</xdr:colOff>
                    <xdr:row>5353</xdr:row>
                    <xdr:rowOff>0</xdr:rowOff>
                  </from>
                  <to>
                    <xdr:col>7</xdr:col>
                    <xdr:colOff>0</xdr:colOff>
                    <xdr:row>5353</xdr:row>
                    <xdr:rowOff>165100</xdr:rowOff>
                  </to>
                </anchor>
              </controlPr>
            </control>
          </mc:Choice>
        </mc:AlternateContent>
        <mc:AlternateContent xmlns:mc="http://schemas.openxmlformats.org/markup-compatibility/2006">
          <mc:Choice Requires="x14">
            <control shapeId="12520" r:id="rId2961" name="Button 1256">
              <controlPr defaultSize="0" autoFill="0" autoLine="0" autoPict="0" macro="[0]!Sheet1.deleteRow">
                <anchor moveWithCells="1" sizeWithCells="1">
                  <from>
                    <xdr:col>6</xdr:col>
                    <xdr:colOff>0</xdr:colOff>
                    <xdr:row>5354</xdr:row>
                    <xdr:rowOff>0</xdr:rowOff>
                  </from>
                  <to>
                    <xdr:col>7</xdr:col>
                    <xdr:colOff>0</xdr:colOff>
                    <xdr:row>5354</xdr:row>
                    <xdr:rowOff>165100</xdr:rowOff>
                  </to>
                </anchor>
              </controlPr>
            </control>
          </mc:Choice>
        </mc:AlternateContent>
        <mc:AlternateContent xmlns:mc="http://schemas.openxmlformats.org/markup-compatibility/2006">
          <mc:Choice Requires="x14">
            <control shapeId="12519" r:id="rId2962" name="Button 1255">
              <controlPr defaultSize="0" autoFill="0" autoLine="0" autoPict="0" macro="[0]!Sheet1.deleteRow">
                <anchor moveWithCells="1" sizeWithCells="1">
                  <from>
                    <xdr:col>6</xdr:col>
                    <xdr:colOff>0</xdr:colOff>
                    <xdr:row>5355</xdr:row>
                    <xdr:rowOff>0</xdr:rowOff>
                  </from>
                  <to>
                    <xdr:col>7</xdr:col>
                    <xdr:colOff>0</xdr:colOff>
                    <xdr:row>5355</xdr:row>
                    <xdr:rowOff>165100</xdr:rowOff>
                  </to>
                </anchor>
              </controlPr>
            </control>
          </mc:Choice>
        </mc:AlternateContent>
        <mc:AlternateContent xmlns:mc="http://schemas.openxmlformats.org/markup-compatibility/2006">
          <mc:Choice Requires="x14">
            <control shapeId="12518" r:id="rId2963" name="Button 1254">
              <controlPr defaultSize="0" autoFill="0" autoLine="0" autoPict="0" macro="[0]!Sheet1.deleteProcedure">
                <anchor moveWithCells="1" sizeWithCells="1">
                  <from>
                    <xdr:col>6</xdr:col>
                    <xdr:colOff>0</xdr:colOff>
                    <xdr:row>5358</xdr:row>
                    <xdr:rowOff>0</xdr:rowOff>
                  </from>
                  <to>
                    <xdr:col>7</xdr:col>
                    <xdr:colOff>0</xdr:colOff>
                    <xdr:row>5359</xdr:row>
                    <xdr:rowOff>0</xdr:rowOff>
                  </to>
                </anchor>
              </controlPr>
            </control>
          </mc:Choice>
        </mc:AlternateContent>
        <mc:AlternateContent xmlns:mc="http://schemas.openxmlformats.org/markup-compatibility/2006">
          <mc:Choice Requires="x14">
            <control shapeId="12517" r:id="rId2964" name="Button 1253">
              <controlPr defaultSize="0" autoFill="0" autoLine="0" autoPict="0" macro="[0]!Sheet1.InsertNewTableRow">
                <anchor moveWithCells="1" sizeWithCells="1">
                  <from>
                    <xdr:col>6</xdr:col>
                    <xdr:colOff>0</xdr:colOff>
                    <xdr:row>5365</xdr:row>
                    <xdr:rowOff>0</xdr:rowOff>
                  </from>
                  <to>
                    <xdr:col>7</xdr:col>
                    <xdr:colOff>0</xdr:colOff>
                    <xdr:row>5365</xdr:row>
                    <xdr:rowOff>171450</xdr:rowOff>
                  </to>
                </anchor>
              </controlPr>
            </control>
          </mc:Choice>
        </mc:AlternateContent>
        <mc:AlternateContent xmlns:mc="http://schemas.openxmlformats.org/markup-compatibility/2006">
          <mc:Choice Requires="x14">
            <control shapeId="12516" r:id="rId2965" name="Button 1252">
              <controlPr defaultSize="0" autoFill="0" autoLine="0" autoPict="0" macro="[0]!Sheet1.deleteRow">
                <anchor moveWithCells="1" sizeWithCells="1">
                  <from>
                    <xdr:col>6</xdr:col>
                    <xdr:colOff>0</xdr:colOff>
                    <xdr:row>5366</xdr:row>
                    <xdr:rowOff>0</xdr:rowOff>
                  </from>
                  <to>
                    <xdr:col>7</xdr:col>
                    <xdr:colOff>0</xdr:colOff>
                    <xdr:row>5366</xdr:row>
                    <xdr:rowOff>165100</xdr:rowOff>
                  </to>
                </anchor>
              </controlPr>
            </control>
          </mc:Choice>
        </mc:AlternateContent>
        <mc:AlternateContent xmlns:mc="http://schemas.openxmlformats.org/markup-compatibility/2006">
          <mc:Choice Requires="x14">
            <control shapeId="12515" r:id="rId2966" name="Button 1251">
              <controlPr defaultSize="0" autoFill="0" autoLine="0" autoPict="0" macro="[0]!Sheet1.deleteRow">
                <anchor moveWithCells="1" sizeWithCells="1">
                  <from>
                    <xdr:col>6</xdr:col>
                    <xdr:colOff>0</xdr:colOff>
                    <xdr:row>5367</xdr:row>
                    <xdr:rowOff>0</xdr:rowOff>
                  </from>
                  <to>
                    <xdr:col>7</xdr:col>
                    <xdr:colOff>0</xdr:colOff>
                    <xdr:row>5367</xdr:row>
                    <xdr:rowOff>165100</xdr:rowOff>
                  </to>
                </anchor>
              </controlPr>
            </control>
          </mc:Choice>
        </mc:AlternateContent>
        <mc:AlternateContent xmlns:mc="http://schemas.openxmlformats.org/markup-compatibility/2006">
          <mc:Choice Requires="x14">
            <control shapeId="12514" r:id="rId2967" name="Button 1250">
              <controlPr defaultSize="0" autoFill="0" autoLine="0" autoPict="0" macro="[0]!Sheet1.deleteRow">
                <anchor moveWithCells="1" sizeWithCells="1">
                  <from>
                    <xdr:col>6</xdr:col>
                    <xdr:colOff>0</xdr:colOff>
                    <xdr:row>5368</xdr:row>
                    <xdr:rowOff>0</xdr:rowOff>
                  </from>
                  <to>
                    <xdr:col>7</xdr:col>
                    <xdr:colOff>0</xdr:colOff>
                    <xdr:row>5368</xdr:row>
                    <xdr:rowOff>165100</xdr:rowOff>
                  </to>
                </anchor>
              </controlPr>
            </control>
          </mc:Choice>
        </mc:AlternateContent>
        <mc:AlternateContent xmlns:mc="http://schemas.openxmlformats.org/markup-compatibility/2006">
          <mc:Choice Requires="x14">
            <control shapeId="12513" r:id="rId2968" name="Button 1249">
              <controlPr defaultSize="0" autoFill="0" autoLine="0" autoPict="0" macro="[0]!Sheet1.deleteProcedure">
                <anchor moveWithCells="1" sizeWithCells="1">
                  <from>
                    <xdr:col>6</xdr:col>
                    <xdr:colOff>0</xdr:colOff>
                    <xdr:row>5371</xdr:row>
                    <xdr:rowOff>0</xdr:rowOff>
                  </from>
                  <to>
                    <xdr:col>7</xdr:col>
                    <xdr:colOff>0</xdr:colOff>
                    <xdr:row>5372</xdr:row>
                    <xdr:rowOff>0</xdr:rowOff>
                  </to>
                </anchor>
              </controlPr>
            </control>
          </mc:Choice>
        </mc:AlternateContent>
        <mc:AlternateContent xmlns:mc="http://schemas.openxmlformats.org/markup-compatibility/2006">
          <mc:Choice Requires="x14">
            <control shapeId="12512" r:id="rId2969" name="Button 1248">
              <controlPr defaultSize="0" autoFill="0" autoLine="0" autoPict="0" macro="[0]!Sheet1.InsertNewTableRow">
                <anchor moveWithCells="1" sizeWithCells="1">
                  <from>
                    <xdr:col>6</xdr:col>
                    <xdr:colOff>0</xdr:colOff>
                    <xdr:row>5378</xdr:row>
                    <xdr:rowOff>0</xdr:rowOff>
                  </from>
                  <to>
                    <xdr:col>7</xdr:col>
                    <xdr:colOff>0</xdr:colOff>
                    <xdr:row>5378</xdr:row>
                    <xdr:rowOff>171450</xdr:rowOff>
                  </to>
                </anchor>
              </controlPr>
            </control>
          </mc:Choice>
        </mc:AlternateContent>
        <mc:AlternateContent xmlns:mc="http://schemas.openxmlformats.org/markup-compatibility/2006">
          <mc:Choice Requires="x14">
            <control shapeId="12511" r:id="rId2970" name="Button 1247">
              <controlPr defaultSize="0" autoFill="0" autoLine="0" autoPict="0" macro="[0]!Sheet1.deleteRow">
                <anchor moveWithCells="1" sizeWithCells="1">
                  <from>
                    <xdr:col>6</xdr:col>
                    <xdr:colOff>0</xdr:colOff>
                    <xdr:row>5379</xdr:row>
                    <xdr:rowOff>0</xdr:rowOff>
                  </from>
                  <to>
                    <xdr:col>7</xdr:col>
                    <xdr:colOff>0</xdr:colOff>
                    <xdr:row>5379</xdr:row>
                    <xdr:rowOff>165100</xdr:rowOff>
                  </to>
                </anchor>
              </controlPr>
            </control>
          </mc:Choice>
        </mc:AlternateContent>
        <mc:AlternateContent xmlns:mc="http://schemas.openxmlformats.org/markup-compatibility/2006">
          <mc:Choice Requires="x14">
            <control shapeId="12510" r:id="rId2971" name="Button 1246">
              <controlPr defaultSize="0" autoFill="0" autoLine="0" autoPict="0" macro="[0]!Sheet1.deleteRow">
                <anchor moveWithCells="1" sizeWithCells="1">
                  <from>
                    <xdr:col>6</xdr:col>
                    <xdr:colOff>0</xdr:colOff>
                    <xdr:row>5380</xdr:row>
                    <xdr:rowOff>0</xdr:rowOff>
                  </from>
                  <to>
                    <xdr:col>7</xdr:col>
                    <xdr:colOff>0</xdr:colOff>
                    <xdr:row>5380</xdr:row>
                    <xdr:rowOff>165100</xdr:rowOff>
                  </to>
                </anchor>
              </controlPr>
            </control>
          </mc:Choice>
        </mc:AlternateContent>
        <mc:AlternateContent xmlns:mc="http://schemas.openxmlformats.org/markup-compatibility/2006">
          <mc:Choice Requires="x14">
            <control shapeId="12509" r:id="rId2972" name="Button 1245">
              <controlPr defaultSize="0" autoFill="0" autoLine="0" autoPict="0" macro="[0]!Sheet1.deleteRow">
                <anchor moveWithCells="1" sizeWithCells="1">
                  <from>
                    <xdr:col>6</xdr:col>
                    <xdr:colOff>0</xdr:colOff>
                    <xdr:row>5381</xdr:row>
                    <xdr:rowOff>0</xdr:rowOff>
                  </from>
                  <to>
                    <xdr:col>7</xdr:col>
                    <xdr:colOff>0</xdr:colOff>
                    <xdr:row>5381</xdr:row>
                    <xdr:rowOff>165100</xdr:rowOff>
                  </to>
                </anchor>
              </controlPr>
            </control>
          </mc:Choice>
        </mc:AlternateContent>
        <mc:AlternateContent xmlns:mc="http://schemas.openxmlformats.org/markup-compatibility/2006">
          <mc:Choice Requires="x14">
            <control shapeId="12508" r:id="rId2973" name="Button 1244">
              <controlPr defaultSize="0" autoFill="0" autoLine="0" autoPict="0" macro="[0]!Sheet1.deleteRow">
                <anchor moveWithCells="1" sizeWithCells="1">
                  <from>
                    <xdr:col>6</xdr:col>
                    <xdr:colOff>0</xdr:colOff>
                    <xdr:row>5382</xdr:row>
                    <xdr:rowOff>0</xdr:rowOff>
                  </from>
                  <to>
                    <xdr:col>7</xdr:col>
                    <xdr:colOff>0</xdr:colOff>
                    <xdr:row>5382</xdr:row>
                    <xdr:rowOff>165100</xdr:rowOff>
                  </to>
                </anchor>
              </controlPr>
            </control>
          </mc:Choice>
        </mc:AlternateContent>
        <mc:AlternateContent xmlns:mc="http://schemas.openxmlformats.org/markup-compatibility/2006">
          <mc:Choice Requires="x14">
            <control shapeId="12507" r:id="rId2974" name="Button 1243">
              <controlPr defaultSize="0" autoFill="0" autoLine="0" autoPict="0" macro="[0]!Sheet1.deleteRow">
                <anchor moveWithCells="1" sizeWithCells="1">
                  <from>
                    <xdr:col>6</xdr:col>
                    <xdr:colOff>0</xdr:colOff>
                    <xdr:row>5383</xdr:row>
                    <xdr:rowOff>0</xdr:rowOff>
                  </from>
                  <to>
                    <xdr:col>7</xdr:col>
                    <xdr:colOff>0</xdr:colOff>
                    <xdr:row>5383</xdr:row>
                    <xdr:rowOff>165100</xdr:rowOff>
                  </to>
                </anchor>
              </controlPr>
            </control>
          </mc:Choice>
        </mc:AlternateContent>
        <mc:AlternateContent xmlns:mc="http://schemas.openxmlformats.org/markup-compatibility/2006">
          <mc:Choice Requires="x14">
            <control shapeId="12506" r:id="rId2975" name="Button 1242">
              <controlPr defaultSize="0" autoFill="0" autoLine="0" autoPict="0" macro="[0]!Sheet1.deleteRow">
                <anchor moveWithCells="1" sizeWithCells="1">
                  <from>
                    <xdr:col>6</xdr:col>
                    <xdr:colOff>0</xdr:colOff>
                    <xdr:row>5384</xdr:row>
                    <xdr:rowOff>0</xdr:rowOff>
                  </from>
                  <to>
                    <xdr:col>7</xdr:col>
                    <xdr:colOff>0</xdr:colOff>
                    <xdr:row>5384</xdr:row>
                    <xdr:rowOff>165100</xdr:rowOff>
                  </to>
                </anchor>
              </controlPr>
            </control>
          </mc:Choice>
        </mc:AlternateContent>
        <mc:AlternateContent xmlns:mc="http://schemas.openxmlformats.org/markup-compatibility/2006">
          <mc:Choice Requires="x14">
            <control shapeId="12505" r:id="rId2976" name="Button 1241">
              <controlPr defaultSize="0" autoFill="0" autoLine="0" autoPict="0" macro="[0]!Sheet1.deleteRow">
                <anchor moveWithCells="1" sizeWithCells="1">
                  <from>
                    <xdr:col>6</xdr:col>
                    <xdr:colOff>0</xdr:colOff>
                    <xdr:row>5385</xdr:row>
                    <xdr:rowOff>0</xdr:rowOff>
                  </from>
                  <to>
                    <xdr:col>7</xdr:col>
                    <xdr:colOff>0</xdr:colOff>
                    <xdr:row>5385</xdr:row>
                    <xdr:rowOff>165100</xdr:rowOff>
                  </to>
                </anchor>
              </controlPr>
            </control>
          </mc:Choice>
        </mc:AlternateContent>
        <mc:AlternateContent xmlns:mc="http://schemas.openxmlformats.org/markup-compatibility/2006">
          <mc:Choice Requires="x14">
            <control shapeId="12504" r:id="rId2977" name="Button 1240">
              <controlPr defaultSize="0" autoFill="0" autoLine="0" autoPict="0" macro="[0]!Sheet1.deleteRow">
                <anchor moveWithCells="1" sizeWithCells="1">
                  <from>
                    <xdr:col>6</xdr:col>
                    <xdr:colOff>0</xdr:colOff>
                    <xdr:row>5386</xdr:row>
                    <xdr:rowOff>0</xdr:rowOff>
                  </from>
                  <to>
                    <xdr:col>7</xdr:col>
                    <xdr:colOff>0</xdr:colOff>
                    <xdr:row>5386</xdr:row>
                    <xdr:rowOff>165100</xdr:rowOff>
                  </to>
                </anchor>
              </controlPr>
            </control>
          </mc:Choice>
        </mc:AlternateContent>
        <mc:AlternateContent xmlns:mc="http://schemas.openxmlformats.org/markup-compatibility/2006">
          <mc:Choice Requires="x14">
            <control shapeId="12503" r:id="rId2978" name="Button 1239">
              <controlPr defaultSize="0" autoFill="0" autoLine="0" autoPict="0" macro="[0]!Sheet1.deleteProcedure">
                <anchor moveWithCells="1" sizeWithCells="1">
                  <from>
                    <xdr:col>6</xdr:col>
                    <xdr:colOff>0</xdr:colOff>
                    <xdr:row>5389</xdr:row>
                    <xdr:rowOff>0</xdr:rowOff>
                  </from>
                  <to>
                    <xdr:col>7</xdr:col>
                    <xdr:colOff>0</xdr:colOff>
                    <xdr:row>5390</xdr:row>
                    <xdr:rowOff>0</xdr:rowOff>
                  </to>
                </anchor>
              </controlPr>
            </control>
          </mc:Choice>
        </mc:AlternateContent>
        <mc:AlternateContent xmlns:mc="http://schemas.openxmlformats.org/markup-compatibility/2006">
          <mc:Choice Requires="x14">
            <control shapeId="12502" r:id="rId2979" name="Button 1238">
              <controlPr defaultSize="0" autoFill="0" autoLine="0" autoPict="0" macro="[0]!Sheet1.InsertNewTableRow">
                <anchor moveWithCells="1" sizeWithCells="1">
                  <from>
                    <xdr:col>6</xdr:col>
                    <xdr:colOff>0</xdr:colOff>
                    <xdr:row>5396</xdr:row>
                    <xdr:rowOff>0</xdr:rowOff>
                  </from>
                  <to>
                    <xdr:col>7</xdr:col>
                    <xdr:colOff>0</xdr:colOff>
                    <xdr:row>5396</xdr:row>
                    <xdr:rowOff>171450</xdr:rowOff>
                  </to>
                </anchor>
              </controlPr>
            </control>
          </mc:Choice>
        </mc:AlternateContent>
        <mc:AlternateContent xmlns:mc="http://schemas.openxmlformats.org/markup-compatibility/2006">
          <mc:Choice Requires="x14">
            <control shapeId="12501" r:id="rId2980" name="Button 1237">
              <controlPr defaultSize="0" autoFill="0" autoLine="0" autoPict="0" macro="[0]!Sheet1.deleteRow">
                <anchor moveWithCells="1" sizeWithCells="1">
                  <from>
                    <xdr:col>6</xdr:col>
                    <xdr:colOff>0</xdr:colOff>
                    <xdr:row>5397</xdr:row>
                    <xdr:rowOff>0</xdr:rowOff>
                  </from>
                  <to>
                    <xdr:col>7</xdr:col>
                    <xdr:colOff>0</xdr:colOff>
                    <xdr:row>5397</xdr:row>
                    <xdr:rowOff>165100</xdr:rowOff>
                  </to>
                </anchor>
              </controlPr>
            </control>
          </mc:Choice>
        </mc:AlternateContent>
        <mc:AlternateContent xmlns:mc="http://schemas.openxmlformats.org/markup-compatibility/2006">
          <mc:Choice Requires="x14">
            <control shapeId="12500" r:id="rId2981" name="Button 1236">
              <controlPr defaultSize="0" autoFill="0" autoLine="0" autoPict="0" macro="[0]!Sheet1.deleteRow">
                <anchor moveWithCells="1" sizeWithCells="1">
                  <from>
                    <xdr:col>6</xdr:col>
                    <xdr:colOff>0</xdr:colOff>
                    <xdr:row>5398</xdr:row>
                    <xdr:rowOff>0</xdr:rowOff>
                  </from>
                  <to>
                    <xdr:col>7</xdr:col>
                    <xdr:colOff>0</xdr:colOff>
                    <xdr:row>5398</xdr:row>
                    <xdr:rowOff>165100</xdr:rowOff>
                  </to>
                </anchor>
              </controlPr>
            </control>
          </mc:Choice>
        </mc:AlternateContent>
        <mc:AlternateContent xmlns:mc="http://schemas.openxmlformats.org/markup-compatibility/2006">
          <mc:Choice Requires="x14">
            <control shapeId="12499" r:id="rId2982" name="Button 1235">
              <controlPr defaultSize="0" autoFill="0" autoLine="0" autoPict="0" macro="[0]!Sheet1.deleteRow">
                <anchor moveWithCells="1" sizeWithCells="1">
                  <from>
                    <xdr:col>6</xdr:col>
                    <xdr:colOff>0</xdr:colOff>
                    <xdr:row>5399</xdr:row>
                    <xdr:rowOff>0</xdr:rowOff>
                  </from>
                  <to>
                    <xdr:col>7</xdr:col>
                    <xdr:colOff>0</xdr:colOff>
                    <xdr:row>5399</xdr:row>
                    <xdr:rowOff>165100</xdr:rowOff>
                  </to>
                </anchor>
              </controlPr>
            </control>
          </mc:Choice>
        </mc:AlternateContent>
        <mc:AlternateContent xmlns:mc="http://schemas.openxmlformats.org/markup-compatibility/2006">
          <mc:Choice Requires="x14">
            <control shapeId="12498" r:id="rId2983" name="Button 1234">
              <controlPr defaultSize="0" autoFill="0" autoLine="0" autoPict="0" macro="[0]!Sheet1.deleteRow">
                <anchor moveWithCells="1" sizeWithCells="1">
                  <from>
                    <xdr:col>6</xdr:col>
                    <xdr:colOff>0</xdr:colOff>
                    <xdr:row>5400</xdr:row>
                    <xdr:rowOff>0</xdr:rowOff>
                  </from>
                  <to>
                    <xdr:col>7</xdr:col>
                    <xdr:colOff>0</xdr:colOff>
                    <xdr:row>5400</xdr:row>
                    <xdr:rowOff>165100</xdr:rowOff>
                  </to>
                </anchor>
              </controlPr>
            </control>
          </mc:Choice>
        </mc:AlternateContent>
        <mc:AlternateContent xmlns:mc="http://schemas.openxmlformats.org/markup-compatibility/2006">
          <mc:Choice Requires="x14">
            <control shapeId="12497" r:id="rId2984" name="Button 1233">
              <controlPr defaultSize="0" autoFill="0" autoLine="0" autoPict="0" macro="[0]!Sheet1.deleteProcedure">
                <anchor moveWithCells="1" sizeWithCells="1">
                  <from>
                    <xdr:col>6</xdr:col>
                    <xdr:colOff>0</xdr:colOff>
                    <xdr:row>5403</xdr:row>
                    <xdr:rowOff>0</xdr:rowOff>
                  </from>
                  <to>
                    <xdr:col>7</xdr:col>
                    <xdr:colOff>0</xdr:colOff>
                    <xdr:row>5404</xdr:row>
                    <xdr:rowOff>0</xdr:rowOff>
                  </to>
                </anchor>
              </controlPr>
            </control>
          </mc:Choice>
        </mc:AlternateContent>
        <mc:AlternateContent xmlns:mc="http://schemas.openxmlformats.org/markup-compatibility/2006">
          <mc:Choice Requires="x14">
            <control shapeId="12496" r:id="rId2985" name="Button 1232">
              <controlPr defaultSize="0" autoFill="0" autoLine="0" autoPict="0" macro="[0]!Sheet1.InsertNewTableRow">
                <anchor moveWithCells="1" sizeWithCells="1">
                  <from>
                    <xdr:col>6</xdr:col>
                    <xdr:colOff>0</xdr:colOff>
                    <xdr:row>5410</xdr:row>
                    <xdr:rowOff>0</xdr:rowOff>
                  </from>
                  <to>
                    <xdr:col>7</xdr:col>
                    <xdr:colOff>0</xdr:colOff>
                    <xdr:row>5410</xdr:row>
                    <xdr:rowOff>171450</xdr:rowOff>
                  </to>
                </anchor>
              </controlPr>
            </control>
          </mc:Choice>
        </mc:AlternateContent>
        <mc:AlternateContent xmlns:mc="http://schemas.openxmlformats.org/markup-compatibility/2006">
          <mc:Choice Requires="x14">
            <control shapeId="12495" r:id="rId2986" name="Button 1231">
              <controlPr defaultSize="0" autoFill="0" autoLine="0" autoPict="0" macro="[0]!Sheet1.deleteRow">
                <anchor moveWithCells="1" sizeWithCells="1">
                  <from>
                    <xdr:col>6</xdr:col>
                    <xdr:colOff>0</xdr:colOff>
                    <xdr:row>5411</xdr:row>
                    <xdr:rowOff>0</xdr:rowOff>
                  </from>
                  <to>
                    <xdr:col>7</xdr:col>
                    <xdr:colOff>0</xdr:colOff>
                    <xdr:row>5411</xdr:row>
                    <xdr:rowOff>165100</xdr:rowOff>
                  </to>
                </anchor>
              </controlPr>
            </control>
          </mc:Choice>
        </mc:AlternateContent>
        <mc:AlternateContent xmlns:mc="http://schemas.openxmlformats.org/markup-compatibility/2006">
          <mc:Choice Requires="x14">
            <control shapeId="12494" r:id="rId2987" name="Button 1230">
              <controlPr defaultSize="0" autoFill="0" autoLine="0" autoPict="0" macro="[0]!Sheet1.deleteRow">
                <anchor moveWithCells="1" sizeWithCells="1">
                  <from>
                    <xdr:col>6</xdr:col>
                    <xdr:colOff>0</xdr:colOff>
                    <xdr:row>5412</xdr:row>
                    <xdr:rowOff>0</xdr:rowOff>
                  </from>
                  <to>
                    <xdr:col>7</xdr:col>
                    <xdr:colOff>0</xdr:colOff>
                    <xdr:row>5412</xdr:row>
                    <xdr:rowOff>165100</xdr:rowOff>
                  </to>
                </anchor>
              </controlPr>
            </control>
          </mc:Choice>
        </mc:AlternateContent>
        <mc:AlternateContent xmlns:mc="http://schemas.openxmlformats.org/markup-compatibility/2006">
          <mc:Choice Requires="x14">
            <control shapeId="12493" r:id="rId2988" name="Button 1229">
              <controlPr defaultSize="0" autoFill="0" autoLine="0" autoPict="0" macro="[0]!Sheet1.deleteProcedure">
                <anchor moveWithCells="1" sizeWithCells="1">
                  <from>
                    <xdr:col>6</xdr:col>
                    <xdr:colOff>0</xdr:colOff>
                    <xdr:row>5415</xdr:row>
                    <xdr:rowOff>0</xdr:rowOff>
                  </from>
                  <to>
                    <xdr:col>7</xdr:col>
                    <xdr:colOff>0</xdr:colOff>
                    <xdr:row>5416</xdr:row>
                    <xdr:rowOff>0</xdr:rowOff>
                  </to>
                </anchor>
              </controlPr>
            </control>
          </mc:Choice>
        </mc:AlternateContent>
        <mc:AlternateContent xmlns:mc="http://schemas.openxmlformats.org/markup-compatibility/2006">
          <mc:Choice Requires="x14">
            <control shapeId="12492" r:id="rId2989" name="Button 1228">
              <controlPr defaultSize="0" autoFill="0" autoLine="0" autoPict="0" macro="[0]!Sheet1.InsertNewTableRow">
                <anchor moveWithCells="1" sizeWithCells="1">
                  <from>
                    <xdr:col>6</xdr:col>
                    <xdr:colOff>0</xdr:colOff>
                    <xdr:row>5422</xdr:row>
                    <xdr:rowOff>0</xdr:rowOff>
                  </from>
                  <to>
                    <xdr:col>7</xdr:col>
                    <xdr:colOff>0</xdr:colOff>
                    <xdr:row>5422</xdr:row>
                    <xdr:rowOff>171450</xdr:rowOff>
                  </to>
                </anchor>
              </controlPr>
            </control>
          </mc:Choice>
        </mc:AlternateContent>
        <mc:AlternateContent xmlns:mc="http://schemas.openxmlformats.org/markup-compatibility/2006">
          <mc:Choice Requires="x14">
            <control shapeId="12491" r:id="rId2990" name="Button 1227">
              <controlPr defaultSize="0" autoFill="0" autoLine="0" autoPict="0" macro="[0]!Sheet1.deleteRow">
                <anchor moveWithCells="1" sizeWithCells="1">
                  <from>
                    <xdr:col>6</xdr:col>
                    <xdr:colOff>0</xdr:colOff>
                    <xdr:row>5423</xdr:row>
                    <xdr:rowOff>0</xdr:rowOff>
                  </from>
                  <to>
                    <xdr:col>7</xdr:col>
                    <xdr:colOff>0</xdr:colOff>
                    <xdr:row>5423</xdr:row>
                    <xdr:rowOff>165100</xdr:rowOff>
                  </to>
                </anchor>
              </controlPr>
            </control>
          </mc:Choice>
        </mc:AlternateContent>
        <mc:AlternateContent xmlns:mc="http://schemas.openxmlformats.org/markup-compatibility/2006">
          <mc:Choice Requires="x14">
            <control shapeId="12490" r:id="rId2991" name="Button 1226">
              <controlPr defaultSize="0" autoFill="0" autoLine="0" autoPict="0" macro="[0]!Sheet1.deleteRow">
                <anchor moveWithCells="1" sizeWithCells="1">
                  <from>
                    <xdr:col>6</xdr:col>
                    <xdr:colOff>0</xdr:colOff>
                    <xdr:row>5424</xdr:row>
                    <xdr:rowOff>0</xdr:rowOff>
                  </from>
                  <to>
                    <xdr:col>7</xdr:col>
                    <xdr:colOff>0</xdr:colOff>
                    <xdr:row>5424</xdr:row>
                    <xdr:rowOff>165100</xdr:rowOff>
                  </to>
                </anchor>
              </controlPr>
            </control>
          </mc:Choice>
        </mc:AlternateContent>
        <mc:AlternateContent xmlns:mc="http://schemas.openxmlformats.org/markup-compatibility/2006">
          <mc:Choice Requires="x14">
            <control shapeId="12489" r:id="rId2992" name="Button 1225">
              <controlPr defaultSize="0" autoFill="0" autoLine="0" autoPict="0" macro="[0]!Sheet1.deleteProcedure">
                <anchor moveWithCells="1" sizeWithCells="1">
                  <from>
                    <xdr:col>6</xdr:col>
                    <xdr:colOff>0</xdr:colOff>
                    <xdr:row>5427</xdr:row>
                    <xdr:rowOff>0</xdr:rowOff>
                  </from>
                  <to>
                    <xdr:col>7</xdr:col>
                    <xdr:colOff>0</xdr:colOff>
                    <xdr:row>5428</xdr:row>
                    <xdr:rowOff>0</xdr:rowOff>
                  </to>
                </anchor>
              </controlPr>
            </control>
          </mc:Choice>
        </mc:AlternateContent>
        <mc:AlternateContent xmlns:mc="http://schemas.openxmlformats.org/markup-compatibility/2006">
          <mc:Choice Requires="x14">
            <control shapeId="12488" r:id="rId2993" name="Button 1224">
              <controlPr defaultSize="0" autoFill="0" autoLine="0" autoPict="0" macro="[0]!Sheet1.InsertNewTableRow">
                <anchor moveWithCells="1" sizeWithCells="1">
                  <from>
                    <xdr:col>6</xdr:col>
                    <xdr:colOff>0</xdr:colOff>
                    <xdr:row>5434</xdr:row>
                    <xdr:rowOff>0</xdr:rowOff>
                  </from>
                  <to>
                    <xdr:col>7</xdr:col>
                    <xdr:colOff>0</xdr:colOff>
                    <xdr:row>5434</xdr:row>
                    <xdr:rowOff>171450</xdr:rowOff>
                  </to>
                </anchor>
              </controlPr>
            </control>
          </mc:Choice>
        </mc:AlternateContent>
        <mc:AlternateContent xmlns:mc="http://schemas.openxmlformats.org/markup-compatibility/2006">
          <mc:Choice Requires="x14">
            <control shapeId="12487" r:id="rId2994" name="Button 1223">
              <controlPr defaultSize="0" autoFill="0" autoLine="0" autoPict="0" macro="[0]!Sheet1.deleteRow">
                <anchor moveWithCells="1" sizeWithCells="1">
                  <from>
                    <xdr:col>6</xdr:col>
                    <xdr:colOff>0</xdr:colOff>
                    <xdr:row>5435</xdr:row>
                    <xdr:rowOff>0</xdr:rowOff>
                  </from>
                  <to>
                    <xdr:col>7</xdr:col>
                    <xdr:colOff>0</xdr:colOff>
                    <xdr:row>5435</xdr:row>
                    <xdr:rowOff>165100</xdr:rowOff>
                  </to>
                </anchor>
              </controlPr>
            </control>
          </mc:Choice>
        </mc:AlternateContent>
        <mc:AlternateContent xmlns:mc="http://schemas.openxmlformats.org/markup-compatibility/2006">
          <mc:Choice Requires="x14">
            <control shapeId="12486" r:id="rId2995" name="Button 1222">
              <controlPr defaultSize="0" autoFill="0" autoLine="0" autoPict="0" macro="[0]!Sheet1.deleteRow">
                <anchor moveWithCells="1" sizeWithCells="1">
                  <from>
                    <xdr:col>6</xdr:col>
                    <xdr:colOff>0</xdr:colOff>
                    <xdr:row>5436</xdr:row>
                    <xdr:rowOff>0</xdr:rowOff>
                  </from>
                  <to>
                    <xdr:col>7</xdr:col>
                    <xdr:colOff>0</xdr:colOff>
                    <xdr:row>5436</xdr:row>
                    <xdr:rowOff>165100</xdr:rowOff>
                  </to>
                </anchor>
              </controlPr>
            </control>
          </mc:Choice>
        </mc:AlternateContent>
        <mc:AlternateContent xmlns:mc="http://schemas.openxmlformats.org/markup-compatibility/2006">
          <mc:Choice Requires="x14">
            <control shapeId="12485" r:id="rId2996" name="Button 1221">
              <controlPr defaultSize="0" autoFill="0" autoLine="0" autoPict="0" macro="[0]!Sheet1.deleteRow">
                <anchor moveWithCells="1" sizeWithCells="1">
                  <from>
                    <xdr:col>6</xdr:col>
                    <xdr:colOff>0</xdr:colOff>
                    <xdr:row>5437</xdr:row>
                    <xdr:rowOff>0</xdr:rowOff>
                  </from>
                  <to>
                    <xdr:col>7</xdr:col>
                    <xdr:colOff>0</xdr:colOff>
                    <xdr:row>5437</xdr:row>
                    <xdr:rowOff>165100</xdr:rowOff>
                  </to>
                </anchor>
              </controlPr>
            </control>
          </mc:Choice>
        </mc:AlternateContent>
        <mc:AlternateContent xmlns:mc="http://schemas.openxmlformats.org/markup-compatibility/2006">
          <mc:Choice Requires="x14">
            <control shapeId="12484" r:id="rId2997" name="Button 1220">
              <controlPr defaultSize="0" autoFill="0" autoLine="0" autoPict="0" macro="[0]!Sheet1.deleteProcedure">
                <anchor moveWithCells="1" sizeWithCells="1">
                  <from>
                    <xdr:col>6</xdr:col>
                    <xdr:colOff>0</xdr:colOff>
                    <xdr:row>5440</xdr:row>
                    <xdr:rowOff>0</xdr:rowOff>
                  </from>
                  <to>
                    <xdr:col>7</xdr:col>
                    <xdr:colOff>0</xdr:colOff>
                    <xdr:row>5441</xdr:row>
                    <xdr:rowOff>0</xdr:rowOff>
                  </to>
                </anchor>
              </controlPr>
            </control>
          </mc:Choice>
        </mc:AlternateContent>
        <mc:AlternateContent xmlns:mc="http://schemas.openxmlformats.org/markup-compatibility/2006">
          <mc:Choice Requires="x14">
            <control shapeId="12483" r:id="rId2998" name="Button 1219">
              <controlPr defaultSize="0" autoFill="0" autoLine="0" autoPict="0" macro="[0]!Sheet1.InsertNewTableRow">
                <anchor moveWithCells="1" sizeWithCells="1">
                  <from>
                    <xdr:col>6</xdr:col>
                    <xdr:colOff>0</xdr:colOff>
                    <xdr:row>5447</xdr:row>
                    <xdr:rowOff>0</xdr:rowOff>
                  </from>
                  <to>
                    <xdr:col>7</xdr:col>
                    <xdr:colOff>0</xdr:colOff>
                    <xdr:row>5447</xdr:row>
                    <xdr:rowOff>171450</xdr:rowOff>
                  </to>
                </anchor>
              </controlPr>
            </control>
          </mc:Choice>
        </mc:AlternateContent>
        <mc:AlternateContent xmlns:mc="http://schemas.openxmlformats.org/markup-compatibility/2006">
          <mc:Choice Requires="x14">
            <control shapeId="12482" r:id="rId2999" name="Button 1218">
              <controlPr defaultSize="0" autoFill="0" autoLine="0" autoPict="0" macro="[0]!Sheet1.deleteRow">
                <anchor moveWithCells="1" sizeWithCells="1">
                  <from>
                    <xdr:col>6</xdr:col>
                    <xdr:colOff>0</xdr:colOff>
                    <xdr:row>5448</xdr:row>
                    <xdr:rowOff>0</xdr:rowOff>
                  </from>
                  <to>
                    <xdr:col>7</xdr:col>
                    <xdr:colOff>0</xdr:colOff>
                    <xdr:row>5448</xdr:row>
                    <xdr:rowOff>165100</xdr:rowOff>
                  </to>
                </anchor>
              </controlPr>
            </control>
          </mc:Choice>
        </mc:AlternateContent>
        <mc:AlternateContent xmlns:mc="http://schemas.openxmlformats.org/markup-compatibility/2006">
          <mc:Choice Requires="x14">
            <control shapeId="12481" r:id="rId3000" name="Button 1217">
              <controlPr defaultSize="0" autoFill="0" autoLine="0" autoPict="0" macro="[0]!Sheet1.deleteRow">
                <anchor moveWithCells="1" sizeWithCells="1">
                  <from>
                    <xdr:col>6</xdr:col>
                    <xdr:colOff>0</xdr:colOff>
                    <xdr:row>5449</xdr:row>
                    <xdr:rowOff>0</xdr:rowOff>
                  </from>
                  <to>
                    <xdr:col>7</xdr:col>
                    <xdr:colOff>0</xdr:colOff>
                    <xdr:row>5449</xdr:row>
                    <xdr:rowOff>165100</xdr:rowOff>
                  </to>
                </anchor>
              </controlPr>
            </control>
          </mc:Choice>
        </mc:AlternateContent>
        <mc:AlternateContent xmlns:mc="http://schemas.openxmlformats.org/markup-compatibility/2006">
          <mc:Choice Requires="x14">
            <control shapeId="12480" r:id="rId3001" name="Button 1216">
              <controlPr defaultSize="0" autoFill="0" autoLine="0" autoPict="0" macro="[0]!Sheet1.deleteRow">
                <anchor moveWithCells="1" sizeWithCells="1">
                  <from>
                    <xdr:col>6</xdr:col>
                    <xdr:colOff>0</xdr:colOff>
                    <xdr:row>5450</xdr:row>
                    <xdr:rowOff>0</xdr:rowOff>
                  </from>
                  <to>
                    <xdr:col>7</xdr:col>
                    <xdr:colOff>0</xdr:colOff>
                    <xdr:row>5450</xdr:row>
                    <xdr:rowOff>165100</xdr:rowOff>
                  </to>
                </anchor>
              </controlPr>
            </control>
          </mc:Choice>
        </mc:AlternateContent>
        <mc:AlternateContent xmlns:mc="http://schemas.openxmlformats.org/markup-compatibility/2006">
          <mc:Choice Requires="x14">
            <control shapeId="12479" r:id="rId3002" name="Button 1215">
              <controlPr defaultSize="0" autoFill="0" autoLine="0" autoPict="0" macro="[0]!Sheet1.deleteRow">
                <anchor moveWithCells="1" sizeWithCells="1">
                  <from>
                    <xdr:col>6</xdr:col>
                    <xdr:colOff>0</xdr:colOff>
                    <xdr:row>5451</xdr:row>
                    <xdr:rowOff>0</xdr:rowOff>
                  </from>
                  <to>
                    <xdr:col>7</xdr:col>
                    <xdr:colOff>0</xdr:colOff>
                    <xdr:row>5451</xdr:row>
                    <xdr:rowOff>165100</xdr:rowOff>
                  </to>
                </anchor>
              </controlPr>
            </control>
          </mc:Choice>
        </mc:AlternateContent>
        <mc:AlternateContent xmlns:mc="http://schemas.openxmlformats.org/markup-compatibility/2006">
          <mc:Choice Requires="x14">
            <control shapeId="12478" r:id="rId3003" name="Button 1214">
              <controlPr defaultSize="0" autoFill="0" autoLine="0" autoPict="0" macro="[0]!Sheet1.deleteRow">
                <anchor moveWithCells="1" sizeWithCells="1">
                  <from>
                    <xdr:col>6</xdr:col>
                    <xdr:colOff>0</xdr:colOff>
                    <xdr:row>5452</xdr:row>
                    <xdr:rowOff>0</xdr:rowOff>
                  </from>
                  <to>
                    <xdr:col>7</xdr:col>
                    <xdr:colOff>0</xdr:colOff>
                    <xdr:row>5452</xdr:row>
                    <xdr:rowOff>165100</xdr:rowOff>
                  </to>
                </anchor>
              </controlPr>
            </control>
          </mc:Choice>
        </mc:AlternateContent>
        <mc:AlternateContent xmlns:mc="http://schemas.openxmlformats.org/markup-compatibility/2006">
          <mc:Choice Requires="x14">
            <control shapeId="12477" r:id="rId3004" name="Button 1213">
              <controlPr defaultSize="0" autoFill="0" autoLine="0" autoPict="0" macro="[0]!Sheet1.deleteRow">
                <anchor moveWithCells="1" sizeWithCells="1">
                  <from>
                    <xdr:col>6</xdr:col>
                    <xdr:colOff>0</xdr:colOff>
                    <xdr:row>5453</xdr:row>
                    <xdr:rowOff>0</xdr:rowOff>
                  </from>
                  <to>
                    <xdr:col>7</xdr:col>
                    <xdr:colOff>0</xdr:colOff>
                    <xdr:row>5453</xdr:row>
                    <xdr:rowOff>165100</xdr:rowOff>
                  </to>
                </anchor>
              </controlPr>
            </control>
          </mc:Choice>
        </mc:AlternateContent>
        <mc:AlternateContent xmlns:mc="http://schemas.openxmlformats.org/markup-compatibility/2006">
          <mc:Choice Requires="x14">
            <control shapeId="12476" r:id="rId3005" name="Button 1212">
              <controlPr defaultSize="0" autoFill="0" autoLine="0" autoPict="0" macro="[0]!Sheet1.deleteRow">
                <anchor moveWithCells="1" sizeWithCells="1">
                  <from>
                    <xdr:col>6</xdr:col>
                    <xdr:colOff>0</xdr:colOff>
                    <xdr:row>5454</xdr:row>
                    <xdr:rowOff>0</xdr:rowOff>
                  </from>
                  <to>
                    <xdr:col>7</xdr:col>
                    <xdr:colOff>0</xdr:colOff>
                    <xdr:row>5454</xdr:row>
                    <xdr:rowOff>165100</xdr:rowOff>
                  </to>
                </anchor>
              </controlPr>
            </control>
          </mc:Choice>
        </mc:AlternateContent>
        <mc:AlternateContent xmlns:mc="http://schemas.openxmlformats.org/markup-compatibility/2006">
          <mc:Choice Requires="x14">
            <control shapeId="12475" r:id="rId3006" name="Button 1211">
              <controlPr defaultSize="0" autoFill="0" autoLine="0" autoPict="0" macro="[0]!Sheet1.deleteRow">
                <anchor moveWithCells="1" sizeWithCells="1">
                  <from>
                    <xdr:col>6</xdr:col>
                    <xdr:colOff>0</xdr:colOff>
                    <xdr:row>5455</xdr:row>
                    <xdr:rowOff>0</xdr:rowOff>
                  </from>
                  <to>
                    <xdr:col>7</xdr:col>
                    <xdr:colOff>0</xdr:colOff>
                    <xdr:row>5455</xdr:row>
                    <xdr:rowOff>165100</xdr:rowOff>
                  </to>
                </anchor>
              </controlPr>
            </control>
          </mc:Choice>
        </mc:AlternateContent>
        <mc:AlternateContent xmlns:mc="http://schemas.openxmlformats.org/markup-compatibility/2006">
          <mc:Choice Requires="x14">
            <control shapeId="12474" r:id="rId3007" name="Button 1210">
              <controlPr defaultSize="0" autoFill="0" autoLine="0" autoPict="0" macro="[0]!Sheet1.deleteRow">
                <anchor moveWithCells="1" sizeWithCells="1">
                  <from>
                    <xdr:col>6</xdr:col>
                    <xdr:colOff>0</xdr:colOff>
                    <xdr:row>5456</xdr:row>
                    <xdr:rowOff>0</xdr:rowOff>
                  </from>
                  <to>
                    <xdr:col>7</xdr:col>
                    <xdr:colOff>0</xdr:colOff>
                    <xdr:row>5456</xdr:row>
                    <xdr:rowOff>165100</xdr:rowOff>
                  </to>
                </anchor>
              </controlPr>
            </control>
          </mc:Choice>
        </mc:AlternateContent>
        <mc:AlternateContent xmlns:mc="http://schemas.openxmlformats.org/markup-compatibility/2006">
          <mc:Choice Requires="x14">
            <control shapeId="12473" r:id="rId3008" name="Button 1209">
              <controlPr defaultSize="0" autoFill="0" autoLine="0" autoPict="0" macro="[0]!Sheet1.deleteRow">
                <anchor moveWithCells="1" sizeWithCells="1">
                  <from>
                    <xdr:col>6</xdr:col>
                    <xdr:colOff>0</xdr:colOff>
                    <xdr:row>5457</xdr:row>
                    <xdr:rowOff>0</xdr:rowOff>
                  </from>
                  <to>
                    <xdr:col>7</xdr:col>
                    <xdr:colOff>0</xdr:colOff>
                    <xdr:row>5457</xdr:row>
                    <xdr:rowOff>165100</xdr:rowOff>
                  </to>
                </anchor>
              </controlPr>
            </control>
          </mc:Choice>
        </mc:AlternateContent>
        <mc:AlternateContent xmlns:mc="http://schemas.openxmlformats.org/markup-compatibility/2006">
          <mc:Choice Requires="x14">
            <control shapeId="12472" r:id="rId3009" name="Button 1208">
              <controlPr defaultSize="0" autoFill="0" autoLine="0" autoPict="0" macro="[0]!Sheet1.deleteRow">
                <anchor moveWithCells="1" sizeWithCells="1">
                  <from>
                    <xdr:col>6</xdr:col>
                    <xdr:colOff>0</xdr:colOff>
                    <xdr:row>5458</xdr:row>
                    <xdr:rowOff>0</xdr:rowOff>
                  </from>
                  <to>
                    <xdr:col>7</xdr:col>
                    <xdr:colOff>0</xdr:colOff>
                    <xdr:row>5458</xdr:row>
                    <xdr:rowOff>165100</xdr:rowOff>
                  </to>
                </anchor>
              </controlPr>
            </control>
          </mc:Choice>
        </mc:AlternateContent>
        <mc:AlternateContent xmlns:mc="http://schemas.openxmlformats.org/markup-compatibility/2006">
          <mc:Choice Requires="x14">
            <control shapeId="12471" r:id="rId3010" name="Button 1207">
              <controlPr defaultSize="0" autoFill="0" autoLine="0" autoPict="0" macro="[0]!Sheet1.deleteRow">
                <anchor moveWithCells="1" sizeWithCells="1">
                  <from>
                    <xdr:col>6</xdr:col>
                    <xdr:colOff>0</xdr:colOff>
                    <xdr:row>5459</xdr:row>
                    <xdr:rowOff>0</xdr:rowOff>
                  </from>
                  <to>
                    <xdr:col>7</xdr:col>
                    <xdr:colOff>0</xdr:colOff>
                    <xdr:row>5459</xdr:row>
                    <xdr:rowOff>165100</xdr:rowOff>
                  </to>
                </anchor>
              </controlPr>
            </control>
          </mc:Choice>
        </mc:AlternateContent>
        <mc:AlternateContent xmlns:mc="http://schemas.openxmlformats.org/markup-compatibility/2006">
          <mc:Choice Requires="x14">
            <control shapeId="12470" r:id="rId3011" name="Button 1206">
              <controlPr defaultSize="0" autoFill="0" autoLine="0" autoPict="0" macro="[0]!Sheet1.deleteRow">
                <anchor moveWithCells="1" sizeWithCells="1">
                  <from>
                    <xdr:col>6</xdr:col>
                    <xdr:colOff>0</xdr:colOff>
                    <xdr:row>5460</xdr:row>
                    <xdr:rowOff>0</xdr:rowOff>
                  </from>
                  <to>
                    <xdr:col>7</xdr:col>
                    <xdr:colOff>0</xdr:colOff>
                    <xdr:row>5460</xdr:row>
                    <xdr:rowOff>165100</xdr:rowOff>
                  </to>
                </anchor>
              </controlPr>
            </control>
          </mc:Choice>
        </mc:AlternateContent>
        <mc:AlternateContent xmlns:mc="http://schemas.openxmlformats.org/markup-compatibility/2006">
          <mc:Choice Requires="x14">
            <control shapeId="12469" r:id="rId3012" name="Button 1205">
              <controlPr defaultSize="0" autoFill="0" autoLine="0" autoPict="0" macro="[0]!Sheet1.deleteRow">
                <anchor moveWithCells="1" sizeWithCells="1">
                  <from>
                    <xdr:col>6</xdr:col>
                    <xdr:colOff>0</xdr:colOff>
                    <xdr:row>5461</xdr:row>
                    <xdr:rowOff>0</xdr:rowOff>
                  </from>
                  <to>
                    <xdr:col>7</xdr:col>
                    <xdr:colOff>0</xdr:colOff>
                    <xdr:row>5461</xdr:row>
                    <xdr:rowOff>165100</xdr:rowOff>
                  </to>
                </anchor>
              </controlPr>
            </control>
          </mc:Choice>
        </mc:AlternateContent>
        <mc:AlternateContent xmlns:mc="http://schemas.openxmlformats.org/markup-compatibility/2006">
          <mc:Choice Requires="x14">
            <control shapeId="12468" r:id="rId3013" name="Button 1204">
              <controlPr defaultSize="0" autoFill="0" autoLine="0" autoPict="0" macro="[0]!Sheet1.deleteRow">
                <anchor moveWithCells="1" sizeWithCells="1">
                  <from>
                    <xdr:col>6</xdr:col>
                    <xdr:colOff>0</xdr:colOff>
                    <xdr:row>5462</xdr:row>
                    <xdr:rowOff>0</xdr:rowOff>
                  </from>
                  <to>
                    <xdr:col>7</xdr:col>
                    <xdr:colOff>0</xdr:colOff>
                    <xdr:row>5462</xdr:row>
                    <xdr:rowOff>165100</xdr:rowOff>
                  </to>
                </anchor>
              </controlPr>
            </control>
          </mc:Choice>
        </mc:AlternateContent>
        <mc:AlternateContent xmlns:mc="http://schemas.openxmlformats.org/markup-compatibility/2006">
          <mc:Choice Requires="x14">
            <control shapeId="12467" r:id="rId3014" name="Button 1203">
              <controlPr defaultSize="0" autoFill="0" autoLine="0" autoPict="0" macro="[0]!Sheet1.deleteRow">
                <anchor moveWithCells="1" sizeWithCells="1">
                  <from>
                    <xdr:col>6</xdr:col>
                    <xdr:colOff>0</xdr:colOff>
                    <xdr:row>5463</xdr:row>
                    <xdr:rowOff>0</xdr:rowOff>
                  </from>
                  <to>
                    <xdr:col>7</xdr:col>
                    <xdr:colOff>0</xdr:colOff>
                    <xdr:row>5463</xdr:row>
                    <xdr:rowOff>165100</xdr:rowOff>
                  </to>
                </anchor>
              </controlPr>
            </control>
          </mc:Choice>
        </mc:AlternateContent>
        <mc:AlternateContent xmlns:mc="http://schemas.openxmlformats.org/markup-compatibility/2006">
          <mc:Choice Requires="x14">
            <control shapeId="12466" r:id="rId3015" name="Button 1202">
              <controlPr defaultSize="0" autoFill="0" autoLine="0" autoPict="0" macro="[0]!Sheet1.deleteRow">
                <anchor moveWithCells="1" sizeWithCells="1">
                  <from>
                    <xdr:col>6</xdr:col>
                    <xdr:colOff>0</xdr:colOff>
                    <xdr:row>5464</xdr:row>
                    <xdr:rowOff>0</xdr:rowOff>
                  </from>
                  <to>
                    <xdr:col>7</xdr:col>
                    <xdr:colOff>0</xdr:colOff>
                    <xdr:row>5464</xdr:row>
                    <xdr:rowOff>165100</xdr:rowOff>
                  </to>
                </anchor>
              </controlPr>
            </control>
          </mc:Choice>
        </mc:AlternateContent>
        <mc:AlternateContent xmlns:mc="http://schemas.openxmlformats.org/markup-compatibility/2006">
          <mc:Choice Requires="x14">
            <control shapeId="12465" r:id="rId3016" name="Button 1201">
              <controlPr defaultSize="0" autoFill="0" autoLine="0" autoPict="0" macro="[0]!Sheet1.deleteRow">
                <anchor moveWithCells="1" sizeWithCells="1">
                  <from>
                    <xdr:col>6</xdr:col>
                    <xdr:colOff>0</xdr:colOff>
                    <xdr:row>5465</xdr:row>
                    <xdr:rowOff>0</xdr:rowOff>
                  </from>
                  <to>
                    <xdr:col>7</xdr:col>
                    <xdr:colOff>0</xdr:colOff>
                    <xdr:row>5465</xdr:row>
                    <xdr:rowOff>165100</xdr:rowOff>
                  </to>
                </anchor>
              </controlPr>
            </control>
          </mc:Choice>
        </mc:AlternateContent>
        <mc:AlternateContent xmlns:mc="http://schemas.openxmlformats.org/markup-compatibility/2006">
          <mc:Choice Requires="x14">
            <control shapeId="12464" r:id="rId3017" name="Button 1200">
              <controlPr defaultSize="0" autoFill="0" autoLine="0" autoPict="0" macro="[0]!Sheet1.deleteRow">
                <anchor moveWithCells="1" sizeWithCells="1">
                  <from>
                    <xdr:col>6</xdr:col>
                    <xdr:colOff>0</xdr:colOff>
                    <xdr:row>5466</xdr:row>
                    <xdr:rowOff>0</xdr:rowOff>
                  </from>
                  <to>
                    <xdr:col>7</xdr:col>
                    <xdr:colOff>0</xdr:colOff>
                    <xdr:row>5466</xdr:row>
                    <xdr:rowOff>165100</xdr:rowOff>
                  </to>
                </anchor>
              </controlPr>
            </control>
          </mc:Choice>
        </mc:AlternateContent>
        <mc:AlternateContent xmlns:mc="http://schemas.openxmlformats.org/markup-compatibility/2006">
          <mc:Choice Requires="x14">
            <control shapeId="12463" r:id="rId3018" name="Button 1199">
              <controlPr defaultSize="0" autoFill="0" autoLine="0" autoPict="0" macro="[0]!Sheet1.deleteRow">
                <anchor moveWithCells="1" sizeWithCells="1">
                  <from>
                    <xdr:col>6</xdr:col>
                    <xdr:colOff>0</xdr:colOff>
                    <xdr:row>5467</xdr:row>
                    <xdr:rowOff>0</xdr:rowOff>
                  </from>
                  <to>
                    <xdr:col>7</xdr:col>
                    <xdr:colOff>0</xdr:colOff>
                    <xdr:row>5467</xdr:row>
                    <xdr:rowOff>165100</xdr:rowOff>
                  </to>
                </anchor>
              </controlPr>
            </control>
          </mc:Choice>
        </mc:AlternateContent>
        <mc:AlternateContent xmlns:mc="http://schemas.openxmlformats.org/markup-compatibility/2006">
          <mc:Choice Requires="x14">
            <control shapeId="12462" r:id="rId3019" name="Button 1198">
              <controlPr defaultSize="0" autoFill="0" autoLine="0" autoPict="0" macro="[0]!Sheet1.deleteRow">
                <anchor moveWithCells="1" sizeWithCells="1">
                  <from>
                    <xdr:col>6</xdr:col>
                    <xdr:colOff>0</xdr:colOff>
                    <xdr:row>5468</xdr:row>
                    <xdr:rowOff>0</xdr:rowOff>
                  </from>
                  <to>
                    <xdr:col>7</xdr:col>
                    <xdr:colOff>0</xdr:colOff>
                    <xdr:row>5468</xdr:row>
                    <xdr:rowOff>165100</xdr:rowOff>
                  </to>
                </anchor>
              </controlPr>
            </control>
          </mc:Choice>
        </mc:AlternateContent>
        <mc:AlternateContent xmlns:mc="http://schemas.openxmlformats.org/markup-compatibility/2006">
          <mc:Choice Requires="x14">
            <control shapeId="12461" r:id="rId3020" name="Button 1197">
              <controlPr defaultSize="0" autoFill="0" autoLine="0" autoPict="0" macro="[0]!Sheet1.deleteRow">
                <anchor moveWithCells="1" sizeWithCells="1">
                  <from>
                    <xdr:col>6</xdr:col>
                    <xdr:colOff>0</xdr:colOff>
                    <xdr:row>5469</xdr:row>
                    <xdr:rowOff>0</xdr:rowOff>
                  </from>
                  <to>
                    <xdr:col>7</xdr:col>
                    <xdr:colOff>0</xdr:colOff>
                    <xdr:row>5469</xdr:row>
                    <xdr:rowOff>165100</xdr:rowOff>
                  </to>
                </anchor>
              </controlPr>
            </control>
          </mc:Choice>
        </mc:AlternateContent>
        <mc:AlternateContent xmlns:mc="http://schemas.openxmlformats.org/markup-compatibility/2006">
          <mc:Choice Requires="x14">
            <control shapeId="12460" r:id="rId3021" name="Button 1196">
              <controlPr defaultSize="0" autoFill="0" autoLine="0" autoPict="0" macro="[0]!Sheet1.deleteRow">
                <anchor moveWithCells="1" sizeWithCells="1">
                  <from>
                    <xdr:col>6</xdr:col>
                    <xdr:colOff>0</xdr:colOff>
                    <xdr:row>5470</xdr:row>
                    <xdr:rowOff>0</xdr:rowOff>
                  </from>
                  <to>
                    <xdr:col>7</xdr:col>
                    <xdr:colOff>0</xdr:colOff>
                    <xdr:row>5470</xdr:row>
                    <xdr:rowOff>165100</xdr:rowOff>
                  </to>
                </anchor>
              </controlPr>
            </control>
          </mc:Choice>
        </mc:AlternateContent>
        <mc:AlternateContent xmlns:mc="http://schemas.openxmlformats.org/markup-compatibility/2006">
          <mc:Choice Requires="x14">
            <control shapeId="12459" r:id="rId3022" name="Button 1195">
              <controlPr defaultSize="0" autoFill="0" autoLine="0" autoPict="0" macro="[0]!Sheet1.deleteRow">
                <anchor moveWithCells="1" sizeWithCells="1">
                  <from>
                    <xdr:col>6</xdr:col>
                    <xdr:colOff>0</xdr:colOff>
                    <xdr:row>5471</xdr:row>
                    <xdr:rowOff>0</xdr:rowOff>
                  </from>
                  <to>
                    <xdr:col>7</xdr:col>
                    <xdr:colOff>0</xdr:colOff>
                    <xdr:row>5471</xdr:row>
                    <xdr:rowOff>165100</xdr:rowOff>
                  </to>
                </anchor>
              </controlPr>
            </control>
          </mc:Choice>
        </mc:AlternateContent>
        <mc:AlternateContent xmlns:mc="http://schemas.openxmlformats.org/markup-compatibility/2006">
          <mc:Choice Requires="x14">
            <control shapeId="12458" r:id="rId3023" name="Button 1194">
              <controlPr defaultSize="0" autoFill="0" autoLine="0" autoPict="0" macro="[0]!Sheet1.deleteRow">
                <anchor moveWithCells="1" sizeWithCells="1">
                  <from>
                    <xdr:col>6</xdr:col>
                    <xdr:colOff>0</xdr:colOff>
                    <xdr:row>5472</xdr:row>
                    <xdr:rowOff>0</xdr:rowOff>
                  </from>
                  <to>
                    <xdr:col>7</xdr:col>
                    <xdr:colOff>0</xdr:colOff>
                    <xdr:row>5472</xdr:row>
                    <xdr:rowOff>165100</xdr:rowOff>
                  </to>
                </anchor>
              </controlPr>
            </control>
          </mc:Choice>
        </mc:AlternateContent>
        <mc:AlternateContent xmlns:mc="http://schemas.openxmlformats.org/markup-compatibility/2006">
          <mc:Choice Requires="x14">
            <control shapeId="12457" r:id="rId3024" name="Button 1193">
              <controlPr defaultSize="0" autoFill="0" autoLine="0" autoPict="0" macro="[0]!Sheet1.deleteRow">
                <anchor moveWithCells="1" sizeWithCells="1">
                  <from>
                    <xdr:col>6</xdr:col>
                    <xdr:colOff>0</xdr:colOff>
                    <xdr:row>5473</xdr:row>
                    <xdr:rowOff>0</xdr:rowOff>
                  </from>
                  <to>
                    <xdr:col>7</xdr:col>
                    <xdr:colOff>0</xdr:colOff>
                    <xdr:row>5473</xdr:row>
                    <xdr:rowOff>165100</xdr:rowOff>
                  </to>
                </anchor>
              </controlPr>
            </control>
          </mc:Choice>
        </mc:AlternateContent>
        <mc:AlternateContent xmlns:mc="http://schemas.openxmlformats.org/markup-compatibility/2006">
          <mc:Choice Requires="x14">
            <control shapeId="12456" r:id="rId3025" name="Button 1192">
              <controlPr defaultSize="0" autoFill="0" autoLine="0" autoPict="0" macro="[0]!Sheet1.deleteRow">
                <anchor moveWithCells="1" sizeWithCells="1">
                  <from>
                    <xdr:col>6</xdr:col>
                    <xdr:colOff>0</xdr:colOff>
                    <xdr:row>5474</xdr:row>
                    <xdr:rowOff>0</xdr:rowOff>
                  </from>
                  <to>
                    <xdr:col>7</xdr:col>
                    <xdr:colOff>0</xdr:colOff>
                    <xdr:row>5474</xdr:row>
                    <xdr:rowOff>165100</xdr:rowOff>
                  </to>
                </anchor>
              </controlPr>
            </control>
          </mc:Choice>
        </mc:AlternateContent>
        <mc:AlternateContent xmlns:mc="http://schemas.openxmlformats.org/markup-compatibility/2006">
          <mc:Choice Requires="x14">
            <control shapeId="12455" r:id="rId3026" name="Button 1191">
              <controlPr defaultSize="0" autoFill="0" autoLine="0" autoPict="0" macro="[0]!Sheet1.deleteRow">
                <anchor moveWithCells="1" sizeWithCells="1">
                  <from>
                    <xdr:col>6</xdr:col>
                    <xdr:colOff>0</xdr:colOff>
                    <xdr:row>5475</xdr:row>
                    <xdr:rowOff>0</xdr:rowOff>
                  </from>
                  <to>
                    <xdr:col>7</xdr:col>
                    <xdr:colOff>0</xdr:colOff>
                    <xdr:row>5475</xdr:row>
                    <xdr:rowOff>165100</xdr:rowOff>
                  </to>
                </anchor>
              </controlPr>
            </control>
          </mc:Choice>
        </mc:AlternateContent>
        <mc:AlternateContent xmlns:mc="http://schemas.openxmlformats.org/markup-compatibility/2006">
          <mc:Choice Requires="x14">
            <control shapeId="12454" r:id="rId3027" name="Button 1190">
              <controlPr defaultSize="0" autoFill="0" autoLine="0" autoPict="0" macro="[0]!Sheet1.deleteRow">
                <anchor moveWithCells="1" sizeWithCells="1">
                  <from>
                    <xdr:col>6</xdr:col>
                    <xdr:colOff>0</xdr:colOff>
                    <xdr:row>5476</xdr:row>
                    <xdr:rowOff>0</xdr:rowOff>
                  </from>
                  <to>
                    <xdr:col>7</xdr:col>
                    <xdr:colOff>0</xdr:colOff>
                    <xdr:row>5476</xdr:row>
                    <xdr:rowOff>165100</xdr:rowOff>
                  </to>
                </anchor>
              </controlPr>
            </control>
          </mc:Choice>
        </mc:AlternateContent>
        <mc:AlternateContent xmlns:mc="http://schemas.openxmlformats.org/markup-compatibility/2006">
          <mc:Choice Requires="x14">
            <control shapeId="12453" r:id="rId3028" name="Button 1189">
              <controlPr defaultSize="0" autoFill="0" autoLine="0" autoPict="0" macro="[0]!Sheet1.deleteRow">
                <anchor moveWithCells="1" sizeWithCells="1">
                  <from>
                    <xdr:col>6</xdr:col>
                    <xdr:colOff>0</xdr:colOff>
                    <xdr:row>5477</xdr:row>
                    <xdr:rowOff>0</xdr:rowOff>
                  </from>
                  <to>
                    <xdr:col>7</xdr:col>
                    <xdr:colOff>0</xdr:colOff>
                    <xdr:row>5477</xdr:row>
                    <xdr:rowOff>165100</xdr:rowOff>
                  </to>
                </anchor>
              </controlPr>
            </control>
          </mc:Choice>
        </mc:AlternateContent>
        <mc:AlternateContent xmlns:mc="http://schemas.openxmlformats.org/markup-compatibility/2006">
          <mc:Choice Requires="x14">
            <control shapeId="12452" r:id="rId3029" name="Button 1188">
              <controlPr defaultSize="0" autoFill="0" autoLine="0" autoPict="0" macro="[0]!Sheet1.deleteRow">
                <anchor moveWithCells="1" sizeWithCells="1">
                  <from>
                    <xdr:col>6</xdr:col>
                    <xdr:colOff>0</xdr:colOff>
                    <xdr:row>5478</xdr:row>
                    <xdr:rowOff>0</xdr:rowOff>
                  </from>
                  <to>
                    <xdr:col>7</xdr:col>
                    <xdr:colOff>0</xdr:colOff>
                    <xdr:row>5478</xdr:row>
                    <xdr:rowOff>165100</xdr:rowOff>
                  </to>
                </anchor>
              </controlPr>
            </control>
          </mc:Choice>
        </mc:AlternateContent>
        <mc:AlternateContent xmlns:mc="http://schemas.openxmlformats.org/markup-compatibility/2006">
          <mc:Choice Requires="x14">
            <control shapeId="12451" r:id="rId3030" name="Button 1187">
              <controlPr defaultSize="0" autoFill="0" autoLine="0" autoPict="0" macro="[0]!Sheet1.deleteRow">
                <anchor moveWithCells="1" sizeWithCells="1">
                  <from>
                    <xdr:col>6</xdr:col>
                    <xdr:colOff>0</xdr:colOff>
                    <xdr:row>5479</xdr:row>
                    <xdr:rowOff>0</xdr:rowOff>
                  </from>
                  <to>
                    <xdr:col>7</xdr:col>
                    <xdr:colOff>0</xdr:colOff>
                    <xdr:row>5479</xdr:row>
                    <xdr:rowOff>165100</xdr:rowOff>
                  </to>
                </anchor>
              </controlPr>
            </control>
          </mc:Choice>
        </mc:AlternateContent>
        <mc:AlternateContent xmlns:mc="http://schemas.openxmlformats.org/markup-compatibility/2006">
          <mc:Choice Requires="x14">
            <control shapeId="12450" r:id="rId3031" name="Button 1186">
              <controlPr defaultSize="0" autoFill="0" autoLine="0" autoPict="0" macro="[0]!Sheet1.deleteRow">
                <anchor moveWithCells="1" sizeWithCells="1">
                  <from>
                    <xdr:col>6</xdr:col>
                    <xdr:colOff>0</xdr:colOff>
                    <xdr:row>5480</xdr:row>
                    <xdr:rowOff>0</xdr:rowOff>
                  </from>
                  <to>
                    <xdr:col>7</xdr:col>
                    <xdr:colOff>0</xdr:colOff>
                    <xdr:row>5480</xdr:row>
                    <xdr:rowOff>165100</xdr:rowOff>
                  </to>
                </anchor>
              </controlPr>
            </control>
          </mc:Choice>
        </mc:AlternateContent>
        <mc:AlternateContent xmlns:mc="http://schemas.openxmlformats.org/markup-compatibility/2006">
          <mc:Choice Requires="x14">
            <control shapeId="12449" r:id="rId3032" name="Button 1185">
              <controlPr defaultSize="0" autoFill="0" autoLine="0" autoPict="0" macro="[0]!Sheet1.deleteRow">
                <anchor moveWithCells="1" sizeWithCells="1">
                  <from>
                    <xdr:col>6</xdr:col>
                    <xdr:colOff>0</xdr:colOff>
                    <xdr:row>5481</xdr:row>
                    <xdr:rowOff>0</xdr:rowOff>
                  </from>
                  <to>
                    <xdr:col>7</xdr:col>
                    <xdr:colOff>0</xdr:colOff>
                    <xdr:row>5481</xdr:row>
                    <xdr:rowOff>165100</xdr:rowOff>
                  </to>
                </anchor>
              </controlPr>
            </control>
          </mc:Choice>
        </mc:AlternateContent>
        <mc:AlternateContent xmlns:mc="http://schemas.openxmlformats.org/markup-compatibility/2006">
          <mc:Choice Requires="x14">
            <control shapeId="12448" r:id="rId3033" name="Button 1184">
              <controlPr defaultSize="0" autoFill="0" autoLine="0" autoPict="0" macro="[0]!Sheet1.deleteRow">
                <anchor moveWithCells="1" sizeWithCells="1">
                  <from>
                    <xdr:col>6</xdr:col>
                    <xdr:colOff>0</xdr:colOff>
                    <xdr:row>5482</xdr:row>
                    <xdr:rowOff>0</xdr:rowOff>
                  </from>
                  <to>
                    <xdr:col>7</xdr:col>
                    <xdr:colOff>0</xdr:colOff>
                    <xdr:row>5482</xdr:row>
                    <xdr:rowOff>165100</xdr:rowOff>
                  </to>
                </anchor>
              </controlPr>
            </control>
          </mc:Choice>
        </mc:AlternateContent>
        <mc:AlternateContent xmlns:mc="http://schemas.openxmlformats.org/markup-compatibility/2006">
          <mc:Choice Requires="x14">
            <control shapeId="12447" r:id="rId3034" name="Button 1183">
              <controlPr defaultSize="0" autoFill="0" autoLine="0" autoPict="0" macro="[0]!Sheet1.deleteRow">
                <anchor moveWithCells="1" sizeWithCells="1">
                  <from>
                    <xdr:col>6</xdr:col>
                    <xdr:colOff>0</xdr:colOff>
                    <xdr:row>5483</xdr:row>
                    <xdr:rowOff>0</xdr:rowOff>
                  </from>
                  <to>
                    <xdr:col>7</xdr:col>
                    <xdr:colOff>0</xdr:colOff>
                    <xdr:row>5483</xdr:row>
                    <xdr:rowOff>165100</xdr:rowOff>
                  </to>
                </anchor>
              </controlPr>
            </control>
          </mc:Choice>
        </mc:AlternateContent>
        <mc:AlternateContent xmlns:mc="http://schemas.openxmlformats.org/markup-compatibility/2006">
          <mc:Choice Requires="x14">
            <control shapeId="12446" r:id="rId3035" name="Button 1182">
              <controlPr defaultSize="0" autoFill="0" autoLine="0" autoPict="0" macro="[0]!Sheet1.deleteRow">
                <anchor moveWithCells="1" sizeWithCells="1">
                  <from>
                    <xdr:col>6</xdr:col>
                    <xdr:colOff>0</xdr:colOff>
                    <xdr:row>5484</xdr:row>
                    <xdr:rowOff>0</xdr:rowOff>
                  </from>
                  <to>
                    <xdr:col>7</xdr:col>
                    <xdr:colOff>0</xdr:colOff>
                    <xdr:row>5484</xdr:row>
                    <xdr:rowOff>165100</xdr:rowOff>
                  </to>
                </anchor>
              </controlPr>
            </control>
          </mc:Choice>
        </mc:AlternateContent>
        <mc:AlternateContent xmlns:mc="http://schemas.openxmlformats.org/markup-compatibility/2006">
          <mc:Choice Requires="x14">
            <control shapeId="12445" r:id="rId3036" name="Button 1181">
              <controlPr defaultSize="0" autoFill="0" autoLine="0" autoPict="0" macro="[0]!Sheet1.deleteProcedure">
                <anchor moveWithCells="1" sizeWithCells="1">
                  <from>
                    <xdr:col>6</xdr:col>
                    <xdr:colOff>0</xdr:colOff>
                    <xdr:row>5487</xdr:row>
                    <xdr:rowOff>0</xdr:rowOff>
                  </from>
                  <to>
                    <xdr:col>7</xdr:col>
                    <xdr:colOff>0</xdr:colOff>
                    <xdr:row>5488</xdr:row>
                    <xdr:rowOff>0</xdr:rowOff>
                  </to>
                </anchor>
              </controlPr>
            </control>
          </mc:Choice>
        </mc:AlternateContent>
        <mc:AlternateContent xmlns:mc="http://schemas.openxmlformats.org/markup-compatibility/2006">
          <mc:Choice Requires="x14">
            <control shapeId="12444" r:id="rId3037" name="Button 1180">
              <controlPr defaultSize="0" autoFill="0" autoLine="0" autoPict="0" macro="[0]!Sheet1.InsertNewTableRow">
                <anchor moveWithCells="1" sizeWithCells="1">
                  <from>
                    <xdr:col>6</xdr:col>
                    <xdr:colOff>0</xdr:colOff>
                    <xdr:row>5494</xdr:row>
                    <xdr:rowOff>0</xdr:rowOff>
                  </from>
                  <to>
                    <xdr:col>7</xdr:col>
                    <xdr:colOff>0</xdr:colOff>
                    <xdr:row>5494</xdr:row>
                    <xdr:rowOff>171450</xdr:rowOff>
                  </to>
                </anchor>
              </controlPr>
            </control>
          </mc:Choice>
        </mc:AlternateContent>
        <mc:AlternateContent xmlns:mc="http://schemas.openxmlformats.org/markup-compatibility/2006">
          <mc:Choice Requires="x14">
            <control shapeId="12443" r:id="rId3038" name="Button 1179">
              <controlPr defaultSize="0" autoFill="0" autoLine="0" autoPict="0" macro="[0]!Sheet1.deleteRow">
                <anchor moveWithCells="1" sizeWithCells="1">
                  <from>
                    <xdr:col>6</xdr:col>
                    <xdr:colOff>0</xdr:colOff>
                    <xdr:row>5495</xdr:row>
                    <xdr:rowOff>0</xdr:rowOff>
                  </from>
                  <to>
                    <xdr:col>7</xdr:col>
                    <xdr:colOff>0</xdr:colOff>
                    <xdr:row>5495</xdr:row>
                    <xdr:rowOff>165100</xdr:rowOff>
                  </to>
                </anchor>
              </controlPr>
            </control>
          </mc:Choice>
        </mc:AlternateContent>
        <mc:AlternateContent xmlns:mc="http://schemas.openxmlformats.org/markup-compatibility/2006">
          <mc:Choice Requires="x14">
            <control shapeId="12442" r:id="rId3039" name="Button 1178">
              <controlPr defaultSize="0" autoFill="0" autoLine="0" autoPict="0" macro="[0]!Sheet1.deleteRow">
                <anchor moveWithCells="1" sizeWithCells="1">
                  <from>
                    <xdr:col>6</xdr:col>
                    <xdr:colOff>0</xdr:colOff>
                    <xdr:row>5496</xdr:row>
                    <xdr:rowOff>0</xdr:rowOff>
                  </from>
                  <to>
                    <xdr:col>7</xdr:col>
                    <xdr:colOff>0</xdr:colOff>
                    <xdr:row>5496</xdr:row>
                    <xdr:rowOff>165100</xdr:rowOff>
                  </to>
                </anchor>
              </controlPr>
            </control>
          </mc:Choice>
        </mc:AlternateContent>
        <mc:AlternateContent xmlns:mc="http://schemas.openxmlformats.org/markup-compatibility/2006">
          <mc:Choice Requires="x14">
            <control shapeId="12441" r:id="rId3040" name="Button 1177">
              <controlPr defaultSize="0" autoFill="0" autoLine="0" autoPict="0" macro="[0]!Sheet1.deleteRow">
                <anchor moveWithCells="1" sizeWithCells="1">
                  <from>
                    <xdr:col>6</xdr:col>
                    <xdr:colOff>0</xdr:colOff>
                    <xdr:row>5497</xdr:row>
                    <xdr:rowOff>0</xdr:rowOff>
                  </from>
                  <to>
                    <xdr:col>7</xdr:col>
                    <xdr:colOff>0</xdr:colOff>
                    <xdr:row>5497</xdr:row>
                    <xdr:rowOff>165100</xdr:rowOff>
                  </to>
                </anchor>
              </controlPr>
            </control>
          </mc:Choice>
        </mc:AlternateContent>
        <mc:AlternateContent xmlns:mc="http://schemas.openxmlformats.org/markup-compatibility/2006">
          <mc:Choice Requires="x14">
            <control shapeId="12440" r:id="rId3041" name="Button 1176">
              <controlPr defaultSize="0" autoFill="0" autoLine="0" autoPict="0" macro="[0]!Sheet1.deleteRow">
                <anchor moveWithCells="1" sizeWithCells="1">
                  <from>
                    <xdr:col>6</xdr:col>
                    <xdr:colOff>0</xdr:colOff>
                    <xdr:row>5498</xdr:row>
                    <xdr:rowOff>0</xdr:rowOff>
                  </from>
                  <to>
                    <xdr:col>7</xdr:col>
                    <xdr:colOff>0</xdr:colOff>
                    <xdr:row>5498</xdr:row>
                    <xdr:rowOff>165100</xdr:rowOff>
                  </to>
                </anchor>
              </controlPr>
            </control>
          </mc:Choice>
        </mc:AlternateContent>
        <mc:AlternateContent xmlns:mc="http://schemas.openxmlformats.org/markup-compatibility/2006">
          <mc:Choice Requires="x14">
            <control shapeId="12439" r:id="rId3042" name="Button 1175">
              <controlPr defaultSize="0" autoFill="0" autoLine="0" autoPict="0" macro="[0]!Sheet1.deleteProcedure">
                <anchor moveWithCells="1" sizeWithCells="1">
                  <from>
                    <xdr:col>6</xdr:col>
                    <xdr:colOff>0</xdr:colOff>
                    <xdr:row>5501</xdr:row>
                    <xdr:rowOff>0</xdr:rowOff>
                  </from>
                  <to>
                    <xdr:col>7</xdr:col>
                    <xdr:colOff>0</xdr:colOff>
                    <xdr:row>5502</xdr:row>
                    <xdr:rowOff>0</xdr:rowOff>
                  </to>
                </anchor>
              </controlPr>
            </control>
          </mc:Choice>
        </mc:AlternateContent>
        <mc:AlternateContent xmlns:mc="http://schemas.openxmlformats.org/markup-compatibility/2006">
          <mc:Choice Requires="x14">
            <control shapeId="12438" r:id="rId3043" name="Button 1174">
              <controlPr defaultSize="0" autoFill="0" autoLine="0" autoPict="0" macro="[0]!Sheet1.InsertNewTableRow">
                <anchor moveWithCells="1" sizeWithCells="1">
                  <from>
                    <xdr:col>6</xdr:col>
                    <xdr:colOff>0</xdr:colOff>
                    <xdr:row>5508</xdr:row>
                    <xdr:rowOff>0</xdr:rowOff>
                  </from>
                  <to>
                    <xdr:col>7</xdr:col>
                    <xdr:colOff>0</xdr:colOff>
                    <xdr:row>5508</xdr:row>
                    <xdr:rowOff>171450</xdr:rowOff>
                  </to>
                </anchor>
              </controlPr>
            </control>
          </mc:Choice>
        </mc:AlternateContent>
        <mc:AlternateContent xmlns:mc="http://schemas.openxmlformats.org/markup-compatibility/2006">
          <mc:Choice Requires="x14">
            <control shapeId="12437" r:id="rId3044" name="Button 1173">
              <controlPr defaultSize="0" autoFill="0" autoLine="0" autoPict="0" macro="[0]!Sheet1.deleteRow">
                <anchor moveWithCells="1" sizeWithCells="1">
                  <from>
                    <xdr:col>6</xdr:col>
                    <xdr:colOff>0</xdr:colOff>
                    <xdr:row>5509</xdr:row>
                    <xdr:rowOff>0</xdr:rowOff>
                  </from>
                  <to>
                    <xdr:col>7</xdr:col>
                    <xdr:colOff>0</xdr:colOff>
                    <xdr:row>5509</xdr:row>
                    <xdr:rowOff>165100</xdr:rowOff>
                  </to>
                </anchor>
              </controlPr>
            </control>
          </mc:Choice>
        </mc:AlternateContent>
        <mc:AlternateContent xmlns:mc="http://schemas.openxmlformats.org/markup-compatibility/2006">
          <mc:Choice Requires="x14">
            <control shapeId="12436" r:id="rId3045" name="Button 1172">
              <controlPr defaultSize="0" autoFill="0" autoLine="0" autoPict="0" macro="[0]!Sheet1.deleteRow">
                <anchor moveWithCells="1" sizeWithCells="1">
                  <from>
                    <xdr:col>6</xdr:col>
                    <xdr:colOff>0</xdr:colOff>
                    <xdr:row>5510</xdr:row>
                    <xdr:rowOff>0</xdr:rowOff>
                  </from>
                  <to>
                    <xdr:col>7</xdr:col>
                    <xdr:colOff>0</xdr:colOff>
                    <xdr:row>5510</xdr:row>
                    <xdr:rowOff>165100</xdr:rowOff>
                  </to>
                </anchor>
              </controlPr>
            </control>
          </mc:Choice>
        </mc:AlternateContent>
        <mc:AlternateContent xmlns:mc="http://schemas.openxmlformats.org/markup-compatibility/2006">
          <mc:Choice Requires="x14">
            <control shapeId="12435" r:id="rId3046" name="Button 1171">
              <controlPr defaultSize="0" autoFill="0" autoLine="0" autoPict="0" macro="[0]!Sheet1.deleteRow">
                <anchor moveWithCells="1" sizeWithCells="1">
                  <from>
                    <xdr:col>6</xdr:col>
                    <xdr:colOff>0</xdr:colOff>
                    <xdr:row>5511</xdr:row>
                    <xdr:rowOff>0</xdr:rowOff>
                  </from>
                  <to>
                    <xdr:col>7</xdr:col>
                    <xdr:colOff>0</xdr:colOff>
                    <xdr:row>5511</xdr:row>
                    <xdr:rowOff>165100</xdr:rowOff>
                  </to>
                </anchor>
              </controlPr>
            </control>
          </mc:Choice>
        </mc:AlternateContent>
        <mc:AlternateContent xmlns:mc="http://schemas.openxmlformats.org/markup-compatibility/2006">
          <mc:Choice Requires="x14">
            <control shapeId="12434" r:id="rId3047" name="Button 1170">
              <controlPr defaultSize="0" autoFill="0" autoLine="0" autoPict="0" macro="[0]!Sheet1.deleteRow">
                <anchor moveWithCells="1" sizeWithCells="1">
                  <from>
                    <xdr:col>6</xdr:col>
                    <xdr:colOff>0</xdr:colOff>
                    <xdr:row>5512</xdr:row>
                    <xdr:rowOff>0</xdr:rowOff>
                  </from>
                  <to>
                    <xdr:col>7</xdr:col>
                    <xdr:colOff>0</xdr:colOff>
                    <xdr:row>5512</xdr:row>
                    <xdr:rowOff>165100</xdr:rowOff>
                  </to>
                </anchor>
              </controlPr>
            </control>
          </mc:Choice>
        </mc:AlternateContent>
        <mc:AlternateContent xmlns:mc="http://schemas.openxmlformats.org/markup-compatibility/2006">
          <mc:Choice Requires="x14">
            <control shapeId="12433" r:id="rId3048" name="Button 1169">
              <controlPr defaultSize="0" autoFill="0" autoLine="0" autoPict="0" macro="[0]!Sheet1.deleteRow">
                <anchor moveWithCells="1" sizeWithCells="1">
                  <from>
                    <xdr:col>6</xdr:col>
                    <xdr:colOff>0</xdr:colOff>
                    <xdr:row>5513</xdr:row>
                    <xdr:rowOff>0</xdr:rowOff>
                  </from>
                  <to>
                    <xdr:col>7</xdr:col>
                    <xdr:colOff>0</xdr:colOff>
                    <xdr:row>5513</xdr:row>
                    <xdr:rowOff>165100</xdr:rowOff>
                  </to>
                </anchor>
              </controlPr>
            </control>
          </mc:Choice>
        </mc:AlternateContent>
        <mc:AlternateContent xmlns:mc="http://schemas.openxmlformats.org/markup-compatibility/2006">
          <mc:Choice Requires="x14">
            <control shapeId="12432" r:id="rId3049" name="Button 1168">
              <controlPr defaultSize="0" autoFill="0" autoLine="0" autoPict="0" macro="[0]!Sheet1.deleteRow">
                <anchor moveWithCells="1" sizeWithCells="1">
                  <from>
                    <xdr:col>6</xdr:col>
                    <xdr:colOff>0</xdr:colOff>
                    <xdr:row>5514</xdr:row>
                    <xdr:rowOff>0</xdr:rowOff>
                  </from>
                  <to>
                    <xdr:col>7</xdr:col>
                    <xdr:colOff>0</xdr:colOff>
                    <xdr:row>5514</xdr:row>
                    <xdr:rowOff>165100</xdr:rowOff>
                  </to>
                </anchor>
              </controlPr>
            </control>
          </mc:Choice>
        </mc:AlternateContent>
        <mc:AlternateContent xmlns:mc="http://schemas.openxmlformats.org/markup-compatibility/2006">
          <mc:Choice Requires="x14">
            <control shapeId="12431" r:id="rId3050" name="Button 1167">
              <controlPr defaultSize="0" autoFill="0" autoLine="0" autoPict="0" macro="[0]!Sheet1.deleteRow">
                <anchor moveWithCells="1" sizeWithCells="1">
                  <from>
                    <xdr:col>6</xdr:col>
                    <xdr:colOff>0</xdr:colOff>
                    <xdr:row>5515</xdr:row>
                    <xdr:rowOff>0</xdr:rowOff>
                  </from>
                  <to>
                    <xdr:col>7</xdr:col>
                    <xdr:colOff>0</xdr:colOff>
                    <xdr:row>5515</xdr:row>
                    <xdr:rowOff>165100</xdr:rowOff>
                  </to>
                </anchor>
              </controlPr>
            </control>
          </mc:Choice>
        </mc:AlternateContent>
        <mc:AlternateContent xmlns:mc="http://schemas.openxmlformats.org/markup-compatibility/2006">
          <mc:Choice Requires="x14">
            <control shapeId="12430" r:id="rId3051" name="Button 1166">
              <controlPr defaultSize="0" autoFill="0" autoLine="0" autoPict="0" macro="[0]!Sheet1.deleteRow">
                <anchor moveWithCells="1" sizeWithCells="1">
                  <from>
                    <xdr:col>6</xdr:col>
                    <xdr:colOff>0</xdr:colOff>
                    <xdr:row>5516</xdr:row>
                    <xdr:rowOff>0</xdr:rowOff>
                  </from>
                  <to>
                    <xdr:col>7</xdr:col>
                    <xdr:colOff>0</xdr:colOff>
                    <xdr:row>5516</xdr:row>
                    <xdr:rowOff>165100</xdr:rowOff>
                  </to>
                </anchor>
              </controlPr>
            </control>
          </mc:Choice>
        </mc:AlternateContent>
        <mc:AlternateContent xmlns:mc="http://schemas.openxmlformats.org/markup-compatibility/2006">
          <mc:Choice Requires="x14">
            <control shapeId="12429" r:id="rId3052" name="Button 1165">
              <controlPr defaultSize="0" autoFill="0" autoLine="0" autoPict="0" macro="[0]!Sheet1.deleteRow">
                <anchor moveWithCells="1" sizeWithCells="1">
                  <from>
                    <xdr:col>6</xdr:col>
                    <xdr:colOff>0</xdr:colOff>
                    <xdr:row>5517</xdr:row>
                    <xdr:rowOff>0</xdr:rowOff>
                  </from>
                  <to>
                    <xdr:col>7</xdr:col>
                    <xdr:colOff>0</xdr:colOff>
                    <xdr:row>5517</xdr:row>
                    <xdr:rowOff>165100</xdr:rowOff>
                  </to>
                </anchor>
              </controlPr>
            </control>
          </mc:Choice>
        </mc:AlternateContent>
        <mc:AlternateContent xmlns:mc="http://schemas.openxmlformats.org/markup-compatibility/2006">
          <mc:Choice Requires="x14">
            <control shapeId="12428" r:id="rId3053" name="Button 1164">
              <controlPr defaultSize="0" autoFill="0" autoLine="0" autoPict="0" macro="[0]!Sheet1.deleteRow">
                <anchor moveWithCells="1" sizeWithCells="1">
                  <from>
                    <xdr:col>6</xdr:col>
                    <xdr:colOff>0</xdr:colOff>
                    <xdr:row>5518</xdr:row>
                    <xdr:rowOff>0</xdr:rowOff>
                  </from>
                  <to>
                    <xdr:col>7</xdr:col>
                    <xdr:colOff>0</xdr:colOff>
                    <xdr:row>5518</xdr:row>
                    <xdr:rowOff>165100</xdr:rowOff>
                  </to>
                </anchor>
              </controlPr>
            </control>
          </mc:Choice>
        </mc:AlternateContent>
        <mc:AlternateContent xmlns:mc="http://schemas.openxmlformats.org/markup-compatibility/2006">
          <mc:Choice Requires="x14">
            <control shapeId="12427" r:id="rId3054" name="Button 1163">
              <controlPr defaultSize="0" autoFill="0" autoLine="0" autoPict="0" macro="[0]!Sheet1.deleteProcedure">
                <anchor moveWithCells="1" sizeWithCells="1">
                  <from>
                    <xdr:col>6</xdr:col>
                    <xdr:colOff>0</xdr:colOff>
                    <xdr:row>5521</xdr:row>
                    <xdr:rowOff>0</xdr:rowOff>
                  </from>
                  <to>
                    <xdr:col>7</xdr:col>
                    <xdr:colOff>0</xdr:colOff>
                    <xdr:row>5522</xdr:row>
                    <xdr:rowOff>0</xdr:rowOff>
                  </to>
                </anchor>
              </controlPr>
            </control>
          </mc:Choice>
        </mc:AlternateContent>
        <mc:AlternateContent xmlns:mc="http://schemas.openxmlformats.org/markup-compatibility/2006">
          <mc:Choice Requires="x14">
            <control shapeId="12426" r:id="rId3055" name="Button 1162">
              <controlPr defaultSize="0" autoFill="0" autoLine="0" autoPict="0" macro="[0]!Sheet1.InsertNewTableRow">
                <anchor moveWithCells="1" sizeWithCells="1">
                  <from>
                    <xdr:col>6</xdr:col>
                    <xdr:colOff>0</xdr:colOff>
                    <xdr:row>5528</xdr:row>
                    <xdr:rowOff>0</xdr:rowOff>
                  </from>
                  <to>
                    <xdr:col>7</xdr:col>
                    <xdr:colOff>0</xdr:colOff>
                    <xdr:row>5528</xdr:row>
                    <xdr:rowOff>171450</xdr:rowOff>
                  </to>
                </anchor>
              </controlPr>
            </control>
          </mc:Choice>
        </mc:AlternateContent>
        <mc:AlternateContent xmlns:mc="http://schemas.openxmlformats.org/markup-compatibility/2006">
          <mc:Choice Requires="x14">
            <control shapeId="12425" r:id="rId3056" name="Button 1161">
              <controlPr defaultSize="0" autoFill="0" autoLine="0" autoPict="0" macro="[0]!Sheet1.deleteRow">
                <anchor moveWithCells="1" sizeWithCells="1">
                  <from>
                    <xdr:col>6</xdr:col>
                    <xdr:colOff>0</xdr:colOff>
                    <xdr:row>5529</xdr:row>
                    <xdr:rowOff>0</xdr:rowOff>
                  </from>
                  <to>
                    <xdr:col>7</xdr:col>
                    <xdr:colOff>0</xdr:colOff>
                    <xdr:row>5529</xdr:row>
                    <xdr:rowOff>165100</xdr:rowOff>
                  </to>
                </anchor>
              </controlPr>
            </control>
          </mc:Choice>
        </mc:AlternateContent>
        <mc:AlternateContent xmlns:mc="http://schemas.openxmlformats.org/markup-compatibility/2006">
          <mc:Choice Requires="x14">
            <control shapeId="12424" r:id="rId3057" name="Button 1160">
              <controlPr defaultSize="0" autoFill="0" autoLine="0" autoPict="0" macro="[0]!Sheet1.deleteRow">
                <anchor moveWithCells="1" sizeWithCells="1">
                  <from>
                    <xdr:col>6</xdr:col>
                    <xdr:colOff>0</xdr:colOff>
                    <xdr:row>5530</xdr:row>
                    <xdr:rowOff>0</xdr:rowOff>
                  </from>
                  <to>
                    <xdr:col>7</xdr:col>
                    <xdr:colOff>0</xdr:colOff>
                    <xdr:row>5530</xdr:row>
                    <xdr:rowOff>165100</xdr:rowOff>
                  </to>
                </anchor>
              </controlPr>
            </control>
          </mc:Choice>
        </mc:AlternateContent>
        <mc:AlternateContent xmlns:mc="http://schemas.openxmlformats.org/markup-compatibility/2006">
          <mc:Choice Requires="x14">
            <control shapeId="12423" r:id="rId3058" name="Button 1159">
              <controlPr defaultSize="0" autoFill="0" autoLine="0" autoPict="0" macro="[0]!Sheet1.deleteRow">
                <anchor moveWithCells="1" sizeWithCells="1">
                  <from>
                    <xdr:col>6</xdr:col>
                    <xdr:colOff>0</xdr:colOff>
                    <xdr:row>5531</xdr:row>
                    <xdr:rowOff>0</xdr:rowOff>
                  </from>
                  <to>
                    <xdr:col>7</xdr:col>
                    <xdr:colOff>0</xdr:colOff>
                    <xdr:row>5531</xdr:row>
                    <xdr:rowOff>165100</xdr:rowOff>
                  </to>
                </anchor>
              </controlPr>
            </control>
          </mc:Choice>
        </mc:AlternateContent>
        <mc:AlternateContent xmlns:mc="http://schemas.openxmlformats.org/markup-compatibility/2006">
          <mc:Choice Requires="x14">
            <control shapeId="12422" r:id="rId3059" name="Button 1158">
              <controlPr defaultSize="0" autoFill="0" autoLine="0" autoPict="0" macro="[0]!Sheet1.deleteRow">
                <anchor moveWithCells="1" sizeWithCells="1">
                  <from>
                    <xdr:col>6</xdr:col>
                    <xdr:colOff>0</xdr:colOff>
                    <xdr:row>5532</xdr:row>
                    <xdr:rowOff>0</xdr:rowOff>
                  </from>
                  <to>
                    <xdr:col>7</xdr:col>
                    <xdr:colOff>0</xdr:colOff>
                    <xdr:row>5532</xdr:row>
                    <xdr:rowOff>165100</xdr:rowOff>
                  </to>
                </anchor>
              </controlPr>
            </control>
          </mc:Choice>
        </mc:AlternateContent>
        <mc:AlternateContent xmlns:mc="http://schemas.openxmlformats.org/markup-compatibility/2006">
          <mc:Choice Requires="x14">
            <control shapeId="12421" r:id="rId3060" name="Button 1157">
              <controlPr defaultSize="0" autoFill="0" autoLine="0" autoPict="0" macro="[0]!Sheet1.deleteRow">
                <anchor moveWithCells="1" sizeWithCells="1">
                  <from>
                    <xdr:col>6</xdr:col>
                    <xdr:colOff>0</xdr:colOff>
                    <xdr:row>5533</xdr:row>
                    <xdr:rowOff>0</xdr:rowOff>
                  </from>
                  <to>
                    <xdr:col>7</xdr:col>
                    <xdr:colOff>0</xdr:colOff>
                    <xdr:row>5533</xdr:row>
                    <xdr:rowOff>165100</xdr:rowOff>
                  </to>
                </anchor>
              </controlPr>
            </control>
          </mc:Choice>
        </mc:AlternateContent>
        <mc:AlternateContent xmlns:mc="http://schemas.openxmlformats.org/markup-compatibility/2006">
          <mc:Choice Requires="x14">
            <control shapeId="12420" r:id="rId3061" name="Button 1156">
              <controlPr defaultSize="0" autoFill="0" autoLine="0" autoPict="0" macro="[0]!Sheet1.deleteProcedure">
                <anchor moveWithCells="1" sizeWithCells="1">
                  <from>
                    <xdr:col>6</xdr:col>
                    <xdr:colOff>0</xdr:colOff>
                    <xdr:row>5536</xdr:row>
                    <xdr:rowOff>0</xdr:rowOff>
                  </from>
                  <to>
                    <xdr:col>7</xdr:col>
                    <xdr:colOff>0</xdr:colOff>
                    <xdr:row>5537</xdr:row>
                    <xdr:rowOff>0</xdr:rowOff>
                  </to>
                </anchor>
              </controlPr>
            </control>
          </mc:Choice>
        </mc:AlternateContent>
        <mc:AlternateContent xmlns:mc="http://schemas.openxmlformats.org/markup-compatibility/2006">
          <mc:Choice Requires="x14">
            <control shapeId="12419" r:id="rId3062" name="Button 1155">
              <controlPr defaultSize="0" autoFill="0" autoLine="0" autoPict="0" macro="[0]!Sheet1.InsertNewTableRow">
                <anchor moveWithCells="1" sizeWithCells="1">
                  <from>
                    <xdr:col>6</xdr:col>
                    <xdr:colOff>0</xdr:colOff>
                    <xdr:row>5543</xdr:row>
                    <xdr:rowOff>0</xdr:rowOff>
                  </from>
                  <to>
                    <xdr:col>7</xdr:col>
                    <xdr:colOff>0</xdr:colOff>
                    <xdr:row>5543</xdr:row>
                    <xdr:rowOff>171450</xdr:rowOff>
                  </to>
                </anchor>
              </controlPr>
            </control>
          </mc:Choice>
        </mc:AlternateContent>
        <mc:AlternateContent xmlns:mc="http://schemas.openxmlformats.org/markup-compatibility/2006">
          <mc:Choice Requires="x14">
            <control shapeId="12418" r:id="rId3063" name="Button 1154">
              <controlPr defaultSize="0" autoFill="0" autoLine="0" autoPict="0" macro="[0]!Sheet1.deleteRow">
                <anchor moveWithCells="1" sizeWithCells="1">
                  <from>
                    <xdr:col>6</xdr:col>
                    <xdr:colOff>0</xdr:colOff>
                    <xdr:row>5544</xdr:row>
                    <xdr:rowOff>0</xdr:rowOff>
                  </from>
                  <to>
                    <xdr:col>7</xdr:col>
                    <xdr:colOff>0</xdr:colOff>
                    <xdr:row>5544</xdr:row>
                    <xdr:rowOff>165100</xdr:rowOff>
                  </to>
                </anchor>
              </controlPr>
            </control>
          </mc:Choice>
        </mc:AlternateContent>
        <mc:AlternateContent xmlns:mc="http://schemas.openxmlformats.org/markup-compatibility/2006">
          <mc:Choice Requires="x14">
            <control shapeId="12417" r:id="rId3064" name="Button 1153">
              <controlPr defaultSize="0" autoFill="0" autoLine="0" autoPict="0" macro="[0]!Sheet1.deleteRow">
                <anchor moveWithCells="1" sizeWithCells="1">
                  <from>
                    <xdr:col>6</xdr:col>
                    <xdr:colOff>0</xdr:colOff>
                    <xdr:row>5545</xdr:row>
                    <xdr:rowOff>0</xdr:rowOff>
                  </from>
                  <to>
                    <xdr:col>7</xdr:col>
                    <xdr:colOff>0</xdr:colOff>
                    <xdr:row>5545</xdr:row>
                    <xdr:rowOff>165100</xdr:rowOff>
                  </to>
                </anchor>
              </controlPr>
            </control>
          </mc:Choice>
        </mc:AlternateContent>
        <mc:AlternateContent xmlns:mc="http://schemas.openxmlformats.org/markup-compatibility/2006">
          <mc:Choice Requires="x14">
            <control shapeId="12416" r:id="rId3065" name="Button 1152">
              <controlPr defaultSize="0" autoFill="0" autoLine="0" autoPict="0" macro="[0]!Sheet1.deleteRow">
                <anchor moveWithCells="1" sizeWithCells="1">
                  <from>
                    <xdr:col>6</xdr:col>
                    <xdr:colOff>0</xdr:colOff>
                    <xdr:row>5546</xdr:row>
                    <xdr:rowOff>0</xdr:rowOff>
                  </from>
                  <to>
                    <xdr:col>7</xdr:col>
                    <xdr:colOff>0</xdr:colOff>
                    <xdr:row>5546</xdr:row>
                    <xdr:rowOff>165100</xdr:rowOff>
                  </to>
                </anchor>
              </controlPr>
            </control>
          </mc:Choice>
        </mc:AlternateContent>
        <mc:AlternateContent xmlns:mc="http://schemas.openxmlformats.org/markup-compatibility/2006">
          <mc:Choice Requires="x14">
            <control shapeId="12415" r:id="rId3066" name="Button 1151">
              <controlPr defaultSize="0" autoFill="0" autoLine="0" autoPict="0" macro="[0]!Sheet1.deleteRow">
                <anchor moveWithCells="1" sizeWithCells="1">
                  <from>
                    <xdr:col>6</xdr:col>
                    <xdr:colOff>0</xdr:colOff>
                    <xdr:row>5547</xdr:row>
                    <xdr:rowOff>0</xdr:rowOff>
                  </from>
                  <to>
                    <xdr:col>7</xdr:col>
                    <xdr:colOff>0</xdr:colOff>
                    <xdr:row>5547</xdr:row>
                    <xdr:rowOff>165100</xdr:rowOff>
                  </to>
                </anchor>
              </controlPr>
            </control>
          </mc:Choice>
        </mc:AlternateContent>
        <mc:AlternateContent xmlns:mc="http://schemas.openxmlformats.org/markup-compatibility/2006">
          <mc:Choice Requires="x14">
            <control shapeId="12414" r:id="rId3067" name="Button 1150">
              <controlPr defaultSize="0" autoFill="0" autoLine="0" autoPict="0" macro="[0]!Sheet1.deleteRow">
                <anchor moveWithCells="1" sizeWithCells="1">
                  <from>
                    <xdr:col>6</xdr:col>
                    <xdr:colOff>0</xdr:colOff>
                    <xdr:row>5548</xdr:row>
                    <xdr:rowOff>0</xdr:rowOff>
                  </from>
                  <to>
                    <xdr:col>7</xdr:col>
                    <xdr:colOff>0</xdr:colOff>
                    <xdr:row>5548</xdr:row>
                    <xdr:rowOff>165100</xdr:rowOff>
                  </to>
                </anchor>
              </controlPr>
            </control>
          </mc:Choice>
        </mc:AlternateContent>
        <mc:AlternateContent xmlns:mc="http://schemas.openxmlformats.org/markup-compatibility/2006">
          <mc:Choice Requires="x14">
            <control shapeId="12413" r:id="rId3068" name="Button 1149">
              <controlPr defaultSize="0" autoFill="0" autoLine="0" autoPict="0" macro="[0]!Sheet1.deleteRow">
                <anchor moveWithCells="1" sizeWithCells="1">
                  <from>
                    <xdr:col>6</xdr:col>
                    <xdr:colOff>0</xdr:colOff>
                    <xdr:row>5549</xdr:row>
                    <xdr:rowOff>0</xdr:rowOff>
                  </from>
                  <to>
                    <xdr:col>7</xdr:col>
                    <xdr:colOff>0</xdr:colOff>
                    <xdr:row>5549</xdr:row>
                    <xdr:rowOff>165100</xdr:rowOff>
                  </to>
                </anchor>
              </controlPr>
            </control>
          </mc:Choice>
        </mc:AlternateContent>
        <mc:AlternateContent xmlns:mc="http://schemas.openxmlformats.org/markup-compatibility/2006">
          <mc:Choice Requires="x14">
            <control shapeId="12412" r:id="rId3069" name="Button 1148">
              <controlPr defaultSize="0" autoFill="0" autoLine="0" autoPict="0" macro="[0]!Sheet1.deleteProcedure">
                <anchor moveWithCells="1" sizeWithCells="1">
                  <from>
                    <xdr:col>6</xdr:col>
                    <xdr:colOff>0</xdr:colOff>
                    <xdr:row>5552</xdr:row>
                    <xdr:rowOff>0</xdr:rowOff>
                  </from>
                  <to>
                    <xdr:col>7</xdr:col>
                    <xdr:colOff>0</xdr:colOff>
                    <xdr:row>5553</xdr:row>
                    <xdr:rowOff>0</xdr:rowOff>
                  </to>
                </anchor>
              </controlPr>
            </control>
          </mc:Choice>
        </mc:AlternateContent>
        <mc:AlternateContent xmlns:mc="http://schemas.openxmlformats.org/markup-compatibility/2006">
          <mc:Choice Requires="x14">
            <control shapeId="12411" r:id="rId3070" name="Button 1147">
              <controlPr defaultSize="0" autoFill="0" autoLine="0" autoPict="0" macro="[0]!Sheet1.InsertNewTableRow">
                <anchor moveWithCells="1" sizeWithCells="1">
                  <from>
                    <xdr:col>6</xdr:col>
                    <xdr:colOff>0</xdr:colOff>
                    <xdr:row>5559</xdr:row>
                    <xdr:rowOff>0</xdr:rowOff>
                  </from>
                  <to>
                    <xdr:col>7</xdr:col>
                    <xdr:colOff>0</xdr:colOff>
                    <xdr:row>5559</xdr:row>
                    <xdr:rowOff>171450</xdr:rowOff>
                  </to>
                </anchor>
              </controlPr>
            </control>
          </mc:Choice>
        </mc:AlternateContent>
        <mc:AlternateContent xmlns:mc="http://schemas.openxmlformats.org/markup-compatibility/2006">
          <mc:Choice Requires="x14">
            <control shapeId="12410" r:id="rId3071" name="Button 1146">
              <controlPr defaultSize="0" autoFill="0" autoLine="0" autoPict="0" macro="[0]!Sheet1.deleteRow">
                <anchor moveWithCells="1" sizeWithCells="1">
                  <from>
                    <xdr:col>6</xdr:col>
                    <xdr:colOff>0</xdr:colOff>
                    <xdr:row>5560</xdr:row>
                    <xdr:rowOff>0</xdr:rowOff>
                  </from>
                  <to>
                    <xdr:col>7</xdr:col>
                    <xdr:colOff>0</xdr:colOff>
                    <xdr:row>5560</xdr:row>
                    <xdr:rowOff>165100</xdr:rowOff>
                  </to>
                </anchor>
              </controlPr>
            </control>
          </mc:Choice>
        </mc:AlternateContent>
        <mc:AlternateContent xmlns:mc="http://schemas.openxmlformats.org/markup-compatibility/2006">
          <mc:Choice Requires="x14">
            <control shapeId="12409" r:id="rId3072" name="Button 1145">
              <controlPr defaultSize="0" autoFill="0" autoLine="0" autoPict="0" macro="[0]!Sheet1.deleteRow">
                <anchor moveWithCells="1" sizeWithCells="1">
                  <from>
                    <xdr:col>6</xdr:col>
                    <xdr:colOff>0</xdr:colOff>
                    <xdr:row>5561</xdr:row>
                    <xdr:rowOff>0</xdr:rowOff>
                  </from>
                  <to>
                    <xdr:col>7</xdr:col>
                    <xdr:colOff>0</xdr:colOff>
                    <xdr:row>5561</xdr:row>
                    <xdr:rowOff>165100</xdr:rowOff>
                  </to>
                </anchor>
              </controlPr>
            </control>
          </mc:Choice>
        </mc:AlternateContent>
        <mc:AlternateContent xmlns:mc="http://schemas.openxmlformats.org/markup-compatibility/2006">
          <mc:Choice Requires="x14">
            <control shapeId="12408" r:id="rId3073" name="Button 1144">
              <controlPr defaultSize="0" autoFill="0" autoLine="0" autoPict="0" macro="[0]!Sheet1.deleteRow">
                <anchor moveWithCells="1" sizeWithCells="1">
                  <from>
                    <xdr:col>6</xdr:col>
                    <xdr:colOff>0</xdr:colOff>
                    <xdr:row>5562</xdr:row>
                    <xdr:rowOff>0</xdr:rowOff>
                  </from>
                  <to>
                    <xdr:col>7</xdr:col>
                    <xdr:colOff>0</xdr:colOff>
                    <xdr:row>5562</xdr:row>
                    <xdr:rowOff>165100</xdr:rowOff>
                  </to>
                </anchor>
              </controlPr>
            </control>
          </mc:Choice>
        </mc:AlternateContent>
        <mc:AlternateContent xmlns:mc="http://schemas.openxmlformats.org/markup-compatibility/2006">
          <mc:Choice Requires="x14">
            <control shapeId="12407" r:id="rId3074" name="Button 1143">
              <controlPr defaultSize="0" autoFill="0" autoLine="0" autoPict="0" macro="[0]!Sheet1.deleteRow">
                <anchor moveWithCells="1" sizeWithCells="1">
                  <from>
                    <xdr:col>6</xdr:col>
                    <xdr:colOff>0</xdr:colOff>
                    <xdr:row>5563</xdr:row>
                    <xdr:rowOff>0</xdr:rowOff>
                  </from>
                  <to>
                    <xdr:col>7</xdr:col>
                    <xdr:colOff>0</xdr:colOff>
                    <xdr:row>5563</xdr:row>
                    <xdr:rowOff>165100</xdr:rowOff>
                  </to>
                </anchor>
              </controlPr>
            </control>
          </mc:Choice>
        </mc:AlternateContent>
        <mc:AlternateContent xmlns:mc="http://schemas.openxmlformats.org/markup-compatibility/2006">
          <mc:Choice Requires="x14">
            <control shapeId="12406" r:id="rId3075" name="Button 1142">
              <controlPr defaultSize="0" autoFill="0" autoLine="0" autoPict="0" macro="[0]!Sheet1.deleteProcedure">
                <anchor moveWithCells="1" sizeWithCells="1">
                  <from>
                    <xdr:col>6</xdr:col>
                    <xdr:colOff>0</xdr:colOff>
                    <xdr:row>5566</xdr:row>
                    <xdr:rowOff>0</xdr:rowOff>
                  </from>
                  <to>
                    <xdr:col>7</xdr:col>
                    <xdr:colOff>0</xdr:colOff>
                    <xdr:row>5567</xdr:row>
                    <xdr:rowOff>0</xdr:rowOff>
                  </to>
                </anchor>
              </controlPr>
            </control>
          </mc:Choice>
        </mc:AlternateContent>
        <mc:AlternateContent xmlns:mc="http://schemas.openxmlformats.org/markup-compatibility/2006">
          <mc:Choice Requires="x14">
            <control shapeId="12405" r:id="rId3076" name="Button 1141">
              <controlPr defaultSize="0" autoFill="0" autoLine="0" autoPict="0" macro="[0]!Sheet1.InsertNewTableRow">
                <anchor moveWithCells="1" sizeWithCells="1">
                  <from>
                    <xdr:col>6</xdr:col>
                    <xdr:colOff>0</xdr:colOff>
                    <xdr:row>5573</xdr:row>
                    <xdr:rowOff>0</xdr:rowOff>
                  </from>
                  <to>
                    <xdr:col>7</xdr:col>
                    <xdr:colOff>0</xdr:colOff>
                    <xdr:row>5573</xdr:row>
                    <xdr:rowOff>171450</xdr:rowOff>
                  </to>
                </anchor>
              </controlPr>
            </control>
          </mc:Choice>
        </mc:AlternateContent>
        <mc:AlternateContent xmlns:mc="http://schemas.openxmlformats.org/markup-compatibility/2006">
          <mc:Choice Requires="x14">
            <control shapeId="12404" r:id="rId3077" name="Button 1140">
              <controlPr defaultSize="0" autoFill="0" autoLine="0" autoPict="0" macro="[0]!Sheet1.deleteRow">
                <anchor moveWithCells="1" sizeWithCells="1">
                  <from>
                    <xdr:col>6</xdr:col>
                    <xdr:colOff>0</xdr:colOff>
                    <xdr:row>5574</xdr:row>
                    <xdr:rowOff>0</xdr:rowOff>
                  </from>
                  <to>
                    <xdr:col>7</xdr:col>
                    <xdr:colOff>0</xdr:colOff>
                    <xdr:row>5574</xdr:row>
                    <xdr:rowOff>165100</xdr:rowOff>
                  </to>
                </anchor>
              </controlPr>
            </control>
          </mc:Choice>
        </mc:AlternateContent>
        <mc:AlternateContent xmlns:mc="http://schemas.openxmlformats.org/markup-compatibility/2006">
          <mc:Choice Requires="x14">
            <control shapeId="12403" r:id="rId3078" name="Button 1139">
              <controlPr defaultSize="0" autoFill="0" autoLine="0" autoPict="0" macro="[0]!Sheet1.deleteRow">
                <anchor moveWithCells="1" sizeWithCells="1">
                  <from>
                    <xdr:col>6</xdr:col>
                    <xdr:colOff>0</xdr:colOff>
                    <xdr:row>5575</xdr:row>
                    <xdr:rowOff>0</xdr:rowOff>
                  </from>
                  <to>
                    <xdr:col>7</xdr:col>
                    <xdr:colOff>0</xdr:colOff>
                    <xdr:row>5575</xdr:row>
                    <xdr:rowOff>165100</xdr:rowOff>
                  </to>
                </anchor>
              </controlPr>
            </control>
          </mc:Choice>
        </mc:AlternateContent>
        <mc:AlternateContent xmlns:mc="http://schemas.openxmlformats.org/markup-compatibility/2006">
          <mc:Choice Requires="x14">
            <control shapeId="12402" r:id="rId3079" name="Button 1138">
              <controlPr defaultSize="0" autoFill="0" autoLine="0" autoPict="0" macro="[0]!Sheet1.deleteRow">
                <anchor moveWithCells="1" sizeWithCells="1">
                  <from>
                    <xdr:col>6</xdr:col>
                    <xdr:colOff>0</xdr:colOff>
                    <xdr:row>5576</xdr:row>
                    <xdr:rowOff>0</xdr:rowOff>
                  </from>
                  <to>
                    <xdr:col>7</xdr:col>
                    <xdr:colOff>0</xdr:colOff>
                    <xdr:row>5576</xdr:row>
                    <xdr:rowOff>165100</xdr:rowOff>
                  </to>
                </anchor>
              </controlPr>
            </control>
          </mc:Choice>
        </mc:AlternateContent>
        <mc:AlternateContent xmlns:mc="http://schemas.openxmlformats.org/markup-compatibility/2006">
          <mc:Choice Requires="x14">
            <control shapeId="12401" r:id="rId3080" name="Button 1137">
              <controlPr defaultSize="0" autoFill="0" autoLine="0" autoPict="0" macro="[0]!Sheet1.deleteProcedure">
                <anchor moveWithCells="1" sizeWithCells="1">
                  <from>
                    <xdr:col>6</xdr:col>
                    <xdr:colOff>0</xdr:colOff>
                    <xdr:row>5579</xdr:row>
                    <xdr:rowOff>0</xdr:rowOff>
                  </from>
                  <to>
                    <xdr:col>7</xdr:col>
                    <xdr:colOff>0</xdr:colOff>
                    <xdr:row>5580</xdr:row>
                    <xdr:rowOff>0</xdr:rowOff>
                  </to>
                </anchor>
              </controlPr>
            </control>
          </mc:Choice>
        </mc:AlternateContent>
        <mc:AlternateContent xmlns:mc="http://schemas.openxmlformats.org/markup-compatibility/2006">
          <mc:Choice Requires="x14">
            <control shapeId="12400" r:id="rId3081" name="Button 1136">
              <controlPr defaultSize="0" autoFill="0" autoLine="0" autoPict="0" macro="[0]!Sheet1.InsertNewTableRow">
                <anchor moveWithCells="1" sizeWithCells="1">
                  <from>
                    <xdr:col>6</xdr:col>
                    <xdr:colOff>0</xdr:colOff>
                    <xdr:row>5586</xdr:row>
                    <xdr:rowOff>0</xdr:rowOff>
                  </from>
                  <to>
                    <xdr:col>7</xdr:col>
                    <xdr:colOff>0</xdr:colOff>
                    <xdr:row>5586</xdr:row>
                    <xdr:rowOff>171450</xdr:rowOff>
                  </to>
                </anchor>
              </controlPr>
            </control>
          </mc:Choice>
        </mc:AlternateContent>
        <mc:AlternateContent xmlns:mc="http://schemas.openxmlformats.org/markup-compatibility/2006">
          <mc:Choice Requires="x14">
            <control shapeId="12399" r:id="rId3082" name="Button 1135">
              <controlPr defaultSize="0" autoFill="0" autoLine="0" autoPict="0" macro="[0]!Sheet1.deleteRow">
                <anchor moveWithCells="1" sizeWithCells="1">
                  <from>
                    <xdr:col>6</xdr:col>
                    <xdr:colOff>0</xdr:colOff>
                    <xdr:row>5587</xdr:row>
                    <xdr:rowOff>0</xdr:rowOff>
                  </from>
                  <to>
                    <xdr:col>7</xdr:col>
                    <xdr:colOff>0</xdr:colOff>
                    <xdr:row>5587</xdr:row>
                    <xdr:rowOff>165100</xdr:rowOff>
                  </to>
                </anchor>
              </controlPr>
            </control>
          </mc:Choice>
        </mc:AlternateContent>
        <mc:AlternateContent xmlns:mc="http://schemas.openxmlformats.org/markup-compatibility/2006">
          <mc:Choice Requires="x14">
            <control shapeId="12398" r:id="rId3083" name="Button 1134">
              <controlPr defaultSize="0" autoFill="0" autoLine="0" autoPict="0" macro="[0]!Sheet1.deleteRow">
                <anchor moveWithCells="1" sizeWithCells="1">
                  <from>
                    <xdr:col>6</xdr:col>
                    <xdr:colOff>0</xdr:colOff>
                    <xdr:row>5588</xdr:row>
                    <xdr:rowOff>0</xdr:rowOff>
                  </from>
                  <to>
                    <xdr:col>7</xdr:col>
                    <xdr:colOff>0</xdr:colOff>
                    <xdr:row>5588</xdr:row>
                    <xdr:rowOff>165100</xdr:rowOff>
                  </to>
                </anchor>
              </controlPr>
            </control>
          </mc:Choice>
        </mc:AlternateContent>
        <mc:AlternateContent xmlns:mc="http://schemas.openxmlformats.org/markup-compatibility/2006">
          <mc:Choice Requires="x14">
            <control shapeId="12397" r:id="rId3084" name="Button 1133">
              <controlPr defaultSize="0" autoFill="0" autoLine="0" autoPict="0" macro="[0]!Sheet1.deleteProcedure">
                <anchor moveWithCells="1" sizeWithCells="1">
                  <from>
                    <xdr:col>6</xdr:col>
                    <xdr:colOff>0</xdr:colOff>
                    <xdr:row>5591</xdr:row>
                    <xdr:rowOff>0</xdr:rowOff>
                  </from>
                  <to>
                    <xdr:col>7</xdr:col>
                    <xdr:colOff>0</xdr:colOff>
                    <xdr:row>5592</xdr:row>
                    <xdr:rowOff>0</xdr:rowOff>
                  </to>
                </anchor>
              </controlPr>
            </control>
          </mc:Choice>
        </mc:AlternateContent>
        <mc:AlternateContent xmlns:mc="http://schemas.openxmlformats.org/markup-compatibility/2006">
          <mc:Choice Requires="x14">
            <control shapeId="12396" r:id="rId3085" name="Button 1132">
              <controlPr defaultSize="0" autoFill="0" autoLine="0" autoPict="0" macro="[0]!Sheet1.InsertNewTableRow">
                <anchor moveWithCells="1" sizeWithCells="1">
                  <from>
                    <xdr:col>6</xdr:col>
                    <xdr:colOff>0</xdr:colOff>
                    <xdr:row>5598</xdr:row>
                    <xdr:rowOff>0</xdr:rowOff>
                  </from>
                  <to>
                    <xdr:col>7</xdr:col>
                    <xdr:colOff>0</xdr:colOff>
                    <xdr:row>5598</xdr:row>
                    <xdr:rowOff>171450</xdr:rowOff>
                  </to>
                </anchor>
              </controlPr>
            </control>
          </mc:Choice>
        </mc:AlternateContent>
        <mc:AlternateContent xmlns:mc="http://schemas.openxmlformats.org/markup-compatibility/2006">
          <mc:Choice Requires="x14">
            <control shapeId="12395" r:id="rId3086" name="Button 1131">
              <controlPr defaultSize="0" autoFill="0" autoLine="0" autoPict="0" macro="[0]!Sheet1.deleteRow">
                <anchor moveWithCells="1" sizeWithCells="1">
                  <from>
                    <xdr:col>6</xdr:col>
                    <xdr:colOff>0</xdr:colOff>
                    <xdr:row>5599</xdr:row>
                    <xdr:rowOff>0</xdr:rowOff>
                  </from>
                  <to>
                    <xdr:col>7</xdr:col>
                    <xdr:colOff>0</xdr:colOff>
                    <xdr:row>5599</xdr:row>
                    <xdr:rowOff>165100</xdr:rowOff>
                  </to>
                </anchor>
              </controlPr>
            </control>
          </mc:Choice>
        </mc:AlternateContent>
        <mc:AlternateContent xmlns:mc="http://schemas.openxmlformats.org/markup-compatibility/2006">
          <mc:Choice Requires="x14">
            <control shapeId="12394" r:id="rId3087" name="Button 1130">
              <controlPr defaultSize="0" autoFill="0" autoLine="0" autoPict="0" macro="[0]!Sheet1.deleteProcedure">
                <anchor moveWithCells="1" sizeWithCells="1">
                  <from>
                    <xdr:col>6</xdr:col>
                    <xdr:colOff>0</xdr:colOff>
                    <xdr:row>5602</xdr:row>
                    <xdr:rowOff>0</xdr:rowOff>
                  </from>
                  <to>
                    <xdr:col>7</xdr:col>
                    <xdr:colOff>0</xdr:colOff>
                    <xdr:row>5603</xdr:row>
                    <xdr:rowOff>0</xdr:rowOff>
                  </to>
                </anchor>
              </controlPr>
            </control>
          </mc:Choice>
        </mc:AlternateContent>
        <mc:AlternateContent xmlns:mc="http://schemas.openxmlformats.org/markup-compatibility/2006">
          <mc:Choice Requires="x14">
            <control shapeId="12393" r:id="rId3088" name="Button 1129">
              <controlPr defaultSize="0" autoFill="0" autoLine="0" autoPict="0" macro="[0]!Sheet1.InsertNewTableRow">
                <anchor moveWithCells="1" sizeWithCells="1">
                  <from>
                    <xdr:col>6</xdr:col>
                    <xdr:colOff>0</xdr:colOff>
                    <xdr:row>5609</xdr:row>
                    <xdr:rowOff>0</xdr:rowOff>
                  </from>
                  <to>
                    <xdr:col>7</xdr:col>
                    <xdr:colOff>0</xdr:colOff>
                    <xdr:row>5609</xdr:row>
                    <xdr:rowOff>171450</xdr:rowOff>
                  </to>
                </anchor>
              </controlPr>
            </control>
          </mc:Choice>
        </mc:AlternateContent>
        <mc:AlternateContent xmlns:mc="http://schemas.openxmlformats.org/markup-compatibility/2006">
          <mc:Choice Requires="x14">
            <control shapeId="12392" r:id="rId3089" name="Button 1128">
              <controlPr defaultSize="0" autoFill="0" autoLine="0" autoPict="0" macro="[0]!Sheet1.deleteRow">
                <anchor moveWithCells="1" sizeWithCells="1">
                  <from>
                    <xdr:col>6</xdr:col>
                    <xdr:colOff>0</xdr:colOff>
                    <xdr:row>5610</xdr:row>
                    <xdr:rowOff>0</xdr:rowOff>
                  </from>
                  <to>
                    <xdr:col>7</xdr:col>
                    <xdr:colOff>0</xdr:colOff>
                    <xdr:row>5610</xdr:row>
                    <xdr:rowOff>165100</xdr:rowOff>
                  </to>
                </anchor>
              </controlPr>
            </control>
          </mc:Choice>
        </mc:AlternateContent>
        <mc:AlternateContent xmlns:mc="http://schemas.openxmlformats.org/markup-compatibility/2006">
          <mc:Choice Requires="x14">
            <control shapeId="12391" r:id="rId3090" name="Button 1127">
              <controlPr defaultSize="0" autoFill="0" autoLine="0" autoPict="0" macro="[0]!Sheet1.deleteProcedure">
                <anchor moveWithCells="1" sizeWithCells="1">
                  <from>
                    <xdr:col>6</xdr:col>
                    <xdr:colOff>0</xdr:colOff>
                    <xdr:row>5613</xdr:row>
                    <xdr:rowOff>0</xdr:rowOff>
                  </from>
                  <to>
                    <xdr:col>7</xdr:col>
                    <xdr:colOff>0</xdr:colOff>
                    <xdr:row>5614</xdr:row>
                    <xdr:rowOff>0</xdr:rowOff>
                  </to>
                </anchor>
              </controlPr>
            </control>
          </mc:Choice>
        </mc:AlternateContent>
        <mc:AlternateContent xmlns:mc="http://schemas.openxmlformats.org/markup-compatibility/2006">
          <mc:Choice Requires="x14">
            <control shapeId="12390" r:id="rId3091" name="Button 1126">
              <controlPr defaultSize="0" autoFill="0" autoLine="0" autoPict="0" macro="[0]!Sheet1.InsertNewTableRow">
                <anchor moveWithCells="1" sizeWithCells="1">
                  <from>
                    <xdr:col>6</xdr:col>
                    <xdr:colOff>0</xdr:colOff>
                    <xdr:row>5620</xdr:row>
                    <xdr:rowOff>0</xdr:rowOff>
                  </from>
                  <to>
                    <xdr:col>7</xdr:col>
                    <xdr:colOff>0</xdr:colOff>
                    <xdr:row>5620</xdr:row>
                    <xdr:rowOff>171450</xdr:rowOff>
                  </to>
                </anchor>
              </controlPr>
            </control>
          </mc:Choice>
        </mc:AlternateContent>
        <mc:AlternateContent xmlns:mc="http://schemas.openxmlformats.org/markup-compatibility/2006">
          <mc:Choice Requires="x14">
            <control shapeId="12389" r:id="rId3092" name="Button 1125">
              <controlPr defaultSize="0" autoFill="0" autoLine="0" autoPict="0" macro="[0]!Sheet1.deleteRow">
                <anchor moveWithCells="1" sizeWithCells="1">
                  <from>
                    <xdr:col>6</xdr:col>
                    <xdr:colOff>0</xdr:colOff>
                    <xdr:row>5621</xdr:row>
                    <xdr:rowOff>0</xdr:rowOff>
                  </from>
                  <to>
                    <xdr:col>7</xdr:col>
                    <xdr:colOff>0</xdr:colOff>
                    <xdr:row>5621</xdr:row>
                    <xdr:rowOff>165100</xdr:rowOff>
                  </to>
                </anchor>
              </controlPr>
            </control>
          </mc:Choice>
        </mc:AlternateContent>
        <mc:AlternateContent xmlns:mc="http://schemas.openxmlformats.org/markup-compatibility/2006">
          <mc:Choice Requires="x14">
            <control shapeId="12388" r:id="rId3093" name="Button 1124">
              <controlPr defaultSize="0" autoFill="0" autoLine="0" autoPict="0" macro="[0]!Sheet1.deleteRow">
                <anchor moveWithCells="1" sizeWithCells="1">
                  <from>
                    <xdr:col>6</xdr:col>
                    <xdr:colOff>0</xdr:colOff>
                    <xdr:row>5622</xdr:row>
                    <xdr:rowOff>0</xdr:rowOff>
                  </from>
                  <to>
                    <xdr:col>7</xdr:col>
                    <xdr:colOff>0</xdr:colOff>
                    <xdr:row>5622</xdr:row>
                    <xdr:rowOff>165100</xdr:rowOff>
                  </to>
                </anchor>
              </controlPr>
            </control>
          </mc:Choice>
        </mc:AlternateContent>
        <mc:AlternateContent xmlns:mc="http://schemas.openxmlformats.org/markup-compatibility/2006">
          <mc:Choice Requires="x14">
            <control shapeId="12387" r:id="rId3094" name="Button 1123">
              <controlPr defaultSize="0" autoFill="0" autoLine="0" autoPict="0" macro="[0]!Sheet1.deleteRow">
                <anchor moveWithCells="1" sizeWithCells="1">
                  <from>
                    <xdr:col>6</xdr:col>
                    <xdr:colOff>0</xdr:colOff>
                    <xdr:row>5623</xdr:row>
                    <xdr:rowOff>0</xdr:rowOff>
                  </from>
                  <to>
                    <xdr:col>7</xdr:col>
                    <xdr:colOff>0</xdr:colOff>
                    <xdr:row>5623</xdr:row>
                    <xdr:rowOff>165100</xdr:rowOff>
                  </to>
                </anchor>
              </controlPr>
            </control>
          </mc:Choice>
        </mc:AlternateContent>
        <mc:AlternateContent xmlns:mc="http://schemas.openxmlformats.org/markup-compatibility/2006">
          <mc:Choice Requires="x14">
            <control shapeId="12386" r:id="rId3095" name="Button 1122">
              <controlPr defaultSize="0" autoFill="0" autoLine="0" autoPict="0" macro="[0]!Sheet1.deleteProcedure">
                <anchor moveWithCells="1" sizeWithCells="1">
                  <from>
                    <xdr:col>6</xdr:col>
                    <xdr:colOff>0</xdr:colOff>
                    <xdr:row>5626</xdr:row>
                    <xdr:rowOff>0</xdr:rowOff>
                  </from>
                  <to>
                    <xdr:col>7</xdr:col>
                    <xdr:colOff>0</xdr:colOff>
                    <xdr:row>5627</xdr:row>
                    <xdr:rowOff>0</xdr:rowOff>
                  </to>
                </anchor>
              </controlPr>
            </control>
          </mc:Choice>
        </mc:AlternateContent>
        <mc:AlternateContent xmlns:mc="http://schemas.openxmlformats.org/markup-compatibility/2006">
          <mc:Choice Requires="x14">
            <control shapeId="12385" r:id="rId3096" name="Button 1121">
              <controlPr defaultSize="0" autoFill="0" autoLine="0" autoPict="0" macro="[0]!Sheet1.InsertNewTableRow">
                <anchor moveWithCells="1" sizeWithCells="1">
                  <from>
                    <xdr:col>6</xdr:col>
                    <xdr:colOff>0</xdr:colOff>
                    <xdr:row>5633</xdr:row>
                    <xdr:rowOff>0</xdr:rowOff>
                  </from>
                  <to>
                    <xdr:col>7</xdr:col>
                    <xdr:colOff>0</xdr:colOff>
                    <xdr:row>5633</xdr:row>
                    <xdr:rowOff>171450</xdr:rowOff>
                  </to>
                </anchor>
              </controlPr>
            </control>
          </mc:Choice>
        </mc:AlternateContent>
        <mc:AlternateContent xmlns:mc="http://schemas.openxmlformats.org/markup-compatibility/2006">
          <mc:Choice Requires="x14">
            <control shapeId="12384" r:id="rId3097" name="Button 1120">
              <controlPr defaultSize="0" autoFill="0" autoLine="0" autoPict="0" macro="[0]!Sheet1.deleteRow">
                <anchor moveWithCells="1" sizeWithCells="1">
                  <from>
                    <xdr:col>6</xdr:col>
                    <xdr:colOff>0</xdr:colOff>
                    <xdr:row>5634</xdr:row>
                    <xdr:rowOff>0</xdr:rowOff>
                  </from>
                  <to>
                    <xdr:col>7</xdr:col>
                    <xdr:colOff>0</xdr:colOff>
                    <xdr:row>5634</xdr:row>
                    <xdr:rowOff>165100</xdr:rowOff>
                  </to>
                </anchor>
              </controlPr>
            </control>
          </mc:Choice>
        </mc:AlternateContent>
        <mc:AlternateContent xmlns:mc="http://schemas.openxmlformats.org/markup-compatibility/2006">
          <mc:Choice Requires="x14">
            <control shapeId="12383" r:id="rId3098" name="Button 1119">
              <controlPr defaultSize="0" autoFill="0" autoLine="0" autoPict="0" macro="[0]!Sheet1.deleteProcedure">
                <anchor moveWithCells="1" sizeWithCells="1">
                  <from>
                    <xdr:col>6</xdr:col>
                    <xdr:colOff>0</xdr:colOff>
                    <xdr:row>5637</xdr:row>
                    <xdr:rowOff>0</xdr:rowOff>
                  </from>
                  <to>
                    <xdr:col>7</xdr:col>
                    <xdr:colOff>0</xdr:colOff>
                    <xdr:row>5638</xdr:row>
                    <xdr:rowOff>0</xdr:rowOff>
                  </to>
                </anchor>
              </controlPr>
            </control>
          </mc:Choice>
        </mc:AlternateContent>
        <mc:AlternateContent xmlns:mc="http://schemas.openxmlformats.org/markup-compatibility/2006">
          <mc:Choice Requires="x14">
            <control shapeId="12382" r:id="rId3099" name="Button 1118">
              <controlPr defaultSize="0" autoFill="0" autoLine="0" autoPict="0" macro="[0]!Sheet1.InsertNewTableRow">
                <anchor moveWithCells="1" sizeWithCells="1">
                  <from>
                    <xdr:col>6</xdr:col>
                    <xdr:colOff>0</xdr:colOff>
                    <xdr:row>5644</xdr:row>
                    <xdr:rowOff>0</xdr:rowOff>
                  </from>
                  <to>
                    <xdr:col>7</xdr:col>
                    <xdr:colOff>0</xdr:colOff>
                    <xdr:row>5644</xdr:row>
                    <xdr:rowOff>171450</xdr:rowOff>
                  </to>
                </anchor>
              </controlPr>
            </control>
          </mc:Choice>
        </mc:AlternateContent>
        <mc:AlternateContent xmlns:mc="http://schemas.openxmlformats.org/markup-compatibility/2006">
          <mc:Choice Requires="x14">
            <control shapeId="12381" r:id="rId3100" name="Button 1117">
              <controlPr defaultSize="0" autoFill="0" autoLine="0" autoPict="0" macro="[0]!Sheet1.deleteRow">
                <anchor moveWithCells="1" sizeWithCells="1">
                  <from>
                    <xdr:col>6</xdr:col>
                    <xdr:colOff>0</xdr:colOff>
                    <xdr:row>5645</xdr:row>
                    <xdr:rowOff>0</xdr:rowOff>
                  </from>
                  <to>
                    <xdr:col>7</xdr:col>
                    <xdr:colOff>0</xdr:colOff>
                    <xdr:row>5645</xdr:row>
                    <xdr:rowOff>165100</xdr:rowOff>
                  </to>
                </anchor>
              </controlPr>
            </control>
          </mc:Choice>
        </mc:AlternateContent>
        <mc:AlternateContent xmlns:mc="http://schemas.openxmlformats.org/markup-compatibility/2006">
          <mc:Choice Requires="x14">
            <control shapeId="12380" r:id="rId3101" name="Button 1116">
              <controlPr defaultSize="0" autoFill="0" autoLine="0" autoPict="0" macro="[0]!Sheet1.deleteProcedure">
                <anchor moveWithCells="1" sizeWithCells="1">
                  <from>
                    <xdr:col>6</xdr:col>
                    <xdr:colOff>0</xdr:colOff>
                    <xdr:row>5648</xdr:row>
                    <xdr:rowOff>0</xdr:rowOff>
                  </from>
                  <to>
                    <xdr:col>7</xdr:col>
                    <xdr:colOff>0</xdr:colOff>
                    <xdr:row>5649</xdr:row>
                    <xdr:rowOff>0</xdr:rowOff>
                  </to>
                </anchor>
              </controlPr>
            </control>
          </mc:Choice>
        </mc:AlternateContent>
        <mc:AlternateContent xmlns:mc="http://schemas.openxmlformats.org/markup-compatibility/2006">
          <mc:Choice Requires="x14">
            <control shapeId="12379" r:id="rId3102" name="Button 1115">
              <controlPr defaultSize="0" autoFill="0" autoLine="0" autoPict="0" macro="[0]!Sheet1.InsertNewTableRow">
                <anchor moveWithCells="1" sizeWithCells="1">
                  <from>
                    <xdr:col>6</xdr:col>
                    <xdr:colOff>0</xdr:colOff>
                    <xdr:row>5655</xdr:row>
                    <xdr:rowOff>0</xdr:rowOff>
                  </from>
                  <to>
                    <xdr:col>7</xdr:col>
                    <xdr:colOff>0</xdr:colOff>
                    <xdr:row>5655</xdr:row>
                    <xdr:rowOff>171450</xdr:rowOff>
                  </to>
                </anchor>
              </controlPr>
            </control>
          </mc:Choice>
        </mc:AlternateContent>
        <mc:AlternateContent xmlns:mc="http://schemas.openxmlformats.org/markup-compatibility/2006">
          <mc:Choice Requires="x14">
            <control shapeId="12378" r:id="rId3103" name="Button 1114">
              <controlPr defaultSize="0" autoFill="0" autoLine="0" autoPict="0" macro="[0]!Sheet1.deleteRow">
                <anchor moveWithCells="1" sizeWithCells="1">
                  <from>
                    <xdr:col>6</xdr:col>
                    <xdr:colOff>0</xdr:colOff>
                    <xdr:row>5656</xdr:row>
                    <xdr:rowOff>0</xdr:rowOff>
                  </from>
                  <to>
                    <xdr:col>7</xdr:col>
                    <xdr:colOff>0</xdr:colOff>
                    <xdr:row>5656</xdr:row>
                    <xdr:rowOff>165100</xdr:rowOff>
                  </to>
                </anchor>
              </controlPr>
            </control>
          </mc:Choice>
        </mc:AlternateContent>
        <mc:AlternateContent xmlns:mc="http://schemas.openxmlformats.org/markup-compatibility/2006">
          <mc:Choice Requires="x14">
            <control shapeId="12377" r:id="rId3104" name="Button 1113">
              <controlPr defaultSize="0" autoFill="0" autoLine="0" autoPict="0" macro="[0]!Sheet1.deleteProcedure">
                <anchor moveWithCells="1" sizeWithCells="1">
                  <from>
                    <xdr:col>6</xdr:col>
                    <xdr:colOff>0</xdr:colOff>
                    <xdr:row>5659</xdr:row>
                    <xdr:rowOff>0</xdr:rowOff>
                  </from>
                  <to>
                    <xdr:col>7</xdr:col>
                    <xdr:colOff>0</xdr:colOff>
                    <xdr:row>5660</xdr:row>
                    <xdr:rowOff>0</xdr:rowOff>
                  </to>
                </anchor>
              </controlPr>
            </control>
          </mc:Choice>
        </mc:AlternateContent>
        <mc:AlternateContent xmlns:mc="http://schemas.openxmlformats.org/markup-compatibility/2006">
          <mc:Choice Requires="x14">
            <control shapeId="12376" r:id="rId3105" name="Button 1112">
              <controlPr defaultSize="0" autoFill="0" autoLine="0" autoPict="0" macro="[0]!Sheet1.InsertNewTableRow">
                <anchor moveWithCells="1" sizeWithCells="1">
                  <from>
                    <xdr:col>6</xdr:col>
                    <xdr:colOff>0</xdr:colOff>
                    <xdr:row>5666</xdr:row>
                    <xdr:rowOff>0</xdr:rowOff>
                  </from>
                  <to>
                    <xdr:col>7</xdr:col>
                    <xdr:colOff>0</xdr:colOff>
                    <xdr:row>5666</xdr:row>
                    <xdr:rowOff>171450</xdr:rowOff>
                  </to>
                </anchor>
              </controlPr>
            </control>
          </mc:Choice>
        </mc:AlternateContent>
        <mc:AlternateContent xmlns:mc="http://schemas.openxmlformats.org/markup-compatibility/2006">
          <mc:Choice Requires="x14">
            <control shapeId="12375" r:id="rId3106" name="Button 1111">
              <controlPr defaultSize="0" autoFill="0" autoLine="0" autoPict="0" macro="[0]!Sheet1.deleteRow">
                <anchor moveWithCells="1" sizeWithCells="1">
                  <from>
                    <xdr:col>6</xdr:col>
                    <xdr:colOff>0</xdr:colOff>
                    <xdr:row>5667</xdr:row>
                    <xdr:rowOff>0</xdr:rowOff>
                  </from>
                  <to>
                    <xdr:col>7</xdr:col>
                    <xdr:colOff>0</xdr:colOff>
                    <xdr:row>5667</xdr:row>
                    <xdr:rowOff>165100</xdr:rowOff>
                  </to>
                </anchor>
              </controlPr>
            </control>
          </mc:Choice>
        </mc:AlternateContent>
        <mc:AlternateContent xmlns:mc="http://schemas.openxmlformats.org/markup-compatibility/2006">
          <mc:Choice Requires="x14">
            <control shapeId="12374" r:id="rId3107" name="Button 1110">
              <controlPr defaultSize="0" autoFill="0" autoLine="0" autoPict="0" macro="[0]!Sheet1.deleteRow">
                <anchor moveWithCells="1" sizeWithCells="1">
                  <from>
                    <xdr:col>6</xdr:col>
                    <xdr:colOff>0</xdr:colOff>
                    <xdr:row>5668</xdr:row>
                    <xdr:rowOff>0</xdr:rowOff>
                  </from>
                  <to>
                    <xdr:col>7</xdr:col>
                    <xdr:colOff>0</xdr:colOff>
                    <xdr:row>5668</xdr:row>
                    <xdr:rowOff>165100</xdr:rowOff>
                  </to>
                </anchor>
              </controlPr>
            </control>
          </mc:Choice>
        </mc:AlternateContent>
        <mc:AlternateContent xmlns:mc="http://schemas.openxmlformats.org/markup-compatibility/2006">
          <mc:Choice Requires="x14">
            <control shapeId="12373" r:id="rId3108" name="Button 1109">
              <controlPr defaultSize="0" autoFill="0" autoLine="0" autoPict="0" macro="[0]!Sheet1.deleteRow">
                <anchor moveWithCells="1" sizeWithCells="1">
                  <from>
                    <xdr:col>6</xdr:col>
                    <xdr:colOff>0</xdr:colOff>
                    <xdr:row>5669</xdr:row>
                    <xdr:rowOff>0</xdr:rowOff>
                  </from>
                  <to>
                    <xdr:col>7</xdr:col>
                    <xdr:colOff>0</xdr:colOff>
                    <xdr:row>5669</xdr:row>
                    <xdr:rowOff>165100</xdr:rowOff>
                  </to>
                </anchor>
              </controlPr>
            </control>
          </mc:Choice>
        </mc:AlternateContent>
        <mc:AlternateContent xmlns:mc="http://schemas.openxmlformats.org/markup-compatibility/2006">
          <mc:Choice Requires="x14">
            <control shapeId="12372" r:id="rId3109" name="Button 1108">
              <controlPr defaultSize="0" autoFill="0" autoLine="0" autoPict="0" macro="[0]!Sheet1.deleteRow">
                <anchor moveWithCells="1" sizeWithCells="1">
                  <from>
                    <xdr:col>6</xdr:col>
                    <xdr:colOff>0</xdr:colOff>
                    <xdr:row>5670</xdr:row>
                    <xdr:rowOff>0</xdr:rowOff>
                  </from>
                  <to>
                    <xdr:col>7</xdr:col>
                    <xdr:colOff>0</xdr:colOff>
                    <xdr:row>5670</xdr:row>
                    <xdr:rowOff>165100</xdr:rowOff>
                  </to>
                </anchor>
              </controlPr>
            </control>
          </mc:Choice>
        </mc:AlternateContent>
        <mc:AlternateContent xmlns:mc="http://schemas.openxmlformats.org/markup-compatibility/2006">
          <mc:Choice Requires="x14">
            <control shapeId="12371" r:id="rId3110" name="Button 1107">
              <controlPr defaultSize="0" autoFill="0" autoLine="0" autoPict="0" macro="[0]!Sheet1.deleteRow">
                <anchor moveWithCells="1" sizeWithCells="1">
                  <from>
                    <xdr:col>6</xdr:col>
                    <xdr:colOff>0</xdr:colOff>
                    <xdr:row>5671</xdr:row>
                    <xdr:rowOff>0</xdr:rowOff>
                  </from>
                  <to>
                    <xdr:col>7</xdr:col>
                    <xdr:colOff>0</xdr:colOff>
                    <xdr:row>5671</xdr:row>
                    <xdr:rowOff>165100</xdr:rowOff>
                  </to>
                </anchor>
              </controlPr>
            </control>
          </mc:Choice>
        </mc:AlternateContent>
        <mc:AlternateContent xmlns:mc="http://schemas.openxmlformats.org/markup-compatibility/2006">
          <mc:Choice Requires="x14">
            <control shapeId="12370" r:id="rId3111" name="Button 1106">
              <controlPr defaultSize="0" autoFill="0" autoLine="0" autoPict="0" macro="[0]!Sheet1.deleteRow">
                <anchor moveWithCells="1" sizeWithCells="1">
                  <from>
                    <xdr:col>6</xdr:col>
                    <xdr:colOff>0</xdr:colOff>
                    <xdr:row>5672</xdr:row>
                    <xdr:rowOff>0</xdr:rowOff>
                  </from>
                  <to>
                    <xdr:col>7</xdr:col>
                    <xdr:colOff>0</xdr:colOff>
                    <xdr:row>5672</xdr:row>
                    <xdr:rowOff>165100</xdr:rowOff>
                  </to>
                </anchor>
              </controlPr>
            </control>
          </mc:Choice>
        </mc:AlternateContent>
        <mc:AlternateContent xmlns:mc="http://schemas.openxmlformats.org/markup-compatibility/2006">
          <mc:Choice Requires="x14">
            <control shapeId="12369" r:id="rId3112" name="Button 1105">
              <controlPr defaultSize="0" autoFill="0" autoLine="0" autoPict="0" macro="[0]!Sheet1.deleteRow">
                <anchor moveWithCells="1" sizeWithCells="1">
                  <from>
                    <xdr:col>6</xdr:col>
                    <xdr:colOff>0</xdr:colOff>
                    <xdr:row>5673</xdr:row>
                    <xdr:rowOff>0</xdr:rowOff>
                  </from>
                  <to>
                    <xdr:col>7</xdr:col>
                    <xdr:colOff>0</xdr:colOff>
                    <xdr:row>5673</xdr:row>
                    <xdr:rowOff>165100</xdr:rowOff>
                  </to>
                </anchor>
              </controlPr>
            </control>
          </mc:Choice>
        </mc:AlternateContent>
        <mc:AlternateContent xmlns:mc="http://schemas.openxmlformats.org/markup-compatibility/2006">
          <mc:Choice Requires="x14">
            <control shapeId="12368" r:id="rId3113" name="Button 1104">
              <controlPr defaultSize="0" autoFill="0" autoLine="0" autoPict="0" macro="[0]!Sheet1.deleteRow">
                <anchor moveWithCells="1" sizeWithCells="1">
                  <from>
                    <xdr:col>6</xdr:col>
                    <xdr:colOff>0</xdr:colOff>
                    <xdr:row>5674</xdr:row>
                    <xdr:rowOff>0</xdr:rowOff>
                  </from>
                  <to>
                    <xdr:col>7</xdr:col>
                    <xdr:colOff>0</xdr:colOff>
                    <xdr:row>5674</xdr:row>
                    <xdr:rowOff>165100</xdr:rowOff>
                  </to>
                </anchor>
              </controlPr>
            </control>
          </mc:Choice>
        </mc:AlternateContent>
        <mc:AlternateContent xmlns:mc="http://schemas.openxmlformats.org/markup-compatibility/2006">
          <mc:Choice Requires="x14">
            <control shapeId="12367" r:id="rId3114" name="Button 1103">
              <controlPr defaultSize="0" autoFill="0" autoLine="0" autoPict="0" macro="[0]!Sheet1.deleteRow">
                <anchor moveWithCells="1" sizeWithCells="1">
                  <from>
                    <xdr:col>6</xdr:col>
                    <xdr:colOff>0</xdr:colOff>
                    <xdr:row>5675</xdr:row>
                    <xdr:rowOff>0</xdr:rowOff>
                  </from>
                  <to>
                    <xdr:col>7</xdr:col>
                    <xdr:colOff>0</xdr:colOff>
                    <xdr:row>5675</xdr:row>
                    <xdr:rowOff>165100</xdr:rowOff>
                  </to>
                </anchor>
              </controlPr>
            </control>
          </mc:Choice>
        </mc:AlternateContent>
        <mc:AlternateContent xmlns:mc="http://schemas.openxmlformats.org/markup-compatibility/2006">
          <mc:Choice Requires="x14">
            <control shapeId="12366" r:id="rId3115" name="Button 1102">
              <controlPr defaultSize="0" autoFill="0" autoLine="0" autoPict="0" macro="[0]!Sheet1.deleteRow">
                <anchor moveWithCells="1" sizeWithCells="1">
                  <from>
                    <xdr:col>6</xdr:col>
                    <xdr:colOff>0</xdr:colOff>
                    <xdr:row>5676</xdr:row>
                    <xdr:rowOff>0</xdr:rowOff>
                  </from>
                  <to>
                    <xdr:col>7</xdr:col>
                    <xdr:colOff>0</xdr:colOff>
                    <xdr:row>5676</xdr:row>
                    <xdr:rowOff>165100</xdr:rowOff>
                  </to>
                </anchor>
              </controlPr>
            </control>
          </mc:Choice>
        </mc:AlternateContent>
        <mc:AlternateContent xmlns:mc="http://schemas.openxmlformats.org/markup-compatibility/2006">
          <mc:Choice Requires="x14">
            <control shapeId="12365" r:id="rId3116" name="Button 1101">
              <controlPr defaultSize="0" autoFill="0" autoLine="0" autoPict="0" macro="[0]!Sheet1.deleteRow">
                <anchor moveWithCells="1" sizeWithCells="1">
                  <from>
                    <xdr:col>6</xdr:col>
                    <xdr:colOff>0</xdr:colOff>
                    <xdr:row>5677</xdr:row>
                    <xdr:rowOff>0</xdr:rowOff>
                  </from>
                  <to>
                    <xdr:col>7</xdr:col>
                    <xdr:colOff>0</xdr:colOff>
                    <xdr:row>5677</xdr:row>
                    <xdr:rowOff>165100</xdr:rowOff>
                  </to>
                </anchor>
              </controlPr>
            </control>
          </mc:Choice>
        </mc:AlternateContent>
        <mc:AlternateContent xmlns:mc="http://schemas.openxmlformats.org/markup-compatibility/2006">
          <mc:Choice Requires="x14">
            <control shapeId="12364" r:id="rId3117" name="Button 1100">
              <controlPr defaultSize="0" autoFill="0" autoLine="0" autoPict="0" macro="[0]!Sheet1.deleteRow">
                <anchor moveWithCells="1" sizeWithCells="1">
                  <from>
                    <xdr:col>6</xdr:col>
                    <xdr:colOff>0</xdr:colOff>
                    <xdr:row>5678</xdr:row>
                    <xdr:rowOff>0</xdr:rowOff>
                  </from>
                  <to>
                    <xdr:col>7</xdr:col>
                    <xdr:colOff>0</xdr:colOff>
                    <xdr:row>5678</xdr:row>
                    <xdr:rowOff>165100</xdr:rowOff>
                  </to>
                </anchor>
              </controlPr>
            </control>
          </mc:Choice>
        </mc:AlternateContent>
        <mc:AlternateContent xmlns:mc="http://schemas.openxmlformats.org/markup-compatibility/2006">
          <mc:Choice Requires="x14">
            <control shapeId="12363" r:id="rId3118" name="Button 1099">
              <controlPr defaultSize="0" autoFill="0" autoLine="0" autoPict="0" macro="[0]!Sheet1.deleteRow">
                <anchor moveWithCells="1" sizeWithCells="1">
                  <from>
                    <xdr:col>6</xdr:col>
                    <xdr:colOff>0</xdr:colOff>
                    <xdr:row>5679</xdr:row>
                    <xdr:rowOff>0</xdr:rowOff>
                  </from>
                  <to>
                    <xdr:col>7</xdr:col>
                    <xdr:colOff>0</xdr:colOff>
                    <xdr:row>5679</xdr:row>
                    <xdr:rowOff>165100</xdr:rowOff>
                  </to>
                </anchor>
              </controlPr>
            </control>
          </mc:Choice>
        </mc:AlternateContent>
        <mc:AlternateContent xmlns:mc="http://schemas.openxmlformats.org/markup-compatibility/2006">
          <mc:Choice Requires="x14">
            <control shapeId="12362" r:id="rId3119" name="Button 1098">
              <controlPr defaultSize="0" autoFill="0" autoLine="0" autoPict="0" macro="[0]!Sheet1.deleteRow">
                <anchor moveWithCells="1" sizeWithCells="1">
                  <from>
                    <xdr:col>6</xdr:col>
                    <xdr:colOff>0</xdr:colOff>
                    <xdr:row>5680</xdr:row>
                    <xdr:rowOff>0</xdr:rowOff>
                  </from>
                  <to>
                    <xdr:col>7</xdr:col>
                    <xdr:colOff>0</xdr:colOff>
                    <xdr:row>5680</xdr:row>
                    <xdr:rowOff>165100</xdr:rowOff>
                  </to>
                </anchor>
              </controlPr>
            </control>
          </mc:Choice>
        </mc:AlternateContent>
        <mc:AlternateContent xmlns:mc="http://schemas.openxmlformats.org/markup-compatibility/2006">
          <mc:Choice Requires="x14">
            <control shapeId="12361" r:id="rId3120" name="Button 1097">
              <controlPr defaultSize="0" autoFill="0" autoLine="0" autoPict="0" macro="[0]!Sheet1.deleteRow">
                <anchor moveWithCells="1" sizeWithCells="1">
                  <from>
                    <xdr:col>6</xdr:col>
                    <xdr:colOff>0</xdr:colOff>
                    <xdr:row>5681</xdr:row>
                    <xdr:rowOff>0</xdr:rowOff>
                  </from>
                  <to>
                    <xdr:col>7</xdr:col>
                    <xdr:colOff>0</xdr:colOff>
                    <xdr:row>5681</xdr:row>
                    <xdr:rowOff>165100</xdr:rowOff>
                  </to>
                </anchor>
              </controlPr>
            </control>
          </mc:Choice>
        </mc:AlternateContent>
        <mc:AlternateContent xmlns:mc="http://schemas.openxmlformats.org/markup-compatibility/2006">
          <mc:Choice Requires="x14">
            <control shapeId="12360" r:id="rId3121" name="Button 1096">
              <controlPr defaultSize="0" autoFill="0" autoLine="0" autoPict="0" macro="[0]!Sheet1.deleteRow">
                <anchor moveWithCells="1" sizeWithCells="1">
                  <from>
                    <xdr:col>6</xdr:col>
                    <xdr:colOff>0</xdr:colOff>
                    <xdr:row>5682</xdr:row>
                    <xdr:rowOff>0</xdr:rowOff>
                  </from>
                  <to>
                    <xdr:col>7</xdr:col>
                    <xdr:colOff>0</xdr:colOff>
                    <xdr:row>5682</xdr:row>
                    <xdr:rowOff>165100</xdr:rowOff>
                  </to>
                </anchor>
              </controlPr>
            </control>
          </mc:Choice>
        </mc:AlternateContent>
        <mc:AlternateContent xmlns:mc="http://schemas.openxmlformats.org/markup-compatibility/2006">
          <mc:Choice Requires="x14">
            <control shapeId="12359" r:id="rId3122" name="Button 1095">
              <controlPr defaultSize="0" autoFill="0" autoLine="0" autoPict="0" macro="[0]!Sheet1.deleteRow">
                <anchor moveWithCells="1" sizeWithCells="1">
                  <from>
                    <xdr:col>6</xdr:col>
                    <xdr:colOff>0</xdr:colOff>
                    <xdr:row>5683</xdr:row>
                    <xdr:rowOff>0</xdr:rowOff>
                  </from>
                  <to>
                    <xdr:col>7</xdr:col>
                    <xdr:colOff>0</xdr:colOff>
                    <xdr:row>5683</xdr:row>
                    <xdr:rowOff>165100</xdr:rowOff>
                  </to>
                </anchor>
              </controlPr>
            </control>
          </mc:Choice>
        </mc:AlternateContent>
        <mc:AlternateContent xmlns:mc="http://schemas.openxmlformats.org/markup-compatibility/2006">
          <mc:Choice Requires="x14">
            <control shapeId="12358" r:id="rId3123" name="Button 1094">
              <controlPr defaultSize="0" autoFill="0" autoLine="0" autoPict="0" macro="[0]!Sheet1.deleteRow">
                <anchor moveWithCells="1" sizeWithCells="1">
                  <from>
                    <xdr:col>6</xdr:col>
                    <xdr:colOff>0</xdr:colOff>
                    <xdr:row>5684</xdr:row>
                    <xdr:rowOff>0</xdr:rowOff>
                  </from>
                  <to>
                    <xdr:col>7</xdr:col>
                    <xdr:colOff>0</xdr:colOff>
                    <xdr:row>5684</xdr:row>
                    <xdr:rowOff>165100</xdr:rowOff>
                  </to>
                </anchor>
              </controlPr>
            </control>
          </mc:Choice>
        </mc:AlternateContent>
        <mc:AlternateContent xmlns:mc="http://schemas.openxmlformats.org/markup-compatibility/2006">
          <mc:Choice Requires="x14">
            <control shapeId="12357" r:id="rId3124" name="Button 1093">
              <controlPr defaultSize="0" autoFill="0" autoLine="0" autoPict="0" macro="[0]!Sheet1.deleteRow">
                <anchor moveWithCells="1" sizeWithCells="1">
                  <from>
                    <xdr:col>6</xdr:col>
                    <xdr:colOff>0</xdr:colOff>
                    <xdr:row>5685</xdr:row>
                    <xdr:rowOff>0</xdr:rowOff>
                  </from>
                  <to>
                    <xdr:col>7</xdr:col>
                    <xdr:colOff>0</xdr:colOff>
                    <xdr:row>5685</xdr:row>
                    <xdr:rowOff>165100</xdr:rowOff>
                  </to>
                </anchor>
              </controlPr>
            </control>
          </mc:Choice>
        </mc:AlternateContent>
        <mc:AlternateContent xmlns:mc="http://schemas.openxmlformats.org/markup-compatibility/2006">
          <mc:Choice Requires="x14">
            <control shapeId="12356" r:id="rId3125" name="Button 1092">
              <controlPr defaultSize="0" autoFill="0" autoLine="0" autoPict="0" macro="[0]!Sheet1.deleteProcedure">
                <anchor moveWithCells="1" sizeWithCells="1">
                  <from>
                    <xdr:col>6</xdr:col>
                    <xdr:colOff>0</xdr:colOff>
                    <xdr:row>5688</xdr:row>
                    <xdr:rowOff>0</xdr:rowOff>
                  </from>
                  <to>
                    <xdr:col>7</xdr:col>
                    <xdr:colOff>0</xdr:colOff>
                    <xdr:row>5689</xdr:row>
                    <xdr:rowOff>0</xdr:rowOff>
                  </to>
                </anchor>
              </controlPr>
            </control>
          </mc:Choice>
        </mc:AlternateContent>
        <mc:AlternateContent xmlns:mc="http://schemas.openxmlformats.org/markup-compatibility/2006">
          <mc:Choice Requires="x14">
            <control shapeId="12355" r:id="rId3126" name="Button 1091">
              <controlPr defaultSize="0" autoFill="0" autoLine="0" autoPict="0" macro="[0]!Sheet1.InsertNewTableRow">
                <anchor moveWithCells="1" sizeWithCells="1">
                  <from>
                    <xdr:col>6</xdr:col>
                    <xdr:colOff>0</xdr:colOff>
                    <xdr:row>5695</xdr:row>
                    <xdr:rowOff>0</xdr:rowOff>
                  </from>
                  <to>
                    <xdr:col>7</xdr:col>
                    <xdr:colOff>0</xdr:colOff>
                    <xdr:row>5695</xdr:row>
                    <xdr:rowOff>171450</xdr:rowOff>
                  </to>
                </anchor>
              </controlPr>
            </control>
          </mc:Choice>
        </mc:AlternateContent>
        <mc:AlternateContent xmlns:mc="http://schemas.openxmlformats.org/markup-compatibility/2006">
          <mc:Choice Requires="x14">
            <control shapeId="12354" r:id="rId3127" name="Button 1090">
              <controlPr defaultSize="0" autoFill="0" autoLine="0" autoPict="0" macro="[0]!Sheet1.deleteRow">
                <anchor moveWithCells="1" sizeWithCells="1">
                  <from>
                    <xdr:col>6</xdr:col>
                    <xdr:colOff>0</xdr:colOff>
                    <xdr:row>5696</xdr:row>
                    <xdr:rowOff>0</xdr:rowOff>
                  </from>
                  <to>
                    <xdr:col>7</xdr:col>
                    <xdr:colOff>0</xdr:colOff>
                    <xdr:row>5696</xdr:row>
                    <xdr:rowOff>165100</xdr:rowOff>
                  </to>
                </anchor>
              </controlPr>
            </control>
          </mc:Choice>
        </mc:AlternateContent>
        <mc:AlternateContent xmlns:mc="http://schemas.openxmlformats.org/markup-compatibility/2006">
          <mc:Choice Requires="x14">
            <control shapeId="12353" r:id="rId3128" name="Button 1089">
              <controlPr defaultSize="0" autoFill="0" autoLine="0" autoPict="0" macro="[0]!Sheet1.deleteRow">
                <anchor moveWithCells="1" sizeWithCells="1">
                  <from>
                    <xdr:col>6</xdr:col>
                    <xdr:colOff>0</xdr:colOff>
                    <xdr:row>5697</xdr:row>
                    <xdr:rowOff>0</xdr:rowOff>
                  </from>
                  <to>
                    <xdr:col>7</xdr:col>
                    <xdr:colOff>0</xdr:colOff>
                    <xdr:row>5697</xdr:row>
                    <xdr:rowOff>165100</xdr:rowOff>
                  </to>
                </anchor>
              </controlPr>
            </control>
          </mc:Choice>
        </mc:AlternateContent>
        <mc:AlternateContent xmlns:mc="http://schemas.openxmlformats.org/markup-compatibility/2006">
          <mc:Choice Requires="x14">
            <control shapeId="12352" r:id="rId3129" name="Button 1088">
              <controlPr defaultSize="0" autoFill="0" autoLine="0" autoPict="0" macro="[0]!Sheet1.deleteRow">
                <anchor moveWithCells="1" sizeWithCells="1">
                  <from>
                    <xdr:col>6</xdr:col>
                    <xdr:colOff>0</xdr:colOff>
                    <xdr:row>5698</xdr:row>
                    <xdr:rowOff>0</xdr:rowOff>
                  </from>
                  <to>
                    <xdr:col>7</xdr:col>
                    <xdr:colOff>0</xdr:colOff>
                    <xdr:row>5698</xdr:row>
                    <xdr:rowOff>165100</xdr:rowOff>
                  </to>
                </anchor>
              </controlPr>
            </control>
          </mc:Choice>
        </mc:AlternateContent>
        <mc:AlternateContent xmlns:mc="http://schemas.openxmlformats.org/markup-compatibility/2006">
          <mc:Choice Requires="x14">
            <control shapeId="12351" r:id="rId3130" name="Button 1087">
              <controlPr defaultSize="0" autoFill="0" autoLine="0" autoPict="0" macro="[0]!Sheet1.deleteRow">
                <anchor moveWithCells="1" sizeWithCells="1">
                  <from>
                    <xdr:col>6</xdr:col>
                    <xdr:colOff>0</xdr:colOff>
                    <xdr:row>5699</xdr:row>
                    <xdr:rowOff>0</xdr:rowOff>
                  </from>
                  <to>
                    <xdr:col>7</xdr:col>
                    <xdr:colOff>0</xdr:colOff>
                    <xdr:row>5699</xdr:row>
                    <xdr:rowOff>165100</xdr:rowOff>
                  </to>
                </anchor>
              </controlPr>
            </control>
          </mc:Choice>
        </mc:AlternateContent>
        <mc:AlternateContent xmlns:mc="http://schemas.openxmlformats.org/markup-compatibility/2006">
          <mc:Choice Requires="x14">
            <control shapeId="12350" r:id="rId3131" name="Button 1086">
              <controlPr defaultSize="0" autoFill="0" autoLine="0" autoPict="0" macro="[0]!Sheet1.deleteRow">
                <anchor moveWithCells="1" sizeWithCells="1">
                  <from>
                    <xdr:col>6</xdr:col>
                    <xdr:colOff>0</xdr:colOff>
                    <xdr:row>5700</xdr:row>
                    <xdr:rowOff>0</xdr:rowOff>
                  </from>
                  <to>
                    <xdr:col>7</xdr:col>
                    <xdr:colOff>0</xdr:colOff>
                    <xdr:row>5700</xdr:row>
                    <xdr:rowOff>165100</xdr:rowOff>
                  </to>
                </anchor>
              </controlPr>
            </control>
          </mc:Choice>
        </mc:AlternateContent>
        <mc:AlternateContent xmlns:mc="http://schemas.openxmlformats.org/markup-compatibility/2006">
          <mc:Choice Requires="x14">
            <control shapeId="12349" r:id="rId3132" name="Button 1085">
              <controlPr defaultSize="0" autoFill="0" autoLine="0" autoPict="0" macro="[0]!Sheet1.deleteRow">
                <anchor moveWithCells="1" sizeWithCells="1">
                  <from>
                    <xdr:col>6</xdr:col>
                    <xdr:colOff>0</xdr:colOff>
                    <xdr:row>5701</xdr:row>
                    <xdr:rowOff>0</xdr:rowOff>
                  </from>
                  <to>
                    <xdr:col>7</xdr:col>
                    <xdr:colOff>0</xdr:colOff>
                    <xdr:row>5701</xdr:row>
                    <xdr:rowOff>165100</xdr:rowOff>
                  </to>
                </anchor>
              </controlPr>
            </control>
          </mc:Choice>
        </mc:AlternateContent>
        <mc:AlternateContent xmlns:mc="http://schemas.openxmlformats.org/markup-compatibility/2006">
          <mc:Choice Requires="x14">
            <control shapeId="12348" r:id="rId3133" name="Button 1084">
              <controlPr defaultSize="0" autoFill="0" autoLine="0" autoPict="0" macro="[0]!Sheet1.deleteRow">
                <anchor moveWithCells="1" sizeWithCells="1">
                  <from>
                    <xdr:col>6</xdr:col>
                    <xdr:colOff>0</xdr:colOff>
                    <xdr:row>5702</xdr:row>
                    <xdr:rowOff>0</xdr:rowOff>
                  </from>
                  <to>
                    <xdr:col>7</xdr:col>
                    <xdr:colOff>0</xdr:colOff>
                    <xdr:row>5702</xdr:row>
                    <xdr:rowOff>165100</xdr:rowOff>
                  </to>
                </anchor>
              </controlPr>
            </control>
          </mc:Choice>
        </mc:AlternateContent>
        <mc:AlternateContent xmlns:mc="http://schemas.openxmlformats.org/markup-compatibility/2006">
          <mc:Choice Requires="x14">
            <control shapeId="12347" r:id="rId3134" name="Button 1083">
              <controlPr defaultSize="0" autoFill="0" autoLine="0" autoPict="0" macro="[0]!Sheet1.deleteRow">
                <anchor moveWithCells="1" sizeWithCells="1">
                  <from>
                    <xdr:col>6</xdr:col>
                    <xdr:colOff>0</xdr:colOff>
                    <xdr:row>5703</xdr:row>
                    <xdr:rowOff>0</xdr:rowOff>
                  </from>
                  <to>
                    <xdr:col>7</xdr:col>
                    <xdr:colOff>0</xdr:colOff>
                    <xdr:row>5703</xdr:row>
                    <xdr:rowOff>165100</xdr:rowOff>
                  </to>
                </anchor>
              </controlPr>
            </control>
          </mc:Choice>
        </mc:AlternateContent>
        <mc:AlternateContent xmlns:mc="http://schemas.openxmlformats.org/markup-compatibility/2006">
          <mc:Choice Requires="x14">
            <control shapeId="12346" r:id="rId3135" name="Button 1082">
              <controlPr defaultSize="0" autoFill="0" autoLine="0" autoPict="0" macro="[0]!Sheet1.deleteRow">
                <anchor moveWithCells="1" sizeWithCells="1">
                  <from>
                    <xdr:col>6</xdr:col>
                    <xdr:colOff>0</xdr:colOff>
                    <xdr:row>5704</xdr:row>
                    <xdr:rowOff>0</xdr:rowOff>
                  </from>
                  <to>
                    <xdr:col>7</xdr:col>
                    <xdr:colOff>0</xdr:colOff>
                    <xdr:row>5704</xdr:row>
                    <xdr:rowOff>165100</xdr:rowOff>
                  </to>
                </anchor>
              </controlPr>
            </control>
          </mc:Choice>
        </mc:AlternateContent>
        <mc:AlternateContent xmlns:mc="http://schemas.openxmlformats.org/markup-compatibility/2006">
          <mc:Choice Requires="x14">
            <control shapeId="12345" r:id="rId3136" name="Button 1081">
              <controlPr defaultSize="0" autoFill="0" autoLine="0" autoPict="0" macro="[0]!Sheet1.deleteRow">
                <anchor moveWithCells="1" sizeWithCells="1">
                  <from>
                    <xdr:col>6</xdr:col>
                    <xdr:colOff>0</xdr:colOff>
                    <xdr:row>5705</xdr:row>
                    <xdr:rowOff>0</xdr:rowOff>
                  </from>
                  <to>
                    <xdr:col>7</xdr:col>
                    <xdr:colOff>0</xdr:colOff>
                    <xdr:row>5705</xdr:row>
                    <xdr:rowOff>165100</xdr:rowOff>
                  </to>
                </anchor>
              </controlPr>
            </control>
          </mc:Choice>
        </mc:AlternateContent>
        <mc:AlternateContent xmlns:mc="http://schemas.openxmlformats.org/markup-compatibility/2006">
          <mc:Choice Requires="x14">
            <control shapeId="12344" r:id="rId3137" name="Button 1080">
              <controlPr defaultSize="0" autoFill="0" autoLine="0" autoPict="0" macro="[0]!Sheet1.deleteRow">
                <anchor moveWithCells="1" sizeWithCells="1">
                  <from>
                    <xdr:col>6</xdr:col>
                    <xdr:colOff>0</xdr:colOff>
                    <xdr:row>5706</xdr:row>
                    <xdr:rowOff>0</xdr:rowOff>
                  </from>
                  <to>
                    <xdr:col>7</xdr:col>
                    <xdr:colOff>0</xdr:colOff>
                    <xdr:row>5706</xdr:row>
                    <xdr:rowOff>165100</xdr:rowOff>
                  </to>
                </anchor>
              </controlPr>
            </control>
          </mc:Choice>
        </mc:AlternateContent>
        <mc:AlternateContent xmlns:mc="http://schemas.openxmlformats.org/markup-compatibility/2006">
          <mc:Choice Requires="x14">
            <control shapeId="12343" r:id="rId3138" name="Button 1079">
              <controlPr defaultSize="0" autoFill="0" autoLine="0" autoPict="0" macro="[0]!Sheet1.deleteRow">
                <anchor moveWithCells="1" sizeWithCells="1">
                  <from>
                    <xdr:col>6</xdr:col>
                    <xdr:colOff>0</xdr:colOff>
                    <xdr:row>5707</xdr:row>
                    <xdr:rowOff>0</xdr:rowOff>
                  </from>
                  <to>
                    <xdr:col>7</xdr:col>
                    <xdr:colOff>0</xdr:colOff>
                    <xdr:row>5707</xdr:row>
                    <xdr:rowOff>165100</xdr:rowOff>
                  </to>
                </anchor>
              </controlPr>
            </control>
          </mc:Choice>
        </mc:AlternateContent>
        <mc:AlternateContent xmlns:mc="http://schemas.openxmlformats.org/markup-compatibility/2006">
          <mc:Choice Requires="x14">
            <control shapeId="12342" r:id="rId3139" name="Button 1078">
              <controlPr defaultSize="0" autoFill="0" autoLine="0" autoPict="0" macro="[0]!Sheet1.deleteRow">
                <anchor moveWithCells="1" sizeWithCells="1">
                  <from>
                    <xdr:col>6</xdr:col>
                    <xdr:colOff>0</xdr:colOff>
                    <xdr:row>5708</xdr:row>
                    <xdr:rowOff>0</xdr:rowOff>
                  </from>
                  <to>
                    <xdr:col>7</xdr:col>
                    <xdr:colOff>0</xdr:colOff>
                    <xdr:row>5708</xdr:row>
                    <xdr:rowOff>165100</xdr:rowOff>
                  </to>
                </anchor>
              </controlPr>
            </control>
          </mc:Choice>
        </mc:AlternateContent>
        <mc:AlternateContent xmlns:mc="http://schemas.openxmlformats.org/markup-compatibility/2006">
          <mc:Choice Requires="x14">
            <control shapeId="12341" r:id="rId3140" name="Button 1077">
              <controlPr defaultSize="0" autoFill="0" autoLine="0" autoPict="0" macro="[0]!Sheet1.deleteRow">
                <anchor moveWithCells="1" sizeWithCells="1">
                  <from>
                    <xdr:col>6</xdr:col>
                    <xdr:colOff>0</xdr:colOff>
                    <xdr:row>5709</xdr:row>
                    <xdr:rowOff>0</xdr:rowOff>
                  </from>
                  <to>
                    <xdr:col>7</xdr:col>
                    <xdr:colOff>0</xdr:colOff>
                    <xdr:row>5709</xdr:row>
                    <xdr:rowOff>165100</xdr:rowOff>
                  </to>
                </anchor>
              </controlPr>
            </control>
          </mc:Choice>
        </mc:AlternateContent>
        <mc:AlternateContent xmlns:mc="http://schemas.openxmlformats.org/markup-compatibility/2006">
          <mc:Choice Requires="x14">
            <control shapeId="12340" r:id="rId3141" name="Button 1076">
              <controlPr defaultSize="0" autoFill="0" autoLine="0" autoPict="0" macro="[0]!Sheet1.deleteRow">
                <anchor moveWithCells="1" sizeWithCells="1">
                  <from>
                    <xdr:col>6</xdr:col>
                    <xdr:colOff>0</xdr:colOff>
                    <xdr:row>5710</xdr:row>
                    <xdr:rowOff>0</xdr:rowOff>
                  </from>
                  <to>
                    <xdr:col>7</xdr:col>
                    <xdr:colOff>0</xdr:colOff>
                    <xdr:row>5710</xdr:row>
                    <xdr:rowOff>165100</xdr:rowOff>
                  </to>
                </anchor>
              </controlPr>
            </control>
          </mc:Choice>
        </mc:AlternateContent>
        <mc:AlternateContent xmlns:mc="http://schemas.openxmlformats.org/markup-compatibility/2006">
          <mc:Choice Requires="x14">
            <control shapeId="12339" r:id="rId3142" name="Button 1075">
              <controlPr defaultSize="0" autoFill="0" autoLine="0" autoPict="0" macro="[0]!Sheet1.deleteRow">
                <anchor moveWithCells="1" sizeWithCells="1">
                  <from>
                    <xdr:col>6</xdr:col>
                    <xdr:colOff>0</xdr:colOff>
                    <xdr:row>5711</xdr:row>
                    <xdr:rowOff>0</xdr:rowOff>
                  </from>
                  <to>
                    <xdr:col>7</xdr:col>
                    <xdr:colOff>0</xdr:colOff>
                    <xdr:row>5711</xdr:row>
                    <xdr:rowOff>165100</xdr:rowOff>
                  </to>
                </anchor>
              </controlPr>
            </control>
          </mc:Choice>
        </mc:AlternateContent>
        <mc:AlternateContent xmlns:mc="http://schemas.openxmlformats.org/markup-compatibility/2006">
          <mc:Choice Requires="x14">
            <control shapeId="12338" r:id="rId3143" name="Button 1074">
              <controlPr defaultSize="0" autoFill="0" autoLine="0" autoPict="0" macro="[0]!Sheet1.deleteRow">
                <anchor moveWithCells="1" sizeWithCells="1">
                  <from>
                    <xdr:col>6</xdr:col>
                    <xdr:colOff>0</xdr:colOff>
                    <xdr:row>5712</xdr:row>
                    <xdr:rowOff>0</xdr:rowOff>
                  </from>
                  <to>
                    <xdr:col>7</xdr:col>
                    <xdr:colOff>0</xdr:colOff>
                    <xdr:row>5712</xdr:row>
                    <xdr:rowOff>165100</xdr:rowOff>
                  </to>
                </anchor>
              </controlPr>
            </control>
          </mc:Choice>
        </mc:AlternateContent>
        <mc:AlternateContent xmlns:mc="http://schemas.openxmlformats.org/markup-compatibility/2006">
          <mc:Choice Requires="x14">
            <control shapeId="12337" r:id="rId3144" name="Button 1073">
              <controlPr defaultSize="0" autoFill="0" autoLine="0" autoPict="0" macro="[0]!Sheet1.deleteRow">
                <anchor moveWithCells="1" sizeWithCells="1">
                  <from>
                    <xdr:col>6</xdr:col>
                    <xdr:colOff>0</xdr:colOff>
                    <xdr:row>5713</xdr:row>
                    <xdr:rowOff>0</xdr:rowOff>
                  </from>
                  <to>
                    <xdr:col>7</xdr:col>
                    <xdr:colOff>0</xdr:colOff>
                    <xdr:row>5713</xdr:row>
                    <xdr:rowOff>165100</xdr:rowOff>
                  </to>
                </anchor>
              </controlPr>
            </control>
          </mc:Choice>
        </mc:AlternateContent>
        <mc:AlternateContent xmlns:mc="http://schemas.openxmlformats.org/markup-compatibility/2006">
          <mc:Choice Requires="x14">
            <control shapeId="12336" r:id="rId3145" name="Button 1072">
              <controlPr defaultSize="0" autoFill="0" autoLine="0" autoPict="0" macro="[0]!Sheet1.deleteRow">
                <anchor moveWithCells="1" sizeWithCells="1">
                  <from>
                    <xdr:col>6</xdr:col>
                    <xdr:colOff>0</xdr:colOff>
                    <xdr:row>5714</xdr:row>
                    <xdr:rowOff>0</xdr:rowOff>
                  </from>
                  <to>
                    <xdr:col>7</xdr:col>
                    <xdr:colOff>0</xdr:colOff>
                    <xdr:row>5714</xdr:row>
                    <xdr:rowOff>165100</xdr:rowOff>
                  </to>
                </anchor>
              </controlPr>
            </control>
          </mc:Choice>
        </mc:AlternateContent>
        <mc:AlternateContent xmlns:mc="http://schemas.openxmlformats.org/markup-compatibility/2006">
          <mc:Choice Requires="x14">
            <control shapeId="12335" r:id="rId3146" name="Button 1071">
              <controlPr defaultSize="0" autoFill="0" autoLine="0" autoPict="0" macro="[0]!Sheet1.deleteRow">
                <anchor moveWithCells="1" sizeWithCells="1">
                  <from>
                    <xdr:col>6</xdr:col>
                    <xdr:colOff>0</xdr:colOff>
                    <xdr:row>5715</xdr:row>
                    <xdr:rowOff>0</xdr:rowOff>
                  </from>
                  <to>
                    <xdr:col>7</xdr:col>
                    <xdr:colOff>0</xdr:colOff>
                    <xdr:row>5715</xdr:row>
                    <xdr:rowOff>165100</xdr:rowOff>
                  </to>
                </anchor>
              </controlPr>
            </control>
          </mc:Choice>
        </mc:AlternateContent>
        <mc:AlternateContent xmlns:mc="http://schemas.openxmlformats.org/markup-compatibility/2006">
          <mc:Choice Requires="x14">
            <control shapeId="12334" r:id="rId3147" name="Button 1070">
              <controlPr defaultSize="0" autoFill="0" autoLine="0" autoPict="0" macro="[0]!Sheet1.deleteRow">
                <anchor moveWithCells="1" sizeWithCells="1">
                  <from>
                    <xdr:col>6</xdr:col>
                    <xdr:colOff>0</xdr:colOff>
                    <xdr:row>5716</xdr:row>
                    <xdr:rowOff>0</xdr:rowOff>
                  </from>
                  <to>
                    <xdr:col>7</xdr:col>
                    <xdr:colOff>0</xdr:colOff>
                    <xdr:row>5716</xdr:row>
                    <xdr:rowOff>165100</xdr:rowOff>
                  </to>
                </anchor>
              </controlPr>
            </control>
          </mc:Choice>
        </mc:AlternateContent>
        <mc:AlternateContent xmlns:mc="http://schemas.openxmlformats.org/markup-compatibility/2006">
          <mc:Choice Requires="x14">
            <control shapeId="12333" r:id="rId3148" name="Button 1069">
              <controlPr defaultSize="0" autoFill="0" autoLine="0" autoPict="0" macro="[0]!Sheet1.deleteProcedure">
                <anchor moveWithCells="1" sizeWithCells="1">
                  <from>
                    <xdr:col>6</xdr:col>
                    <xdr:colOff>0</xdr:colOff>
                    <xdr:row>5719</xdr:row>
                    <xdr:rowOff>0</xdr:rowOff>
                  </from>
                  <to>
                    <xdr:col>7</xdr:col>
                    <xdr:colOff>0</xdr:colOff>
                    <xdr:row>5720</xdr:row>
                    <xdr:rowOff>0</xdr:rowOff>
                  </to>
                </anchor>
              </controlPr>
            </control>
          </mc:Choice>
        </mc:AlternateContent>
        <mc:AlternateContent xmlns:mc="http://schemas.openxmlformats.org/markup-compatibility/2006">
          <mc:Choice Requires="x14">
            <control shapeId="12332" r:id="rId3149" name="Button 1068">
              <controlPr defaultSize="0" autoFill="0" autoLine="0" autoPict="0" macro="[0]!Sheet1.InsertNewTableRow">
                <anchor moveWithCells="1" sizeWithCells="1">
                  <from>
                    <xdr:col>6</xdr:col>
                    <xdr:colOff>0</xdr:colOff>
                    <xdr:row>5726</xdr:row>
                    <xdr:rowOff>0</xdr:rowOff>
                  </from>
                  <to>
                    <xdr:col>7</xdr:col>
                    <xdr:colOff>0</xdr:colOff>
                    <xdr:row>5726</xdr:row>
                    <xdr:rowOff>171450</xdr:rowOff>
                  </to>
                </anchor>
              </controlPr>
            </control>
          </mc:Choice>
        </mc:AlternateContent>
        <mc:AlternateContent xmlns:mc="http://schemas.openxmlformats.org/markup-compatibility/2006">
          <mc:Choice Requires="x14">
            <control shapeId="12331" r:id="rId3150" name="Button 1067">
              <controlPr defaultSize="0" autoFill="0" autoLine="0" autoPict="0" macro="[0]!Sheet1.deleteRow">
                <anchor moveWithCells="1" sizeWithCells="1">
                  <from>
                    <xdr:col>6</xdr:col>
                    <xdr:colOff>0</xdr:colOff>
                    <xdr:row>5727</xdr:row>
                    <xdr:rowOff>0</xdr:rowOff>
                  </from>
                  <to>
                    <xdr:col>7</xdr:col>
                    <xdr:colOff>0</xdr:colOff>
                    <xdr:row>5727</xdr:row>
                    <xdr:rowOff>165100</xdr:rowOff>
                  </to>
                </anchor>
              </controlPr>
            </control>
          </mc:Choice>
        </mc:AlternateContent>
        <mc:AlternateContent xmlns:mc="http://schemas.openxmlformats.org/markup-compatibility/2006">
          <mc:Choice Requires="x14">
            <control shapeId="12330" r:id="rId3151" name="Button 1066">
              <controlPr defaultSize="0" autoFill="0" autoLine="0" autoPict="0" macro="[0]!Sheet1.deleteRow">
                <anchor moveWithCells="1" sizeWithCells="1">
                  <from>
                    <xdr:col>6</xdr:col>
                    <xdr:colOff>0</xdr:colOff>
                    <xdr:row>5728</xdr:row>
                    <xdr:rowOff>0</xdr:rowOff>
                  </from>
                  <to>
                    <xdr:col>7</xdr:col>
                    <xdr:colOff>0</xdr:colOff>
                    <xdr:row>5728</xdr:row>
                    <xdr:rowOff>165100</xdr:rowOff>
                  </to>
                </anchor>
              </controlPr>
            </control>
          </mc:Choice>
        </mc:AlternateContent>
        <mc:AlternateContent xmlns:mc="http://schemas.openxmlformats.org/markup-compatibility/2006">
          <mc:Choice Requires="x14">
            <control shapeId="12329" r:id="rId3152" name="Button 1065">
              <controlPr defaultSize="0" autoFill="0" autoLine="0" autoPict="0" macro="[0]!Sheet1.deleteRow">
                <anchor moveWithCells="1" sizeWithCells="1">
                  <from>
                    <xdr:col>6</xdr:col>
                    <xdr:colOff>0</xdr:colOff>
                    <xdr:row>5729</xdr:row>
                    <xdr:rowOff>0</xdr:rowOff>
                  </from>
                  <to>
                    <xdr:col>7</xdr:col>
                    <xdr:colOff>0</xdr:colOff>
                    <xdr:row>5729</xdr:row>
                    <xdr:rowOff>165100</xdr:rowOff>
                  </to>
                </anchor>
              </controlPr>
            </control>
          </mc:Choice>
        </mc:AlternateContent>
        <mc:AlternateContent xmlns:mc="http://schemas.openxmlformats.org/markup-compatibility/2006">
          <mc:Choice Requires="x14">
            <control shapeId="12328" r:id="rId3153" name="Button 1064">
              <controlPr defaultSize="0" autoFill="0" autoLine="0" autoPict="0" macro="[0]!Sheet1.deleteRow">
                <anchor moveWithCells="1" sizeWithCells="1">
                  <from>
                    <xdr:col>6</xdr:col>
                    <xdr:colOff>0</xdr:colOff>
                    <xdr:row>5730</xdr:row>
                    <xdr:rowOff>0</xdr:rowOff>
                  </from>
                  <to>
                    <xdr:col>7</xdr:col>
                    <xdr:colOff>0</xdr:colOff>
                    <xdr:row>5730</xdr:row>
                    <xdr:rowOff>165100</xdr:rowOff>
                  </to>
                </anchor>
              </controlPr>
            </control>
          </mc:Choice>
        </mc:AlternateContent>
        <mc:AlternateContent xmlns:mc="http://schemas.openxmlformats.org/markup-compatibility/2006">
          <mc:Choice Requires="x14">
            <control shapeId="12327" r:id="rId3154" name="Button 1063">
              <controlPr defaultSize="0" autoFill="0" autoLine="0" autoPict="0" macro="[0]!Sheet1.deleteRow">
                <anchor moveWithCells="1" sizeWithCells="1">
                  <from>
                    <xdr:col>6</xdr:col>
                    <xdr:colOff>0</xdr:colOff>
                    <xdr:row>5731</xdr:row>
                    <xdr:rowOff>0</xdr:rowOff>
                  </from>
                  <to>
                    <xdr:col>7</xdr:col>
                    <xdr:colOff>0</xdr:colOff>
                    <xdr:row>5731</xdr:row>
                    <xdr:rowOff>165100</xdr:rowOff>
                  </to>
                </anchor>
              </controlPr>
            </control>
          </mc:Choice>
        </mc:AlternateContent>
        <mc:AlternateContent xmlns:mc="http://schemas.openxmlformats.org/markup-compatibility/2006">
          <mc:Choice Requires="x14">
            <control shapeId="12326" r:id="rId3155" name="Button 1062">
              <controlPr defaultSize="0" autoFill="0" autoLine="0" autoPict="0" macro="[0]!Sheet1.deleteRow">
                <anchor moveWithCells="1" sizeWithCells="1">
                  <from>
                    <xdr:col>6</xdr:col>
                    <xdr:colOff>0</xdr:colOff>
                    <xdr:row>5732</xdr:row>
                    <xdr:rowOff>0</xdr:rowOff>
                  </from>
                  <to>
                    <xdr:col>7</xdr:col>
                    <xdr:colOff>0</xdr:colOff>
                    <xdr:row>5732</xdr:row>
                    <xdr:rowOff>165100</xdr:rowOff>
                  </to>
                </anchor>
              </controlPr>
            </control>
          </mc:Choice>
        </mc:AlternateContent>
        <mc:AlternateContent xmlns:mc="http://schemas.openxmlformats.org/markup-compatibility/2006">
          <mc:Choice Requires="x14">
            <control shapeId="12325" r:id="rId3156" name="Button 1061">
              <controlPr defaultSize="0" autoFill="0" autoLine="0" autoPict="0" macro="[0]!Sheet1.deleteRow">
                <anchor moveWithCells="1" sizeWithCells="1">
                  <from>
                    <xdr:col>6</xdr:col>
                    <xdr:colOff>0</xdr:colOff>
                    <xdr:row>5733</xdr:row>
                    <xdr:rowOff>0</xdr:rowOff>
                  </from>
                  <to>
                    <xdr:col>7</xdr:col>
                    <xdr:colOff>0</xdr:colOff>
                    <xdr:row>5733</xdr:row>
                    <xdr:rowOff>165100</xdr:rowOff>
                  </to>
                </anchor>
              </controlPr>
            </control>
          </mc:Choice>
        </mc:AlternateContent>
        <mc:AlternateContent xmlns:mc="http://schemas.openxmlformats.org/markup-compatibility/2006">
          <mc:Choice Requires="x14">
            <control shapeId="12324" r:id="rId3157" name="Button 1060">
              <controlPr defaultSize="0" autoFill="0" autoLine="0" autoPict="0" macro="[0]!Sheet1.deleteRow">
                <anchor moveWithCells="1" sizeWithCells="1">
                  <from>
                    <xdr:col>6</xdr:col>
                    <xdr:colOff>0</xdr:colOff>
                    <xdr:row>5734</xdr:row>
                    <xdr:rowOff>0</xdr:rowOff>
                  </from>
                  <to>
                    <xdr:col>7</xdr:col>
                    <xdr:colOff>0</xdr:colOff>
                    <xdr:row>5734</xdr:row>
                    <xdr:rowOff>165100</xdr:rowOff>
                  </to>
                </anchor>
              </controlPr>
            </control>
          </mc:Choice>
        </mc:AlternateContent>
        <mc:AlternateContent xmlns:mc="http://schemas.openxmlformats.org/markup-compatibility/2006">
          <mc:Choice Requires="x14">
            <control shapeId="12323" r:id="rId3158" name="Button 1059">
              <controlPr defaultSize="0" autoFill="0" autoLine="0" autoPict="0" macro="[0]!Sheet1.deleteRow">
                <anchor moveWithCells="1" sizeWithCells="1">
                  <from>
                    <xdr:col>6</xdr:col>
                    <xdr:colOff>0</xdr:colOff>
                    <xdr:row>5735</xdr:row>
                    <xdr:rowOff>0</xdr:rowOff>
                  </from>
                  <to>
                    <xdr:col>7</xdr:col>
                    <xdr:colOff>0</xdr:colOff>
                    <xdr:row>5735</xdr:row>
                    <xdr:rowOff>165100</xdr:rowOff>
                  </to>
                </anchor>
              </controlPr>
            </control>
          </mc:Choice>
        </mc:AlternateContent>
        <mc:AlternateContent xmlns:mc="http://schemas.openxmlformats.org/markup-compatibility/2006">
          <mc:Choice Requires="x14">
            <control shapeId="12322" r:id="rId3159" name="Button 1058">
              <controlPr defaultSize="0" autoFill="0" autoLine="0" autoPict="0" macro="[0]!Sheet1.deleteRow">
                <anchor moveWithCells="1" sizeWithCells="1">
                  <from>
                    <xdr:col>6</xdr:col>
                    <xdr:colOff>0</xdr:colOff>
                    <xdr:row>5736</xdr:row>
                    <xdr:rowOff>0</xdr:rowOff>
                  </from>
                  <to>
                    <xdr:col>7</xdr:col>
                    <xdr:colOff>0</xdr:colOff>
                    <xdr:row>5736</xdr:row>
                    <xdr:rowOff>165100</xdr:rowOff>
                  </to>
                </anchor>
              </controlPr>
            </control>
          </mc:Choice>
        </mc:AlternateContent>
        <mc:AlternateContent xmlns:mc="http://schemas.openxmlformats.org/markup-compatibility/2006">
          <mc:Choice Requires="x14">
            <control shapeId="12321" r:id="rId3160" name="Button 1057">
              <controlPr defaultSize="0" autoFill="0" autoLine="0" autoPict="0" macro="[0]!Sheet1.deleteRow">
                <anchor moveWithCells="1" sizeWithCells="1">
                  <from>
                    <xdr:col>6</xdr:col>
                    <xdr:colOff>0</xdr:colOff>
                    <xdr:row>5737</xdr:row>
                    <xdr:rowOff>0</xdr:rowOff>
                  </from>
                  <to>
                    <xdr:col>7</xdr:col>
                    <xdr:colOff>0</xdr:colOff>
                    <xdr:row>5737</xdr:row>
                    <xdr:rowOff>165100</xdr:rowOff>
                  </to>
                </anchor>
              </controlPr>
            </control>
          </mc:Choice>
        </mc:AlternateContent>
        <mc:AlternateContent xmlns:mc="http://schemas.openxmlformats.org/markup-compatibility/2006">
          <mc:Choice Requires="x14">
            <control shapeId="12320" r:id="rId3161" name="Button 1056">
              <controlPr defaultSize="0" autoFill="0" autoLine="0" autoPict="0" macro="[0]!Sheet1.deleteRow">
                <anchor moveWithCells="1" sizeWithCells="1">
                  <from>
                    <xdr:col>6</xdr:col>
                    <xdr:colOff>0</xdr:colOff>
                    <xdr:row>5738</xdr:row>
                    <xdr:rowOff>0</xdr:rowOff>
                  </from>
                  <to>
                    <xdr:col>7</xdr:col>
                    <xdr:colOff>0</xdr:colOff>
                    <xdr:row>5738</xdr:row>
                    <xdr:rowOff>165100</xdr:rowOff>
                  </to>
                </anchor>
              </controlPr>
            </control>
          </mc:Choice>
        </mc:AlternateContent>
        <mc:AlternateContent xmlns:mc="http://schemas.openxmlformats.org/markup-compatibility/2006">
          <mc:Choice Requires="x14">
            <control shapeId="12319" r:id="rId3162" name="Button 1055">
              <controlPr defaultSize="0" autoFill="0" autoLine="0" autoPict="0" macro="[0]!Sheet1.deleteRow">
                <anchor moveWithCells="1" sizeWithCells="1">
                  <from>
                    <xdr:col>6</xdr:col>
                    <xdr:colOff>0</xdr:colOff>
                    <xdr:row>5739</xdr:row>
                    <xdr:rowOff>0</xdr:rowOff>
                  </from>
                  <to>
                    <xdr:col>7</xdr:col>
                    <xdr:colOff>0</xdr:colOff>
                    <xdr:row>5739</xdr:row>
                    <xdr:rowOff>165100</xdr:rowOff>
                  </to>
                </anchor>
              </controlPr>
            </control>
          </mc:Choice>
        </mc:AlternateContent>
        <mc:AlternateContent xmlns:mc="http://schemas.openxmlformats.org/markup-compatibility/2006">
          <mc:Choice Requires="x14">
            <control shapeId="12318" r:id="rId3163" name="Button 1054">
              <controlPr defaultSize="0" autoFill="0" autoLine="0" autoPict="0" macro="[0]!Sheet1.deleteRow">
                <anchor moveWithCells="1" sizeWithCells="1">
                  <from>
                    <xdr:col>6</xdr:col>
                    <xdr:colOff>0</xdr:colOff>
                    <xdr:row>5740</xdr:row>
                    <xdr:rowOff>0</xdr:rowOff>
                  </from>
                  <to>
                    <xdr:col>7</xdr:col>
                    <xdr:colOff>0</xdr:colOff>
                    <xdr:row>5740</xdr:row>
                    <xdr:rowOff>165100</xdr:rowOff>
                  </to>
                </anchor>
              </controlPr>
            </control>
          </mc:Choice>
        </mc:AlternateContent>
        <mc:AlternateContent xmlns:mc="http://schemas.openxmlformats.org/markup-compatibility/2006">
          <mc:Choice Requires="x14">
            <control shapeId="12317" r:id="rId3164" name="Button 1053">
              <controlPr defaultSize="0" autoFill="0" autoLine="0" autoPict="0" macro="[0]!Sheet1.deleteRow">
                <anchor moveWithCells="1" sizeWithCells="1">
                  <from>
                    <xdr:col>6</xdr:col>
                    <xdr:colOff>0</xdr:colOff>
                    <xdr:row>5741</xdr:row>
                    <xdr:rowOff>0</xdr:rowOff>
                  </from>
                  <to>
                    <xdr:col>7</xdr:col>
                    <xdr:colOff>0</xdr:colOff>
                    <xdr:row>5741</xdr:row>
                    <xdr:rowOff>165100</xdr:rowOff>
                  </to>
                </anchor>
              </controlPr>
            </control>
          </mc:Choice>
        </mc:AlternateContent>
        <mc:AlternateContent xmlns:mc="http://schemas.openxmlformats.org/markup-compatibility/2006">
          <mc:Choice Requires="x14">
            <control shapeId="12316" r:id="rId3165" name="Button 1052">
              <controlPr defaultSize="0" autoFill="0" autoLine="0" autoPict="0" macro="[0]!Sheet1.deleteRow">
                <anchor moveWithCells="1" sizeWithCells="1">
                  <from>
                    <xdr:col>6</xdr:col>
                    <xdr:colOff>0</xdr:colOff>
                    <xdr:row>5742</xdr:row>
                    <xdr:rowOff>0</xdr:rowOff>
                  </from>
                  <to>
                    <xdr:col>7</xdr:col>
                    <xdr:colOff>0</xdr:colOff>
                    <xdr:row>5742</xdr:row>
                    <xdr:rowOff>165100</xdr:rowOff>
                  </to>
                </anchor>
              </controlPr>
            </control>
          </mc:Choice>
        </mc:AlternateContent>
        <mc:AlternateContent xmlns:mc="http://schemas.openxmlformats.org/markup-compatibility/2006">
          <mc:Choice Requires="x14">
            <control shapeId="12315" r:id="rId3166" name="Button 1051">
              <controlPr defaultSize="0" autoFill="0" autoLine="0" autoPict="0" macro="[0]!Sheet1.deleteRow">
                <anchor moveWithCells="1" sizeWithCells="1">
                  <from>
                    <xdr:col>6</xdr:col>
                    <xdr:colOff>0</xdr:colOff>
                    <xdr:row>5743</xdr:row>
                    <xdr:rowOff>0</xdr:rowOff>
                  </from>
                  <to>
                    <xdr:col>7</xdr:col>
                    <xdr:colOff>0</xdr:colOff>
                    <xdr:row>5743</xdr:row>
                    <xdr:rowOff>165100</xdr:rowOff>
                  </to>
                </anchor>
              </controlPr>
            </control>
          </mc:Choice>
        </mc:AlternateContent>
        <mc:AlternateContent xmlns:mc="http://schemas.openxmlformats.org/markup-compatibility/2006">
          <mc:Choice Requires="x14">
            <control shapeId="12314" r:id="rId3167" name="Button 1050">
              <controlPr defaultSize="0" autoFill="0" autoLine="0" autoPict="0" macro="[0]!Sheet1.deleteRow">
                <anchor moveWithCells="1" sizeWithCells="1">
                  <from>
                    <xdr:col>6</xdr:col>
                    <xdr:colOff>0</xdr:colOff>
                    <xdr:row>5744</xdr:row>
                    <xdr:rowOff>0</xdr:rowOff>
                  </from>
                  <to>
                    <xdr:col>7</xdr:col>
                    <xdr:colOff>0</xdr:colOff>
                    <xdr:row>5744</xdr:row>
                    <xdr:rowOff>165100</xdr:rowOff>
                  </to>
                </anchor>
              </controlPr>
            </control>
          </mc:Choice>
        </mc:AlternateContent>
        <mc:AlternateContent xmlns:mc="http://schemas.openxmlformats.org/markup-compatibility/2006">
          <mc:Choice Requires="x14">
            <control shapeId="12313" r:id="rId3168" name="Button 1049">
              <controlPr defaultSize="0" autoFill="0" autoLine="0" autoPict="0" macro="[0]!Sheet1.deleteRow">
                <anchor moveWithCells="1" sizeWithCells="1">
                  <from>
                    <xdr:col>6</xdr:col>
                    <xdr:colOff>0</xdr:colOff>
                    <xdr:row>5745</xdr:row>
                    <xdr:rowOff>0</xdr:rowOff>
                  </from>
                  <to>
                    <xdr:col>7</xdr:col>
                    <xdr:colOff>0</xdr:colOff>
                    <xdr:row>5745</xdr:row>
                    <xdr:rowOff>165100</xdr:rowOff>
                  </to>
                </anchor>
              </controlPr>
            </control>
          </mc:Choice>
        </mc:AlternateContent>
        <mc:AlternateContent xmlns:mc="http://schemas.openxmlformats.org/markup-compatibility/2006">
          <mc:Choice Requires="x14">
            <control shapeId="12312" r:id="rId3169" name="Button 1048">
              <controlPr defaultSize="0" autoFill="0" autoLine="0" autoPict="0" macro="[0]!Sheet1.deleteRow">
                <anchor moveWithCells="1" sizeWithCells="1">
                  <from>
                    <xdr:col>6</xdr:col>
                    <xdr:colOff>0</xdr:colOff>
                    <xdr:row>5746</xdr:row>
                    <xdr:rowOff>0</xdr:rowOff>
                  </from>
                  <to>
                    <xdr:col>7</xdr:col>
                    <xdr:colOff>0</xdr:colOff>
                    <xdr:row>5746</xdr:row>
                    <xdr:rowOff>165100</xdr:rowOff>
                  </to>
                </anchor>
              </controlPr>
            </control>
          </mc:Choice>
        </mc:AlternateContent>
        <mc:AlternateContent xmlns:mc="http://schemas.openxmlformats.org/markup-compatibility/2006">
          <mc:Choice Requires="x14">
            <control shapeId="12311" r:id="rId3170" name="Button 1047">
              <controlPr defaultSize="0" autoFill="0" autoLine="0" autoPict="0" macro="[0]!Sheet1.deleteRow">
                <anchor moveWithCells="1" sizeWithCells="1">
                  <from>
                    <xdr:col>6</xdr:col>
                    <xdr:colOff>0</xdr:colOff>
                    <xdr:row>5747</xdr:row>
                    <xdr:rowOff>0</xdr:rowOff>
                  </from>
                  <to>
                    <xdr:col>7</xdr:col>
                    <xdr:colOff>0</xdr:colOff>
                    <xdr:row>5747</xdr:row>
                    <xdr:rowOff>165100</xdr:rowOff>
                  </to>
                </anchor>
              </controlPr>
            </control>
          </mc:Choice>
        </mc:AlternateContent>
        <mc:AlternateContent xmlns:mc="http://schemas.openxmlformats.org/markup-compatibility/2006">
          <mc:Choice Requires="x14">
            <control shapeId="12310" r:id="rId3171" name="Button 1046">
              <controlPr defaultSize="0" autoFill="0" autoLine="0" autoPict="0" macro="[0]!Sheet1.deleteRow">
                <anchor moveWithCells="1" sizeWithCells="1">
                  <from>
                    <xdr:col>6</xdr:col>
                    <xdr:colOff>0</xdr:colOff>
                    <xdr:row>5748</xdr:row>
                    <xdr:rowOff>0</xdr:rowOff>
                  </from>
                  <to>
                    <xdr:col>7</xdr:col>
                    <xdr:colOff>0</xdr:colOff>
                    <xdr:row>5748</xdr:row>
                    <xdr:rowOff>165100</xdr:rowOff>
                  </to>
                </anchor>
              </controlPr>
            </control>
          </mc:Choice>
        </mc:AlternateContent>
        <mc:AlternateContent xmlns:mc="http://schemas.openxmlformats.org/markup-compatibility/2006">
          <mc:Choice Requires="x14">
            <control shapeId="12309" r:id="rId3172" name="Button 1045">
              <controlPr defaultSize="0" autoFill="0" autoLine="0" autoPict="0" macro="[0]!Sheet1.deleteRow">
                <anchor moveWithCells="1" sizeWithCells="1">
                  <from>
                    <xdr:col>6</xdr:col>
                    <xdr:colOff>0</xdr:colOff>
                    <xdr:row>5749</xdr:row>
                    <xdr:rowOff>0</xdr:rowOff>
                  </from>
                  <to>
                    <xdr:col>7</xdr:col>
                    <xdr:colOff>0</xdr:colOff>
                    <xdr:row>5749</xdr:row>
                    <xdr:rowOff>165100</xdr:rowOff>
                  </to>
                </anchor>
              </controlPr>
            </control>
          </mc:Choice>
        </mc:AlternateContent>
        <mc:AlternateContent xmlns:mc="http://schemas.openxmlformats.org/markup-compatibility/2006">
          <mc:Choice Requires="x14">
            <control shapeId="12308" r:id="rId3173" name="Button 1044">
              <controlPr defaultSize="0" autoFill="0" autoLine="0" autoPict="0" macro="[0]!Sheet1.deleteRow">
                <anchor moveWithCells="1" sizeWithCells="1">
                  <from>
                    <xdr:col>6</xdr:col>
                    <xdr:colOff>0</xdr:colOff>
                    <xdr:row>5750</xdr:row>
                    <xdr:rowOff>0</xdr:rowOff>
                  </from>
                  <to>
                    <xdr:col>7</xdr:col>
                    <xdr:colOff>0</xdr:colOff>
                    <xdr:row>5750</xdr:row>
                    <xdr:rowOff>165100</xdr:rowOff>
                  </to>
                </anchor>
              </controlPr>
            </control>
          </mc:Choice>
        </mc:AlternateContent>
        <mc:AlternateContent xmlns:mc="http://schemas.openxmlformats.org/markup-compatibility/2006">
          <mc:Choice Requires="x14">
            <control shapeId="12307" r:id="rId3174" name="Button 1043">
              <controlPr defaultSize="0" autoFill="0" autoLine="0" autoPict="0" macro="[0]!Sheet1.deleteProcedure">
                <anchor moveWithCells="1" sizeWithCells="1">
                  <from>
                    <xdr:col>6</xdr:col>
                    <xdr:colOff>0</xdr:colOff>
                    <xdr:row>5753</xdr:row>
                    <xdr:rowOff>0</xdr:rowOff>
                  </from>
                  <to>
                    <xdr:col>7</xdr:col>
                    <xdr:colOff>0</xdr:colOff>
                    <xdr:row>5754</xdr:row>
                    <xdr:rowOff>0</xdr:rowOff>
                  </to>
                </anchor>
              </controlPr>
            </control>
          </mc:Choice>
        </mc:AlternateContent>
        <mc:AlternateContent xmlns:mc="http://schemas.openxmlformats.org/markup-compatibility/2006">
          <mc:Choice Requires="x14">
            <control shapeId="12306" r:id="rId3175" name="Button 1042">
              <controlPr defaultSize="0" autoFill="0" autoLine="0" autoPict="0" macro="[0]!Sheet1.InsertNewTableRow">
                <anchor moveWithCells="1" sizeWithCells="1">
                  <from>
                    <xdr:col>6</xdr:col>
                    <xdr:colOff>0</xdr:colOff>
                    <xdr:row>5760</xdr:row>
                    <xdr:rowOff>0</xdr:rowOff>
                  </from>
                  <to>
                    <xdr:col>7</xdr:col>
                    <xdr:colOff>0</xdr:colOff>
                    <xdr:row>5760</xdr:row>
                    <xdr:rowOff>171450</xdr:rowOff>
                  </to>
                </anchor>
              </controlPr>
            </control>
          </mc:Choice>
        </mc:AlternateContent>
        <mc:AlternateContent xmlns:mc="http://schemas.openxmlformats.org/markup-compatibility/2006">
          <mc:Choice Requires="x14">
            <control shapeId="12305" r:id="rId3176" name="Button 1041">
              <controlPr defaultSize="0" autoFill="0" autoLine="0" autoPict="0" macro="[0]!Sheet1.deleteRow">
                <anchor moveWithCells="1" sizeWithCells="1">
                  <from>
                    <xdr:col>6</xdr:col>
                    <xdr:colOff>0</xdr:colOff>
                    <xdr:row>5761</xdr:row>
                    <xdr:rowOff>0</xdr:rowOff>
                  </from>
                  <to>
                    <xdr:col>7</xdr:col>
                    <xdr:colOff>0</xdr:colOff>
                    <xdr:row>5761</xdr:row>
                    <xdr:rowOff>165100</xdr:rowOff>
                  </to>
                </anchor>
              </controlPr>
            </control>
          </mc:Choice>
        </mc:AlternateContent>
        <mc:AlternateContent xmlns:mc="http://schemas.openxmlformats.org/markup-compatibility/2006">
          <mc:Choice Requires="x14">
            <control shapeId="12304" r:id="rId3177" name="Button 1040">
              <controlPr defaultSize="0" autoFill="0" autoLine="0" autoPict="0" macro="[0]!Sheet1.deleteRow">
                <anchor moveWithCells="1" sizeWithCells="1">
                  <from>
                    <xdr:col>6</xdr:col>
                    <xdr:colOff>0</xdr:colOff>
                    <xdr:row>5762</xdr:row>
                    <xdr:rowOff>0</xdr:rowOff>
                  </from>
                  <to>
                    <xdr:col>7</xdr:col>
                    <xdr:colOff>0</xdr:colOff>
                    <xdr:row>5762</xdr:row>
                    <xdr:rowOff>165100</xdr:rowOff>
                  </to>
                </anchor>
              </controlPr>
            </control>
          </mc:Choice>
        </mc:AlternateContent>
        <mc:AlternateContent xmlns:mc="http://schemas.openxmlformats.org/markup-compatibility/2006">
          <mc:Choice Requires="x14">
            <control shapeId="12303" r:id="rId3178" name="Button 1039">
              <controlPr defaultSize="0" autoFill="0" autoLine="0" autoPict="0" macro="[0]!Sheet1.deleteRow">
                <anchor moveWithCells="1" sizeWithCells="1">
                  <from>
                    <xdr:col>6</xdr:col>
                    <xdr:colOff>0</xdr:colOff>
                    <xdr:row>5763</xdr:row>
                    <xdr:rowOff>0</xdr:rowOff>
                  </from>
                  <to>
                    <xdr:col>7</xdr:col>
                    <xdr:colOff>0</xdr:colOff>
                    <xdr:row>5763</xdr:row>
                    <xdr:rowOff>165100</xdr:rowOff>
                  </to>
                </anchor>
              </controlPr>
            </control>
          </mc:Choice>
        </mc:AlternateContent>
        <mc:AlternateContent xmlns:mc="http://schemas.openxmlformats.org/markup-compatibility/2006">
          <mc:Choice Requires="x14">
            <control shapeId="12302" r:id="rId3179" name="Button 1038">
              <controlPr defaultSize="0" autoFill="0" autoLine="0" autoPict="0" macro="[0]!Sheet1.deleteRow">
                <anchor moveWithCells="1" sizeWithCells="1">
                  <from>
                    <xdr:col>6</xdr:col>
                    <xdr:colOff>0</xdr:colOff>
                    <xdr:row>5764</xdr:row>
                    <xdr:rowOff>0</xdr:rowOff>
                  </from>
                  <to>
                    <xdr:col>7</xdr:col>
                    <xdr:colOff>0</xdr:colOff>
                    <xdr:row>5764</xdr:row>
                    <xdr:rowOff>165100</xdr:rowOff>
                  </to>
                </anchor>
              </controlPr>
            </control>
          </mc:Choice>
        </mc:AlternateContent>
        <mc:AlternateContent xmlns:mc="http://schemas.openxmlformats.org/markup-compatibility/2006">
          <mc:Choice Requires="x14">
            <control shapeId="12301" r:id="rId3180" name="Button 1037">
              <controlPr defaultSize="0" autoFill="0" autoLine="0" autoPict="0" macro="[0]!Sheet1.deleteRow">
                <anchor moveWithCells="1" sizeWithCells="1">
                  <from>
                    <xdr:col>6</xdr:col>
                    <xdr:colOff>0</xdr:colOff>
                    <xdr:row>5765</xdr:row>
                    <xdr:rowOff>0</xdr:rowOff>
                  </from>
                  <to>
                    <xdr:col>7</xdr:col>
                    <xdr:colOff>0</xdr:colOff>
                    <xdr:row>5765</xdr:row>
                    <xdr:rowOff>165100</xdr:rowOff>
                  </to>
                </anchor>
              </controlPr>
            </control>
          </mc:Choice>
        </mc:AlternateContent>
        <mc:AlternateContent xmlns:mc="http://schemas.openxmlformats.org/markup-compatibility/2006">
          <mc:Choice Requires="x14">
            <control shapeId="12300" r:id="rId3181" name="Button 1036">
              <controlPr defaultSize="0" autoFill="0" autoLine="0" autoPict="0" macro="[0]!Sheet1.deleteRow">
                <anchor moveWithCells="1" sizeWithCells="1">
                  <from>
                    <xdr:col>6</xdr:col>
                    <xdr:colOff>0</xdr:colOff>
                    <xdr:row>5766</xdr:row>
                    <xdr:rowOff>0</xdr:rowOff>
                  </from>
                  <to>
                    <xdr:col>7</xdr:col>
                    <xdr:colOff>0</xdr:colOff>
                    <xdr:row>5766</xdr:row>
                    <xdr:rowOff>165100</xdr:rowOff>
                  </to>
                </anchor>
              </controlPr>
            </control>
          </mc:Choice>
        </mc:AlternateContent>
        <mc:AlternateContent xmlns:mc="http://schemas.openxmlformats.org/markup-compatibility/2006">
          <mc:Choice Requires="x14">
            <control shapeId="12299" r:id="rId3182" name="Button 1035">
              <controlPr defaultSize="0" autoFill="0" autoLine="0" autoPict="0" macro="[0]!Sheet1.deleteRow">
                <anchor moveWithCells="1" sizeWithCells="1">
                  <from>
                    <xdr:col>6</xdr:col>
                    <xdr:colOff>0</xdr:colOff>
                    <xdr:row>5767</xdr:row>
                    <xdr:rowOff>0</xdr:rowOff>
                  </from>
                  <to>
                    <xdr:col>7</xdr:col>
                    <xdr:colOff>0</xdr:colOff>
                    <xdr:row>5767</xdr:row>
                    <xdr:rowOff>165100</xdr:rowOff>
                  </to>
                </anchor>
              </controlPr>
            </control>
          </mc:Choice>
        </mc:AlternateContent>
        <mc:AlternateContent xmlns:mc="http://schemas.openxmlformats.org/markup-compatibility/2006">
          <mc:Choice Requires="x14">
            <control shapeId="12298" r:id="rId3183" name="Button 1034">
              <controlPr defaultSize="0" autoFill="0" autoLine="0" autoPict="0" macro="[0]!Sheet1.deleteRow">
                <anchor moveWithCells="1" sizeWithCells="1">
                  <from>
                    <xdr:col>6</xdr:col>
                    <xdr:colOff>0</xdr:colOff>
                    <xdr:row>5768</xdr:row>
                    <xdr:rowOff>0</xdr:rowOff>
                  </from>
                  <to>
                    <xdr:col>7</xdr:col>
                    <xdr:colOff>0</xdr:colOff>
                    <xdr:row>5768</xdr:row>
                    <xdr:rowOff>165100</xdr:rowOff>
                  </to>
                </anchor>
              </controlPr>
            </control>
          </mc:Choice>
        </mc:AlternateContent>
        <mc:AlternateContent xmlns:mc="http://schemas.openxmlformats.org/markup-compatibility/2006">
          <mc:Choice Requires="x14">
            <control shapeId="12297" r:id="rId3184" name="Button 1033">
              <controlPr defaultSize="0" autoFill="0" autoLine="0" autoPict="0" macro="[0]!Sheet1.deleteRow">
                <anchor moveWithCells="1" sizeWithCells="1">
                  <from>
                    <xdr:col>6</xdr:col>
                    <xdr:colOff>0</xdr:colOff>
                    <xdr:row>5769</xdr:row>
                    <xdr:rowOff>0</xdr:rowOff>
                  </from>
                  <to>
                    <xdr:col>7</xdr:col>
                    <xdr:colOff>0</xdr:colOff>
                    <xdr:row>5769</xdr:row>
                    <xdr:rowOff>165100</xdr:rowOff>
                  </to>
                </anchor>
              </controlPr>
            </control>
          </mc:Choice>
        </mc:AlternateContent>
        <mc:AlternateContent xmlns:mc="http://schemas.openxmlformats.org/markup-compatibility/2006">
          <mc:Choice Requires="x14">
            <control shapeId="12296" r:id="rId3185" name="Button 1032">
              <controlPr defaultSize="0" autoFill="0" autoLine="0" autoPict="0" macro="[0]!Sheet1.deleteRow">
                <anchor moveWithCells="1" sizeWithCells="1">
                  <from>
                    <xdr:col>6</xdr:col>
                    <xdr:colOff>0</xdr:colOff>
                    <xdr:row>5770</xdr:row>
                    <xdr:rowOff>0</xdr:rowOff>
                  </from>
                  <to>
                    <xdr:col>7</xdr:col>
                    <xdr:colOff>0</xdr:colOff>
                    <xdr:row>5770</xdr:row>
                    <xdr:rowOff>165100</xdr:rowOff>
                  </to>
                </anchor>
              </controlPr>
            </control>
          </mc:Choice>
        </mc:AlternateContent>
        <mc:AlternateContent xmlns:mc="http://schemas.openxmlformats.org/markup-compatibility/2006">
          <mc:Choice Requires="x14">
            <control shapeId="12295" r:id="rId3186" name="Button 1031">
              <controlPr defaultSize="0" autoFill="0" autoLine="0" autoPict="0" macro="[0]!Sheet1.deleteRow">
                <anchor moveWithCells="1" sizeWithCells="1">
                  <from>
                    <xdr:col>6</xdr:col>
                    <xdr:colOff>0</xdr:colOff>
                    <xdr:row>5771</xdr:row>
                    <xdr:rowOff>0</xdr:rowOff>
                  </from>
                  <to>
                    <xdr:col>7</xdr:col>
                    <xdr:colOff>0</xdr:colOff>
                    <xdr:row>5771</xdr:row>
                    <xdr:rowOff>165100</xdr:rowOff>
                  </to>
                </anchor>
              </controlPr>
            </control>
          </mc:Choice>
        </mc:AlternateContent>
        <mc:AlternateContent xmlns:mc="http://schemas.openxmlformats.org/markup-compatibility/2006">
          <mc:Choice Requires="x14">
            <control shapeId="12294" r:id="rId3187" name="Button 1030">
              <controlPr defaultSize="0" autoFill="0" autoLine="0" autoPict="0" macro="[0]!Sheet1.deleteRow">
                <anchor moveWithCells="1" sizeWithCells="1">
                  <from>
                    <xdr:col>6</xdr:col>
                    <xdr:colOff>0</xdr:colOff>
                    <xdr:row>5772</xdr:row>
                    <xdr:rowOff>0</xdr:rowOff>
                  </from>
                  <to>
                    <xdr:col>7</xdr:col>
                    <xdr:colOff>0</xdr:colOff>
                    <xdr:row>5772</xdr:row>
                    <xdr:rowOff>165100</xdr:rowOff>
                  </to>
                </anchor>
              </controlPr>
            </control>
          </mc:Choice>
        </mc:AlternateContent>
        <mc:AlternateContent xmlns:mc="http://schemas.openxmlformats.org/markup-compatibility/2006">
          <mc:Choice Requires="x14">
            <control shapeId="12293" r:id="rId3188" name="Button 1029">
              <controlPr defaultSize="0" autoFill="0" autoLine="0" autoPict="0" macro="[0]!Sheet1.deleteRow">
                <anchor moveWithCells="1" sizeWithCells="1">
                  <from>
                    <xdr:col>6</xdr:col>
                    <xdr:colOff>0</xdr:colOff>
                    <xdr:row>5773</xdr:row>
                    <xdr:rowOff>0</xdr:rowOff>
                  </from>
                  <to>
                    <xdr:col>7</xdr:col>
                    <xdr:colOff>0</xdr:colOff>
                    <xdr:row>5773</xdr:row>
                    <xdr:rowOff>165100</xdr:rowOff>
                  </to>
                </anchor>
              </controlPr>
            </control>
          </mc:Choice>
        </mc:AlternateContent>
        <mc:AlternateContent xmlns:mc="http://schemas.openxmlformats.org/markup-compatibility/2006">
          <mc:Choice Requires="x14">
            <control shapeId="12290" r:id="rId3189" name="Button 1026">
              <controlPr defaultSize="0" autoFill="0" autoLine="0" autoPict="0" macro="[0]!Sheet1.CopyNewProcedure">
                <anchor moveWithCells="1" sizeWithCells="1">
                  <from>
                    <xdr:col>0</xdr:col>
                    <xdr:colOff>0</xdr:colOff>
                    <xdr:row>5778</xdr:row>
                    <xdr:rowOff>0</xdr:rowOff>
                  </from>
                  <to>
                    <xdr:col>1</xdr:col>
                    <xdr:colOff>203200</xdr:colOff>
                    <xdr:row>5780</xdr:row>
                    <xdr:rowOff>31750</xdr:rowOff>
                  </to>
                </anchor>
              </controlPr>
            </control>
          </mc:Choice>
        </mc:AlternateContent>
      </controls>
    </mc:Choice>
  </mc:AlternateContent>
  <tableParts count="322">
    <tablePart r:id="rId3190"/>
    <tablePart r:id="rId3191"/>
    <tablePart r:id="rId3192"/>
    <tablePart r:id="rId3193"/>
    <tablePart r:id="rId3194"/>
    <tablePart r:id="rId3195"/>
    <tablePart r:id="rId3196"/>
    <tablePart r:id="rId3197"/>
    <tablePart r:id="rId3198"/>
    <tablePart r:id="rId3199"/>
    <tablePart r:id="rId3200"/>
    <tablePart r:id="rId3201"/>
    <tablePart r:id="rId3202"/>
    <tablePart r:id="rId3203"/>
    <tablePart r:id="rId3204"/>
    <tablePart r:id="rId3205"/>
    <tablePart r:id="rId3206"/>
    <tablePart r:id="rId3207"/>
    <tablePart r:id="rId3208"/>
    <tablePart r:id="rId3209"/>
    <tablePart r:id="rId3210"/>
    <tablePart r:id="rId3211"/>
    <tablePart r:id="rId3212"/>
    <tablePart r:id="rId3213"/>
    <tablePart r:id="rId3214"/>
    <tablePart r:id="rId3215"/>
    <tablePart r:id="rId3216"/>
    <tablePart r:id="rId3217"/>
    <tablePart r:id="rId3218"/>
    <tablePart r:id="rId3219"/>
    <tablePart r:id="rId3220"/>
    <tablePart r:id="rId3221"/>
    <tablePart r:id="rId3222"/>
    <tablePart r:id="rId3223"/>
    <tablePart r:id="rId3224"/>
    <tablePart r:id="rId3225"/>
    <tablePart r:id="rId3226"/>
    <tablePart r:id="rId3227"/>
    <tablePart r:id="rId3228"/>
    <tablePart r:id="rId3229"/>
    <tablePart r:id="rId3230"/>
    <tablePart r:id="rId3231"/>
    <tablePart r:id="rId3232"/>
    <tablePart r:id="rId3233"/>
    <tablePart r:id="rId3234"/>
    <tablePart r:id="rId3235"/>
    <tablePart r:id="rId3236"/>
    <tablePart r:id="rId3237"/>
    <tablePart r:id="rId3238"/>
    <tablePart r:id="rId3239"/>
    <tablePart r:id="rId3240"/>
    <tablePart r:id="rId3241"/>
    <tablePart r:id="rId3242"/>
    <tablePart r:id="rId3243"/>
    <tablePart r:id="rId3244"/>
    <tablePart r:id="rId3245"/>
    <tablePart r:id="rId3246"/>
    <tablePart r:id="rId3247"/>
    <tablePart r:id="rId3248"/>
    <tablePart r:id="rId3249"/>
    <tablePart r:id="rId3250"/>
    <tablePart r:id="rId3251"/>
    <tablePart r:id="rId3252"/>
    <tablePart r:id="rId3253"/>
    <tablePart r:id="rId3254"/>
    <tablePart r:id="rId3255"/>
    <tablePart r:id="rId3256"/>
    <tablePart r:id="rId3257"/>
    <tablePart r:id="rId3258"/>
    <tablePart r:id="rId3259"/>
    <tablePart r:id="rId3260"/>
    <tablePart r:id="rId3261"/>
    <tablePart r:id="rId3262"/>
    <tablePart r:id="rId3263"/>
    <tablePart r:id="rId3264"/>
    <tablePart r:id="rId3265"/>
    <tablePart r:id="rId3266"/>
    <tablePart r:id="rId3267"/>
    <tablePart r:id="rId3268"/>
    <tablePart r:id="rId3269"/>
    <tablePart r:id="rId3270"/>
    <tablePart r:id="rId3271"/>
    <tablePart r:id="rId3272"/>
    <tablePart r:id="rId3273"/>
    <tablePart r:id="rId3274"/>
    <tablePart r:id="rId3275"/>
    <tablePart r:id="rId3276"/>
    <tablePart r:id="rId3277"/>
    <tablePart r:id="rId3278"/>
    <tablePart r:id="rId3279"/>
    <tablePart r:id="rId3280"/>
    <tablePart r:id="rId3281"/>
    <tablePart r:id="rId3282"/>
    <tablePart r:id="rId3283"/>
    <tablePart r:id="rId3284"/>
    <tablePart r:id="rId3285"/>
    <tablePart r:id="rId3286"/>
    <tablePart r:id="rId3287"/>
    <tablePart r:id="rId3288"/>
    <tablePart r:id="rId3289"/>
    <tablePart r:id="rId3290"/>
    <tablePart r:id="rId3291"/>
    <tablePart r:id="rId3292"/>
    <tablePart r:id="rId3293"/>
    <tablePart r:id="rId3294"/>
    <tablePart r:id="rId3295"/>
    <tablePart r:id="rId3296"/>
    <tablePart r:id="rId3297"/>
    <tablePart r:id="rId3298"/>
    <tablePart r:id="rId3299"/>
    <tablePart r:id="rId3300"/>
    <tablePart r:id="rId3301"/>
    <tablePart r:id="rId3302"/>
    <tablePart r:id="rId3303"/>
    <tablePart r:id="rId3304"/>
    <tablePart r:id="rId3305"/>
    <tablePart r:id="rId3306"/>
    <tablePart r:id="rId3307"/>
    <tablePart r:id="rId3308"/>
    <tablePart r:id="rId3309"/>
    <tablePart r:id="rId3310"/>
    <tablePart r:id="rId3311"/>
    <tablePart r:id="rId3312"/>
    <tablePart r:id="rId3313"/>
    <tablePart r:id="rId3314"/>
    <tablePart r:id="rId3315"/>
    <tablePart r:id="rId3316"/>
    <tablePart r:id="rId3317"/>
    <tablePart r:id="rId3318"/>
    <tablePart r:id="rId3319"/>
    <tablePart r:id="rId3320"/>
    <tablePart r:id="rId3321"/>
    <tablePart r:id="rId3322"/>
    <tablePart r:id="rId3323"/>
    <tablePart r:id="rId3324"/>
    <tablePart r:id="rId3325"/>
    <tablePart r:id="rId3326"/>
    <tablePart r:id="rId3327"/>
    <tablePart r:id="rId3328"/>
    <tablePart r:id="rId3329"/>
    <tablePart r:id="rId3330"/>
    <tablePart r:id="rId3331"/>
    <tablePart r:id="rId3332"/>
    <tablePart r:id="rId3333"/>
    <tablePart r:id="rId3334"/>
    <tablePart r:id="rId3335"/>
    <tablePart r:id="rId3336"/>
    <tablePart r:id="rId3337"/>
    <tablePart r:id="rId3338"/>
    <tablePart r:id="rId3339"/>
    <tablePart r:id="rId3340"/>
    <tablePart r:id="rId3341"/>
    <tablePart r:id="rId3342"/>
    <tablePart r:id="rId3343"/>
    <tablePart r:id="rId3344"/>
    <tablePart r:id="rId3345"/>
    <tablePart r:id="rId3346"/>
    <tablePart r:id="rId3347"/>
    <tablePart r:id="rId3348"/>
    <tablePart r:id="rId3349"/>
    <tablePart r:id="rId3350"/>
    <tablePart r:id="rId3351"/>
    <tablePart r:id="rId3352"/>
    <tablePart r:id="rId3353"/>
    <tablePart r:id="rId3354"/>
    <tablePart r:id="rId3355"/>
    <tablePart r:id="rId3356"/>
    <tablePart r:id="rId3357"/>
    <tablePart r:id="rId3358"/>
    <tablePart r:id="rId3359"/>
    <tablePart r:id="rId3360"/>
    <tablePart r:id="rId3361"/>
    <tablePart r:id="rId3362"/>
    <tablePart r:id="rId3363"/>
    <tablePart r:id="rId3364"/>
    <tablePart r:id="rId3365"/>
    <tablePart r:id="rId3366"/>
    <tablePart r:id="rId3367"/>
    <tablePart r:id="rId3368"/>
    <tablePart r:id="rId3369"/>
    <tablePart r:id="rId3370"/>
    <tablePart r:id="rId3371"/>
    <tablePart r:id="rId3372"/>
    <tablePart r:id="rId3373"/>
    <tablePart r:id="rId3374"/>
    <tablePart r:id="rId3375"/>
    <tablePart r:id="rId3376"/>
    <tablePart r:id="rId3377"/>
    <tablePart r:id="rId3378"/>
    <tablePart r:id="rId3379"/>
    <tablePart r:id="rId3380"/>
    <tablePart r:id="rId3381"/>
    <tablePart r:id="rId3382"/>
    <tablePart r:id="rId3383"/>
    <tablePart r:id="rId3384"/>
    <tablePart r:id="rId3385"/>
    <tablePart r:id="rId3386"/>
    <tablePart r:id="rId3387"/>
    <tablePart r:id="rId3388"/>
    <tablePart r:id="rId3389"/>
    <tablePart r:id="rId3390"/>
    <tablePart r:id="rId3391"/>
    <tablePart r:id="rId3392"/>
    <tablePart r:id="rId3393"/>
    <tablePart r:id="rId3394"/>
    <tablePart r:id="rId3395"/>
    <tablePart r:id="rId3396"/>
    <tablePart r:id="rId3397"/>
    <tablePart r:id="rId3398"/>
    <tablePart r:id="rId3399"/>
    <tablePart r:id="rId3400"/>
    <tablePart r:id="rId3401"/>
    <tablePart r:id="rId3402"/>
    <tablePart r:id="rId3403"/>
    <tablePart r:id="rId3404"/>
    <tablePart r:id="rId3405"/>
    <tablePart r:id="rId3406"/>
    <tablePart r:id="rId3407"/>
    <tablePart r:id="rId3408"/>
    <tablePart r:id="rId3409"/>
    <tablePart r:id="rId3410"/>
    <tablePart r:id="rId3411"/>
    <tablePart r:id="rId3412"/>
    <tablePart r:id="rId3413"/>
    <tablePart r:id="rId3414"/>
    <tablePart r:id="rId3415"/>
    <tablePart r:id="rId3416"/>
    <tablePart r:id="rId3417"/>
    <tablePart r:id="rId3418"/>
    <tablePart r:id="rId3419"/>
    <tablePart r:id="rId3420"/>
    <tablePart r:id="rId3421"/>
    <tablePart r:id="rId3422"/>
    <tablePart r:id="rId3423"/>
    <tablePart r:id="rId3424"/>
    <tablePart r:id="rId3425"/>
    <tablePart r:id="rId3426"/>
    <tablePart r:id="rId3427"/>
    <tablePart r:id="rId3428"/>
    <tablePart r:id="rId3429"/>
    <tablePart r:id="rId3430"/>
    <tablePart r:id="rId3431"/>
    <tablePart r:id="rId3432"/>
    <tablePart r:id="rId3433"/>
    <tablePart r:id="rId3434"/>
    <tablePart r:id="rId3435"/>
    <tablePart r:id="rId3436"/>
    <tablePart r:id="rId3437"/>
    <tablePart r:id="rId3438"/>
    <tablePart r:id="rId3439"/>
    <tablePart r:id="rId3440"/>
    <tablePart r:id="rId3441"/>
    <tablePart r:id="rId3442"/>
    <tablePart r:id="rId3443"/>
    <tablePart r:id="rId3444"/>
    <tablePart r:id="rId3445"/>
    <tablePart r:id="rId3446"/>
    <tablePart r:id="rId3447"/>
    <tablePart r:id="rId3448"/>
    <tablePart r:id="rId3449"/>
    <tablePart r:id="rId3450"/>
    <tablePart r:id="rId3451"/>
    <tablePart r:id="rId3452"/>
    <tablePart r:id="rId3453"/>
    <tablePart r:id="rId3454"/>
    <tablePart r:id="rId3455"/>
    <tablePart r:id="rId3456"/>
    <tablePart r:id="rId3457"/>
    <tablePart r:id="rId3458"/>
    <tablePart r:id="rId3459"/>
    <tablePart r:id="rId3460"/>
    <tablePart r:id="rId3461"/>
    <tablePart r:id="rId3462"/>
    <tablePart r:id="rId3463"/>
    <tablePart r:id="rId3464"/>
    <tablePart r:id="rId3465"/>
    <tablePart r:id="rId3466"/>
    <tablePart r:id="rId3467"/>
    <tablePart r:id="rId3468"/>
    <tablePart r:id="rId3469"/>
    <tablePart r:id="rId3470"/>
    <tablePart r:id="rId3471"/>
    <tablePart r:id="rId3472"/>
    <tablePart r:id="rId3473"/>
    <tablePart r:id="rId3474"/>
    <tablePart r:id="rId3475"/>
    <tablePart r:id="rId3476"/>
    <tablePart r:id="rId3477"/>
    <tablePart r:id="rId3478"/>
    <tablePart r:id="rId3479"/>
    <tablePart r:id="rId3480"/>
    <tablePart r:id="rId3481"/>
    <tablePart r:id="rId3482"/>
    <tablePart r:id="rId3483"/>
    <tablePart r:id="rId3484"/>
    <tablePart r:id="rId3485"/>
    <tablePart r:id="rId3486"/>
    <tablePart r:id="rId3487"/>
    <tablePart r:id="rId3488"/>
    <tablePart r:id="rId3489"/>
    <tablePart r:id="rId3490"/>
    <tablePart r:id="rId3491"/>
    <tablePart r:id="rId3492"/>
    <tablePart r:id="rId3493"/>
    <tablePart r:id="rId3494"/>
    <tablePart r:id="rId3495"/>
    <tablePart r:id="rId3496"/>
    <tablePart r:id="rId3497"/>
    <tablePart r:id="rId3498"/>
    <tablePart r:id="rId3499"/>
    <tablePart r:id="rId3500"/>
    <tablePart r:id="rId3501"/>
    <tablePart r:id="rId3502"/>
    <tablePart r:id="rId3503"/>
    <tablePart r:id="rId3504"/>
    <tablePart r:id="rId3505"/>
    <tablePart r:id="rId3506"/>
    <tablePart r:id="rId3507"/>
    <tablePart r:id="rId3508"/>
    <tablePart r:id="rId3509"/>
    <tablePart r:id="rId3510"/>
    <tablePart r:id="rId3511"/>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'Informacion '!$S$3:$S$7</xm:f>
          </x14:formula1>
          <xm:sqref>C16 C5755 C5721 C5690 C5661 C5650 C5639 C5628 C5615 C5604 C5593 C5581 C5568 C5554 C5538 C5523 C5503 C5489 C5442 C5429 C5417 C5405 C5391 C5373 C5360 C5334 C5304 C5277 C5246 C5234 C5222 C5210 C5198 C5187 C5176 C5165 C5154 C5141 C5130 C5119 C5106 C5092 C5076 C5064 C5052 C5036 C5023 C5008 C4992 C4976 C4965 C4953 C4941 C4927 C4914 C4891 C4868 C4842 C4822 C4810 C4799 C4788 C4765 C4754 C4742 C4729 C4716 C4704 C4693 C4681 C4670 C4659 C4635 C4622 C4611 C4600 C4588 C4576 C4565 C4550 C4539 C4528 C4517 C4506 C4495 C4484 C4469 C4454 C4443 C4432 C4420 C4408 C4397 C4386 C4373 C4362 C4351 C4331 C4307 C4296 C4285 C4274 C4263 C4251 C4240 C4229 C4217 C4205 C4145 C4134 C4123 C4110 C4096 C4071 C4043 C4004 C3948 C3935 C3916 C3894 C3863 C3840 C3827 C3815 C3799 C3778 C3754 C3735 C3724 C3713 C3702 C3688 C3676 C3665 C3653 C3642 C3630 C3614 C3603 C3591 C3580 C3569 C3558 C3547 C3535 C3522 C3511 C3500 C3485 C3473 C3462 C3451 C3440 C3429 C3418 C3407 C3396 C3375 C3290 C3279 C3254 C3243 C3232 C3221 C3210 C3199 C3188 C3177 C3166 C3155 C3144 C3133 C3122 C3109 C3098 C3085 C3074 C3063 C3052 C3041 C3030 C3019 C3008 C2997 C2986 C2975 C2963 C2950 C2937 C2923 C2867 C2801 C2723 C2669 C2647 C2635 C2332 C2315 C2300 C2273 C2258 C2246 C2235 C2223 C2210 C2190 C2179 C2168 C2157 C2144 C2124 C2110 C2096 C2081 C2067 C2055 C2039 C2003 C1988 C1972 C1956 C1926 C1915 C1901 C1890 C1876 C1829 C1775 C1763 C1749 C1691 C1633 C1571 C1498 C1485 C1472 C1461 C1450 C1429 C1403 C1392 C1380 C1365 C1352 C1331 C1312 C1298 C1285 C1274 C1263 C1251 C1239 C1226 C1213 C1200 C1181 C1170 C1145 C1112 C1013 C1001 C989 C977 C955 C943 C932 C919 C908 C896 C880 C868 C845 C834 C821 C810 C799 C786 C773 C761 C750 C738 C727 C715 C702 C690 C678 C667 C656 C638 C616 C592 C570 C554 C543 C532 C516 C502 C485 C465 C454 C442 C431 C415 C402 C391 C380 C369 C358 C347 C335 C324 C312 C301 C290 C278 C266 C254 C243 C230 C217 C204 C193</xm:sqref>
        </x14:dataValidation>
        <x14:dataValidation type="list" allowBlank="1" showInputMessage="1" showErrorMessage="1" xr:uid="{00000000-0002-0000-0100-000004000000}">
          <x14:formula1>
            <xm:f>'Informacion '!$L$3:$L$17</xm:f>
          </x14:formula1>
          <xm:sqref>D16 D5755 D5721 D5690 D5661 D5650 D5639 D5628 D5615 D5604 D5593 D5581 D5568 D5554 D5538 D5523 D5503 D5489 D5442 D5429 D5417 D5405 D5391 D5373 D5360 D5334 D5304 D5277 D5246 D5234 D5222 D5210 D5198 D5187 D5176 D5165 D5154 D5141 D5130 D5119 D5106 D5092 D5076 D5064 D5052 D5036 D5023 D5008 D4992 D4976 D4965 D4953 D4941 D4927 D4914 D4891 D4868 D4842 D4822 D4810 D4799 D4788 D4765 D4754 D4742 D4729 D4716 D4704 D4693 D4681 D4670 D4659 D4635 D4622 D4611 D4600 D4588 D4576 D4565 D4550 D4539 D4528 D4517 D4506 D4495 D4484 D4469 D4454 D4443 D4432 D4420 D4408 D4397 D4386 D4373 D4362 D4351 D4331 D4307 D4296 D4285 D4274 D4263 D4251 D4240 D4229 D4217 D4205 D4145 D4134 D4123 D4110 D4096 D4071 D4043 D4004 D3948 D3935 D3916 D3894 D3863 D3840 D3827 D3815 D3799 D3778 D3754 D3735 D3724 D3713 D3702 D3688 D3676 D3665 D3653 D3642 D3630 D3614 D3603 D3591 D3580 D3569 D3558 D3547 D3535 D3522 D3511 D3500 D3485 D3473 D3462 D3451 D3440 D3429 D3418 D3407 D3396 D3375 D3290 D3279 D3254 D3243 D3232 D3221 D3210 D3199 D3188 D3177 D3166 D3155 D3144 D3133 D3122 D3109 D3098 D3085 D3074 D3063 D3052 D3041 D3030 D3019 D3008 D2997 D2986 D2975 D2963 D2950 D2937 D2923 D2867 D2801 D2723 D2669 D2647 D2635 D2332 D2315 D2300 D2273 D2258 D2246 D2235 D2223 D2210 D2190 D2179 D2168 D2157 D2144 D2124 D2110 D2096 D2081 D2067 D2055 D2039 D2003 D1988 D1972 D1956 D1926 D1915 D1901 D1890 D1876 D1829 D1775 D1763 D1749 D1691 D1633 D1571 D1498 D1485 D1472 D1461 D1450 D1429 D1403 D1392 D1380 D1365 D1352 D1331 D1312 D1298 D1285 D1274 D1263 D1251 D1239 D1226 D1213 D1200 D1181 D1170 D1145 D1112 D1013 D1001 D989 D977 D955 D943 D932 D919 D908 D896 D880 D868 D845 D834 D821 D810 D799 D786 D773 D761 D750 D738 D727 D715 D702 D690 D678 D667 D656 D638 D616 D592 D570 D554 D543 D532 D516 D502 D485 D465 D454 D442 D431 D415 D402 D391 D380 D369 D358 D347 D335 D324 D312 D301 D290 D278 D266 D254 D243 D230 D217 D204 D193</xm:sqref>
        </x14:dataValidation>
        <x14:dataValidation type="list" allowBlank="1" showInputMessage="1" showErrorMessage="1" xr:uid="{00000000-0002-0000-0100-000005000000}">
          <x14:formula1>
            <xm:f>'Informacion '!$N$3:$N$5</xm:f>
          </x14:formula1>
          <xm:sqref>E16 E5755 E5721 E5690 E5661 E5650 E5639 E5628 E5615 E5604 E5593 E5581 E5568 E5554 E5538 E5523 E5503 E5489 E5442 E5429 E5417 E5405 E5391 E5373 E5360 E5334 E5304 E5277 E5246 E5234 E5222 E5210 E5198 E5187 E5176 E5165 E5154 E5141 E5130 E5119 E5106 E5092 E5076 E5064 E5052 E5036 E5023 E5008 E4992 E4976 E4965 E4953 E4941 E4927 E4914 E4891 E4868 E4842 E4822 E4810 E4799 E4788 E4765 E4754 E4742 E4729 E4716 E4704 E4693 E4681 E4670 E4659 E4635 E4622 E4611 E4600 E4588 E4576 E4565 E4550 E4539 E4528 E4517 E4506 E4495 E4484 E4469 E4454 E4443 E4432 E4420 E4408 E4397 E4386 E4373 E4362 E4351 E4331 E4307 E4296 E4285 E4274 E4263 E4251 E4240 E4229 E4217 E4205 E4145 E4134 E4123 E4110 E4096 E4071 E4043 E4004 E3948 E3935 E3916 E3894 E3863 E3840 E3827 E3815 E3799 E3778 E3754 E3735 E3724 E3713 E3702 E3688 E3676 E3665 E3653 E3642 E3630 E3614 E3603 E3591 E3580 E3569 E3558 E3547 E3535 E3522 E3511 E3500 E3485 E3473 E3462 E3451 E3440 E3429 E3418 E3407 E3396 E3375 E3290 E3279 E3254 E3243 E3232 E3221 E3210 E3199 E3188 E3177 E3166 E3155 E3144 E3133 E3122 E3109 E3098 E3085 E3074 E3063 E3052 E3041 E3030 E3019 E3008 E2997 E2986 E2975 E2963 E2950 E2937 E2923 E2867 E2801 E2723 E2669 E2647 E2635 E2332 E2315 E2300 E2273 E2258 E2246 E2235 E2223 E2210 E2190 E2179 E2168 E2157 E2144 E2124 E2110 E2096 E2081 E2067 E2055 E2039 E2003 E1988 E1972 E1956 E1926 E1915 E1901 E1890 E1876 E1829 E1775 E1763 E1749 E1691 E1633 E1571 E1498 E1485 E1472 E1461 E1450 E1429 E1403 E1392 E1380 E1365 E1352 E1331 E1312 E1298 E1285 E1274 E1263 E1251 E1239 E1226 E1213 E1200 E1181 E1170 E1145 E1112 E1013 E1001 E989 E977 E955 E943 E932 E919 E908 E896 E880 E868 E845 E834 E821 E810 E799 E786 E773 E761 E750 E738 E727 E715 E702 E690 E678 E667 E656 E638 E616 E592 E570 E554 E543 E532 E516 E502 E485 E465 E454 E442 E431 E415 E402 E391 E380 E369 E358 E347 E335 E324 E312 E301 E290 E278 E266 E254 E243 E230 E217 E204 E193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defaultColWidth="12.7265625" defaultRowHeight="10.5" x14ac:dyDescent="0.25"/>
  <cols>
    <col min="1" max="6" width="12.7265625" style="3" customWidth="1"/>
    <col min="7" max="7" width="16.54296875" style="3" customWidth="1"/>
    <col min="8" max="9" width="12.7265625" style="3" customWidth="1"/>
    <col min="10" max="10" width="23" style="3" customWidth="1"/>
    <col min="11" max="11" width="1.26953125" style="3" customWidth="1"/>
    <col min="12" max="12" width="39.1796875" style="3" customWidth="1"/>
    <col min="13" max="13" width="1.26953125" style="3" customWidth="1"/>
    <col min="14" max="14" width="12.7265625" style="3" customWidth="1"/>
    <col min="15" max="15" width="1.26953125" style="3" customWidth="1"/>
    <col min="16" max="16" width="12.7265625" style="6" customWidth="1"/>
    <col min="17" max="17" width="21.7265625" style="5" customWidth="1"/>
    <col min="18" max="18" width="1.1796875" style="3" customWidth="1"/>
    <col min="19" max="19" width="21.1796875" style="3" customWidth="1"/>
    <col min="20" max="20" width="1.26953125" style="3" customWidth="1"/>
    <col min="21" max="21" width="19.7265625" style="3" customWidth="1"/>
    <col min="22" max="22" width="0.7265625" style="3" customWidth="1"/>
    <col min="23" max="23" width="12.7265625" style="3" customWidth="1"/>
    <col min="24" max="16384" width="12.7265625" style="3"/>
  </cols>
  <sheetData>
    <row r="1" spans="1:21" x14ac:dyDescent="0.25">
      <c r="A1" s="8" t="s">
        <v>13001</v>
      </c>
      <c r="B1" s="10" t="s">
        <v>12523</v>
      </c>
      <c r="C1" s="11"/>
      <c r="D1" s="10" t="s">
        <v>1178</v>
      </c>
      <c r="E1" s="14"/>
      <c r="F1" s="11"/>
      <c r="G1" s="7" t="s">
        <v>8123</v>
      </c>
      <c r="H1" s="7"/>
      <c r="I1" s="7"/>
      <c r="J1" s="7"/>
    </row>
    <row r="2" spans="1:21" ht="21" x14ac:dyDescent="0.25">
      <c r="A2" s="9" t="s">
        <v>1232</v>
      </c>
      <c r="B2" s="12" t="s">
        <v>1232</v>
      </c>
      <c r="C2" s="13" t="s">
        <v>4947</v>
      </c>
      <c r="D2" s="12" t="s">
        <v>1232</v>
      </c>
      <c r="E2" s="15" t="s">
        <v>4947</v>
      </c>
      <c r="F2" s="15" t="s">
        <v>5739</v>
      </c>
      <c r="G2" s="16" t="s">
        <v>1232</v>
      </c>
      <c r="H2" s="17" t="s">
        <v>4947</v>
      </c>
      <c r="I2" s="17" t="s">
        <v>5739</v>
      </c>
      <c r="J2" s="18" t="s">
        <v>17757</v>
      </c>
      <c r="L2" s="2" t="s">
        <v>15931</v>
      </c>
      <c r="N2" s="2" t="s">
        <v>15970</v>
      </c>
      <c r="P2" s="2" t="s">
        <v>18910</v>
      </c>
      <c r="Q2" s="20" t="s">
        <v>5326</v>
      </c>
      <c r="S2" s="2" t="s">
        <v>12828</v>
      </c>
      <c r="U2" s="2" t="s">
        <v>13569</v>
      </c>
    </row>
    <row r="3" spans="1:21" x14ac:dyDescent="0.25">
      <c r="A3" s="3" t="s">
        <v>1779</v>
      </c>
      <c r="B3" s="3" t="s">
        <v>1779</v>
      </c>
      <c r="C3" s="3" t="s">
        <v>9213</v>
      </c>
      <c r="D3" s="3" t="s">
        <v>1779</v>
      </c>
      <c r="E3" s="3" t="s">
        <v>9213</v>
      </c>
      <c r="F3" s="3" t="s">
        <v>3879</v>
      </c>
      <c r="G3" s="4" t="s">
        <v>3321</v>
      </c>
      <c r="H3" s="4" t="s">
        <v>7691</v>
      </c>
      <c r="I3" s="4" t="s">
        <v>14563</v>
      </c>
      <c r="J3" s="4" t="s">
        <v>14563</v>
      </c>
      <c r="L3" s="5" t="s">
        <v>1950</v>
      </c>
      <c r="N3" s="3" t="s">
        <v>9261</v>
      </c>
      <c r="P3" s="3" t="s">
        <v>5692</v>
      </c>
      <c r="Q3" s="3" t="s">
        <v>17735</v>
      </c>
      <c r="S3" s="5" t="s">
        <v>18585</v>
      </c>
      <c r="U3" s="3" t="s">
        <v>13122</v>
      </c>
    </row>
    <row r="4" spans="1:21" x14ac:dyDescent="0.25">
      <c r="A4" s="3" t="s">
        <v>8466</v>
      </c>
      <c r="B4" s="3" t="s">
        <v>1779</v>
      </c>
      <c r="C4" s="3" t="s">
        <v>13205</v>
      </c>
      <c r="D4" s="3" t="s">
        <v>1779</v>
      </c>
      <c r="E4" s="3" t="s">
        <v>9213</v>
      </c>
      <c r="F4" s="3" t="s">
        <v>4515</v>
      </c>
      <c r="G4" s="4" t="s">
        <v>3321</v>
      </c>
      <c r="H4" s="4" t="s">
        <v>7691</v>
      </c>
      <c r="I4" s="4" t="s">
        <v>14563</v>
      </c>
      <c r="J4" s="4" t="s">
        <v>874</v>
      </c>
      <c r="L4" s="5" t="s">
        <v>18256</v>
      </c>
      <c r="N4" s="3" t="s">
        <v>6314</v>
      </c>
      <c r="P4" s="3" t="s">
        <v>5097</v>
      </c>
      <c r="Q4" s="3" t="s">
        <v>10771</v>
      </c>
      <c r="S4" s="5" t="s">
        <v>7109</v>
      </c>
    </row>
    <row r="5" spans="1:21" x14ac:dyDescent="0.25">
      <c r="A5" s="3" t="s">
        <v>3321</v>
      </c>
      <c r="B5" s="3" t="s">
        <v>1779</v>
      </c>
      <c r="C5" s="3" t="s">
        <v>18543</v>
      </c>
      <c r="D5" s="3" t="s">
        <v>1779</v>
      </c>
      <c r="E5" s="3" t="s">
        <v>9213</v>
      </c>
      <c r="F5" s="3" t="s">
        <v>3031</v>
      </c>
      <c r="G5" s="4" t="s">
        <v>3321</v>
      </c>
      <c r="H5" s="4" t="s">
        <v>7691</v>
      </c>
      <c r="I5" s="4" t="s">
        <v>14563</v>
      </c>
      <c r="J5" s="4" t="s">
        <v>2683</v>
      </c>
      <c r="L5" s="5" t="s">
        <v>10634</v>
      </c>
      <c r="N5" s="3" t="s">
        <v>18646</v>
      </c>
      <c r="P5" s="3" t="s">
        <v>17482</v>
      </c>
      <c r="Q5" s="3" t="s">
        <v>15283</v>
      </c>
      <c r="S5" s="5" t="s">
        <v>16384</v>
      </c>
    </row>
    <row r="6" spans="1:21" x14ac:dyDescent="0.25">
      <c r="A6" s="3" t="s">
        <v>1552</v>
      </c>
      <c r="B6" s="3" t="s">
        <v>8466</v>
      </c>
      <c r="C6" s="3" t="s">
        <v>18974</v>
      </c>
      <c r="D6" s="3" t="s">
        <v>1779</v>
      </c>
      <c r="E6" s="3" t="s">
        <v>9213</v>
      </c>
      <c r="F6" s="3" t="s">
        <v>1744</v>
      </c>
      <c r="G6" s="4" t="s">
        <v>3321</v>
      </c>
      <c r="H6" s="4" t="s">
        <v>7691</v>
      </c>
      <c r="I6" s="4" t="s">
        <v>2669</v>
      </c>
      <c r="J6" s="4" t="s">
        <v>2669</v>
      </c>
      <c r="L6" s="3" t="s">
        <v>4013</v>
      </c>
      <c r="P6" s="3" t="s">
        <v>12360</v>
      </c>
      <c r="Q6" s="3" t="s">
        <v>10843</v>
      </c>
      <c r="S6" s="5" t="s">
        <v>6435</v>
      </c>
    </row>
    <row r="7" spans="1:21" x14ac:dyDescent="0.25">
      <c r="A7" s="3" t="s">
        <v>19169</v>
      </c>
      <c r="B7" s="3" t="s">
        <v>8466</v>
      </c>
      <c r="C7" s="3" t="s">
        <v>2704</v>
      </c>
      <c r="D7" s="3" t="s">
        <v>1779</v>
      </c>
      <c r="E7" s="3" t="s">
        <v>9213</v>
      </c>
      <c r="F7" s="3" t="s">
        <v>9544</v>
      </c>
      <c r="G7" s="4" t="s">
        <v>3321</v>
      </c>
      <c r="H7" s="4" t="s">
        <v>7691</v>
      </c>
      <c r="I7" s="4" t="s">
        <v>6651</v>
      </c>
      <c r="J7" s="4" t="s">
        <v>6651</v>
      </c>
      <c r="L7" s="3" t="s">
        <v>7576</v>
      </c>
      <c r="P7" s="3" t="s">
        <v>8492</v>
      </c>
      <c r="Q7" s="3" t="s">
        <v>453</v>
      </c>
      <c r="S7" s="5" t="s">
        <v>9885</v>
      </c>
    </row>
    <row r="8" spans="1:21" x14ac:dyDescent="0.25">
      <c r="A8" s="3" t="s">
        <v>6237</v>
      </c>
      <c r="B8" s="3" t="s">
        <v>8466</v>
      </c>
      <c r="C8" s="3" t="s">
        <v>6165</v>
      </c>
      <c r="D8" s="3" t="s">
        <v>1779</v>
      </c>
      <c r="E8" s="3" t="s">
        <v>9213</v>
      </c>
      <c r="F8" s="3" t="s">
        <v>14165</v>
      </c>
      <c r="G8" s="4" t="s">
        <v>3321</v>
      </c>
      <c r="H8" s="4" t="s">
        <v>7691</v>
      </c>
      <c r="I8" s="4" t="s">
        <v>6651</v>
      </c>
      <c r="J8" s="4" t="s">
        <v>4219</v>
      </c>
      <c r="L8" s="3" t="s">
        <v>4520</v>
      </c>
      <c r="P8" s="3" t="s">
        <v>10411</v>
      </c>
      <c r="Q8" s="3" t="s">
        <v>10050</v>
      </c>
      <c r="S8" s="5"/>
    </row>
    <row r="9" spans="1:21" x14ac:dyDescent="0.25">
      <c r="A9" s="3" t="s">
        <v>13075</v>
      </c>
      <c r="B9" s="3" t="s">
        <v>3321</v>
      </c>
      <c r="C9" s="3" t="s">
        <v>7691</v>
      </c>
      <c r="D9" s="3" t="s">
        <v>1779</v>
      </c>
      <c r="E9" s="3" t="s">
        <v>9213</v>
      </c>
      <c r="F9" s="3" t="s">
        <v>14744</v>
      </c>
      <c r="G9" s="4" t="s">
        <v>3321</v>
      </c>
      <c r="H9" s="4" t="s">
        <v>7691</v>
      </c>
      <c r="I9" s="4" t="s">
        <v>7191</v>
      </c>
      <c r="J9" s="4" t="s">
        <v>7191</v>
      </c>
      <c r="L9" s="5" t="s">
        <v>7531</v>
      </c>
      <c r="P9" s="3" t="s">
        <v>17917</v>
      </c>
      <c r="Q9" s="3" t="s">
        <v>2101</v>
      </c>
      <c r="S9" s="6"/>
    </row>
    <row r="10" spans="1:21" x14ac:dyDescent="0.25">
      <c r="A10" s="3" t="s">
        <v>18312</v>
      </c>
      <c r="B10" s="3" t="s">
        <v>3321</v>
      </c>
      <c r="C10" s="3" t="s">
        <v>11220</v>
      </c>
      <c r="D10" s="3" t="s">
        <v>1779</v>
      </c>
      <c r="E10" s="3" t="s">
        <v>9213</v>
      </c>
      <c r="F10" s="3" t="s">
        <v>9471</v>
      </c>
      <c r="G10" s="4" t="s">
        <v>3321</v>
      </c>
      <c r="H10" s="4" t="s">
        <v>7691</v>
      </c>
      <c r="I10" s="4" t="s">
        <v>5031</v>
      </c>
      <c r="J10" s="4" t="s">
        <v>5031</v>
      </c>
      <c r="L10" s="3" t="s">
        <v>7582</v>
      </c>
      <c r="P10" s="3" t="s">
        <v>6882</v>
      </c>
      <c r="Q10" s="3" t="s">
        <v>1383</v>
      </c>
    </row>
    <row r="11" spans="1:21" ht="20" x14ac:dyDescent="0.25">
      <c r="A11" s="3" t="s">
        <v>17269</v>
      </c>
      <c r="B11" s="3" t="s">
        <v>3321</v>
      </c>
      <c r="C11" s="3" t="s">
        <v>2926</v>
      </c>
      <c r="D11" s="3" t="s">
        <v>1779</v>
      </c>
      <c r="E11" s="3" t="s">
        <v>9213</v>
      </c>
      <c r="F11" s="3" t="s">
        <v>15908</v>
      </c>
      <c r="G11" s="4" t="s">
        <v>3321</v>
      </c>
      <c r="H11" s="4" t="s">
        <v>7691</v>
      </c>
      <c r="I11" s="4" t="s">
        <v>3819</v>
      </c>
      <c r="J11" s="4" t="s">
        <v>14491</v>
      </c>
      <c r="L11" s="3" t="s">
        <v>11850</v>
      </c>
      <c r="P11" s="3" t="s">
        <v>5770</v>
      </c>
      <c r="Q11" s="3" t="s">
        <v>9999</v>
      </c>
    </row>
    <row r="12" spans="1:21" ht="20" x14ac:dyDescent="0.3">
      <c r="A12" s="3" t="s">
        <v>3205</v>
      </c>
      <c r="B12" s="3" t="s">
        <v>3321</v>
      </c>
      <c r="C12" s="3" t="s">
        <v>5686</v>
      </c>
      <c r="D12" s="3" t="s">
        <v>1779</v>
      </c>
      <c r="E12" s="3" t="s">
        <v>13205</v>
      </c>
      <c r="F12" s="3" t="s">
        <v>18276</v>
      </c>
      <c r="G12" s="4" t="s">
        <v>3321</v>
      </c>
      <c r="H12" s="4" t="s">
        <v>7691</v>
      </c>
      <c r="I12" s="4" t="s">
        <v>3819</v>
      </c>
      <c r="J12" s="4" t="s">
        <v>17880</v>
      </c>
      <c r="L12" s="3" t="s">
        <v>15702</v>
      </c>
      <c r="P12" s="3" t="s">
        <v>3978</v>
      </c>
      <c r="Q12" s="3" t="s">
        <v>14933</v>
      </c>
      <c r="S12" s="19"/>
    </row>
    <row r="13" spans="1:21" ht="20" x14ac:dyDescent="0.3">
      <c r="B13" s="3" t="s">
        <v>1552</v>
      </c>
      <c r="C13" s="3" t="s">
        <v>12043</v>
      </c>
      <c r="D13" s="3" t="s">
        <v>1779</v>
      </c>
      <c r="E13" s="3" t="s">
        <v>13205</v>
      </c>
      <c r="F13" s="3" t="s">
        <v>19217</v>
      </c>
      <c r="G13" s="4" t="s">
        <v>3321</v>
      </c>
      <c r="H13" s="4" t="s">
        <v>7691</v>
      </c>
      <c r="I13" s="4" t="s">
        <v>3819</v>
      </c>
      <c r="J13" s="4" t="s">
        <v>17602</v>
      </c>
      <c r="L13" s="5" t="s">
        <v>2615</v>
      </c>
      <c r="P13" s="3" t="s">
        <v>3973</v>
      </c>
      <c r="Q13" s="3" t="s">
        <v>4912</v>
      </c>
      <c r="S13" s="19"/>
    </row>
    <row r="14" spans="1:21" ht="20" x14ac:dyDescent="0.25">
      <c r="B14" s="3" t="s">
        <v>1552</v>
      </c>
      <c r="C14" s="3" t="s">
        <v>11006</v>
      </c>
      <c r="D14" s="3" t="s">
        <v>1779</v>
      </c>
      <c r="E14" s="3" t="s">
        <v>13205</v>
      </c>
      <c r="F14" s="3" t="s">
        <v>572</v>
      </c>
      <c r="G14" s="4" t="s">
        <v>3321</v>
      </c>
      <c r="H14" s="4" t="s">
        <v>7691</v>
      </c>
      <c r="I14" s="4" t="s">
        <v>3819</v>
      </c>
      <c r="J14" s="4" t="s">
        <v>17700</v>
      </c>
      <c r="L14" s="5" t="s">
        <v>18695</v>
      </c>
      <c r="P14" s="3" t="s">
        <v>16319</v>
      </c>
      <c r="Q14" s="3" t="s">
        <v>5542</v>
      </c>
    </row>
    <row r="15" spans="1:21" ht="20" x14ac:dyDescent="0.25">
      <c r="B15" s="3" t="s">
        <v>1552</v>
      </c>
      <c r="C15" s="3" t="s">
        <v>14601</v>
      </c>
      <c r="D15" s="3" t="s">
        <v>1779</v>
      </c>
      <c r="E15" s="3" t="s">
        <v>13205</v>
      </c>
      <c r="F15" s="3" t="s">
        <v>18915</v>
      </c>
      <c r="G15" s="4" t="s">
        <v>3321</v>
      </c>
      <c r="H15" s="4" t="s">
        <v>7691</v>
      </c>
      <c r="I15" s="4" t="s">
        <v>3819</v>
      </c>
      <c r="J15" s="4" t="s">
        <v>3819</v>
      </c>
      <c r="L15" s="5" t="s">
        <v>9831</v>
      </c>
      <c r="P15" s="3" t="s">
        <v>10353</v>
      </c>
      <c r="Q15" s="3" t="s">
        <v>7782</v>
      </c>
    </row>
    <row r="16" spans="1:21" x14ac:dyDescent="0.25">
      <c r="B16" s="3" t="s">
        <v>1552</v>
      </c>
      <c r="C16" s="3" t="s">
        <v>12685</v>
      </c>
      <c r="D16" s="3" t="s">
        <v>1779</v>
      </c>
      <c r="E16" s="3" t="s">
        <v>13205</v>
      </c>
      <c r="F16" s="3" t="s">
        <v>1061</v>
      </c>
      <c r="G16" s="4" t="s">
        <v>3321</v>
      </c>
      <c r="H16" s="4" t="s">
        <v>7691</v>
      </c>
      <c r="I16" s="4" t="s">
        <v>1440</v>
      </c>
      <c r="J16" s="4" t="s">
        <v>13493</v>
      </c>
      <c r="L16" s="5" t="s">
        <v>13679</v>
      </c>
      <c r="P16" s="3" t="s">
        <v>5092</v>
      </c>
      <c r="Q16" s="3" t="s">
        <v>14138</v>
      </c>
    </row>
    <row r="17" spans="2:17" x14ac:dyDescent="0.25">
      <c r="B17" s="3" t="s">
        <v>19169</v>
      </c>
      <c r="C17" s="3" t="s">
        <v>15833</v>
      </c>
      <c r="D17" s="3" t="s">
        <v>1779</v>
      </c>
      <c r="E17" s="3" t="s">
        <v>13205</v>
      </c>
      <c r="F17" s="3" t="s">
        <v>4231</v>
      </c>
      <c r="G17" s="4" t="s">
        <v>3321</v>
      </c>
      <c r="H17" s="4" t="s">
        <v>7691</v>
      </c>
      <c r="I17" s="4" t="s">
        <v>1440</v>
      </c>
      <c r="J17" s="4" t="s">
        <v>17314</v>
      </c>
      <c r="L17" s="5" t="s">
        <v>162</v>
      </c>
      <c r="P17" s="3" t="s">
        <v>17345</v>
      </c>
      <c r="Q17" s="3" t="s">
        <v>6715</v>
      </c>
    </row>
    <row r="18" spans="2:17" x14ac:dyDescent="0.25">
      <c r="B18" s="3" t="s">
        <v>19169</v>
      </c>
      <c r="C18" s="3" t="s">
        <v>5397</v>
      </c>
      <c r="D18" s="3" t="s">
        <v>1779</v>
      </c>
      <c r="E18" s="3" t="s">
        <v>13205</v>
      </c>
      <c r="F18" s="3" t="s">
        <v>2379</v>
      </c>
      <c r="G18" s="4" t="s">
        <v>3321</v>
      </c>
      <c r="H18" s="4" t="s">
        <v>7691</v>
      </c>
      <c r="I18" s="4" t="s">
        <v>1440</v>
      </c>
      <c r="J18" s="4" t="s">
        <v>3733</v>
      </c>
      <c r="P18" s="3" t="s">
        <v>1716</v>
      </c>
      <c r="Q18" s="3" t="s">
        <v>16321</v>
      </c>
    </row>
    <row r="19" spans="2:17" x14ac:dyDescent="0.25">
      <c r="B19" s="3" t="s">
        <v>19169</v>
      </c>
      <c r="C19" s="3" t="s">
        <v>2253</v>
      </c>
      <c r="D19" s="3" t="s">
        <v>1779</v>
      </c>
      <c r="E19" s="3" t="s">
        <v>13205</v>
      </c>
      <c r="F19" s="3" t="s">
        <v>7580</v>
      </c>
      <c r="G19" s="4" t="s">
        <v>3321</v>
      </c>
      <c r="H19" s="4" t="s">
        <v>7691</v>
      </c>
      <c r="I19" s="4" t="s">
        <v>1440</v>
      </c>
      <c r="J19" s="4" t="s">
        <v>7562</v>
      </c>
      <c r="P19" s="3" t="s">
        <v>3974</v>
      </c>
      <c r="Q19" s="3" t="s">
        <v>18252</v>
      </c>
    </row>
    <row r="20" spans="2:17" x14ac:dyDescent="0.25">
      <c r="B20" s="3" t="s">
        <v>19169</v>
      </c>
      <c r="C20" s="3" t="s">
        <v>6978</v>
      </c>
      <c r="D20" s="3" t="s">
        <v>1779</v>
      </c>
      <c r="E20" s="3" t="s">
        <v>13205</v>
      </c>
      <c r="F20" s="3" t="s">
        <v>1691</v>
      </c>
      <c r="G20" s="4" t="s">
        <v>3321</v>
      </c>
      <c r="H20" s="4" t="s">
        <v>7691</v>
      </c>
      <c r="I20" s="4" t="s">
        <v>1440</v>
      </c>
      <c r="J20" s="4" t="s">
        <v>1440</v>
      </c>
      <c r="P20" s="3" t="s">
        <v>13540</v>
      </c>
      <c r="Q20" s="3" t="s">
        <v>18943</v>
      </c>
    </row>
    <row r="21" spans="2:17" x14ac:dyDescent="0.25">
      <c r="B21" s="3" t="s">
        <v>6237</v>
      </c>
      <c r="C21" s="3" t="s">
        <v>2808</v>
      </c>
      <c r="D21" s="3" t="s">
        <v>1779</v>
      </c>
      <c r="E21" s="3" t="s">
        <v>18543</v>
      </c>
      <c r="F21" s="3" t="s">
        <v>5109</v>
      </c>
      <c r="G21" s="4" t="s">
        <v>3321</v>
      </c>
      <c r="H21" s="4" t="s">
        <v>11220</v>
      </c>
      <c r="I21" s="4" t="s">
        <v>11765</v>
      </c>
      <c r="J21" s="4" t="s">
        <v>5630</v>
      </c>
      <c r="P21" s="3" t="s">
        <v>314</v>
      </c>
      <c r="Q21" s="3" t="s">
        <v>13857</v>
      </c>
    </row>
    <row r="22" spans="2:17" x14ac:dyDescent="0.25">
      <c r="B22" s="3" t="s">
        <v>6237</v>
      </c>
      <c r="C22" s="3" t="s">
        <v>5879</v>
      </c>
      <c r="D22" s="3" t="s">
        <v>1779</v>
      </c>
      <c r="E22" s="3" t="s">
        <v>18543</v>
      </c>
      <c r="F22" s="3" t="s">
        <v>46</v>
      </c>
      <c r="G22" s="4" t="s">
        <v>3321</v>
      </c>
      <c r="H22" s="4" t="s">
        <v>11220</v>
      </c>
      <c r="I22" s="4" t="s">
        <v>11765</v>
      </c>
      <c r="J22" s="4" t="s">
        <v>11765</v>
      </c>
      <c r="P22" s="3" t="s">
        <v>4648</v>
      </c>
      <c r="Q22" s="3" t="s">
        <v>18332</v>
      </c>
    </row>
    <row r="23" spans="2:17" x14ac:dyDescent="0.25">
      <c r="B23" s="3" t="s">
        <v>6237</v>
      </c>
      <c r="C23" s="3" t="s">
        <v>19650</v>
      </c>
      <c r="D23" s="3" t="s">
        <v>1779</v>
      </c>
      <c r="E23" s="3" t="s">
        <v>18543</v>
      </c>
      <c r="F23" s="3" t="s">
        <v>13862</v>
      </c>
      <c r="G23" s="4" t="s">
        <v>3321</v>
      </c>
      <c r="H23" s="4" t="s">
        <v>11220</v>
      </c>
      <c r="I23" s="4" t="s">
        <v>5492</v>
      </c>
      <c r="J23" s="4" t="s">
        <v>17672</v>
      </c>
      <c r="P23" s="3" t="s">
        <v>1225</v>
      </c>
      <c r="Q23" s="3" t="s">
        <v>10479</v>
      </c>
    </row>
    <row r="24" spans="2:17" x14ac:dyDescent="0.25">
      <c r="B24" s="3" t="s">
        <v>6237</v>
      </c>
      <c r="C24" s="3" t="s">
        <v>13283</v>
      </c>
      <c r="D24" s="3" t="s">
        <v>1779</v>
      </c>
      <c r="E24" s="3" t="s">
        <v>18543</v>
      </c>
      <c r="F24" s="3" t="s">
        <v>3506</v>
      </c>
      <c r="G24" s="4" t="s">
        <v>3321</v>
      </c>
      <c r="H24" s="4" t="s">
        <v>11220</v>
      </c>
      <c r="I24" s="4" t="s">
        <v>5492</v>
      </c>
      <c r="J24" s="4" t="s">
        <v>5492</v>
      </c>
      <c r="P24" s="3" t="s">
        <v>7799</v>
      </c>
      <c r="Q24" s="3" t="s">
        <v>7134</v>
      </c>
    </row>
    <row r="25" spans="2:17" x14ac:dyDescent="0.25">
      <c r="B25" s="3" t="s">
        <v>13075</v>
      </c>
      <c r="C25" s="3" t="s">
        <v>3574</v>
      </c>
      <c r="D25" s="3" t="s">
        <v>8466</v>
      </c>
      <c r="E25" s="3" t="s">
        <v>18974</v>
      </c>
      <c r="F25" s="3" t="s">
        <v>1205</v>
      </c>
      <c r="G25" s="4" t="s">
        <v>3321</v>
      </c>
      <c r="H25" s="4" t="s">
        <v>11220</v>
      </c>
      <c r="I25" s="4" t="s">
        <v>15916</v>
      </c>
      <c r="J25" s="4" t="s">
        <v>15916</v>
      </c>
      <c r="P25" s="3" t="s">
        <v>5095</v>
      </c>
      <c r="Q25" s="3" t="s">
        <v>16334</v>
      </c>
    </row>
    <row r="26" spans="2:17" ht="20" x14ac:dyDescent="0.25">
      <c r="B26" s="3" t="s">
        <v>13075</v>
      </c>
      <c r="C26" s="3" t="s">
        <v>2555</v>
      </c>
      <c r="D26" s="3" t="s">
        <v>8466</v>
      </c>
      <c r="E26" s="3" t="s">
        <v>18974</v>
      </c>
      <c r="F26" s="3" t="s">
        <v>19610</v>
      </c>
      <c r="G26" s="4" t="s">
        <v>3321</v>
      </c>
      <c r="H26" s="4" t="s">
        <v>2926</v>
      </c>
      <c r="I26" s="4" t="s">
        <v>11336</v>
      </c>
      <c r="J26" s="4" t="s">
        <v>1071</v>
      </c>
      <c r="P26" s="3" t="s">
        <v>6006</v>
      </c>
      <c r="Q26" s="3" t="s">
        <v>1684</v>
      </c>
    </row>
    <row r="27" spans="2:17" ht="20" x14ac:dyDescent="0.25">
      <c r="B27" s="3" t="s">
        <v>18312</v>
      </c>
      <c r="C27" s="3" t="s">
        <v>8120</v>
      </c>
      <c r="D27" s="3" t="s">
        <v>8466</v>
      </c>
      <c r="E27" s="3" t="s">
        <v>18974</v>
      </c>
      <c r="F27" s="3" t="s">
        <v>6254</v>
      </c>
      <c r="G27" s="4" t="s">
        <v>3321</v>
      </c>
      <c r="H27" s="4" t="s">
        <v>2926</v>
      </c>
      <c r="I27" s="4" t="s">
        <v>11336</v>
      </c>
      <c r="J27" s="4" t="s">
        <v>11336</v>
      </c>
      <c r="P27" s="3" t="s">
        <v>9636</v>
      </c>
      <c r="Q27" s="3" t="s">
        <v>5317</v>
      </c>
    </row>
    <row r="28" spans="2:17" ht="20" x14ac:dyDescent="0.25">
      <c r="B28" s="3" t="s">
        <v>18312</v>
      </c>
      <c r="C28" s="3" t="s">
        <v>656</v>
      </c>
      <c r="D28" s="3" t="s">
        <v>8466</v>
      </c>
      <c r="E28" s="3" t="s">
        <v>18974</v>
      </c>
      <c r="F28" s="3" t="s">
        <v>19248</v>
      </c>
      <c r="G28" s="4" t="s">
        <v>3321</v>
      </c>
      <c r="H28" s="4" t="s">
        <v>2926</v>
      </c>
      <c r="I28" s="4" t="s">
        <v>11336</v>
      </c>
      <c r="J28" s="4" t="s">
        <v>6231</v>
      </c>
      <c r="P28" s="3" t="s">
        <v>13582</v>
      </c>
      <c r="Q28" s="3" t="s">
        <v>7047</v>
      </c>
    </row>
    <row r="29" spans="2:17" ht="20" x14ac:dyDescent="0.25">
      <c r="B29" s="3" t="s">
        <v>18312</v>
      </c>
      <c r="C29" s="3" t="s">
        <v>11207</v>
      </c>
      <c r="D29" s="3" t="s">
        <v>8466</v>
      </c>
      <c r="E29" s="3" t="s">
        <v>2704</v>
      </c>
      <c r="F29" s="3" t="s">
        <v>12681</v>
      </c>
      <c r="G29" s="4" t="s">
        <v>3321</v>
      </c>
      <c r="H29" s="4" t="s">
        <v>2926</v>
      </c>
      <c r="I29" s="4" t="s">
        <v>3250</v>
      </c>
      <c r="J29" s="4" t="s">
        <v>3250</v>
      </c>
      <c r="P29" s="3" t="s">
        <v>5442</v>
      </c>
      <c r="Q29" s="3" t="s">
        <v>4954</v>
      </c>
    </row>
    <row r="30" spans="2:17" ht="20" x14ac:dyDescent="0.25">
      <c r="B30" s="3" t="s">
        <v>17269</v>
      </c>
      <c r="C30" s="3" t="s">
        <v>10084</v>
      </c>
      <c r="D30" s="3" t="s">
        <v>8466</v>
      </c>
      <c r="E30" s="3" t="s">
        <v>2704</v>
      </c>
      <c r="F30" s="3" t="s">
        <v>6105</v>
      </c>
      <c r="G30" s="4" t="s">
        <v>3321</v>
      </c>
      <c r="H30" s="4" t="s">
        <v>2926</v>
      </c>
      <c r="I30" s="4" t="s">
        <v>3250</v>
      </c>
      <c r="J30" s="4" t="s">
        <v>16062</v>
      </c>
      <c r="P30" s="3" t="s">
        <v>12361</v>
      </c>
      <c r="Q30" s="3" t="s">
        <v>14743</v>
      </c>
    </row>
    <row r="31" spans="2:17" ht="20" x14ac:dyDescent="0.25">
      <c r="B31" s="3" t="s">
        <v>17269</v>
      </c>
      <c r="C31" s="3" t="s">
        <v>17292</v>
      </c>
      <c r="D31" s="3" t="s">
        <v>8466</v>
      </c>
      <c r="E31" s="3" t="s">
        <v>2704</v>
      </c>
      <c r="F31" s="3" t="s">
        <v>10844</v>
      </c>
      <c r="G31" s="4" t="s">
        <v>3321</v>
      </c>
      <c r="H31" s="4" t="s">
        <v>2926</v>
      </c>
      <c r="I31" s="4" t="s">
        <v>11443</v>
      </c>
      <c r="J31" s="4" t="s">
        <v>3525</v>
      </c>
      <c r="P31" s="3" t="s">
        <v>5214</v>
      </c>
      <c r="Q31" s="3" t="s">
        <v>4012</v>
      </c>
    </row>
    <row r="32" spans="2:17" ht="20" x14ac:dyDescent="0.25">
      <c r="B32" s="3" t="s">
        <v>17269</v>
      </c>
      <c r="C32" s="3" t="s">
        <v>9103</v>
      </c>
      <c r="D32" s="3" t="s">
        <v>8466</v>
      </c>
      <c r="E32" s="3" t="s">
        <v>6165</v>
      </c>
      <c r="F32" s="3" t="s">
        <v>1901</v>
      </c>
      <c r="G32" s="4" t="s">
        <v>3321</v>
      </c>
      <c r="H32" s="4" t="s">
        <v>2926</v>
      </c>
      <c r="I32" s="4" t="s">
        <v>11443</v>
      </c>
      <c r="J32" s="4" t="s">
        <v>4651</v>
      </c>
      <c r="P32" s="3" t="s">
        <v>5215</v>
      </c>
      <c r="Q32" s="3" t="s">
        <v>12840</v>
      </c>
    </row>
    <row r="33" spans="2:17" ht="20" x14ac:dyDescent="0.25">
      <c r="B33" s="3" t="s">
        <v>3205</v>
      </c>
      <c r="C33" s="3" t="s">
        <v>11612</v>
      </c>
      <c r="D33" s="3" t="s">
        <v>8466</v>
      </c>
      <c r="E33" s="3" t="s">
        <v>6165</v>
      </c>
      <c r="F33" s="3" t="s">
        <v>39</v>
      </c>
      <c r="G33" s="4" t="s">
        <v>3321</v>
      </c>
      <c r="H33" s="4" t="s">
        <v>2926</v>
      </c>
      <c r="I33" s="4" t="s">
        <v>11443</v>
      </c>
      <c r="J33" s="4" t="s">
        <v>11443</v>
      </c>
      <c r="P33" s="3" t="s">
        <v>13525</v>
      </c>
      <c r="Q33" s="3" t="s">
        <v>7929</v>
      </c>
    </row>
    <row r="34" spans="2:17" ht="20" x14ac:dyDescent="0.25">
      <c r="B34" s="3" t="s">
        <v>3205</v>
      </c>
      <c r="C34" s="3" t="s">
        <v>15095</v>
      </c>
      <c r="D34" s="3" t="s">
        <v>8466</v>
      </c>
      <c r="E34" s="3" t="s">
        <v>6165</v>
      </c>
      <c r="F34" s="3" t="s">
        <v>10149</v>
      </c>
      <c r="G34" s="4" t="s">
        <v>3321</v>
      </c>
      <c r="H34" s="4" t="s">
        <v>2926</v>
      </c>
      <c r="I34" s="4" t="s">
        <v>11443</v>
      </c>
      <c r="J34" s="4" t="s">
        <v>14660</v>
      </c>
      <c r="P34" s="3" t="s">
        <v>11434</v>
      </c>
      <c r="Q34" s="3" t="s">
        <v>7929</v>
      </c>
    </row>
    <row r="35" spans="2:17" ht="20" x14ac:dyDescent="0.25">
      <c r="D35" s="3" t="s">
        <v>8466</v>
      </c>
      <c r="E35" s="3" t="s">
        <v>6165</v>
      </c>
      <c r="F35" s="3" t="s">
        <v>14578</v>
      </c>
      <c r="G35" s="4" t="s">
        <v>3321</v>
      </c>
      <c r="H35" s="4" t="s">
        <v>2926</v>
      </c>
      <c r="I35" s="4" t="s">
        <v>16276</v>
      </c>
      <c r="J35" s="4" t="s">
        <v>16276</v>
      </c>
      <c r="P35" s="3" t="s">
        <v>17498</v>
      </c>
      <c r="Q35" s="3" t="s">
        <v>1775</v>
      </c>
    </row>
    <row r="36" spans="2:17" x14ac:dyDescent="0.25">
      <c r="D36" s="3" t="s">
        <v>3321</v>
      </c>
      <c r="E36" s="3" t="s">
        <v>7691</v>
      </c>
      <c r="F36" s="3" t="s">
        <v>3819</v>
      </c>
      <c r="G36" s="4" t="s">
        <v>3321</v>
      </c>
      <c r="H36" s="4" t="s">
        <v>5686</v>
      </c>
      <c r="I36" s="4" t="s">
        <v>13580</v>
      </c>
      <c r="J36" s="4" t="s">
        <v>13580</v>
      </c>
      <c r="P36" s="3" t="s">
        <v>18406</v>
      </c>
      <c r="Q36" s="3" t="s">
        <v>11616</v>
      </c>
    </row>
    <row r="37" spans="2:17" x14ac:dyDescent="0.25">
      <c r="D37" s="3" t="s">
        <v>3321</v>
      </c>
      <c r="E37" s="3" t="s">
        <v>7691</v>
      </c>
      <c r="F37" s="3" t="s">
        <v>14563</v>
      </c>
      <c r="G37" s="4" t="s">
        <v>3321</v>
      </c>
      <c r="H37" s="4" t="s">
        <v>5686</v>
      </c>
      <c r="I37" s="4" t="s">
        <v>8574</v>
      </c>
      <c r="J37" s="4" t="s">
        <v>8574</v>
      </c>
      <c r="P37" s="3" t="s">
        <v>3967</v>
      </c>
      <c r="Q37" s="3" t="s">
        <v>1852</v>
      </c>
    </row>
    <row r="38" spans="2:17" ht="20" x14ac:dyDescent="0.25">
      <c r="D38" s="3" t="s">
        <v>3321</v>
      </c>
      <c r="E38" s="3" t="s">
        <v>7691</v>
      </c>
      <c r="F38" s="3" t="s">
        <v>2669</v>
      </c>
      <c r="G38" s="4" t="s">
        <v>3321</v>
      </c>
      <c r="H38" s="4" t="s">
        <v>5686</v>
      </c>
      <c r="I38" s="4" t="s">
        <v>1586</v>
      </c>
      <c r="J38" s="4" t="s">
        <v>8265</v>
      </c>
      <c r="P38" s="3" t="s">
        <v>13636</v>
      </c>
      <c r="Q38" s="3" t="s">
        <v>9127</v>
      </c>
    </row>
    <row r="39" spans="2:17" ht="20" x14ac:dyDescent="0.25">
      <c r="D39" s="3" t="s">
        <v>3321</v>
      </c>
      <c r="E39" s="3" t="s">
        <v>7691</v>
      </c>
      <c r="F39" s="3" t="s">
        <v>6651</v>
      </c>
      <c r="G39" s="4" t="s">
        <v>3321</v>
      </c>
      <c r="H39" s="4" t="s">
        <v>5686</v>
      </c>
      <c r="I39" s="4" t="s">
        <v>1586</v>
      </c>
      <c r="J39" s="4" t="s">
        <v>8074</v>
      </c>
      <c r="P39" s="3" t="s">
        <v>13217</v>
      </c>
      <c r="Q39" s="3" t="s">
        <v>791</v>
      </c>
    </row>
    <row r="40" spans="2:17" ht="20" x14ac:dyDescent="0.25">
      <c r="D40" s="3" t="s">
        <v>3321</v>
      </c>
      <c r="E40" s="3" t="s">
        <v>7691</v>
      </c>
      <c r="F40" s="3" t="s">
        <v>5031</v>
      </c>
      <c r="G40" s="4" t="s">
        <v>3321</v>
      </c>
      <c r="H40" s="4" t="s">
        <v>5686</v>
      </c>
      <c r="I40" s="4" t="s">
        <v>1586</v>
      </c>
      <c r="J40" s="4" t="s">
        <v>19016</v>
      </c>
      <c r="P40" s="3" t="s">
        <v>4327</v>
      </c>
      <c r="Q40" s="3" t="s">
        <v>14774</v>
      </c>
    </row>
    <row r="41" spans="2:17" ht="20" x14ac:dyDescent="0.25">
      <c r="D41" s="3" t="s">
        <v>3321</v>
      </c>
      <c r="E41" s="3" t="s">
        <v>7691</v>
      </c>
      <c r="F41" s="3" t="s">
        <v>1440</v>
      </c>
      <c r="G41" s="4" t="s">
        <v>3321</v>
      </c>
      <c r="H41" s="4" t="s">
        <v>5686</v>
      </c>
      <c r="I41" s="4" t="s">
        <v>1586</v>
      </c>
      <c r="J41" s="4" t="s">
        <v>1586</v>
      </c>
      <c r="P41" s="3" t="s">
        <v>4492</v>
      </c>
      <c r="Q41" s="3" t="s">
        <v>1507</v>
      </c>
    </row>
    <row r="42" spans="2:17" x14ac:dyDescent="0.25">
      <c r="D42" s="3" t="s">
        <v>3321</v>
      </c>
      <c r="E42" s="3" t="s">
        <v>7691</v>
      </c>
      <c r="F42" s="3" t="s">
        <v>7191</v>
      </c>
      <c r="G42" s="4" t="s">
        <v>1552</v>
      </c>
      <c r="H42" s="4" t="s">
        <v>12685</v>
      </c>
      <c r="I42" s="4" t="s">
        <v>12685</v>
      </c>
      <c r="J42" s="4" t="s">
        <v>8756</v>
      </c>
      <c r="P42" s="3" t="s">
        <v>4483</v>
      </c>
      <c r="Q42" s="3" t="s">
        <v>9022</v>
      </c>
    </row>
    <row r="43" spans="2:17" x14ac:dyDescent="0.25">
      <c r="D43" s="3" t="s">
        <v>3321</v>
      </c>
      <c r="E43" s="3" t="s">
        <v>11220</v>
      </c>
      <c r="F43" s="3" t="s">
        <v>11765</v>
      </c>
      <c r="G43" s="4" t="s">
        <v>1552</v>
      </c>
      <c r="H43" s="4" t="s">
        <v>12685</v>
      </c>
      <c r="I43" s="4" t="s">
        <v>12685</v>
      </c>
      <c r="J43" s="4" t="s">
        <v>12685</v>
      </c>
      <c r="P43" s="3" t="s">
        <v>16500</v>
      </c>
      <c r="Q43" s="3" t="s">
        <v>8330</v>
      </c>
    </row>
    <row r="44" spans="2:17" x14ac:dyDescent="0.25">
      <c r="D44" s="3" t="s">
        <v>3321</v>
      </c>
      <c r="E44" s="3" t="s">
        <v>11220</v>
      </c>
      <c r="F44" s="3" t="s">
        <v>5492</v>
      </c>
      <c r="G44" s="4" t="s">
        <v>1552</v>
      </c>
      <c r="H44" s="4" t="s">
        <v>12685</v>
      </c>
      <c r="I44" s="4" t="s">
        <v>19601</v>
      </c>
      <c r="J44" s="4" t="s">
        <v>19601</v>
      </c>
    </row>
    <row r="45" spans="2:17" x14ac:dyDescent="0.25">
      <c r="D45" s="3" t="s">
        <v>3321</v>
      </c>
      <c r="E45" s="3" t="s">
        <v>11220</v>
      </c>
      <c r="F45" s="3" t="s">
        <v>15916</v>
      </c>
      <c r="G45" s="4" t="s">
        <v>1552</v>
      </c>
      <c r="H45" s="4" t="s">
        <v>12685</v>
      </c>
      <c r="I45" s="4" t="s">
        <v>19601</v>
      </c>
      <c r="J45" s="4" t="s">
        <v>9389</v>
      </c>
    </row>
    <row r="46" spans="2:17" x14ac:dyDescent="0.25">
      <c r="D46" s="3" t="s">
        <v>3321</v>
      </c>
      <c r="E46" s="3" t="s">
        <v>2926</v>
      </c>
      <c r="F46" s="3" t="s">
        <v>11443</v>
      </c>
      <c r="G46" s="4" t="s">
        <v>1552</v>
      </c>
      <c r="H46" s="4" t="s">
        <v>12685</v>
      </c>
      <c r="I46" s="4" t="s">
        <v>10802</v>
      </c>
      <c r="J46" s="4" t="s">
        <v>12580</v>
      </c>
    </row>
    <row r="47" spans="2:17" x14ac:dyDescent="0.25">
      <c r="D47" s="3" t="s">
        <v>3321</v>
      </c>
      <c r="E47" s="3" t="s">
        <v>2926</v>
      </c>
      <c r="F47" s="3" t="s">
        <v>11336</v>
      </c>
      <c r="G47" s="4" t="s">
        <v>1552</v>
      </c>
      <c r="H47" s="4" t="s">
        <v>12685</v>
      </c>
      <c r="I47" s="4" t="s">
        <v>10802</v>
      </c>
      <c r="J47" s="4" t="s">
        <v>10802</v>
      </c>
    </row>
    <row r="48" spans="2:17" x14ac:dyDescent="0.25">
      <c r="D48" s="3" t="s">
        <v>3321</v>
      </c>
      <c r="E48" s="3" t="s">
        <v>2926</v>
      </c>
      <c r="F48" s="3" t="s">
        <v>3250</v>
      </c>
      <c r="G48" s="4" t="s">
        <v>1552</v>
      </c>
      <c r="H48" s="4" t="s">
        <v>12685</v>
      </c>
      <c r="I48" s="4" t="s">
        <v>10802</v>
      </c>
      <c r="J48" s="4" t="s">
        <v>1673</v>
      </c>
    </row>
    <row r="49" spans="4:10" x14ac:dyDescent="0.25">
      <c r="D49" s="3" t="s">
        <v>3321</v>
      </c>
      <c r="E49" s="3" t="s">
        <v>2926</v>
      </c>
      <c r="F49" s="3" t="s">
        <v>16276</v>
      </c>
      <c r="G49" s="4" t="s">
        <v>1552</v>
      </c>
      <c r="H49" s="4" t="s">
        <v>12685</v>
      </c>
      <c r="I49" s="4" t="s">
        <v>1033</v>
      </c>
      <c r="J49" s="4" t="s">
        <v>1033</v>
      </c>
    </row>
    <row r="50" spans="4:10" x14ac:dyDescent="0.25">
      <c r="D50" s="3" t="s">
        <v>3321</v>
      </c>
      <c r="E50" s="3" t="s">
        <v>5686</v>
      </c>
      <c r="F50" s="3" t="s">
        <v>1586</v>
      </c>
      <c r="G50" s="4" t="s">
        <v>1552</v>
      </c>
      <c r="H50" s="4" t="s">
        <v>12685</v>
      </c>
      <c r="I50" s="4" t="s">
        <v>1576</v>
      </c>
      <c r="J50" s="4" t="s">
        <v>1576</v>
      </c>
    </row>
    <row r="51" spans="4:10" x14ac:dyDescent="0.25">
      <c r="D51" s="3" t="s">
        <v>3321</v>
      </c>
      <c r="E51" s="3" t="s">
        <v>5686</v>
      </c>
      <c r="F51" s="3" t="s">
        <v>8574</v>
      </c>
      <c r="G51" s="4" t="s">
        <v>1552</v>
      </c>
      <c r="H51" s="4" t="s">
        <v>14601</v>
      </c>
      <c r="I51" s="4" t="s">
        <v>8503</v>
      </c>
      <c r="J51" s="4" t="s">
        <v>8503</v>
      </c>
    </row>
    <row r="52" spans="4:10" x14ac:dyDescent="0.25">
      <c r="D52" s="3" t="s">
        <v>3321</v>
      </c>
      <c r="E52" s="3" t="s">
        <v>5686</v>
      </c>
      <c r="F52" s="3" t="s">
        <v>13580</v>
      </c>
      <c r="G52" s="4" t="s">
        <v>1552</v>
      </c>
      <c r="H52" s="4" t="s">
        <v>14601</v>
      </c>
      <c r="I52" s="4" t="s">
        <v>8503</v>
      </c>
      <c r="J52" s="4" t="s">
        <v>17628</v>
      </c>
    </row>
    <row r="53" spans="4:10" x14ac:dyDescent="0.25">
      <c r="D53" s="3" t="s">
        <v>1552</v>
      </c>
      <c r="E53" s="3" t="s">
        <v>12043</v>
      </c>
      <c r="F53" s="3" t="s">
        <v>1322</v>
      </c>
      <c r="G53" s="4" t="s">
        <v>1552</v>
      </c>
      <c r="H53" s="4" t="s">
        <v>14601</v>
      </c>
      <c r="I53" s="4" t="s">
        <v>15171</v>
      </c>
      <c r="J53" s="4" t="s">
        <v>18163</v>
      </c>
    </row>
    <row r="54" spans="4:10" x14ac:dyDescent="0.25">
      <c r="D54" s="3" t="s">
        <v>1552</v>
      </c>
      <c r="E54" s="3" t="s">
        <v>12043</v>
      </c>
      <c r="F54" s="3" t="s">
        <v>6919</v>
      </c>
      <c r="G54" s="4" t="s">
        <v>1552</v>
      </c>
      <c r="H54" s="4" t="s">
        <v>14601</v>
      </c>
      <c r="I54" s="4" t="s">
        <v>15171</v>
      </c>
      <c r="J54" s="4" t="s">
        <v>15171</v>
      </c>
    </row>
    <row r="55" spans="4:10" x14ac:dyDescent="0.25">
      <c r="D55" s="3" t="s">
        <v>1552</v>
      </c>
      <c r="E55" s="3" t="s">
        <v>12043</v>
      </c>
      <c r="F55" s="3" t="s">
        <v>6784</v>
      </c>
      <c r="G55" s="4" t="s">
        <v>1552</v>
      </c>
      <c r="H55" s="4" t="s">
        <v>14601</v>
      </c>
      <c r="I55" s="4" t="s">
        <v>15171</v>
      </c>
      <c r="J55" s="4" t="s">
        <v>4202</v>
      </c>
    </row>
    <row r="56" spans="4:10" x14ac:dyDescent="0.25">
      <c r="D56" s="3" t="s">
        <v>1552</v>
      </c>
      <c r="E56" s="3" t="s">
        <v>11006</v>
      </c>
      <c r="F56" s="3" t="s">
        <v>19129</v>
      </c>
      <c r="G56" s="4" t="s">
        <v>1552</v>
      </c>
      <c r="H56" s="4" t="s">
        <v>14601</v>
      </c>
      <c r="I56" s="4" t="s">
        <v>15171</v>
      </c>
      <c r="J56" s="4" t="s">
        <v>18764</v>
      </c>
    </row>
    <row r="57" spans="4:10" ht="20" x14ac:dyDescent="0.25">
      <c r="D57" s="3" t="s">
        <v>1552</v>
      </c>
      <c r="E57" s="3" t="s">
        <v>11006</v>
      </c>
      <c r="F57" s="3" t="s">
        <v>15646</v>
      </c>
      <c r="G57" s="4" t="s">
        <v>1552</v>
      </c>
      <c r="H57" s="4" t="s">
        <v>14601</v>
      </c>
      <c r="I57" s="4" t="s">
        <v>17603</v>
      </c>
      <c r="J57" s="4" t="s">
        <v>17603</v>
      </c>
    </row>
    <row r="58" spans="4:10" x14ac:dyDescent="0.25">
      <c r="D58" s="3" t="s">
        <v>1552</v>
      </c>
      <c r="E58" s="3" t="s">
        <v>11006</v>
      </c>
      <c r="F58" s="3" t="s">
        <v>12988</v>
      </c>
      <c r="G58" s="4" t="s">
        <v>1552</v>
      </c>
      <c r="H58" s="4" t="s">
        <v>14601</v>
      </c>
      <c r="I58" s="4" t="s">
        <v>4269</v>
      </c>
      <c r="J58" s="4" t="s">
        <v>4269</v>
      </c>
    </row>
    <row r="59" spans="4:10" ht="20" x14ac:dyDescent="0.25">
      <c r="D59" s="3" t="s">
        <v>1552</v>
      </c>
      <c r="E59" s="3" t="s">
        <v>14601</v>
      </c>
      <c r="F59" s="3" t="s">
        <v>8947</v>
      </c>
      <c r="G59" s="4" t="s">
        <v>1552</v>
      </c>
      <c r="H59" s="4" t="s">
        <v>14601</v>
      </c>
      <c r="I59" s="4" t="s">
        <v>8947</v>
      </c>
      <c r="J59" s="4" t="s">
        <v>8947</v>
      </c>
    </row>
    <row r="60" spans="4:10" x14ac:dyDescent="0.25">
      <c r="D60" s="3" t="s">
        <v>1552</v>
      </c>
      <c r="E60" s="3" t="s">
        <v>14601</v>
      </c>
      <c r="F60" s="3" t="s">
        <v>8503</v>
      </c>
      <c r="G60" s="4" t="s">
        <v>1552</v>
      </c>
      <c r="H60" s="4" t="s">
        <v>14601</v>
      </c>
      <c r="I60" s="4" t="s">
        <v>19627</v>
      </c>
      <c r="J60" s="4" t="s">
        <v>19627</v>
      </c>
    </row>
    <row r="61" spans="4:10" ht="20" x14ac:dyDescent="0.25">
      <c r="D61" s="3" t="s">
        <v>1552</v>
      </c>
      <c r="E61" s="3" t="s">
        <v>14601</v>
      </c>
      <c r="F61" s="3" t="s">
        <v>15171</v>
      </c>
      <c r="G61" s="4" t="s">
        <v>1552</v>
      </c>
      <c r="H61" s="4" t="s">
        <v>11006</v>
      </c>
      <c r="I61" s="4" t="s">
        <v>12988</v>
      </c>
      <c r="J61" s="4" t="s">
        <v>12988</v>
      </c>
    </row>
    <row r="62" spans="4:10" ht="20" x14ac:dyDescent="0.25">
      <c r="D62" s="3" t="s">
        <v>1552</v>
      </c>
      <c r="E62" s="3" t="s">
        <v>14601</v>
      </c>
      <c r="F62" s="3" t="s">
        <v>17603</v>
      </c>
      <c r="G62" s="4" t="s">
        <v>1552</v>
      </c>
      <c r="H62" s="4" t="s">
        <v>11006</v>
      </c>
      <c r="I62" s="4" t="s">
        <v>19129</v>
      </c>
      <c r="J62" s="4" t="s">
        <v>19129</v>
      </c>
    </row>
    <row r="63" spans="4:10" ht="20" x14ac:dyDescent="0.25">
      <c r="D63" s="3" t="s">
        <v>1552</v>
      </c>
      <c r="E63" s="3" t="s">
        <v>14601</v>
      </c>
      <c r="F63" s="3" t="s">
        <v>4269</v>
      </c>
      <c r="G63" s="4" t="s">
        <v>1552</v>
      </c>
      <c r="H63" s="4" t="s">
        <v>11006</v>
      </c>
      <c r="I63" s="4" t="s">
        <v>15646</v>
      </c>
      <c r="J63" s="4" t="s">
        <v>15646</v>
      </c>
    </row>
    <row r="64" spans="4:10" x14ac:dyDescent="0.25">
      <c r="D64" s="3" t="s">
        <v>1552</v>
      </c>
      <c r="E64" s="3" t="s">
        <v>14601</v>
      </c>
      <c r="F64" s="3" t="s">
        <v>19627</v>
      </c>
      <c r="G64" s="4" t="s">
        <v>1552</v>
      </c>
      <c r="H64" s="4" t="s">
        <v>12043</v>
      </c>
      <c r="I64" s="4" t="s">
        <v>6919</v>
      </c>
      <c r="J64" s="4" t="s">
        <v>3416</v>
      </c>
    </row>
    <row r="65" spans="4:10" x14ac:dyDescent="0.25">
      <c r="D65" s="3" t="s">
        <v>1552</v>
      </c>
      <c r="E65" s="3" t="s">
        <v>12685</v>
      </c>
      <c r="F65" s="3" t="s">
        <v>12685</v>
      </c>
      <c r="G65" s="4" t="s">
        <v>1552</v>
      </c>
      <c r="H65" s="4" t="s">
        <v>12043</v>
      </c>
      <c r="I65" s="4" t="s">
        <v>6919</v>
      </c>
      <c r="J65" s="4" t="s">
        <v>6919</v>
      </c>
    </row>
    <row r="66" spans="4:10" x14ac:dyDescent="0.25">
      <c r="D66" s="3" t="s">
        <v>1552</v>
      </c>
      <c r="E66" s="3" t="s">
        <v>12685</v>
      </c>
      <c r="F66" s="3" t="s">
        <v>10802</v>
      </c>
      <c r="G66" s="4" t="s">
        <v>1552</v>
      </c>
      <c r="H66" s="4" t="s">
        <v>12043</v>
      </c>
      <c r="I66" s="4" t="s">
        <v>6919</v>
      </c>
      <c r="J66" s="4" t="s">
        <v>10357</v>
      </c>
    </row>
    <row r="67" spans="4:10" x14ac:dyDescent="0.25">
      <c r="D67" s="3" t="s">
        <v>1552</v>
      </c>
      <c r="E67" s="3" t="s">
        <v>12685</v>
      </c>
      <c r="F67" s="3" t="s">
        <v>1576</v>
      </c>
      <c r="G67" s="4" t="s">
        <v>1552</v>
      </c>
      <c r="H67" s="4" t="s">
        <v>12043</v>
      </c>
      <c r="I67" s="4" t="s">
        <v>6919</v>
      </c>
      <c r="J67" s="4" t="s">
        <v>3908</v>
      </c>
    </row>
    <row r="68" spans="4:10" x14ac:dyDescent="0.25">
      <c r="D68" s="3" t="s">
        <v>1552</v>
      </c>
      <c r="E68" s="3" t="s">
        <v>12685</v>
      </c>
      <c r="F68" s="3" t="s">
        <v>1033</v>
      </c>
      <c r="G68" s="4" t="s">
        <v>1552</v>
      </c>
      <c r="H68" s="4" t="s">
        <v>12043</v>
      </c>
      <c r="I68" s="4" t="s">
        <v>6919</v>
      </c>
      <c r="J68" s="4" t="s">
        <v>15880</v>
      </c>
    </row>
    <row r="69" spans="4:10" x14ac:dyDescent="0.25">
      <c r="D69" s="3" t="s">
        <v>1552</v>
      </c>
      <c r="E69" s="3" t="s">
        <v>12685</v>
      </c>
      <c r="F69" s="3" t="s">
        <v>19601</v>
      </c>
      <c r="G69" s="4" t="s">
        <v>1552</v>
      </c>
      <c r="H69" s="4" t="s">
        <v>12043</v>
      </c>
      <c r="I69" s="4" t="s">
        <v>6784</v>
      </c>
      <c r="J69" s="4" t="s">
        <v>14842</v>
      </c>
    </row>
    <row r="70" spans="4:10" x14ac:dyDescent="0.25">
      <c r="D70" s="3" t="s">
        <v>19169</v>
      </c>
      <c r="E70" s="3" t="s">
        <v>15833</v>
      </c>
      <c r="F70" s="3" t="s">
        <v>15833</v>
      </c>
      <c r="G70" s="4" t="s">
        <v>1552</v>
      </c>
      <c r="H70" s="4" t="s">
        <v>12043</v>
      </c>
      <c r="I70" s="4" t="s">
        <v>6784</v>
      </c>
      <c r="J70" s="4" t="s">
        <v>14911</v>
      </c>
    </row>
    <row r="71" spans="4:10" x14ac:dyDescent="0.25">
      <c r="D71" s="3" t="s">
        <v>19169</v>
      </c>
      <c r="E71" s="3" t="s">
        <v>15833</v>
      </c>
      <c r="F71" s="3" t="s">
        <v>8309</v>
      </c>
      <c r="G71" s="4" t="s">
        <v>1552</v>
      </c>
      <c r="H71" s="4" t="s">
        <v>12043</v>
      </c>
      <c r="I71" s="4" t="s">
        <v>6784</v>
      </c>
      <c r="J71" s="4" t="s">
        <v>6348</v>
      </c>
    </row>
    <row r="72" spans="4:10" x14ac:dyDescent="0.25">
      <c r="D72" s="3" t="s">
        <v>19169</v>
      </c>
      <c r="E72" s="3" t="s">
        <v>15833</v>
      </c>
      <c r="F72" s="3" t="s">
        <v>16896</v>
      </c>
      <c r="G72" s="4" t="s">
        <v>1552</v>
      </c>
      <c r="H72" s="4" t="s">
        <v>12043</v>
      </c>
      <c r="I72" s="4" t="s">
        <v>6784</v>
      </c>
      <c r="J72" s="4" t="s">
        <v>6784</v>
      </c>
    </row>
    <row r="73" spans="4:10" ht="20" x14ac:dyDescent="0.25">
      <c r="D73" s="3" t="s">
        <v>19169</v>
      </c>
      <c r="E73" s="3" t="s">
        <v>15833</v>
      </c>
      <c r="F73" s="3" t="s">
        <v>18417</v>
      </c>
      <c r="G73" s="4" t="s">
        <v>1552</v>
      </c>
      <c r="H73" s="4" t="s">
        <v>12043</v>
      </c>
      <c r="I73" s="4" t="s">
        <v>1322</v>
      </c>
      <c r="J73" s="4" t="s">
        <v>17886</v>
      </c>
    </row>
    <row r="74" spans="4:10" ht="20" x14ac:dyDescent="0.25">
      <c r="D74" s="3" t="s">
        <v>19169</v>
      </c>
      <c r="E74" s="3" t="s">
        <v>15833</v>
      </c>
      <c r="F74" s="3" t="s">
        <v>16309</v>
      </c>
      <c r="G74" s="4" t="s">
        <v>1552</v>
      </c>
      <c r="H74" s="4" t="s">
        <v>12043</v>
      </c>
      <c r="I74" s="4" t="s">
        <v>1322</v>
      </c>
      <c r="J74" s="4" t="s">
        <v>13843</v>
      </c>
    </row>
    <row r="75" spans="4:10" ht="20" x14ac:dyDescent="0.25">
      <c r="D75" s="3" t="s">
        <v>19169</v>
      </c>
      <c r="E75" s="3" t="s">
        <v>15833</v>
      </c>
      <c r="F75" s="3" t="s">
        <v>13065</v>
      </c>
      <c r="G75" s="4" t="s">
        <v>1552</v>
      </c>
      <c r="H75" s="4" t="s">
        <v>12043</v>
      </c>
      <c r="I75" s="4" t="s">
        <v>1322</v>
      </c>
      <c r="J75" s="4" t="s">
        <v>10229</v>
      </c>
    </row>
    <row r="76" spans="4:10" ht="20" x14ac:dyDescent="0.25">
      <c r="D76" s="3" t="s">
        <v>19169</v>
      </c>
      <c r="E76" s="3" t="s">
        <v>15833</v>
      </c>
      <c r="F76" s="3" t="s">
        <v>477</v>
      </c>
      <c r="G76" s="4" t="s">
        <v>1552</v>
      </c>
      <c r="H76" s="4" t="s">
        <v>12043</v>
      </c>
      <c r="I76" s="4" t="s">
        <v>1322</v>
      </c>
      <c r="J76" s="4" t="s">
        <v>1322</v>
      </c>
    </row>
    <row r="77" spans="4:10" ht="20" x14ac:dyDescent="0.25">
      <c r="D77" s="3" t="s">
        <v>19169</v>
      </c>
      <c r="E77" s="3" t="s">
        <v>15833</v>
      </c>
      <c r="F77" s="3" t="s">
        <v>19082</v>
      </c>
      <c r="G77" s="4" t="s">
        <v>1779</v>
      </c>
      <c r="H77" s="4" t="s">
        <v>18543</v>
      </c>
      <c r="I77" s="4" t="s">
        <v>46</v>
      </c>
      <c r="J77" s="4" t="s">
        <v>46</v>
      </c>
    </row>
    <row r="78" spans="4:10" x14ac:dyDescent="0.25">
      <c r="D78" s="3" t="s">
        <v>19169</v>
      </c>
      <c r="E78" s="3" t="s">
        <v>5397</v>
      </c>
      <c r="F78" s="3" t="s">
        <v>9518</v>
      </c>
      <c r="G78" s="4" t="s">
        <v>1779</v>
      </c>
      <c r="H78" s="4" t="s">
        <v>18543</v>
      </c>
      <c r="I78" s="4" t="s">
        <v>13862</v>
      </c>
      <c r="J78" s="4" t="s">
        <v>13862</v>
      </c>
    </row>
    <row r="79" spans="4:10" x14ac:dyDescent="0.25">
      <c r="D79" s="3" t="s">
        <v>19169</v>
      </c>
      <c r="E79" s="3" t="s">
        <v>5397</v>
      </c>
      <c r="F79" s="3" t="s">
        <v>16203</v>
      </c>
      <c r="G79" s="4" t="s">
        <v>1779</v>
      </c>
      <c r="H79" s="4" t="s">
        <v>18543</v>
      </c>
      <c r="I79" s="4" t="s">
        <v>13862</v>
      </c>
      <c r="J79" s="4" t="s">
        <v>13964</v>
      </c>
    </row>
    <row r="80" spans="4:10" x14ac:dyDescent="0.25">
      <c r="D80" s="3" t="s">
        <v>19169</v>
      </c>
      <c r="E80" s="3" t="s">
        <v>2253</v>
      </c>
      <c r="F80" s="3" t="s">
        <v>2253</v>
      </c>
      <c r="G80" s="4" t="s">
        <v>1779</v>
      </c>
      <c r="H80" s="4" t="s">
        <v>18543</v>
      </c>
      <c r="I80" s="4" t="s">
        <v>13862</v>
      </c>
      <c r="J80" s="4" t="s">
        <v>12028</v>
      </c>
    </row>
    <row r="81" spans="4:10" x14ac:dyDescent="0.25">
      <c r="D81" s="3" t="s">
        <v>19169</v>
      </c>
      <c r="E81" s="3" t="s">
        <v>2253</v>
      </c>
      <c r="F81" s="3" t="s">
        <v>10004</v>
      </c>
      <c r="G81" s="4" t="s">
        <v>1779</v>
      </c>
      <c r="H81" s="4" t="s">
        <v>18543</v>
      </c>
      <c r="I81" s="4" t="s">
        <v>13862</v>
      </c>
      <c r="J81" s="4" t="s">
        <v>1492</v>
      </c>
    </row>
    <row r="82" spans="4:10" x14ac:dyDescent="0.25">
      <c r="D82" s="3" t="s">
        <v>19169</v>
      </c>
      <c r="E82" s="3" t="s">
        <v>2253</v>
      </c>
      <c r="F82" s="3" t="s">
        <v>398</v>
      </c>
      <c r="G82" s="4" t="s">
        <v>1779</v>
      </c>
      <c r="H82" s="4" t="s">
        <v>18543</v>
      </c>
      <c r="I82" s="4" t="s">
        <v>3506</v>
      </c>
      <c r="J82" s="4" t="s">
        <v>3506</v>
      </c>
    </row>
    <row r="83" spans="4:10" x14ac:dyDescent="0.25">
      <c r="D83" s="3" t="s">
        <v>19169</v>
      </c>
      <c r="E83" s="3" t="s">
        <v>6978</v>
      </c>
      <c r="F83" s="3" t="s">
        <v>52</v>
      </c>
      <c r="G83" s="4" t="s">
        <v>1779</v>
      </c>
      <c r="H83" s="4" t="s">
        <v>18543</v>
      </c>
      <c r="I83" s="4" t="s">
        <v>5109</v>
      </c>
      <c r="J83" s="4" t="s">
        <v>4091</v>
      </c>
    </row>
    <row r="84" spans="4:10" x14ac:dyDescent="0.25">
      <c r="D84" s="3" t="s">
        <v>19169</v>
      </c>
      <c r="E84" s="3" t="s">
        <v>6978</v>
      </c>
      <c r="F84" s="3" t="s">
        <v>2502</v>
      </c>
      <c r="G84" s="4" t="s">
        <v>1779</v>
      </c>
      <c r="H84" s="4" t="s">
        <v>18543</v>
      </c>
      <c r="I84" s="4" t="s">
        <v>5109</v>
      </c>
      <c r="J84" s="4" t="s">
        <v>1753</v>
      </c>
    </row>
    <row r="85" spans="4:10" x14ac:dyDescent="0.25">
      <c r="D85" s="3" t="s">
        <v>19169</v>
      </c>
      <c r="E85" s="3" t="s">
        <v>6978</v>
      </c>
      <c r="F85" s="3" t="s">
        <v>10093</v>
      </c>
      <c r="G85" s="4" t="s">
        <v>1779</v>
      </c>
      <c r="H85" s="4" t="s">
        <v>18543</v>
      </c>
      <c r="I85" s="4" t="s">
        <v>5109</v>
      </c>
      <c r="J85" s="4" t="s">
        <v>5822</v>
      </c>
    </row>
    <row r="86" spans="4:10" x14ac:dyDescent="0.25">
      <c r="D86" s="3" t="s">
        <v>19169</v>
      </c>
      <c r="E86" s="3" t="s">
        <v>6978</v>
      </c>
      <c r="F86" s="3" t="s">
        <v>13474</v>
      </c>
      <c r="G86" s="4" t="s">
        <v>1779</v>
      </c>
      <c r="H86" s="4" t="s">
        <v>18543</v>
      </c>
      <c r="I86" s="4" t="s">
        <v>5109</v>
      </c>
      <c r="J86" s="4" t="s">
        <v>4904</v>
      </c>
    </row>
    <row r="87" spans="4:10" x14ac:dyDescent="0.25">
      <c r="D87" s="3" t="s">
        <v>19169</v>
      </c>
      <c r="E87" s="3" t="s">
        <v>6978</v>
      </c>
      <c r="F87" s="3" t="s">
        <v>901</v>
      </c>
      <c r="G87" s="4" t="s">
        <v>1779</v>
      </c>
      <c r="H87" s="4" t="s">
        <v>18543</v>
      </c>
      <c r="I87" s="4" t="s">
        <v>5109</v>
      </c>
      <c r="J87" s="4" t="s">
        <v>11234</v>
      </c>
    </row>
    <row r="88" spans="4:10" x14ac:dyDescent="0.25">
      <c r="D88" s="3" t="s">
        <v>19169</v>
      </c>
      <c r="E88" s="3" t="s">
        <v>6978</v>
      </c>
      <c r="F88" s="3" t="s">
        <v>15310</v>
      </c>
      <c r="G88" s="4" t="s">
        <v>1779</v>
      </c>
      <c r="H88" s="4" t="s">
        <v>18543</v>
      </c>
      <c r="I88" s="4" t="s">
        <v>5109</v>
      </c>
      <c r="J88" s="4" t="s">
        <v>19134</v>
      </c>
    </row>
    <row r="89" spans="4:10" x14ac:dyDescent="0.25">
      <c r="D89" s="3" t="s">
        <v>19169</v>
      </c>
      <c r="E89" s="3" t="s">
        <v>6978</v>
      </c>
      <c r="F89" s="3" t="s">
        <v>12986</v>
      </c>
      <c r="G89" s="4" t="s">
        <v>1779</v>
      </c>
      <c r="H89" s="4" t="s">
        <v>18543</v>
      </c>
      <c r="I89" s="4" t="s">
        <v>5109</v>
      </c>
      <c r="J89" s="4" t="s">
        <v>5109</v>
      </c>
    </row>
    <row r="90" spans="4:10" x14ac:dyDescent="0.25">
      <c r="D90" s="3" t="s">
        <v>19169</v>
      </c>
      <c r="E90" s="3" t="s">
        <v>6978</v>
      </c>
      <c r="F90" s="3" t="s">
        <v>11680</v>
      </c>
      <c r="G90" s="4" t="s">
        <v>1779</v>
      </c>
      <c r="H90" s="4" t="s">
        <v>18543</v>
      </c>
      <c r="I90" s="4" t="s">
        <v>5109</v>
      </c>
      <c r="J90" s="4" t="s">
        <v>6900</v>
      </c>
    </row>
    <row r="91" spans="4:10" x14ac:dyDescent="0.25">
      <c r="D91" s="3" t="s">
        <v>19169</v>
      </c>
      <c r="E91" s="3" t="s">
        <v>6978</v>
      </c>
      <c r="F91" s="3" t="s">
        <v>8379</v>
      </c>
      <c r="G91" s="4" t="s">
        <v>1779</v>
      </c>
      <c r="H91" s="4" t="s">
        <v>18543</v>
      </c>
      <c r="I91" s="4" t="s">
        <v>5109</v>
      </c>
      <c r="J91" s="4" t="s">
        <v>11194</v>
      </c>
    </row>
    <row r="92" spans="4:10" x14ac:dyDescent="0.25">
      <c r="D92" s="3" t="s">
        <v>19169</v>
      </c>
      <c r="E92" s="3" t="s">
        <v>6978</v>
      </c>
      <c r="F92" s="3" t="s">
        <v>2311</v>
      </c>
      <c r="G92" s="4" t="s">
        <v>1779</v>
      </c>
      <c r="H92" s="4" t="s">
        <v>13205</v>
      </c>
      <c r="I92" s="4" t="s">
        <v>19217</v>
      </c>
      <c r="J92" s="4" t="s">
        <v>19217</v>
      </c>
    </row>
    <row r="93" spans="4:10" x14ac:dyDescent="0.25">
      <c r="D93" s="3" t="s">
        <v>6237</v>
      </c>
      <c r="E93" s="3" t="s">
        <v>2808</v>
      </c>
      <c r="F93" s="3" t="s">
        <v>11773</v>
      </c>
      <c r="G93" s="4" t="s">
        <v>1779</v>
      </c>
      <c r="H93" s="4" t="s">
        <v>13205</v>
      </c>
      <c r="I93" s="4" t="s">
        <v>19217</v>
      </c>
      <c r="J93" s="4" t="s">
        <v>17921</v>
      </c>
    </row>
    <row r="94" spans="4:10" x14ac:dyDescent="0.25">
      <c r="D94" s="3" t="s">
        <v>6237</v>
      </c>
      <c r="E94" s="3" t="s">
        <v>2808</v>
      </c>
      <c r="F94" s="3" t="s">
        <v>7426</v>
      </c>
      <c r="G94" s="4" t="s">
        <v>1779</v>
      </c>
      <c r="H94" s="4" t="s">
        <v>13205</v>
      </c>
      <c r="I94" s="4" t="s">
        <v>572</v>
      </c>
      <c r="J94" s="4" t="s">
        <v>572</v>
      </c>
    </row>
    <row r="95" spans="4:10" x14ac:dyDescent="0.25">
      <c r="D95" s="3" t="s">
        <v>6237</v>
      </c>
      <c r="E95" s="3" t="s">
        <v>2808</v>
      </c>
      <c r="F95" s="3" t="s">
        <v>16125</v>
      </c>
      <c r="G95" s="4" t="s">
        <v>1779</v>
      </c>
      <c r="H95" s="4" t="s">
        <v>13205</v>
      </c>
      <c r="I95" s="4" t="s">
        <v>18915</v>
      </c>
      <c r="J95" s="4" t="s">
        <v>18915</v>
      </c>
    </row>
    <row r="96" spans="4:10" x14ac:dyDescent="0.25">
      <c r="D96" s="3" t="s">
        <v>6237</v>
      </c>
      <c r="E96" s="3" t="s">
        <v>2808</v>
      </c>
      <c r="F96" s="3" t="s">
        <v>4488</v>
      </c>
      <c r="G96" s="4" t="s">
        <v>1779</v>
      </c>
      <c r="H96" s="4" t="s">
        <v>13205</v>
      </c>
      <c r="I96" s="4" t="s">
        <v>1061</v>
      </c>
      <c r="J96" s="4" t="s">
        <v>1061</v>
      </c>
    </row>
    <row r="97" spans="4:10" x14ac:dyDescent="0.25">
      <c r="D97" s="3" t="s">
        <v>6237</v>
      </c>
      <c r="E97" s="3" t="s">
        <v>2808</v>
      </c>
      <c r="F97" s="3" t="s">
        <v>13511</v>
      </c>
      <c r="G97" s="4" t="s">
        <v>1779</v>
      </c>
      <c r="H97" s="4" t="s">
        <v>13205</v>
      </c>
      <c r="I97" s="4" t="s">
        <v>1061</v>
      </c>
      <c r="J97" s="4" t="s">
        <v>12806</v>
      </c>
    </row>
    <row r="98" spans="4:10" x14ac:dyDescent="0.25">
      <c r="D98" s="3" t="s">
        <v>6237</v>
      </c>
      <c r="E98" s="3" t="s">
        <v>2808</v>
      </c>
      <c r="F98" s="3" t="s">
        <v>4777</v>
      </c>
      <c r="G98" s="4" t="s">
        <v>1779</v>
      </c>
      <c r="H98" s="4" t="s">
        <v>13205</v>
      </c>
      <c r="I98" s="4" t="s">
        <v>4231</v>
      </c>
      <c r="J98" s="4" t="s">
        <v>9847</v>
      </c>
    </row>
    <row r="99" spans="4:10" ht="20" x14ac:dyDescent="0.25">
      <c r="D99" s="3" t="s">
        <v>6237</v>
      </c>
      <c r="E99" s="3" t="s">
        <v>2808</v>
      </c>
      <c r="F99" s="3" t="s">
        <v>1458</v>
      </c>
      <c r="G99" s="4" t="s">
        <v>1779</v>
      </c>
      <c r="H99" s="4" t="s">
        <v>13205</v>
      </c>
      <c r="I99" s="4" t="s">
        <v>4231</v>
      </c>
      <c r="J99" s="4" t="s">
        <v>10441</v>
      </c>
    </row>
    <row r="100" spans="4:10" x14ac:dyDescent="0.25">
      <c r="D100" s="3" t="s">
        <v>6237</v>
      </c>
      <c r="E100" s="3" t="s">
        <v>2808</v>
      </c>
      <c r="F100" s="3" t="s">
        <v>10849</v>
      </c>
      <c r="G100" s="4" t="s">
        <v>1779</v>
      </c>
      <c r="H100" s="4" t="s">
        <v>13205</v>
      </c>
      <c r="I100" s="4" t="s">
        <v>4231</v>
      </c>
      <c r="J100" s="4" t="s">
        <v>13069</v>
      </c>
    </row>
    <row r="101" spans="4:10" x14ac:dyDescent="0.25">
      <c r="D101" s="3" t="s">
        <v>6237</v>
      </c>
      <c r="E101" s="3" t="s">
        <v>2808</v>
      </c>
      <c r="F101" s="3" t="s">
        <v>10532</v>
      </c>
      <c r="G101" s="4" t="s">
        <v>1779</v>
      </c>
      <c r="H101" s="4" t="s">
        <v>13205</v>
      </c>
      <c r="I101" s="4" t="s">
        <v>4231</v>
      </c>
      <c r="J101" s="4" t="s">
        <v>4231</v>
      </c>
    </row>
    <row r="102" spans="4:10" ht="20" x14ac:dyDescent="0.25">
      <c r="D102" s="3" t="s">
        <v>6237</v>
      </c>
      <c r="E102" s="3" t="s">
        <v>2808</v>
      </c>
      <c r="F102" s="3" t="s">
        <v>11506</v>
      </c>
      <c r="G102" s="4" t="s">
        <v>1779</v>
      </c>
      <c r="H102" s="4" t="s">
        <v>13205</v>
      </c>
      <c r="I102" s="4" t="s">
        <v>18276</v>
      </c>
      <c r="J102" s="4" t="s">
        <v>6105</v>
      </c>
    </row>
    <row r="103" spans="4:10" ht="20" x14ac:dyDescent="0.25">
      <c r="D103" s="3" t="s">
        <v>6237</v>
      </c>
      <c r="E103" s="3" t="s">
        <v>2808</v>
      </c>
      <c r="F103" s="3" t="s">
        <v>5807</v>
      </c>
      <c r="G103" s="4" t="s">
        <v>1779</v>
      </c>
      <c r="H103" s="4" t="s">
        <v>13205</v>
      </c>
      <c r="I103" s="4" t="s">
        <v>18276</v>
      </c>
      <c r="J103" s="4" t="s">
        <v>18276</v>
      </c>
    </row>
    <row r="104" spans="4:10" ht="20" x14ac:dyDescent="0.25">
      <c r="D104" s="3" t="s">
        <v>6237</v>
      </c>
      <c r="E104" s="3" t="s">
        <v>5879</v>
      </c>
      <c r="F104" s="3" t="s">
        <v>12683</v>
      </c>
      <c r="G104" s="4" t="s">
        <v>1779</v>
      </c>
      <c r="H104" s="4" t="s">
        <v>13205</v>
      </c>
      <c r="I104" s="4" t="s">
        <v>18276</v>
      </c>
      <c r="J104" s="4" t="s">
        <v>17305</v>
      </c>
    </row>
    <row r="105" spans="4:10" x14ac:dyDescent="0.25">
      <c r="D105" s="3" t="s">
        <v>6237</v>
      </c>
      <c r="E105" s="3" t="s">
        <v>5879</v>
      </c>
      <c r="F105" s="3" t="s">
        <v>14891</v>
      </c>
      <c r="G105" s="4" t="s">
        <v>1779</v>
      </c>
      <c r="H105" s="4" t="s">
        <v>13205</v>
      </c>
      <c r="I105" s="4" t="s">
        <v>2379</v>
      </c>
      <c r="J105" s="4" t="s">
        <v>4627</v>
      </c>
    </row>
    <row r="106" spans="4:10" x14ac:dyDescent="0.25">
      <c r="D106" s="3" t="s">
        <v>6237</v>
      </c>
      <c r="E106" s="3" t="s">
        <v>5879</v>
      </c>
      <c r="F106" s="3" t="s">
        <v>7656</v>
      </c>
      <c r="G106" s="4" t="s">
        <v>1779</v>
      </c>
      <c r="H106" s="4" t="s">
        <v>13205</v>
      </c>
      <c r="I106" s="4" t="s">
        <v>2379</v>
      </c>
      <c r="J106" s="4" t="s">
        <v>5577</v>
      </c>
    </row>
    <row r="107" spans="4:10" x14ac:dyDescent="0.25">
      <c r="D107" s="3" t="s">
        <v>6237</v>
      </c>
      <c r="E107" s="3" t="s">
        <v>5879</v>
      </c>
      <c r="F107" s="3" t="s">
        <v>5923</v>
      </c>
      <c r="G107" s="4" t="s">
        <v>1779</v>
      </c>
      <c r="H107" s="4" t="s">
        <v>13205</v>
      </c>
      <c r="I107" s="4" t="s">
        <v>2379</v>
      </c>
      <c r="J107" s="4" t="s">
        <v>2379</v>
      </c>
    </row>
    <row r="108" spans="4:10" x14ac:dyDescent="0.25">
      <c r="D108" s="3" t="s">
        <v>6237</v>
      </c>
      <c r="E108" s="3" t="s">
        <v>5879</v>
      </c>
      <c r="F108" s="3" t="s">
        <v>13687</v>
      </c>
      <c r="G108" s="4" t="s">
        <v>1779</v>
      </c>
      <c r="H108" s="4" t="s">
        <v>13205</v>
      </c>
      <c r="I108" s="4" t="s">
        <v>7580</v>
      </c>
      <c r="J108" s="4" t="s">
        <v>11885</v>
      </c>
    </row>
    <row r="109" spans="4:10" x14ac:dyDescent="0.25">
      <c r="D109" s="3" t="s">
        <v>6237</v>
      </c>
      <c r="E109" s="3" t="s">
        <v>19650</v>
      </c>
      <c r="F109" s="3" t="s">
        <v>19650</v>
      </c>
      <c r="G109" s="4" t="s">
        <v>1779</v>
      </c>
      <c r="H109" s="4" t="s">
        <v>13205</v>
      </c>
      <c r="I109" s="4" t="s">
        <v>7580</v>
      </c>
      <c r="J109" s="4" t="s">
        <v>7179</v>
      </c>
    </row>
    <row r="110" spans="4:10" x14ac:dyDescent="0.25">
      <c r="D110" s="3" t="s">
        <v>6237</v>
      </c>
      <c r="E110" s="3" t="s">
        <v>19650</v>
      </c>
      <c r="F110" s="3" t="s">
        <v>10972</v>
      </c>
      <c r="G110" s="4" t="s">
        <v>1779</v>
      </c>
      <c r="H110" s="4" t="s">
        <v>13205</v>
      </c>
      <c r="I110" s="4" t="s">
        <v>7580</v>
      </c>
      <c r="J110" s="4" t="s">
        <v>10214</v>
      </c>
    </row>
    <row r="111" spans="4:10" x14ac:dyDescent="0.25">
      <c r="D111" s="3" t="s">
        <v>6237</v>
      </c>
      <c r="E111" s="3" t="s">
        <v>13283</v>
      </c>
      <c r="F111" s="3" t="s">
        <v>5870</v>
      </c>
      <c r="G111" s="4" t="s">
        <v>1779</v>
      </c>
      <c r="H111" s="4" t="s">
        <v>13205</v>
      </c>
      <c r="I111" s="4" t="s">
        <v>7580</v>
      </c>
      <c r="J111" s="4" t="s">
        <v>7580</v>
      </c>
    </row>
    <row r="112" spans="4:10" x14ac:dyDescent="0.25">
      <c r="D112" s="3" t="s">
        <v>6237</v>
      </c>
      <c r="E112" s="3" t="s">
        <v>13283</v>
      </c>
      <c r="F112" s="3" t="s">
        <v>11522</v>
      </c>
      <c r="G112" s="4" t="s">
        <v>1779</v>
      </c>
      <c r="H112" s="4" t="s">
        <v>13205</v>
      </c>
      <c r="I112" s="4" t="s">
        <v>1691</v>
      </c>
      <c r="J112" s="4" t="s">
        <v>1691</v>
      </c>
    </row>
    <row r="113" spans="4:10" x14ac:dyDescent="0.25">
      <c r="D113" s="3" t="s">
        <v>6237</v>
      </c>
      <c r="E113" s="3" t="s">
        <v>13283</v>
      </c>
      <c r="F113" s="3" t="s">
        <v>11249</v>
      </c>
      <c r="G113" s="4" t="s">
        <v>1779</v>
      </c>
      <c r="H113" s="4" t="s">
        <v>9213</v>
      </c>
      <c r="I113" s="4" t="s">
        <v>1744</v>
      </c>
      <c r="J113" s="4" t="s">
        <v>200</v>
      </c>
    </row>
    <row r="114" spans="4:10" x14ac:dyDescent="0.25">
      <c r="D114" s="3" t="s">
        <v>6237</v>
      </c>
      <c r="E114" s="3" t="s">
        <v>13283</v>
      </c>
      <c r="F114" s="3" t="s">
        <v>15453</v>
      </c>
      <c r="G114" s="4" t="s">
        <v>1779</v>
      </c>
      <c r="H114" s="4" t="s">
        <v>9213</v>
      </c>
      <c r="I114" s="4" t="s">
        <v>1744</v>
      </c>
      <c r="J114" s="4" t="s">
        <v>1744</v>
      </c>
    </row>
    <row r="115" spans="4:10" x14ac:dyDescent="0.25">
      <c r="D115" s="3" t="s">
        <v>6237</v>
      </c>
      <c r="E115" s="3" t="s">
        <v>13283</v>
      </c>
      <c r="F115" s="3" t="s">
        <v>12501</v>
      </c>
      <c r="G115" s="4" t="s">
        <v>1779</v>
      </c>
      <c r="H115" s="4" t="s">
        <v>9213</v>
      </c>
      <c r="I115" s="4" t="s">
        <v>1744</v>
      </c>
      <c r="J115" s="4" t="s">
        <v>19084</v>
      </c>
    </row>
    <row r="116" spans="4:10" x14ac:dyDescent="0.25">
      <c r="D116" s="3" t="s">
        <v>6237</v>
      </c>
      <c r="E116" s="3" t="s">
        <v>13283</v>
      </c>
      <c r="F116" s="3" t="s">
        <v>9170</v>
      </c>
      <c r="G116" s="4" t="s">
        <v>1779</v>
      </c>
      <c r="H116" s="4" t="s">
        <v>9213</v>
      </c>
      <c r="I116" s="4" t="s">
        <v>9544</v>
      </c>
      <c r="J116" s="4" t="s">
        <v>8373</v>
      </c>
    </row>
    <row r="117" spans="4:10" x14ac:dyDescent="0.25">
      <c r="D117" s="3" t="s">
        <v>13075</v>
      </c>
      <c r="E117" s="3" t="s">
        <v>3574</v>
      </c>
      <c r="F117" s="3" t="s">
        <v>15854</v>
      </c>
      <c r="G117" s="4" t="s">
        <v>1779</v>
      </c>
      <c r="H117" s="4" t="s">
        <v>9213</v>
      </c>
      <c r="I117" s="4" t="s">
        <v>9544</v>
      </c>
      <c r="J117" s="4" t="s">
        <v>9544</v>
      </c>
    </row>
    <row r="118" spans="4:10" x14ac:dyDescent="0.25">
      <c r="D118" s="3" t="s">
        <v>13075</v>
      </c>
      <c r="E118" s="3" t="s">
        <v>3574</v>
      </c>
      <c r="F118" s="3" t="s">
        <v>15242</v>
      </c>
      <c r="G118" s="4" t="s">
        <v>1779</v>
      </c>
      <c r="H118" s="4" t="s">
        <v>9213</v>
      </c>
      <c r="I118" s="4" t="s">
        <v>15908</v>
      </c>
      <c r="J118" s="4" t="s">
        <v>13393</v>
      </c>
    </row>
    <row r="119" spans="4:10" x14ac:dyDescent="0.25">
      <c r="D119" s="3" t="s">
        <v>13075</v>
      </c>
      <c r="E119" s="3" t="s">
        <v>3574</v>
      </c>
      <c r="F119" s="3" t="s">
        <v>14783</v>
      </c>
      <c r="G119" s="4" t="s">
        <v>1779</v>
      </c>
      <c r="H119" s="4" t="s">
        <v>9213</v>
      </c>
      <c r="I119" s="4" t="s">
        <v>15908</v>
      </c>
      <c r="J119" s="4" t="s">
        <v>2502</v>
      </c>
    </row>
    <row r="120" spans="4:10" x14ac:dyDescent="0.25">
      <c r="D120" s="3" t="s">
        <v>13075</v>
      </c>
      <c r="E120" s="3" t="s">
        <v>3574</v>
      </c>
      <c r="F120" s="3" t="s">
        <v>10787</v>
      </c>
      <c r="G120" s="4" t="s">
        <v>1779</v>
      </c>
      <c r="H120" s="4" t="s">
        <v>9213</v>
      </c>
      <c r="I120" s="4" t="s">
        <v>15908</v>
      </c>
      <c r="J120" s="4" t="s">
        <v>15908</v>
      </c>
    </row>
    <row r="121" spans="4:10" x14ac:dyDescent="0.25">
      <c r="D121" s="3" t="s">
        <v>13075</v>
      </c>
      <c r="E121" s="3" t="s">
        <v>3574</v>
      </c>
      <c r="F121" s="3" t="s">
        <v>19071</v>
      </c>
      <c r="G121" s="4" t="s">
        <v>1779</v>
      </c>
      <c r="H121" s="4" t="s">
        <v>9213</v>
      </c>
      <c r="I121" s="4" t="s">
        <v>4515</v>
      </c>
      <c r="J121" s="4" t="s">
        <v>4515</v>
      </c>
    </row>
    <row r="122" spans="4:10" ht="20" x14ac:dyDescent="0.25">
      <c r="D122" s="3" t="s">
        <v>13075</v>
      </c>
      <c r="E122" s="3" t="s">
        <v>3574</v>
      </c>
      <c r="F122" s="3" t="s">
        <v>14448</v>
      </c>
      <c r="G122" s="4" t="s">
        <v>1779</v>
      </c>
      <c r="H122" s="4" t="s">
        <v>9213</v>
      </c>
      <c r="I122" s="4" t="s">
        <v>14165</v>
      </c>
      <c r="J122" s="4" t="s">
        <v>13179</v>
      </c>
    </row>
    <row r="123" spans="4:10" ht="20" x14ac:dyDescent="0.25">
      <c r="D123" s="3" t="s">
        <v>13075</v>
      </c>
      <c r="E123" s="3" t="s">
        <v>2555</v>
      </c>
      <c r="F123" s="3" t="s">
        <v>9155</v>
      </c>
      <c r="G123" s="4" t="s">
        <v>1779</v>
      </c>
      <c r="H123" s="4" t="s">
        <v>9213</v>
      </c>
      <c r="I123" s="4" t="s">
        <v>14165</v>
      </c>
      <c r="J123" s="4" t="s">
        <v>14294</v>
      </c>
    </row>
    <row r="124" spans="4:10" ht="20" x14ac:dyDescent="0.25">
      <c r="D124" s="3" t="s">
        <v>13075</v>
      </c>
      <c r="E124" s="3" t="s">
        <v>2555</v>
      </c>
      <c r="F124" s="3" t="s">
        <v>15266</v>
      </c>
      <c r="G124" s="4" t="s">
        <v>1779</v>
      </c>
      <c r="H124" s="4" t="s">
        <v>9213</v>
      </c>
      <c r="I124" s="4" t="s">
        <v>14165</v>
      </c>
      <c r="J124" s="4" t="s">
        <v>19411</v>
      </c>
    </row>
    <row r="125" spans="4:10" ht="20" x14ac:dyDescent="0.25">
      <c r="D125" s="3" t="s">
        <v>13075</v>
      </c>
      <c r="E125" s="3" t="s">
        <v>2555</v>
      </c>
      <c r="F125" s="3" t="s">
        <v>3812</v>
      </c>
      <c r="G125" s="4" t="s">
        <v>1779</v>
      </c>
      <c r="H125" s="4" t="s">
        <v>9213</v>
      </c>
      <c r="I125" s="4" t="s">
        <v>14165</v>
      </c>
      <c r="J125" s="4" t="s">
        <v>14165</v>
      </c>
    </row>
    <row r="126" spans="4:10" ht="20" x14ac:dyDescent="0.25">
      <c r="D126" s="3" t="s">
        <v>13075</v>
      </c>
      <c r="E126" s="3" t="s">
        <v>2555</v>
      </c>
      <c r="F126" s="3" t="s">
        <v>6061</v>
      </c>
      <c r="G126" s="4" t="s">
        <v>1779</v>
      </c>
      <c r="H126" s="4" t="s">
        <v>9213</v>
      </c>
      <c r="I126" s="4" t="s">
        <v>3879</v>
      </c>
      <c r="J126" s="4" t="s">
        <v>9774</v>
      </c>
    </row>
    <row r="127" spans="4:10" ht="20" x14ac:dyDescent="0.25">
      <c r="D127" s="3" t="s">
        <v>13075</v>
      </c>
      <c r="E127" s="3" t="s">
        <v>2555</v>
      </c>
      <c r="F127" s="3" t="s">
        <v>11180</v>
      </c>
      <c r="G127" s="4" t="s">
        <v>1779</v>
      </c>
      <c r="H127" s="4" t="s">
        <v>9213</v>
      </c>
      <c r="I127" s="4" t="s">
        <v>3879</v>
      </c>
      <c r="J127" s="4" t="s">
        <v>13615</v>
      </c>
    </row>
    <row r="128" spans="4:10" ht="20" x14ac:dyDescent="0.25">
      <c r="D128" s="3" t="s">
        <v>13075</v>
      </c>
      <c r="E128" s="3" t="s">
        <v>2555</v>
      </c>
      <c r="F128" s="3" t="s">
        <v>16406</v>
      </c>
      <c r="G128" s="4" t="s">
        <v>1779</v>
      </c>
      <c r="H128" s="4" t="s">
        <v>9213</v>
      </c>
      <c r="I128" s="4" t="s">
        <v>3879</v>
      </c>
      <c r="J128" s="4" t="s">
        <v>11548</v>
      </c>
    </row>
    <row r="129" spans="4:10" ht="20" x14ac:dyDescent="0.25">
      <c r="D129" s="3" t="s">
        <v>18312</v>
      </c>
      <c r="E129" s="3" t="s">
        <v>8120</v>
      </c>
      <c r="F129" s="3" t="s">
        <v>8120</v>
      </c>
      <c r="G129" s="4" t="s">
        <v>1779</v>
      </c>
      <c r="H129" s="4" t="s">
        <v>9213</v>
      </c>
      <c r="I129" s="4" t="s">
        <v>3879</v>
      </c>
      <c r="J129" s="4" t="s">
        <v>7146</v>
      </c>
    </row>
    <row r="130" spans="4:10" ht="20" x14ac:dyDescent="0.25">
      <c r="D130" s="3" t="s">
        <v>18312</v>
      </c>
      <c r="E130" s="3" t="s">
        <v>8120</v>
      </c>
      <c r="F130" s="3" t="s">
        <v>3773</v>
      </c>
      <c r="G130" s="4" t="s">
        <v>1779</v>
      </c>
      <c r="H130" s="4" t="s">
        <v>9213</v>
      </c>
      <c r="I130" s="4" t="s">
        <v>3879</v>
      </c>
      <c r="J130" s="4" t="s">
        <v>19047</v>
      </c>
    </row>
    <row r="131" spans="4:10" ht="20" x14ac:dyDescent="0.25">
      <c r="D131" s="3" t="s">
        <v>18312</v>
      </c>
      <c r="E131" s="3" t="s">
        <v>8120</v>
      </c>
      <c r="F131" s="3" t="s">
        <v>2787</v>
      </c>
      <c r="G131" s="4" t="s">
        <v>1779</v>
      </c>
      <c r="H131" s="4" t="s">
        <v>9213</v>
      </c>
      <c r="I131" s="4" t="s">
        <v>3879</v>
      </c>
      <c r="J131" s="4" t="s">
        <v>3879</v>
      </c>
    </row>
    <row r="132" spans="4:10" x14ac:dyDescent="0.25">
      <c r="D132" s="3" t="s">
        <v>18312</v>
      </c>
      <c r="E132" s="3" t="s">
        <v>656</v>
      </c>
      <c r="F132" s="3" t="s">
        <v>12693</v>
      </c>
      <c r="G132" s="4" t="s">
        <v>1779</v>
      </c>
      <c r="H132" s="4" t="s">
        <v>9213</v>
      </c>
      <c r="I132" s="4" t="s">
        <v>14744</v>
      </c>
      <c r="J132" s="4" t="s">
        <v>15265</v>
      </c>
    </row>
    <row r="133" spans="4:10" x14ac:dyDescent="0.25">
      <c r="D133" s="3" t="s">
        <v>18312</v>
      </c>
      <c r="E133" s="3" t="s">
        <v>656</v>
      </c>
      <c r="F133" s="3" t="s">
        <v>4134</v>
      </c>
      <c r="G133" s="4" t="s">
        <v>1779</v>
      </c>
      <c r="H133" s="4" t="s">
        <v>9213</v>
      </c>
      <c r="I133" s="4" t="s">
        <v>14744</v>
      </c>
      <c r="J133" s="4" t="s">
        <v>14744</v>
      </c>
    </row>
    <row r="134" spans="4:10" ht="20" x14ac:dyDescent="0.25">
      <c r="D134" s="3" t="s">
        <v>18312</v>
      </c>
      <c r="E134" s="3" t="s">
        <v>11207</v>
      </c>
      <c r="F134" s="3" t="s">
        <v>18872</v>
      </c>
      <c r="G134" s="4" t="s">
        <v>1779</v>
      </c>
      <c r="H134" s="4" t="s">
        <v>9213</v>
      </c>
      <c r="I134" s="4" t="s">
        <v>3031</v>
      </c>
      <c r="J134" s="4" t="s">
        <v>3031</v>
      </c>
    </row>
    <row r="135" spans="4:10" x14ac:dyDescent="0.25">
      <c r="D135" s="3" t="s">
        <v>18312</v>
      </c>
      <c r="E135" s="3" t="s">
        <v>11207</v>
      </c>
      <c r="F135" s="3" t="s">
        <v>18462</v>
      </c>
      <c r="G135" s="4" t="s">
        <v>1779</v>
      </c>
      <c r="H135" s="4" t="s">
        <v>9213</v>
      </c>
      <c r="I135" s="4" t="s">
        <v>9471</v>
      </c>
      <c r="J135" s="4" t="s">
        <v>8074</v>
      </c>
    </row>
    <row r="136" spans="4:10" x14ac:dyDescent="0.25">
      <c r="D136" s="3" t="s">
        <v>17269</v>
      </c>
      <c r="E136" s="3" t="s">
        <v>10084</v>
      </c>
      <c r="F136" s="3" t="s">
        <v>10084</v>
      </c>
      <c r="G136" s="4" t="s">
        <v>1779</v>
      </c>
      <c r="H136" s="4" t="s">
        <v>9213</v>
      </c>
      <c r="I136" s="4" t="s">
        <v>9471</v>
      </c>
      <c r="J136" s="4" t="s">
        <v>12474</v>
      </c>
    </row>
    <row r="137" spans="4:10" x14ac:dyDescent="0.25">
      <c r="D137" s="3" t="s">
        <v>17269</v>
      </c>
      <c r="E137" s="3" t="s">
        <v>10084</v>
      </c>
      <c r="F137" s="3" t="s">
        <v>17744</v>
      </c>
      <c r="G137" s="4" t="s">
        <v>1779</v>
      </c>
      <c r="H137" s="4" t="s">
        <v>9213</v>
      </c>
      <c r="I137" s="4" t="s">
        <v>9471</v>
      </c>
      <c r="J137" s="4" t="s">
        <v>9471</v>
      </c>
    </row>
    <row r="138" spans="4:10" ht="20" x14ac:dyDescent="0.25">
      <c r="D138" s="3" t="s">
        <v>17269</v>
      </c>
      <c r="E138" s="3" t="s">
        <v>10084</v>
      </c>
      <c r="F138" s="3" t="s">
        <v>13840</v>
      </c>
      <c r="G138" s="4" t="s">
        <v>8466</v>
      </c>
      <c r="H138" s="4" t="s">
        <v>18974</v>
      </c>
      <c r="I138" s="4" t="s">
        <v>19610</v>
      </c>
      <c r="J138" s="4" t="s">
        <v>19610</v>
      </c>
    </row>
    <row r="139" spans="4:10" ht="20" x14ac:dyDescent="0.25">
      <c r="D139" s="3" t="s">
        <v>17269</v>
      </c>
      <c r="E139" s="3" t="s">
        <v>10084</v>
      </c>
      <c r="F139" s="3" t="s">
        <v>9253</v>
      </c>
      <c r="G139" s="4" t="s">
        <v>8466</v>
      </c>
      <c r="H139" s="4" t="s">
        <v>18974</v>
      </c>
      <c r="I139" s="4" t="s">
        <v>19610</v>
      </c>
      <c r="J139" s="4" t="s">
        <v>501</v>
      </c>
    </row>
    <row r="140" spans="4:10" ht="20" x14ac:dyDescent="0.25">
      <c r="D140" s="3" t="s">
        <v>17269</v>
      </c>
      <c r="E140" s="3" t="s">
        <v>10084</v>
      </c>
      <c r="F140" s="3" t="s">
        <v>11800</v>
      </c>
      <c r="G140" s="4" t="s">
        <v>8466</v>
      </c>
      <c r="H140" s="4" t="s">
        <v>18974</v>
      </c>
      <c r="I140" s="4" t="s">
        <v>19610</v>
      </c>
      <c r="J140" s="4" t="s">
        <v>13238</v>
      </c>
    </row>
    <row r="141" spans="4:10" ht="20" x14ac:dyDescent="0.25">
      <c r="D141" s="3" t="s">
        <v>17269</v>
      </c>
      <c r="E141" s="3" t="s">
        <v>10084</v>
      </c>
      <c r="F141" s="3" t="s">
        <v>18788</v>
      </c>
      <c r="G141" s="4" t="s">
        <v>8466</v>
      </c>
      <c r="H141" s="4" t="s">
        <v>18974</v>
      </c>
      <c r="I141" s="4" t="s">
        <v>6254</v>
      </c>
      <c r="J141" s="4" t="s">
        <v>18257</v>
      </c>
    </row>
    <row r="142" spans="4:10" ht="20" x14ac:dyDescent="0.25">
      <c r="D142" s="3" t="s">
        <v>17269</v>
      </c>
      <c r="E142" s="3" t="s">
        <v>17292</v>
      </c>
      <c r="F142" s="3" t="s">
        <v>3810</v>
      </c>
      <c r="G142" s="4" t="s">
        <v>8466</v>
      </c>
      <c r="H142" s="4" t="s">
        <v>18974</v>
      </c>
      <c r="I142" s="4" t="s">
        <v>6254</v>
      </c>
      <c r="J142" s="4" t="s">
        <v>6254</v>
      </c>
    </row>
    <row r="143" spans="4:10" ht="20" x14ac:dyDescent="0.25">
      <c r="D143" s="3" t="s">
        <v>17269</v>
      </c>
      <c r="E143" s="3" t="s">
        <v>17292</v>
      </c>
      <c r="F143" s="3" t="s">
        <v>18833</v>
      </c>
      <c r="G143" s="4" t="s">
        <v>8466</v>
      </c>
      <c r="H143" s="4" t="s">
        <v>18974</v>
      </c>
      <c r="I143" s="4" t="s">
        <v>6254</v>
      </c>
      <c r="J143" s="4" t="s">
        <v>3034</v>
      </c>
    </row>
    <row r="144" spans="4:10" ht="20" x14ac:dyDescent="0.25">
      <c r="D144" s="3" t="s">
        <v>17269</v>
      </c>
      <c r="E144" s="3" t="s">
        <v>17292</v>
      </c>
      <c r="F144" s="3" t="s">
        <v>3361</v>
      </c>
      <c r="G144" s="4" t="s">
        <v>8466</v>
      </c>
      <c r="H144" s="4" t="s">
        <v>18974</v>
      </c>
      <c r="I144" s="4" t="s">
        <v>19248</v>
      </c>
      <c r="J144" s="4" t="s">
        <v>19248</v>
      </c>
    </row>
    <row r="145" spans="4:10" ht="20" x14ac:dyDescent="0.25">
      <c r="D145" s="3" t="s">
        <v>17269</v>
      </c>
      <c r="E145" s="3" t="s">
        <v>9103</v>
      </c>
      <c r="F145" s="3" t="s">
        <v>9103</v>
      </c>
      <c r="G145" s="4" t="s">
        <v>8466</v>
      </c>
      <c r="H145" s="4" t="s">
        <v>18974</v>
      </c>
      <c r="I145" s="4" t="s">
        <v>19248</v>
      </c>
      <c r="J145" s="4" t="s">
        <v>15026</v>
      </c>
    </row>
    <row r="146" spans="4:10" ht="20" x14ac:dyDescent="0.25">
      <c r="D146" s="3" t="s">
        <v>17269</v>
      </c>
      <c r="E146" s="3" t="s">
        <v>9103</v>
      </c>
      <c r="F146" s="3" t="s">
        <v>7548</v>
      </c>
      <c r="G146" s="4" t="s">
        <v>8466</v>
      </c>
      <c r="H146" s="4" t="s">
        <v>18974</v>
      </c>
      <c r="I146" s="4" t="s">
        <v>1205</v>
      </c>
      <c r="J146" s="4" t="s">
        <v>9918</v>
      </c>
    </row>
    <row r="147" spans="4:10" ht="20" x14ac:dyDescent="0.25">
      <c r="D147" s="3" t="s">
        <v>17269</v>
      </c>
      <c r="E147" s="3" t="s">
        <v>9103</v>
      </c>
      <c r="F147" s="3" t="s">
        <v>16147</v>
      </c>
      <c r="G147" s="4" t="s">
        <v>8466</v>
      </c>
      <c r="H147" s="4" t="s">
        <v>18974</v>
      </c>
      <c r="I147" s="4" t="s">
        <v>1205</v>
      </c>
      <c r="J147" s="4" t="s">
        <v>1205</v>
      </c>
    </row>
    <row r="148" spans="4:10" ht="20" x14ac:dyDescent="0.25">
      <c r="D148" s="3" t="s">
        <v>17269</v>
      </c>
      <c r="E148" s="3" t="s">
        <v>9103</v>
      </c>
      <c r="F148" s="3" t="s">
        <v>4735</v>
      </c>
      <c r="G148" s="4" t="s">
        <v>8466</v>
      </c>
      <c r="H148" s="4" t="s">
        <v>18974</v>
      </c>
      <c r="I148" s="4" t="s">
        <v>1205</v>
      </c>
      <c r="J148" s="4" t="s">
        <v>17113</v>
      </c>
    </row>
    <row r="149" spans="4:10" x14ac:dyDescent="0.25">
      <c r="D149" s="3" t="s">
        <v>17269</v>
      </c>
      <c r="E149" s="3" t="s">
        <v>9103</v>
      </c>
      <c r="F149" s="3" t="s">
        <v>18471</v>
      </c>
      <c r="G149" s="4" t="s">
        <v>8466</v>
      </c>
      <c r="H149" s="4" t="s">
        <v>2704</v>
      </c>
      <c r="I149" s="4" t="s">
        <v>12681</v>
      </c>
      <c r="J149" s="4" t="s">
        <v>12973</v>
      </c>
    </row>
    <row r="150" spans="4:10" x14ac:dyDescent="0.25">
      <c r="D150" s="3" t="s">
        <v>3205</v>
      </c>
      <c r="E150" s="3" t="s">
        <v>11612</v>
      </c>
      <c r="F150" s="3" t="s">
        <v>11612</v>
      </c>
      <c r="G150" s="4" t="s">
        <v>8466</v>
      </c>
      <c r="H150" s="4" t="s">
        <v>2704</v>
      </c>
      <c r="I150" s="4" t="s">
        <v>12681</v>
      </c>
      <c r="J150" s="4" t="s">
        <v>12681</v>
      </c>
    </row>
    <row r="151" spans="4:10" x14ac:dyDescent="0.25">
      <c r="D151" s="3" t="s">
        <v>3205</v>
      </c>
      <c r="E151" s="3" t="s">
        <v>15095</v>
      </c>
      <c r="F151" s="3" t="s">
        <v>4837</v>
      </c>
      <c r="G151" s="4" t="s">
        <v>8466</v>
      </c>
      <c r="H151" s="4" t="s">
        <v>2704</v>
      </c>
      <c r="I151" s="4" t="s">
        <v>12681</v>
      </c>
      <c r="J151" s="4" t="s">
        <v>9399</v>
      </c>
    </row>
    <row r="152" spans="4:10" x14ac:dyDescent="0.25">
      <c r="D152" s="3" t="s">
        <v>3205</v>
      </c>
      <c r="E152" s="3" t="s">
        <v>15095</v>
      </c>
      <c r="F152" s="3" t="s">
        <v>4853</v>
      </c>
      <c r="G152" s="4" t="s">
        <v>8466</v>
      </c>
      <c r="H152" s="4" t="s">
        <v>2704</v>
      </c>
      <c r="I152" s="4" t="s">
        <v>12681</v>
      </c>
      <c r="J152" s="4" t="s">
        <v>10300</v>
      </c>
    </row>
    <row r="153" spans="4:10" x14ac:dyDescent="0.25">
      <c r="D153" s="3" t="s">
        <v>3205</v>
      </c>
      <c r="E153" s="3" t="s">
        <v>15095</v>
      </c>
      <c r="F153" s="3" t="s">
        <v>6280</v>
      </c>
      <c r="G153" s="4" t="s">
        <v>8466</v>
      </c>
      <c r="H153" s="4" t="s">
        <v>2704</v>
      </c>
      <c r="I153" s="4" t="s">
        <v>12681</v>
      </c>
      <c r="J153" s="4" t="s">
        <v>6861</v>
      </c>
    </row>
    <row r="154" spans="4:10" x14ac:dyDescent="0.25">
      <c r="D154" s="3" t="s">
        <v>3205</v>
      </c>
      <c r="E154" s="3" t="s">
        <v>15095</v>
      </c>
      <c r="F154" s="3" t="s">
        <v>6276</v>
      </c>
      <c r="G154" s="4" t="s">
        <v>8466</v>
      </c>
      <c r="H154" s="4" t="s">
        <v>2704</v>
      </c>
      <c r="I154" s="4" t="s">
        <v>12681</v>
      </c>
      <c r="J154" s="4" t="s">
        <v>12950</v>
      </c>
    </row>
    <row r="155" spans="4:10" x14ac:dyDescent="0.25">
      <c r="D155" s="3" t="s">
        <v>3205</v>
      </c>
      <c r="E155" s="3" t="s">
        <v>15095</v>
      </c>
      <c r="F155" s="3" t="s">
        <v>4984</v>
      </c>
      <c r="G155" s="4" t="s">
        <v>8466</v>
      </c>
      <c r="H155" s="4" t="s">
        <v>2704</v>
      </c>
      <c r="I155" s="4" t="s">
        <v>6105</v>
      </c>
      <c r="J155" s="4" t="s">
        <v>6105</v>
      </c>
    </row>
    <row r="156" spans="4:10" x14ac:dyDescent="0.25">
      <c r="D156" s="3" t="s">
        <v>3205</v>
      </c>
      <c r="E156" s="3" t="s">
        <v>15095</v>
      </c>
      <c r="F156" s="3" t="s">
        <v>15007</v>
      </c>
      <c r="G156" s="4" t="s">
        <v>8466</v>
      </c>
      <c r="H156" s="4" t="s">
        <v>2704</v>
      </c>
      <c r="I156" s="4" t="s">
        <v>10844</v>
      </c>
      <c r="J156" s="4" t="s">
        <v>5609</v>
      </c>
    </row>
    <row r="157" spans="4:10" x14ac:dyDescent="0.25">
      <c r="D157" s="3" t="s">
        <v>3205</v>
      </c>
      <c r="E157" s="3" t="s">
        <v>15095</v>
      </c>
      <c r="F157" s="3" t="s">
        <v>11981</v>
      </c>
      <c r="G157" s="4" t="s">
        <v>8466</v>
      </c>
      <c r="H157" s="4" t="s">
        <v>2704</v>
      </c>
      <c r="I157" s="4" t="s">
        <v>10844</v>
      </c>
      <c r="J157" s="4" t="s">
        <v>10844</v>
      </c>
    </row>
    <row r="158" spans="4:10" x14ac:dyDescent="0.25">
      <c r="G158" s="4" t="s">
        <v>8466</v>
      </c>
      <c r="H158" s="4" t="s">
        <v>2704</v>
      </c>
      <c r="I158" s="4" t="s">
        <v>10844</v>
      </c>
      <c r="J158" s="4" t="s">
        <v>15270</v>
      </c>
    </row>
    <row r="159" spans="4:10" x14ac:dyDescent="0.25">
      <c r="G159" s="4" t="s">
        <v>8466</v>
      </c>
      <c r="H159" s="4" t="s">
        <v>6165</v>
      </c>
      <c r="I159" s="4" t="s">
        <v>39</v>
      </c>
      <c r="J159" s="4" t="s">
        <v>39</v>
      </c>
    </row>
    <row r="160" spans="4:10" x14ac:dyDescent="0.25">
      <c r="G160" s="4" t="s">
        <v>8466</v>
      </c>
      <c r="H160" s="4" t="s">
        <v>6165</v>
      </c>
      <c r="I160" s="4" t="s">
        <v>39</v>
      </c>
      <c r="J160" s="4" t="s">
        <v>18071</v>
      </c>
    </row>
    <row r="161" spans="7:10" x14ac:dyDescent="0.25">
      <c r="G161" s="4" t="s">
        <v>8466</v>
      </c>
      <c r="H161" s="4" t="s">
        <v>6165</v>
      </c>
      <c r="I161" s="4" t="s">
        <v>1901</v>
      </c>
      <c r="J161" s="4" t="s">
        <v>2295</v>
      </c>
    </row>
    <row r="162" spans="7:10" x14ac:dyDescent="0.25">
      <c r="G162" s="4" t="s">
        <v>8466</v>
      </c>
      <c r="H162" s="4" t="s">
        <v>6165</v>
      </c>
      <c r="I162" s="4" t="s">
        <v>1901</v>
      </c>
      <c r="J162" s="4" t="s">
        <v>1202</v>
      </c>
    </row>
    <row r="163" spans="7:10" x14ac:dyDescent="0.25">
      <c r="G163" s="4" t="s">
        <v>8466</v>
      </c>
      <c r="H163" s="4" t="s">
        <v>6165</v>
      </c>
      <c r="I163" s="4" t="s">
        <v>1901</v>
      </c>
      <c r="J163" s="4" t="s">
        <v>1901</v>
      </c>
    </row>
    <row r="164" spans="7:10" x14ac:dyDescent="0.25">
      <c r="G164" s="4" t="s">
        <v>8466</v>
      </c>
      <c r="H164" s="4" t="s">
        <v>6165</v>
      </c>
      <c r="I164" s="4" t="s">
        <v>1901</v>
      </c>
      <c r="J164" s="4" t="s">
        <v>4276</v>
      </c>
    </row>
    <row r="165" spans="7:10" x14ac:dyDescent="0.25">
      <c r="G165" s="4" t="s">
        <v>8466</v>
      </c>
      <c r="H165" s="4" t="s">
        <v>6165</v>
      </c>
      <c r="I165" s="4" t="s">
        <v>1901</v>
      </c>
      <c r="J165" s="4" t="s">
        <v>15392</v>
      </c>
    </row>
    <row r="166" spans="7:10" x14ac:dyDescent="0.25">
      <c r="G166" s="4" t="s">
        <v>8466</v>
      </c>
      <c r="H166" s="4" t="s">
        <v>6165</v>
      </c>
      <c r="I166" s="4" t="s">
        <v>10149</v>
      </c>
      <c r="J166" s="4" t="s">
        <v>10149</v>
      </c>
    </row>
    <row r="167" spans="7:10" x14ac:dyDescent="0.25">
      <c r="G167" s="4" t="s">
        <v>8466</v>
      </c>
      <c r="H167" s="4" t="s">
        <v>6165</v>
      </c>
      <c r="I167" s="4" t="s">
        <v>14578</v>
      </c>
      <c r="J167" s="4" t="s">
        <v>9892</v>
      </c>
    </row>
    <row r="168" spans="7:10" x14ac:dyDescent="0.25">
      <c r="G168" s="4" t="s">
        <v>8466</v>
      </c>
      <c r="H168" s="4" t="s">
        <v>6165</v>
      </c>
      <c r="I168" s="4" t="s">
        <v>14578</v>
      </c>
      <c r="J168" s="4" t="s">
        <v>15203</v>
      </c>
    </row>
    <row r="169" spans="7:10" x14ac:dyDescent="0.25">
      <c r="G169" s="4" t="s">
        <v>8466</v>
      </c>
      <c r="H169" s="4" t="s">
        <v>6165</v>
      </c>
      <c r="I169" s="4" t="s">
        <v>14578</v>
      </c>
      <c r="J169" s="4" t="s">
        <v>7683</v>
      </c>
    </row>
    <row r="170" spans="7:10" x14ac:dyDescent="0.25">
      <c r="G170" s="4" t="s">
        <v>8466</v>
      </c>
      <c r="H170" s="4" t="s">
        <v>6165</v>
      </c>
      <c r="I170" s="4" t="s">
        <v>14578</v>
      </c>
      <c r="J170" s="4" t="s">
        <v>14578</v>
      </c>
    </row>
    <row r="171" spans="7:10" x14ac:dyDescent="0.25">
      <c r="G171" s="4" t="s">
        <v>13075</v>
      </c>
      <c r="H171" s="4" t="s">
        <v>2555</v>
      </c>
      <c r="I171" s="4" t="s">
        <v>15266</v>
      </c>
      <c r="J171" s="4" t="s">
        <v>15266</v>
      </c>
    </row>
    <row r="172" spans="7:10" x14ac:dyDescent="0.25">
      <c r="G172" s="4" t="s">
        <v>13075</v>
      </c>
      <c r="H172" s="4" t="s">
        <v>2555</v>
      </c>
      <c r="I172" s="4" t="s">
        <v>15266</v>
      </c>
      <c r="J172" s="4" t="s">
        <v>6350</v>
      </c>
    </row>
    <row r="173" spans="7:10" x14ac:dyDescent="0.25">
      <c r="G173" s="4" t="s">
        <v>13075</v>
      </c>
      <c r="H173" s="4" t="s">
        <v>2555</v>
      </c>
      <c r="I173" s="4" t="s">
        <v>15266</v>
      </c>
      <c r="J173" s="4" t="s">
        <v>5525</v>
      </c>
    </row>
    <row r="174" spans="7:10" x14ac:dyDescent="0.25">
      <c r="G174" s="4" t="s">
        <v>13075</v>
      </c>
      <c r="H174" s="4" t="s">
        <v>2555</v>
      </c>
      <c r="I174" s="4" t="s">
        <v>9155</v>
      </c>
      <c r="J174" s="4" t="s">
        <v>9155</v>
      </c>
    </row>
    <row r="175" spans="7:10" x14ac:dyDescent="0.25">
      <c r="G175" s="4" t="s">
        <v>13075</v>
      </c>
      <c r="H175" s="4" t="s">
        <v>2555</v>
      </c>
      <c r="I175" s="4" t="s">
        <v>9155</v>
      </c>
      <c r="J175" s="4" t="s">
        <v>9723</v>
      </c>
    </row>
    <row r="176" spans="7:10" x14ac:dyDescent="0.25">
      <c r="G176" s="4" t="s">
        <v>13075</v>
      </c>
      <c r="H176" s="4" t="s">
        <v>2555</v>
      </c>
      <c r="I176" s="4" t="s">
        <v>9155</v>
      </c>
      <c r="J176" s="4" t="s">
        <v>10004</v>
      </c>
    </row>
    <row r="177" spans="7:10" x14ac:dyDescent="0.25">
      <c r="G177" s="4" t="s">
        <v>13075</v>
      </c>
      <c r="H177" s="4" t="s">
        <v>2555</v>
      </c>
      <c r="I177" s="4" t="s">
        <v>3812</v>
      </c>
      <c r="J177" s="4" t="s">
        <v>3812</v>
      </c>
    </row>
    <row r="178" spans="7:10" x14ac:dyDescent="0.25">
      <c r="G178" s="4" t="s">
        <v>13075</v>
      </c>
      <c r="H178" s="4" t="s">
        <v>2555</v>
      </c>
      <c r="I178" s="4" t="s">
        <v>3812</v>
      </c>
      <c r="J178" s="4" t="s">
        <v>4603</v>
      </c>
    </row>
    <row r="179" spans="7:10" x14ac:dyDescent="0.25">
      <c r="G179" s="4" t="s">
        <v>13075</v>
      </c>
      <c r="H179" s="4" t="s">
        <v>2555</v>
      </c>
      <c r="I179" s="4" t="s">
        <v>6061</v>
      </c>
      <c r="J179" s="4" t="s">
        <v>6061</v>
      </c>
    </row>
    <row r="180" spans="7:10" x14ac:dyDescent="0.25">
      <c r="G180" s="4" t="s">
        <v>13075</v>
      </c>
      <c r="H180" s="4" t="s">
        <v>2555</v>
      </c>
      <c r="I180" s="4" t="s">
        <v>6061</v>
      </c>
      <c r="J180" s="4" t="s">
        <v>11759</v>
      </c>
    </row>
    <row r="181" spans="7:10" x14ac:dyDescent="0.25">
      <c r="G181" s="4" t="s">
        <v>13075</v>
      </c>
      <c r="H181" s="4" t="s">
        <v>2555</v>
      </c>
      <c r="I181" s="4" t="s">
        <v>16406</v>
      </c>
      <c r="J181" s="4" t="s">
        <v>16406</v>
      </c>
    </row>
    <row r="182" spans="7:10" x14ac:dyDescent="0.25">
      <c r="G182" s="4" t="s">
        <v>13075</v>
      </c>
      <c r="H182" s="4" t="s">
        <v>2555</v>
      </c>
      <c r="I182" s="4" t="s">
        <v>11180</v>
      </c>
      <c r="J182" s="4" t="s">
        <v>11180</v>
      </c>
    </row>
    <row r="183" spans="7:10" x14ac:dyDescent="0.25">
      <c r="G183" s="4" t="s">
        <v>13075</v>
      </c>
      <c r="H183" s="4" t="s">
        <v>2555</v>
      </c>
      <c r="I183" s="4" t="s">
        <v>11180</v>
      </c>
      <c r="J183" s="4" t="s">
        <v>2389</v>
      </c>
    </row>
    <row r="184" spans="7:10" x14ac:dyDescent="0.25">
      <c r="G184" s="4" t="s">
        <v>13075</v>
      </c>
      <c r="H184" s="4" t="s">
        <v>3574</v>
      </c>
      <c r="I184" s="4" t="s">
        <v>15242</v>
      </c>
      <c r="J184" s="4" t="s">
        <v>16858</v>
      </c>
    </row>
    <row r="185" spans="7:10" x14ac:dyDescent="0.25">
      <c r="G185" s="4" t="s">
        <v>13075</v>
      </c>
      <c r="H185" s="4" t="s">
        <v>3574</v>
      </c>
      <c r="I185" s="4" t="s">
        <v>15242</v>
      </c>
      <c r="J185" s="4" t="s">
        <v>15242</v>
      </c>
    </row>
    <row r="186" spans="7:10" x14ac:dyDescent="0.25">
      <c r="G186" s="4" t="s">
        <v>13075</v>
      </c>
      <c r="H186" s="4" t="s">
        <v>3574</v>
      </c>
      <c r="I186" s="4" t="s">
        <v>15242</v>
      </c>
      <c r="J186" s="4" t="s">
        <v>11129</v>
      </c>
    </row>
    <row r="187" spans="7:10" x14ac:dyDescent="0.25">
      <c r="G187" s="4" t="s">
        <v>13075</v>
      </c>
      <c r="H187" s="4" t="s">
        <v>3574</v>
      </c>
      <c r="I187" s="4" t="s">
        <v>14783</v>
      </c>
      <c r="J187" s="4" t="s">
        <v>10017</v>
      </c>
    </row>
    <row r="188" spans="7:10" x14ac:dyDescent="0.25">
      <c r="G188" s="4" t="s">
        <v>13075</v>
      </c>
      <c r="H188" s="4" t="s">
        <v>3574</v>
      </c>
      <c r="I188" s="4" t="s">
        <v>14783</v>
      </c>
      <c r="J188" s="4" t="s">
        <v>14783</v>
      </c>
    </row>
    <row r="189" spans="7:10" x14ac:dyDescent="0.25">
      <c r="G189" s="4" t="s">
        <v>13075</v>
      </c>
      <c r="H189" s="4" t="s">
        <v>3574</v>
      </c>
      <c r="I189" s="4" t="s">
        <v>14783</v>
      </c>
      <c r="J189" s="4" t="s">
        <v>9447</v>
      </c>
    </row>
    <row r="190" spans="7:10" x14ac:dyDescent="0.25">
      <c r="G190" s="4" t="s">
        <v>13075</v>
      </c>
      <c r="H190" s="4" t="s">
        <v>3574</v>
      </c>
      <c r="I190" s="4" t="s">
        <v>10787</v>
      </c>
      <c r="J190" s="4" t="s">
        <v>11575</v>
      </c>
    </row>
    <row r="191" spans="7:10" x14ac:dyDescent="0.25">
      <c r="G191" s="4" t="s">
        <v>13075</v>
      </c>
      <c r="H191" s="4" t="s">
        <v>3574</v>
      </c>
      <c r="I191" s="4" t="s">
        <v>10787</v>
      </c>
      <c r="J191" s="4" t="s">
        <v>10787</v>
      </c>
    </row>
    <row r="192" spans="7:10" ht="20" x14ac:dyDescent="0.25">
      <c r="G192" s="4" t="s">
        <v>13075</v>
      </c>
      <c r="H192" s="4" t="s">
        <v>3574</v>
      </c>
      <c r="I192" s="4" t="s">
        <v>19071</v>
      </c>
      <c r="J192" s="4" t="s">
        <v>2192</v>
      </c>
    </row>
    <row r="193" spans="7:10" ht="20" x14ac:dyDescent="0.25">
      <c r="G193" s="4" t="s">
        <v>13075</v>
      </c>
      <c r="H193" s="4" t="s">
        <v>3574</v>
      </c>
      <c r="I193" s="4" t="s">
        <v>19071</v>
      </c>
      <c r="J193" s="4" t="s">
        <v>19071</v>
      </c>
    </row>
    <row r="194" spans="7:10" ht="20" x14ac:dyDescent="0.25">
      <c r="G194" s="4" t="s">
        <v>13075</v>
      </c>
      <c r="H194" s="4" t="s">
        <v>3574</v>
      </c>
      <c r="I194" s="4" t="s">
        <v>19071</v>
      </c>
      <c r="J194" s="4" t="s">
        <v>8001</v>
      </c>
    </row>
    <row r="195" spans="7:10" ht="20" x14ac:dyDescent="0.25">
      <c r="G195" s="4" t="s">
        <v>13075</v>
      </c>
      <c r="H195" s="4" t="s">
        <v>3574</v>
      </c>
      <c r="I195" s="4" t="s">
        <v>15854</v>
      </c>
      <c r="J195" s="4" t="s">
        <v>3855</v>
      </c>
    </row>
    <row r="196" spans="7:10" ht="20" x14ac:dyDescent="0.25">
      <c r="G196" s="4" t="s">
        <v>13075</v>
      </c>
      <c r="H196" s="4" t="s">
        <v>3574</v>
      </c>
      <c r="I196" s="4" t="s">
        <v>15854</v>
      </c>
      <c r="J196" s="4" t="s">
        <v>4603</v>
      </c>
    </row>
    <row r="197" spans="7:10" ht="20" x14ac:dyDescent="0.25">
      <c r="G197" s="4" t="s">
        <v>13075</v>
      </c>
      <c r="H197" s="4" t="s">
        <v>3574</v>
      </c>
      <c r="I197" s="4" t="s">
        <v>15854</v>
      </c>
      <c r="J197" s="4" t="s">
        <v>14509</v>
      </c>
    </row>
    <row r="198" spans="7:10" ht="20" x14ac:dyDescent="0.25">
      <c r="G198" s="4" t="s">
        <v>13075</v>
      </c>
      <c r="H198" s="4" t="s">
        <v>3574</v>
      </c>
      <c r="I198" s="4" t="s">
        <v>15854</v>
      </c>
      <c r="J198" s="4" t="s">
        <v>4935</v>
      </c>
    </row>
    <row r="199" spans="7:10" ht="20" x14ac:dyDescent="0.25">
      <c r="G199" s="4" t="s">
        <v>13075</v>
      </c>
      <c r="H199" s="4" t="s">
        <v>3574</v>
      </c>
      <c r="I199" s="4" t="s">
        <v>15854</v>
      </c>
      <c r="J199" s="4" t="s">
        <v>9629</v>
      </c>
    </row>
    <row r="200" spans="7:10" ht="20" x14ac:dyDescent="0.25">
      <c r="G200" s="4" t="s">
        <v>13075</v>
      </c>
      <c r="H200" s="4" t="s">
        <v>3574</v>
      </c>
      <c r="I200" s="4" t="s">
        <v>15854</v>
      </c>
      <c r="J200" s="4" t="s">
        <v>2979</v>
      </c>
    </row>
    <row r="201" spans="7:10" ht="20" x14ac:dyDescent="0.25">
      <c r="G201" s="4" t="s">
        <v>13075</v>
      </c>
      <c r="H201" s="4" t="s">
        <v>3574</v>
      </c>
      <c r="I201" s="4" t="s">
        <v>15854</v>
      </c>
      <c r="J201" s="4" t="s">
        <v>12842</v>
      </c>
    </row>
    <row r="202" spans="7:10" ht="20" x14ac:dyDescent="0.25">
      <c r="G202" s="4" t="s">
        <v>13075</v>
      </c>
      <c r="H202" s="4" t="s">
        <v>3574</v>
      </c>
      <c r="I202" s="4" t="s">
        <v>15854</v>
      </c>
      <c r="J202" s="4" t="s">
        <v>19453</v>
      </c>
    </row>
    <row r="203" spans="7:10" ht="20" x14ac:dyDescent="0.25">
      <c r="G203" s="4" t="s">
        <v>13075</v>
      </c>
      <c r="H203" s="4" t="s">
        <v>3574</v>
      </c>
      <c r="I203" s="4" t="s">
        <v>15854</v>
      </c>
      <c r="J203" s="4" t="s">
        <v>11075</v>
      </c>
    </row>
    <row r="204" spans="7:10" ht="20" x14ac:dyDescent="0.25">
      <c r="G204" s="4" t="s">
        <v>13075</v>
      </c>
      <c r="H204" s="4" t="s">
        <v>3574</v>
      </c>
      <c r="I204" s="4" t="s">
        <v>15854</v>
      </c>
      <c r="J204" s="4" t="s">
        <v>16238</v>
      </c>
    </row>
    <row r="205" spans="7:10" ht="20" x14ac:dyDescent="0.25">
      <c r="G205" s="4" t="s">
        <v>13075</v>
      </c>
      <c r="H205" s="4" t="s">
        <v>3574</v>
      </c>
      <c r="I205" s="4" t="s">
        <v>15854</v>
      </c>
      <c r="J205" s="4" t="s">
        <v>15854</v>
      </c>
    </row>
    <row r="206" spans="7:10" x14ac:dyDescent="0.25">
      <c r="G206" s="4" t="s">
        <v>13075</v>
      </c>
      <c r="H206" s="4" t="s">
        <v>3574</v>
      </c>
      <c r="I206" s="4" t="s">
        <v>14448</v>
      </c>
      <c r="J206" s="4" t="s">
        <v>12938</v>
      </c>
    </row>
    <row r="207" spans="7:10" x14ac:dyDescent="0.25">
      <c r="G207" s="4" t="s">
        <v>13075</v>
      </c>
      <c r="H207" s="4" t="s">
        <v>3574</v>
      </c>
      <c r="I207" s="4" t="s">
        <v>14448</v>
      </c>
      <c r="J207" s="4" t="s">
        <v>14448</v>
      </c>
    </row>
    <row r="208" spans="7:10" x14ac:dyDescent="0.25">
      <c r="G208" s="4" t="s">
        <v>6237</v>
      </c>
      <c r="H208" s="4" t="s">
        <v>5879</v>
      </c>
      <c r="I208" s="4" t="s">
        <v>14891</v>
      </c>
      <c r="J208" s="4" t="s">
        <v>9688</v>
      </c>
    </row>
    <row r="209" spans="7:10" x14ac:dyDescent="0.25">
      <c r="G209" s="4" t="s">
        <v>6237</v>
      </c>
      <c r="H209" s="4" t="s">
        <v>5879</v>
      </c>
      <c r="I209" s="4" t="s">
        <v>14891</v>
      </c>
      <c r="J209" s="4" t="s">
        <v>14891</v>
      </c>
    </row>
    <row r="210" spans="7:10" x14ac:dyDescent="0.25">
      <c r="G210" s="4" t="s">
        <v>6237</v>
      </c>
      <c r="H210" s="4" t="s">
        <v>5879</v>
      </c>
      <c r="I210" s="4" t="s">
        <v>7656</v>
      </c>
      <c r="J210" s="4" t="s">
        <v>16566</v>
      </c>
    </row>
    <row r="211" spans="7:10" x14ac:dyDescent="0.25">
      <c r="G211" s="4" t="s">
        <v>6237</v>
      </c>
      <c r="H211" s="4" t="s">
        <v>5879</v>
      </c>
      <c r="I211" s="4" t="s">
        <v>7656</v>
      </c>
      <c r="J211" s="4" t="s">
        <v>7656</v>
      </c>
    </row>
    <row r="212" spans="7:10" x14ac:dyDescent="0.25">
      <c r="G212" s="4" t="s">
        <v>6237</v>
      </c>
      <c r="H212" s="4" t="s">
        <v>5879</v>
      </c>
      <c r="I212" s="4" t="s">
        <v>12683</v>
      </c>
      <c r="J212" s="4" t="s">
        <v>17858</v>
      </c>
    </row>
    <row r="213" spans="7:10" x14ac:dyDescent="0.25">
      <c r="G213" s="4" t="s">
        <v>6237</v>
      </c>
      <c r="H213" s="4" t="s">
        <v>5879</v>
      </c>
      <c r="I213" s="4" t="s">
        <v>12683</v>
      </c>
      <c r="J213" s="4" t="s">
        <v>12683</v>
      </c>
    </row>
    <row r="214" spans="7:10" x14ac:dyDescent="0.25">
      <c r="G214" s="4" t="s">
        <v>6237</v>
      </c>
      <c r="H214" s="4" t="s">
        <v>5879</v>
      </c>
      <c r="I214" s="4" t="s">
        <v>5923</v>
      </c>
      <c r="J214" s="4" t="s">
        <v>7906</v>
      </c>
    </row>
    <row r="215" spans="7:10" x14ac:dyDescent="0.25">
      <c r="G215" s="4" t="s">
        <v>6237</v>
      </c>
      <c r="H215" s="4" t="s">
        <v>5879</v>
      </c>
      <c r="I215" s="4" t="s">
        <v>5923</v>
      </c>
      <c r="J215" s="4" t="s">
        <v>18526</v>
      </c>
    </row>
    <row r="216" spans="7:10" x14ac:dyDescent="0.25">
      <c r="G216" s="4" t="s">
        <v>6237</v>
      </c>
      <c r="H216" s="4" t="s">
        <v>5879</v>
      </c>
      <c r="I216" s="4" t="s">
        <v>5923</v>
      </c>
      <c r="J216" s="4" t="s">
        <v>14919</v>
      </c>
    </row>
    <row r="217" spans="7:10" x14ac:dyDescent="0.25">
      <c r="G217" s="4" t="s">
        <v>6237</v>
      </c>
      <c r="H217" s="4" t="s">
        <v>5879</v>
      </c>
      <c r="I217" s="4" t="s">
        <v>5923</v>
      </c>
      <c r="J217" s="4" t="s">
        <v>10779</v>
      </c>
    </row>
    <row r="218" spans="7:10" x14ac:dyDescent="0.25">
      <c r="G218" s="4" t="s">
        <v>6237</v>
      </c>
      <c r="H218" s="4" t="s">
        <v>5879</v>
      </c>
      <c r="I218" s="4" t="s">
        <v>5923</v>
      </c>
      <c r="J218" s="4" t="s">
        <v>911</v>
      </c>
    </row>
    <row r="219" spans="7:10" x14ac:dyDescent="0.25">
      <c r="G219" s="4" t="s">
        <v>6237</v>
      </c>
      <c r="H219" s="4" t="s">
        <v>5879</v>
      </c>
      <c r="I219" s="4" t="s">
        <v>5923</v>
      </c>
      <c r="J219" s="4" t="s">
        <v>5923</v>
      </c>
    </row>
    <row r="220" spans="7:10" x14ac:dyDescent="0.25">
      <c r="G220" s="4" t="s">
        <v>6237</v>
      </c>
      <c r="H220" s="4" t="s">
        <v>5879</v>
      </c>
      <c r="I220" s="4" t="s">
        <v>5923</v>
      </c>
      <c r="J220" s="4" t="s">
        <v>9545</v>
      </c>
    </row>
    <row r="221" spans="7:10" x14ac:dyDescent="0.25">
      <c r="G221" s="4" t="s">
        <v>6237</v>
      </c>
      <c r="H221" s="4" t="s">
        <v>5879</v>
      </c>
      <c r="I221" s="4" t="s">
        <v>13687</v>
      </c>
      <c r="J221" s="4" t="s">
        <v>13687</v>
      </c>
    </row>
    <row r="222" spans="7:10" x14ac:dyDescent="0.25">
      <c r="G222" s="4" t="s">
        <v>6237</v>
      </c>
      <c r="H222" s="4" t="s">
        <v>2808</v>
      </c>
      <c r="I222" s="4" t="s">
        <v>7426</v>
      </c>
      <c r="J222" s="4" t="s">
        <v>7426</v>
      </c>
    </row>
    <row r="223" spans="7:10" x14ac:dyDescent="0.25">
      <c r="G223" s="4" t="s">
        <v>6237</v>
      </c>
      <c r="H223" s="4" t="s">
        <v>2808</v>
      </c>
      <c r="I223" s="4" t="s">
        <v>10849</v>
      </c>
      <c r="J223" s="4" t="s">
        <v>10849</v>
      </c>
    </row>
    <row r="224" spans="7:10" x14ac:dyDescent="0.25">
      <c r="G224" s="4" t="s">
        <v>6237</v>
      </c>
      <c r="H224" s="4" t="s">
        <v>2808</v>
      </c>
      <c r="I224" s="4" t="s">
        <v>16125</v>
      </c>
      <c r="J224" s="4" t="s">
        <v>11716</v>
      </c>
    </row>
    <row r="225" spans="7:10" x14ac:dyDescent="0.25">
      <c r="G225" s="4" t="s">
        <v>6237</v>
      </c>
      <c r="H225" s="4" t="s">
        <v>2808</v>
      </c>
      <c r="I225" s="4" t="s">
        <v>16125</v>
      </c>
      <c r="J225" s="4" t="s">
        <v>16125</v>
      </c>
    </row>
    <row r="226" spans="7:10" x14ac:dyDescent="0.25">
      <c r="G226" s="4" t="s">
        <v>6237</v>
      </c>
      <c r="H226" s="4" t="s">
        <v>2808</v>
      </c>
      <c r="I226" s="4" t="s">
        <v>10532</v>
      </c>
      <c r="J226" s="4" t="s">
        <v>10532</v>
      </c>
    </row>
    <row r="227" spans="7:10" x14ac:dyDescent="0.25">
      <c r="G227" s="4" t="s">
        <v>6237</v>
      </c>
      <c r="H227" s="4" t="s">
        <v>2808</v>
      </c>
      <c r="I227" s="4" t="s">
        <v>10532</v>
      </c>
      <c r="J227" s="4" t="s">
        <v>693</v>
      </c>
    </row>
    <row r="228" spans="7:10" x14ac:dyDescent="0.25">
      <c r="G228" s="4" t="s">
        <v>6237</v>
      </c>
      <c r="H228" s="4" t="s">
        <v>2808</v>
      </c>
      <c r="I228" s="4" t="s">
        <v>5807</v>
      </c>
      <c r="J228" s="4" t="s">
        <v>5807</v>
      </c>
    </row>
    <row r="229" spans="7:10" x14ac:dyDescent="0.25">
      <c r="G229" s="4" t="s">
        <v>6237</v>
      </c>
      <c r="H229" s="4" t="s">
        <v>2808</v>
      </c>
      <c r="I229" s="4" t="s">
        <v>5807</v>
      </c>
      <c r="J229" s="4" t="s">
        <v>8818</v>
      </c>
    </row>
    <row r="230" spans="7:10" x14ac:dyDescent="0.25">
      <c r="G230" s="4" t="s">
        <v>6237</v>
      </c>
      <c r="H230" s="4" t="s">
        <v>2808</v>
      </c>
      <c r="I230" s="4" t="s">
        <v>11506</v>
      </c>
      <c r="J230" s="4" t="s">
        <v>5879</v>
      </c>
    </row>
    <row r="231" spans="7:10" x14ac:dyDescent="0.25">
      <c r="G231" s="4" t="s">
        <v>6237</v>
      </c>
      <c r="H231" s="4" t="s">
        <v>2808</v>
      </c>
      <c r="I231" s="4" t="s">
        <v>11506</v>
      </c>
      <c r="J231" s="4" t="s">
        <v>11506</v>
      </c>
    </row>
    <row r="232" spans="7:10" x14ac:dyDescent="0.25">
      <c r="G232" s="4" t="s">
        <v>6237</v>
      </c>
      <c r="H232" s="4" t="s">
        <v>2808</v>
      </c>
      <c r="I232" s="4" t="s">
        <v>4488</v>
      </c>
      <c r="J232" s="4" t="s">
        <v>4488</v>
      </c>
    </row>
    <row r="233" spans="7:10" x14ac:dyDescent="0.25">
      <c r="G233" s="4" t="s">
        <v>6237</v>
      </c>
      <c r="H233" s="4" t="s">
        <v>2808</v>
      </c>
      <c r="I233" s="4" t="s">
        <v>13511</v>
      </c>
      <c r="J233" s="4" t="s">
        <v>2975</v>
      </c>
    </row>
    <row r="234" spans="7:10" x14ac:dyDescent="0.25">
      <c r="G234" s="4" t="s">
        <v>6237</v>
      </c>
      <c r="H234" s="4" t="s">
        <v>2808</v>
      </c>
      <c r="I234" s="4" t="s">
        <v>13511</v>
      </c>
      <c r="J234" s="4" t="s">
        <v>13511</v>
      </c>
    </row>
    <row r="235" spans="7:10" x14ac:dyDescent="0.25">
      <c r="G235" s="4" t="s">
        <v>6237</v>
      </c>
      <c r="H235" s="4" t="s">
        <v>2808</v>
      </c>
      <c r="I235" s="4" t="s">
        <v>4777</v>
      </c>
      <c r="J235" s="4" t="s">
        <v>4777</v>
      </c>
    </row>
    <row r="236" spans="7:10" ht="20" x14ac:dyDescent="0.25">
      <c r="G236" s="4" t="s">
        <v>6237</v>
      </c>
      <c r="H236" s="4" t="s">
        <v>2808</v>
      </c>
      <c r="I236" s="4" t="s">
        <v>11773</v>
      </c>
      <c r="J236" s="4" t="s">
        <v>5261</v>
      </c>
    </row>
    <row r="237" spans="7:10" ht="20" x14ac:dyDescent="0.25">
      <c r="G237" s="4" t="s">
        <v>6237</v>
      </c>
      <c r="H237" s="4" t="s">
        <v>2808</v>
      </c>
      <c r="I237" s="4" t="s">
        <v>11773</v>
      </c>
      <c r="J237" s="4" t="s">
        <v>7517</v>
      </c>
    </row>
    <row r="238" spans="7:10" ht="20" x14ac:dyDescent="0.25">
      <c r="G238" s="4" t="s">
        <v>6237</v>
      </c>
      <c r="H238" s="4" t="s">
        <v>2808</v>
      </c>
      <c r="I238" s="4" t="s">
        <v>11773</v>
      </c>
      <c r="J238" s="4" t="s">
        <v>11773</v>
      </c>
    </row>
    <row r="239" spans="7:10" ht="20" x14ac:dyDescent="0.25">
      <c r="G239" s="4" t="s">
        <v>6237</v>
      </c>
      <c r="H239" s="4" t="s">
        <v>2808</v>
      </c>
      <c r="I239" s="4" t="s">
        <v>11773</v>
      </c>
      <c r="J239" s="4" t="s">
        <v>18349</v>
      </c>
    </row>
    <row r="240" spans="7:10" x14ac:dyDescent="0.25">
      <c r="G240" s="4" t="s">
        <v>6237</v>
      </c>
      <c r="H240" s="4" t="s">
        <v>2808</v>
      </c>
      <c r="I240" s="4" t="s">
        <v>1458</v>
      </c>
      <c r="J240" s="4" t="s">
        <v>1017</v>
      </c>
    </row>
    <row r="241" spans="7:10" x14ac:dyDescent="0.25">
      <c r="G241" s="4" t="s">
        <v>6237</v>
      </c>
      <c r="H241" s="4" t="s">
        <v>2808</v>
      </c>
      <c r="I241" s="4" t="s">
        <v>1458</v>
      </c>
      <c r="J241" s="4" t="s">
        <v>9443</v>
      </c>
    </row>
    <row r="242" spans="7:10" x14ac:dyDescent="0.25">
      <c r="G242" s="4" t="s">
        <v>6237</v>
      </c>
      <c r="H242" s="4" t="s">
        <v>2808</v>
      </c>
      <c r="I242" s="4" t="s">
        <v>1458</v>
      </c>
      <c r="J242" s="4" t="s">
        <v>19510</v>
      </c>
    </row>
    <row r="243" spans="7:10" x14ac:dyDescent="0.25">
      <c r="G243" s="4" t="s">
        <v>6237</v>
      </c>
      <c r="H243" s="4" t="s">
        <v>2808</v>
      </c>
      <c r="I243" s="4" t="s">
        <v>1458</v>
      </c>
      <c r="J243" s="4" t="s">
        <v>1458</v>
      </c>
    </row>
    <row r="244" spans="7:10" x14ac:dyDescent="0.25">
      <c r="G244" s="4" t="s">
        <v>6237</v>
      </c>
      <c r="H244" s="4" t="s">
        <v>13283</v>
      </c>
      <c r="I244" s="4" t="s">
        <v>9170</v>
      </c>
      <c r="J244" s="4" t="s">
        <v>14824</v>
      </c>
    </row>
    <row r="245" spans="7:10" x14ac:dyDescent="0.25">
      <c r="G245" s="4" t="s">
        <v>6237</v>
      </c>
      <c r="H245" s="4" t="s">
        <v>13283</v>
      </c>
      <c r="I245" s="4" t="s">
        <v>9170</v>
      </c>
      <c r="J245" s="4" t="s">
        <v>9170</v>
      </c>
    </row>
    <row r="246" spans="7:10" x14ac:dyDescent="0.25">
      <c r="G246" s="4" t="s">
        <v>6237</v>
      </c>
      <c r="H246" s="4" t="s">
        <v>13283</v>
      </c>
      <c r="I246" s="4" t="s">
        <v>9170</v>
      </c>
      <c r="J246" s="4" t="s">
        <v>3135</v>
      </c>
    </row>
    <row r="247" spans="7:10" x14ac:dyDescent="0.25">
      <c r="G247" s="4" t="s">
        <v>6237</v>
      </c>
      <c r="H247" s="4" t="s">
        <v>13283</v>
      </c>
      <c r="I247" s="4" t="s">
        <v>11522</v>
      </c>
      <c r="J247" s="4" t="s">
        <v>11522</v>
      </c>
    </row>
    <row r="248" spans="7:10" x14ac:dyDescent="0.25">
      <c r="G248" s="4" t="s">
        <v>6237</v>
      </c>
      <c r="H248" s="4" t="s">
        <v>13283</v>
      </c>
      <c r="I248" s="4" t="s">
        <v>11522</v>
      </c>
      <c r="J248" s="4" t="s">
        <v>18280</v>
      </c>
    </row>
    <row r="249" spans="7:10" x14ac:dyDescent="0.25">
      <c r="G249" s="4" t="s">
        <v>6237</v>
      </c>
      <c r="H249" s="4" t="s">
        <v>13283</v>
      </c>
      <c r="I249" s="4" t="s">
        <v>5870</v>
      </c>
      <c r="J249" s="4" t="s">
        <v>16356</v>
      </c>
    </row>
    <row r="250" spans="7:10" x14ac:dyDescent="0.25">
      <c r="G250" s="4" t="s">
        <v>6237</v>
      </c>
      <c r="H250" s="4" t="s">
        <v>13283</v>
      </c>
      <c r="I250" s="4" t="s">
        <v>5870</v>
      </c>
      <c r="J250" s="4" t="s">
        <v>8074</v>
      </c>
    </row>
    <row r="251" spans="7:10" x14ac:dyDescent="0.25">
      <c r="G251" s="4" t="s">
        <v>6237</v>
      </c>
      <c r="H251" s="4" t="s">
        <v>13283</v>
      </c>
      <c r="I251" s="4" t="s">
        <v>5870</v>
      </c>
      <c r="J251" s="4" t="s">
        <v>5870</v>
      </c>
    </row>
    <row r="252" spans="7:10" x14ac:dyDescent="0.25">
      <c r="G252" s="4" t="s">
        <v>6237</v>
      </c>
      <c r="H252" s="4" t="s">
        <v>13283</v>
      </c>
      <c r="I252" s="4" t="s">
        <v>11249</v>
      </c>
      <c r="J252" s="4" t="s">
        <v>11249</v>
      </c>
    </row>
    <row r="253" spans="7:10" x14ac:dyDescent="0.25">
      <c r="G253" s="4" t="s">
        <v>6237</v>
      </c>
      <c r="H253" s="4" t="s">
        <v>13283</v>
      </c>
      <c r="I253" s="4" t="s">
        <v>15453</v>
      </c>
      <c r="J253" s="4" t="s">
        <v>15453</v>
      </c>
    </row>
    <row r="254" spans="7:10" x14ac:dyDescent="0.25">
      <c r="G254" s="4" t="s">
        <v>6237</v>
      </c>
      <c r="H254" s="4" t="s">
        <v>13283</v>
      </c>
      <c r="I254" s="4" t="s">
        <v>12501</v>
      </c>
      <c r="J254" s="4" t="s">
        <v>2502</v>
      </c>
    </row>
    <row r="255" spans="7:10" x14ac:dyDescent="0.25">
      <c r="G255" s="4" t="s">
        <v>6237</v>
      </c>
      <c r="H255" s="4" t="s">
        <v>13283</v>
      </c>
      <c r="I255" s="4" t="s">
        <v>12501</v>
      </c>
      <c r="J255" s="4" t="s">
        <v>12501</v>
      </c>
    </row>
    <row r="256" spans="7:10" x14ac:dyDescent="0.25">
      <c r="G256" s="4" t="s">
        <v>6237</v>
      </c>
      <c r="H256" s="4" t="s">
        <v>19650</v>
      </c>
      <c r="I256" s="4" t="s">
        <v>10972</v>
      </c>
      <c r="J256" s="4" t="s">
        <v>15017</v>
      </c>
    </row>
    <row r="257" spans="7:10" x14ac:dyDescent="0.25">
      <c r="G257" s="4" t="s">
        <v>6237</v>
      </c>
      <c r="H257" s="4" t="s">
        <v>19650</v>
      </c>
      <c r="I257" s="4" t="s">
        <v>10972</v>
      </c>
      <c r="J257" s="4" t="s">
        <v>10972</v>
      </c>
    </row>
    <row r="258" spans="7:10" x14ac:dyDescent="0.25">
      <c r="G258" s="4" t="s">
        <v>6237</v>
      </c>
      <c r="H258" s="4" t="s">
        <v>19650</v>
      </c>
      <c r="I258" s="4" t="s">
        <v>19650</v>
      </c>
      <c r="J258" s="4" t="s">
        <v>13257</v>
      </c>
    </row>
    <row r="259" spans="7:10" x14ac:dyDescent="0.25">
      <c r="G259" s="4" t="s">
        <v>6237</v>
      </c>
      <c r="H259" s="4" t="s">
        <v>19650</v>
      </c>
      <c r="I259" s="4" t="s">
        <v>19650</v>
      </c>
      <c r="J259" s="4" t="s">
        <v>19650</v>
      </c>
    </row>
    <row r="260" spans="7:10" x14ac:dyDescent="0.25">
      <c r="G260" s="4" t="s">
        <v>17269</v>
      </c>
      <c r="H260" s="4" t="s">
        <v>17292</v>
      </c>
      <c r="I260" s="4" t="s">
        <v>3361</v>
      </c>
      <c r="J260" s="4" t="s">
        <v>3361</v>
      </c>
    </row>
    <row r="261" spans="7:10" ht="20" x14ac:dyDescent="0.25">
      <c r="G261" s="4" t="s">
        <v>17269</v>
      </c>
      <c r="H261" s="4" t="s">
        <v>17292</v>
      </c>
      <c r="I261" s="4" t="s">
        <v>3810</v>
      </c>
      <c r="J261" s="4" t="s">
        <v>1406</v>
      </c>
    </row>
    <row r="262" spans="7:10" ht="20" x14ac:dyDescent="0.25">
      <c r="G262" s="4" t="s">
        <v>17269</v>
      </c>
      <c r="H262" s="4" t="s">
        <v>17292</v>
      </c>
      <c r="I262" s="4" t="s">
        <v>3810</v>
      </c>
      <c r="J262" s="4" t="s">
        <v>3810</v>
      </c>
    </row>
    <row r="263" spans="7:10" ht="20" x14ac:dyDescent="0.25">
      <c r="G263" s="4" t="s">
        <v>17269</v>
      </c>
      <c r="H263" s="4" t="s">
        <v>17292</v>
      </c>
      <c r="I263" s="4" t="s">
        <v>3810</v>
      </c>
      <c r="J263" s="4" t="s">
        <v>19425</v>
      </c>
    </row>
    <row r="264" spans="7:10" ht="20" x14ac:dyDescent="0.25">
      <c r="G264" s="4" t="s">
        <v>17269</v>
      </c>
      <c r="H264" s="4" t="s">
        <v>17292</v>
      </c>
      <c r="I264" s="4" t="s">
        <v>3810</v>
      </c>
      <c r="J264" s="4" t="s">
        <v>7662</v>
      </c>
    </row>
    <row r="265" spans="7:10" x14ac:dyDescent="0.25">
      <c r="G265" s="4" t="s">
        <v>17269</v>
      </c>
      <c r="H265" s="4" t="s">
        <v>17292</v>
      </c>
      <c r="I265" s="4" t="s">
        <v>18833</v>
      </c>
      <c r="J265" s="4" t="s">
        <v>2251</v>
      </c>
    </row>
    <row r="266" spans="7:10" x14ac:dyDescent="0.25">
      <c r="G266" s="4" t="s">
        <v>17269</v>
      </c>
      <c r="H266" s="4" t="s">
        <v>17292</v>
      </c>
      <c r="I266" s="4" t="s">
        <v>18833</v>
      </c>
      <c r="J266" s="4" t="s">
        <v>18833</v>
      </c>
    </row>
    <row r="267" spans="7:10" x14ac:dyDescent="0.25">
      <c r="G267" s="4" t="s">
        <v>17269</v>
      </c>
      <c r="H267" s="4" t="s">
        <v>9103</v>
      </c>
      <c r="I267" s="4" t="s">
        <v>7548</v>
      </c>
      <c r="J267" s="4" t="s">
        <v>7548</v>
      </c>
    </row>
    <row r="268" spans="7:10" x14ac:dyDescent="0.25">
      <c r="G268" s="4" t="s">
        <v>17269</v>
      </c>
      <c r="H268" s="4" t="s">
        <v>9103</v>
      </c>
      <c r="I268" s="4" t="s">
        <v>9103</v>
      </c>
      <c r="J268" s="4" t="s">
        <v>9778</v>
      </c>
    </row>
    <row r="269" spans="7:10" x14ac:dyDescent="0.25">
      <c r="G269" s="4" t="s">
        <v>17269</v>
      </c>
      <c r="H269" s="4" t="s">
        <v>9103</v>
      </c>
      <c r="I269" s="4" t="s">
        <v>9103</v>
      </c>
      <c r="J269" s="4" t="s">
        <v>19623</v>
      </c>
    </row>
    <row r="270" spans="7:10" x14ac:dyDescent="0.25">
      <c r="G270" s="4" t="s">
        <v>17269</v>
      </c>
      <c r="H270" s="4" t="s">
        <v>9103</v>
      </c>
      <c r="I270" s="4" t="s">
        <v>9103</v>
      </c>
      <c r="J270" s="4" t="s">
        <v>13690</v>
      </c>
    </row>
    <row r="271" spans="7:10" x14ac:dyDescent="0.25">
      <c r="G271" s="4" t="s">
        <v>17269</v>
      </c>
      <c r="H271" s="4" t="s">
        <v>9103</v>
      </c>
      <c r="I271" s="4" t="s">
        <v>9103</v>
      </c>
      <c r="J271" s="4" t="s">
        <v>9103</v>
      </c>
    </row>
    <row r="272" spans="7:10" x14ac:dyDescent="0.25">
      <c r="G272" s="4" t="s">
        <v>17269</v>
      </c>
      <c r="H272" s="4" t="s">
        <v>9103</v>
      </c>
      <c r="I272" s="4" t="s">
        <v>18471</v>
      </c>
      <c r="J272" s="4" t="s">
        <v>18471</v>
      </c>
    </row>
    <row r="273" spans="7:10" ht="20" x14ac:dyDescent="0.25">
      <c r="G273" s="4" t="s">
        <v>17269</v>
      </c>
      <c r="H273" s="4" t="s">
        <v>9103</v>
      </c>
      <c r="I273" s="4" t="s">
        <v>16147</v>
      </c>
      <c r="J273" s="4" t="s">
        <v>8953</v>
      </c>
    </row>
    <row r="274" spans="7:10" ht="20" x14ac:dyDescent="0.25">
      <c r="G274" s="4" t="s">
        <v>17269</v>
      </c>
      <c r="H274" s="4" t="s">
        <v>9103</v>
      </c>
      <c r="I274" s="4" t="s">
        <v>16147</v>
      </c>
      <c r="J274" s="4" t="s">
        <v>14510</v>
      </c>
    </row>
    <row r="275" spans="7:10" ht="20" x14ac:dyDescent="0.25">
      <c r="G275" s="4" t="s">
        <v>17269</v>
      </c>
      <c r="H275" s="4" t="s">
        <v>9103</v>
      </c>
      <c r="I275" s="4" t="s">
        <v>16147</v>
      </c>
      <c r="J275" s="4" t="s">
        <v>16147</v>
      </c>
    </row>
    <row r="276" spans="7:10" x14ac:dyDescent="0.25">
      <c r="G276" s="4" t="s">
        <v>17269</v>
      </c>
      <c r="H276" s="4" t="s">
        <v>9103</v>
      </c>
      <c r="I276" s="4" t="s">
        <v>4735</v>
      </c>
      <c r="J276" s="4" t="s">
        <v>6736</v>
      </c>
    </row>
    <row r="277" spans="7:10" x14ac:dyDescent="0.25">
      <c r="G277" s="4" t="s">
        <v>17269</v>
      </c>
      <c r="H277" s="4" t="s">
        <v>9103</v>
      </c>
      <c r="I277" s="4" t="s">
        <v>4735</v>
      </c>
      <c r="J277" s="4" t="s">
        <v>707</v>
      </c>
    </row>
    <row r="278" spans="7:10" x14ac:dyDescent="0.25">
      <c r="G278" s="4" t="s">
        <v>17269</v>
      </c>
      <c r="H278" s="4" t="s">
        <v>9103</v>
      </c>
      <c r="I278" s="4" t="s">
        <v>4735</v>
      </c>
      <c r="J278" s="4" t="s">
        <v>4735</v>
      </c>
    </row>
    <row r="279" spans="7:10" ht="20" x14ac:dyDescent="0.25">
      <c r="G279" s="4" t="s">
        <v>17269</v>
      </c>
      <c r="H279" s="4" t="s">
        <v>10084</v>
      </c>
      <c r="I279" s="4" t="s">
        <v>9253</v>
      </c>
      <c r="J279" s="4" t="s">
        <v>9253</v>
      </c>
    </row>
    <row r="280" spans="7:10" ht="20" x14ac:dyDescent="0.25">
      <c r="G280" s="4" t="s">
        <v>17269</v>
      </c>
      <c r="H280" s="4" t="s">
        <v>10084</v>
      </c>
      <c r="I280" s="4" t="s">
        <v>18788</v>
      </c>
      <c r="J280" s="4" t="s">
        <v>18788</v>
      </c>
    </row>
    <row r="281" spans="7:10" ht="20" x14ac:dyDescent="0.25">
      <c r="G281" s="4" t="s">
        <v>17269</v>
      </c>
      <c r="H281" s="4" t="s">
        <v>10084</v>
      </c>
      <c r="I281" s="4" t="s">
        <v>11800</v>
      </c>
      <c r="J281" s="4" t="s">
        <v>11800</v>
      </c>
    </row>
    <row r="282" spans="7:10" ht="20" x14ac:dyDescent="0.25">
      <c r="G282" s="4" t="s">
        <v>17269</v>
      </c>
      <c r="H282" s="4" t="s">
        <v>10084</v>
      </c>
      <c r="I282" s="4" t="s">
        <v>13840</v>
      </c>
      <c r="J282" s="4" t="s">
        <v>13840</v>
      </c>
    </row>
    <row r="283" spans="7:10" ht="20" x14ac:dyDescent="0.25">
      <c r="G283" s="4" t="s">
        <v>17269</v>
      </c>
      <c r="H283" s="4" t="s">
        <v>10084</v>
      </c>
      <c r="I283" s="4" t="s">
        <v>17744</v>
      </c>
      <c r="J283" s="4" t="s">
        <v>5853</v>
      </c>
    </row>
    <row r="284" spans="7:10" ht="20" x14ac:dyDescent="0.25">
      <c r="G284" s="4" t="s">
        <v>17269</v>
      </c>
      <c r="H284" s="4" t="s">
        <v>10084</v>
      </c>
      <c r="I284" s="4" t="s">
        <v>17744</v>
      </c>
      <c r="J284" s="4" t="s">
        <v>15963</v>
      </c>
    </row>
    <row r="285" spans="7:10" ht="20" x14ac:dyDescent="0.25">
      <c r="G285" s="4" t="s">
        <v>17269</v>
      </c>
      <c r="H285" s="4" t="s">
        <v>10084</v>
      </c>
      <c r="I285" s="4" t="s">
        <v>17744</v>
      </c>
      <c r="J285" s="4" t="s">
        <v>17744</v>
      </c>
    </row>
    <row r="286" spans="7:10" ht="20" x14ac:dyDescent="0.25">
      <c r="G286" s="4" t="s">
        <v>17269</v>
      </c>
      <c r="H286" s="4" t="s">
        <v>10084</v>
      </c>
      <c r="I286" s="4" t="s">
        <v>10084</v>
      </c>
      <c r="J286" s="4" t="s">
        <v>10084</v>
      </c>
    </row>
    <row r="287" spans="7:10" ht="20" x14ac:dyDescent="0.25">
      <c r="G287" s="4" t="s">
        <v>3205</v>
      </c>
      <c r="H287" s="4" t="s">
        <v>11612</v>
      </c>
      <c r="I287" s="4" t="s">
        <v>11612</v>
      </c>
      <c r="J287" s="4" t="s">
        <v>11612</v>
      </c>
    </row>
    <row r="288" spans="7:10" ht="20" x14ac:dyDescent="0.25">
      <c r="G288" s="4" t="s">
        <v>3205</v>
      </c>
      <c r="H288" s="4" t="s">
        <v>15095</v>
      </c>
      <c r="I288" s="4" t="s">
        <v>6276</v>
      </c>
      <c r="J288" s="4" t="s">
        <v>6276</v>
      </c>
    </row>
    <row r="289" spans="7:10" ht="20" x14ac:dyDescent="0.25">
      <c r="G289" s="4" t="s">
        <v>3205</v>
      </c>
      <c r="H289" s="4" t="s">
        <v>15095</v>
      </c>
      <c r="I289" s="4" t="s">
        <v>6276</v>
      </c>
      <c r="J289" s="4" t="s">
        <v>18082</v>
      </c>
    </row>
    <row r="290" spans="7:10" ht="20" x14ac:dyDescent="0.25">
      <c r="G290" s="4" t="s">
        <v>3205</v>
      </c>
      <c r="H290" s="4" t="s">
        <v>15095</v>
      </c>
      <c r="I290" s="4" t="s">
        <v>4984</v>
      </c>
      <c r="J290" s="4" t="s">
        <v>4984</v>
      </c>
    </row>
    <row r="291" spans="7:10" ht="20" x14ac:dyDescent="0.25">
      <c r="G291" s="4" t="s">
        <v>3205</v>
      </c>
      <c r="H291" s="4" t="s">
        <v>15095</v>
      </c>
      <c r="I291" s="4" t="s">
        <v>4984</v>
      </c>
      <c r="J291" s="4" t="s">
        <v>2964</v>
      </c>
    </row>
    <row r="292" spans="7:10" ht="20" x14ac:dyDescent="0.25">
      <c r="G292" s="4" t="s">
        <v>3205</v>
      </c>
      <c r="H292" s="4" t="s">
        <v>15095</v>
      </c>
      <c r="I292" s="4" t="s">
        <v>15007</v>
      </c>
      <c r="J292" s="4" t="s">
        <v>15007</v>
      </c>
    </row>
    <row r="293" spans="7:10" ht="20" x14ac:dyDescent="0.25">
      <c r="G293" s="4" t="s">
        <v>3205</v>
      </c>
      <c r="H293" s="4" t="s">
        <v>15095</v>
      </c>
      <c r="I293" s="4" t="s">
        <v>15007</v>
      </c>
      <c r="J293" s="4" t="s">
        <v>10795</v>
      </c>
    </row>
    <row r="294" spans="7:10" ht="20" x14ac:dyDescent="0.25">
      <c r="G294" s="4" t="s">
        <v>3205</v>
      </c>
      <c r="H294" s="4" t="s">
        <v>15095</v>
      </c>
      <c r="I294" s="4" t="s">
        <v>15007</v>
      </c>
      <c r="J294" s="4" t="s">
        <v>74</v>
      </c>
    </row>
    <row r="295" spans="7:10" ht="20" x14ac:dyDescent="0.25">
      <c r="G295" s="4" t="s">
        <v>3205</v>
      </c>
      <c r="H295" s="4" t="s">
        <v>15095</v>
      </c>
      <c r="I295" s="4" t="s">
        <v>11981</v>
      </c>
      <c r="J295" s="4" t="s">
        <v>9843</v>
      </c>
    </row>
    <row r="296" spans="7:10" ht="20" x14ac:dyDescent="0.25">
      <c r="G296" s="4" t="s">
        <v>3205</v>
      </c>
      <c r="H296" s="4" t="s">
        <v>15095</v>
      </c>
      <c r="I296" s="4" t="s">
        <v>11981</v>
      </c>
      <c r="J296" s="4" t="s">
        <v>12393</v>
      </c>
    </row>
    <row r="297" spans="7:10" ht="20" x14ac:dyDescent="0.25">
      <c r="G297" s="4" t="s">
        <v>3205</v>
      </c>
      <c r="H297" s="4" t="s">
        <v>15095</v>
      </c>
      <c r="I297" s="4" t="s">
        <v>11981</v>
      </c>
      <c r="J297" s="4" t="s">
        <v>11981</v>
      </c>
    </row>
    <row r="298" spans="7:10" ht="20" x14ac:dyDescent="0.25">
      <c r="G298" s="4" t="s">
        <v>3205</v>
      </c>
      <c r="H298" s="4" t="s">
        <v>15095</v>
      </c>
      <c r="I298" s="4" t="s">
        <v>4837</v>
      </c>
      <c r="J298" s="4" t="s">
        <v>6443</v>
      </c>
    </row>
    <row r="299" spans="7:10" ht="20" x14ac:dyDescent="0.25">
      <c r="G299" s="4" t="s">
        <v>3205</v>
      </c>
      <c r="H299" s="4" t="s">
        <v>15095</v>
      </c>
      <c r="I299" s="4" t="s">
        <v>4837</v>
      </c>
      <c r="J299" s="4" t="s">
        <v>4837</v>
      </c>
    </row>
    <row r="300" spans="7:10" ht="20" x14ac:dyDescent="0.25">
      <c r="G300" s="4" t="s">
        <v>3205</v>
      </c>
      <c r="H300" s="4" t="s">
        <v>15095</v>
      </c>
      <c r="I300" s="4" t="s">
        <v>6280</v>
      </c>
      <c r="J300" s="4" t="s">
        <v>3522</v>
      </c>
    </row>
    <row r="301" spans="7:10" ht="20" x14ac:dyDescent="0.25">
      <c r="G301" s="4" t="s">
        <v>3205</v>
      </c>
      <c r="H301" s="4" t="s">
        <v>15095</v>
      </c>
      <c r="I301" s="4" t="s">
        <v>6280</v>
      </c>
      <c r="J301" s="4" t="s">
        <v>6280</v>
      </c>
    </row>
    <row r="302" spans="7:10" ht="20" x14ac:dyDescent="0.25">
      <c r="G302" s="4" t="s">
        <v>3205</v>
      </c>
      <c r="H302" s="4" t="s">
        <v>15095</v>
      </c>
      <c r="I302" s="4" t="s">
        <v>4853</v>
      </c>
      <c r="J302" s="4" t="s">
        <v>4853</v>
      </c>
    </row>
    <row r="303" spans="7:10" ht="20" x14ac:dyDescent="0.25">
      <c r="G303" s="4" t="s">
        <v>19169</v>
      </c>
      <c r="H303" s="4" t="s">
        <v>6978</v>
      </c>
      <c r="I303" s="4" t="s">
        <v>52</v>
      </c>
      <c r="J303" s="4" t="s">
        <v>52</v>
      </c>
    </row>
    <row r="304" spans="7:10" ht="20" x14ac:dyDescent="0.25">
      <c r="G304" s="4" t="s">
        <v>19169</v>
      </c>
      <c r="H304" s="4" t="s">
        <v>6978</v>
      </c>
      <c r="I304" s="4" t="s">
        <v>52</v>
      </c>
      <c r="J304" s="4" t="s">
        <v>4099</v>
      </c>
    </row>
    <row r="305" spans="7:10" ht="20" x14ac:dyDescent="0.25">
      <c r="G305" s="4" t="s">
        <v>19169</v>
      </c>
      <c r="H305" s="4" t="s">
        <v>6978</v>
      </c>
      <c r="I305" s="4" t="s">
        <v>52</v>
      </c>
      <c r="J305" s="4" t="s">
        <v>5860</v>
      </c>
    </row>
    <row r="306" spans="7:10" ht="20" x14ac:dyDescent="0.25">
      <c r="G306" s="4" t="s">
        <v>19169</v>
      </c>
      <c r="H306" s="4" t="s">
        <v>6978</v>
      </c>
      <c r="I306" s="4" t="s">
        <v>52</v>
      </c>
      <c r="J306" s="4" t="s">
        <v>16888</v>
      </c>
    </row>
    <row r="307" spans="7:10" ht="20" x14ac:dyDescent="0.25">
      <c r="G307" s="4" t="s">
        <v>19169</v>
      </c>
      <c r="H307" s="4" t="s">
        <v>6978</v>
      </c>
      <c r="I307" s="4" t="s">
        <v>52</v>
      </c>
      <c r="J307" s="4" t="s">
        <v>9809</v>
      </c>
    </row>
    <row r="308" spans="7:10" ht="20" x14ac:dyDescent="0.25">
      <c r="G308" s="4" t="s">
        <v>19169</v>
      </c>
      <c r="H308" s="4" t="s">
        <v>6978</v>
      </c>
      <c r="I308" s="4" t="s">
        <v>52</v>
      </c>
      <c r="J308" s="4" t="s">
        <v>12778</v>
      </c>
    </row>
    <row r="309" spans="7:10" ht="20" x14ac:dyDescent="0.25">
      <c r="G309" s="4" t="s">
        <v>19169</v>
      </c>
      <c r="H309" s="4" t="s">
        <v>6978</v>
      </c>
      <c r="I309" s="4" t="s">
        <v>52</v>
      </c>
      <c r="J309" s="4" t="s">
        <v>13272</v>
      </c>
    </row>
    <row r="310" spans="7:10" ht="20" x14ac:dyDescent="0.25">
      <c r="G310" s="4" t="s">
        <v>19169</v>
      </c>
      <c r="H310" s="4" t="s">
        <v>6978</v>
      </c>
      <c r="I310" s="4" t="s">
        <v>52</v>
      </c>
      <c r="J310" s="4" t="s">
        <v>4106</v>
      </c>
    </row>
    <row r="311" spans="7:10" ht="20" x14ac:dyDescent="0.25">
      <c r="G311" s="4" t="s">
        <v>19169</v>
      </c>
      <c r="H311" s="4" t="s">
        <v>6978</v>
      </c>
      <c r="I311" s="4" t="s">
        <v>52</v>
      </c>
      <c r="J311" s="4" t="s">
        <v>8837</v>
      </c>
    </row>
    <row r="312" spans="7:10" x14ac:dyDescent="0.25">
      <c r="G312" s="4" t="s">
        <v>19169</v>
      </c>
      <c r="H312" s="4" t="s">
        <v>6978</v>
      </c>
      <c r="I312" s="4" t="s">
        <v>8379</v>
      </c>
      <c r="J312" s="4" t="s">
        <v>8379</v>
      </c>
    </row>
    <row r="313" spans="7:10" x14ac:dyDescent="0.25">
      <c r="G313" s="4" t="s">
        <v>19169</v>
      </c>
      <c r="H313" s="4" t="s">
        <v>6978</v>
      </c>
      <c r="I313" s="4" t="s">
        <v>2502</v>
      </c>
      <c r="J313" s="4" t="s">
        <v>2502</v>
      </c>
    </row>
    <row r="314" spans="7:10" x14ac:dyDescent="0.25">
      <c r="G314" s="4" t="s">
        <v>19169</v>
      </c>
      <c r="H314" s="4" t="s">
        <v>6978</v>
      </c>
      <c r="I314" s="4" t="s">
        <v>10093</v>
      </c>
      <c r="J314" s="4" t="s">
        <v>10093</v>
      </c>
    </row>
    <row r="315" spans="7:10" x14ac:dyDescent="0.25">
      <c r="G315" s="4" t="s">
        <v>19169</v>
      </c>
      <c r="H315" s="4" t="s">
        <v>6978</v>
      </c>
      <c r="I315" s="4" t="s">
        <v>10093</v>
      </c>
      <c r="J315" s="4" t="s">
        <v>6102</v>
      </c>
    </row>
    <row r="316" spans="7:10" ht="20" x14ac:dyDescent="0.25">
      <c r="G316" s="4" t="s">
        <v>19169</v>
      </c>
      <c r="H316" s="4" t="s">
        <v>6978</v>
      </c>
      <c r="I316" s="4" t="s">
        <v>13474</v>
      </c>
      <c r="J316" s="4" t="s">
        <v>7172</v>
      </c>
    </row>
    <row r="317" spans="7:10" ht="20" x14ac:dyDescent="0.25">
      <c r="G317" s="4" t="s">
        <v>19169</v>
      </c>
      <c r="H317" s="4" t="s">
        <v>6978</v>
      </c>
      <c r="I317" s="4" t="s">
        <v>13474</v>
      </c>
      <c r="J317" s="4" t="s">
        <v>13474</v>
      </c>
    </row>
    <row r="318" spans="7:10" ht="20" x14ac:dyDescent="0.25">
      <c r="G318" s="4" t="s">
        <v>19169</v>
      </c>
      <c r="H318" s="4" t="s">
        <v>6978</v>
      </c>
      <c r="I318" s="4" t="s">
        <v>13474</v>
      </c>
      <c r="J318" s="4" t="s">
        <v>15403</v>
      </c>
    </row>
    <row r="319" spans="7:10" x14ac:dyDescent="0.25">
      <c r="G319" s="4" t="s">
        <v>19169</v>
      </c>
      <c r="H319" s="4" t="s">
        <v>6978</v>
      </c>
      <c r="I319" s="4" t="s">
        <v>901</v>
      </c>
      <c r="J319" s="4" t="s">
        <v>18258</v>
      </c>
    </row>
    <row r="320" spans="7:10" x14ac:dyDescent="0.25">
      <c r="G320" s="4" t="s">
        <v>19169</v>
      </c>
      <c r="H320" s="4" t="s">
        <v>6978</v>
      </c>
      <c r="I320" s="4" t="s">
        <v>901</v>
      </c>
      <c r="J320" s="4" t="s">
        <v>3038</v>
      </c>
    </row>
    <row r="321" spans="7:10" x14ac:dyDescent="0.25">
      <c r="G321" s="4" t="s">
        <v>19169</v>
      </c>
      <c r="H321" s="4" t="s">
        <v>6978</v>
      </c>
      <c r="I321" s="4" t="s">
        <v>901</v>
      </c>
      <c r="J321" s="4" t="s">
        <v>19268</v>
      </c>
    </row>
    <row r="322" spans="7:10" x14ac:dyDescent="0.25">
      <c r="G322" s="4" t="s">
        <v>19169</v>
      </c>
      <c r="H322" s="4" t="s">
        <v>6978</v>
      </c>
      <c r="I322" s="4" t="s">
        <v>901</v>
      </c>
      <c r="J322" s="4" t="s">
        <v>14244</v>
      </c>
    </row>
    <row r="323" spans="7:10" x14ac:dyDescent="0.25">
      <c r="G323" s="4" t="s">
        <v>19169</v>
      </c>
      <c r="H323" s="4" t="s">
        <v>6978</v>
      </c>
      <c r="I323" s="4" t="s">
        <v>901</v>
      </c>
      <c r="J323" s="4" t="s">
        <v>901</v>
      </c>
    </row>
    <row r="324" spans="7:10" x14ac:dyDescent="0.25">
      <c r="G324" s="4" t="s">
        <v>19169</v>
      </c>
      <c r="H324" s="4" t="s">
        <v>6978</v>
      </c>
      <c r="I324" s="4" t="s">
        <v>15310</v>
      </c>
      <c r="J324" s="4" t="s">
        <v>15310</v>
      </c>
    </row>
    <row r="325" spans="7:10" x14ac:dyDescent="0.25">
      <c r="G325" s="4" t="s">
        <v>19169</v>
      </c>
      <c r="H325" s="4" t="s">
        <v>6978</v>
      </c>
      <c r="I325" s="4" t="s">
        <v>2311</v>
      </c>
      <c r="J325" s="4" t="s">
        <v>3855</v>
      </c>
    </row>
    <row r="326" spans="7:10" x14ac:dyDescent="0.25">
      <c r="G326" s="4" t="s">
        <v>19169</v>
      </c>
      <c r="H326" s="4" t="s">
        <v>6978</v>
      </c>
      <c r="I326" s="4" t="s">
        <v>2311</v>
      </c>
      <c r="J326" s="4" t="s">
        <v>2311</v>
      </c>
    </row>
    <row r="327" spans="7:10" x14ac:dyDescent="0.25">
      <c r="G327" s="4" t="s">
        <v>19169</v>
      </c>
      <c r="H327" s="4" t="s">
        <v>6978</v>
      </c>
      <c r="I327" s="4" t="s">
        <v>12986</v>
      </c>
      <c r="J327" s="4" t="s">
        <v>7563</v>
      </c>
    </row>
    <row r="328" spans="7:10" x14ac:dyDescent="0.25">
      <c r="G328" s="4" t="s">
        <v>19169</v>
      </c>
      <c r="H328" s="4" t="s">
        <v>6978</v>
      </c>
      <c r="I328" s="4" t="s">
        <v>12986</v>
      </c>
      <c r="J328" s="4" t="s">
        <v>4485</v>
      </c>
    </row>
    <row r="329" spans="7:10" x14ac:dyDescent="0.25">
      <c r="G329" s="4" t="s">
        <v>19169</v>
      </c>
      <c r="H329" s="4" t="s">
        <v>6978</v>
      </c>
      <c r="I329" s="4" t="s">
        <v>12986</v>
      </c>
      <c r="J329" s="4" t="s">
        <v>6623</v>
      </c>
    </row>
    <row r="330" spans="7:10" x14ac:dyDescent="0.25">
      <c r="G330" s="4" t="s">
        <v>19169</v>
      </c>
      <c r="H330" s="4" t="s">
        <v>6978</v>
      </c>
      <c r="I330" s="4" t="s">
        <v>12986</v>
      </c>
      <c r="J330" s="4" t="s">
        <v>12986</v>
      </c>
    </row>
    <row r="331" spans="7:10" x14ac:dyDescent="0.25">
      <c r="G331" s="4" t="s">
        <v>19169</v>
      </c>
      <c r="H331" s="4" t="s">
        <v>6978</v>
      </c>
      <c r="I331" s="4" t="s">
        <v>11680</v>
      </c>
      <c r="J331" s="4" t="s">
        <v>4639</v>
      </c>
    </row>
    <row r="332" spans="7:10" x14ac:dyDescent="0.25">
      <c r="G332" s="4" t="s">
        <v>19169</v>
      </c>
      <c r="H332" s="4" t="s">
        <v>6978</v>
      </c>
      <c r="I332" s="4" t="s">
        <v>11680</v>
      </c>
      <c r="J332" s="4" t="s">
        <v>12166</v>
      </c>
    </row>
    <row r="333" spans="7:10" x14ac:dyDescent="0.25">
      <c r="G333" s="4" t="s">
        <v>19169</v>
      </c>
      <c r="H333" s="4" t="s">
        <v>6978</v>
      </c>
      <c r="I333" s="4" t="s">
        <v>11680</v>
      </c>
      <c r="J333" s="4" t="s">
        <v>17673</v>
      </c>
    </row>
    <row r="334" spans="7:10" x14ac:dyDescent="0.25">
      <c r="G334" s="4" t="s">
        <v>19169</v>
      </c>
      <c r="H334" s="4" t="s">
        <v>6978</v>
      </c>
      <c r="I334" s="4" t="s">
        <v>11680</v>
      </c>
      <c r="J334" s="4" t="s">
        <v>11680</v>
      </c>
    </row>
    <row r="335" spans="7:10" x14ac:dyDescent="0.25">
      <c r="G335" s="4" t="s">
        <v>19169</v>
      </c>
      <c r="H335" s="4" t="s">
        <v>5397</v>
      </c>
      <c r="I335" s="4" t="s">
        <v>9518</v>
      </c>
      <c r="J335" s="4" t="s">
        <v>9518</v>
      </c>
    </row>
    <row r="336" spans="7:10" x14ac:dyDescent="0.25">
      <c r="G336" s="4" t="s">
        <v>19169</v>
      </c>
      <c r="H336" s="4" t="s">
        <v>5397</v>
      </c>
      <c r="I336" s="4" t="s">
        <v>9518</v>
      </c>
      <c r="J336" s="4" t="s">
        <v>13175</v>
      </c>
    </row>
    <row r="337" spans="7:10" x14ac:dyDescent="0.25">
      <c r="G337" s="4" t="s">
        <v>19169</v>
      </c>
      <c r="H337" s="4" t="s">
        <v>5397</v>
      </c>
      <c r="I337" s="4" t="s">
        <v>9518</v>
      </c>
      <c r="J337" s="4" t="s">
        <v>15002</v>
      </c>
    </row>
    <row r="338" spans="7:10" x14ac:dyDescent="0.25">
      <c r="G338" s="4" t="s">
        <v>19169</v>
      </c>
      <c r="H338" s="4" t="s">
        <v>5397</v>
      </c>
      <c r="I338" s="4" t="s">
        <v>9518</v>
      </c>
      <c r="J338" s="4" t="s">
        <v>12979</v>
      </c>
    </row>
    <row r="339" spans="7:10" x14ac:dyDescent="0.25">
      <c r="G339" s="4" t="s">
        <v>19169</v>
      </c>
      <c r="H339" s="4" t="s">
        <v>5397</v>
      </c>
      <c r="I339" s="4" t="s">
        <v>9518</v>
      </c>
      <c r="J339" s="4" t="s">
        <v>17180</v>
      </c>
    </row>
    <row r="340" spans="7:10" x14ac:dyDescent="0.25">
      <c r="G340" s="4" t="s">
        <v>19169</v>
      </c>
      <c r="H340" s="4" t="s">
        <v>5397</v>
      </c>
      <c r="I340" s="4" t="s">
        <v>9518</v>
      </c>
      <c r="J340" s="4" t="s">
        <v>5118</v>
      </c>
    </row>
    <row r="341" spans="7:10" x14ac:dyDescent="0.25">
      <c r="G341" s="4" t="s">
        <v>19169</v>
      </c>
      <c r="H341" s="4" t="s">
        <v>5397</v>
      </c>
      <c r="I341" s="4" t="s">
        <v>9518</v>
      </c>
      <c r="J341" s="4" t="s">
        <v>17434</v>
      </c>
    </row>
    <row r="342" spans="7:10" x14ac:dyDescent="0.25">
      <c r="G342" s="4" t="s">
        <v>19169</v>
      </c>
      <c r="H342" s="4" t="s">
        <v>5397</v>
      </c>
      <c r="I342" s="4" t="s">
        <v>9518</v>
      </c>
      <c r="J342" s="4" t="s">
        <v>17378</v>
      </c>
    </row>
    <row r="343" spans="7:10" x14ac:dyDescent="0.25">
      <c r="G343" s="4" t="s">
        <v>19169</v>
      </c>
      <c r="H343" s="4" t="s">
        <v>5397</v>
      </c>
      <c r="I343" s="4" t="s">
        <v>9518</v>
      </c>
      <c r="J343" s="4" t="s">
        <v>6579</v>
      </c>
    </row>
    <row r="344" spans="7:10" x14ac:dyDescent="0.25">
      <c r="G344" s="4" t="s">
        <v>19169</v>
      </c>
      <c r="H344" s="4" t="s">
        <v>5397</v>
      </c>
      <c r="I344" s="4" t="s">
        <v>9518</v>
      </c>
      <c r="J344" s="4" t="s">
        <v>19238</v>
      </c>
    </row>
    <row r="345" spans="7:10" x14ac:dyDescent="0.25">
      <c r="G345" s="4" t="s">
        <v>19169</v>
      </c>
      <c r="H345" s="4" t="s">
        <v>5397</v>
      </c>
      <c r="I345" s="4" t="s">
        <v>16203</v>
      </c>
      <c r="J345" s="4" t="s">
        <v>16203</v>
      </c>
    </row>
    <row r="346" spans="7:10" x14ac:dyDescent="0.25">
      <c r="G346" s="4" t="s">
        <v>19169</v>
      </c>
      <c r="H346" s="4" t="s">
        <v>5397</v>
      </c>
      <c r="I346" s="4" t="s">
        <v>16203</v>
      </c>
      <c r="J346" s="4" t="s">
        <v>7675</v>
      </c>
    </row>
    <row r="347" spans="7:10" x14ac:dyDescent="0.25">
      <c r="G347" s="4" t="s">
        <v>19169</v>
      </c>
      <c r="H347" s="4" t="s">
        <v>5397</v>
      </c>
      <c r="I347" s="4" t="s">
        <v>16203</v>
      </c>
      <c r="J347" s="4" t="s">
        <v>911</v>
      </c>
    </row>
    <row r="348" spans="7:10" x14ac:dyDescent="0.25">
      <c r="G348" s="4" t="s">
        <v>19169</v>
      </c>
      <c r="H348" s="4" t="s">
        <v>15833</v>
      </c>
      <c r="I348" s="4" t="s">
        <v>8309</v>
      </c>
      <c r="J348" s="4" t="s">
        <v>8309</v>
      </c>
    </row>
    <row r="349" spans="7:10" x14ac:dyDescent="0.25">
      <c r="G349" s="4" t="s">
        <v>19169</v>
      </c>
      <c r="H349" s="4" t="s">
        <v>15833</v>
      </c>
      <c r="I349" s="4" t="s">
        <v>8309</v>
      </c>
      <c r="J349" s="4" t="s">
        <v>6139</v>
      </c>
    </row>
    <row r="350" spans="7:10" ht="20" x14ac:dyDescent="0.25">
      <c r="G350" s="4" t="s">
        <v>19169</v>
      </c>
      <c r="H350" s="4" t="s">
        <v>15833</v>
      </c>
      <c r="I350" s="4" t="s">
        <v>18417</v>
      </c>
      <c r="J350" s="4" t="s">
        <v>12794</v>
      </c>
    </row>
    <row r="351" spans="7:10" ht="20" x14ac:dyDescent="0.25">
      <c r="G351" s="4" t="s">
        <v>19169</v>
      </c>
      <c r="H351" s="4" t="s">
        <v>15833</v>
      </c>
      <c r="I351" s="4" t="s">
        <v>18417</v>
      </c>
      <c r="J351" s="4" t="s">
        <v>18417</v>
      </c>
    </row>
    <row r="352" spans="7:10" x14ac:dyDescent="0.25">
      <c r="G352" s="4" t="s">
        <v>19169</v>
      </c>
      <c r="H352" s="4" t="s">
        <v>15833</v>
      </c>
      <c r="I352" s="4" t="s">
        <v>16896</v>
      </c>
      <c r="J352" s="4" t="s">
        <v>16896</v>
      </c>
    </row>
    <row r="353" spans="7:10" ht="20" x14ac:dyDescent="0.25">
      <c r="G353" s="4" t="s">
        <v>19169</v>
      </c>
      <c r="H353" s="4" t="s">
        <v>15833</v>
      </c>
      <c r="I353" s="4" t="s">
        <v>13065</v>
      </c>
      <c r="J353" s="4" t="s">
        <v>13065</v>
      </c>
    </row>
    <row r="354" spans="7:10" x14ac:dyDescent="0.25">
      <c r="G354" s="4" t="s">
        <v>19169</v>
      </c>
      <c r="H354" s="4" t="s">
        <v>15833</v>
      </c>
      <c r="I354" s="4" t="s">
        <v>15833</v>
      </c>
      <c r="J354" s="4" t="s">
        <v>11224</v>
      </c>
    </row>
    <row r="355" spans="7:10" x14ac:dyDescent="0.25">
      <c r="G355" s="4" t="s">
        <v>19169</v>
      </c>
      <c r="H355" s="4" t="s">
        <v>15833</v>
      </c>
      <c r="I355" s="4" t="s">
        <v>15833</v>
      </c>
      <c r="J355" s="4" t="s">
        <v>15833</v>
      </c>
    </row>
    <row r="356" spans="7:10" ht="20" x14ac:dyDescent="0.25">
      <c r="G356" s="4" t="s">
        <v>19169</v>
      </c>
      <c r="H356" s="4" t="s">
        <v>15833</v>
      </c>
      <c r="I356" s="4" t="s">
        <v>16309</v>
      </c>
      <c r="J356" s="4" t="s">
        <v>16309</v>
      </c>
    </row>
    <row r="357" spans="7:10" x14ac:dyDescent="0.25">
      <c r="G357" s="4" t="s">
        <v>19169</v>
      </c>
      <c r="H357" s="4" t="s">
        <v>15833</v>
      </c>
      <c r="I357" s="4" t="s">
        <v>19082</v>
      </c>
      <c r="J357" s="4" t="s">
        <v>12001</v>
      </c>
    </row>
    <row r="358" spans="7:10" x14ac:dyDescent="0.25">
      <c r="G358" s="4" t="s">
        <v>19169</v>
      </c>
      <c r="H358" s="4" t="s">
        <v>15833</v>
      </c>
      <c r="I358" s="4" t="s">
        <v>19082</v>
      </c>
      <c r="J358" s="4" t="s">
        <v>2761</v>
      </c>
    </row>
    <row r="359" spans="7:10" x14ac:dyDescent="0.25">
      <c r="G359" s="4" t="s">
        <v>19169</v>
      </c>
      <c r="H359" s="4" t="s">
        <v>15833</v>
      </c>
      <c r="I359" s="4" t="s">
        <v>19082</v>
      </c>
      <c r="J359" s="4" t="s">
        <v>3720</v>
      </c>
    </row>
    <row r="360" spans="7:10" x14ac:dyDescent="0.25">
      <c r="G360" s="4" t="s">
        <v>19169</v>
      </c>
      <c r="H360" s="4" t="s">
        <v>15833</v>
      </c>
      <c r="I360" s="4" t="s">
        <v>19082</v>
      </c>
      <c r="J360" s="4" t="s">
        <v>19082</v>
      </c>
    </row>
    <row r="361" spans="7:10" x14ac:dyDescent="0.25">
      <c r="G361" s="4" t="s">
        <v>19169</v>
      </c>
      <c r="H361" s="4" t="s">
        <v>15833</v>
      </c>
      <c r="I361" s="4" t="s">
        <v>477</v>
      </c>
      <c r="J361" s="4" t="s">
        <v>477</v>
      </c>
    </row>
    <row r="362" spans="7:10" x14ac:dyDescent="0.25">
      <c r="G362" s="4" t="s">
        <v>19169</v>
      </c>
      <c r="H362" s="4" t="s">
        <v>2253</v>
      </c>
      <c r="I362" s="4" t="s">
        <v>398</v>
      </c>
      <c r="J362" s="4" t="s">
        <v>398</v>
      </c>
    </row>
    <row r="363" spans="7:10" x14ac:dyDescent="0.25">
      <c r="G363" s="4" t="s">
        <v>19169</v>
      </c>
      <c r="H363" s="4" t="s">
        <v>2253</v>
      </c>
      <c r="I363" s="4" t="s">
        <v>10004</v>
      </c>
      <c r="J363" s="4" t="s">
        <v>10004</v>
      </c>
    </row>
    <row r="364" spans="7:10" x14ac:dyDescent="0.25">
      <c r="G364" s="4" t="s">
        <v>19169</v>
      </c>
      <c r="H364" s="4" t="s">
        <v>2253</v>
      </c>
      <c r="I364" s="4" t="s">
        <v>2253</v>
      </c>
      <c r="J364" s="4" t="s">
        <v>10139</v>
      </c>
    </row>
    <row r="365" spans="7:10" x14ac:dyDescent="0.25">
      <c r="G365" s="4" t="s">
        <v>19169</v>
      </c>
      <c r="H365" s="4" t="s">
        <v>2253</v>
      </c>
      <c r="I365" s="4" t="s">
        <v>2253</v>
      </c>
      <c r="J365" s="4" t="s">
        <v>11506</v>
      </c>
    </row>
    <row r="366" spans="7:10" x14ac:dyDescent="0.25">
      <c r="G366" s="4" t="s">
        <v>19169</v>
      </c>
      <c r="H366" s="4" t="s">
        <v>2253</v>
      </c>
      <c r="I366" s="4" t="s">
        <v>2253</v>
      </c>
      <c r="J366" s="4" t="s">
        <v>5696</v>
      </c>
    </row>
    <row r="367" spans="7:10" x14ac:dyDescent="0.25">
      <c r="G367" s="4" t="s">
        <v>19169</v>
      </c>
      <c r="H367" s="4" t="s">
        <v>2253</v>
      </c>
      <c r="I367" s="4" t="s">
        <v>2253</v>
      </c>
      <c r="J367" s="4" t="s">
        <v>15442</v>
      </c>
    </row>
    <row r="368" spans="7:10" x14ac:dyDescent="0.25">
      <c r="G368" s="4" t="s">
        <v>19169</v>
      </c>
      <c r="H368" s="4" t="s">
        <v>2253</v>
      </c>
      <c r="I368" s="4" t="s">
        <v>2253</v>
      </c>
      <c r="J368" s="4" t="s">
        <v>2253</v>
      </c>
    </row>
    <row r="369" spans="7:10" x14ac:dyDescent="0.25">
      <c r="G369" s="4" t="s">
        <v>18312</v>
      </c>
      <c r="H369" s="4" t="s">
        <v>11207</v>
      </c>
      <c r="I369" s="4" t="s">
        <v>18462</v>
      </c>
      <c r="J369" s="4" t="s">
        <v>6663</v>
      </c>
    </row>
    <row r="370" spans="7:10" x14ac:dyDescent="0.25">
      <c r="G370" s="4" t="s">
        <v>18312</v>
      </c>
      <c r="H370" s="4" t="s">
        <v>11207</v>
      </c>
      <c r="I370" s="4" t="s">
        <v>18462</v>
      </c>
      <c r="J370" s="4" t="s">
        <v>1337</v>
      </c>
    </row>
    <row r="371" spans="7:10" x14ac:dyDescent="0.25">
      <c r="G371" s="4" t="s">
        <v>18312</v>
      </c>
      <c r="H371" s="4" t="s">
        <v>11207</v>
      </c>
      <c r="I371" s="4" t="s">
        <v>18462</v>
      </c>
      <c r="J371" s="4" t="s">
        <v>18462</v>
      </c>
    </row>
    <row r="372" spans="7:10" ht="20" x14ac:dyDescent="0.25">
      <c r="G372" s="4" t="s">
        <v>18312</v>
      </c>
      <c r="H372" s="4" t="s">
        <v>11207</v>
      </c>
      <c r="I372" s="4" t="s">
        <v>18872</v>
      </c>
      <c r="J372" s="4" t="s">
        <v>12322</v>
      </c>
    </row>
    <row r="373" spans="7:10" ht="20" x14ac:dyDescent="0.25">
      <c r="G373" s="4" t="s">
        <v>18312</v>
      </c>
      <c r="H373" s="4" t="s">
        <v>11207</v>
      </c>
      <c r="I373" s="4" t="s">
        <v>18872</v>
      </c>
      <c r="J373" s="4" t="s">
        <v>18872</v>
      </c>
    </row>
    <row r="374" spans="7:10" ht="20" x14ac:dyDescent="0.25">
      <c r="G374" s="4" t="s">
        <v>18312</v>
      </c>
      <c r="H374" s="4" t="s">
        <v>11207</v>
      </c>
      <c r="I374" s="4" t="s">
        <v>18872</v>
      </c>
      <c r="J374" s="4" t="s">
        <v>4125</v>
      </c>
    </row>
    <row r="375" spans="7:10" ht="20" x14ac:dyDescent="0.25">
      <c r="G375" s="4" t="s">
        <v>18312</v>
      </c>
      <c r="H375" s="4" t="s">
        <v>11207</v>
      </c>
      <c r="I375" s="4" t="s">
        <v>18872</v>
      </c>
      <c r="J375" s="4" t="s">
        <v>11377</v>
      </c>
    </row>
    <row r="376" spans="7:10" ht="20" x14ac:dyDescent="0.25">
      <c r="G376" s="4" t="s">
        <v>18312</v>
      </c>
      <c r="H376" s="4" t="s">
        <v>656</v>
      </c>
      <c r="I376" s="4" t="s">
        <v>12693</v>
      </c>
      <c r="J376" s="4" t="s">
        <v>7315</v>
      </c>
    </row>
    <row r="377" spans="7:10" ht="20" x14ac:dyDescent="0.25">
      <c r="G377" s="4" t="s">
        <v>18312</v>
      </c>
      <c r="H377" s="4" t="s">
        <v>656</v>
      </c>
      <c r="I377" s="4" t="s">
        <v>12693</v>
      </c>
      <c r="J377" s="4" t="s">
        <v>9818</v>
      </c>
    </row>
    <row r="378" spans="7:10" ht="20" x14ac:dyDescent="0.25">
      <c r="G378" s="4" t="s">
        <v>18312</v>
      </c>
      <c r="H378" s="4" t="s">
        <v>656</v>
      </c>
      <c r="I378" s="4" t="s">
        <v>12693</v>
      </c>
      <c r="J378" s="4" t="s">
        <v>12693</v>
      </c>
    </row>
    <row r="379" spans="7:10" ht="20" x14ac:dyDescent="0.25">
      <c r="G379" s="4" t="s">
        <v>18312</v>
      </c>
      <c r="H379" s="4" t="s">
        <v>656</v>
      </c>
      <c r="I379" s="4" t="s">
        <v>12693</v>
      </c>
      <c r="J379" s="4" t="s">
        <v>8675</v>
      </c>
    </row>
    <row r="380" spans="7:10" ht="20" x14ac:dyDescent="0.25">
      <c r="G380" s="4" t="s">
        <v>18312</v>
      </c>
      <c r="H380" s="4" t="s">
        <v>656</v>
      </c>
      <c r="I380" s="4" t="s">
        <v>4134</v>
      </c>
      <c r="J380" s="4" t="s">
        <v>8061</v>
      </c>
    </row>
    <row r="381" spans="7:10" ht="20" x14ac:dyDescent="0.25">
      <c r="G381" s="4" t="s">
        <v>18312</v>
      </c>
      <c r="H381" s="4" t="s">
        <v>656</v>
      </c>
      <c r="I381" s="4" t="s">
        <v>4134</v>
      </c>
      <c r="J381" s="4" t="s">
        <v>10561</v>
      </c>
    </row>
    <row r="382" spans="7:10" ht="20" x14ac:dyDescent="0.25">
      <c r="G382" s="4" t="s">
        <v>18312</v>
      </c>
      <c r="H382" s="4" t="s">
        <v>656</v>
      </c>
      <c r="I382" s="4" t="s">
        <v>4134</v>
      </c>
      <c r="J382" s="4" t="s">
        <v>4134</v>
      </c>
    </row>
    <row r="383" spans="7:10" x14ac:dyDescent="0.25">
      <c r="G383" s="4" t="s">
        <v>18312</v>
      </c>
      <c r="H383" s="4" t="s">
        <v>8120</v>
      </c>
      <c r="I383" s="4" t="s">
        <v>3773</v>
      </c>
      <c r="J383" s="4" t="s">
        <v>3773</v>
      </c>
    </row>
    <row r="384" spans="7:10" x14ac:dyDescent="0.25">
      <c r="G384" s="4" t="s">
        <v>18312</v>
      </c>
      <c r="H384" s="4" t="s">
        <v>8120</v>
      </c>
      <c r="I384" s="4" t="s">
        <v>8120</v>
      </c>
      <c r="J384" s="4" t="s">
        <v>1736</v>
      </c>
    </row>
    <row r="385" spans="7:10" x14ac:dyDescent="0.25">
      <c r="G385" s="4" t="s">
        <v>18312</v>
      </c>
      <c r="H385" s="4" t="s">
        <v>8120</v>
      </c>
      <c r="I385" s="4" t="s">
        <v>8120</v>
      </c>
      <c r="J385" s="4" t="s">
        <v>8120</v>
      </c>
    </row>
    <row r="386" spans="7:10" x14ac:dyDescent="0.25">
      <c r="G386" s="4" t="s">
        <v>18312</v>
      </c>
      <c r="H386" s="4" t="s">
        <v>8120</v>
      </c>
      <c r="I386" s="4" t="s">
        <v>2787</v>
      </c>
      <c r="J386" s="4" t="s">
        <v>12008</v>
      </c>
    </row>
    <row r="387" spans="7:10" x14ac:dyDescent="0.25">
      <c r="G387" s="4" t="s">
        <v>18312</v>
      </c>
      <c r="H387" s="4" t="s">
        <v>8120</v>
      </c>
      <c r="I387" s="4" t="s">
        <v>2787</v>
      </c>
      <c r="J387" s="4" t="s">
        <v>2787</v>
      </c>
    </row>
    <row r="388" spans="7:10" x14ac:dyDescent="0.25">
      <c r="G388" s="4"/>
      <c r="H388" s="4"/>
      <c r="I388" s="4"/>
      <c r="J388" s="4"/>
    </row>
    <row r="389" spans="7:10" x14ac:dyDescent="0.25">
      <c r="G389" s="4"/>
      <c r="H389" s="4"/>
      <c r="I389" s="4"/>
      <c r="J389" s="4"/>
    </row>
    <row r="390" spans="7:10" x14ac:dyDescent="0.25">
      <c r="G390" s="4"/>
      <c r="H390" s="4"/>
      <c r="I390" s="4"/>
      <c r="J390" s="4"/>
    </row>
    <row r="391" spans="7:10" x14ac:dyDescent="0.25">
      <c r="G391" s="4"/>
      <c r="H391" s="4"/>
      <c r="I391" s="4"/>
      <c r="J391" s="4"/>
    </row>
    <row r="392" spans="7:10" x14ac:dyDescent="0.25">
      <c r="G392" s="4"/>
      <c r="H392" s="4"/>
      <c r="I392" s="4"/>
      <c r="J392" s="4"/>
    </row>
    <row r="393" spans="7:10" x14ac:dyDescent="0.25">
      <c r="G393" s="4"/>
      <c r="H393" s="4"/>
      <c r="I393" s="4"/>
      <c r="J393" s="4"/>
    </row>
    <row r="394" spans="7:10" x14ac:dyDescent="0.25">
      <c r="G394" s="4"/>
      <c r="H394" s="4"/>
      <c r="I394" s="4"/>
      <c r="J394" s="4"/>
    </row>
    <row r="395" spans="7:10" x14ac:dyDescent="0.25">
      <c r="G395" s="4"/>
      <c r="H395" s="4"/>
      <c r="I395" s="4"/>
      <c r="J395" s="4"/>
    </row>
    <row r="396" spans="7:10" x14ac:dyDescent="0.25">
      <c r="G396" s="4"/>
      <c r="H396" s="4"/>
      <c r="I396" s="4"/>
      <c r="J396" s="4"/>
    </row>
    <row r="397" spans="7:10" x14ac:dyDescent="0.25">
      <c r="G397" s="4"/>
      <c r="H397" s="4"/>
      <c r="I397" s="4"/>
      <c r="J397" s="4"/>
    </row>
    <row r="398" spans="7:10" x14ac:dyDescent="0.25">
      <c r="G398" s="4"/>
      <c r="H398" s="4"/>
      <c r="I398" s="4"/>
      <c r="J398" s="4"/>
    </row>
    <row r="399" spans="7:10" x14ac:dyDescent="0.25">
      <c r="G399" s="4"/>
      <c r="H399" s="4"/>
      <c r="I399" s="4"/>
      <c r="J399" s="4"/>
    </row>
    <row r="400" spans="7:10" x14ac:dyDescent="0.25">
      <c r="G400" s="4"/>
      <c r="H400" s="4"/>
      <c r="I400" s="4"/>
      <c r="J400" s="4"/>
    </row>
    <row r="401" spans="7:10" x14ac:dyDescent="0.25">
      <c r="G401" s="4"/>
      <c r="H401" s="4"/>
      <c r="I401" s="4"/>
      <c r="J401" s="4"/>
    </row>
    <row r="402" spans="7:10" x14ac:dyDescent="0.25">
      <c r="G402" s="4"/>
      <c r="H402" s="4"/>
      <c r="I402" s="4"/>
      <c r="J402" s="4"/>
    </row>
    <row r="403" spans="7:10" x14ac:dyDescent="0.25">
      <c r="G403" s="4"/>
      <c r="H403" s="4"/>
      <c r="I403" s="4"/>
      <c r="J403" s="4"/>
    </row>
    <row r="404" spans="7:10" x14ac:dyDescent="0.25">
      <c r="G404" s="4"/>
      <c r="H404" s="4"/>
      <c r="I404" s="4"/>
      <c r="J404" s="4"/>
    </row>
    <row r="405" spans="7:10" x14ac:dyDescent="0.25">
      <c r="G405" s="4"/>
      <c r="H405" s="4"/>
      <c r="I405" s="4"/>
      <c r="J405" s="4"/>
    </row>
    <row r="406" spans="7:10" x14ac:dyDescent="0.25">
      <c r="G406" s="4"/>
      <c r="H406" s="4"/>
      <c r="I406" s="4"/>
      <c r="J406" s="4"/>
    </row>
    <row r="407" spans="7:10" x14ac:dyDescent="0.25">
      <c r="G407" s="4"/>
      <c r="H407" s="4"/>
      <c r="I407" s="4"/>
      <c r="J407" s="4"/>
    </row>
    <row r="408" spans="7:10" x14ac:dyDescent="0.25">
      <c r="G408" s="4"/>
      <c r="H408" s="4"/>
      <c r="I408" s="4"/>
      <c r="J408" s="4"/>
    </row>
    <row r="409" spans="7:10" x14ac:dyDescent="0.25">
      <c r="G409" s="4"/>
      <c r="H409" s="4"/>
      <c r="I409" s="4"/>
      <c r="J409" s="4"/>
    </row>
    <row r="410" spans="7:10" x14ac:dyDescent="0.25">
      <c r="G410" s="4"/>
      <c r="H410" s="4"/>
      <c r="I410" s="4"/>
      <c r="J410" s="4"/>
    </row>
    <row r="411" spans="7:10" x14ac:dyDescent="0.25">
      <c r="G411" s="4"/>
      <c r="H411" s="4"/>
      <c r="I411" s="4"/>
      <c r="J411" s="4"/>
    </row>
    <row r="412" spans="7:10" x14ac:dyDescent="0.25">
      <c r="G412" s="4"/>
      <c r="H412" s="4"/>
      <c r="I412" s="4"/>
      <c r="J412" s="4"/>
    </row>
    <row r="413" spans="7:10" x14ac:dyDescent="0.25">
      <c r="G413" s="4"/>
      <c r="H413" s="4"/>
      <c r="I413" s="4"/>
      <c r="J413" s="4"/>
    </row>
    <row r="414" spans="7:10" x14ac:dyDescent="0.25">
      <c r="G414" s="4"/>
      <c r="H414" s="4"/>
      <c r="I414" s="4"/>
      <c r="J414" s="4"/>
    </row>
    <row r="415" spans="7:10" x14ac:dyDescent="0.25">
      <c r="G415" s="4"/>
      <c r="H415" s="4"/>
      <c r="I415" s="4"/>
      <c r="J415" s="4"/>
    </row>
    <row r="416" spans="7:10" x14ac:dyDescent="0.25">
      <c r="G416" s="4"/>
      <c r="H416" s="4"/>
      <c r="I416" s="4"/>
      <c r="J416" s="4"/>
    </row>
    <row r="417" spans="7:10" x14ac:dyDescent="0.25">
      <c r="G417" s="4"/>
      <c r="H417" s="4"/>
      <c r="I417" s="4"/>
      <c r="J417" s="4"/>
    </row>
    <row r="418" spans="7:10" x14ac:dyDescent="0.25">
      <c r="G418" s="4"/>
      <c r="H418" s="4"/>
      <c r="I418" s="4"/>
      <c r="J418" s="4"/>
    </row>
    <row r="419" spans="7:10" x14ac:dyDescent="0.25">
      <c r="G419" s="4"/>
      <c r="H419" s="4"/>
      <c r="I419" s="4"/>
      <c r="J419" s="4"/>
    </row>
    <row r="420" spans="7:10" x14ac:dyDescent="0.25">
      <c r="G420" s="4"/>
      <c r="H420" s="4"/>
      <c r="I420" s="4"/>
      <c r="J420" s="4"/>
    </row>
    <row r="421" spans="7:10" x14ac:dyDescent="0.25">
      <c r="G421" s="4"/>
      <c r="H421" s="4"/>
      <c r="I421" s="4"/>
      <c r="J421" s="4"/>
    </row>
    <row r="422" spans="7:10" x14ac:dyDescent="0.25">
      <c r="G422" s="4"/>
      <c r="H422" s="4"/>
      <c r="I422" s="4"/>
      <c r="J422" s="4"/>
    </row>
    <row r="423" spans="7:10" x14ac:dyDescent="0.25">
      <c r="G423" s="4"/>
      <c r="H423" s="4"/>
      <c r="I423" s="4"/>
      <c r="J423" s="4"/>
    </row>
    <row r="424" spans="7:10" x14ac:dyDescent="0.25">
      <c r="G424" s="4"/>
      <c r="H424" s="4"/>
      <c r="I424" s="4"/>
      <c r="J424" s="4"/>
    </row>
    <row r="425" spans="7:10" x14ac:dyDescent="0.25">
      <c r="G425" s="4"/>
      <c r="H425" s="4"/>
      <c r="I425" s="4"/>
      <c r="J425" s="4"/>
    </row>
    <row r="426" spans="7:10" x14ac:dyDescent="0.25">
      <c r="G426" s="4"/>
      <c r="H426" s="4"/>
      <c r="I426" s="4"/>
      <c r="J426" s="4"/>
    </row>
    <row r="427" spans="7:10" x14ac:dyDescent="0.25">
      <c r="G427" s="4"/>
      <c r="H427" s="4"/>
      <c r="I427" s="4"/>
      <c r="J427" s="4"/>
    </row>
    <row r="428" spans="7:10" x14ac:dyDescent="0.25">
      <c r="G428" s="4"/>
      <c r="H428" s="4"/>
      <c r="I428" s="4"/>
      <c r="J428" s="4"/>
    </row>
    <row r="429" spans="7:10" x14ac:dyDescent="0.25">
      <c r="G429" s="4"/>
      <c r="H429" s="4"/>
      <c r="I429" s="4"/>
      <c r="J429" s="4"/>
    </row>
    <row r="430" spans="7:10" x14ac:dyDescent="0.25">
      <c r="G430" s="4"/>
      <c r="H430" s="4"/>
      <c r="I430" s="4"/>
      <c r="J430" s="4"/>
    </row>
    <row r="431" spans="7:10" x14ac:dyDescent="0.25">
      <c r="G431" s="4"/>
      <c r="H431" s="4"/>
      <c r="I431" s="4"/>
      <c r="J431" s="4"/>
    </row>
    <row r="432" spans="7:10" x14ac:dyDescent="0.25">
      <c r="G432" s="4"/>
      <c r="H432" s="4"/>
      <c r="I432" s="4"/>
      <c r="J432" s="4"/>
    </row>
    <row r="433" spans="7:10" x14ac:dyDescent="0.25">
      <c r="G433" s="4"/>
      <c r="H433" s="4"/>
      <c r="I433" s="4"/>
      <c r="J433" s="4"/>
    </row>
    <row r="434" spans="7:10" x14ac:dyDescent="0.25">
      <c r="G434" s="4"/>
      <c r="H434" s="4"/>
      <c r="I434" s="4"/>
      <c r="J434" s="4"/>
    </row>
    <row r="435" spans="7:10" x14ac:dyDescent="0.25">
      <c r="G435" s="4"/>
      <c r="H435" s="4"/>
      <c r="I435" s="4"/>
      <c r="J435" s="4"/>
    </row>
    <row r="436" spans="7:10" x14ac:dyDescent="0.25">
      <c r="G436" s="4"/>
      <c r="H436" s="4"/>
      <c r="I436" s="4"/>
      <c r="J436" s="4"/>
    </row>
    <row r="437" spans="7:10" x14ac:dyDescent="0.25">
      <c r="G437" s="4"/>
      <c r="H437" s="4"/>
      <c r="I437" s="4"/>
      <c r="J437" s="4"/>
    </row>
    <row r="438" spans="7:10" x14ac:dyDescent="0.25">
      <c r="G438" s="4"/>
      <c r="H438" s="4"/>
      <c r="I438" s="4"/>
      <c r="J438" s="4"/>
    </row>
    <row r="439" spans="7:10" x14ac:dyDescent="0.25">
      <c r="G439" s="4"/>
      <c r="H439" s="4"/>
      <c r="I439" s="4"/>
      <c r="J439" s="4"/>
    </row>
    <row r="440" spans="7:10" x14ac:dyDescent="0.25">
      <c r="G440" s="4"/>
      <c r="H440" s="4"/>
      <c r="I440" s="4"/>
      <c r="J440" s="4"/>
    </row>
    <row r="441" spans="7:10" x14ac:dyDescent="0.25">
      <c r="G441" s="4"/>
      <c r="H441" s="4"/>
      <c r="I441" s="4"/>
      <c r="J441" s="4"/>
    </row>
    <row r="442" spans="7:10" x14ac:dyDescent="0.25">
      <c r="G442" s="4"/>
      <c r="H442" s="4"/>
      <c r="I442" s="4"/>
      <c r="J442" s="4"/>
    </row>
    <row r="443" spans="7:10" x14ac:dyDescent="0.25">
      <c r="G443" s="4"/>
      <c r="H443" s="4"/>
      <c r="I443" s="4"/>
      <c r="J443" s="4"/>
    </row>
    <row r="444" spans="7:10" x14ac:dyDescent="0.25">
      <c r="G444" s="4"/>
      <c r="H444" s="4"/>
      <c r="I444" s="4"/>
      <c r="J444" s="4"/>
    </row>
    <row r="445" spans="7:10" x14ac:dyDescent="0.25">
      <c r="G445" s="4"/>
      <c r="H445" s="4"/>
      <c r="I445" s="4"/>
      <c r="J445" s="4"/>
    </row>
    <row r="446" spans="7:10" x14ac:dyDescent="0.25">
      <c r="G446" s="4"/>
      <c r="H446" s="4"/>
      <c r="I446" s="4"/>
      <c r="J446" s="4"/>
    </row>
    <row r="447" spans="7:10" x14ac:dyDescent="0.25">
      <c r="G447" s="4"/>
      <c r="H447" s="4"/>
      <c r="I447" s="4"/>
      <c r="J447" s="4"/>
    </row>
    <row r="448" spans="7:10" x14ac:dyDescent="0.25">
      <c r="G448" s="4"/>
      <c r="H448" s="4"/>
      <c r="I448" s="4"/>
      <c r="J448" s="4"/>
    </row>
    <row r="449" spans="7:10" x14ac:dyDescent="0.25">
      <c r="G449" s="4"/>
      <c r="H449" s="4"/>
      <c r="I449" s="4"/>
      <c r="J449" s="4"/>
    </row>
    <row r="450" spans="7:10" x14ac:dyDescent="0.25">
      <c r="G450" s="4"/>
      <c r="H450" s="4"/>
      <c r="I450" s="4"/>
      <c r="J450" s="4"/>
    </row>
    <row r="451" spans="7:10" x14ac:dyDescent="0.25">
      <c r="G451" s="4"/>
      <c r="H451" s="4"/>
      <c r="I451" s="4"/>
      <c r="J451" s="4"/>
    </row>
    <row r="452" spans="7:10" x14ac:dyDescent="0.25">
      <c r="G452" s="4"/>
      <c r="H452" s="4"/>
      <c r="I452" s="4"/>
      <c r="J452" s="4"/>
    </row>
    <row r="453" spans="7:10" x14ac:dyDescent="0.25">
      <c r="G453" s="4"/>
      <c r="H453" s="4"/>
      <c r="I453" s="4"/>
      <c r="J453" s="4"/>
    </row>
    <row r="454" spans="7:10" x14ac:dyDescent="0.25">
      <c r="G454" s="4"/>
      <c r="H454" s="4"/>
      <c r="I454" s="4"/>
      <c r="J454" s="4"/>
    </row>
    <row r="455" spans="7:10" x14ac:dyDescent="0.25">
      <c r="G455" s="4"/>
      <c r="H455" s="4"/>
      <c r="I455" s="4"/>
      <c r="J455" s="4"/>
    </row>
    <row r="456" spans="7:10" x14ac:dyDescent="0.25">
      <c r="G456" s="4"/>
      <c r="H456" s="4"/>
      <c r="I456" s="4"/>
      <c r="J456" s="4"/>
    </row>
    <row r="457" spans="7:10" x14ac:dyDescent="0.25">
      <c r="G457" s="4"/>
      <c r="H457" s="4"/>
      <c r="I457" s="4"/>
      <c r="J457" s="4"/>
    </row>
    <row r="458" spans="7:10" x14ac:dyDescent="0.25">
      <c r="G458" s="4"/>
      <c r="H458" s="4"/>
      <c r="I458" s="4"/>
      <c r="J458" s="4"/>
    </row>
    <row r="459" spans="7:10" x14ac:dyDescent="0.25">
      <c r="G459" s="4"/>
      <c r="H459" s="4"/>
      <c r="I459" s="4"/>
      <c r="J459" s="4"/>
    </row>
    <row r="460" spans="7:10" x14ac:dyDescent="0.25">
      <c r="G460" s="4"/>
      <c r="H460" s="4"/>
      <c r="I460" s="4"/>
      <c r="J460" s="4"/>
    </row>
    <row r="461" spans="7:10" x14ac:dyDescent="0.25">
      <c r="G461" s="4"/>
      <c r="H461" s="4"/>
      <c r="I461" s="4"/>
      <c r="J461" s="4"/>
    </row>
    <row r="462" spans="7:10" x14ac:dyDescent="0.25">
      <c r="G462" s="4"/>
      <c r="H462" s="4"/>
      <c r="I462" s="4"/>
      <c r="J462" s="4"/>
    </row>
    <row r="463" spans="7:10" x14ac:dyDescent="0.25">
      <c r="G463" s="4"/>
      <c r="H463" s="4"/>
      <c r="I463" s="4"/>
      <c r="J463" s="4"/>
    </row>
    <row r="464" spans="7:10" x14ac:dyDescent="0.25">
      <c r="G464" s="4"/>
      <c r="H464" s="4"/>
      <c r="I464" s="4"/>
      <c r="J464" s="4"/>
    </row>
    <row r="465" spans="7:10" x14ac:dyDescent="0.25">
      <c r="G465" s="4"/>
      <c r="H465" s="4"/>
      <c r="I465" s="4"/>
      <c r="J465" s="4"/>
    </row>
    <row r="466" spans="7:10" x14ac:dyDescent="0.25">
      <c r="G466" s="4"/>
      <c r="H466" s="4"/>
      <c r="I466" s="4"/>
      <c r="J466" s="4"/>
    </row>
    <row r="467" spans="7:10" x14ac:dyDescent="0.25">
      <c r="G467" s="4"/>
      <c r="H467" s="4"/>
      <c r="I467" s="4"/>
      <c r="J467" s="4"/>
    </row>
    <row r="468" spans="7:10" x14ac:dyDescent="0.25">
      <c r="G468" s="4"/>
      <c r="H468" s="4"/>
      <c r="I468" s="4"/>
      <c r="J468" s="4"/>
    </row>
    <row r="469" spans="7:10" x14ac:dyDescent="0.25">
      <c r="G469" s="4"/>
      <c r="H469" s="4"/>
      <c r="I469" s="4"/>
      <c r="J469" s="4"/>
    </row>
    <row r="470" spans="7:10" x14ac:dyDescent="0.25">
      <c r="G470" s="4"/>
      <c r="H470" s="4"/>
      <c r="I470" s="4"/>
      <c r="J470" s="4"/>
    </row>
    <row r="471" spans="7:10" x14ac:dyDescent="0.25">
      <c r="G471" s="4"/>
      <c r="H471" s="4"/>
      <c r="I471" s="4"/>
      <c r="J471" s="4"/>
    </row>
    <row r="472" spans="7:10" x14ac:dyDescent="0.25">
      <c r="G472" s="4"/>
      <c r="H472" s="4"/>
      <c r="I472" s="4"/>
      <c r="J472" s="4"/>
    </row>
    <row r="473" spans="7:10" x14ac:dyDescent="0.25">
      <c r="G473" s="4"/>
      <c r="H473" s="4"/>
      <c r="I473" s="4"/>
      <c r="J473" s="4"/>
    </row>
    <row r="474" spans="7:10" x14ac:dyDescent="0.25">
      <c r="G474" s="4"/>
      <c r="H474" s="4"/>
      <c r="I474" s="4"/>
      <c r="J474" s="4"/>
    </row>
    <row r="475" spans="7:10" x14ac:dyDescent="0.25">
      <c r="G475" s="4"/>
      <c r="H475" s="4"/>
      <c r="I475" s="4"/>
      <c r="J475" s="4"/>
    </row>
    <row r="476" spans="7:10" x14ac:dyDescent="0.25">
      <c r="G476" s="4"/>
      <c r="H476" s="4"/>
      <c r="I476" s="4"/>
      <c r="J476" s="4"/>
    </row>
    <row r="477" spans="7:10" x14ac:dyDescent="0.25">
      <c r="G477" s="4"/>
      <c r="H477" s="4"/>
      <c r="I477" s="4"/>
      <c r="J477" s="4"/>
    </row>
    <row r="478" spans="7:10" x14ac:dyDescent="0.25">
      <c r="G478" s="4"/>
      <c r="H478" s="4"/>
      <c r="I478" s="4"/>
      <c r="J478" s="4"/>
    </row>
    <row r="479" spans="7:10" x14ac:dyDescent="0.25">
      <c r="G479" s="4"/>
      <c r="H479" s="4"/>
      <c r="I479" s="4"/>
      <c r="J479" s="4"/>
    </row>
    <row r="480" spans="7:10" x14ac:dyDescent="0.25">
      <c r="G480" s="4"/>
      <c r="H480" s="4"/>
      <c r="I480" s="4"/>
      <c r="J480" s="4"/>
    </row>
    <row r="481" spans="7:10" x14ac:dyDescent="0.25">
      <c r="G481" s="4"/>
      <c r="H481" s="4"/>
      <c r="I481" s="4"/>
      <c r="J481" s="4"/>
    </row>
    <row r="482" spans="7:10" x14ac:dyDescent="0.25">
      <c r="G482" s="4"/>
      <c r="H482" s="4"/>
      <c r="I482" s="4"/>
      <c r="J482" s="4"/>
    </row>
    <row r="483" spans="7:10" x14ac:dyDescent="0.25">
      <c r="G483" s="4"/>
      <c r="H483" s="4"/>
      <c r="I483" s="4"/>
      <c r="J483" s="4"/>
    </row>
    <row r="484" spans="7:10" x14ac:dyDescent="0.25">
      <c r="G484" s="4"/>
      <c r="H484" s="4"/>
      <c r="I484" s="4"/>
      <c r="J484" s="4"/>
    </row>
    <row r="485" spans="7:10" x14ac:dyDescent="0.25">
      <c r="G485" s="4"/>
      <c r="H485" s="4"/>
      <c r="I485" s="4"/>
      <c r="J485" s="4"/>
    </row>
    <row r="486" spans="7:10" x14ac:dyDescent="0.25">
      <c r="G486" s="4"/>
      <c r="H486" s="4"/>
      <c r="I486" s="4"/>
      <c r="J486" s="4"/>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522"/>
  <sheetViews>
    <sheetView topLeftCell="A18498" zoomScale="165" zoomScaleNormal="165" workbookViewId="0">
      <selection activeCell="B18522" sqref="B18522"/>
    </sheetView>
  </sheetViews>
  <sheetFormatPr defaultColWidth="9.1796875" defaultRowHeight="14.5" x14ac:dyDescent="0.35"/>
  <cols>
    <col min="1" max="1" width="10.7265625" style="23" customWidth="1"/>
    <col min="2" max="2" width="71.81640625" style="24" customWidth="1"/>
  </cols>
  <sheetData>
    <row r="1" spans="1:2" x14ac:dyDescent="0.35">
      <c r="A1" s="34">
        <v>10101501</v>
      </c>
      <c r="B1" s="35" t="s">
        <v>14132</v>
      </c>
    </row>
    <row r="2" spans="1:2" x14ac:dyDescent="0.35">
      <c r="A2" s="34">
        <v>10101502</v>
      </c>
      <c r="B2" s="35" t="s">
        <v>16328</v>
      </c>
    </row>
    <row r="3" spans="1:2" x14ac:dyDescent="0.35">
      <c r="A3" s="34">
        <v>10101504</v>
      </c>
      <c r="B3" s="35" t="s">
        <v>6498</v>
      </c>
    </row>
    <row r="4" spans="1:2" x14ac:dyDescent="0.35">
      <c r="A4" s="34">
        <v>10101505</v>
      </c>
      <c r="B4" s="35" t="s">
        <v>6363</v>
      </c>
    </row>
    <row r="5" spans="1:2" x14ac:dyDescent="0.35">
      <c r="A5" s="34">
        <v>10101506</v>
      </c>
      <c r="B5" s="35" t="s">
        <v>12807</v>
      </c>
    </row>
    <row r="6" spans="1:2" x14ac:dyDescent="0.35">
      <c r="A6" s="34">
        <v>10101507</v>
      </c>
      <c r="B6" s="35" t="s">
        <v>11064</v>
      </c>
    </row>
    <row r="7" spans="1:2" x14ac:dyDescent="0.35">
      <c r="A7" s="34">
        <v>10101508</v>
      </c>
      <c r="B7" s="35" t="s">
        <v>4044</v>
      </c>
    </row>
    <row r="8" spans="1:2" x14ac:dyDescent="0.35">
      <c r="A8" s="34">
        <v>10101509</v>
      </c>
      <c r="B8" s="35" t="s">
        <v>8773</v>
      </c>
    </row>
    <row r="9" spans="1:2" x14ac:dyDescent="0.35">
      <c r="A9" s="34">
        <v>10101510</v>
      </c>
      <c r="B9" s="35" t="s">
        <v>4085</v>
      </c>
    </row>
    <row r="10" spans="1:2" x14ac:dyDescent="0.35">
      <c r="A10" s="34">
        <v>10101511</v>
      </c>
      <c r="B10" s="35" t="s">
        <v>996</v>
      </c>
    </row>
    <row r="11" spans="1:2" x14ac:dyDescent="0.35">
      <c r="A11" s="34">
        <v>10101512</v>
      </c>
      <c r="B11" s="35" t="s">
        <v>10412</v>
      </c>
    </row>
    <row r="12" spans="1:2" x14ac:dyDescent="0.35">
      <c r="A12" s="34">
        <v>10101513</v>
      </c>
      <c r="B12" s="35" t="s">
        <v>6245</v>
      </c>
    </row>
    <row r="13" spans="1:2" x14ac:dyDescent="0.35">
      <c r="A13" s="34">
        <v>10101514</v>
      </c>
      <c r="B13" s="35" t="s">
        <v>16455</v>
      </c>
    </row>
    <row r="14" spans="1:2" x14ac:dyDescent="0.35">
      <c r="A14" s="34">
        <v>10101515</v>
      </c>
      <c r="B14" s="35" t="s">
        <v>6265</v>
      </c>
    </row>
    <row r="15" spans="1:2" x14ac:dyDescent="0.35">
      <c r="A15" s="34">
        <v>10101516</v>
      </c>
      <c r="B15" s="35" t="s">
        <v>6862</v>
      </c>
    </row>
    <row r="16" spans="1:2" x14ac:dyDescent="0.35">
      <c r="A16" s="34">
        <v>10101517</v>
      </c>
      <c r="B16" s="35" t="s">
        <v>14275</v>
      </c>
    </row>
    <row r="17" spans="1:2" x14ac:dyDescent="0.35">
      <c r="A17" s="34">
        <v>10101601</v>
      </c>
      <c r="B17" s="35" t="s">
        <v>5809</v>
      </c>
    </row>
    <row r="18" spans="1:2" x14ac:dyDescent="0.35">
      <c r="A18" s="34">
        <v>10101602</v>
      </c>
      <c r="B18" s="35" t="s">
        <v>8872</v>
      </c>
    </row>
    <row r="19" spans="1:2" x14ac:dyDescent="0.35">
      <c r="A19" s="34">
        <v>10101603</v>
      </c>
      <c r="B19" s="35" t="s">
        <v>13259</v>
      </c>
    </row>
    <row r="20" spans="1:2" x14ac:dyDescent="0.35">
      <c r="A20" s="34">
        <v>10101604</v>
      </c>
      <c r="B20" s="35" t="s">
        <v>9585</v>
      </c>
    </row>
    <row r="21" spans="1:2" x14ac:dyDescent="0.35">
      <c r="A21" s="34">
        <v>10101605</v>
      </c>
      <c r="B21" s="35" t="s">
        <v>6181</v>
      </c>
    </row>
    <row r="22" spans="1:2" x14ac:dyDescent="0.35">
      <c r="A22" s="34">
        <v>10101701</v>
      </c>
      <c r="B22" s="35" t="s">
        <v>1003</v>
      </c>
    </row>
    <row r="23" spans="1:2" x14ac:dyDescent="0.35">
      <c r="A23" s="34">
        <v>10101702</v>
      </c>
      <c r="B23" s="35" t="s">
        <v>6773</v>
      </c>
    </row>
    <row r="24" spans="1:2" x14ac:dyDescent="0.35">
      <c r="A24" s="34">
        <v>10101703</v>
      </c>
      <c r="B24" s="35" t="s">
        <v>4504</v>
      </c>
    </row>
    <row r="25" spans="1:2" x14ac:dyDescent="0.35">
      <c r="A25" s="34">
        <v>10101704</v>
      </c>
      <c r="B25" s="35" t="s">
        <v>2005</v>
      </c>
    </row>
    <row r="26" spans="1:2" x14ac:dyDescent="0.35">
      <c r="A26" s="34">
        <v>10101705</v>
      </c>
      <c r="B26" s="35" t="s">
        <v>4206</v>
      </c>
    </row>
    <row r="27" spans="1:2" x14ac:dyDescent="0.35">
      <c r="A27" s="34">
        <v>10101801</v>
      </c>
      <c r="B27" s="35" t="s">
        <v>16403</v>
      </c>
    </row>
    <row r="28" spans="1:2" x14ac:dyDescent="0.35">
      <c r="A28" s="34">
        <v>10101802</v>
      </c>
      <c r="B28" s="35" t="s">
        <v>14852</v>
      </c>
    </row>
    <row r="29" spans="1:2" x14ac:dyDescent="0.35">
      <c r="A29" s="34">
        <v>10101803</v>
      </c>
      <c r="B29" s="35" t="s">
        <v>15340</v>
      </c>
    </row>
    <row r="30" spans="1:2" x14ac:dyDescent="0.35">
      <c r="A30" s="34">
        <v>10101804</v>
      </c>
      <c r="B30" s="35" t="s">
        <v>17213</v>
      </c>
    </row>
    <row r="31" spans="1:2" x14ac:dyDescent="0.35">
      <c r="A31" s="34">
        <v>10101805</v>
      </c>
      <c r="B31" s="35" t="s">
        <v>8143</v>
      </c>
    </row>
    <row r="32" spans="1:2" x14ac:dyDescent="0.35">
      <c r="A32" s="34">
        <v>10101806</v>
      </c>
      <c r="B32" s="35" t="s">
        <v>16219</v>
      </c>
    </row>
    <row r="33" spans="1:2" x14ac:dyDescent="0.35">
      <c r="A33" s="34">
        <v>10101807</v>
      </c>
      <c r="B33" s="35" t="s">
        <v>11222</v>
      </c>
    </row>
    <row r="34" spans="1:2" x14ac:dyDescent="0.35">
      <c r="A34" s="34">
        <v>10101808</v>
      </c>
      <c r="B34" s="35" t="s">
        <v>7779</v>
      </c>
    </row>
    <row r="35" spans="1:2" x14ac:dyDescent="0.35">
      <c r="A35" s="34">
        <v>10101901</v>
      </c>
      <c r="B35" s="35" t="s">
        <v>10617</v>
      </c>
    </row>
    <row r="36" spans="1:2" x14ac:dyDescent="0.35">
      <c r="A36" s="34">
        <v>10101902</v>
      </c>
      <c r="B36" s="35" t="s">
        <v>14802</v>
      </c>
    </row>
    <row r="37" spans="1:2" x14ac:dyDescent="0.35">
      <c r="A37" s="34">
        <v>10101903</v>
      </c>
      <c r="B37" s="35" t="s">
        <v>8725</v>
      </c>
    </row>
    <row r="38" spans="1:2" x14ac:dyDescent="0.35">
      <c r="A38" s="34">
        <v>10101904</v>
      </c>
      <c r="B38" s="35" t="s">
        <v>17128</v>
      </c>
    </row>
    <row r="39" spans="1:2" x14ac:dyDescent="0.35">
      <c r="A39" s="34">
        <v>10102001</v>
      </c>
      <c r="B39" s="35" t="s">
        <v>10219</v>
      </c>
    </row>
    <row r="40" spans="1:2" x14ac:dyDescent="0.35">
      <c r="A40" s="34">
        <v>10102002</v>
      </c>
      <c r="B40" s="35" t="s">
        <v>4783</v>
      </c>
    </row>
    <row r="41" spans="1:2" x14ac:dyDescent="0.35">
      <c r="A41" s="34">
        <v>10111301</v>
      </c>
      <c r="B41" s="35" t="s">
        <v>18170</v>
      </c>
    </row>
    <row r="42" spans="1:2" x14ac:dyDescent="0.35">
      <c r="A42" s="34">
        <v>10111302</v>
      </c>
      <c r="B42" s="35" t="s">
        <v>17860</v>
      </c>
    </row>
    <row r="43" spans="1:2" x14ac:dyDescent="0.35">
      <c r="A43" s="34">
        <v>10111303</v>
      </c>
      <c r="B43" s="35" t="s">
        <v>12770</v>
      </c>
    </row>
    <row r="44" spans="1:2" x14ac:dyDescent="0.35">
      <c r="A44" s="34">
        <v>10111304</v>
      </c>
      <c r="B44" s="35" t="s">
        <v>8064</v>
      </c>
    </row>
    <row r="45" spans="1:2" x14ac:dyDescent="0.35">
      <c r="A45" s="34">
        <v>10111305</v>
      </c>
      <c r="B45" s="35" t="s">
        <v>17515</v>
      </c>
    </row>
    <row r="46" spans="1:2" x14ac:dyDescent="0.35">
      <c r="A46" s="34">
        <v>10111306</v>
      </c>
      <c r="B46" s="35" t="s">
        <v>19099</v>
      </c>
    </row>
    <row r="47" spans="1:2" x14ac:dyDescent="0.35">
      <c r="A47" s="34">
        <v>10111307</v>
      </c>
      <c r="B47" s="35" t="s">
        <v>12023</v>
      </c>
    </row>
    <row r="48" spans="1:2" x14ac:dyDescent="0.35">
      <c r="A48" s="34">
        <v>10121501</v>
      </c>
      <c r="B48" s="35" t="s">
        <v>6565</v>
      </c>
    </row>
    <row r="49" spans="1:2" x14ac:dyDescent="0.35">
      <c r="A49" s="34">
        <v>10121502</v>
      </c>
      <c r="B49" s="35" t="s">
        <v>17079</v>
      </c>
    </row>
    <row r="50" spans="1:2" x14ac:dyDescent="0.35">
      <c r="A50" s="34">
        <v>10121503</v>
      </c>
      <c r="B50" s="35" t="s">
        <v>848</v>
      </c>
    </row>
    <row r="51" spans="1:2" x14ac:dyDescent="0.35">
      <c r="A51" s="34">
        <v>10121504</v>
      </c>
      <c r="B51" s="35" t="s">
        <v>19381</v>
      </c>
    </row>
    <row r="52" spans="1:2" x14ac:dyDescent="0.35">
      <c r="A52" s="34">
        <v>10121505</v>
      </c>
      <c r="B52" s="35" t="s">
        <v>5869</v>
      </c>
    </row>
    <row r="53" spans="1:2" x14ac:dyDescent="0.35">
      <c r="A53" s="34">
        <v>10121506</v>
      </c>
      <c r="B53" s="35" t="s">
        <v>11248</v>
      </c>
    </row>
    <row r="54" spans="1:2" x14ac:dyDescent="0.35">
      <c r="A54" s="34">
        <v>10121601</v>
      </c>
      <c r="B54" s="35" t="s">
        <v>11766</v>
      </c>
    </row>
    <row r="55" spans="1:2" x14ac:dyDescent="0.35">
      <c r="A55" s="34">
        <v>10121602</v>
      </c>
      <c r="B55" s="35" t="s">
        <v>11315</v>
      </c>
    </row>
    <row r="56" spans="1:2" x14ac:dyDescent="0.35">
      <c r="A56" s="34">
        <v>10121603</v>
      </c>
      <c r="B56" s="35" t="s">
        <v>16536</v>
      </c>
    </row>
    <row r="57" spans="1:2" x14ac:dyDescent="0.35">
      <c r="A57" s="34">
        <v>10121604</v>
      </c>
      <c r="B57" s="35" t="s">
        <v>15361</v>
      </c>
    </row>
    <row r="58" spans="1:2" x14ac:dyDescent="0.35">
      <c r="A58" s="34">
        <v>10121701</v>
      </c>
      <c r="B58" s="35" t="s">
        <v>14620</v>
      </c>
    </row>
    <row r="59" spans="1:2" x14ac:dyDescent="0.35">
      <c r="A59" s="34">
        <v>10121702</v>
      </c>
      <c r="B59" s="35" t="s">
        <v>18866</v>
      </c>
    </row>
    <row r="60" spans="1:2" x14ac:dyDescent="0.35">
      <c r="A60" s="34">
        <v>10121703</v>
      </c>
      <c r="B60" s="35" t="s">
        <v>4317</v>
      </c>
    </row>
    <row r="61" spans="1:2" x14ac:dyDescent="0.35">
      <c r="A61" s="34">
        <v>10121801</v>
      </c>
      <c r="B61" s="35" t="s">
        <v>1185</v>
      </c>
    </row>
    <row r="62" spans="1:2" x14ac:dyDescent="0.35">
      <c r="A62" s="34">
        <v>10121802</v>
      </c>
      <c r="B62" s="35" t="s">
        <v>1185</v>
      </c>
    </row>
    <row r="63" spans="1:2" x14ac:dyDescent="0.35">
      <c r="A63" s="34">
        <v>10121803</v>
      </c>
      <c r="B63" s="35" t="s">
        <v>11947</v>
      </c>
    </row>
    <row r="64" spans="1:2" x14ac:dyDescent="0.35">
      <c r="A64" s="34">
        <v>10121804</v>
      </c>
      <c r="B64" s="35" t="s">
        <v>3609</v>
      </c>
    </row>
    <row r="65" spans="1:2" x14ac:dyDescent="0.35">
      <c r="A65" s="34">
        <v>10121805</v>
      </c>
      <c r="B65" s="35" t="s">
        <v>13292</v>
      </c>
    </row>
    <row r="66" spans="1:2" x14ac:dyDescent="0.35">
      <c r="A66" s="34">
        <v>10121806</v>
      </c>
      <c r="B66" s="35" t="s">
        <v>3364</v>
      </c>
    </row>
    <row r="67" spans="1:2" x14ac:dyDescent="0.35">
      <c r="A67" s="34">
        <v>10121901</v>
      </c>
      <c r="B67" s="35" t="s">
        <v>8041</v>
      </c>
    </row>
    <row r="68" spans="1:2" x14ac:dyDescent="0.35">
      <c r="A68" s="34">
        <v>10122001</v>
      </c>
      <c r="B68" s="35" t="s">
        <v>4672</v>
      </c>
    </row>
    <row r="69" spans="1:2" x14ac:dyDescent="0.35">
      <c r="A69" s="34">
        <v>10122002</v>
      </c>
      <c r="B69" s="35" t="s">
        <v>6714</v>
      </c>
    </row>
    <row r="70" spans="1:2" x14ac:dyDescent="0.35">
      <c r="A70" s="34">
        <v>10122003</v>
      </c>
      <c r="B70" s="35" t="s">
        <v>1000</v>
      </c>
    </row>
    <row r="71" spans="1:2" x14ac:dyDescent="0.35">
      <c r="A71" s="34">
        <v>10122101</v>
      </c>
      <c r="B71" s="35" t="s">
        <v>111</v>
      </c>
    </row>
    <row r="72" spans="1:2" x14ac:dyDescent="0.35">
      <c r="A72" s="34">
        <v>10122102</v>
      </c>
      <c r="B72" s="35" t="s">
        <v>10987</v>
      </c>
    </row>
    <row r="73" spans="1:2" x14ac:dyDescent="0.35">
      <c r="A73" s="34">
        <v>10122103</v>
      </c>
      <c r="B73" s="35" t="s">
        <v>1119</v>
      </c>
    </row>
    <row r="74" spans="1:2" x14ac:dyDescent="0.35">
      <c r="A74" s="34">
        <v>10131506</v>
      </c>
      <c r="B74" s="35" t="s">
        <v>12027</v>
      </c>
    </row>
    <row r="75" spans="1:2" x14ac:dyDescent="0.35">
      <c r="A75" s="34">
        <v>10131507</v>
      </c>
      <c r="B75" s="35" t="s">
        <v>6019</v>
      </c>
    </row>
    <row r="76" spans="1:2" x14ac:dyDescent="0.35">
      <c r="A76" s="34">
        <v>10131508</v>
      </c>
      <c r="B76" s="35" t="s">
        <v>2150</v>
      </c>
    </row>
    <row r="77" spans="1:2" x14ac:dyDescent="0.35">
      <c r="A77" s="34">
        <v>10131601</v>
      </c>
      <c r="B77" s="35" t="s">
        <v>5694</v>
      </c>
    </row>
    <row r="78" spans="1:2" x14ac:dyDescent="0.35">
      <c r="A78" s="34">
        <v>10131602</v>
      </c>
      <c r="B78" s="35" t="s">
        <v>5926</v>
      </c>
    </row>
    <row r="79" spans="1:2" x14ac:dyDescent="0.35">
      <c r="A79" s="34">
        <v>10131603</v>
      </c>
      <c r="B79" s="35" t="s">
        <v>4749</v>
      </c>
    </row>
    <row r="80" spans="1:2" x14ac:dyDescent="0.35">
      <c r="A80" s="34">
        <v>10131604</v>
      </c>
      <c r="B80" s="35" t="s">
        <v>17306</v>
      </c>
    </row>
    <row r="81" spans="1:2" x14ac:dyDescent="0.35">
      <c r="A81" s="34">
        <v>10131701</v>
      </c>
      <c r="B81" s="35" t="s">
        <v>7468</v>
      </c>
    </row>
    <row r="82" spans="1:2" x14ac:dyDescent="0.35">
      <c r="A82" s="34">
        <v>10131702</v>
      </c>
      <c r="B82" s="35" t="s">
        <v>7005</v>
      </c>
    </row>
    <row r="83" spans="1:2" x14ac:dyDescent="0.35">
      <c r="A83" s="34">
        <v>10141501</v>
      </c>
      <c r="B83" s="35" t="s">
        <v>15618</v>
      </c>
    </row>
    <row r="84" spans="1:2" x14ac:dyDescent="0.35">
      <c r="A84" s="34">
        <v>10141502</v>
      </c>
      <c r="B84" s="35" t="s">
        <v>1124</v>
      </c>
    </row>
    <row r="85" spans="1:2" x14ac:dyDescent="0.35">
      <c r="A85" s="34">
        <v>10141503</v>
      </c>
      <c r="B85" s="35" t="s">
        <v>3372</v>
      </c>
    </row>
    <row r="86" spans="1:2" x14ac:dyDescent="0.35">
      <c r="A86" s="34">
        <v>10141504</v>
      </c>
      <c r="B86" s="35" t="s">
        <v>14417</v>
      </c>
    </row>
    <row r="87" spans="1:2" x14ac:dyDescent="0.35">
      <c r="A87" s="34">
        <v>10141601</v>
      </c>
      <c r="B87" s="35" t="s">
        <v>9109</v>
      </c>
    </row>
    <row r="88" spans="1:2" x14ac:dyDescent="0.35">
      <c r="A88" s="34">
        <v>10141602</v>
      </c>
      <c r="B88" s="35" t="s">
        <v>2087</v>
      </c>
    </row>
    <row r="89" spans="1:2" x14ac:dyDescent="0.35">
      <c r="A89" s="34">
        <v>10141603</v>
      </c>
      <c r="B89" s="35" t="s">
        <v>7568</v>
      </c>
    </row>
    <row r="90" spans="1:2" x14ac:dyDescent="0.35">
      <c r="A90" s="34">
        <v>10141604</v>
      </c>
      <c r="B90" s="35" t="s">
        <v>4902</v>
      </c>
    </row>
    <row r="91" spans="1:2" x14ac:dyDescent="0.35">
      <c r="A91" s="34">
        <v>10141605</v>
      </c>
      <c r="B91" s="35" t="s">
        <v>7366</v>
      </c>
    </row>
    <row r="92" spans="1:2" x14ac:dyDescent="0.35">
      <c r="A92" s="34">
        <v>10141606</v>
      </c>
      <c r="B92" s="35" t="s">
        <v>11888</v>
      </c>
    </row>
    <row r="93" spans="1:2" x14ac:dyDescent="0.35">
      <c r="A93" s="34">
        <v>10141607</v>
      </c>
      <c r="B93" s="35" t="s">
        <v>4479</v>
      </c>
    </row>
    <row r="94" spans="1:2" x14ac:dyDescent="0.35">
      <c r="A94" s="34">
        <v>10141608</v>
      </c>
      <c r="B94" s="35" t="s">
        <v>6473</v>
      </c>
    </row>
    <row r="95" spans="1:2" x14ac:dyDescent="0.35">
      <c r="A95" s="34">
        <v>10141609</v>
      </c>
      <c r="B95" s="35" t="s">
        <v>7796</v>
      </c>
    </row>
    <row r="96" spans="1:2" x14ac:dyDescent="0.35">
      <c r="A96" s="34">
        <v>10141610</v>
      </c>
      <c r="B96" s="35" t="s">
        <v>15045</v>
      </c>
    </row>
    <row r="97" spans="1:2" x14ac:dyDescent="0.35">
      <c r="A97" s="34">
        <v>10141611</v>
      </c>
      <c r="B97" s="35" t="s">
        <v>12188</v>
      </c>
    </row>
    <row r="98" spans="1:2" x14ac:dyDescent="0.35">
      <c r="A98" s="34">
        <v>10151501</v>
      </c>
      <c r="B98" s="35" t="s">
        <v>1528</v>
      </c>
    </row>
    <row r="99" spans="1:2" x14ac:dyDescent="0.35">
      <c r="A99" s="34">
        <v>10151502</v>
      </c>
      <c r="B99" s="35" t="s">
        <v>19642</v>
      </c>
    </row>
    <row r="100" spans="1:2" x14ac:dyDescent="0.35">
      <c r="A100" s="34">
        <v>10151503</v>
      </c>
      <c r="B100" s="35" t="s">
        <v>5265</v>
      </c>
    </row>
    <row r="101" spans="1:2" x14ac:dyDescent="0.35">
      <c r="A101" s="34">
        <v>10151504</v>
      </c>
      <c r="B101" s="35" t="s">
        <v>15343</v>
      </c>
    </row>
    <row r="102" spans="1:2" x14ac:dyDescent="0.35">
      <c r="A102" s="34">
        <v>10151505</v>
      </c>
      <c r="B102" s="35" t="s">
        <v>4950</v>
      </c>
    </row>
    <row r="103" spans="1:2" x14ac:dyDescent="0.35">
      <c r="A103" s="34">
        <v>10151506</v>
      </c>
      <c r="B103" s="35" t="s">
        <v>17447</v>
      </c>
    </row>
    <row r="104" spans="1:2" x14ac:dyDescent="0.35">
      <c r="A104" s="34">
        <v>10151507</v>
      </c>
      <c r="B104" s="35" t="s">
        <v>4185</v>
      </c>
    </row>
    <row r="105" spans="1:2" x14ac:dyDescent="0.35">
      <c r="A105" s="34">
        <v>10151508</v>
      </c>
      <c r="B105" s="35" t="s">
        <v>17262</v>
      </c>
    </row>
    <row r="106" spans="1:2" x14ac:dyDescent="0.35">
      <c r="A106" s="34">
        <v>10151509</v>
      </c>
      <c r="B106" s="35" t="s">
        <v>7886</v>
      </c>
    </row>
    <row r="107" spans="1:2" x14ac:dyDescent="0.35">
      <c r="A107" s="34">
        <v>10151510</v>
      </c>
      <c r="B107" s="35" t="s">
        <v>10827</v>
      </c>
    </row>
    <row r="108" spans="1:2" x14ac:dyDescent="0.35">
      <c r="A108" s="34">
        <v>10151511</v>
      </c>
      <c r="B108" s="35" t="s">
        <v>333</v>
      </c>
    </row>
    <row r="109" spans="1:2" x14ac:dyDescent="0.35">
      <c r="A109" s="34">
        <v>10151512</v>
      </c>
      <c r="B109" s="35" t="s">
        <v>10858</v>
      </c>
    </row>
    <row r="110" spans="1:2" x14ac:dyDescent="0.35">
      <c r="A110" s="34">
        <v>10151513</v>
      </c>
      <c r="B110" s="35" t="s">
        <v>11586</v>
      </c>
    </row>
    <row r="111" spans="1:2" x14ac:dyDescent="0.35">
      <c r="A111" s="34">
        <v>10151514</v>
      </c>
      <c r="B111" s="35" t="s">
        <v>2583</v>
      </c>
    </row>
    <row r="112" spans="1:2" x14ac:dyDescent="0.35">
      <c r="A112" s="34">
        <v>10151515</v>
      </c>
      <c r="B112" s="35" t="s">
        <v>2372</v>
      </c>
    </row>
    <row r="113" spans="1:2" x14ac:dyDescent="0.35">
      <c r="A113" s="34">
        <v>10151516</v>
      </c>
      <c r="B113" s="35" t="s">
        <v>2518</v>
      </c>
    </row>
    <row r="114" spans="1:2" x14ac:dyDescent="0.35">
      <c r="A114" s="34">
        <v>10151517</v>
      </c>
      <c r="B114" s="35" t="s">
        <v>214</v>
      </c>
    </row>
    <row r="115" spans="1:2" x14ac:dyDescent="0.35">
      <c r="A115" s="34">
        <v>10151518</v>
      </c>
      <c r="B115" s="35" t="s">
        <v>10034</v>
      </c>
    </row>
    <row r="116" spans="1:2" x14ac:dyDescent="0.35">
      <c r="A116" s="34">
        <v>10151519</v>
      </c>
      <c r="B116" s="35" t="s">
        <v>8561</v>
      </c>
    </row>
    <row r="117" spans="1:2" x14ac:dyDescent="0.35">
      <c r="A117" s="34">
        <v>10151520</v>
      </c>
      <c r="B117" s="35" t="s">
        <v>1766</v>
      </c>
    </row>
    <row r="118" spans="1:2" x14ac:dyDescent="0.35">
      <c r="A118" s="34">
        <v>10151521</v>
      </c>
      <c r="B118" s="35" t="s">
        <v>16541</v>
      </c>
    </row>
    <row r="119" spans="1:2" x14ac:dyDescent="0.35">
      <c r="A119" s="34">
        <v>10151522</v>
      </c>
      <c r="B119" s="35" t="s">
        <v>10955</v>
      </c>
    </row>
    <row r="120" spans="1:2" x14ac:dyDescent="0.35">
      <c r="A120" s="34">
        <v>10151523</v>
      </c>
      <c r="B120" s="35" t="s">
        <v>3274</v>
      </c>
    </row>
    <row r="121" spans="1:2" x14ac:dyDescent="0.35">
      <c r="A121" s="34">
        <v>10151524</v>
      </c>
      <c r="B121" s="35" t="s">
        <v>11722</v>
      </c>
    </row>
    <row r="122" spans="1:2" x14ac:dyDescent="0.35">
      <c r="A122" s="34">
        <v>10151525</v>
      </c>
      <c r="B122" s="35" t="s">
        <v>10189</v>
      </c>
    </row>
    <row r="123" spans="1:2" x14ac:dyDescent="0.35">
      <c r="A123" s="34">
        <v>10151526</v>
      </c>
      <c r="B123" s="35" t="s">
        <v>666</v>
      </c>
    </row>
    <row r="124" spans="1:2" x14ac:dyDescent="0.35">
      <c r="A124" s="34">
        <v>10151527</v>
      </c>
      <c r="B124" s="35" t="s">
        <v>7788</v>
      </c>
    </row>
    <row r="125" spans="1:2" x14ac:dyDescent="0.35">
      <c r="A125" s="34">
        <v>10151528</v>
      </c>
      <c r="B125" s="35" t="s">
        <v>2197</v>
      </c>
    </row>
    <row r="126" spans="1:2" x14ac:dyDescent="0.35">
      <c r="A126" s="34">
        <v>10151529</v>
      </c>
      <c r="B126" s="35" t="s">
        <v>13755</v>
      </c>
    </row>
    <row r="127" spans="1:2" x14ac:dyDescent="0.35">
      <c r="A127" s="34">
        <v>10151530</v>
      </c>
      <c r="B127" s="35" t="s">
        <v>3086</v>
      </c>
    </row>
    <row r="128" spans="1:2" x14ac:dyDescent="0.35">
      <c r="A128" s="34">
        <v>10151531</v>
      </c>
      <c r="B128" s="35" t="s">
        <v>14151</v>
      </c>
    </row>
    <row r="129" spans="1:2" x14ac:dyDescent="0.35">
      <c r="A129" s="34">
        <v>10151532</v>
      </c>
      <c r="B129" s="35" t="s">
        <v>11187</v>
      </c>
    </row>
    <row r="130" spans="1:2" x14ac:dyDescent="0.35">
      <c r="A130" s="34">
        <v>10151533</v>
      </c>
      <c r="B130" s="35" t="s">
        <v>15672</v>
      </c>
    </row>
    <row r="131" spans="1:2" x14ac:dyDescent="0.35">
      <c r="A131" s="34">
        <v>10151534</v>
      </c>
      <c r="B131" s="35" t="s">
        <v>1489</v>
      </c>
    </row>
    <row r="132" spans="1:2" x14ac:dyDescent="0.35">
      <c r="A132" s="34">
        <v>10151535</v>
      </c>
      <c r="B132" s="35" t="s">
        <v>1415</v>
      </c>
    </row>
    <row r="133" spans="1:2" x14ac:dyDescent="0.35">
      <c r="A133" s="34">
        <v>10151601</v>
      </c>
      <c r="B133" s="35" t="s">
        <v>80</v>
      </c>
    </row>
    <row r="134" spans="1:2" x14ac:dyDescent="0.35">
      <c r="A134" s="34">
        <v>10151602</v>
      </c>
      <c r="B134" s="35" t="s">
        <v>9872</v>
      </c>
    </row>
    <row r="135" spans="1:2" x14ac:dyDescent="0.35">
      <c r="A135" s="34">
        <v>10151603</v>
      </c>
      <c r="B135" s="35" t="s">
        <v>4019</v>
      </c>
    </row>
    <row r="136" spans="1:2" x14ac:dyDescent="0.35">
      <c r="A136" s="34">
        <v>10151604</v>
      </c>
      <c r="B136" s="35" t="s">
        <v>16498</v>
      </c>
    </row>
    <row r="137" spans="1:2" x14ac:dyDescent="0.35">
      <c r="A137" s="34">
        <v>10151605</v>
      </c>
      <c r="B137" s="35" t="s">
        <v>12997</v>
      </c>
    </row>
    <row r="138" spans="1:2" x14ac:dyDescent="0.35">
      <c r="A138" s="34">
        <v>10151606</v>
      </c>
      <c r="B138" s="35" t="s">
        <v>1740</v>
      </c>
    </row>
    <row r="139" spans="1:2" x14ac:dyDescent="0.35">
      <c r="A139" s="34">
        <v>10151607</v>
      </c>
      <c r="B139" s="35" t="s">
        <v>4615</v>
      </c>
    </row>
    <row r="140" spans="1:2" x14ac:dyDescent="0.35">
      <c r="A140" s="34">
        <v>10151608</v>
      </c>
      <c r="B140" s="35" t="s">
        <v>17066</v>
      </c>
    </row>
    <row r="141" spans="1:2" x14ac:dyDescent="0.35">
      <c r="A141" s="34">
        <v>10151609</v>
      </c>
      <c r="B141" s="35" t="s">
        <v>3243</v>
      </c>
    </row>
    <row r="142" spans="1:2" x14ac:dyDescent="0.35">
      <c r="A142" s="34">
        <v>10151610</v>
      </c>
      <c r="B142" s="35" t="s">
        <v>18767</v>
      </c>
    </row>
    <row r="143" spans="1:2" x14ac:dyDescent="0.35">
      <c r="A143" s="34">
        <v>10151611</v>
      </c>
      <c r="B143" s="35" t="s">
        <v>19088</v>
      </c>
    </row>
    <row r="144" spans="1:2" x14ac:dyDescent="0.35">
      <c r="A144" s="34">
        <v>10151701</v>
      </c>
      <c r="B144" s="35" t="s">
        <v>181</v>
      </c>
    </row>
    <row r="145" spans="1:2" x14ac:dyDescent="0.35">
      <c r="A145" s="34">
        <v>10151702</v>
      </c>
      <c r="B145" s="35" t="s">
        <v>3804</v>
      </c>
    </row>
    <row r="146" spans="1:2" x14ac:dyDescent="0.35">
      <c r="A146" s="34">
        <v>10151703</v>
      </c>
      <c r="B146" s="35" t="s">
        <v>14646</v>
      </c>
    </row>
    <row r="147" spans="1:2" x14ac:dyDescent="0.35">
      <c r="A147" s="34">
        <v>10151704</v>
      </c>
      <c r="B147" s="35" t="s">
        <v>8393</v>
      </c>
    </row>
    <row r="148" spans="1:2" x14ac:dyDescent="0.35">
      <c r="A148" s="34">
        <v>10151705</v>
      </c>
      <c r="B148" s="35" t="s">
        <v>17956</v>
      </c>
    </row>
    <row r="149" spans="1:2" x14ac:dyDescent="0.35">
      <c r="A149" s="34">
        <v>10151706</v>
      </c>
      <c r="B149" s="35" t="s">
        <v>7989</v>
      </c>
    </row>
    <row r="150" spans="1:2" x14ac:dyDescent="0.35">
      <c r="A150" s="34">
        <v>10151707</v>
      </c>
      <c r="B150" s="35" t="s">
        <v>9969</v>
      </c>
    </row>
    <row r="151" spans="1:2" x14ac:dyDescent="0.35">
      <c r="A151" s="34">
        <v>10151708</v>
      </c>
      <c r="B151" s="35" t="s">
        <v>10701</v>
      </c>
    </row>
    <row r="152" spans="1:2" x14ac:dyDescent="0.35">
      <c r="A152" s="34">
        <v>10151709</v>
      </c>
      <c r="B152" s="35" t="s">
        <v>8648</v>
      </c>
    </row>
    <row r="153" spans="1:2" x14ac:dyDescent="0.35">
      <c r="A153" s="34">
        <v>10151801</v>
      </c>
      <c r="B153" s="35" t="s">
        <v>12022</v>
      </c>
    </row>
    <row r="154" spans="1:2" x14ac:dyDescent="0.35">
      <c r="A154" s="34">
        <v>10151802</v>
      </c>
      <c r="B154" s="35" t="s">
        <v>16786</v>
      </c>
    </row>
    <row r="155" spans="1:2" x14ac:dyDescent="0.35">
      <c r="A155" s="34">
        <v>10151803</v>
      </c>
      <c r="B155" s="35" t="s">
        <v>10104</v>
      </c>
    </row>
    <row r="156" spans="1:2" x14ac:dyDescent="0.35">
      <c r="A156" s="34">
        <v>10151804</v>
      </c>
      <c r="B156" s="35" t="s">
        <v>16800</v>
      </c>
    </row>
    <row r="157" spans="1:2" x14ac:dyDescent="0.35">
      <c r="A157" s="34">
        <v>10151805</v>
      </c>
      <c r="B157" s="35" t="s">
        <v>1004</v>
      </c>
    </row>
    <row r="158" spans="1:2" x14ac:dyDescent="0.35">
      <c r="A158" s="34">
        <v>10151806</v>
      </c>
      <c r="B158" s="35" t="s">
        <v>5285</v>
      </c>
    </row>
    <row r="159" spans="1:2" x14ac:dyDescent="0.35">
      <c r="A159" s="34">
        <v>10151807</v>
      </c>
      <c r="B159" s="35" t="s">
        <v>15015</v>
      </c>
    </row>
    <row r="160" spans="1:2" x14ac:dyDescent="0.35">
      <c r="A160" s="34">
        <v>10151808</v>
      </c>
      <c r="B160" s="35" t="s">
        <v>17529</v>
      </c>
    </row>
    <row r="161" spans="1:2" x14ac:dyDescent="0.35">
      <c r="A161" s="34">
        <v>10151809</v>
      </c>
      <c r="B161" s="35" t="s">
        <v>3759</v>
      </c>
    </row>
    <row r="162" spans="1:2" x14ac:dyDescent="0.35">
      <c r="A162" s="34">
        <v>10151810</v>
      </c>
      <c r="B162" s="35" t="s">
        <v>1865</v>
      </c>
    </row>
    <row r="163" spans="1:2" x14ac:dyDescent="0.35">
      <c r="A163" s="34">
        <v>10151811</v>
      </c>
      <c r="B163" s="35" t="s">
        <v>7389</v>
      </c>
    </row>
    <row r="164" spans="1:2" x14ac:dyDescent="0.35">
      <c r="A164" s="34">
        <v>10151901</v>
      </c>
      <c r="B164" s="35" t="s">
        <v>17934</v>
      </c>
    </row>
    <row r="165" spans="1:2" x14ac:dyDescent="0.35">
      <c r="A165" s="34">
        <v>10151902</v>
      </c>
      <c r="B165" s="35" t="s">
        <v>13819</v>
      </c>
    </row>
    <row r="166" spans="1:2" x14ac:dyDescent="0.35">
      <c r="A166" s="34">
        <v>10151903</v>
      </c>
      <c r="B166" s="35" t="s">
        <v>16675</v>
      </c>
    </row>
    <row r="167" spans="1:2" x14ac:dyDescent="0.35">
      <c r="A167" s="34">
        <v>10151904</v>
      </c>
      <c r="B167" s="35" t="s">
        <v>817</v>
      </c>
    </row>
    <row r="168" spans="1:2" x14ac:dyDescent="0.35">
      <c r="A168" s="34">
        <v>10151905</v>
      </c>
      <c r="B168" s="35" t="s">
        <v>16485</v>
      </c>
    </row>
    <row r="169" spans="1:2" x14ac:dyDescent="0.35">
      <c r="A169" s="34">
        <v>10151906</v>
      </c>
      <c r="B169" s="35" t="s">
        <v>14031</v>
      </c>
    </row>
    <row r="170" spans="1:2" x14ac:dyDescent="0.35">
      <c r="A170" s="34">
        <v>10151907</v>
      </c>
      <c r="B170" s="35" t="s">
        <v>16093</v>
      </c>
    </row>
    <row r="171" spans="1:2" x14ac:dyDescent="0.35">
      <c r="A171" s="34">
        <v>10152001</v>
      </c>
      <c r="B171" s="35" t="s">
        <v>750</v>
      </c>
    </row>
    <row r="172" spans="1:2" x14ac:dyDescent="0.35">
      <c r="A172" s="34">
        <v>10152002</v>
      </c>
      <c r="B172" s="35" t="s">
        <v>5785</v>
      </c>
    </row>
    <row r="173" spans="1:2" x14ac:dyDescent="0.35">
      <c r="A173" s="34">
        <v>10152003</v>
      </c>
      <c r="B173" s="35" t="s">
        <v>11696</v>
      </c>
    </row>
    <row r="174" spans="1:2" x14ac:dyDescent="0.35">
      <c r="A174" s="34">
        <v>10152101</v>
      </c>
      <c r="B174" s="35" t="s">
        <v>18144</v>
      </c>
    </row>
    <row r="175" spans="1:2" x14ac:dyDescent="0.35">
      <c r="A175" s="34">
        <v>10152102</v>
      </c>
      <c r="B175" s="35" t="s">
        <v>1155</v>
      </c>
    </row>
    <row r="176" spans="1:2" x14ac:dyDescent="0.35">
      <c r="A176" s="34">
        <v>10152103</v>
      </c>
      <c r="B176" s="35" t="s">
        <v>5753</v>
      </c>
    </row>
    <row r="177" spans="1:2" x14ac:dyDescent="0.35">
      <c r="A177" s="34">
        <v>10152104</v>
      </c>
      <c r="B177" s="35" t="s">
        <v>10275</v>
      </c>
    </row>
    <row r="178" spans="1:2" x14ac:dyDescent="0.35">
      <c r="A178" s="34">
        <v>10152201</v>
      </c>
      <c r="B178" s="35" t="s">
        <v>13404</v>
      </c>
    </row>
    <row r="179" spans="1:2" x14ac:dyDescent="0.35">
      <c r="A179" s="34">
        <v>10152202</v>
      </c>
      <c r="B179" s="35" t="s">
        <v>10489</v>
      </c>
    </row>
    <row r="180" spans="1:2" x14ac:dyDescent="0.35">
      <c r="A180" s="34">
        <v>10161501</v>
      </c>
      <c r="B180" s="35" t="s">
        <v>18285</v>
      </c>
    </row>
    <row r="181" spans="1:2" x14ac:dyDescent="0.35">
      <c r="A181" s="34">
        <v>10161502</v>
      </c>
      <c r="B181" s="35" t="s">
        <v>17206</v>
      </c>
    </row>
    <row r="182" spans="1:2" x14ac:dyDescent="0.35">
      <c r="A182" s="34">
        <v>10161503</v>
      </c>
      <c r="B182" s="35" t="s">
        <v>11217</v>
      </c>
    </row>
    <row r="183" spans="1:2" x14ac:dyDescent="0.35">
      <c r="A183" s="34">
        <v>10161504</v>
      </c>
      <c r="B183" s="35" t="s">
        <v>3958</v>
      </c>
    </row>
    <row r="184" spans="1:2" x14ac:dyDescent="0.35">
      <c r="A184" s="34">
        <v>10161505</v>
      </c>
      <c r="B184" s="35" t="s">
        <v>14636</v>
      </c>
    </row>
    <row r="185" spans="1:2" x14ac:dyDescent="0.35">
      <c r="A185" s="34">
        <v>10161506</v>
      </c>
      <c r="B185" s="35" t="s">
        <v>19288</v>
      </c>
    </row>
    <row r="186" spans="1:2" x14ac:dyDescent="0.35">
      <c r="A186" s="34">
        <v>10161507</v>
      </c>
      <c r="B186" s="35" t="s">
        <v>1013</v>
      </c>
    </row>
    <row r="187" spans="1:2" x14ac:dyDescent="0.35">
      <c r="A187" s="34">
        <v>10161508</v>
      </c>
      <c r="B187" s="35" t="s">
        <v>17743</v>
      </c>
    </row>
    <row r="188" spans="1:2" x14ac:dyDescent="0.35">
      <c r="A188" s="34">
        <v>10161509</v>
      </c>
      <c r="B188" s="35" t="s">
        <v>10967</v>
      </c>
    </row>
    <row r="189" spans="1:2" x14ac:dyDescent="0.35">
      <c r="A189" s="34">
        <v>10161510</v>
      </c>
      <c r="B189" s="35" t="s">
        <v>11634</v>
      </c>
    </row>
    <row r="190" spans="1:2" x14ac:dyDescent="0.35">
      <c r="A190" s="34">
        <v>10161511</v>
      </c>
      <c r="B190" s="35" t="s">
        <v>8287</v>
      </c>
    </row>
    <row r="191" spans="1:2" x14ac:dyDescent="0.35">
      <c r="A191" s="34">
        <v>10161512</v>
      </c>
      <c r="B191" s="35" t="s">
        <v>9259</v>
      </c>
    </row>
    <row r="192" spans="1:2" x14ac:dyDescent="0.35">
      <c r="A192" s="34">
        <v>10161513</v>
      </c>
      <c r="B192" s="35" t="s">
        <v>15555</v>
      </c>
    </row>
    <row r="193" spans="1:2" x14ac:dyDescent="0.35">
      <c r="A193" s="34">
        <v>10161601</v>
      </c>
      <c r="B193" s="35" t="s">
        <v>2001</v>
      </c>
    </row>
    <row r="194" spans="1:2" x14ac:dyDescent="0.35">
      <c r="A194" s="34">
        <v>10161602</v>
      </c>
      <c r="B194" s="35" t="s">
        <v>4732</v>
      </c>
    </row>
    <row r="195" spans="1:2" x14ac:dyDescent="0.35">
      <c r="A195" s="34">
        <v>10161603</v>
      </c>
      <c r="B195" s="35" t="s">
        <v>4737</v>
      </c>
    </row>
    <row r="196" spans="1:2" x14ac:dyDescent="0.35">
      <c r="A196" s="34">
        <v>10161604</v>
      </c>
      <c r="B196" s="35" t="s">
        <v>17339</v>
      </c>
    </row>
    <row r="197" spans="1:2" x14ac:dyDescent="0.35">
      <c r="A197" s="34">
        <v>10161605</v>
      </c>
      <c r="B197" s="35" t="s">
        <v>14382</v>
      </c>
    </row>
    <row r="198" spans="1:2" x14ac:dyDescent="0.35">
      <c r="A198" s="34">
        <v>10161701</v>
      </c>
      <c r="B198" s="35" t="s">
        <v>3322</v>
      </c>
    </row>
    <row r="199" spans="1:2" x14ac:dyDescent="0.35">
      <c r="A199" s="34">
        <v>10161702</v>
      </c>
      <c r="B199" s="35" t="s">
        <v>13880</v>
      </c>
    </row>
    <row r="200" spans="1:2" x14ac:dyDescent="0.35">
      <c r="A200" s="34">
        <v>10161703</v>
      </c>
      <c r="B200" s="35" t="s">
        <v>13139</v>
      </c>
    </row>
    <row r="201" spans="1:2" x14ac:dyDescent="0.35">
      <c r="A201" s="34">
        <v>10161704</v>
      </c>
      <c r="B201" s="35" t="s">
        <v>11805</v>
      </c>
    </row>
    <row r="202" spans="1:2" x14ac:dyDescent="0.35">
      <c r="A202" s="34">
        <v>10161705</v>
      </c>
      <c r="B202" s="35" t="s">
        <v>3282</v>
      </c>
    </row>
    <row r="203" spans="1:2" x14ac:dyDescent="0.35">
      <c r="A203" s="34">
        <v>10161707</v>
      </c>
      <c r="B203" s="35" t="s">
        <v>10159</v>
      </c>
    </row>
    <row r="204" spans="1:2" x14ac:dyDescent="0.35">
      <c r="A204" s="34">
        <v>10161801</v>
      </c>
      <c r="B204" s="35" t="s">
        <v>8155</v>
      </c>
    </row>
    <row r="205" spans="1:2" x14ac:dyDescent="0.35">
      <c r="A205" s="34">
        <v>10161802</v>
      </c>
      <c r="B205" s="35" t="s">
        <v>14130</v>
      </c>
    </row>
    <row r="206" spans="1:2" x14ac:dyDescent="0.35">
      <c r="A206" s="34">
        <v>10161803</v>
      </c>
      <c r="B206" s="35" t="s">
        <v>3670</v>
      </c>
    </row>
    <row r="207" spans="1:2" x14ac:dyDescent="0.35">
      <c r="A207" s="34">
        <v>10161804</v>
      </c>
      <c r="B207" s="35" t="s">
        <v>6904</v>
      </c>
    </row>
    <row r="208" spans="1:2" x14ac:dyDescent="0.35">
      <c r="A208" s="34">
        <v>10161901</v>
      </c>
      <c r="B208" s="35" t="s">
        <v>15420</v>
      </c>
    </row>
    <row r="209" spans="1:2" x14ac:dyDescent="0.35">
      <c r="A209" s="34">
        <v>10161902</v>
      </c>
      <c r="B209" s="35" t="s">
        <v>17574</v>
      </c>
    </row>
    <row r="210" spans="1:2" x14ac:dyDescent="0.35">
      <c r="A210" s="34">
        <v>10161903</v>
      </c>
      <c r="B210" s="35" t="s">
        <v>18807</v>
      </c>
    </row>
    <row r="211" spans="1:2" x14ac:dyDescent="0.35">
      <c r="A211" s="34">
        <v>10161904</v>
      </c>
      <c r="B211" s="35" t="s">
        <v>10398</v>
      </c>
    </row>
    <row r="212" spans="1:2" x14ac:dyDescent="0.35">
      <c r="A212" s="34">
        <v>10161905</v>
      </c>
      <c r="B212" s="35" t="s">
        <v>894</v>
      </c>
    </row>
    <row r="213" spans="1:2" x14ac:dyDescent="0.35">
      <c r="A213" s="34">
        <v>10161906</v>
      </c>
      <c r="B213" s="35" t="s">
        <v>11067</v>
      </c>
    </row>
    <row r="214" spans="1:2" x14ac:dyDescent="0.35">
      <c r="A214" s="34">
        <v>10161907</v>
      </c>
      <c r="B214" s="35" t="s">
        <v>1408</v>
      </c>
    </row>
    <row r="215" spans="1:2" x14ac:dyDescent="0.35">
      <c r="A215" s="34">
        <v>10161908</v>
      </c>
      <c r="B215" s="35" t="s">
        <v>12498</v>
      </c>
    </row>
    <row r="216" spans="1:2" x14ac:dyDescent="0.35">
      <c r="A216" s="34">
        <v>10171501</v>
      </c>
      <c r="B216" s="35" t="s">
        <v>19</v>
      </c>
    </row>
    <row r="217" spans="1:2" x14ac:dyDescent="0.35">
      <c r="A217" s="34">
        <v>10171502</v>
      </c>
      <c r="B217" s="35" t="s">
        <v>18393</v>
      </c>
    </row>
    <row r="218" spans="1:2" x14ac:dyDescent="0.35">
      <c r="A218" s="34">
        <v>10171503</v>
      </c>
      <c r="B218" s="35" t="s">
        <v>6779</v>
      </c>
    </row>
    <row r="219" spans="1:2" x14ac:dyDescent="0.35">
      <c r="A219" s="34">
        <v>10171504</v>
      </c>
      <c r="B219" s="35" t="s">
        <v>4709</v>
      </c>
    </row>
    <row r="220" spans="1:2" x14ac:dyDescent="0.35">
      <c r="A220" s="34">
        <v>10171601</v>
      </c>
      <c r="B220" s="35" t="s">
        <v>18344</v>
      </c>
    </row>
    <row r="221" spans="1:2" x14ac:dyDescent="0.35">
      <c r="A221" s="34">
        <v>10171602</v>
      </c>
      <c r="B221" s="35" t="s">
        <v>2289</v>
      </c>
    </row>
    <row r="222" spans="1:2" x14ac:dyDescent="0.35">
      <c r="A222" s="34">
        <v>10171603</v>
      </c>
      <c r="B222" s="35" t="s">
        <v>5366</v>
      </c>
    </row>
    <row r="223" spans="1:2" x14ac:dyDescent="0.35">
      <c r="A223" s="34">
        <v>10171604</v>
      </c>
      <c r="B223" s="35" t="s">
        <v>6067</v>
      </c>
    </row>
    <row r="224" spans="1:2" x14ac:dyDescent="0.35">
      <c r="A224" s="34">
        <v>10171605</v>
      </c>
      <c r="B224" s="35" t="s">
        <v>4375</v>
      </c>
    </row>
    <row r="225" spans="1:2" x14ac:dyDescent="0.35">
      <c r="A225" s="34">
        <v>10171701</v>
      </c>
      <c r="B225" s="35" t="s">
        <v>7655</v>
      </c>
    </row>
    <row r="226" spans="1:2" x14ac:dyDescent="0.35">
      <c r="A226" s="34">
        <v>10171702</v>
      </c>
      <c r="B226" s="35" t="s">
        <v>5323</v>
      </c>
    </row>
    <row r="227" spans="1:2" x14ac:dyDescent="0.35">
      <c r="A227" s="34">
        <v>10191506</v>
      </c>
      <c r="B227" s="35" t="s">
        <v>17739</v>
      </c>
    </row>
    <row r="228" spans="1:2" x14ac:dyDescent="0.35">
      <c r="A228" s="34">
        <v>10191507</v>
      </c>
      <c r="B228" s="35" t="s">
        <v>7705</v>
      </c>
    </row>
    <row r="229" spans="1:2" x14ac:dyDescent="0.35">
      <c r="A229" s="34">
        <v>10191508</v>
      </c>
      <c r="B229" s="35" t="s">
        <v>8861</v>
      </c>
    </row>
    <row r="230" spans="1:2" x14ac:dyDescent="0.35">
      <c r="A230" s="34">
        <v>10191509</v>
      </c>
      <c r="B230" s="35" t="s">
        <v>6474</v>
      </c>
    </row>
    <row r="231" spans="1:2" x14ac:dyDescent="0.35">
      <c r="A231" s="34">
        <v>10191701</v>
      </c>
      <c r="B231" s="35" t="s">
        <v>15758</v>
      </c>
    </row>
    <row r="232" spans="1:2" x14ac:dyDescent="0.35">
      <c r="A232" s="34">
        <v>10191703</v>
      </c>
      <c r="B232" s="35" t="s">
        <v>10459</v>
      </c>
    </row>
    <row r="233" spans="1:2" x14ac:dyDescent="0.35">
      <c r="A233" s="34">
        <v>10191704</v>
      </c>
      <c r="B233" s="35" t="s">
        <v>8332</v>
      </c>
    </row>
    <row r="234" spans="1:2" x14ac:dyDescent="0.35">
      <c r="A234" s="34">
        <v>10191705</v>
      </c>
      <c r="B234" s="35" t="s">
        <v>5472</v>
      </c>
    </row>
    <row r="235" spans="1:2" x14ac:dyDescent="0.35">
      <c r="A235" s="34">
        <v>10191706</v>
      </c>
      <c r="B235" s="35" t="s">
        <v>614</v>
      </c>
    </row>
    <row r="236" spans="1:2" x14ac:dyDescent="0.35">
      <c r="A236" s="34">
        <v>11101501</v>
      </c>
      <c r="B236" s="35" t="s">
        <v>1299</v>
      </c>
    </row>
    <row r="237" spans="1:2" x14ac:dyDescent="0.35">
      <c r="A237" s="34">
        <v>11101502</v>
      </c>
      <c r="B237" s="35" t="s">
        <v>15843</v>
      </c>
    </row>
    <row r="238" spans="1:2" x14ac:dyDescent="0.35">
      <c r="A238" s="34">
        <v>11101503</v>
      </c>
      <c r="B238" s="35" t="s">
        <v>4654</v>
      </c>
    </row>
    <row r="239" spans="1:2" x14ac:dyDescent="0.35">
      <c r="A239" s="34">
        <v>11101504</v>
      </c>
      <c r="B239" s="35" t="s">
        <v>16343</v>
      </c>
    </row>
    <row r="240" spans="1:2" x14ac:dyDescent="0.35">
      <c r="A240" s="34">
        <v>11101505</v>
      </c>
      <c r="B240" s="35" t="s">
        <v>6821</v>
      </c>
    </row>
    <row r="241" spans="1:2" x14ac:dyDescent="0.35">
      <c r="A241" s="34">
        <v>11101506</v>
      </c>
      <c r="B241" s="35" t="s">
        <v>1029</v>
      </c>
    </row>
    <row r="242" spans="1:2" x14ac:dyDescent="0.35">
      <c r="A242" s="34">
        <v>11101507</v>
      </c>
      <c r="B242" s="35" t="s">
        <v>10037</v>
      </c>
    </row>
    <row r="243" spans="1:2" x14ac:dyDescent="0.35">
      <c r="A243" s="34">
        <v>11101508</v>
      </c>
      <c r="B243" s="35" t="s">
        <v>15291</v>
      </c>
    </row>
    <row r="244" spans="1:2" x14ac:dyDescent="0.35">
      <c r="A244" s="34">
        <v>11101509</v>
      </c>
      <c r="B244" s="35" t="s">
        <v>13090</v>
      </c>
    </row>
    <row r="245" spans="1:2" x14ac:dyDescent="0.35">
      <c r="A245" s="34">
        <v>11101510</v>
      </c>
      <c r="B245" s="35" t="s">
        <v>18039</v>
      </c>
    </row>
    <row r="246" spans="1:2" x14ac:dyDescent="0.35">
      <c r="A246" s="34">
        <v>11101511</v>
      </c>
      <c r="B246" s="35" t="s">
        <v>6581</v>
      </c>
    </row>
    <row r="247" spans="1:2" x14ac:dyDescent="0.35">
      <c r="A247" s="34">
        <v>11101512</v>
      </c>
      <c r="B247" s="35" t="s">
        <v>5843</v>
      </c>
    </row>
    <row r="248" spans="1:2" x14ac:dyDescent="0.35">
      <c r="A248" s="34">
        <v>11101513</v>
      </c>
      <c r="B248" s="35" t="s">
        <v>10508</v>
      </c>
    </row>
    <row r="249" spans="1:2" x14ac:dyDescent="0.35">
      <c r="A249" s="34">
        <v>11101514</v>
      </c>
      <c r="B249" s="35" t="s">
        <v>10930</v>
      </c>
    </row>
    <row r="250" spans="1:2" x14ac:dyDescent="0.35">
      <c r="A250" s="34">
        <v>11101515</v>
      </c>
      <c r="B250" s="35" t="s">
        <v>17335</v>
      </c>
    </row>
    <row r="251" spans="1:2" x14ac:dyDescent="0.35">
      <c r="A251" s="34">
        <v>11101516</v>
      </c>
      <c r="B251" s="35" t="s">
        <v>3330</v>
      </c>
    </row>
    <row r="252" spans="1:2" x14ac:dyDescent="0.35">
      <c r="A252" s="34">
        <v>11101517</v>
      </c>
      <c r="B252" s="35" t="s">
        <v>15768</v>
      </c>
    </row>
    <row r="253" spans="1:2" x14ac:dyDescent="0.35">
      <c r="A253" s="34">
        <v>11101518</v>
      </c>
      <c r="B253" s="35" t="s">
        <v>16539</v>
      </c>
    </row>
    <row r="254" spans="1:2" x14ac:dyDescent="0.35">
      <c r="A254" s="34">
        <v>11101519</v>
      </c>
      <c r="B254" s="35" t="s">
        <v>14940</v>
      </c>
    </row>
    <row r="255" spans="1:2" x14ac:dyDescent="0.35">
      <c r="A255" s="34">
        <v>11101520</v>
      </c>
      <c r="B255" s="35" t="s">
        <v>10177</v>
      </c>
    </row>
    <row r="256" spans="1:2" x14ac:dyDescent="0.35">
      <c r="A256" s="34">
        <v>11101521</v>
      </c>
      <c r="B256" s="35" t="s">
        <v>225</v>
      </c>
    </row>
    <row r="257" spans="1:2" x14ac:dyDescent="0.35">
      <c r="A257" s="34">
        <v>11101522</v>
      </c>
      <c r="B257" s="35" t="s">
        <v>11723</v>
      </c>
    </row>
    <row r="258" spans="1:2" x14ac:dyDescent="0.35">
      <c r="A258" s="34">
        <v>11101523</v>
      </c>
      <c r="B258" s="35" t="s">
        <v>13669</v>
      </c>
    </row>
    <row r="259" spans="1:2" x14ac:dyDescent="0.35">
      <c r="A259" s="34">
        <v>11101524</v>
      </c>
      <c r="B259" s="35" t="s">
        <v>13917</v>
      </c>
    </row>
    <row r="260" spans="1:2" x14ac:dyDescent="0.35">
      <c r="A260" s="34">
        <v>11101525</v>
      </c>
      <c r="B260" s="35" t="s">
        <v>19085</v>
      </c>
    </row>
    <row r="261" spans="1:2" x14ac:dyDescent="0.35">
      <c r="A261" s="34">
        <v>11101526</v>
      </c>
      <c r="B261" s="35" t="s">
        <v>14287</v>
      </c>
    </row>
    <row r="262" spans="1:2" x14ac:dyDescent="0.35">
      <c r="A262" s="34">
        <v>11101527</v>
      </c>
      <c r="B262" s="35" t="s">
        <v>10685</v>
      </c>
    </row>
    <row r="263" spans="1:2" x14ac:dyDescent="0.35">
      <c r="A263" s="34">
        <v>11101601</v>
      </c>
      <c r="B263" s="35" t="s">
        <v>7800</v>
      </c>
    </row>
    <row r="264" spans="1:2" x14ac:dyDescent="0.35">
      <c r="A264" s="34">
        <v>11101602</v>
      </c>
      <c r="B264" s="35" t="s">
        <v>11163</v>
      </c>
    </row>
    <row r="265" spans="1:2" x14ac:dyDescent="0.35">
      <c r="A265" s="34">
        <v>11101603</v>
      </c>
      <c r="B265" s="35" t="s">
        <v>16969</v>
      </c>
    </row>
    <row r="266" spans="1:2" x14ac:dyDescent="0.35">
      <c r="A266" s="34">
        <v>11101604</v>
      </c>
      <c r="B266" s="35" t="s">
        <v>5712</v>
      </c>
    </row>
    <row r="267" spans="1:2" x14ac:dyDescent="0.35">
      <c r="A267" s="34">
        <v>11101605</v>
      </c>
      <c r="B267" s="35" t="s">
        <v>10273</v>
      </c>
    </row>
    <row r="268" spans="1:2" x14ac:dyDescent="0.35">
      <c r="A268" s="34">
        <v>11101606</v>
      </c>
      <c r="B268" s="35" t="s">
        <v>13885</v>
      </c>
    </row>
    <row r="269" spans="1:2" x14ac:dyDescent="0.35">
      <c r="A269" s="34">
        <v>11101607</v>
      </c>
      <c r="B269" s="35" t="s">
        <v>8371</v>
      </c>
    </row>
    <row r="270" spans="1:2" x14ac:dyDescent="0.35">
      <c r="A270" s="34">
        <v>11101608</v>
      </c>
      <c r="B270" s="35" t="s">
        <v>17932</v>
      </c>
    </row>
    <row r="271" spans="1:2" x14ac:dyDescent="0.35">
      <c r="A271" s="34">
        <v>11101609</v>
      </c>
      <c r="B271" s="35" t="s">
        <v>174</v>
      </c>
    </row>
    <row r="272" spans="1:2" x14ac:dyDescent="0.35">
      <c r="A272" s="34">
        <v>11101610</v>
      </c>
      <c r="B272" s="35" t="s">
        <v>595</v>
      </c>
    </row>
    <row r="273" spans="1:2" x14ac:dyDescent="0.35">
      <c r="A273" s="34">
        <v>11101611</v>
      </c>
      <c r="B273" s="35" t="s">
        <v>9292</v>
      </c>
    </row>
    <row r="274" spans="1:2" x14ac:dyDescent="0.35">
      <c r="A274" s="34">
        <v>11101612</v>
      </c>
      <c r="B274" s="35" t="s">
        <v>203</v>
      </c>
    </row>
    <row r="275" spans="1:2" x14ac:dyDescent="0.35">
      <c r="A275" s="34">
        <v>11101613</v>
      </c>
      <c r="B275" s="35" t="s">
        <v>6946</v>
      </c>
    </row>
    <row r="276" spans="1:2" x14ac:dyDescent="0.35">
      <c r="A276" s="34">
        <v>11101614</v>
      </c>
      <c r="B276" s="35" t="s">
        <v>4848</v>
      </c>
    </row>
    <row r="277" spans="1:2" x14ac:dyDescent="0.35">
      <c r="A277" s="34">
        <v>11101615</v>
      </c>
      <c r="B277" s="35" t="s">
        <v>7262</v>
      </c>
    </row>
    <row r="278" spans="1:2" x14ac:dyDescent="0.35">
      <c r="A278" s="34">
        <v>11101616</v>
      </c>
      <c r="B278" s="35" t="s">
        <v>2346</v>
      </c>
    </row>
    <row r="279" spans="1:2" x14ac:dyDescent="0.35">
      <c r="A279" s="34">
        <v>11101617</v>
      </c>
      <c r="B279" s="35" t="s">
        <v>16188</v>
      </c>
    </row>
    <row r="280" spans="1:2" x14ac:dyDescent="0.35">
      <c r="A280" s="34">
        <v>11101618</v>
      </c>
      <c r="B280" s="35" t="s">
        <v>12843</v>
      </c>
    </row>
    <row r="281" spans="1:2" x14ac:dyDescent="0.35">
      <c r="A281" s="34">
        <v>11101619</v>
      </c>
      <c r="B281" s="35" t="s">
        <v>997</v>
      </c>
    </row>
    <row r="282" spans="1:2" x14ac:dyDescent="0.35">
      <c r="A282" s="34">
        <v>11101620</v>
      </c>
      <c r="B282" s="35" t="s">
        <v>3990</v>
      </c>
    </row>
    <row r="283" spans="1:2" x14ac:dyDescent="0.35">
      <c r="A283" s="34">
        <v>11101621</v>
      </c>
      <c r="B283" s="35" t="s">
        <v>8303</v>
      </c>
    </row>
    <row r="284" spans="1:2" x14ac:dyDescent="0.35">
      <c r="A284" s="34">
        <v>11101622</v>
      </c>
      <c r="B284" s="35" t="s">
        <v>17589</v>
      </c>
    </row>
    <row r="285" spans="1:2" x14ac:dyDescent="0.35">
      <c r="A285" s="34">
        <v>11101623</v>
      </c>
      <c r="B285" s="35" t="s">
        <v>10656</v>
      </c>
    </row>
    <row r="286" spans="1:2" x14ac:dyDescent="0.35">
      <c r="A286" s="34">
        <v>11101701</v>
      </c>
      <c r="B286" s="35" t="s">
        <v>13016</v>
      </c>
    </row>
    <row r="287" spans="1:2" x14ac:dyDescent="0.35">
      <c r="A287" s="34">
        <v>11101702</v>
      </c>
      <c r="B287" s="35" t="s">
        <v>19090</v>
      </c>
    </row>
    <row r="288" spans="1:2" x14ac:dyDescent="0.35">
      <c r="A288" s="34">
        <v>11101703</v>
      </c>
      <c r="B288" s="35" t="s">
        <v>5845</v>
      </c>
    </row>
    <row r="289" spans="1:2" x14ac:dyDescent="0.35">
      <c r="A289" s="34">
        <v>11101704</v>
      </c>
      <c r="B289" s="35" t="s">
        <v>13339</v>
      </c>
    </row>
    <row r="290" spans="1:2" x14ac:dyDescent="0.35">
      <c r="A290" s="34">
        <v>11101705</v>
      </c>
      <c r="B290" s="35" t="s">
        <v>13691</v>
      </c>
    </row>
    <row r="291" spans="1:2" x14ac:dyDescent="0.35">
      <c r="A291" s="34">
        <v>11101706</v>
      </c>
      <c r="B291" s="35" t="s">
        <v>14671</v>
      </c>
    </row>
    <row r="292" spans="1:2" x14ac:dyDescent="0.35">
      <c r="A292" s="34">
        <v>11101707</v>
      </c>
      <c r="B292" s="35" t="s">
        <v>13263</v>
      </c>
    </row>
    <row r="293" spans="1:2" x14ac:dyDescent="0.35">
      <c r="A293" s="34">
        <v>11101708</v>
      </c>
      <c r="B293" s="35" t="s">
        <v>5498</v>
      </c>
    </row>
    <row r="294" spans="1:2" x14ac:dyDescent="0.35">
      <c r="A294" s="34">
        <v>11101709</v>
      </c>
      <c r="B294" s="35" t="s">
        <v>12874</v>
      </c>
    </row>
    <row r="295" spans="1:2" x14ac:dyDescent="0.35">
      <c r="A295" s="34">
        <v>11101710</v>
      </c>
      <c r="B295" s="35" t="s">
        <v>1445</v>
      </c>
    </row>
    <row r="296" spans="1:2" x14ac:dyDescent="0.35">
      <c r="A296" s="34">
        <v>11101711</v>
      </c>
      <c r="B296" s="35" t="s">
        <v>17300</v>
      </c>
    </row>
    <row r="297" spans="1:2" x14ac:dyDescent="0.35">
      <c r="A297" s="34">
        <v>11101712</v>
      </c>
      <c r="B297" s="35" t="s">
        <v>3981</v>
      </c>
    </row>
    <row r="298" spans="1:2" x14ac:dyDescent="0.35">
      <c r="A298" s="34">
        <v>11101713</v>
      </c>
      <c r="B298" s="35" t="s">
        <v>7018</v>
      </c>
    </row>
    <row r="299" spans="1:2" x14ac:dyDescent="0.35">
      <c r="A299" s="34">
        <v>11101714</v>
      </c>
      <c r="B299" s="35" t="s">
        <v>7156</v>
      </c>
    </row>
    <row r="300" spans="1:2" x14ac:dyDescent="0.35">
      <c r="A300" s="34">
        <v>11101715</v>
      </c>
      <c r="B300" s="35" t="s">
        <v>17914</v>
      </c>
    </row>
    <row r="301" spans="1:2" x14ac:dyDescent="0.35">
      <c r="A301" s="34">
        <v>11101716</v>
      </c>
      <c r="B301" s="35" t="s">
        <v>11352</v>
      </c>
    </row>
    <row r="302" spans="1:2" x14ac:dyDescent="0.35">
      <c r="A302" s="34">
        <v>11101717</v>
      </c>
      <c r="B302" s="35" t="s">
        <v>18718</v>
      </c>
    </row>
    <row r="303" spans="1:2" x14ac:dyDescent="0.35">
      <c r="A303" s="34">
        <v>11101718</v>
      </c>
      <c r="B303" s="35" t="s">
        <v>8798</v>
      </c>
    </row>
    <row r="304" spans="1:2" x14ac:dyDescent="0.35">
      <c r="A304" s="34">
        <v>11101719</v>
      </c>
      <c r="B304" s="35" t="s">
        <v>6056</v>
      </c>
    </row>
    <row r="305" spans="1:2" x14ac:dyDescent="0.35">
      <c r="A305" s="34">
        <v>11101801</v>
      </c>
      <c r="B305" s="35" t="s">
        <v>18861</v>
      </c>
    </row>
    <row r="306" spans="1:2" x14ac:dyDescent="0.35">
      <c r="A306" s="34">
        <v>11101802</v>
      </c>
      <c r="B306" s="35" t="s">
        <v>611</v>
      </c>
    </row>
    <row r="307" spans="1:2" x14ac:dyDescent="0.35">
      <c r="A307" s="34">
        <v>11101803</v>
      </c>
      <c r="B307" s="35" t="s">
        <v>15911</v>
      </c>
    </row>
    <row r="308" spans="1:2" x14ac:dyDescent="0.35">
      <c r="A308" s="34">
        <v>11111501</v>
      </c>
      <c r="B308" s="35" t="s">
        <v>1324</v>
      </c>
    </row>
    <row r="309" spans="1:2" x14ac:dyDescent="0.35">
      <c r="A309" s="34">
        <v>11111502</v>
      </c>
      <c r="B309" s="35" t="s">
        <v>135</v>
      </c>
    </row>
    <row r="310" spans="1:2" x14ac:dyDescent="0.35">
      <c r="A310" s="34">
        <v>11111503</v>
      </c>
      <c r="B310" s="35" t="s">
        <v>13012</v>
      </c>
    </row>
    <row r="311" spans="1:2" x14ac:dyDescent="0.35">
      <c r="A311" s="34">
        <v>11111601</v>
      </c>
      <c r="B311" s="35" t="s">
        <v>5710</v>
      </c>
    </row>
    <row r="312" spans="1:2" x14ac:dyDescent="0.35">
      <c r="A312" s="34">
        <v>11111602</v>
      </c>
      <c r="B312" s="35" t="s">
        <v>9661</v>
      </c>
    </row>
    <row r="313" spans="1:2" x14ac:dyDescent="0.35">
      <c r="A313" s="34">
        <v>11111603</v>
      </c>
      <c r="B313" s="35" t="s">
        <v>8801</v>
      </c>
    </row>
    <row r="314" spans="1:2" x14ac:dyDescent="0.35">
      <c r="A314" s="34">
        <v>11111604</v>
      </c>
      <c r="B314" s="35" t="s">
        <v>3959</v>
      </c>
    </row>
    <row r="315" spans="1:2" x14ac:dyDescent="0.35">
      <c r="A315" s="34">
        <v>11111605</v>
      </c>
      <c r="B315" s="35" t="s">
        <v>15299</v>
      </c>
    </row>
    <row r="316" spans="1:2" x14ac:dyDescent="0.35">
      <c r="A316" s="34">
        <v>11111606</v>
      </c>
      <c r="B316" s="35" t="s">
        <v>6016</v>
      </c>
    </row>
    <row r="317" spans="1:2" x14ac:dyDescent="0.35">
      <c r="A317" s="34">
        <v>11111607</v>
      </c>
      <c r="B317" s="35" t="s">
        <v>3480</v>
      </c>
    </row>
    <row r="318" spans="1:2" x14ac:dyDescent="0.35">
      <c r="A318" s="34">
        <v>11111608</v>
      </c>
      <c r="B318" s="35" t="s">
        <v>19417</v>
      </c>
    </row>
    <row r="319" spans="1:2" x14ac:dyDescent="0.35">
      <c r="A319" s="34">
        <v>11111609</v>
      </c>
      <c r="B319" s="35" t="s">
        <v>13447</v>
      </c>
    </row>
    <row r="320" spans="1:2" x14ac:dyDescent="0.35">
      <c r="A320" s="34">
        <v>11111610</v>
      </c>
      <c r="B320" s="35" t="s">
        <v>18457</v>
      </c>
    </row>
    <row r="321" spans="1:2" x14ac:dyDescent="0.35">
      <c r="A321" s="34">
        <v>11111611</v>
      </c>
      <c r="B321" s="35" t="s">
        <v>2597</v>
      </c>
    </row>
    <row r="322" spans="1:2" x14ac:dyDescent="0.35">
      <c r="A322" s="34">
        <v>11111701</v>
      </c>
      <c r="B322" s="35" t="s">
        <v>24</v>
      </c>
    </row>
    <row r="323" spans="1:2" x14ac:dyDescent="0.35">
      <c r="A323" s="34">
        <v>11111801</v>
      </c>
      <c r="B323" s="35" t="s">
        <v>3777</v>
      </c>
    </row>
    <row r="324" spans="1:2" x14ac:dyDescent="0.35">
      <c r="A324" s="34">
        <v>11111802</v>
      </c>
      <c r="B324" s="35" t="s">
        <v>9511</v>
      </c>
    </row>
    <row r="325" spans="1:2" x14ac:dyDescent="0.35">
      <c r="A325" s="34">
        <v>11111803</v>
      </c>
      <c r="B325" s="35" t="s">
        <v>4166</v>
      </c>
    </row>
    <row r="326" spans="1:2" x14ac:dyDescent="0.35">
      <c r="A326" s="34">
        <v>11111804</v>
      </c>
      <c r="B326" s="35" t="s">
        <v>16726</v>
      </c>
    </row>
    <row r="327" spans="1:2" x14ac:dyDescent="0.35">
      <c r="A327" s="34">
        <v>11111805</v>
      </c>
      <c r="B327" s="35" t="s">
        <v>14519</v>
      </c>
    </row>
    <row r="328" spans="1:2" x14ac:dyDescent="0.35">
      <c r="A328" s="34">
        <v>11111806</v>
      </c>
      <c r="B328" s="35" t="s">
        <v>6973</v>
      </c>
    </row>
    <row r="329" spans="1:2" x14ac:dyDescent="0.35">
      <c r="A329" s="34">
        <v>11111807</v>
      </c>
      <c r="B329" s="35" t="s">
        <v>9909</v>
      </c>
    </row>
    <row r="330" spans="1:2" x14ac:dyDescent="0.35">
      <c r="A330" s="34">
        <v>11111808</v>
      </c>
      <c r="B330" s="35" t="s">
        <v>12143</v>
      </c>
    </row>
    <row r="331" spans="1:2" x14ac:dyDescent="0.35">
      <c r="A331" s="34">
        <v>11111809</v>
      </c>
      <c r="B331" s="35" t="s">
        <v>5000</v>
      </c>
    </row>
    <row r="332" spans="1:2" x14ac:dyDescent="0.35">
      <c r="A332" s="34">
        <v>11111810</v>
      </c>
      <c r="B332" s="35" t="s">
        <v>8757</v>
      </c>
    </row>
    <row r="333" spans="1:2" x14ac:dyDescent="0.35">
      <c r="A333" s="34">
        <v>11121502</v>
      </c>
      <c r="B333" s="35" t="s">
        <v>12849</v>
      </c>
    </row>
    <row r="334" spans="1:2" x14ac:dyDescent="0.35">
      <c r="A334" s="34">
        <v>11121503</v>
      </c>
      <c r="B334" s="35" t="s">
        <v>17650</v>
      </c>
    </row>
    <row r="335" spans="1:2" x14ac:dyDescent="0.35">
      <c r="A335" s="34">
        <v>11121603</v>
      </c>
      <c r="B335" s="35" t="s">
        <v>9392</v>
      </c>
    </row>
    <row r="336" spans="1:2" x14ac:dyDescent="0.35">
      <c r="A336" s="34">
        <v>11121604</v>
      </c>
      <c r="B336" s="35" t="s">
        <v>12433</v>
      </c>
    </row>
    <row r="337" spans="1:2" x14ac:dyDescent="0.35">
      <c r="A337" s="34">
        <v>11121605</v>
      </c>
      <c r="B337" s="35" t="s">
        <v>6000</v>
      </c>
    </row>
    <row r="338" spans="1:2" x14ac:dyDescent="0.35">
      <c r="A338" s="34">
        <v>11121606</v>
      </c>
      <c r="B338" s="35" t="s">
        <v>5790</v>
      </c>
    </row>
    <row r="339" spans="1:2" x14ac:dyDescent="0.35">
      <c r="A339" s="34">
        <v>11121607</v>
      </c>
      <c r="B339" s="35" t="s">
        <v>14493</v>
      </c>
    </row>
    <row r="340" spans="1:2" x14ac:dyDescent="0.35">
      <c r="A340" s="34">
        <v>11121608</v>
      </c>
      <c r="B340" s="35" t="s">
        <v>17282</v>
      </c>
    </row>
    <row r="341" spans="1:2" x14ac:dyDescent="0.35">
      <c r="A341" s="34">
        <v>11121609</v>
      </c>
      <c r="B341" s="35" t="s">
        <v>5319</v>
      </c>
    </row>
    <row r="342" spans="1:2" x14ac:dyDescent="0.35">
      <c r="A342" s="34">
        <v>11121610</v>
      </c>
      <c r="B342" s="35" t="s">
        <v>15836</v>
      </c>
    </row>
    <row r="343" spans="1:2" x14ac:dyDescent="0.35">
      <c r="A343" s="34">
        <v>11121611</v>
      </c>
      <c r="B343" s="35" t="s">
        <v>6855</v>
      </c>
    </row>
    <row r="344" spans="1:2" x14ac:dyDescent="0.35">
      <c r="A344" s="34">
        <v>11121612</v>
      </c>
      <c r="B344" s="35" t="s">
        <v>19208</v>
      </c>
    </row>
    <row r="345" spans="1:2" x14ac:dyDescent="0.35">
      <c r="A345" s="34">
        <v>11121701</v>
      </c>
      <c r="B345" s="35" t="s">
        <v>6491</v>
      </c>
    </row>
    <row r="346" spans="1:2" x14ac:dyDescent="0.35">
      <c r="A346" s="34">
        <v>11121702</v>
      </c>
      <c r="B346" s="35" t="s">
        <v>752</v>
      </c>
    </row>
    <row r="347" spans="1:2" x14ac:dyDescent="0.35">
      <c r="A347" s="34">
        <v>11121703</v>
      </c>
      <c r="B347" s="35" t="s">
        <v>4604</v>
      </c>
    </row>
    <row r="348" spans="1:2" x14ac:dyDescent="0.35">
      <c r="A348" s="34">
        <v>11121705</v>
      </c>
      <c r="B348" s="35" t="s">
        <v>11382</v>
      </c>
    </row>
    <row r="349" spans="1:2" x14ac:dyDescent="0.35">
      <c r="A349" s="34">
        <v>11121706</v>
      </c>
      <c r="B349" s="35" t="s">
        <v>10</v>
      </c>
    </row>
    <row r="350" spans="1:2" x14ac:dyDescent="0.35">
      <c r="A350" s="34">
        <v>11121707</v>
      </c>
      <c r="B350" s="35" t="s">
        <v>19412</v>
      </c>
    </row>
    <row r="351" spans="1:2" x14ac:dyDescent="0.35">
      <c r="A351" s="34">
        <v>11121708</v>
      </c>
      <c r="B351" s="35" t="s">
        <v>16288</v>
      </c>
    </row>
    <row r="352" spans="1:2" x14ac:dyDescent="0.35">
      <c r="A352" s="34">
        <v>11121709</v>
      </c>
      <c r="B352" s="35" t="s">
        <v>17150</v>
      </c>
    </row>
    <row r="353" spans="1:2" x14ac:dyDescent="0.35">
      <c r="A353" s="34">
        <v>11121710</v>
      </c>
      <c r="B353" s="35" t="s">
        <v>14455</v>
      </c>
    </row>
    <row r="354" spans="1:2" x14ac:dyDescent="0.35">
      <c r="A354" s="34">
        <v>11121801</v>
      </c>
      <c r="B354" s="35" t="s">
        <v>3285</v>
      </c>
    </row>
    <row r="355" spans="1:2" x14ac:dyDescent="0.35">
      <c r="A355" s="34">
        <v>11121802</v>
      </c>
      <c r="B355" s="35" t="s">
        <v>18174</v>
      </c>
    </row>
    <row r="356" spans="1:2" x14ac:dyDescent="0.35">
      <c r="A356" s="34">
        <v>11121803</v>
      </c>
      <c r="B356" s="35" t="s">
        <v>15278</v>
      </c>
    </row>
    <row r="357" spans="1:2" x14ac:dyDescent="0.35">
      <c r="A357" s="34">
        <v>11121804</v>
      </c>
      <c r="B357" s="35" t="s">
        <v>14748</v>
      </c>
    </row>
    <row r="358" spans="1:2" x14ac:dyDescent="0.35">
      <c r="A358" s="34">
        <v>11121805</v>
      </c>
      <c r="B358" s="35" t="s">
        <v>9905</v>
      </c>
    </row>
    <row r="359" spans="1:2" x14ac:dyDescent="0.35">
      <c r="A359" s="34">
        <v>11121806</v>
      </c>
      <c r="B359" s="35" t="s">
        <v>17655</v>
      </c>
    </row>
    <row r="360" spans="1:2" x14ac:dyDescent="0.35">
      <c r="A360" s="34">
        <v>11121807</v>
      </c>
      <c r="B360" s="35" t="s">
        <v>19602</v>
      </c>
    </row>
    <row r="361" spans="1:2" x14ac:dyDescent="0.35">
      <c r="A361" s="34">
        <v>11121808</v>
      </c>
      <c r="B361" s="35" t="s">
        <v>17002</v>
      </c>
    </row>
    <row r="362" spans="1:2" x14ac:dyDescent="0.35">
      <c r="A362" s="34">
        <v>11121809</v>
      </c>
      <c r="B362" s="35" t="s">
        <v>17423</v>
      </c>
    </row>
    <row r="363" spans="1:2" x14ac:dyDescent="0.35">
      <c r="A363" s="34">
        <v>11121810</v>
      </c>
      <c r="B363" s="35" t="s">
        <v>14914</v>
      </c>
    </row>
    <row r="364" spans="1:2" x14ac:dyDescent="0.35">
      <c r="A364" s="34">
        <v>11121901</v>
      </c>
      <c r="B364" s="35" t="s">
        <v>11940</v>
      </c>
    </row>
    <row r="365" spans="1:2" x14ac:dyDescent="0.35">
      <c r="A365" s="34">
        <v>11131501</v>
      </c>
      <c r="B365" s="35" t="s">
        <v>17085</v>
      </c>
    </row>
    <row r="366" spans="1:2" x14ac:dyDescent="0.35">
      <c r="A366" s="34">
        <v>11131502</v>
      </c>
      <c r="B366" s="35" t="s">
        <v>15745</v>
      </c>
    </row>
    <row r="367" spans="1:2" x14ac:dyDescent="0.35">
      <c r="A367" s="34">
        <v>11131503</v>
      </c>
      <c r="B367" s="35" t="s">
        <v>8911</v>
      </c>
    </row>
    <row r="368" spans="1:2" x14ac:dyDescent="0.35">
      <c r="A368" s="34">
        <v>11131504</v>
      </c>
      <c r="B368" s="35" t="s">
        <v>16476</v>
      </c>
    </row>
    <row r="369" spans="1:2" x14ac:dyDescent="0.35">
      <c r="A369" s="34">
        <v>11131505</v>
      </c>
      <c r="B369" s="35" t="s">
        <v>5248</v>
      </c>
    </row>
    <row r="370" spans="1:2" x14ac:dyDescent="0.35">
      <c r="A370" s="34">
        <v>11131506</v>
      </c>
      <c r="B370" s="35" t="s">
        <v>4834</v>
      </c>
    </row>
    <row r="371" spans="1:2" x14ac:dyDescent="0.35">
      <c r="A371" s="34">
        <v>11131507</v>
      </c>
      <c r="B371" s="35" t="s">
        <v>13451</v>
      </c>
    </row>
    <row r="372" spans="1:2" x14ac:dyDescent="0.35">
      <c r="A372" s="34">
        <v>11131508</v>
      </c>
      <c r="B372" s="35" t="s">
        <v>11200</v>
      </c>
    </row>
    <row r="373" spans="1:2" x14ac:dyDescent="0.35">
      <c r="A373" s="34">
        <v>11131601</v>
      </c>
      <c r="B373" s="35" t="s">
        <v>13639</v>
      </c>
    </row>
    <row r="374" spans="1:2" x14ac:dyDescent="0.35">
      <c r="A374" s="34">
        <v>11131602</v>
      </c>
      <c r="B374" s="35" t="s">
        <v>14392</v>
      </c>
    </row>
    <row r="375" spans="1:2" x14ac:dyDescent="0.35">
      <c r="A375" s="34">
        <v>11131603</v>
      </c>
      <c r="B375" s="35" t="s">
        <v>8206</v>
      </c>
    </row>
    <row r="376" spans="1:2" x14ac:dyDescent="0.35">
      <c r="A376" s="34">
        <v>11131604</v>
      </c>
      <c r="B376" s="35" t="s">
        <v>6110</v>
      </c>
    </row>
    <row r="377" spans="1:2" x14ac:dyDescent="0.35">
      <c r="A377" s="34">
        <v>11131605</v>
      </c>
      <c r="B377" s="35" t="s">
        <v>12664</v>
      </c>
    </row>
    <row r="378" spans="1:2" x14ac:dyDescent="0.35">
      <c r="A378" s="34">
        <v>11131606</v>
      </c>
      <c r="B378" s="35" t="s">
        <v>2341</v>
      </c>
    </row>
    <row r="379" spans="1:2" x14ac:dyDescent="0.35">
      <c r="A379" s="34">
        <v>11131607</v>
      </c>
      <c r="B379" s="35" t="s">
        <v>4256</v>
      </c>
    </row>
    <row r="380" spans="1:2" x14ac:dyDescent="0.35">
      <c r="A380" s="34">
        <v>11131608</v>
      </c>
      <c r="B380" s="35" t="s">
        <v>10156</v>
      </c>
    </row>
    <row r="381" spans="1:2" x14ac:dyDescent="0.35">
      <c r="A381" s="34">
        <v>11141601</v>
      </c>
      <c r="B381" s="35" t="s">
        <v>7747</v>
      </c>
    </row>
    <row r="382" spans="1:2" x14ac:dyDescent="0.35">
      <c r="A382" s="34">
        <v>11141602</v>
      </c>
      <c r="B382" s="35" t="s">
        <v>13996</v>
      </c>
    </row>
    <row r="383" spans="1:2" x14ac:dyDescent="0.35">
      <c r="A383" s="34">
        <v>11141603</v>
      </c>
      <c r="B383" s="35" t="s">
        <v>3761</v>
      </c>
    </row>
    <row r="384" spans="1:2" x14ac:dyDescent="0.35">
      <c r="A384" s="34">
        <v>11141604</v>
      </c>
      <c r="B384" s="35" t="s">
        <v>13142</v>
      </c>
    </row>
    <row r="385" spans="1:2" x14ac:dyDescent="0.35">
      <c r="A385" s="34">
        <v>11141605</v>
      </c>
      <c r="B385" s="35" t="s">
        <v>3557</v>
      </c>
    </row>
    <row r="386" spans="1:2" x14ac:dyDescent="0.35">
      <c r="A386" s="34">
        <v>11141606</v>
      </c>
      <c r="B386" s="35" t="s">
        <v>7067</v>
      </c>
    </row>
    <row r="387" spans="1:2" x14ac:dyDescent="0.35">
      <c r="A387" s="34">
        <v>11141607</v>
      </c>
      <c r="B387" s="35" t="s">
        <v>3672</v>
      </c>
    </row>
    <row r="388" spans="1:2" x14ac:dyDescent="0.35">
      <c r="A388" s="34">
        <v>11141608</v>
      </c>
      <c r="B388" s="35" t="s">
        <v>7994</v>
      </c>
    </row>
    <row r="389" spans="1:2" x14ac:dyDescent="0.35">
      <c r="A389" s="34">
        <v>11141609</v>
      </c>
      <c r="B389" s="35" t="s">
        <v>17564</v>
      </c>
    </row>
    <row r="390" spans="1:2" x14ac:dyDescent="0.35">
      <c r="A390" s="34">
        <v>11141610</v>
      </c>
      <c r="B390" s="35" t="s">
        <v>11431</v>
      </c>
    </row>
    <row r="391" spans="1:2" x14ac:dyDescent="0.35">
      <c r="A391" s="34">
        <v>11141701</v>
      </c>
      <c r="B391" s="35" t="s">
        <v>7771</v>
      </c>
    </row>
    <row r="392" spans="1:2" x14ac:dyDescent="0.35">
      <c r="A392" s="34">
        <v>11141702</v>
      </c>
      <c r="B392" s="35" t="s">
        <v>14423</v>
      </c>
    </row>
    <row r="393" spans="1:2" x14ac:dyDescent="0.35">
      <c r="A393" s="34">
        <v>11151501</v>
      </c>
      <c r="B393" s="35" t="s">
        <v>1812</v>
      </c>
    </row>
    <row r="394" spans="1:2" x14ac:dyDescent="0.35">
      <c r="A394" s="34">
        <v>11151502</v>
      </c>
      <c r="B394" s="35" t="s">
        <v>7644</v>
      </c>
    </row>
    <row r="395" spans="1:2" x14ac:dyDescent="0.35">
      <c r="A395" s="34">
        <v>11151503</v>
      </c>
      <c r="B395" s="35" t="s">
        <v>16671</v>
      </c>
    </row>
    <row r="396" spans="1:2" x14ac:dyDescent="0.35">
      <c r="A396" s="34">
        <v>11151504</v>
      </c>
      <c r="B396" s="35" t="s">
        <v>12892</v>
      </c>
    </row>
    <row r="397" spans="1:2" x14ac:dyDescent="0.35">
      <c r="A397" s="34">
        <v>11151505</v>
      </c>
      <c r="B397" s="35" t="s">
        <v>12336</v>
      </c>
    </row>
    <row r="398" spans="1:2" x14ac:dyDescent="0.35">
      <c r="A398" s="34">
        <v>11151506</v>
      </c>
      <c r="B398" s="35" t="s">
        <v>16120</v>
      </c>
    </row>
    <row r="399" spans="1:2" x14ac:dyDescent="0.35">
      <c r="A399" s="34">
        <v>11151507</v>
      </c>
      <c r="B399" s="35" t="s">
        <v>15226</v>
      </c>
    </row>
    <row r="400" spans="1:2" x14ac:dyDescent="0.35">
      <c r="A400" s="34">
        <v>11151508</v>
      </c>
      <c r="B400" s="35" t="s">
        <v>7233</v>
      </c>
    </row>
    <row r="401" spans="1:2" x14ac:dyDescent="0.35">
      <c r="A401" s="34">
        <v>11151509</v>
      </c>
      <c r="B401" s="35" t="s">
        <v>107</v>
      </c>
    </row>
    <row r="402" spans="1:2" x14ac:dyDescent="0.35">
      <c r="A402" s="34">
        <v>11151510</v>
      </c>
      <c r="B402" s="35" t="s">
        <v>19523</v>
      </c>
    </row>
    <row r="403" spans="1:2" x14ac:dyDescent="0.35">
      <c r="A403" s="34">
        <v>11151511</v>
      </c>
      <c r="B403" s="35" t="s">
        <v>4539</v>
      </c>
    </row>
    <row r="404" spans="1:2" x14ac:dyDescent="0.35">
      <c r="A404" s="34">
        <v>11151512</v>
      </c>
      <c r="B404" s="35" t="s">
        <v>18933</v>
      </c>
    </row>
    <row r="405" spans="1:2" x14ac:dyDescent="0.35">
      <c r="A405" s="34">
        <v>11151513</v>
      </c>
      <c r="B405" s="35" t="s">
        <v>16643</v>
      </c>
    </row>
    <row r="406" spans="1:2" x14ac:dyDescent="0.35">
      <c r="A406" s="34">
        <v>11151514</v>
      </c>
      <c r="B406" s="35" t="s">
        <v>648</v>
      </c>
    </row>
    <row r="407" spans="1:2" x14ac:dyDescent="0.35">
      <c r="A407" s="34">
        <v>11151515</v>
      </c>
      <c r="B407" s="35" t="s">
        <v>16654</v>
      </c>
    </row>
    <row r="408" spans="1:2" x14ac:dyDescent="0.35">
      <c r="A408" s="34">
        <v>11151601</v>
      </c>
      <c r="B408" s="35" t="s">
        <v>16845</v>
      </c>
    </row>
    <row r="409" spans="1:2" x14ac:dyDescent="0.35">
      <c r="A409" s="34">
        <v>11151602</v>
      </c>
      <c r="B409" s="35" t="s">
        <v>18939</v>
      </c>
    </row>
    <row r="410" spans="1:2" x14ac:dyDescent="0.35">
      <c r="A410" s="34">
        <v>11151603</v>
      </c>
      <c r="B410" s="35" t="s">
        <v>17930</v>
      </c>
    </row>
    <row r="411" spans="1:2" x14ac:dyDescent="0.35">
      <c r="A411" s="34">
        <v>11151604</v>
      </c>
      <c r="B411" s="35" t="s">
        <v>2547</v>
      </c>
    </row>
    <row r="412" spans="1:2" x14ac:dyDescent="0.35">
      <c r="A412" s="34">
        <v>11151605</v>
      </c>
      <c r="B412" s="35" t="s">
        <v>1268</v>
      </c>
    </row>
    <row r="413" spans="1:2" x14ac:dyDescent="0.35">
      <c r="A413" s="34">
        <v>11151606</v>
      </c>
      <c r="B413" s="35" t="s">
        <v>13724</v>
      </c>
    </row>
    <row r="414" spans="1:2" x14ac:dyDescent="0.35">
      <c r="A414" s="34">
        <v>11151607</v>
      </c>
      <c r="B414" s="35" t="s">
        <v>3751</v>
      </c>
    </row>
    <row r="415" spans="1:2" x14ac:dyDescent="0.35">
      <c r="A415" s="34">
        <v>11151608</v>
      </c>
      <c r="B415" s="35" t="s">
        <v>6662</v>
      </c>
    </row>
    <row r="416" spans="1:2" x14ac:dyDescent="0.35">
      <c r="A416" s="34">
        <v>11151609</v>
      </c>
      <c r="B416" s="35" t="s">
        <v>8607</v>
      </c>
    </row>
    <row r="417" spans="1:2" x14ac:dyDescent="0.35">
      <c r="A417" s="34">
        <v>11151610</v>
      </c>
      <c r="B417" s="35" t="s">
        <v>8367</v>
      </c>
    </row>
    <row r="418" spans="1:2" x14ac:dyDescent="0.35">
      <c r="A418" s="34">
        <v>11151611</v>
      </c>
      <c r="B418" s="35" t="s">
        <v>2397</v>
      </c>
    </row>
    <row r="419" spans="1:2" x14ac:dyDescent="0.35">
      <c r="A419" s="34">
        <v>11151612</v>
      </c>
      <c r="B419" s="35" t="s">
        <v>15487</v>
      </c>
    </row>
    <row r="420" spans="1:2" x14ac:dyDescent="0.35">
      <c r="A420" s="34">
        <v>11151701</v>
      </c>
      <c r="B420" s="35" t="s">
        <v>14485</v>
      </c>
    </row>
    <row r="421" spans="1:2" x14ac:dyDescent="0.35">
      <c r="A421" s="34">
        <v>11151702</v>
      </c>
      <c r="B421" s="35" t="s">
        <v>17741</v>
      </c>
    </row>
    <row r="422" spans="1:2" x14ac:dyDescent="0.35">
      <c r="A422" s="34">
        <v>11151703</v>
      </c>
      <c r="B422" s="35" t="s">
        <v>11328</v>
      </c>
    </row>
    <row r="423" spans="1:2" x14ac:dyDescent="0.35">
      <c r="A423" s="34">
        <v>11151704</v>
      </c>
      <c r="B423" s="35" t="s">
        <v>510</v>
      </c>
    </row>
    <row r="424" spans="1:2" x14ac:dyDescent="0.35">
      <c r="A424" s="34">
        <v>11151705</v>
      </c>
      <c r="B424" s="35" t="s">
        <v>2917</v>
      </c>
    </row>
    <row r="425" spans="1:2" x14ac:dyDescent="0.35">
      <c r="A425" s="34">
        <v>11151706</v>
      </c>
      <c r="B425" s="35" t="s">
        <v>5796</v>
      </c>
    </row>
    <row r="426" spans="1:2" x14ac:dyDescent="0.35">
      <c r="A426" s="34">
        <v>11151708</v>
      </c>
      <c r="B426" s="35" t="s">
        <v>17955</v>
      </c>
    </row>
    <row r="427" spans="1:2" x14ac:dyDescent="0.35">
      <c r="A427" s="34">
        <v>11151709</v>
      </c>
      <c r="B427" s="35" t="s">
        <v>16774</v>
      </c>
    </row>
    <row r="428" spans="1:2" x14ac:dyDescent="0.35">
      <c r="A428" s="34">
        <v>11151710</v>
      </c>
      <c r="B428" s="35" t="s">
        <v>3017</v>
      </c>
    </row>
    <row r="429" spans="1:2" x14ac:dyDescent="0.35">
      <c r="A429" s="34">
        <v>11151711</v>
      </c>
      <c r="B429" s="35" t="s">
        <v>8562</v>
      </c>
    </row>
    <row r="430" spans="1:2" x14ac:dyDescent="0.35">
      <c r="A430" s="34">
        <v>11151712</v>
      </c>
      <c r="B430" s="35" t="s">
        <v>13589</v>
      </c>
    </row>
    <row r="431" spans="1:2" x14ac:dyDescent="0.35">
      <c r="A431" s="34">
        <v>11151713</v>
      </c>
      <c r="B431" s="35" t="s">
        <v>11499</v>
      </c>
    </row>
    <row r="432" spans="1:2" x14ac:dyDescent="0.35">
      <c r="A432" s="34">
        <v>11151714</v>
      </c>
      <c r="B432" s="35" t="s">
        <v>11738</v>
      </c>
    </row>
    <row r="433" spans="1:2" x14ac:dyDescent="0.35">
      <c r="A433" s="34">
        <v>11151715</v>
      </c>
      <c r="B433" s="35" t="s">
        <v>16446</v>
      </c>
    </row>
    <row r="434" spans="1:2" x14ac:dyDescent="0.35">
      <c r="A434" s="34">
        <v>11161501</v>
      </c>
      <c r="B434" s="35" t="s">
        <v>5453</v>
      </c>
    </row>
    <row r="435" spans="1:2" x14ac:dyDescent="0.35">
      <c r="A435" s="34">
        <v>11161502</v>
      </c>
      <c r="B435" s="35" t="s">
        <v>7728</v>
      </c>
    </row>
    <row r="436" spans="1:2" x14ac:dyDescent="0.35">
      <c r="A436" s="34">
        <v>11161503</v>
      </c>
      <c r="B436" s="35" t="s">
        <v>16614</v>
      </c>
    </row>
    <row r="437" spans="1:2" x14ac:dyDescent="0.35">
      <c r="A437" s="34">
        <v>11161504</v>
      </c>
      <c r="B437" s="35" t="s">
        <v>13767</v>
      </c>
    </row>
    <row r="438" spans="1:2" x14ac:dyDescent="0.35">
      <c r="A438" s="34">
        <v>11161601</v>
      </c>
      <c r="B438" s="35" t="s">
        <v>9176</v>
      </c>
    </row>
    <row r="439" spans="1:2" x14ac:dyDescent="0.35">
      <c r="A439" s="34">
        <v>11161602</v>
      </c>
      <c r="B439" s="35" t="s">
        <v>10897</v>
      </c>
    </row>
    <row r="440" spans="1:2" x14ac:dyDescent="0.35">
      <c r="A440" s="34">
        <v>11161603</v>
      </c>
      <c r="B440" s="35" t="s">
        <v>19593</v>
      </c>
    </row>
    <row r="441" spans="1:2" x14ac:dyDescent="0.35">
      <c r="A441" s="34">
        <v>11161604</v>
      </c>
      <c r="B441" s="35" t="s">
        <v>1378</v>
      </c>
    </row>
    <row r="442" spans="1:2" x14ac:dyDescent="0.35">
      <c r="A442" s="34">
        <v>11161701</v>
      </c>
      <c r="B442" s="35" t="s">
        <v>1625</v>
      </c>
    </row>
    <row r="443" spans="1:2" x14ac:dyDescent="0.35">
      <c r="A443" s="34">
        <v>11161702</v>
      </c>
      <c r="B443" s="35" t="s">
        <v>17788</v>
      </c>
    </row>
    <row r="444" spans="1:2" x14ac:dyDescent="0.35">
      <c r="A444" s="34">
        <v>11161703</v>
      </c>
      <c r="B444" s="35" t="s">
        <v>15705</v>
      </c>
    </row>
    <row r="445" spans="1:2" x14ac:dyDescent="0.35">
      <c r="A445" s="34">
        <v>11161704</v>
      </c>
      <c r="B445" s="35" t="s">
        <v>7208</v>
      </c>
    </row>
    <row r="446" spans="1:2" x14ac:dyDescent="0.35">
      <c r="A446" s="34">
        <v>11161705</v>
      </c>
      <c r="B446" s="35" t="s">
        <v>9128</v>
      </c>
    </row>
    <row r="447" spans="1:2" x14ac:dyDescent="0.35">
      <c r="A447" s="34">
        <v>11161801</v>
      </c>
      <c r="B447" s="35" t="s">
        <v>18565</v>
      </c>
    </row>
    <row r="448" spans="1:2" x14ac:dyDescent="0.35">
      <c r="A448" s="34">
        <v>11161802</v>
      </c>
      <c r="B448" s="35" t="s">
        <v>5125</v>
      </c>
    </row>
    <row r="449" spans="1:2" x14ac:dyDescent="0.35">
      <c r="A449" s="34">
        <v>11161803</v>
      </c>
      <c r="B449" s="35" t="s">
        <v>17501</v>
      </c>
    </row>
    <row r="450" spans="1:2" x14ac:dyDescent="0.35">
      <c r="A450" s="34">
        <v>11161804</v>
      </c>
      <c r="B450" s="35" t="s">
        <v>10320</v>
      </c>
    </row>
    <row r="451" spans="1:2" x14ac:dyDescent="0.35">
      <c r="A451" s="34">
        <v>11161805</v>
      </c>
      <c r="B451" s="35" t="s">
        <v>14980</v>
      </c>
    </row>
    <row r="452" spans="1:2" x14ac:dyDescent="0.35">
      <c r="A452" s="34">
        <v>11162001</v>
      </c>
      <c r="B452" s="35" t="s">
        <v>17592</v>
      </c>
    </row>
    <row r="453" spans="1:2" x14ac:dyDescent="0.35">
      <c r="A453" s="34">
        <v>11162002</v>
      </c>
      <c r="B453" s="35" t="s">
        <v>13753</v>
      </c>
    </row>
    <row r="454" spans="1:2" x14ac:dyDescent="0.35">
      <c r="A454" s="34">
        <v>11162003</v>
      </c>
      <c r="B454" s="35" t="s">
        <v>8318</v>
      </c>
    </row>
    <row r="455" spans="1:2" x14ac:dyDescent="0.35">
      <c r="A455" s="34">
        <v>11162101</v>
      </c>
      <c r="B455" s="35" t="s">
        <v>1785</v>
      </c>
    </row>
    <row r="456" spans="1:2" x14ac:dyDescent="0.35">
      <c r="A456" s="34">
        <v>11162102</v>
      </c>
      <c r="B456" s="35" t="s">
        <v>12518</v>
      </c>
    </row>
    <row r="457" spans="1:2" x14ac:dyDescent="0.35">
      <c r="A457" s="34">
        <v>11162104</v>
      </c>
      <c r="B457" s="35" t="s">
        <v>10396</v>
      </c>
    </row>
    <row r="458" spans="1:2" x14ac:dyDescent="0.35">
      <c r="A458" s="34">
        <v>11162105</v>
      </c>
      <c r="B458" s="35" t="s">
        <v>3020</v>
      </c>
    </row>
    <row r="459" spans="1:2" x14ac:dyDescent="0.35">
      <c r="A459" s="34">
        <v>11162107</v>
      </c>
      <c r="B459" s="35" t="s">
        <v>12565</v>
      </c>
    </row>
    <row r="460" spans="1:2" x14ac:dyDescent="0.35">
      <c r="A460" s="34">
        <v>11162108</v>
      </c>
      <c r="B460" s="35" t="s">
        <v>9319</v>
      </c>
    </row>
    <row r="461" spans="1:2" x14ac:dyDescent="0.35">
      <c r="A461" s="34">
        <v>11162109</v>
      </c>
      <c r="B461" s="35" t="s">
        <v>16347</v>
      </c>
    </row>
    <row r="462" spans="1:2" x14ac:dyDescent="0.35">
      <c r="A462" s="34">
        <v>11162110</v>
      </c>
      <c r="B462" s="35" t="s">
        <v>3885</v>
      </c>
    </row>
    <row r="463" spans="1:2" x14ac:dyDescent="0.35">
      <c r="A463" s="34">
        <v>11162111</v>
      </c>
      <c r="B463" s="35" t="s">
        <v>15782</v>
      </c>
    </row>
    <row r="464" spans="1:2" x14ac:dyDescent="0.35">
      <c r="A464" s="34">
        <v>11162112</v>
      </c>
      <c r="B464" s="35" t="s">
        <v>14066</v>
      </c>
    </row>
    <row r="465" spans="1:2" x14ac:dyDescent="0.35">
      <c r="A465" s="34">
        <v>11162113</v>
      </c>
      <c r="B465" s="35" t="s">
        <v>19612</v>
      </c>
    </row>
    <row r="466" spans="1:2" x14ac:dyDescent="0.35">
      <c r="A466" s="34">
        <v>11162114</v>
      </c>
      <c r="B466" s="35" t="s">
        <v>16509</v>
      </c>
    </row>
    <row r="467" spans="1:2" x14ac:dyDescent="0.35">
      <c r="A467" s="34">
        <v>11162115</v>
      </c>
      <c r="B467" s="35" t="s">
        <v>7567</v>
      </c>
    </row>
    <row r="468" spans="1:2" x14ac:dyDescent="0.35">
      <c r="A468" s="34">
        <v>11162116</v>
      </c>
      <c r="B468" s="35" t="s">
        <v>4884</v>
      </c>
    </row>
    <row r="469" spans="1:2" x14ac:dyDescent="0.35">
      <c r="A469" s="34">
        <v>11162117</v>
      </c>
      <c r="B469" s="35" t="s">
        <v>12900</v>
      </c>
    </row>
    <row r="470" spans="1:2" x14ac:dyDescent="0.35">
      <c r="A470" s="34">
        <v>11162118</v>
      </c>
      <c r="B470" s="35" t="s">
        <v>11279</v>
      </c>
    </row>
    <row r="471" spans="1:2" x14ac:dyDescent="0.35">
      <c r="A471" s="34">
        <v>11162119</v>
      </c>
      <c r="B471" s="35" t="s">
        <v>9336</v>
      </c>
    </row>
    <row r="472" spans="1:2" x14ac:dyDescent="0.35">
      <c r="A472" s="34">
        <v>11162120</v>
      </c>
      <c r="B472" s="35" t="s">
        <v>4576</v>
      </c>
    </row>
    <row r="473" spans="1:2" x14ac:dyDescent="0.35">
      <c r="A473" s="34">
        <v>11162121</v>
      </c>
      <c r="B473" s="35" t="s">
        <v>9852</v>
      </c>
    </row>
    <row r="474" spans="1:2" x14ac:dyDescent="0.35">
      <c r="A474" s="34">
        <v>11162122</v>
      </c>
      <c r="B474" s="35" t="s">
        <v>11653</v>
      </c>
    </row>
    <row r="475" spans="1:2" x14ac:dyDescent="0.35">
      <c r="A475" s="34">
        <v>11162123</v>
      </c>
      <c r="B475" s="35" t="s">
        <v>7184</v>
      </c>
    </row>
    <row r="476" spans="1:2" x14ac:dyDescent="0.35">
      <c r="A476" s="34">
        <v>11162124</v>
      </c>
      <c r="B476" s="35" t="s">
        <v>12402</v>
      </c>
    </row>
    <row r="477" spans="1:2" x14ac:dyDescent="0.35">
      <c r="A477" s="34">
        <v>11162125</v>
      </c>
      <c r="B477" s="35" t="s">
        <v>14263</v>
      </c>
    </row>
    <row r="478" spans="1:2" x14ac:dyDescent="0.35">
      <c r="A478" s="34">
        <v>11162126</v>
      </c>
      <c r="B478" s="35" t="s">
        <v>5337</v>
      </c>
    </row>
    <row r="479" spans="1:2" x14ac:dyDescent="0.35">
      <c r="A479" s="34">
        <v>11162127</v>
      </c>
      <c r="B479" s="35" t="s">
        <v>1751</v>
      </c>
    </row>
    <row r="480" spans="1:2" x14ac:dyDescent="0.35">
      <c r="A480" s="34">
        <v>11162128</v>
      </c>
      <c r="B480" s="35" t="s">
        <v>6999</v>
      </c>
    </row>
    <row r="481" spans="1:2" x14ac:dyDescent="0.35">
      <c r="A481" s="34">
        <v>11162129</v>
      </c>
      <c r="B481" s="35" t="s">
        <v>2552</v>
      </c>
    </row>
    <row r="482" spans="1:2" x14ac:dyDescent="0.35">
      <c r="A482" s="34">
        <v>11162130</v>
      </c>
      <c r="B482" s="35" t="s">
        <v>1568</v>
      </c>
    </row>
    <row r="483" spans="1:2" x14ac:dyDescent="0.35">
      <c r="A483" s="34">
        <v>11162131</v>
      </c>
      <c r="B483" s="35" t="s">
        <v>5327</v>
      </c>
    </row>
    <row r="484" spans="1:2" x14ac:dyDescent="0.35">
      <c r="A484" s="34">
        <v>11162201</v>
      </c>
      <c r="B484" s="35" t="s">
        <v>4438</v>
      </c>
    </row>
    <row r="485" spans="1:2" x14ac:dyDescent="0.35">
      <c r="A485" s="34">
        <v>11162202</v>
      </c>
      <c r="B485" s="35" t="s">
        <v>2098</v>
      </c>
    </row>
    <row r="486" spans="1:2" x14ac:dyDescent="0.35">
      <c r="A486" s="34">
        <v>11162301</v>
      </c>
      <c r="B486" s="35" t="s">
        <v>13331</v>
      </c>
    </row>
    <row r="487" spans="1:2" x14ac:dyDescent="0.35">
      <c r="A487" s="34">
        <v>11162302</v>
      </c>
      <c r="B487" s="35" t="s">
        <v>4103</v>
      </c>
    </row>
    <row r="488" spans="1:2" x14ac:dyDescent="0.35">
      <c r="A488" s="34">
        <v>11162303</v>
      </c>
      <c r="B488" s="35" t="s">
        <v>18313</v>
      </c>
    </row>
    <row r="489" spans="1:2" x14ac:dyDescent="0.35">
      <c r="A489" s="34">
        <v>11162304</v>
      </c>
      <c r="B489" s="35" t="s">
        <v>6201</v>
      </c>
    </row>
    <row r="490" spans="1:2" x14ac:dyDescent="0.35">
      <c r="A490" s="34">
        <v>11162305</v>
      </c>
      <c r="B490" s="35" t="s">
        <v>2011</v>
      </c>
    </row>
    <row r="491" spans="1:2" x14ac:dyDescent="0.35">
      <c r="A491" s="34">
        <v>11162306</v>
      </c>
      <c r="B491" s="35" t="s">
        <v>18657</v>
      </c>
    </row>
    <row r="492" spans="1:2" x14ac:dyDescent="0.35">
      <c r="A492" s="34">
        <v>11162307</v>
      </c>
      <c r="B492" s="35" t="s">
        <v>4937</v>
      </c>
    </row>
    <row r="493" spans="1:2" x14ac:dyDescent="0.35">
      <c r="A493" s="34">
        <v>11162308</v>
      </c>
      <c r="B493" s="35" t="s">
        <v>14286</v>
      </c>
    </row>
    <row r="494" spans="1:2" x14ac:dyDescent="0.35">
      <c r="A494" s="34">
        <v>11162309</v>
      </c>
      <c r="B494" s="35" t="s">
        <v>19564</v>
      </c>
    </row>
    <row r="495" spans="1:2" x14ac:dyDescent="0.35">
      <c r="A495" s="34">
        <v>11162310</v>
      </c>
      <c r="B495" s="35" t="s">
        <v>14990</v>
      </c>
    </row>
    <row r="496" spans="1:2" x14ac:dyDescent="0.35">
      <c r="A496" s="34">
        <v>11162311</v>
      </c>
      <c r="B496" s="35" t="s">
        <v>2193</v>
      </c>
    </row>
    <row r="497" spans="1:2" x14ac:dyDescent="0.35">
      <c r="A497" s="34">
        <v>11171501</v>
      </c>
      <c r="B497" s="35" t="s">
        <v>18487</v>
      </c>
    </row>
    <row r="498" spans="1:2" x14ac:dyDescent="0.35">
      <c r="A498" s="34">
        <v>11171601</v>
      </c>
      <c r="B498" s="35" t="s">
        <v>832</v>
      </c>
    </row>
    <row r="499" spans="1:2" x14ac:dyDescent="0.35">
      <c r="A499" s="34">
        <v>11171602</v>
      </c>
      <c r="B499" s="35" t="s">
        <v>676</v>
      </c>
    </row>
    <row r="500" spans="1:2" x14ac:dyDescent="0.35">
      <c r="A500" s="34">
        <v>11171603</v>
      </c>
      <c r="B500" s="35" t="s">
        <v>15247</v>
      </c>
    </row>
    <row r="501" spans="1:2" x14ac:dyDescent="0.35">
      <c r="A501" s="34">
        <v>11171701</v>
      </c>
      <c r="B501" s="35" t="s">
        <v>11666</v>
      </c>
    </row>
    <row r="502" spans="1:2" x14ac:dyDescent="0.35">
      <c r="A502" s="34">
        <v>11171702</v>
      </c>
      <c r="B502" s="35" t="s">
        <v>7997</v>
      </c>
    </row>
    <row r="503" spans="1:2" x14ac:dyDescent="0.35">
      <c r="A503" s="34">
        <v>11171801</v>
      </c>
      <c r="B503" s="35" t="s">
        <v>7896</v>
      </c>
    </row>
    <row r="504" spans="1:2" x14ac:dyDescent="0.35">
      <c r="A504" s="34">
        <v>11171901</v>
      </c>
      <c r="B504" s="35" t="s">
        <v>13234</v>
      </c>
    </row>
    <row r="505" spans="1:2" x14ac:dyDescent="0.35">
      <c r="A505" s="34">
        <v>11172001</v>
      </c>
      <c r="B505" s="35" t="s">
        <v>2716</v>
      </c>
    </row>
    <row r="506" spans="1:2" x14ac:dyDescent="0.35">
      <c r="A506" s="34">
        <v>11172101</v>
      </c>
      <c r="B506" s="35" t="s">
        <v>13544</v>
      </c>
    </row>
    <row r="507" spans="1:2" x14ac:dyDescent="0.35">
      <c r="A507" s="34">
        <v>11181501</v>
      </c>
      <c r="B507" s="35" t="s">
        <v>18067</v>
      </c>
    </row>
    <row r="508" spans="1:2" x14ac:dyDescent="0.35">
      <c r="A508" s="34">
        <v>11191501</v>
      </c>
      <c r="B508" s="35" t="s">
        <v>2655</v>
      </c>
    </row>
    <row r="509" spans="1:2" x14ac:dyDescent="0.35">
      <c r="A509" s="34">
        <v>11191502</v>
      </c>
      <c r="B509" s="35" t="s">
        <v>17016</v>
      </c>
    </row>
    <row r="510" spans="1:2" x14ac:dyDescent="0.35">
      <c r="A510" s="34">
        <v>11191503</v>
      </c>
      <c r="B510" s="35" t="s">
        <v>4097</v>
      </c>
    </row>
    <row r="511" spans="1:2" x14ac:dyDescent="0.35">
      <c r="A511" s="34">
        <v>11191504</v>
      </c>
      <c r="B511" s="35" t="s">
        <v>18239</v>
      </c>
    </row>
    <row r="512" spans="1:2" x14ac:dyDescent="0.35">
      <c r="A512" s="34">
        <v>11191505</v>
      </c>
      <c r="B512" s="35" t="s">
        <v>2905</v>
      </c>
    </row>
    <row r="513" spans="1:2" x14ac:dyDescent="0.35">
      <c r="A513" s="34">
        <v>11191601</v>
      </c>
      <c r="B513" s="35" t="s">
        <v>2709</v>
      </c>
    </row>
    <row r="514" spans="1:2" x14ac:dyDescent="0.35">
      <c r="A514" s="34">
        <v>11191602</v>
      </c>
      <c r="B514" s="35" t="s">
        <v>2793</v>
      </c>
    </row>
    <row r="515" spans="1:2" x14ac:dyDescent="0.35">
      <c r="A515" s="34">
        <v>11191603</v>
      </c>
      <c r="B515" s="35" t="s">
        <v>2370</v>
      </c>
    </row>
    <row r="516" spans="1:2" x14ac:dyDescent="0.35">
      <c r="A516" s="34">
        <v>11191604</v>
      </c>
      <c r="B516" s="35" t="s">
        <v>9697</v>
      </c>
    </row>
    <row r="517" spans="1:2" x14ac:dyDescent="0.35">
      <c r="A517" s="34">
        <v>11191605</v>
      </c>
      <c r="B517" s="35" t="s">
        <v>16711</v>
      </c>
    </row>
    <row r="518" spans="1:2" x14ac:dyDescent="0.35">
      <c r="A518" s="34">
        <v>11191606</v>
      </c>
      <c r="B518" s="35" t="s">
        <v>16648</v>
      </c>
    </row>
    <row r="519" spans="1:2" x14ac:dyDescent="0.35">
      <c r="A519" s="34">
        <v>11191701</v>
      </c>
      <c r="B519" s="35" t="s">
        <v>13463</v>
      </c>
    </row>
    <row r="520" spans="1:2" x14ac:dyDescent="0.35">
      <c r="A520" s="34">
        <v>11191702</v>
      </c>
      <c r="B520" s="35" t="s">
        <v>2537</v>
      </c>
    </row>
    <row r="521" spans="1:2" x14ac:dyDescent="0.35">
      <c r="A521" s="34">
        <v>12131501</v>
      </c>
      <c r="B521" s="35" t="s">
        <v>17289</v>
      </c>
    </row>
    <row r="522" spans="1:2" x14ac:dyDescent="0.35">
      <c r="A522" s="34">
        <v>12131502</v>
      </c>
      <c r="B522" s="35" t="s">
        <v>9782</v>
      </c>
    </row>
    <row r="523" spans="1:2" x14ac:dyDescent="0.35">
      <c r="A523" s="34">
        <v>12131503</v>
      </c>
      <c r="B523" s="35" t="s">
        <v>7317</v>
      </c>
    </row>
    <row r="524" spans="1:2" x14ac:dyDescent="0.35">
      <c r="A524" s="34">
        <v>12131504</v>
      </c>
      <c r="B524" s="35" t="s">
        <v>3394</v>
      </c>
    </row>
    <row r="525" spans="1:2" x14ac:dyDescent="0.35">
      <c r="A525" s="34">
        <v>12131505</v>
      </c>
      <c r="B525" s="35" t="s">
        <v>17946</v>
      </c>
    </row>
    <row r="526" spans="1:2" x14ac:dyDescent="0.35">
      <c r="A526" s="34">
        <v>12131506</v>
      </c>
      <c r="B526" s="35" t="s">
        <v>4823</v>
      </c>
    </row>
    <row r="527" spans="1:2" x14ac:dyDescent="0.35">
      <c r="A527" s="34">
        <v>12131507</v>
      </c>
      <c r="B527" s="35" t="s">
        <v>10015</v>
      </c>
    </row>
    <row r="528" spans="1:2" x14ac:dyDescent="0.35">
      <c r="A528" s="34">
        <v>12131508</v>
      </c>
      <c r="B528" s="35" t="s">
        <v>2478</v>
      </c>
    </row>
    <row r="529" spans="1:2" x14ac:dyDescent="0.35">
      <c r="A529" s="34">
        <v>12131601</v>
      </c>
      <c r="B529" s="35" t="s">
        <v>19556</v>
      </c>
    </row>
    <row r="530" spans="1:2" x14ac:dyDescent="0.35">
      <c r="A530" s="34">
        <v>12131602</v>
      </c>
      <c r="B530" s="35" t="s">
        <v>9436</v>
      </c>
    </row>
    <row r="531" spans="1:2" x14ac:dyDescent="0.35">
      <c r="A531" s="34">
        <v>12131603</v>
      </c>
      <c r="B531" s="35" t="s">
        <v>4968</v>
      </c>
    </row>
    <row r="532" spans="1:2" x14ac:dyDescent="0.35">
      <c r="A532" s="34">
        <v>12131604</v>
      </c>
      <c r="B532" s="35" t="s">
        <v>7319</v>
      </c>
    </row>
    <row r="533" spans="1:2" x14ac:dyDescent="0.35">
      <c r="A533" s="34">
        <v>12131605</v>
      </c>
      <c r="B533" s="35" t="s">
        <v>1454</v>
      </c>
    </row>
    <row r="534" spans="1:2" x14ac:dyDescent="0.35">
      <c r="A534" s="34">
        <v>12131701</v>
      </c>
      <c r="B534" s="35" t="s">
        <v>5476</v>
      </c>
    </row>
    <row r="535" spans="1:2" x14ac:dyDescent="0.35">
      <c r="A535" s="34">
        <v>12131702</v>
      </c>
      <c r="B535" s="35" t="s">
        <v>6872</v>
      </c>
    </row>
    <row r="536" spans="1:2" x14ac:dyDescent="0.35">
      <c r="A536" s="34">
        <v>12131703</v>
      </c>
      <c r="B536" s="35" t="s">
        <v>9932</v>
      </c>
    </row>
    <row r="537" spans="1:2" x14ac:dyDescent="0.35">
      <c r="A537" s="34">
        <v>12131704</v>
      </c>
      <c r="B537" s="35" t="s">
        <v>1233</v>
      </c>
    </row>
    <row r="538" spans="1:2" x14ac:dyDescent="0.35">
      <c r="A538" s="34">
        <v>12131705</v>
      </c>
      <c r="B538" s="35" t="s">
        <v>12280</v>
      </c>
    </row>
    <row r="539" spans="1:2" x14ac:dyDescent="0.35">
      <c r="A539" s="34">
        <v>12131706</v>
      </c>
      <c r="B539" s="35" t="s">
        <v>4594</v>
      </c>
    </row>
    <row r="540" spans="1:2" x14ac:dyDescent="0.35">
      <c r="A540" s="34">
        <v>12131707</v>
      </c>
      <c r="B540" s="35" t="s">
        <v>5629</v>
      </c>
    </row>
    <row r="541" spans="1:2" x14ac:dyDescent="0.35">
      <c r="A541" s="34">
        <v>12131708</v>
      </c>
      <c r="B541" s="35" t="s">
        <v>9452</v>
      </c>
    </row>
    <row r="542" spans="1:2" x14ac:dyDescent="0.35">
      <c r="A542" s="34">
        <v>12131801</v>
      </c>
      <c r="B542" s="35" t="s">
        <v>16280</v>
      </c>
    </row>
    <row r="543" spans="1:2" x14ac:dyDescent="0.35">
      <c r="A543" s="34">
        <v>12131802</v>
      </c>
      <c r="B543" s="35" t="s">
        <v>1959</v>
      </c>
    </row>
    <row r="544" spans="1:2" x14ac:dyDescent="0.35">
      <c r="A544" s="34">
        <v>12131803</v>
      </c>
      <c r="B544" s="35" t="s">
        <v>600</v>
      </c>
    </row>
    <row r="545" spans="1:2" x14ac:dyDescent="0.35">
      <c r="A545" s="34">
        <v>12131804</v>
      </c>
      <c r="B545" s="35" t="s">
        <v>5676</v>
      </c>
    </row>
    <row r="546" spans="1:2" x14ac:dyDescent="0.35">
      <c r="A546" s="34">
        <v>12131805</v>
      </c>
      <c r="B546" s="35" t="s">
        <v>18518</v>
      </c>
    </row>
    <row r="547" spans="1:2" x14ac:dyDescent="0.35">
      <c r="A547" s="34">
        <v>12131806</v>
      </c>
      <c r="B547" s="35" t="s">
        <v>16332</v>
      </c>
    </row>
    <row r="548" spans="1:2" x14ac:dyDescent="0.35">
      <c r="A548" s="34">
        <v>12141501</v>
      </c>
      <c r="B548" s="35" t="s">
        <v>17916</v>
      </c>
    </row>
    <row r="549" spans="1:2" x14ac:dyDescent="0.35">
      <c r="A549" s="34">
        <v>12141502</v>
      </c>
      <c r="B549" s="35" t="s">
        <v>9295</v>
      </c>
    </row>
    <row r="550" spans="1:2" x14ac:dyDescent="0.35">
      <c r="A550" s="34">
        <v>12141503</v>
      </c>
      <c r="B550" s="35" t="s">
        <v>19124</v>
      </c>
    </row>
    <row r="551" spans="1:2" x14ac:dyDescent="0.35">
      <c r="A551" s="34">
        <v>12141504</v>
      </c>
      <c r="B551" s="35" t="s">
        <v>3568</v>
      </c>
    </row>
    <row r="552" spans="1:2" x14ac:dyDescent="0.35">
      <c r="A552" s="34">
        <v>12141505</v>
      </c>
      <c r="B552" s="35" t="s">
        <v>5502</v>
      </c>
    </row>
    <row r="553" spans="1:2" x14ac:dyDescent="0.35">
      <c r="A553" s="34">
        <v>12141506</v>
      </c>
      <c r="B553" s="35" t="s">
        <v>17290</v>
      </c>
    </row>
    <row r="554" spans="1:2" x14ac:dyDescent="0.35">
      <c r="A554" s="34">
        <v>12141601</v>
      </c>
      <c r="B554" s="35" t="s">
        <v>15492</v>
      </c>
    </row>
    <row r="555" spans="1:2" x14ac:dyDescent="0.35">
      <c r="A555" s="34">
        <v>12141602</v>
      </c>
      <c r="B555" s="35" t="s">
        <v>1653</v>
      </c>
    </row>
    <row r="556" spans="1:2" x14ac:dyDescent="0.35">
      <c r="A556" s="34">
        <v>12141603</v>
      </c>
      <c r="B556" s="35" t="s">
        <v>16082</v>
      </c>
    </row>
    <row r="557" spans="1:2" x14ac:dyDescent="0.35">
      <c r="A557" s="34">
        <v>12141604</v>
      </c>
      <c r="B557" s="35" t="s">
        <v>17660</v>
      </c>
    </row>
    <row r="558" spans="1:2" x14ac:dyDescent="0.35">
      <c r="A558" s="34">
        <v>12141605</v>
      </c>
      <c r="B558" s="35" t="s">
        <v>15729</v>
      </c>
    </row>
    <row r="559" spans="1:2" x14ac:dyDescent="0.35">
      <c r="A559" s="34">
        <v>12141606</v>
      </c>
      <c r="B559" s="35" t="s">
        <v>8754</v>
      </c>
    </row>
    <row r="560" spans="1:2" x14ac:dyDescent="0.35">
      <c r="A560" s="34">
        <v>12141607</v>
      </c>
      <c r="B560" s="35" t="s">
        <v>19226</v>
      </c>
    </row>
    <row r="561" spans="1:2" x14ac:dyDescent="0.35">
      <c r="A561" s="34">
        <v>12141608</v>
      </c>
      <c r="B561" s="35" t="s">
        <v>13352</v>
      </c>
    </row>
    <row r="562" spans="1:2" x14ac:dyDescent="0.35">
      <c r="A562" s="34">
        <v>12141609</v>
      </c>
      <c r="B562" s="35" t="s">
        <v>14489</v>
      </c>
    </row>
    <row r="563" spans="1:2" x14ac:dyDescent="0.35">
      <c r="A563" s="34">
        <v>12141610</v>
      </c>
      <c r="B563" s="35" t="s">
        <v>6595</v>
      </c>
    </row>
    <row r="564" spans="1:2" x14ac:dyDescent="0.35">
      <c r="A564" s="34">
        <v>12141611</v>
      </c>
      <c r="B564" s="35" t="s">
        <v>7225</v>
      </c>
    </row>
    <row r="565" spans="1:2" x14ac:dyDescent="0.35">
      <c r="A565" s="34">
        <v>12141612</v>
      </c>
      <c r="B565" s="35" t="s">
        <v>5396</v>
      </c>
    </row>
    <row r="566" spans="1:2" x14ac:dyDescent="0.35">
      <c r="A566" s="34">
        <v>12141613</v>
      </c>
      <c r="B566" s="35" t="s">
        <v>10001</v>
      </c>
    </row>
    <row r="567" spans="1:2" x14ac:dyDescent="0.35">
      <c r="A567" s="34">
        <v>12141614</v>
      </c>
      <c r="B567" s="35" t="s">
        <v>13727</v>
      </c>
    </row>
    <row r="568" spans="1:2" x14ac:dyDescent="0.35">
      <c r="A568" s="34">
        <v>12141615</v>
      </c>
      <c r="B568" s="35" t="s">
        <v>16383</v>
      </c>
    </row>
    <row r="569" spans="1:2" x14ac:dyDescent="0.35">
      <c r="A569" s="34">
        <v>12141616</v>
      </c>
      <c r="B569" s="35" t="s">
        <v>8080</v>
      </c>
    </row>
    <row r="570" spans="1:2" x14ac:dyDescent="0.35">
      <c r="A570" s="34">
        <v>12141617</v>
      </c>
      <c r="B570" s="35" t="s">
        <v>8093</v>
      </c>
    </row>
    <row r="571" spans="1:2" x14ac:dyDescent="0.35">
      <c r="A571" s="34">
        <v>12141701</v>
      </c>
      <c r="B571" s="35" t="s">
        <v>14561</v>
      </c>
    </row>
    <row r="572" spans="1:2" x14ac:dyDescent="0.35">
      <c r="A572" s="34">
        <v>12141702</v>
      </c>
      <c r="B572" s="35" t="s">
        <v>18126</v>
      </c>
    </row>
    <row r="573" spans="1:2" x14ac:dyDescent="0.35">
      <c r="A573" s="34">
        <v>12141703</v>
      </c>
      <c r="B573" s="35" t="s">
        <v>621</v>
      </c>
    </row>
    <row r="574" spans="1:2" x14ac:dyDescent="0.35">
      <c r="A574" s="34">
        <v>12141704</v>
      </c>
      <c r="B574" s="35" t="s">
        <v>3619</v>
      </c>
    </row>
    <row r="575" spans="1:2" x14ac:dyDescent="0.35">
      <c r="A575" s="34">
        <v>12141705</v>
      </c>
      <c r="B575" s="35" t="s">
        <v>8885</v>
      </c>
    </row>
    <row r="576" spans="1:2" x14ac:dyDescent="0.35">
      <c r="A576" s="34">
        <v>12141706</v>
      </c>
      <c r="B576" s="35" t="s">
        <v>15238</v>
      </c>
    </row>
    <row r="577" spans="1:2" x14ac:dyDescent="0.35">
      <c r="A577" s="34">
        <v>12141707</v>
      </c>
      <c r="B577" s="35" t="s">
        <v>7632</v>
      </c>
    </row>
    <row r="578" spans="1:2" x14ac:dyDescent="0.35">
      <c r="A578" s="34">
        <v>12141708</v>
      </c>
      <c r="B578" s="35" t="s">
        <v>6044</v>
      </c>
    </row>
    <row r="579" spans="1:2" x14ac:dyDescent="0.35">
      <c r="A579" s="34">
        <v>12141709</v>
      </c>
      <c r="B579" s="35" t="s">
        <v>8589</v>
      </c>
    </row>
    <row r="580" spans="1:2" x14ac:dyDescent="0.35">
      <c r="A580" s="34">
        <v>12141710</v>
      </c>
      <c r="B580" s="35" t="s">
        <v>9873</v>
      </c>
    </row>
    <row r="581" spans="1:2" x14ac:dyDescent="0.35">
      <c r="A581" s="34">
        <v>12141711</v>
      </c>
      <c r="B581" s="35" t="s">
        <v>3220</v>
      </c>
    </row>
    <row r="582" spans="1:2" x14ac:dyDescent="0.35">
      <c r="A582" s="34">
        <v>12141712</v>
      </c>
      <c r="B582" s="35" t="s">
        <v>853</v>
      </c>
    </row>
    <row r="583" spans="1:2" x14ac:dyDescent="0.35">
      <c r="A583" s="34">
        <v>12141713</v>
      </c>
      <c r="B583" s="35" t="s">
        <v>12534</v>
      </c>
    </row>
    <row r="584" spans="1:2" x14ac:dyDescent="0.35">
      <c r="A584" s="34">
        <v>12141714</v>
      </c>
      <c r="B584" s="35" t="s">
        <v>10351</v>
      </c>
    </row>
    <row r="585" spans="1:2" x14ac:dyDescent="0.35">
      <c r="A585" s="34">
        <v>12141715</v>
      </c>
      <c r="B585" s="35" t="s">
        <v>5106</v>
      </c>
    </row>
    <row r="586" spans="1:2" x14ac:dyDescent="0.35">
      <c r="A586" s="34">
        <v>12141716</v>
      </c>
      <c r="B586" s="35" t="s">
        <v>6301</v>
      </c>
    </row>
    <row r="587" spans="1:2" x14ac:dyDescent="0.35">
      <c r="A587" s="34">
        <v>12141717</v>
      </c>
      <c r="B587" s="35" t="s">
        <v>18925</v>
      </c>
    </row>
    <row r="588" spans="1:2" x14ac:dyDescent="0.35">
      <c r="A588" s="34">
        <v>12141718</v>
      </c>
      <c r="B588" s="35" t="s">
        <v>15356</v>
      </c>
    </row>
    <row r="589" spans="1:2" x14ac:dyDescent="0.35">
      <c r="A589" s="34">
        <v>12141719</v>
      </c>
      <c r="B589" s="35" t="s">
        <v>14376</v>
      </c>
    </row>
    <row r="590" spans="1:2" x14ac:dyDescent="0.35">
      <c r="A590" s="34">
        <v>12141720</v>
      </c>
      <c r="B590" s="35" t="s">
        <v>9765</v>
      </c>
    </row>
    <row r="591" spans="1:2" x14ac:dyDescent="0.35">
      <c r="A591" s="34">
        <v>12141721</v>
      </c>
      <c r="B591" s="35" t="s">
        <v>3329</v>
      </c>
    </row>
    <row r="592" spans="1:2" x14ac:dyDescent="0.35">
      <c r="A592" s="34">
        <v>12141722</v>
      </c>
      <c r="B592" s="35" t="s">
        <v>17597</v>
      </c>
    </row>
    <row r="593" spans="1:2" x14ac:dyDescent="0.35">
      <c r="A593" s="34">
        <v>12141723</v>
      </c>
      <c r="B593" s="35" t="s">
        <v>13766</v>
      </c>
    </row>
    <row r="594" spans="1:2" x14ac:dyDescent="0.35">
      <c r="A594" s="34">
        <v>12141724</v>
      </c>
      <c r="B594" s="35" t="s">
        <v>7817</v>
      </c>
    </row>
    <row r="595" spans="1:2" x14ac:dyDescent="0.35">
      <c r="A595" s="34">
        <v>12141725</v>
      </c>
      <c r="B595" s="35" t="s">
        <v>7488</v>
      </c>
    </row>
    <row r="596" spans="1:2" x14ac:dyDescent="0.35">
      <c r="A596" s="34">
        <v>12141726</v>
      </c>
      <c r="B596" s="35" t="s">
        <v>3027</v>
      </c>
    </row>
    <row r="597" spans="1:2" x14ac:dyDescent="0.35">
      <c r="A597" s="34">
        <v>12141727</v>
      </c>
      <c r="B597" s="35" t="s">
        <v>16146</v>
      </c>
    </row>
    <row r="598" spans="1:2" x14ac:dyDescent="0.35">
      <c r="A598" s="34">
        <v>12141728</v>
      </c>
      <c r="B598" s="35" t="s">
        <v>17599</v>
      </c>
    </row>
    <row r="599" spans="1:2" x14ac:dyDescent="0.35">
      <c r="A599" s="34">
        <v>12141729</v>
      </c>
      <c r="B599" s="35" t="s">
        <v>13057</v>
      </c>
    </row>
    <row r="600" spans="1:2" x14ac:dyDescent="0.35">
      <c r="A600" s="34">
        <v>12141730</v>
      </c>
      <c r="B600" s="35" t="s">
        <v>1394</v>
      </c>
    </row>
    <row r="601" spans="1:2" x14ac:dyDescent="0.35">
      <c r="A601" s="34">
        <v>12141731</v>
      </c>
      <c r="B601" s="35" t="s">
        <v>18726</v>
      </c>
    </row>
    <row r="602" spans="1:2" x14ac:dyDescent="0.35">
      <c r="A602" s="34">
        <v>12141732</v>
      </c>
      <c r="B602" s="35" t="s">
        <v>7061</v>
      </c>
    </row>
    <row r="603" spans="1:2" x14ac:dyDescent="0.35">
      <c r="A603" s="34">
        <v>12141733</v>
      </c>
      <c r="B603" s="35" t="s">
        <v>17740</v>
      </c>
    </row>
    <row r="604" spans="1:2" x14ac:dyDescent="0.35">
      <c r="A604" s="34">
        <v>12141734</v>
      </c>
      <c r="B604" s="35" t="s">
        <v>3699</v>
      </c>
    </row>
    <row r="605" spans="1:2" x14ac:dyDescent="0.35">
      <c r="A605" s="34">
        <v>12141735</v>
      </c>
      <c r="B605" s="35" t="s">
        <v>13787</v>
      </c>
    </row>
    <row r="606" spans="1:2" x14ac:dyDescent="0.35">
      <c r="A606" s="34">
        <v>12141736</v>
      </c>
      <c r="B606" s="35" t="s">
        <v>10458</v>
      </c>
    </row>
    <row r="607" spans="1:2" x14ac:dyDescent="0.35">
      <c r="A607" s="34">
        <v>12141737</v>
      </c>
      <c r="B607" s="35" t="s">
        <v>5433</v>
      </c>
    </row>
    <row r="608" spans="1:2" x14ac:dyDescent="0.35">
      <c r="A608" s="34">
        <v>12141738</v>
      </c>
      <c r="B608" s="35" t="s">
        <v>9828</v>
      </c>
    </row>
    <row r="609" spans="1:2" x14ac:dyDescent="0.35">
      <c r="A609" s="34">
        <v>12141739</v>
      </c>
      <c r="B609" s="35" t="s">
        <v>13985</v>
      </c>
    </row>
    <row r="610" spans="1:2" x14ac:dyDescent="0.35">
      <c r="A610" s="34">
        <v>12141740</v>
      </c>
      <c r="B610" s="35" t="s">
        <v>6200</v>
      </c>
    </row>
    <row r="611" spans="1:2" x14ac:dyDescent="0.35">
      <c r="A611" s="34">
        <v>12141741</v>
      </c>
      <c r="B611" s="35" t="s">
        <v>5124</v>
      </c>
    </row>
    <row r="612" spans="1:2" x14ac:dyDescent="0.35">
      <c r="A612" s="34">
        <v>12141742</v>
      </c>
      <c r="B612" s="35" t="s">
        <v>10119</v>
      </c>
    </row>
    <row r="613" spans="1:2" x14ac:dyDescent="0.35">
      <c r="A613" s="34">
        <v>12141743</v>
      </c>
      <c r="B613" s="35" t="s">
        <v>17299</v>
      </c>
    </row>
    <row r="614" spans="1:2" x14ac:dyDescent="0.35">
      <c r="A614" s="34">
        <v>12141744</v>
      </c>
      <c r="B614" s="35" t="s">
        <v>129</v>
      </c>
    </row>
    <row r="615" spans="1:2" x14ac:dyDescent="0.35">
      <c r="A615" s="34">
        <v>12141745</v>
      </c>
      <c r="B615" s="35" t="s">
        <v>17940</v>
      </c>
    </row>
    <row r="616" spans="1:2" x14ac:dyDescent="0.35">
      <c r="A616" s="34">
        <v>12141746</v>
      </c>
      <c r="B616" s="35" t="s">
        <v>11710</v>
      </c>
    </row>
    <row r="617" spans="1:2" x14ac:dyDescent="0.35">
      <c r="A617" s="34">
        <v>12141747</v>
      </c>
      <c r="B617" s="35" t="s">
        <v>4714</v>
      </c>
    </row>
    <row r="618" spans="1:2" x14ac:dyDescent="0.35">
      <c r="A618" s="34">
        <v>12141748</v>
      </c>
      <c r="B618" s="35" t="s">
        <v>13798</v>
      </c>
    </row>
    <row r="619" spans="1:2" x14ac:dyDescent="0.35">
      <c r="A619" s="34">
        <v>12141749</v>
      </c>
      <c r="B619" s="35" t="s">
        <v>17790</v>
      </c>
    </row>
    <row r="620" spans="1:2" x14ac:dyDescent="0.35">
      <c r="A620" s="34">
        <v>12141750</v>
      </c>
      <c r="B620" s="35" t="s">
        <v>8152</v>
      </c>
    </row>
    <row r="621" spans="1:2" x14ac:dyDescent="0.35">
      <c r="A621" s="34">
        <v>12141751</v>
      </c>
      <c r="B621" s="35" t="s">
        <v>10941</v>
      </c>
    </row>
    <row r="622" spans="1:2" x14ac:dyDescent="0.35">
      <c r="A622" s="34">
        <v>12141752</v>
      </c>
      <c r="B622" s="35" t="s">
        <v>1291</v>
      </c>
    </row>
    <row r="623" spans="1:2" x14ac:dyDescent="0.35">
      <c r="A623" s="34">
        <v>12141753</v>
      </c>
      <c r="B623" s="35" t="s">
        <v>4724</v>
      </c>
    </row>
    <row r="624" spans="1:2" x14ac:dyDescent="0.35">
      <c r="A624" s="34">
        <v>12141754</v>
      </c>
      <c r="B624" s="35" t="s">
        <v>7764</v>
      </c>
    </row>
    <row r="625" spans="1:2" x14ac:dyDescent="0.35">
      <c r="A625" s="34">
        <v>12141755</v>
      </c>
      <c r="B625" s="35" t="s">
        <v>6735</v>
      </c>
    </row>
    <row r="626" spans="1:2" x14ac:dyDescent="0.35">
      <c r="A626" s="34">
        <v>12141756</v>
      </c>
      <c r="B626" s="35" t="s">
        <v>3108</v>
      </c>
    </row>
    <row r="627" spans="1:2" x14ac:dyDescent="0.35">
      <c r="A627" s="34">
        <v>12141757</v>
      </c>
      <c r="B627" s="35" t="s">
        <v>17983</v>
      </c>
    </row>
    <row r="628" spans="1:2" x14ac:dyDescent="0.35">
      <c r="A628" s="34">
        <v>12141758</v>
      </c>
      <c r="B628" s="35" t="s">
        <v>10820</v>
      </c>
    </row>
    <row r="629" spans="1:2" x14ac:dyDescent="0.35">
      <c r="A629" s="34">
        <v>12141759</v>
      </c>
      <c r="B629" s="35" t="s">
        <v>11036</v>
      </c>
    </row>
    <row r="630" spans="1:2" x14ac:dyDescent="0.35">
      <c r="A630" s="34">
        <v>12141760</v>
      </c>
      <c r="B630" s="35" t="s">
        <v>16346</v>
      </c>
    </row>
    <row r="631" spans="1:2" x14ac:dyDescent="0.35">
      <c r="A631" s="34">
        <v>12141801</v>
      </c>
      <c r="B631" s="35" t="s">
        <v>17356</v>
      </c>
    </row>
    <row r="632" spans="1:2" x14ac:dyDescent="0.35">
      <c r="A632" s="34">
        <v>12141802</v>
      </c>
      <c r="B632" s="35" t="s">
        <v>3572</v>
      </c>
    </row>
    <row r="633" spans="1:2" x14ac:dyDescent="0.35">
      <c r="A633" s="34">
        <v>12141803</v>
      </c>
      <c r="B633" s="35" t="s">
        <v>19280</v>
      </c>
    </row>
    <row r="634" spans="1:2" x14ac:dyDescent="0.35">
      <c r="A634" s="34">
        <v>12141804</v>
      </c>
      <c r="B634" s="35" t="s">
        <v>4806</v>
      </c>
    </row>
    <row r="635" spans="1:2" x14ac:dyDescent="0.35">
      <c r="A635" s="34">
        <v>12141805</v>
      </c>
      <c r="B635" s="35" t="s">
        <v>19002</v>
      </c>
    </row>
    <row r="636" spans="1:2" x14ac:dyDescent="0.35">
      <c r="A636" s="34">
        <v>12141806</v>
      </c>
      <c r="B636" s="35" t="s">
        <v>5394</v>
      </c>
    </row>
    <row r="637" spans="1:2" x14ac:dyDescent="0.35">
      <c r="A637" s="34">
        <v>12141901</v>
      </c>
      <c r="B637" s="35" t="s">
        <v>7116</v>
      </c>
    </row>
    <row r="638" spans="1:2" x14ac:dyDescent="0.35">
      <c r="A638" s="34">
        <v>12141902</v>
      </c>
      <c r="B638" s="35" t="s">
        <v>13413</v>
      </c>
    </row>
    <row r="639" spans="1:2" x14ac:dyDescent="0.35">
      <c r="A639" s="34">
        <v>12141903</v>
      </c>
      <c r="B639" s="35" t="s">
        <v>115</v>
      </c>
    </row>
    <row r="640" spans="1:2" x14ac:dyDescent="0.35">
      <c r="A640" s="34">
        <v>12141904</v>
      </c>
      <c r="B640" s="35" t="s">
        <v>1011</v>
      </c>
    </row>
    <row r="641" spans="1:2" x14ac:dyDescent="0.35">
      <c r="A641" s="34">
        <v>12141905</v>
      </c>
      <c r="B641" s="35" t="s">
        <v>9663</v>
      </c>
    </row>
    <row r="642" spans="1:2" x14ac:dyDescent="0.35">
      <c r="A642" s="34">
        <v>12141906</v>
      </c>
      <c r="B642" s="35" t="s">
        <v>4400</v>
      </c>
    </row>
    <row r="643" spans="1:2" x14ac:dyDescent="0.35">
      <c r="A643" s="34">
        <v>12141907</v>
      </c>
      <c r="B643" s="35" t="s">
        <v>506</v>
      </c>
    </row>
    <row r="644" spans="1:2" x14ac:dyDescent="0.35">
      <c r="A644" s="34">
        <v>12141908</v>
      </c>
      <c r="B644" s="35" t="s">
        <v>4803</v>
      </c>
    </row>
    <row r="645" spans="1:2" x14ac:dyDescent="0.35">
      <c r="A645" s="34">
        <v>12141909</v>
      </c>
      <c r="B645" s="35" t="s">
        <v>351</v>
      </c>
    </row>
    <row r="646" spans="1:2" x14ac:dyDescent="0.35">
      <c r="A646" s="34">
        <v>12141910</v>
      </c>
      <c r="B646" s="35" t="s">
        <v>17765</v>
      </c>
    </row>
    <row r="647" spans="1:2" x14ac:dyDescent="0.35">
      <c r="A647" s="34">
        <v>12141911</v>
      </c>
      <c r="B647" s="35" t="s">
        <v>19439</v>
      </c>
    </row>
    <row r="648" spans="1:2" x14ac:dyDescent="0.35">
      <c r="A648" s="34">
        <v>12141912</v>
      </c>
      <c r="B648" s="35" t="s">
        <v>353</v>
      </c>
    </row>
    <row r="649" spans="1:2" x14ac:dyDescent="0.35">
      <c r="A649" s="34">
        <v>12141913</v>
      </c>
      <c r="B649" s="35" t="s">
        <v>8211</v>
      </c>
    </row>
    <row r="650" spans="1:2" x14ac:dyDescent="0.35">
      <c r="A650" s="34">
        <v>12141914</v>
      </c>
      <c r="B650" s="35" t="s">
        <v>813</v>
      </c>
    </row>
    <row r="651" spans="1:2" x14ac:dyDescent="0.35">
      <c r="A651" s="34">
        <v>12141915</v>
      </c>
      <c r="B651" s="35" t="s">
        <v>1038</v>
      </c>
    </row>
    <row r="652" spans="1:2" x14ac:dyDescent="0.35">
      <c r="A652" s="34">
        <v>12141916</v>
      </c>
      <c r="B652" s="35" t="s">
        <v>16028</v>
      </c>
    </row>
    <row r="653" spans="1:2" x14ac:dyDescent="0.35">
      <c r="A653" s="34">
        <v>12142001</v>
      </c>
      <c r="B653" s="35" t="s">
        <v>3639</v>
      </c>
    </row>
    <row r="654" spans="1:2" x14ac:dyDescent="0.35">
      <c r="A654" s="34">
        <v>12142002</v>
      </c>
      <c r="B654" s="35" t="s">
        <v>18466</v>
      </c>
    </row>
    <row r="655" spans="1:2" x14ac:dyDescent="0.35">
      <c r="A655" s="34">
        <v>12142003</v>
      </c>
      <c r="B655" s="35" t="s">
        <v>1722</v>
      </c>
    </row>
    <row r="656" spans="1:2" x14ac:dyDescent="0.35">
      <c r="A656" s="34">
        <v>12142004</v>
      </c>
      <c r="B656" s="35" t="s">
        <v>14440</v>
      </c>
    </row>
    <row r="657" spans="1:2" x14ac:dyDescent="0.35">
      <c r="A657" s="34">
        <v>12142005</v>
      </c>
      <c r="B657" s="35" t="s">
        <v>13632</v>
      </c>
    </row>
    <row r="658" spans="1:2" x14ac:dyDescent="0.35">
      <c r="A658" s="34">
        <v>12142006</v>
      </c>
      <c r="B658" s="35" t="s">
        <v>8431</v>
      </c>
    </row>
    <row r="659" spans="1:2" x14ac:dyDescent="0.35">
      <c r="A659" s="34">
        <v>12142101</v>
      </c>
      <c r="B659" s="35" t="s">
        <v>9931</v>
      </c>
    </row>
    <row r="660" spans="1:2" x14ac:dyDescent="0.35">
      <c r="A660" s="34">
        <v>12142102</v>
      </c>
      <c r="B660" s="35" t="s">
        <v>17872</v>
      </c>
    </row>
    <row r="661" spans="1:2" x14ac:dyDescent="0.35">
      <c r="A661" s="34">
        <v>12142103</v>
      </c>
      <c r="B661" s="35" t="s">
        <v>19180</v>
      </c>
    </row>
    <row r="662" spans="1:2" x14ac:dyDescent="0.35">
      <c r="A662" s="34">
        <v>12142104</v>
      </c>
      <c r="B662" s="35" t="s">
        <v>9834</v>
      </c>
    </row>
    <row r="663" spans="1:2" x14ac:dyDescent="0.35">
      <c r="A663" s="34">
        <v>12142105</v>
      </c>
      <c r="B663" s="35" t="s">
        <v>14443</v>
      </c>
    </row>
    <row r="664" spans="1:2" x14ac:dyDescent="0.35">
      <c r="A664" s="34">
        <v>12142106</v>
      </c>
      <c r="B664" s="35" t="s">
        <v>16063</v>
      </c>
    </row>
    <row r="665" spans="1:2" x14ac:dyDescent="0.35">
      <c r="A665" s="34">
        <v>12142201</v>
      </c>
      <c r="B665" s="35" t="s">
        <v>5640</v>
      </c>
    </row>
    <row r="666" spans="1:2" x14ac:dyDescent="0.35">
      <c r="A666" s="34">
        <v>12142202</v>
      </c>
      <c r="B666" s="35" t="s">
        <v>2951</v>
      </c>
    </row>
    <row r="667" spans="1:2" x14ac:dyDescent="0.35">
      <c r="A667" s="34">
        <v>12142203</v>
      </c>
      <c r="B667" s="35" t="s">
        <v>963</v>
      </c>
    </row>
    <row r="668" spans="1:2" x14ac:dyDescent="0.35">
      <c r="A668" s="34">
        <v>12142204</v>
      </c>
      <c r="B668" s="35" t="s">
        <v>3669</v>
      </c>
    </row>
    <row r="669" spans="1:2" x14ac:dyDescent="0.35">
      <c r="A669" s="34">
        <v>12142205</v>
      </c>
      <c r="B669" s="35" t="s">
        <v>10124</v>
      </c>
    </row>
    <row r="670" spans="1:2" x14ac:dyDescent="0.35">
      <c r="A670" s="34">
        <v>12142206</v>
      </c>
      <c r="B670" s="35" t="s">
        <v>5614</v>
      </c>
    </row>
    <row r="671" spans="1:2" x14ac:dyDescent="0.35">
      <c r="A671" s="34">
        <v>12142207</v>
      </c>
      <c r="B671" s="35" t="s">
        <v>394</v>
      </c>
    </row>
    <row r="672" spans="1:2" x14ac:dyDescent="0.35">
      <c r="A672" s="34">
        <v>12142208</v>
      </c>
      <c r="B672" s="35" t="s">
        <v>16945</v>
      </c>
    </row>
    <row r="673" spans="1:2" x14ac:dyDescent="0.35">
      <c r="A673" s="34">
        <v>12161501</v>
      </c>
      <c r="B673" s="35" t="s">
        <v>2983</v>
      </c>
    </row>
    <row r="674" spans="1:2" x14ac:dyDescent="0.35">
      <c r="A674" s="34">
        <v>12161502</v>
      </c>
      <c r="B674" s="35" t="s">
        <v>8125</v>
      </c>
    </row>
    <row r="675" spans="1:2" x14ac:dyDescent="0.35">
      <c r="A675" s="34">
        <v>12161503</v>
      </c>
      <c r="B675" s="35" t="s">
        <v>9926</v>
      </c>
    </row>
    <row r="676" spans="1:2" x14ac:dyDescent="0.35">
      <c r="A676" s="34">
        <v>12161504</v>
      </c>
      <c r="B676" s="35" t="s">
        <v>13399</v>
      </c>
    </row>
    <row r="677" spans="1:2" x14ac:dyDescent="0.35">
      <c r="A677" s="34">
        <v>12161505</v>
      </c>
      <c r="B677" s="35" t="s">
        <v>17047</v>
      </c>
    </row>
    <row r="678" spans="1:2" x14ac:dyDescent="0.35">
      <c r="A678" s="34">
        <v>12161506</v>
      </c>
      <c r="B678" s="35" t="s">
        <v>17188</v>
      </c>
    </row>
    <row r="679" spans="1:2" x14ac:dyDescent="0.35">
      <c r="A679" s="34">
        <v>12161507</v>
      </c>
      <c r="B679" s="35" t="s">
        <v>13311</v>
      </c>
    </row>
    <row r="680" spans="1:2" x14ac:dyDescent="0.35">
      <c r="A680" s="34">
        <v>12161601</v>
      </c>
      <c r="B680" s="35" t="s">
        <v>237</v>
      </c>
    </row>
    <row r="681" spans="1:2" x14ac:dyDescent="0.35">
      <c r="A681" s="34">
        <v>12161602</v>
      </c>
      <c r="B681" s="35" t="s">
        <v>7638</v>
      </c>
    </row>
    <row r="682" spans="1:2" x14ac:dyDescent="0.35">
      <c r="A682" s="34">
        <v>12161603</v>
      </c>
      <c r="B682" s="35" t="s">
        <v>14259</v>
      </c>
    </row>
    <row r="683" spans="1:2" x14ac:dyDescent="0.35">
      <c r="A683" s="34">
        <v>12161604</v>
      </c>
      <c r="B683" s="35" t="s">
        <v>12595</v>
      </c>
    </row>
    <row r="684" spans="1:2" x14ac:dyDescent="0.35">
      <c r="A684" s="34">
        <v>12161701</v>
      </c>
      <c r="B684" s="35" t="s">
        <v>5473</v>
      </c>
    </row>
    <row r="685" spans="1:2" x14ac:dyDescent="0.35">
      <c r="A685" s="34">
        <v>12161702</v>
      </c>
      <c r="B685" s="35" t="s">
        <v>5691</v>
      </c>
    </row>
    <row r="686" spans="1:2" x14ac:dyDescent="0.35">
      <c r="A686" s="34">
        <v>12161703</v>
      </c>
      <c r="B686" s="35" t="s">
        <v>11833</v>
      </c>
    </row>
    <row r="687" spans="1:2" x14ac:dyDescent="0.35">
      <c r="A687" s="34">
        <v>12161704</v>
      </c>
      <c r="B687" s="35" t="s">
        <v>2124</v>
      </c>
    </row>
    <row r="688" spans="1:2" x14ac:dyDescent="0.35">
      <c r="A688" s="34">
        <v>12161705</v>
      </c>
      <c r="B688" s="35" t="s">
        <v>16260</v>
      </c>
    </row>
    <row r="689" spans="1:2" x14ac:dyDescent="0.35">
      <c r="A689" s="34">
        <v>12161706</v>
      </c>
      <c r="B689" s="35" t="s">
        <v>3172</v>
      </c>
    </row>
    <row r="690" spans="1:2" x14ac:dyDescent="0.35">
      <c r="A690" s="34">
        <v>12161801</v>
      </c>
      <c r="B690" s="35" t="s">
        <v>15775</v>
      </c>
    </row>
    <row r="691" spans="1:2" x14ac:dyDescent="0.35">
      <c r="A691" s="34">
        <v>12161802</v>
      </c>
      <c r="B691" s="35" t="s">
        <v>4411</v>
      </c>
    </row>
    <row r="692" spans="1:2" x14ac:dyDescent="0.35">
      <c r="A692" s="34">
        <v>12161803</v>
      </c>
      <c r="B692" s="35" t="s">
        <v>10315</v>
      </c>
    </row>
    <row r="693" spans="1:2" x14ac:dyDescent="0.35">
      <c r="A693" s="34">
        <v>12161804</v>
      </c>
      <c r="B693" s="35" t="s">
        <v>2167</v>
      </c>
    </row>
    <row r="694" spans="1:2" x14ac:dyDescent="0.35">
      <c r="A694" s="34">
        <v>12161805</v>
      </c>
      <c r="B694" s="35" t="s">
        <v>7618</v>
      </c>
    </row>
    <row r="695" spans="1:2" x14ac:dyDescent="0.35">
      <c r="A695" s="34">
        <v>12161806</v>
      </c>
      <c r="B695" s="35" t="s">
        <v>4933</v>
      </c>
    </row>
    <row r="696" spans="1:2" x14ac:dyDescent="0.35">
      <c r="A696" s="34">
        <v>12161807</v>
      </c>
      <c r="B696" s="35" t="s">
        <v>165</v>
      </c>
    </row>
    <row r="697" spans="1:2" x14ac:dyDescent="0.35">
      <c r="A697" s="34">
        <v>12161808</v>
      </c>
      <c r="B697" s="35" t="s">
        <v>12600</v>
      </c>
    </row>
    <row r="698" spans="1:2" x14ac:dyDescent="0.35">
      <c r="A698" s="34">
        <v>12161901</v>
      </c>
      <c r="B698" s="35" t="s">
        <v>18079</v>
      </c>
    </row>
    <row r="699" spans="1:2" x14ac:dyDescent="0.35">
      <c r="A699" s="34">
        <v>12161902</v>
      </c>
      <c r="B699" s="35" t="s">
        <v>5452</v>
      </c>
    </row>
    <row r="700" spans="1:2" x14ac:dyDescent="0.35">
      <c r="A700" s="34">
        <v>12161903</v>
      </c>
      <c r="B700" s="35" t="s">
        <v>8902</v>
      </c>
    </row>
    <row r="701" spans="1:2" x14ac:dyDescent="0.35">
      <c r="A701" s="34">
        <v>12161904</v>
      </c>
      <c r="B701" s="35" t="s">
        <v>18212</v>
      </c>
    </row>
    <row r="702" spans="1:2" x14ac:dyDescent="0.35">
      <c r="A702" s="34">
        <v>12161905</v>
      </c>
      <c r="B702" s="35" t="s">
        <v>14384</v>
      </c>
    </row>
    <row r="703" spans="1:2" x14ac:dyDescent="0.35">
      <c r="A703" s="34">
        <v>12161906</v>
      </c>
      <c r="B703" s="35" t="s">
        <v>13222</v>
      </c>
    </row>
    <row r="704" spans="1:2" x14ac:dyDescent="0.35">
      <c r="A704" s="34">
        <v>12161907</v>
      </c>
      <c r="B704" s="35" t="s">
        <v>11301</v>
      </c>
    </row>
    <row r="705" spans="1:2" x14ac:dyDescent="0.35">
      <c r="A705" s="34">
        <v>12162002</v>
      </c>
      <c r="B705" s="35" t="s">
        <v>7178</v>
      </c>
    </row>
    <row r="706" spans="1:2" x14ac:dyDescent="0.35">
      <c r="A706" s="34">
        <v>12162003</v>
      </c>
      <c r="B706" s="35" t="s">
        <v>17054</v>
      </c>
    </row>
    <row r="707" spans="1:2" x14ac:dyDescent="0.35">
      <c r="A707" s="34">
        <v>12162004</v>
      </c>
      <c r="B707" s="35" t="s">
        <v>8469</v>
      </c>
    </row>
    <row r="708" spans="1:2" x14ac:dyDescent="0.35">
      <c r="A708" s="34">
        <v>12162005</v>
      </c>
      <c r="B708" s="35" t="s">
        <v>257</v>
      </c>
    </row>
    <row r="709" spans="1:2" x14ac:dyDescent="0.35">
      <c r="A709" s="34">
        <v>12162101</v>
      </c>
      <c r="B709" s="35" t="s">
        <v>7412</v>
      </c>
    </row>
    <row r="710" spans="1:2" x14ac:dyDescent="0.35">
      <c r="A710" s="34">
        <v>12162201</v>
      </c>
      <c r="B710" s="35" t="s">
        <v>11644</v>
      </c>
    </row>
    <row r="711" spans="1:2" x14ac:dyDescent="0.35">
      <c r="A711" s="34">
        <v>12162202</v>
      </c>
      <c r="B711" s="35" t="s">
        <v>2298</v>
      </c>
    </row>
    <row r="712" spans="1:2" x14ac:dyDescent="0.35">
      <c r="A712" s="34">
        <v>12162203</v>
      </c>
      <c r="B712" s="35" t="s">
        <v>6614</v>
      </c>
    </row>
    <row r="713" spans="1:2" x14ac:dyDescent="0.35">
      <c r="A713" s="34">
        <v>12162204</v>
      </c>
      <c r="B713" s="35" t="s">
        <v>4135</v>
      </c>
    </row>
    <row r="714" spans="1:2" x14ac:dyDescent="0.35">
      <c r="A714" s="34">
        <v>12162205</v>
      </c>
      <c r="B714" s="35" t="s">
        <v>7408</v>
      </c>
    </row>
    <row r="715" spans="1:2" x14ac:dyDescent="0.35">
      <c r="A715" s="34">
        <v>12162206</v>
      </c>
      <c r="B715" s="35" t="s">
        <v>1265</v>
      </c>
    </row>
    <row r="716" spans="1:2" x14ac:dyDescent="0.35">
      <c r="A716" s="34">
        <v>12162207</v>
      </c>
      <c r="B716" s="35" t="s">
        <v>12160</v>
      </c>
    </row>
    <row r="717" spans="1:2" x14ac:dyDescent="0.35">
      <c r="A717" s="34">
        <v>12162208</v>
      </c>
      <c r="B717" s="35" t="s">
        <v>15415</v>
      </c>
    </row>
    <row r="718" spans="1:2" x14ac:dyDescent="0.35">
      <c r="A718" s="34">
        <v>12162209</v>
      </c>
      <c r="B718" s="35" t="s">
        <v>8317</v>
      </c>
    </row>
    <row r="719" spans="1:2" x14ac:dyDescent="0.35">
      <c r="A719" s="34">
        <v>12162210</v>
      </c>
      <c r="B719" s="35" t="s">
        <v>14175</v>
      </c>
    </row>
    <row r="720" spans="1:2" x14ac:dyDescent="0.35">
      <c r="A720" s="34">
        <v>12162211</v>
      </c>
      <c r="B720" s="35" t="s">
        <v>4167</v>
      </c>
    </row>
    <row r="721" spans="1:2" x14ac:dyDescent="0.35">
      <c r="A721" s="34">
        <v>12162212</v>
      </c>
      <c r="B721" s="35" t="s">
        <v>6580</v>
      </c>
    </row>
    <row r="722" spans="1:2" x14ac:dyDescent="0.35">
      <c r="A722" s="34">
        <v>12162301</v>
      </c>
      <c r="B722" s="35" t="s">
        <v>15823</v>
      </c>
    </row>
    <row r="723" spans="1:2" x14ac:dyDescent="0.35">
      <c r="A723" s="34">
        <v>12162302</v>
      </c>
      <c r="B723" s="35" t="s">
        <v>6522</v>
      </c>
    </row>
    <row r="724" spans="1:2" x14ac:dyDescent="0.35">
      <c r="A724" s="34">
        <v>12162303</v>
      </c>
      <c r="B724" s="35" t="s">
        <v>9973</v>
      </c>
    </row>
    <row r="725" spans="1:2" x14ac:dyDescent="0.35">
      <c r="A725" s="34">
        <v>12162401</v>
      </c>
      <c r="B725" s="35" t="s">
        <v>19322</v>
      </c>
    </row>
    <row r="726" spans="1:2" x14ac:dyDescent="0.35">
      <c r="A726" s="34">
        <v>12162402</v>
      </c>
      <c r="B726" s="35" t="s">
        <v>5495</v>
      </c>
    </row>
    <row r="727" spans="1:2" x14ac:dyDescent="0.35">
      <c r="A727" s="34">
        <v>12162501</v>
      </c>
      <c r="B727" s="35" t="s">
        <v>14408</v>
      </c>
    </row>
    <row r="728" spans="1:2" x14ac:dyDescent="0.35">
      <c r="A728" s="34">
        <v>12162502</v>
      </c>
      <c r="B728" s="35" t="s">
        <v>11117</v>
      </c>
    </row>
    <row r="729" spans="1:2" x14ac:dyDescent="0.35">
      <c r="A729" s="34">
        <v>12162503</v>
      </c>
      <c r="B729" s="35" t="s">
        <v>19083</v>
      </c>
    </row>
    <row r="730" spans="1:2" x14ac:dyDescent="0.35">
      <c r="A730" s="34">
        <v>12162601</v>
      </c>
      <c r="B730" s="35" t="s">
        <v>8740</v>
      </c>
    </row>
    <row r="731" spans="1:2" x14ac:dyDescent="0.35">
      <c r="A731" s="34">
        <v>12162602</v>
      </c>
      <c r="B731" s="35" t="s">
        <v>2901</v>
      </c>
    </row>
    <row r="732" spans="1:2" x14ac:dyDescent="0.35">
      <c r="A732" s="34">
        <v>12162701</v>
      </c>
      <c r="B732" s="35" t="s">
        <v>7490</v>
      </c>
    </row>
    <row r="733" spans="1:2" x14ac:dyDescent="0.35">
      <c r="A733" s="34">
        <v>12162702</v>
      </c>
      <c r="B733" s="35" t="s">
        <v>19174</v>
      </c>
    </row>
    <row r="734" spans="1:2" x14ac:dyDescent="0.35">
      <c r="A734" s="34">
        <v>12162801</v>
      </c>
      <c r="B734" s="35" t="s">
        <v>19502</v>
      </c>
    </row>
    <row r="735" spans="1:2" x14ac:dyDescent="0.35">
      <c r="A735" s="34">
        <v>12162802</v>
      </c>
      <c r="B735" s="35" t="s">
        <v>18533</v>
      </c>
    </row>
    <row r="736" spans="1:2" x14ac:dyDescent="0.35">
      <c r="A736" s="34">
        <v>12162901</v>
      </c>
      <c r="B736" s="35" t="s">
        <v>193</v>
      </c>
    </row>
    <row r="737" spans="1:2" x14ac:dyDescent="0.35">
      <c r="A737" s="34">
        <v>12162902</v>
      </c>
      <c r="B737" s="35" t="s">
        <v>4989</v>
      </c>
    </row>
    <row r="738" spans="1:2" x14ac:dyDescent="0.35">
      <c r="A738" s="34">
        <v>12162903</v>
      </c>
      <c r="B738" s="35" t="s">
        <v>856</v>
      </c>
    </row>
    <row r="739" spans="1:2" x14ac:dyDescent="0.35">
      <c r="A739" s="34">
        <v>12163001</v>
      </c>
      <c r="B739" s="35" t="s">
        <v>15484</v>
      </c>
    </row>
    <row r="740" spans="1:2" x14ac:dyDescent="0.35">
      <c r="A740" s="34">
        <v>12163101</v>
      </c>
      <c r="B740" s="35" t="s">
        <v>6373</v>
      </c>
    </row>
    <row r="741" spans="1:2" x14ac:dyDescent="0.35">
      <c r="A741" s="34">
        <v>12163201</v>
      </c>
      <c r="B741" s="35" t="s">
        <v>3375</v>
      </c>
    </row>
    <row r="742" spans="1:2" x14ac:dyDescent="0.35">
      <c r="A742" s="34">
        <v>12163301</v>
      </c>
      <c r="B742" s="35" t="s">
        <v>5134</v>
      </c>
    </row>
    <row r="743" spans="1:2" x14ac:dyDescent="0.35">
      <c r="A743" s="34">
        <v>12163401</v>
      </c>
      <c r="B743" s="35" t="s">
        <v>10147</v>
      </c>
    </row>
    <row r="744" spans="1:2" x14ac:dyDescent="0.35">
      <c r="A744" s="34">
        <v>12163501</v>
      </c>
      <c r="B744" s="35" t="s">
        <v>7824</v>
      </c>
    </row>
    <row r="745" spans="1:2" x14ac:dyDescent="0.35">
      <c r="A745" s="34">
        <v>12163601</v>
      </c>
      <c r="B745" s="35" t="s">
        <v>14766</v>
      </c>
    </row>
    <row r="746" spans="1:2" x14ac:dyDescent="0.35">
      <c r="A746" s="34">
        <v>12163602</v>
      </c>
      <c r="B746" s="35" t="s">
        <v>11656</v>
      </c>
    </row>
    <row r="747" spans="1:2" x14ac:dyDescent="0.35">
      <c r="A747" s="34">
        <v>12163701</v>
      </c>
      <c r="B747" s="35" t="s">
        <v>14514</v>
      </c>
    </row>
    <row r="748" spans="1:2" x14ac:dyDescent="0.35">
      <c r="A748" s="34">
        <v>12163801</v>
      </c>
      <c r="B748" s="35" t="s">
        <v>1350</v>
      </c>
    </row>
    <row r="749" spans="1:2" x14ac:dyDescent="0.35">
      <c r="A749" s="34">
        <v>12163802</v>
      </c>
      <c r="B749" s="35" t="s">
        <v>2781</v>
      </c>
    </row>
    <row r="750" spans="1:2" x14ac:dyDescent="0.35">
      <c r="A750" s="34">
        <v>12163901</v>
      </c>
      <c r="B750" s="35" t="s">
        <v>13852</v>
      </c>
    </row>
    <row r="751" spans="1:2" x14ac:dyDescent="0.35">
      <c r="A751" s="34">
        <v>12163902</v>
      </c>
      <c r="B751" s="35" t="s">
        <v>3357</v>
      </c>
    </row>
    <row r="752" spans="1:2" x14ac:dyDescent="0.35">
      <c r="A752" s="34">
        <v>12164001</v>
      </c>
      <c r="B752" s="35" t="s">
        <v>2194</v>
      </c>
    </row>
    <row r="753" spans="1:2" x14ac:dyDescent="0.35">
      <c r="A753" s="34">
        <v>12164101</v>
      </c>
      <c r="B753" s="35" t="s">
        <v>9768</v>
      </c>
    </row>
    <row r="754" spans="1:2" x14ac:dyDescent="0.35">
      <c r="A754" s="34">
        <v>12164102</v>
      </c>
      <c r="B754" s="35" t="s">
        <v>13591</v>
      </c>
    </row>
    <row r="755" spans="1:2" x14ac:dyDescent="0.35">
      <c r="A755" s="34">
        <v>12164201</v>
      </c>
      <c r="B755" s="35" t="s">
        <v>7120</v>
      </c>
    </row>
    <row r="756" spans="1:2" x14ac:dyDescent="0.35">
      <c r="A756" s="34">
        <v>12164301</v>
      </c>
      <c r="B756" s="35" t="s">
        <v>509</v>
      </c>
    </row>
    <row r="757" spans="1:2" x14ac:dyDescent="0.35">
      <c r="A757" s="34">
        <v>12164401</v>
      </c>
      <c r="B757" s="35" t="s">
        <v>9028</v>
      </c>
    </row>
    <row r="758" spans="1:2" x14ac:dyDescent="0.35">
      <c r="A758" s="34">
        <v>12164501</v>
      </c>
      <c r="B758" s="35" t="s">
        <v>659</v>
      </c>
    </row>
    <row r="759" spans="1:2" x14ac:dyDescent="0.35">
      <c r="A759" s="34">
        <v>12164502</v>
      </c>
      <c r="B759" s="35" t="s">
        <v>16892</v>
      </c>
    </row>
    <row r="760" spans="1:2" x14ac:dyDescent="0.35">
      <c r="A760" s="34">
        <v>12164503</v>
      </c>
      <c r="B760" s="35" t="s">
        <v>16365</v>
      </c>
    </row>
    <row r="761" spans="1:2" x14ac:dyDescent="0.35">
      <c r="A761" s="34">
        <v>12164504</v>
      </c>
      <c r="B761" s="35" t="s">
        <v>591</v>
      </c>
    </row>
    <row r="762" spans="1:2" x14ac:dyDescent="0.35">
      <c r="A762" s="34">
        <v>12171501</v>
      </c>
      <c r="B762" s="35" t="s">
        <v>17678</v>
      </c>
    </row>
    <row r="763" spans="1:2" x14ac:dyDescent="0.35">
      <c r="A763" s="34">
        <v>12171502</v>
      </c>
      <c r="B763" s="35" t="s">
        <v>13068</v>
      </c>
    </row>
    <row r="764" spans="1:2" x14ac:dyDescent="0.35">
      <c r="A764" s="34">
        <v>12171503</v>
      </c>
      <c r="B764" s="35" t="s">
        <v>5871</v>
      </c>
    </row>
    <row r="765" spans="1:2" x14ac:dyDescent="0.35">
      <c r="A765" s="34">
        <v>12171504</v>
      </c>
      <c r="B765" s="35" t="s">
        <v>10136</v>
      </c>
    </row>
    <row r="766" spans="1:2" x14ac:dyDescent="0.35">
      <c r="A766" s="34">
        <v>12171505</v>
      </c>
      <c r="B766" s="35" t="s">
        <v>10689</v>
      </c>
    </row>
    <row r="767" spans="1:2" x14ac:dyDescent="0.35">
      <c r="A767" s="34">
        <v>12171506</v>
      </c>
      <c r="B767" s="35" t="s">
        <v>245</v>
      </c>
    </row>
    <row r="768" spans="1:2" x14ac:dyDescent="0.35">
      <c r="A768" s="34">
        <v>12171602</v>
      </c>
      <c r="B768" s="35" t="s">
        <v>11536</v>
      </c>
    </row>
    <row r="769" spans="1:2" x14ac:dyDescent="0.35">
      <c r="A769" s="34">
        <v>12171603</v>
      </c>
      <c r="B769" s="35" t="s">
        <v>6189</v>
      </c>
    </row>
    <row r="770" spans="1:2" x14ac:dyDescent="0.35">
      <c r="A770" s="34">
        <v>12171604</v>
      </c>
      <c r="B770" s="35" t="s">
        <v>4982</v>
      </c>
    </row>
    <row r="771" spans="1:2" x14ac:dyDescent="0.35">
      <c r="A771" s="34">
        <v>12171605</v>
      </c>
      <c r="B771" s="35" t="s">
        <v>8113</v>
      </c>
    </row>
    <row r="772" spans="1:2" x14ac:dyDescent="0.35">
      <c r="A772" s="34">
        <v>12171701</v>
      </c>
      <c r="B772" s="35" t="s">
        <v>15212</v>
      </c>
    </row>
    <row r="773" spans="1:2" x14ac:dyDescent="0.35">
      <c r="A773" s="34">
        <v>12171702</v>
      </c>
      <c r="B773" s="35" t="s">
        <v>17785</v>
      </c>
    </row>
    <row r="774" spans="1:2" x14ac:dyDescent="0.35">
      <c r="A774" s="34">
        <v>12171703</v>
      </c>
      <c r="B774" s="35" t="s">
        <v>14687</v>
      </c>
    </row>
    <row r="775" spans="1:2" x14ac:dyDescent="0.35">
      <c r="A775" s="34">
        <v>12181501</v>
      </c>
      <c r="B775" s="35" t="s">
        <v>16848</v>
      </c>
    </row>
    <row r="776" spans="1:2" x14ac:dyDescent="0.35">
      <c r="A776" s="34">
        <v>12181502</v>
      </c>
      <c r="B776" s="35" t="s">
        <v>3422</v>
      </c>
    </row>
    <row r="777" spans="1:2" x14ac:dyDescent="0.35">
      <c r="A777" s="34">
        <v>12181503</v>
      </c>
      <c r="B777" s="35" t="s">
        <v>7159</v>
      </c>
    </row>
    <row r="778" spans="1:2" x14ac:dyDescent="0.35">
      <c r="A778" s="34">
        <v>12181504</v>
      </c>
      <c r="B778" s="35" t="s">
        <v>19427</v>
      </c>
    </row>
    <row r="779" spans="1:2" x14ac:dyDescent="0.35">
      <c r="A779" s="34">
        <v>12181601</v>
      </c>
      <c r="B779" s="35" t="s">
        <v>9652</v>
      </c>
    </row>
    <row r="780" spans="1:2" x14ac:dyDescent="0.35">
      <c r="A780" s="34">
        <v>12181602</v>
      </c>
      <c r="B780" s="35" t="s">
        <v>16780</v>
      </c>
    </row>
    <row r="781" spans="1:2" x14ac:dyDescent="0.35">
      <c r="A781" s="34">
        <v>12191501</v>
      </c>
      <c r="B781" s="35" t="s">
        <v>8021</v>
      </c>
    </row>
    <row r="782" spans="1:2" x14ac:dyDescent="0.35">
      <c r="A782" s="34">
        <v>12191502</v>
      </c>
      <c r="B782" s="35" t="s">
        <v>4102</v>
      </c>
    </row>
    <row r="783" spans="1:2" x14ac:dyDescent="0.35">
      <c r="A783" s="34">
        <v>12191503</v>
      </c>
      <c r="B783" s="35" t="s">
        <v>2785</v>
      </c>
    </row>
    <row r="784" spans="1:2" x14ac:dyDescent="0.35">
      <c r="A784" s="34">
        <v>12191504</v>
      </c>
      <c r="B784" s="35" t="s">
        <v>9902</v>
      </c>
    </row>
    <row r="785" spans="1:2" x14ac:dyDescent="0.35">
      <c r="A785" s="34">
        <v>12191601</v>
      </c>
      <c r="B785" s="35" t="s">
        <v>17203</v>
      </c>
    </row>
    <row r="786" spans="1:2" x14ac:dyDescent="0.35">
      <c r="A786" s="34">
        <v>12191602</v>
      </c>
      <c r="B786" s="35" t="s">
        <v>6399</v>
      </c>
    </row>
    <row r="787" spans="1:2" x14ac:dyDescent="0.35">
      <c r="A787" s="34">
        <v>12352001</v>
      </c>
      <c r="B787" s="35" t="s">
        <v>3821</v>
      </c>
    </row>
    <row r="788" spans="1:2" x14ac:dyDescent="0.35">
      <c r="A788" s="34">
        <v>12352002</v>
      </c>
      <c r="B788" s="35" t="s">
        <v>1484</v>
      </c>
    </row>
    <row r="789" spans="1:2" x14ac:dyDescent="0.35">
      <c r="A789" s="34">
        <v>12352003</v>
      </c>
      <c r="B789" s="35" t="s">
        <v>593</v>
      </c>
    </row>
    <row r="790" spans="1:2" x14ac:dyDescent="0.35">
      <c r="A790" s="34">
        <v>12352005</v>
      </c>
      <c r="B790" s="35" t="s">
        <v>10173</v>
      </c>
    </row>
    <row r="791" spans="1:2" x14ac:dyDescent="0.35">
      <c r="A791" s="34">
        <v>12352101</v>
      </c>
      <c r="B791" s="35" t="s">
        <v>1647</v>
      </c>
    </row>
    <row r="792" spans="1:2" x14ac:dyDescent="0.35">
      <c r="A792" s="34">
        <v>12352102</v>
      </c>
      <c r="B792" s="35" t="s">
        <v>18792</v>
      </c>
    </row>
    <row r="793" spans="1:2" x14ac:dyDescent="0.35">
      <c r="A793" s="34">
        <v>12352103</v>
      </c>
      <c r="B793" s="35" t="s">
        <v>7899</v>
      </c>
    </row>
    <row r="794" spans="1:2" x14ac:dyDescent="0.35">
      <c r="A794" s="34">
        <v>12352104</v>
      </c>
      <c r="B794" s="35" t="s">
        <v>17817</v>
      </c>
    </row>
    <row r="795" spans="1:2" x14ac:dyDescent="0.35">
      <c r="A795" s="34">
        <v>12352105</v>
      </c>
      <c r="B795" s="35" t="s">
        <v>8480</v>
      </c>
    </row>
    <row r="796" spans="1:2" x14ac:dyDescent="0.35">
      <c r="A796" s="34">
        <v>12352106</v>
      </c>
      <c r="B796" s="35" t="s">
        <v>3288</v>
      </c>
    </row>
    <row r="797" spans="1:2" x14ac:dyDescent="0.35">
      <c r="A797" s="34">
        <v>12352107</v>
      </c>
      <c r="B797" s="35" t="s">
        <v>6556</v>
      </c>
    </row>
    <row r="798" spans="1:2" x14ac:dyDescent="0.35">
      <c r="A798" s="34">
        <v>12352108</v>
      </c>
      <c r="B798" s="35" t="s">
        <v>12779</v>
      </c>
    </row>
    <row r="799" spans="1:2" x14ac:dyDescent="0.35">
      <c r="A799" s="34">
        <v>12352111</v>
      </c>
      <c r="B799" s="35" t="s">
        <v>8426</v>
      </c>
    </row>
    <row r="800" spans="1:2" x14ac:dyDescent="0.35">
      <c r="A800" s="34">
        <v>12352112</v>
      </c>
      <c r="B800" s="35" t="s">
        <v>12779</v>
      </c>
    </row>
    <row r="801" spans="1:2" x14ac:dyDescent="0.35">
      <c r="A801" s="34">
        <v>12352113</v>
      </c>
      <c r="B801" s="35" t="s">
        <v>19455</v>
      </c>
    </row>
    <row r="802" spans="1:2" x14ac:dyDescent="0.35">
      <c r="A802" s="34">
        <v>12352114</v>
      </c>
      <c r="B802" s="35" t="s">
        <v>3519</v>
      </c>
    </row>
    <row r="803" spans="1:2" x14ac:dyDescent="0.35">
      <c r="A803" s="34">
        <v>12352115</v>
      </c>
      <c r="B803" s="35" t="s">
        <v>10991</v>
      </c>
    </row>
    <row r="804" spans="1:2" x14ac:dyDescent="0.35">
      <c r="A804" s="34">
        <v>12352116</v>
      </c>
      <c r="B804" s="35" t="s">
        <v>2702</v>
      </c>
    </row>
    <row r="805" spans="1:2" x14ac:dyDescent="0.35">
      <c r="A805" s="34">
        <v>12352117</v>
      </c>
      <c r="B805" s="35" t="s">
        <v>17801</v>
      </c>
    </row>
    <row r="806" spans="1:2" x14ac:dyDescent="0.35">
      <c r="A806" s="34">
        <v>12352118</v>
      </c>
      <c r="B806" s="35" t="s">
        <v>1433</v>
      </c>
    </row>
    <row r="807" spans="1:2" x14ac:dyDescent="0.35">
      <c r="A807" s="34">
        <v>12352119</v>
      </c>
      <c r="B807" s="35" t="s">
        <v>7124</v>
      </c>
    </row>
    <row r="808" spans="1:2" x14ac:dyDescent="0.35">
      <c r="A808" s="34">
        <v>12352120</v>
      </c>
      <c r="B808" s="35" t="s">
        <v>12172</v>
      </c>
    </row>
    <row r="809" spans="1:2" x14ac:dyDescent="0.35">
      <c r="A809" s="34">
        <v>12352121</v>
      </c>
      <c r="B809" s="35" t="s">
        <v>11270</v>
      </c>
    </row>
    <row r="810" spans="1:2" x14ac:dyDescent="0.35">
      <c r="A810" s="34">
        <v>12352123</v>
      </c>
      <c r="B810" s="35" t="s">
        <v>18856</v>
      </c>
    </row>
    <row r="811" spans="1:2" x14ac:dyDescent="0.35">
      <c r="A811" s="34">
        <v>12352124</v>
      </c>
      <c r="B811" s="35" t="s">
        <v>17929</v>
      </c>
    </row>
    <row r="812" spans="1:2" x14ac:dyDescent="0.35">
      <c r="A812" s="34">
        <v>12352125</v>
      </c>
      <c r="B812" s="35" t="s">
        <v>16600</v>
      </c>
    </row>
    <row r="813" spans="1:2" x14ac:dyDescent="0.35">
      <c r="A813" s="34">
        <v>12352126</v>
      </c>
      <c r="B813" s="35" t="s">
        <v>12836</v>
      </c>
    </row>
    <row r="814" spans="1:2" x14ac:dyDescent="0.35">
      <c r="A814" s="34">
        <v>12352127</v>
      </c>
      <c r="B814" s="35" t="s">
        <v>3021</v>
      </c>
    </row>
    <row r="815" spans="1:2" x14ac:dyDescent="0.35">
      <c r="A815" s="34">
        <v>12352128</v>
      </c>
      <c r="B815" s="35" t="s">
        <v>1821</v>
      </c>
    </row>
    <row r="816" spans="1:2" x14ac:dyDescent="0.35">
      <c r="A816" s="34">
        <v>12352129</v>
      </c>
      <c r="B816" s="35" t="s">
        <v>5792</v>
      </c>
    </row>
    <row r="817" spans="1:2" x14ac:dyDescent="0.35">
      <c r="A817" s="34">
        <v>12352130</v>
      </c>
      <c r="B817" s="35" t="s">
        <v>15692</v>
      </c>
    </row>
    <row r="818" spans="1:2" x14ac:dyDescent="0.35">
      <c r="A818" s="34">
        <v>12352201</v>
      </c>
      <c r="B818" s="35" t="s">
        <v>5386</v>
      </c>
    </row>
    <row r="819" spans="1:2" x14ac:dyDescent="0.35">
      <c r="A819" s="34">
        <v>12352202</v>
      </c>
      <c r="B819" s="35" t="s">
        <v>975</v>
      </c>
    </row>
    <row r="820" spans="1:2" x14ac:dyDescent="0.35">
      <c r="A820" s="34">
        <v>12352203</v>
      </c>
      <c r="B820" s="35" t="s">
        <v>5824</v>
      </c>
    </row>
    <row r="821" spans="1:2" x14ac:dyDescent="0.35">
      <c r="A821" s="34">
        <v>12352204</v>
      </c>
      <c r="B821" s="35" t="s">
        <v>4766</v>
      </c>
    </row>
    <row r="822" spans="1:2" x14ac:dyDescent="0.35">
      <c r="A822" s="34">
        <v>12352205</v>
      </c>
      <c r="B822" s="35" t="s">
        <v>16389</v>
      </c>
    </row>
    <row r="823" spans="1:2" x14ac:dyDescent="0.35">
      <c r="A823" s="34">
        <v>12352206</v>
      </c>
      <c r="B823" s="35" t="s">
        <v>284</v>
      </c>
    </row>
    <row r="824" spans="1:2" x14ac:dyDescent="0.35">
      <c r="A824" s="34">
        <v>12352207</v>
      </c>
      <c r="B824" s="35" t="s">
        <v>740</v>
      </c>
    </row>
    <row r="825" spans="1:2" x14ac:dyDescent="0.35">
      <c r="A825" s="34">
        <v>12352208</v>
      </c>
      <c r="B825" s="35" t="s">
        <v>7856</v>
      </c>
    </row>
    <row r="826" spans="1:2" x14ac:dyDescent="0.35">
      <c r="A826" s="34">
        <v>12352209</v>
      </c>
      <c r="B826" s="35" t="s">
        <v>5235</v>
      </c>
    </row>
    <row r="827" spans="1:2" x14ac:dyDescent="0.35">
      <c r="A827" s="34">
        <v>12352210</v>
      </c>
      <c r="B827" s="35" t="s">
        <v>6047</v>
      </c>
    </row>
    <row r="828" spans="1:2" x14ac:dyDescent="0.35">
      <c r="A828" s="34">
        <v>12352211</v>
      </c>
      <c r="B828" s="35" t="s">
        <v>17129</v>
      </c>
    </row>
    <row r="829" spans="1:2" x14ac:dyDescent="0.35">
      <c r="A829" s="34">
        <v>12352212</v>
      </c>
      <c r="B829" s="35" t="s">
        <v>12242</v>
      </c>
    </row>
    <row r="830" spans="1:2" x14ac:dyDescent="0.35">
      <c r="A830" s="34">
        <v>12352301</v>
      </c>
      <c r="B830" s="35" t="s">
        <v>4547</v>
      </c>
    </row>
    <row r="831" spans="1:2" x14ac:dyDescent="0.35">
      <c r="A831" s="34">
        <v>12352302</v>
      </c>
      <c r="B831" s="35" t="s">
        <v>7996</v>
      </c>
    </row>
    <row r="832" spans="1:2" x14ac:dyDescent="0.35">
      <c r="A832" s="34">
        <v>12352303</v>
      </c>
      <c r="B832" s="35" t="s">
        <v>19516</v>
      </c>
    </row>
    <row r="833" spans="1:2" x14ac:dyDescent="0.35">
      <c r="A833" s="34">
        <v>12352304</v>
      </c>
      <c r="B833" s="35" t="s">
        <v>724</v>
      </c>
    </row>
    <row r="834" spans="1:2" x14ac:dyDescent="0.35">
      <c r="A834" s="34">
        <v>12352305</v>
      </c>
      <c r="B834" s="35" t="s">
        <v>1169</v>
      </c>
    </row>
    <row r="835" spans="1:2" x14ac:dyDescent="0.35">
      <c r="A835" s="34">
        <v>12352306</v>
      </c>
      <c r="B835" s="35" t="s">
        <v>17972</v>
      </c>
    </row>
    <row r="836" spans="1:2" x14ac:dyDescent="0.35">
      <c r="A836" s="34">
        <v>12352307</v>
      </c>
      <c r="B836" s="35" t="s">
        <v>13141</v>
      </c>
    </row>
    <row r="837" spans="1:2" x14ac:dyDescent="0.35">
      <c r="A837" s="34">
        <v>12352308</v>
      </c>
      <c r="B837" s="35" t="s">
        <v>17980</v>
      </c>
    </row>
    <row r="838" spans="1:2" x14ac:dyDescent="0.35">
      <c r="A838" s="34">
        <v>12352309</v>
      </c>
      <c r="B838" s="35" t="s">
        <v>7207</v>
      </c>
    </row>
    <row r="839" spans="1:2" x14ac:dyDescent="0.35">
      <c r="A839" s="34">
        <v>12352310</v>
      </c>
      <c r="B839" s="35" t="s">
        <v>15259</v>
      </c>
    </row>
    <row r="840" spans="1:2" x14ac:dyDescent="0.35">
      <c r="A840" s="34">
        <v>12352311</v>
      </c>
      <c r="B840" s="35" t="s">
        <v>9390</v>
      </c>
    </row>
    <row r="841" spans="1:2" x14ac:dyDescent="0.35">
      <c r="A841" s="34">
        <v>12352312</v>
      </c>
      <c r="B841" s="35" t="s">
        <v>5010</v>
      </c>
    </row>
    <row r="842" spans="1:2" x14ac:dyDescent="0.35">
      <c r="A842" s="34">
        <v>12352401</v>
      </c>
      <c r="B842" s="35" t="s">
        <v>13215</v>
      </c>
    </row>
    <row r="843" spans="1:2" x14ac:dyDescent="0.35">
      <c r="A843" s="34">
        <v>12352402</v>
      </c>
      <c r="B843" s="35" t="s">
        <v>6980</v>
      </c>
    </row>
    <row r="844" spans="1:2" x14ac:dyDescent="0.35">
      <c r="A844" s="34">
        <v>12352501</v>
      </c>
      <c r="B844" s="35" t="s">
        <v>5232</v>
      </c>
    </row>
    <row r="845" spans="1:2" x14ac:dyDescent="0.35">
      <c r="A845" s="34">
        <v>12352502</v>
      </c>
      <c r="B845" s="35" t="s">
        <v>3407</v>
      </c>
    </row>
    <row r="846" spans="1:2" x14ac:dyDescent="0.35">
      <c r="A846" s="34">
        <v>12352503</v>
      </c>
      <c r="B846" s="35" t="s">
        <v>16068</v>
      </c>
    </row>
    <row r="847" spans="1:2" x14ac:dyDescent="0.35">
      <c r="A847" s="34">
        <v>13101501</v>
      </c>
      <c r="B847" s="35" t="s">
        <v>7323</v>
      </c>
    </row>
    <row r="848" spans="1:2" x14ac:dyDescent="0.35">
      <c r="A848" s="34">
        <v>13101502</v>
      </c>
      <c r="B848" s="35" t="s">
        <v>11614</v>
      </c>
    </row>
    <row r="849" spans="1:2" x14ac:dyDescent="0.35">
      <c r="A849" s="34">
        <v>13101503</v>
      </c>
      <c r="B849" s="35" t="s">
        <v>413</v>
      </c>
    </row>
    <row r="850" spans="1:2" x14ac:dyDescent="0.35">
      <c r="A850" s="34">
        <v>13101504</v>
      </c>
      <c r="B850" s="35" t="s">
        <v>15681</v>
      </c>
    </row>
    <row r="851" spans="1:2" x14ac:dyDescent="0.35">
      <c r="A851" s="34">
        <v>13101505</v>
      </c>
      <c r="B851" s="35" t="s">
        <v>1396</v>
      </c>
    </row>
    <row r="852" spans="1:2" x14ac:dyDescent="0.35">
      <c r="A852" s="34">
        <v>13101601</v>
      </c>
      <c r="B852" s="35" t="s">
        <v>2882</v>
      </c>
    </row>
    <row r="853" spans="1:2" x14ac:dyDescent="0.35">
      <c r="A853" s="34">
        <v>13101602</v>
      </c>
      <c r="B853" s="35" t="s">
        <v>10952</v>
      </c>
    </row>
    <row r="854" spans="1:2" x14ac:dyDescent="0.35">
      <c r="A854" s="34">
        <v>13101603</v>
      </c>
      <c r="B854" s="35" t="s">
        <v>5497</v>
      </c>
    </row>
    <row r="855" spans="1:2" x14ac:dyDescent="0.35">
      <c r="A855" s="34">
        <v>13101604</v>
      </c>
      <c r="B855" s="35" t="s">
        <v>18957</v>
      </c>
    </row>
    <row r="856" spans="1:2" x14ac:dyDescent="0.35">
      <c r="A856" s="34">
        <v>13101605</v>
      </c>
      <c r="B856" s="35" t="s">
        <v>5758</v>
      </c>
    </row>
    <row r="857" spans="1:2" x14ac:dyDescent="0.35">
      <c r="A857" s="34">
        <v>13101606</v>
      </c>
      <c r="B857" s="35" t="s">
        <v>7012</v>
      </c>
    </row>
    <row r="858" spans="1:2" x14ac:dyDescent="0.35">
      <c r="A858" s="34">
        <v>13101607</v>
      </c>
      <c r="B858" s="35" t="s">
        <v>9924</v>
      </c>
    </row>
    <row r="859" spans="1:2" x14ac:dyDescent="0.35">
      <c r="A859" s="34">
        <v>13101701</v>
      </c>
      <c r="B859" s="35" t="s">
        <v>7453</v>
      </c>
    </row>
    <row r="860" spans="1:2" x14ac:dyDescent="0.35">
      <c r="A860" s="34">
        <v>13101702</v>
      </c>
      <c r="B860" s="35" t="s">
        <v>18941</v>
      </c>
    </row>
    <row r="861" spans="1:2" x14ac:dyDescent="0.35">
      <c r="A861" s="34">
        <v>13101703</v>
      </c>
      <c r="B861" s="35" t="s">
        <v>13751</v>
      </c>
    </row>
    <row r="862" spans="1:2" x14ac:dyDescent="0.35">
      <c r="A862" s="34">
        <v>13101704</v>
      </c>
      <c r="B862" s="35" t="s">
        <v>15605</v>
      </c>
    </row>
    <row r="863" spans="1:2" x14ac:dyDescent="0.35">
      <c r="A863" s="34">
        <v>13101705</v>
      </c>
      <c r="B863" s="35" t="s">
        <v>13276</v>
      </c>
    </row>
    <row r="864" spans="1:2" x14ac:dyDescent="0.35">
      <c r="A864" s="34">
        <v>13101706</v>
      </c>
      <c r="B864" s="35" t="s">
        <v>9708</v>
      </c>
    </row>
    <row r="865" spans="1:2" x14ac:dyDescent="0.35">
      <c r="A865" s="34">
        <v>13101707</v>
      </c>
      <c r="B865" s="35" t="s">
        <v>7357</v>
      </c>
    </row>
    <row r="866" spans="1:2" x14ac:dyDescent="0.35">
      <c r="A866" s="34">
        <v>13101708</v>
      </c>
      <c r="B866" s="35" t="s">
        <v>11388</v>
      </c>
    </row>
    <row r="867" spans="1:2" x14ac:dyDescent="0.35">
      <c r="A867" s="34">
        <v>13101709</v>
      </c>
      <c r="B867" s="35" t="s">
        <v>3985</v>
      </c>
    </row>
    <row r="868" spans="1:2" x14ac:dyDescent="0.35">
      <c r="A868" s="34">
        <v>13101710</v>
      </c>
      <c r="B868" s="35" t="s">
        <v>13930</v>
      </c>
    </row>
    <row r="869" spans="1:2" x14ac:dyDescent="0.35">
      <c r="A869" s="34">
        <v>13101711</v>
      </c>
      <c r="B869" s="35" t="s">
        <v>3874</v>
      </c>
    </row>
    <row r="870" spans="1:2" x14ac:dyDescent="0.35">
      <c r="A870" s="34">
        <v>13101712</v>
      </c>
      <c r="B870" s="35" t="s">
        <v>3423</v>
      </c>
    </row>
    <row r="871" spans="1:2" x14ac:dyDescent="0.35">
      <c r="A871" s="34">
        <v>13101713</v>
      </c>
      <c r="B871" s="35" t="s">
        <v>1902</v>
      </c>
    </row>
    <row r="872" spans="1:2" x14ac:dyDescent="0.35">
      <c r="A872" s="34">
        <v>13101714</v>
      </c>
      <c r="B872" s="35" t="s">
        <v>12824</v>
      </c>
    </row>
    <row r="873" spans="1:2" x14ac:dyDescent="0.35">
      <c r="A873" s="34">
        <v>13101715</v>
      </c>
      <c r="B873" s="35" t="s">
        <v>9534</v>
      </c>
    </row>
    <row r="874" spans="1:2" x14ac:dyDescent="0.35">
      <c r="A874" s="34">
        <v>13101716</v>
      </c>
      <c r="B874" s="35" t="s">
        <v>19337</v>
      </c>
    </row>
    <row r="875" spans="1:2" x14ac:dyDescent="0.35">
      <c r="A875" s="34">
        <v>13101717</v>
      </c>
      <c r="B875" s="35" t="s">
        <v>4942</v>
      </c>
    </row>
    <row r="876" spans="1:2" x14ac:dyDescent="0.35">
      <c r="A876" s="34">
        <v>13101718</v>
      </c>
      <c r="B876" s="35" t="s">
        <v>10610</v>
      </c>
    </row>
    <row r="877" spans="1:2" x14ac:dyDescent="0.35">
      <c r="A877" s="34">
        <v>13101719</v>
      </c>
      <c r="B877" s="35" t="s">
        <v>4320</v>
      </c>
    </row>
    <row r="878" spans="1:2" x14ac:dyDescent="0.35">
      <c r="A878" s="34">
        <v>13101720</v>
      </c>
      <c r="B878" s="35" t="s">
        <v>14154</v>
      </c>
    </row>
    <row r="879" spans="1:2" x14ac:dyDescent="0.35">
      <c r="A879" s="34">
        <v>13101721</v>
      </c>
      <c r="B879" s="35" t="s">
        <v>14018</v>
      </c>
    </row>
    <row r="880" spans="1:2" x14ac:dyDescent="0.35">
      <c r="A880" s="34">
        <v>13101722</v>
      </c>
      <c r="B880" s="35" t="s">
        <v>16298</v>
      </c>
    </row>
    <row r="881" spans="1:2" x14ac:dyDescent="0.35">
      <c r="A881" s="34">
        <v>13101723</v>
      </c>
      <c r="B881" s="35" t="s">
        <v>1637</v>
      </c>
    </row>
    <row r="882" spans="1:2" x14ac:dyDescent="0.35">
      <c r="A882" s="34">
        <v>13101724</v>
      </c>
      <c r="B882" s="35" t="s">
        <v>15302</v>
      </c>
    </row>
    <row r="883" spans="1:2" x14ac:dyDescent="0.35">
      <c r="A883" s="34">
        <v>13101902</v>
      </c>
      <c r="B883" s="35" t="s">
        <v>11487</v>
      </c>
    </row>
    <row r="884" spans="1:2" x14ac:dyDescent="0.35">
      <c r="A884" s="34">
        <v>13101903</v>
      </c>
      <c r="B884" s="35" t="s">
        <v>19347</v>
      </c>
    </row>
    <row r="885" spans="1:2" x14ac:dyDescent="0.35">
      <c r="A885" s="34">
        <v>13101904</v>
      </c>
      <c r="B885" s="35" t="s">
        <v>18340</v>
      </c>
    </row>
    <row r="886" spans="1:2" x14ac:dyDescent="0.35">
      <c r="A886" s="34">
        <v>13101905</v>
      </c>
      <c r="B886" s="35" t="s">
        <v>8138</v>
      </c>
    </row>
    <row r="887" spans="1:2" x14ac:dyDescent="0.35">
      <c r="A887" s="34">
        <v>13101906</v>
      </c>
      <c r="B887" s="35" t="s">
        <v>8372</v>
      </c>
    </row>
    <row r="888" spans="1:2" x14ac:dyDescent="0.35">
      <c r="A888" s="34">
        <v>13102001</v>
      </c>
      <c r="B888" s="35" t="s">
        <v>136</v>
      </c>
    </row>
    <row r="889" spans="1:2" x14ac:dyDescent="0.35">
      <c r="A889" s="34">
        <v>13102002</v>
      </c>
      <c r="B889" s="35" t="s">
        <v>3911</v>
      </c>
    </row>
    <row r="890" spans="1:2" x14ac:dyDescent="0.35">
      <c r="A890" s="34">
        <v>13102003</v>
      </c>
      <c r="B890" s="35" t="s">
        <v>12180</v>
      </c>
    </row>
    <row r="891" spans="1:2" x14ac:dyDescent="0.35">
      <c r="A891" s="34">
        <v>13102005</v>
      </c>
      <c r="B891" s="35" t="s">
        <v>10874</v>
      </c>
    </row>
    <row r="892" spans="1:2" x14ac:dyDescent="0.35">
      <c r="A892" s="34">
        <v>13102006</v>
      </c>
      <c r="B892" s="35" t="s">
        <v>17195</v>
      </c>
    </row>
    <row r="893" spans="1:2" x14ac:dyDescent="0.35">
      <c r="A893" s="34">
        <v>13102008</v>
      </c>
      <c r="B893" s="35" t="s">
        <v>19116</v>
      </c>
    </row>
    <row r="894" spans="1:2" x14ac:dyDescent="0.35">
      <c r="A894" s="34">
        <v>13102009</v>
      </c>
      <c r="B894" s="35" t="s">
        <v>877</v>
      </c>
    </row>
    <row r="895" spans="1:2" x14ac:dyDescent="0.35">
      <c r="A895" s="34">
        <v>13102010</v>
      </c>
      <c r="B895" s="35" t="s">
        <v>12278</v>
      </c>
    </row>
    <row r="896" spans="1:2" x14ac:dyDescent="0.35">
      <c r="A896" s="34">
        <v>13102011</v>
      </c>
      <c r="B896" s="35" t="s">
        <v>17764</v>
      </c>
    </row>
    <row r="897" spans="1:2" x14ac:dyDescent="0.35">
      <c r="A897" s="34">
        <v>13102012</v>
      </c>
      <c r="B897" s="35" t="s">
        <v>15819</v>
      </c>
    </row>
    <row r="898" spans="1:2" x14ac:dyDescent="0.35">
      <c r="A898" s="34">
        <v>13102013</v>
      </c>
      <c r="B898" s="35" t="s">
        <v>5992</v>
      </c>
    </row>
    <row r="899" spans="1:2" x14ac:dyDescent="0.35">
      <c r="A899" s="34">
        <v>13102014</v>
      </c>
      <c r="B899" s="35" t="s">
        <v>2052</v>
      </c>
    </row>
    <row r="900" spans="1:2" x14ac:dyDescent="0.35">
      <c r="A900" s="34">
        <v>13102015</v>
      </c>
      <c r="B900" s="35" t="s">
        <v>18842</v>
      </c>
    </row>
    <row r="901" spans="1:2" x14ac:dyDescent="0.35">
      <c r="A901" s="34">
        <v>13102016</v>
      </c>
      <c r="B901" s="35" t="s">
        <v>6722</v>
      </c>
    </row>
    <row r="902" spans="1:2" x14ac:dyDescent="0.35">
      <c r="A902" s="34">
        <v>13102017</v>
      </c>
      <c r="B902" s="35" t="s">
        <v>8171</v>
      </c>
    </row>
    <row r="903" spans="1:2" x14ac:dyDescent="0.35">
      <c r="A903" s="34">
        <v>13102018</v>
      </c>
      <c r="B903" s="35" t="s">
        <v>17852</v>
      </c>
    </row>
    <row r="904" spans="1:2" x14ac:dyDescent="0.35">
      <c r="A904" s="34">
        <v>13102019</v>
      </c>
      <c r="B904" s="35" t="s">
        <v>10530</v>
      </c>
    </row>
    <row r="905" spans="1:2" x14ac:dyDescent="0.35">
      <c r="A905" s="34">
        <v>13102020</v>
      </c>
      <c r="B905" s="35" t="s">
        <v>2554</v>
      </c>
    </row>
    <row r="906" spans="1:2" x14ac:dyDescent="0.35">
      <c r="A906" s="34">
        <v>13102021</v>
      </c>
      <c r="B906" s="35" t="s">
        <v>8751</v>
      </c>
    </row>
    <row r="907" spans="1:2" x14ac:dyDescent="0.35">
      <c r="A907" s="34">
        <v>13102022</v>
      </c>
      <c r="B907" s="35" t="s">
        <v>1198</v>
      </c>
    </row>
    <row r="908" spans="1:2" x14ac:dyDescent="0.35">
      <c r="A908" s="34">
        <v>13102023</v>
      </c>
      <c r="B908" s="35" t="s">
        <v>12325</v>
      </c>
    </row>
    <row r="909" spans="1:2" x14ac:dyDescent="0.35">
      <c r="A909" s="34">
        <v>13102024</v>
      </c>
      <c r="B909" s="35" t="s">
        <v>148</v>
      </c>
    </row>
    <row r="910" spans="1:2" x14ac:dyDescent="0.35">
      <c r="A910" s="34">
        <v>13102025</v>
      </c>
      <c r="B910" s="35" t="s">
        <v>6306</v>
      </c>
    </row>
    <row r="911" spans="1:2" x14ac:dyDescent="0.35">
      <c r="A911" s="34">
        <v>13102026</v>
      </c>
      <c r="B911" s="35" t="s">
        <v>559</v>
      </c>
    </row>
    <row r="912" spans="1:2" x14ac:dyDescent="0.35">
      <c r="A912" s="34">
        <v>13102027</v>
      </c>
      <c r="B912" s="35" t="s">
        <v>15837</v>
      </c>
    </row>
    <row r="913" spans="1:2" x14ac:dyDescent="0.35">
      <c r="A913" s="34">
        <v>13102028</v>
      </c>
      <c r="B913" s="35" t="s">
        <v>16489</v>
      </c>
    </row>
    <row r="914" spans="1:2" x14ac:dyDescent="0.35">
      <c r="A914" s="34">
        <v>13102029</v>
      </c>
      <c r="B914" s="35" t="s">
        <v>1321</v>
      </c>
    </row>
    <row r="915" spans="1:2" x14ac:dyDescent="0.35">
      <c r="A915" s="34">
        <v>13102030</v>
      </c>
      <c r="B915" s="35" t="s">
        <v>18075</v>
      </c>
    </row>
    <row r="916" spans="1:2" x14ac:dyDescent="0.35">
      <c r="A916" s="34">
        <v>13102031</v>
      </c>
      <c r="B916" s="35" t="s">
        <v>664</v>
      </c>
    </row>
    <row r="917" spans="1:2" x14ac:dyDescent="0.35">
      <c r="A917" s="34">
        <v>13111001</v>
      </c>
      <c r="B917" s="35" t="s">
        <v>8399</v>
      </c>
    </row>
    <row r="918" spans="1:2" x14ac:dyDescent="0.35">
      <c r="A918" s="34">
        <v>13111002</v>
      </c>
      <c r="B918" s="35" t="s">
        <v>4738</v>
      </c>
    </row>
    <row r="919" spans="1:2" x14ac:dyDescent="0.35">
      <c r="A919" s="34">
        <v>13111003</v>
      </c>
      <c r="B919" s="35" t="s">
        <v>16267</v>
      </c>
    </row>
    <row r="920" spans="1:2" x14ac:dyDescent="0.35">
      <c r="A920" s="34">
        <v>13111004</v>
      </c>
      <c r="B920" s="35" t="s">
        <v>7981</v>
      </c>
    </row>
    <row r="921" spans="1:2" x14ac:dyDescent="0.35">
      <c r="A921" s="34">
        <v>13111005</v>
      </c>
      <c r="B921" s="35" t="s">
        <v>13220</v>
      </c>
    </row>
    <row r="922" spans="1:2" x14ac:dyDescent="0.35">
      <c r="A922" s="34">
        <v>13111006</v>
      </c>
      <c r="B922" s="35" t="s">
        <v>7275</v>
      </c>
    </row>
    <row r="923" spans="1:2" x14ac:dyDescent="0.35">
      <c r="A923" s="34">
        <v>13111007</v>
      </c>
      <c r="B923" s="35" t="s">
        <v>8716</v>
      </c>
    </row>
    <row r="924" spans="1:2" x14ac:dyDescent="0.35">
      <c r="A924" s="34">
        <v>13111008</v>
      </c>
      <c r="B924" s="35" t="s">
        <v>12955</v>
      </c>
    </row>
    <row r="925" spans="1:2" x14ac:dyDescent="0.35">
      <c r="A925" s="34">
        <v>13111009</v>
      </c>
      <c r="B925" s="35" t="s">
        <v>10785</v>
      </c>
    </row>
    <row r="926" spans="1:2" x14ac:dyDescent="0.35">
      <c r="A926" s="34">
        <v>13111010</v>
      </c>
      <c r="B926" s="35" t="s">
        <v>16092</v>
      </c>
    </row>
    <row r="927" spans="1:2" x14ac:dyDescent="0.35">
      <c r="A927" s="34">
        <v>13111011</v>
      </c>
      <c r="B927" s="35" t="s">
        <v>9517</v>
      </c>
    </row>
    <row r="928" spans="1:2" x14ac:dyDescent="0.35">
      <c r="A928" s="34">
        <v>13111012</v>
      </c>
      <c r="B928" s="35" t="s">
        <v>11192</v>
      </c>
    </row>
    <row r="929" spans="1:2" x14ac:dyDescent="0.35">
      <c r="A929" s="34">
        <v>13111013</v>
      </c>
      <c r="B929" s="35" t="s">
        <v>14203</v>
      </c>
    </row>
    <row r="930" spans="1:2" x14ac:dyDescent="0.35">
      <c r="A930" s="34">
        <v>13111014</v>
      </c>
      <c r="B930" s="35" t="s">
        <v>2875</v>
      </c>
    </row>
    <row r="931" spans="1:2" x14ac:dyDescent="0.35">
      <c r="A931" s="34">
        <v>13111015</v>
      </c>
      <c r="B931" s="35" t="s">
        <v>1462</v>
      </c>
    </row>
    <row r="932" spans="1:2" x14ac:dyDescent="0.35">
      <c r="A932" s="34">
        <v>13111016</v>
      </c>
      <c r="B932" s="35" t="s">
        <v>15827</v>
      </c>
    </row>
    <row r="933" spans="1:2" x14ac:dyDescent="0.35">
      <c r="A933" s="34">
        <v>13111017</v>
      </c>
      <c r="B933" s="35" t="s">
        <v>11610</v>
      </c>
    </row>
    <row r="934" spans="1:2" x14ac:dyDescent="0.35">
      <c r="A934" s="34">
        <v>13111018</v>
      </c>
      <c r="B934" s="35" t="s">
        <v>14393</v>
      </c>
    </row>
    <row r="935" spans="1:2" x14ac:dyDescent="0.35">
      <c r="A935" s="34">
        <v>13111019</v>
      </c>
      <c r="B935" s="35" t="s">
        <v>1436</v>
      </c>
    </row>
    <row r="936" spans="1:2" x14ac:dyDescent="0.35">
      <c r="A936" s="34">
        <v>13111020</v>
      </c>
      <c r="B936" s="35" t="s">
        <v>4487</v>
      </c>
    </row>
    <row r="937" spans="1:2" x14ac:dyDescent="0.35">
      <c r="A937" s="34">
        <v>13111021</v>
      </c>
      <c r="B937" s="35" t="s">
        <v>13078</v>
      </c>
    </row>
    <row r="938" spans="1:2" x14ac:dyDescent="0.35">
      <c r="A938" s="34">
        <v>13111022</v>
      </c>
      <c r="B938" s="35" t="s">
        <v>13226</v>
      </c>
    </row>
    <row r="939" spans="1:2" x14ac:dyDescent="0.35">
      <c r="A939" s="34">
        <v>13111023</v>
      </c>
      <c r="B939" s="35" t="s">
        <v>17991</v>
      </c>
    </row>
    <row r="940" spans="1:2" x14ac:dyDescent="0.35">
      <c r="A940" s="34">
        <v>13111024</v>
      </c>
      <c r="B940" s="35" t="s">
        <v>15736</v>
      </c>
    </row>
    <row r="941" spans="1:2" x14ac:dyDescent="0.35">
      <c r="A941" s="34">
        <v>13111025</v>
      </c>
      <c r="B941" s="35" t="s">
        <v>2925</v>
      </c>
    </row>
    <row r="942" spans="1:2" x14ac:dyDescent="0.35">
      <c r="A942" s="34">
        <v>13111026</v>
      </c>
      <c r="B942" s="35" t="s">
        <v>13530</v>
      </c>
    </row>
    <row r="943" spans="1:2" x14ac:dyDescent="0.35">
      <c r="A943" s="34">
        <v>13111027</v>
      </c>
      <c r="B943" s="35" t="s">
        <v>9631</v>
      </c>
    </row>
    <row r="944" spans="1:2" x14ac:dyDescent="0.35">
      <c r="A944" s="34">
        <v>13111028</v>
      </c>
      <c r="B944" s="35" t="s">
        <v>4196</v>
      </c>
    </row>
    <row r="945" spans="1:2" x14ac:dyDescent="0.35">
      <c r="A945" s="34">
        <v>13111029</v>
      </c>
      <c r="B945" s="35" t="s">
        <v>15124</v>
      </c>
    </row>
    <row r="946" spans="1:2" x14ac:dyDescent="0.35">
      <c r="A946" s="34">
        <v>13111030</v>
      </c>
      <c r="B946" s="35" t="s">
        <v>8370</v>
      </c>
    </row>
    <row r="947" spans="1:2" x14ac:dyDescent="0.35">
      <c r="A947" s="34">
        <v>13111031</v>
      </c>
      <c r="B947" s="35" t="s">
        <v>12156</v>
      </c>
    </row>
    <row r="948" spans="1:2" x14ac:dyDescent="0.35">
      <c r="A948" s="34">
        <v>13111032</v>
      </c>
      <c r="B948" s="35" t="s">
        <v>19144</v>
      </c>
    </row>
    <row r="949" spans="1:2" x14ac:dyDescent="0.35">
      <c r="A949" s="34">
        <v>13111033</v>
      </c>
      <c r="B949" s="35" t="s">
        <v>16087</v>
      </c>
    </row>
    <row r="950" spans="1:2" x14ac:dyDescent="0.35">
      <c r="A950" s="34">
        <v>13111034</v>
      </c>
      <c r="B950" s="35" t="s">
        <v>12680</v>
      </c>
    </row>
    <row r="951" spans="1:2" x14ac:dyDescent="0.35">
      <c r="A951" s="34">
        <v>13111035</v>
      </c>
      <c r="B951" s="35" t="s">
        <v>1091</v>
      </c>
    </row>
    <row r="952" spans="1:2" x14ac:dyDescent="0.35">
      <c r="A952" s="34">
        <v>13111036</v>
      </c>
      <c r="B952" s="35" t="s">
        <v>9045</v>
      </c>
    </row>
    <row r="953" spans="1:2" x14ac:dyDescent="0.35">
      <c r="A953" s="34">
        <v>13111037</v>
      </c>
      <c r="B953" s="35" t="s">
        <v>6792</v>
      </c>
    </row>
    <row r="954" spans="1:2" x14ac:dyDescent="0.35">
      <c r="A954" s="34">
        <v>13111038</v>
      </c>
      <c r="B954" s="35" t="s">
        <v>12743</v>
      </c>
    </row>
    <row r="955" spans="1:2" x14ac:dyDescent="0.35">
      <c r="A955" s="34">
        <v>13111039</v>
      </c>
      <c r="B955" s="35" t="s">
        <v>17465</v>
      </c>
    </row>
    <row r="956" spans="1:2" x14ac:dyDescent="0.35">
      <c r="A956" s="34">
        <v>13111040</v>
      </c>
      <c r="B956" s="35" t="s">
        <v>8983</v>
      </c>
    </row>
    <row r="957" spans="1:2" x14ac:dyDescent="0.35">
      <c r="A957" s="34">
        <v>13111041</v>
      </c>
      <c r="B957" s="35" t="s">
        <v>9362</v>
      </c>
    </row>
    <row r="958" spans="1:2" x14ac:dyDescent="0.35">
      <c r="A958" s="34">
        <v>13111042</v>
      </c>
      <c r="B958" s="35" t="s">
        <v>9864</v>
      </c>
    </row>
    <row r="959" spans="1:2" x14ac:dyDescent="0.35">
      <c r="A959" s="34">
        <v>13111043</v>
      </c>
      <c r="B959" s="35" t="s">
        <v>17704</v>
      </c>
    </row>
    <row r="960" spans="1:2" x14ac:dyDescent="0.35">
      <c r="A960" s="34">
        <v>13111044</v>
      </c>
      <c r="B960" s="35" t="s">
        <v>1343</v>
      </c>
    </row>
    <row r="961" spans="1:2" x14ac:dyDescent="0.35">
      <c r="A961" s="34">
        <v>13111045</v>
      </c>
      <c r="B961" s="35" t="s">
        <v>13482</v>
      </c>
    </row>
    <row r="962" spans="1:2" x14ac:dyDescent="0.35">
      <c r="A962" s="34">
        <v>13111046</v>
      </c>
      <c r="B962" s="35" t="s">
        <v>12512</v>
      </c>
    </row>
    <row r="963" spans="1:2" x14ac:dyDescent="0.35">
      <c r="A963" s="34">
        <v>13111047</v>
      </c>
      <c r="B963" s="35" t="s">
        <v>2896</v>
      </c>
    </row>
    <row r="964" spans="1:2" x14ac:dyDescent="0.35">
      <c r="A964" s="34">
        <v>13111048</v>
      </c>
      <c r="B964" s="35" t="s">
        <v>210</v>
      </c>
    </row>
    <row r="965" spans="1:2" x14ac:dyDescent="0.35">
      <c r="A965" s="34">
        <v>13111049</v>
      </c>
      <c r="B965" s="35" t="s">
        <v>17722</v>
      </c>
    </row>
    <row r="966" spans="1:2" x14ac:dyDescent="0.35">
      <c r="A966" s="34">
        <v>13111050</v>
      </c>
      <c r="B966" s="35" t="s">
        <v>3769</v>
      </c>
    </row>
    <row r="967" spans="1:2" x14ac:dyDescent="0.35">
      <c r="A967" s="34">
        <v>13111051</v>
      </c>
      <c r="B967" s="35" t="s">
        <v>9069</v>
      </c>
    </row>
    <row r="968" spans="1:2" x14ac:dyDescent="0.35">
      <c r="A968" s="34">
        <v>13111052</v>
      </c>
      <c r="B968" s="35" t="s">
        <v>979</v>
      </c>
    </row>
    <row r="969" spans="1:2" x14ac:dyDescent="0.35">
      <c r="A969" s="34">
        <v>13111053</v>
      </c>
      <c r="B969" s="35" t="s">
        <v>12784</v>
      </c>
    </row>
    <row r="970" spans="1:2" x14ac:dyDescent="0.35">
      <c r="A970" s="34">
        <v>13111054</v>
      </c>
      <c r="B970" s="35" t="s">
        <v>12124</v>
      </c>
    </row>
    <row r="971" spans="1:2" x14ac:dyDescent="0.35">
      <c r="A971" s="34">
        <v>13111055</v>
      </c>
      <c r="B971" s="35" t="s">
        <v>16779</v>
      </c>
    </row>
    <row r="972" spans="1:2" x14ac:dyDescent="0.35">
      <c r="A972" s="34">
        <v>13111056</v>
      </c>
      <c r="B972" s="35" t="s">
        <v>13422</v>
      </c>
    </row>
    <row r="973" spans="1:2" x14ac:dyDescent="0.35">
      <c r="A973" s="34">
        <v>13111057</v>
      </c>
      <c r="B973" s="35" t="s">
        <v>13378</v>
      </c>
    </row>
    <row r="974" spans="1:2" x14ac:dyDescent="0.35">
      <c r="A974" s="34">
        <v>13111058</v>
      </c>
      <c r="B974" s="35" t="s">
        <v>10529</v>
      </c>
    </row>
    <row r="975" spans="1:2" x14ac:dyDescent="0.35">
      <c r="A975" s="34">
        <v>13111059</v>
      </c>
      <c r="B975" s="35" t="s">
        <v>1992</v>
      </c>
    </row>
    <row r="976" spans="1:2" x14ac:dyDescent="0.35">
      <c r="A976" s="34">
        <v>13111060</v>
      </c>
      <c r="B976" s="35" t="s">
        <v>483</v>
      </c>
    </row>
    <row r="977" spans="1:2" x14ac:dyDescent="0.35">
      <c r="A977" s="34">
        <v>13111061</v>
      </c>
      <c r="B977" s="35" t="s">
        <v>4948</v>
      </c>
    </row>
    <row r="978" spans="1:2" x14ac:dyDescent="0.35">
      <c r="A978" s="34">
        <v>13111062</v>
      </c>
      <c r="B978" s="35" t="s">
        <v>19260</v>
      </c>
    </row>
    <row r="979" spans="1:2" x14ac:dyDescent="0.35">
      <c r="A979" s="34">
        <v>13111063</v>
      </c>
      <c r="B979" s="35" t="s">
        <v>12211</v>
      </c>
    </row>
    <row r="980" spans="1:2" x14ac:dyDescent="0.35">
      <c r="A980" s="34">
        <v>13111064</v>
      </c>
      <c r="B980" s="35" t="s">
        <v>5678</v>
      </c>
    </row>
    <row r="981" spans="1:2" x14ac:dyDescent="0.35">
      <c r="A981" s="34">
        <v>13111065</v>
      </c>
      <c r="B981" s="35" t="s">
        <v>9907</v>
      </c>
    </row>
    <row r="982" spans="1:2" x14ac:dyDescent="0.35">
      <c r="A982" s="34">
        <v>13111066</v>
      </c>
      <c r="B982" s="35" t="s">
        <v>2385</v>
      </c>
    </row>
    <row r="983" spans="1:2" x14ac:dyDescent="0.35">
      <c r="A983" s="34">
        <v>13111101</v>
      </c>
      <c r="B983" s="35" t="s">
        <v>9531</v>
      </c>
    </row>
    <row r="984" spans="1:2" x14ac:dyDescent="0.35">
      <c r="A984" s="34">
        <v>13111102</v>
      </c>
      <c r="B984" s="35" t="s">
        <v>5617</v>
      </c>
    </row>
    <row r="985" spans="1:2" x14ac:dyDescent="0.35">
      <c r="A985" s="34">
        <v>13111103</v>
      </c>
      <c r="B985" s="35" t="s">
        <v>6156</v>
      </c>
    </row>
    <row r="986" spans="1:2" x14ac:dyDescent="0.35">
      <c r="A986" s="34">
        <v>13111201</v>
      </c>
      <c r="B986" s="35" t="s">
        <v>1239</v>
      </c>
    </row>
    <row r="987" spans="1:2" x14ac:dyDescent="0.35">
      <c r="A987" s="34">
        <v>13111202</v>
      </c>
      <c r="B987" s="35" t="s">
        <v>10839</v>
      </c>
    </row>
    <row r="988" spans="1:2" x14ac:dyDescent="0.35">
      <c r="A988" s="34">
        <v>13111203</v>
      </c>
      <c r="B988" s="35" t="s">
        <v>19544</v>
      </c>
    </row>
    <row r="989" spans="1:2" x14ac:dyDescent="0.35">
      <c r="A989" s="34">
        <v>13111204</v>
      </c>
      <c r="B989" s="35" t="s">
        <v>18203</v>
      </c>
    </row>
    <row r="990" spans="1:2" x14ac:dyDescent="0.35">
      <c r="A990" s="34">
        <v>13111205</v>
      </c>
      <c r="B990" s="35" t="s">
        <v>17664</v>
      </c>
    </row>
    <row r="991" spans="1:2" x14ac:dyDescent="0.35">
      <c r="A991" s="34">
        <v>13111206</v>
      </c>
      <c r="B991" s="35" t="s">
        <v>4885</v>
      </c>
    </row>
    <row r="992" spans="1:2" x14ac:dyDescent="0.35">
      <c r="A992" s="34">
        <v>13111207</v>
      </c>
      <c r="B992" s="35" t="s">
        <v>9202</v>
      </c>
    </row>
    <row r="993" spans="1:2" x14ac:dyDescent="0.35">
      <c r="A993" s="34">
        <v>13111208</v>
      </c>
      <c r="B993" s="35" t="s">
        <v>17809</v>
      </c>
    </row>
    <row r="994" spans="1:2" x14ac:dyDescent="0.35">
      <c r="A994" s="34">
        <v>13111209</v>
      </c>
      <c r="B994" s="35" t="s">
        <v>731</v>
      </c>
    </row>
    <row r="995" spans="1:2" x14ac:dyDescent="0.35">
      <c r="A995" s="34">
        <v>13111210</v>
      </c>
      <c r="B995" s="35" t="s">
        <v>5658</v>
      </c>
    </row>
    <row r="996" spans="1:2" x14ac:dyDescent="0.35">
      <c r="A996" s="34">
        <v>13111211</v>
      </c>
      <c r="B996" s="35" t="s">
        <v>16175</v>
      </c>
    </row>
    <row r="997" spans="1:2" x14ac:dyDescent="0.35">
      <c r="A997" s="34">
        <v>13111212</v>
      </c>
      <c r="B997" s="35" t="s">
        <v>10734</v>
      </c>
    </row>
    <row r="998" spans="1:2" x14ac:dyDescent="0.35">
      <c r="A998" s="34">
        <v>13111213</v>
      </c>
      <c r="B998" s="35" t="s">
        <v>15930</v>
      </c>
    </row>
    <row r="999" spans="1:2" x14ac:dyDescent="0.35">
      <c r="A999" s="34">
        <v>13111214</v>
      </c>
      <c r="B999" s="35" t="s">
        <v>11640</v>
      </c>
    </row>
    <row r="1000" spans="1:2" x14ac:dyDescent="0.35">
      <c r="A1000" s="34">
        <v>13111215</v>
      </c>
      <c r="B1000" s="35" t="s">
        <v>6327</v>
      </c>
    </row>
    <row r="1001" spans="1:2" x14ac:dyDescent="0.35">
      <c r="A1001" s="34">
        <v>13111216</v>
      </c>
      <c r="B1001" s="35" t="s">
        <v>16501</v>
      </c>
    </row>
    <row r="1002" spans="1:2" x14ac:dyDescent="0.35">
      <c r="A1002" s="34">
        <v>13111217</v>
      </c>
      <c r="B1002" s="35" t="s">
        <v>29</v>
      </c>
    </row>
    <row r="1003" spans="1:2" x14ac:dyDescent="0.35">
      <c r="A1003" s="34">
        <v>13111218</v>
      </c>
      <c r="B1003" s="35" t="s">
        <v>8427</v>
      </c>
    </row>
    <row r="1004" spans="1:2" x14ac:dyDescent="0.35">
      <c r="A1004" s="34">
        <v>13111219</v>
      </c>
      <c r="B1004" s="35" t="s">
        <v>4695</v>
      </c>
    </row>
    <row r="1005" spans="1:2" x14ac:dyDescent="0.35">
      <c r="A1005" s="34">
        <v>13111220</v>
      </c>
      <c r="B1005" s="35" t="s">
        <v>9822</v>
      </c>
    </row>
    <row r="1006" spans="1:2" x14ac:dyDescent="0.35">
      <c r="A1006" s="34">
        <v>13111301</v>
      </c>
      <c r="B1006" s="35" t="s">
        <v>7440</v>
      </c>
    </row>
    <row r="1007" spans="1:2" x14ac:dyDescent="0.35">
      <c r="A1007" s="34">
        <v>13111302</v>
      </c>
      <c r="B1007" s="35" t="s">
        <v>9528</v>
      </c>
    </row>
    <row r="1008" spans="1:2" x14ac:dyDescent="0.35">
      <c r="A1008" s="34">
        <v>13111303</v>
      </c>
      <c r="B1008" s="35" t="s">
        <v>10573</v>
      </c>
    </row>
    <row r="1009" spans="1:2" x14ac:dyDescent="0.35">
      <c r="A1009" s="34">
        <v>13111304</v>
      </c>
      <c r="B1009" s="35" t="s">
        <v>8277</v>
      </c>
    </row>
    <row r="1010" spans="1:2" x14ac:dyDescent="0.35">
      <c r="A1010" s="34">
        <v>13111305</v>
      </c>
      <c r="B1010" s="35" t="s">
        <v>15051</v>
      </c>
    </row>
    <row r="1011" spans="1:2" x14ac:dyDescent="0.35">
      <c r="A1011" s="34">
        <v>13111306</v>
      </c>
      <c r="B1011" s="35" t="s">
        <v>18980</v>
      </c>
    </row>
    <row r="1012" spans="1:2" x14ac:dyDescent="0.35">
      <c r="A1012" s="34">
        <v>13111307</v>
      </c>
      <c r="B1012" s="35" t="s">
        <v>16954</v>
      </c>
    </row>
    <row r="1013" spans="1:2" x14ac:dyDescent="0.35">
      <c r="A1013" s="34">
        <v>13111308</v>
      </c>
      <c r="B1013" s="35" t="s">
        <v>14486</v>
      </c>
    </row>
    <row r="1014" spans="1:2" x14ac:dyDescent="0.35">
      <c r="A1014" s="34">
        <v>14101501</v>
      </c>
      <c r="B1014" s="35" t="s">
        <v>3110</v>
      </c>
    </row>
    <row r="1015" spans="1:2" x14ac:dyDescent="0.35">
      <c r="A1015" s="34">
        <v>14111501</v>
      </c>
      <c r="B1015" s="35" t="s">
        <v>19345</v>
      </c>
    </row>
    <row r="1016" spans="1:2" x14ac:dyDescent="0.35">
      <c r="A1016" s="34">
        <v>14111502</v>
      </c>
      <c r="B1016" s="35" t="s">
        <v>14926</v>
      </c>
    </row>
    <row r="1017" spans="1:2" x14ac:dyDescent="0.35">
      <c r="A1017" s="34">
        <v>14111503</v>
      </c>
      <c r="B1017" s="35" t="s">
        <v>15520</v>
      </c>
    </row>
    <row r="1018" spans="1:2" x14ac:dyDescent="0.35">
      <c r="A1018" s="34">
        <v>14111504</v>
      </c>
      <c r="B1018" s="35" t="s">
        <v>3700</v>
      </c>
    </row>
    <row r="1019" spans="1:2" x14ac:dyDescent="0.35">
      <c r="A1019" s="34">
        <v>14111505</v>
      </c>
      <c r="B1019" s="35" t="s">
        <v>18987</v>
      </c>
    </row>
    <row r="1020" spans="1:2" x14ac:dyDescent="0.35">
      <c r="A1020" s="34">
        <v>14111506</v>
      </c>
      <c r="B1020" s="35" t="s">
        <v>13864</v>
      </c>
    </row>
    <row r="1021" spans="1:2" x14ac:dyDescent="0.35">
      <c r="A1021" s="34">
        <v>14111507</v>
      </c>
      <c r="B1021" s="35" t="s">
        <v>14332</v>
      </c>
    </row>
    <row r="1022" spans="1:2" x14ac:dyDescent="0.35">
      <c r="A1022" s="34">
        <v>14111508</v>
      </c>
      <c r="B1022" s="35" t="s">
        <v>18967</v>
      </c>
    </row>
    <row r="1023" spans="1:2" x14ac:dyDescent="0.35">
      <c r="A1023" s="34">
        <v>14111509</v>
      </c>
      <c r="B1023" s="35" t="s">
        <v>4065</v>
      </c>
    </row>
    <row r="1024" spans="1:2" x14ac:dyDescent="0.35">
      <c r="A1024" s="34">
        <v>14111510</v>
      </c>
      <c r="B1024" s="35" t="s">
        <v>11798</v>
      </c>
    </row>
    <row r="1025" spans="1:2" x14ac:dyDescent="0.35">
      <c r="A1025" s="34">
        <v>14111511</v>
      </c>
      <c r="B1025" s="35" t="s">
        <v>9870</v>
      </c>
    </row>
    <row r="1026" spans="1:2" x14ac:dyDescent="0.35">
      <c r="A1026" s="34">
        <v>14111512</v>
      </c>
      <c r="B1026" s="35" t="s">
        <v>13789</v>
      </c>
    </row>
    <row r="1027" spans="1:2" x14ac:dyDescent="0.35">
      <c r="A1027" s="34">
        <v>14111513</v>
      </c>
      <c r="B1027" s="35" t="s">
        <v>15374</v>
      </c>
    </row>
    <row r="1028" spans="1:2" x14ac:dyDescent="0.35">
      <c r="A1028" s="34">
        <v>14111514</v>
      </c>
      <c r="B1028" s="35" t="s">
        <v>11860</v>
      </c>
    </row>
    <row r="1029" spans="1:2" x14ac:dyDescent="0.35">
      <c r="A1029" s="34">
        <v>14111515</v>
      </c>
      <c r="B1029" s="35" t="s">
        <v>14533</v>
      </c>
    </row>
    <row r="1030" spans="1:2" x14ac:dyDescent="0.35">
      <c r="A1030" s="34">
        <v>14111516</v>
      </c>
      <c r="B1030" s="35" t="s">
        <v>6462</v>
      </c>
    </row>
    <row r="1031" spans="1:2" x14ac:dyDescent="0.35">
      <c r="A1031" s="34">
        <v>14111518</v>
      </c>
      <c r="B1031" s="35" t="s">
        <v>9637</v>
      </c>
    </row>
    <row r="1032" spans="1:2" x14ac:dyDescent="0.35">
      <c r="A1032" s="34">
        <v>14111519</v>
      </c>
      <c r="B1032" s="35" t="s">
        <v>19285</v>
      </c>
    </row>
    <row r="1033" spans="1:2" x14ac:dyDescent="0.35">
      <c r="A1033" s="34">
        <v>14111520</v>
      </c>
      <c r="B1033" s="35" t="s">
        <v>15940</v>
      </c>
    </row>
    <row r="1034" spans="1:2" x14ac:dyDescent="0.35">
      <c r="A1034" s="34">
        <v>14111523</v>
      </c>
      <c r="B1034" s="35" t="s">
        <v>3491</v>
      </c>
    </row>
    <row r="1035" spans="1:2" x14ac:dyDescent="0.35">
      <c r="A1035" s="34">
        <v>14111524</v>
      </c>
      <c r="B1035" s="35" t="s">
        <v>18997</v>
      </c>
    </row>
    <row r="1036" spans="1:2" x14ac:dyDescent="0.35">
      <c r="A1036" s="34">
        <v>14111525</v>
      </c>
      <c r="B1036" s="35" t="s">
        <v>17586</v>
      </c>
    </row>
    <row r="1037" spans="1:2" x14ac:dyDescent="0.35">
      <c r="A1037" s="34">
        <v>14111526</v>
      </c>
      <c r="B1037" s="35" t="s">
        <v>13386</v>
      </c>
    </row>
    <row r="1038" spans="1:2" x14ac:dyDescent="0.35">
      <c r="A1038" s="34">
        <v>14111527</v>
      </c>
      <c r="B1038" s="35" t="s">
        <v>11191</v>
      </c>
    </row>
    <row r="1039" spans="1:2" x14ac:dyDescent="0.35">
      <c r="A1039" s="34">
        <v>14111528</v>
      </c>
      <c r="B1039" s="35" t="s">
        <v>15842</v>
      </c>
    </row>
    <row r="1040" spans="1:2" x14ac:dyDescent="0.35">
      <c r="A1040" s="34">
        <v>14111529</v>
      </c>
      <c r="B1040" s="35" t="s">
        <v>6287</v>
      </c>
    </row>
    <row r="1041" spans="1:2" x14ac:dyDescent="0.35">
      <c r="A1041" s="34">
        <v>14111530</v>
      </c>
      <c r="B1041" s="35" t="s">
        <v>9026</v>
      </c>
    </row>
    <row r="1042" spans="1:2" x14ac:dyDescent="0.35">
      <c r="A1042" s="34">
        <v>14111531</v>
      </c>
      <c r="B1042" s="35" t="s">
        <v>12718</v>
      </c>
    </row>
    <row r="1043" spans="1:2" x14ac:dyDescent="0.35">
      <c r="A1043" s="34">
        <v>14111532</v>
      </c>
      <c r="B1043" s="35" t="s">
        <v>12782</v>
      </c>
    </row>
    <row r="1044" spans="1:2" x14ac:dyDescent="0.35">
      <c r="A1044" s="34">
        <v>14111533</v>
      </c>
      <c r="B1044" s="35" t="s">
        <v>3379</v>
      </c>
    </row>
    <row r="1045" spans="1:2" x14ac:dyDescent="0.35">
      <c r="A1045" s="34">
        <v>14111534</v>
      </c>
      <c r="B1045" s="35" t="s">
        <v>18601</v>
      </c>
    </row>
    <row r="1046" spans="1:2" x14ac:dyDescent="0.35">
      <c r="A1046" s="34">
        <v>14111535</v>
      </c>
      <c r="B1046" s="35" t="s">
        <v>19652</v>
      </c>
    </row>
    <row r="1047" spans="1:2" x14ac:dyDescent="0.35">
      <c r="A1047" s="34">
        <v>14111536</v>
      </c>
      <c r="B1047" s="35" t="s">
        <v>6712</v>
      </c>
    </row>
    <row r="1048" spans="1:2" x14ac:dyDescent="0.35">
      <c r="A1048" s="34">
        <v>14111537</v>
      </c>
      <c r="B1048" s="35" t="s">
        <v>19118</v>
      </c>
    </row>
    <row r="1049" spans="1:2" x14ac:dyDescent="0.35">
      <c r="A1049" s="34">
        <v>14111601</v>
      </c>
      <c r="B1049" s="35" t="s">
        <v>8903</v>
      </c>
    </row>
    <row r="1050" spans="1:2" x14ac:dyDescent="0.35">
      <c r="A1050" s="34">
        <v>14111604</v>
      </c>
      <c r="B1050" s="35" t="s">
        <v>4558</v>
      </c>
    </row>
    <row r="1051" spans="1:2" x14ac:dyDescent="0.35">
      <c r="A1051" s="34">
        <v>14111605</v>
      </c>
      <c r="B1051" s="35" t="s">
        <v>11876</v>
      </c>
    </row>
    <row r="1052" spans="1:2" x14ac:dyDescent="0.35">
      <c r="A1052" s="34">
        <v>14111606</v>
      </c>
      <c r="B1052" s="35" t="s">
        <v>4281</v>
      </c>
    </row>
    <row r="1053" spans="1:2" x14ac:dyDescent="0.35">
      <c r="A1053" s="34">
        <v>14111607</v>
      </c>
      <c r="B1053" s="35" t="s">
        <v>10453</v>
      </c>
    </row>
    <row r="1054" spans="1:2" x14ac:dyDescent="0.35">
      <c r="A1054" s="34">
        <v>14111608</v>
      </c>
      <c r="B1054" s="35" t="s">
        <v>12399</v>
      </c>
    </row>
    <row r="1055" spans="1:2" x14ac:dyDescent="0.35">
      <c r="A1055" s="34">
        <v>14111609</v>
      </c>
      <c r="B1055" s="35" t="s">
        <v>11420</v>
      </c>
    </row>
    <row r="1056" spans="1:2" x14ac:dyDescent="0.35">
      <c r="A1056" s="34">
        <v>14111610</v>
      </c>
      <c r="B1056" s="35" t="s">
        <v>14553</v>
      </c>
    </row>
    <row r="1057" spans="1:2" x14ac:dyDescent="0.35">
      <c r="A1057" s="34">
        <v>14111611</v>
      </c>
      <c r="B1057" s="35" t="s">
        <v>2112</v>
      </c>
    </row>
    <row r="1058" spans="1:2" x14ac:dyDescent="0.35">
      <c r="A1058" s="34">
        <v>14111613</v>
      </c>
      <c r="B1058" s="35" t="s">
        <v>3668</v>
      </c>
    </row>
    <row r="1059" spans="1:2" x14ac:dyDescent="0.35">
      <c r="A1059" s="34">
        <v>14111614</v>
      </c>
      <c r="B1059" s="35" t="s">
        <v>11065</v>
      </c>
    </row>
    <row r="1060" spans="1:2" x14ac:dyDescent="0.35">
      <c r="A1060" s="34">
        <v>14111615</v>
      </c>
      <c r="B1060" s="35" t="s">
        <v>387</v>
      </c>
    </row>
    <row r="1061" spans="1:2" x14ac:dyDescent="0.35">
      <c r="A1061" s="34">
        <v>14111616</v>
      </c>
      <c r="B1061" s="35" t="s">
        <v>18777</v>
      </c>
    </row>
    <row r="1062" spans="1:2" x14ac:dyDescent="0.35">
      <c r="A1062" s="34">
        <v>14111701</v>
      </c>
      <c r="B1062" s="35" t="s">
        <v>13648</v>
      </c>
    </row>
    <row r="1063" spans="1:2" x14ac:dyDescent="0.35">
      <c r="A1063" s="34">
        <v>14111702</v>
      </c>
      <c r="B1063" s="35" t="s">
        <v>15957</v>
      </c>
    </row>
    <row r="1064" spans="1:2" x14ac:dyDescent="0.35">
      <c r="A1064" s="34">
        <v>14111703</v>
      </c>
      <c r="B1064" s="35" t="s">
        <v>277</v>
      </c>
    </row>
    <row r="1065" spans="1:2" x14ac:dyDescent="0.35">
      <c r="A1065" s="34">
        <v>14111704</v>
      </c>
      <c r="B1065" s="35" t="s">
        <v>2228</v>
      </c>
    </row>
    <row r="1066" spans="1:2" x14ac:dyDescent="0.35">
      <c r="A1066" s="34">
        <v>14111705</v>
      </c>
      <c r="B1066" s="35" t="s">
        <v>6600</v>
      </c>
    </row>
    <row r="1067" spans="1:2" x14ac:dyDescent="0.35">
      <c r="A1067" s="34">
        <v>14111706</v>
      </c>
      <c r="B1067" s="35" t="s">
        <v>14755</v>
      </c>
    </row>
    <row r="1068" spans="1:2" x14ac:dyDescent="0.35">
      <c r="A1068" s="34">
        <v>14111801</v>
      </c>
      <c r="B1068" s="35" t="s">
        <v>12050</v>
      </c>
    </row>
    <row r="1069" spans="1:2" x14ac:dyDescent="0.35">
      <c r="A1069" s="34">
        <v>14111802</v>
      </c>
      <c r="B1069" s="35" t="s">
        <v>5811</v>
      </c>
    </row>
    <row r="1070" spans="1:2" x14ac:dyDescent="0.35">
      <c r="A1070" s="34">
        <v>14111803</v>
      </c>
      <c r="B1070" s="35" t="s">
        <v>4238</v>
      </c>
    </row>
    <row r="1071" spans="1:2" x14ac:dyDescent="0.35">
      <c r="A1071" s="34">
        <v>14111804</v>
      </c>
      <c r="B1071" s="35" t="s">
        <v>6394</v>
      </c>
    </row>
    <row r="1072" spans="1:2" x14ac:dyDescent="0.35">
      <c r="A1072" s="34">
        <v>14111805</v>
      </c>
      <c r="B1072" s="35" t="s">
        <v>615</v>
      </c>
    </row>
    <row r="1073" spans="1:2" x14ac:dyDescent="0.35">
      <c r="A1073" s="34">
        <v>14111806</v>
      </c>
      <c r="B1073" s="35" t="s">
        <v>18835</v>
      </c>
    </row>
    <row r="1074" spans="1:2" x14ac:dyDescent="0.35">
      <c r="A1074" s="34">
        <v>14111807</v>
      </c>
      <c r="B1074" s="35" t="s">
        <v>12613</v>
      </c>
    </row>
    <row r="1075" spans="1:2" x14ac:dyDescent="0.35">
      <c r="A1075" s="34">
        <v>14111808</v>
      </c>
      <c r="B1075" s="35" t="s">
        <v>18185</v>
      </c>
    </row>
    <row r="1076" spans="1:2" x14ac:dyDescent="0.35">
      <c r="A1076" s="34">
        <v>14111809</v>
      </c>
      <c r="B1076" s="35" t="s">
        <v>15556</v>
      </c>
    </row>
    <row r="1077" spans="1:2" x14ac:dyDescent="0.35">
      <c r="A1077" s="34">
        <v>14111810</v>
      </c>
      <c r="B1077" s="35" t="s">
        <v>12931</v>
      </c>
    </row>
    <row r="1078" spans="1:2" x14ac:dyDescent="0.35">
      <c r="A1078" s="34">
        <v>14111811</v>
      </c>
      <c r="B1078" s="35" t="s">
        <v>18907</v>
      </c>
    </row>
    <row r="1079" spans="1:2" x14ac:dyDescent="0.35">
      <c r="A1079" s="34">
        <v>14111812</v>
      </c>
      <c r="B1079" s="35" t="s">
        <v>10770</v>
      </c>
    </row>
    <row r="1080" spans="1:2" x14ac:dyDescent="0.35">
      <c r="A1080" s="34">
        <v>14111813</v>
      </c>
      <c r="B1080" s="35" t="s">
        <v>10711</v>
      </c>
    </row>
    <row r="1081" spans="1:2" x14ac:dyDescent="0.35">
      <c r="A1081" s="34">
        <v>14111814</v>
      </c>
      <c r="B1081" s="35" t="s">
        <v>2335</v>
      </c>
    </row>
    <row r="1082" spans="1:2" x14ac:dyDescent="0.35">
      <c r="A1082" s="34">
        <v>14111815</v>
      </c>
      <c r="B1082" s="35" t="s">
        <v>17142</v>
      </c>
    </row>
    <row r="1083" spans="1:2" x14ac:dyDescent="0.35">
      <c r="A1083" s="34">
        <v>14111816</v>
      </c>
      <c r="B1083" s="35" t="s">
        <v>15314</v>
      </c>
    </row>
    <row r="1084" spans="1:2" x14ac:dyDescent="0.35">
      <c r="A1084" s="34">
        <v>14111817</v>
      </c>
      <c r="B1084" s="35" t="s">
        <v>19017</v>
      </c>
    </row>
    <row r="1085" spans="1:2" x14ac:dyDescent="0.35">
      <c r="A1085" s="34">
        <v>14121501</v>
      </c>
      <c r="B1085" s="35" t="s">
        <v>13608</v>
      </c>
    </row>
    <row r="1086" spans="1:2" x14ac:dyDescent="0.35">
      <c r="A1086" s="34">
        <v>14121502</v>
      </c>
      <c r="B1086" s="35" t="s">
        <v>2436</v>
      </c>
    </row>
    <row r="1087" spans="1:2" x14ac:dyDescent="0.35">
      <c r="A1087" s="34">
        <v>14121503</v>
      </c>
      <c r="B1087" s="35" t="s">
        <v>8452</v>
      </c>
    </row>
    <row r="1088" spans="1:2" x14ac:dyDescent="0.35">
      <c r="A1088" s="34">
        <v>14121504</v>
      </c>
      <c r="B1088" s="35" t="s">
        <v>11859</v>
      </c>
    </row>
    <row r="1089" spans="1:2" x14ac:dyDescent="0.35">
      <c r="A1089" s="34">
        <v>14121505</v>
      </c>
      <c r="B1089" s="35" t="s">
        <v>14218</v>
      </c>
    </row>
    <row r="1090" spans="1:2" x14ac:dyDescent="0.35">
      <c r="A1090" s="34">
        <v>14121601</v>
      </c>
      <c r="B1090" s="35" t="s">
        <v>15804</v>
      </c>
    </row>
    <row r="1091" spans="1:2" x14ac:dyDescent="0.35">
      <c r="A1091" s="34">
        <v>14121602</v>
      </c>
      <c r="B1091" s="35" t="s">
        <v>11741</v>
      </c>
    </row>
    <row r="1092" spans="1:2" x14ac:dyDescent="0.35">
      <c r="A1092" s="34">
        <v>14121603</v>
      </c>
      <c r="B1092" s="35" t="s">
        <v>17822</v>
      </c>
    </row>
    <row r="1093" spans="1:2" x14ac:dyDescent="0.35">
      <c r="A1093" s="34">
        <v>14121604</v>
      </c>
      <c r="B1093" s="35" t="s">
        <v>16176</v>
      </c>
    </row>
    <row r="1094" spans="1:2" x14ac:dyDescent="0.35">
      <c r="A1094" s="34">
        <v>14121605</v>
      </c>
      <c r="B1094" s="35" t="s">
        <v>16199</v>
      </c>
    </row>
    <row r="1095" spans="1:2" x14ac:dyDescent="0.35">
      <c r="A1095" s="34">
        <v>14121701</v>
      </c>
      <c r="B1095" s="35" t="s">
        <v>5306</v>
      </c>
    </row>
    <row r="1096" spans="1:2" x14ac:dyDescent="0.35">
      <c r="A1096" s="34">
        <v>14121702</v>
      </c>
      <c r="B1096" s="35" t="s">
        <v>14644</v>
      </c>
    </row>
    <row r="1097" spans="1:2" x14ac:dyDescent="0.35">
      <c r="A1097" s="34">
        <v>14121703</v>
      </c>
      <c r="B1097" s="35" t="s">
        <v>15162</v>
      </c>
    </row>
    <row r="1098" spans="1:2" x14ac:dyDescent="0.35">
      <c r="A1098" s="34">
        <v>14121801</v>
      </c>
      <c r="B1098" s="35" t="s">
        <v>8506</v>
      </c>
    </row>
    <row r="1099" spans="1:2" x14ac:dyDescent="0.35">
      <c r="A1099" s="34">
        <v>14121802</v>
      </c>
      <c r="B1099" s="35" t="s">
        <v>9599</v>
      </c>
    </row>
    <row r="1100" spans="1:2" x14ac:dyDescent="0.35">
      <c r="A1100" s="34">
        <v>14121803</v>
      </c>
      <c r="B1100" s="35" t="s">
        <v>18883</v>
      </c>
    </row>
    <row r="1101" spans="1:2" x14ac:dyDescent="0.35">
      <c r="A1101" s="34">
        <v>14121804</v>
      </c>
      <c r="B1101" s="35" t="s">
        <v>15000</v>
      </c>
    </row>
    <row r="1102" spans="1:2" x14ac:dyDescent="0.35">
      <c r="A1102" s="34">
        <v>14121805</v>
      </c>
      <c r="B1102" s="35" t="s">
        <v>16569</v>
      </c>
    </row>
    <row r="1103" spans="1:2" x14ac:dyDescent="0.35">
      <c r="A1103" s="34">
        <v>14121806</v>
      </c>
      <c r="B1103" s="35" t="s">
        <v>15956</v>
      </c>
    </row>
    <row r="1104" spans="1:2" x14ac:dyDescent="0.35">
      <c r="A1104" s="34">
        <v>14121807</v>
      </c>
      <c r="B1104" s="35" t="s">
        <v>6030</v>
      </c>
    </row>
    <row r="1105" spans="1:2" x14ac:dyDescent="0.35">
      <c r="A1105" s="34">
        <v>14121808</v>
      </c>
      <c r="B1105" s="35" t="s">
        <v>7737</v>
      </c>
    </row>
    <row r="1106" spans="1:2" x14ac:dyDescent="0.35">
      <c r="A1106" s="34">
        <v>14121809</v>
      </c>
      <c r="B1106" s="35" t="s">
        <v>4119</v>
      </c>
    </row>
    <row r="1107" spans="1:2" x14ac:dyDescent="0.35">
      <c r="A1107" s="34">
        <v>14121810</v>
      </c>
      <c r="B1107" s="35" t="s">
        <v>3562</v>
      </c>
    </row>
    <row r="1108" spans="1:2" x14ac:dyDescent="0.35">
      <c r="A1108" s="34">
        <v>14121811</v>
      </c>
      <c r="B1108" s="35" t="s">
        <v>17999</v>
      </c>
    </row>
    <row r="1109" spans="1:2" x14ac:dyDescent="0.35">
      <c r="A1109" s="34">
        <v>14121812</v>
      </c>
      <c r="B1109" s="35" t="s">
        <v>4224</v>
      </c>
    </row>
    <row r="1110" spans="1:2" x14ac:dyDescent="0.35">
      <c r="A1110" s="34">
        <v>14121901</v>
      </c>
      <c r="B1110" s="35" t="s">
        <v>18415</v>
      </c>
    </row>
    <row r="1111" spans="1:2" x14ac:dyDescent="0.35">
      <c r="A1111" s="34">
        <v>14121902</v>
      </c>
      <c r="B1111" s="35" t="s">
        <v>3082</v>
      </c>
    </row>
    <row r="1112" spans="1:2" x14ac:dyDescent="0.35">
      <c r="A1112" s="34">
        <v>14121903</v>
      </c>
      <c r="B1112" s="35" t="s">
        <v>331</v>
      </c>
    </row>
    <row r="1113" spans="1:2" x14ac:dyDescent="0.35">
      <c r="A1113" s="34">
        <v>14121904</v>
      </c>
      <c r="B1113" s="35" t="s">
        <v>15069</v>
      </c>
    </row>
    <row r="1114" spans="1:2" x14ac:dyDescent="0.35">
      <c r="A1114" s="34">
        <v>14121905</v>
      </c>
      <c r="B1114" s="35" t="s">
        <v>13587</v>
      </c>
    </row>
    <row r="1115" spans="1:2" x14ac:dyDescent="0.35">
      <c r="A1115" s="34">
        <v>14122101</v>
      </c>
      <c r="B1115" s="35" t="s">
        <v>1670</v>
      </c>
    </row>
    <row r="1116" spans="1:2" x14ac:dyDescent="0.35">
      <c r="A1116" s="34">
        <v>14122102</v>
      </c>
      <c r="B1116" s="35" t="s">
        <v>3976</v>
      </c>
    </row>
    <row r="1117" spans="1:2" x14ac:dyDescent="0.35">
      <c r="A1117" s="34">
        <v>14122103</v>
      </c>
      <c r="B1117" s="35" t="s">
        <v>15246</v>
      </c>
    </row>
    <row r="1118" spans="1:2" x14ac:dyDescent="0.35">
      <c r="A1118" s="34">
        <v>14122104</v>
      </c>
      <c r="B1118" s="35" t="s">
        <v>10670</v>
      </c>
    </row>
    <row r="1119" spans="1:2" x14ac:dyDescent="0.35">
      <c r="A1119" s="34">
        <v>14122105</v>
      </c>
      <c r="B1119" s="35" t="s">
        <v>17374</v>
      </c>
    </row>
    <row r="1120" spans="1:2" x14ac:dyDescent="0.35">
      <c r="A1120" s="34">
        <v>14122106</v>
      </c>
      <c r="B1120" s="35" t="s">
        <v>14708</v>
      </c>
    </row>
    <row r="1121" spans="1:2" x14ac:dyDescent="0.35">
      <c r="A1121" s="34">
        <v>14122201</v>
      </c>
      <c r="B1121" s="35" t="s">
        <v>10758</v>
      </c>
    </row>
    <row r="1122" spans="1:2" x14ac:dyDescent="0.35">
      <c r="A1122" s="34">
        <v>15101502</v>
      </c>
      <c r="B1122" s="35" t="s">
        <v>14937</v>
      </c>
    </row>
    <row r="1123" spans="1:2" x14ac:dyDescent="0.35">
      <c r="A1123" s="34">
        <v>15101503</v>
      </c>
      <c r="B1123" s="35" t="s">
        <v>5878</v>
      </c>
    </row>
    <row r="1124" spans="1:2" x14ac:dyDescent="0.35">
      <c r="A1124" s="34">
        <v>15101504</v>
      </c>
      <c r="B1124" s="35" t="s">
        <v>4160</v>
      </c>
    </row>
    <row r="1125" spans="1:2" x14ac:dyDescent="0.35">
      <c r="A1125" s="34">
        <v>15101505</v>
      </c>
      <c r="B1125" s="35" t="s">
        <v>86</v>
      </c>
    </row>
    <row r="1126" spans="1:2" x14ac:dyDescent="0.35">
      <c r="A1126" s="34">
        <v>15101506</v>
      </c>
      <c r="B1126" s="35" t="s">
        <v>4031</v>
      </c>
    </row>
    <row r="1127" spans="1:2" x14ac:dyDescent="0.35">
      <c r="A1127" s="34">
        <v>15101507</v>
      </c>
      <c r="B1127" s="35" t="s">
        <v>13260</v>
      </c>
    </row>
    <row r="1128" spans="1:2" x14ac:dyDescent="0.35">
      <c r="A1128" s="34">
        <v>15101508</v>
      </c>
      <c r="B1128" s="35" t="s">
        <v>13854</v>
      </c>
    </row>
    <row r="1129" spans="1:2" x14ac:dyDescent="0.35">
      <c r="A1129" s="34">
        <v>15101509</v>
      </c>
      <c r="B1129" s="35" t="s">
        <v>16842</v>
      </c>
    </row>
    <row r="1130" spans="1:2" x14ac:dyDescent="0.35">
      <c r="A1130" s="34">
        <v>15101510</v>
      </c>
      <c r="B1130" s="35" t="s">
        <v>18327</v>
      </c>
    </row>
    <row r="1131" spans="1:2" x14ac:dyDescent="0.35">
      <c r="A1131" s="34">
        <v>15101601</v>
      </c>
      <c r="B1131" s="35" t="s">
        <v>7461</v>
      </c>
    </row>
    <row r="1132" spans="1:2" x14ac:dyDescent="0.35">
      <c r="A1132" s="34">
        <v>15101602</v>
      </c>
      <c r="B1132" s="35" t="s">
        <v>13312</v>
      </c>
    </row>
    <row r="1133" spans="1:2" x14ac:dyDescent="0.35">
      <c r="A1133" s="34">
        <v>15101603</v>
      </c>
      <c r="B1133" s="35" t="s">
        <v>18635</v>
      </c>
    </row>
    <row r="1134" spans="1:2" x14ac:dyDescent="0.35">
      <c r="A1134" s="34">
        <v>15101604</v>
      </c>
      <c r="B1134" s="35" t="s">
        <v>1930</v>
      </c>
    </row>
    <row r="1135" spans="1:2" x14ac:dyDescent="0.35">
      <c r="A1135" s="34">
        <v>15101605</v>
      </c>
      <c r="B1135" s="35" t="s">
        <v>12944</v>
      </c>
    </row>
    <row r="1136" spans="1:2" x14ac:dyDescent="0.35">
      <c r="A1136" s="34">
        <v>15101606</v>
      </c>
      <c r="B1136" s="35" t="s">
        <v>2256</v>
      </c>
    </row>
    <row r="1137" spans="1:2" x14ac:dyDescent="0.35">
      <c r="A1137" s="34">
        <v>15101607</v>
      </c>
      <c r="B1137" s="35" t="s">
        <v>9654</v>
      </c>
    </row>
    <row r="1138" spans="1:2" x14ac:dyDescent="0.35">
      <c r="A1138" s="34">
        <v>15101608</v>
      </c>
      <c r="B1138" s="35" t="s">
        <v>15359</v>
      </c>
    </row>
    <row r="1139" spans="1:2" x14ac:dyDescent="0.35">
      <c r="A1139" s="34">
        <v>15101701</v>
      </c>
      <c r="B1139" s="35" t="s">
        <v>7082</v>
      </c>
    </row>
    <row r="1140" spans="1:2" x14ac:dyDescent="0.35">
      <c r="A1140" s="34">
        <v>15101702</v>
      </c>
      <c r="B1140" s="35" t="s">
        <v>18038</v>
      </c>
    </row>
    <row r="1141" spans="1:2" x14ac:dyDescent="0.35">
      <c r="A1141" s="34">
        <v>15111501</v>
      </c>
      <c r="B1141" s="35" t="s">
        <v>7276</v>
      </c>
    </row>
    <row r="1142" spans="1:2" x14ac:dyDescent="0.35">
      <c r="A1142" s="34">
        <v>15111502</v>
      </c>
      <c r="B1142" s="35" t="s">
        <v>2858</v>
      </c>
    </row>
    <row r="1143" spans="1:2" x14ac:dyDescent="0.35">
      <c r="A1143" s="34">
        <v>15111503</v>
      </c>
      <c r="B1143" s="35" t="s">
        <v>2847</v>
      </c>
    </row>
    <row r="1144" spans="1:2" x14ac:dyDescent="0.35">
      <c r="A1144" s="34">
        <v>15111504</v>
      </c>
      <c r="B1144" s="35" t="s">
        <v>9516</v>
      </c>
    </row>
    <row r="1145" spans="1:2" x14ac:dyDescent="0.35">
      <c r="A1145" s="34">
        <v>15111505</v>
      </c>
      <c r="B1145" s="35" t="s">
        <v>10876</v>
      </c>
    </row>
    <row r="1146" spans="1:2" x14ac:dyDescent="0.35">
      <c r="A1146" s="34">
        <v>15111506</v>
      </c>
      <c r="B1146" s="35" t="s">
        <v>19012</v>
      </c>
    </row>
    <row r="1147" spans="1:2" x14ac:dyDescent="0.35">
      <c r="A1147" s="34">
        <v>15111507</v>
      </c>
      <c r="B1147" s="35" t="s">
        <v>12405</v>
      </c>
    </row>
    <row r="1148" spans="1:2" x14ac:dyDescent="0.35">
      <c r="A1148" s="34">
        <v>15111508</v>
      </c>
      <c r="B1148" s="35" t="s">
        <v>10293</v>
      </c>
    </row>
    <row r="1149" spans="1:2" x14ac:dyDescent="0.35">
      <c r="A1149" s="34">
        <v>15111509</v>
      </c>
      <c r="B1149" s="35" t="s">
        <v>3635</v>
      </c>
    </row>
    <row r="1150" spans="1:2" x14ac:dyDescent="0.35">
      <c r="A1150" s="34">
        <v>15111510</v>
      </c>
      <c r="B1150" s="35" t="s">
        <v>170</v>
      </c>
    </row>
    <row r="1151" spans="1:2" x14ac:dyDescent="0.35">
      <c r="A1151" s="34">
        <v>15111701</v>
      </c>
      <c r="B1151" s="35" t="s">
        <v>4865</v>
      </c>
    </row>
    <row r="1152" spans="1:2" x14ac:dyDescent="0.35">
      <c r="A1152" s="34">
        <v>15111702</v>
      </c>
      <c r="B1152" s="35" t="s">
        <v>13721</v>
      </c>
    </row>
    <row r="1153" spans="1:2" x14ac:dyDescent="0.35">
      <c r="A1153" s="34">
        <v>15121501</v>
      </c>
      <c r="B1153" s="35" t="s">
        <v>9457</v>
      </c>
    </row>
    <row r="1154" spans="1:2" x14ac:dyDescent="0.35">
      <c r="A1154" s="34">
        <v>15121502</v>
      </c>
      <c r="B1154" s="35" t="s">
        <v>16787</v>
      </c>
    </row>
    <row r="1155" spans="1:2" x14ac:dyDescent="0.35">
      <c r="A1155" s="34">
        <v>15121503</v>
      </c>
      <c r="B1155" s="35" t="s">
        <v>11350</v>
      </c>
    </row>
    <row r="1156" spans="1:2" x14ac:dyDescent="0.35">
      <c r="A1156" s="34">
        <v>15121504</v>
      </c>
      <c r="B1156" s="35" t="s">
        <v>14063</v>
      </c>
    </row>
    <row r="1157" spans="1:2" x14ac:dyDescent="0.35">
      <c r="A1157" s="34">
        <v>15121505</v>
      </c>
      <c r="B1157" s="35" t="s">
        <v>6182</v>
      </c>
    </row>
    <row r="1158" spans="1:2" x14ac:dyDescent="0.35">
      <c r="A1158" s="34">
        <v>15121508</v>
      </c>
      <c r="B1158" s="35" t="s">
        <v>1375</v>
      </c>
    </row>
    <row r="1159" spans="1:2" x14ac:dyDescent="0.35">
      <c r="A1159" s="34">
        <v>15121509</v>
      </c>
      <c r="B1159" s="35" t="s">
        <v>712</v>
      </c>
    </row>
    <row r="1160" spans="1:2" x14ac:dyDescent="0.35">
      <c r="A1160" s="34">
        <v>15121510</v>
      </c>
      <c r="B1160" s="35" t="s">
        <v>771</v>
      </c>
    </row>
    <row r="1161" spans="1:2" x14ac:dyDescent="0.35">
      <c r="A1161" s="34">
        <v>15121511</v>
      </c>
      <c r="B1161" s="35" t="s">
        <v>2640</v>
      </c>
    </row>
    <row r="1162" spans="1:2" x14ac:dyDescent="0.35">
      <c r="A1162" s="34">
        <v>15121512</v>
      </c>
      <c r="B1162" s="35" t="s">
        <v>19175</v>
      </c>
    </row>
    <row r="1163" spans="1:2" x14ac:dyDescent="0.35">
      <c r="A1163" s="34">
        <v>15121513</v>
      </c>
      <c r="B1163" s="35" t="s">
        <v>16938</v>
      </c>
    </row>
    <row r="1164" spans="1:2" x14ac:dyDescent="0.35">
      <c r="A1164" s="34">
        <v>15121514</v>
      </c>
      <c r="B1164" s="35" t="s">
        <v>4189</v>
      </c>
    </row>
    <row r="1165" spans="1:2" x14ac:dyDescent="0.35">
      <c r="A1165" s="34">
        <v>15121515</v>
      </c>
      <c r="B1165" s="35" t="s">
        <v>17614</v>
      </c>
    </row>
    <row r="1166" spans="1:2" x14ac:dyDescent="0.35">
      <c r="A1166" s="34">
        <v>15121516</v>
      </c>
      <c r="B1166" s="35" t="s">
        <v>11601</v>
      </c>
    </row>
    <row r="1167" spans="1:2" x14ac:dyDescent="0.35">
      <c r="A1167" s="34">
        <v>15121517</v>
      </c>
      <c r="B1167" s="35" t="s">
        <v>13886</v>
      </c>
    </row>
    <row r="1168" spans="1:2" x14ac:dyDescent="0.35">
      <c r="A1168" s="34">
        <v>15121518</v>
      </c>
      <c r="B1168" s="35" t="s">
        <v>7026</v>
      </c>
    </row>
    <row r="1169" spans="1:2" x14ac:dyDescent="0.35">
      <c r="A1169" s="34">
        <v>15121519</v>
      </c>
      <c r="B1169" s="35" t="s">
        <v>1967</v>
      </c>
    </row>
    <row r="1170" spans="1:2" x14ac:dyDescent="0.35">
      <c r="A1170" s="34">
        <v>15121520</v>
      </c>
      <c r="B1170" s="35" t="s">
        <v>202</v>
      </c>
    </row>
    <row r="1171" spans="1:2" x14ac:dyDescent="0.35">
      <c r="A1171" s="34">
        <v>15121521</v>
      </c>
      <c r="B1171" s="35" t="s">
        <v>16112</v>
      </c>
    </row>
    <row r="1172" spans="1:2" x14ac:dyDescent="0.35">
      <c r="A1172" s="34">
        <v>15121522</v>
      </c>
      <c r="B1172" s="35" t="s">
        <v>2734</v>
      </c>
    </row>
    <row r="1173" spans="1:2" x14ac:dyDescent="0.35">
      <c r="A1173" s="34">
        <v>15121523</v>
      </c>
      <c r="B1173" s="35" t="s">
        <v>17707</v>
      </c>
    </row>
    <row r="1174" spans="1:2" x14ac:dyDescent="0.35">
      <c r="A1174" s="34">
        <v>15121524</v>
      </c>
      <c r="B1174" s="35" t="s">
        <v>4914</v>
      </c>
    </row>
    <row r="1175" spans="1:2" x14ac:dyDescent="0.35">
      <c r="A1175" s="34">
        <v>15121525</v>
      </c>
      <c r="B1175" s="35" t="s">
        <v>406</v>
      </c>
    </row>
    <row r="1176" spans="1:2" x14ac:dyDescent="0.35">
      <c r="A1176" s="34">
        <v>15121526</v>
      </c>
      <c r="B1176" s="35" t="s">
        <v>18215</v>
      </c>
    </row>
    <row r="1177" spans="1:2" x14ac:dyDescent="0.35">
      <c r="A1177" s="34">
        <v>15121527</v>
      </c>
      <c r="B1177" s="35" t="s">
        <v>17726</v>
      </c>
    </row>
    <row r="1178" spans="1:2" x14ac:dyDescent="0.35">
      <c r="A1178" s="34">
        <v>15121801</v>
      </c>
      <c r="B1178" s="35" t="s">
        <v>2191</v>
      </c>
    </row>
    <row r="1179" spans="1:2" x14ac:dyDescent="0.35">
      <c r="A1179" s="34">
        <v>15121802</v>
      </c>
      <c r="B1179" s="35" t="s">
        <v>6282</v>
      </c>
    </row>
    <row r="1180" spans="1:2" x14ac:dyDescent="0.35">
      <c r="A1180" s="34">
        <v>15121803</v>
      </c>
      <c r="B1180" s="35" t="s">
        <v>8326</v>
      </c>
    </row>
    <row r="1181" spans="1:2" x14ac:dyDescent="0.35">
      <c r="A1181" s="34">
        <v>15121804</v>
      </c>
      <c r="B1181" s="35" t="s">
        <v>1908</v>
      </c>
    </row>
    <row r="1182" spans="1:2" x14ac:dyDescent="0.35">
      <c r="A1182" s="34">
        <v>15121805</v>
      </c>
      <c r="B1182" s="35" t="s">
        <v>5604</v>
      </c>
    </row>
    <row r="1183" spans="1:2" x14ac:dyDescent="0.35">
      <c r="A1183" s="34">
        <v>15121806</v>
      </c>
      <c r="B1183" s="35" t="s">
        <v>7725</v>
      </c>
    </row>
    <row r="1184" spans="1:2" x14ac:dyDescent="0.35">
      <c r="A1184" s="34">
        <v>15121901</v>
      </c>
      <c r="B1184" s="35" t="s">
        <v>5814</v>
      </c>
    </row>
    <row r="1185" spans="1:2" x14ac:dyDescent="0.35">
      <c r="A1185" s="34">
        <v>15121902</v>
      </c>
      <c r="B1185" s="35" t="s">
        <v>9729</v>
      </c>
    </row>
    <row r="1186" spans="1:2" x14ac:dyDescent="0.35">
      <c r="A1186" s="34">
        <v>15121903</v>
      </c>
      <c r="B1186" s="35" t="s">
        <v>2643</v>
      </c>
    </row>
    <row r="1187" spans="1:2" x14ac:dyDescent="0.35">
      <c r="A1187" s="34">
        <v>15121904</v>
      </c>
      <c r="B1187" s="35" t="s">
        <v>366</v>
      </c>
    </row>
    <row r="1188" spans="1:2" x14ac:dyDescent="0.35">
      <c r="A1188" s="34">
        <v>15131502</v>
      </c>
      <c r="B1188" s="35" t="s">
        <v>17174</v>
      </c>
    </row>
    <row r="1189" spans="1:2" x14ac:dyDescent="0.35">
      <c r="A1189" s="34">
        <v>15131503</v>
      </c>
      <c r="B1189" s="35" t="s">
        <v>3204</v>
      </c>
    </row>
    <row r="1190" spans="1:2" x14ac:dyDescent="0.35">
      <c r="A1190" s="34">
        <v>15131504</v>
      </c>
      <c r="B1190" s="35" t="s">
        <v>11502</v>
      </c>
    </row>
    <row r="1191" spans="1:2" x14ac:dyDescent="0.35">
      <c r="A1191" s="34">
        <v>15131505</v>
      </c>
      <c r="B1191" s="35" t="s">
        <v>16305</v>
      </c>
    </row>
    <row r="1192" spans="1:2" x14ac:dyDescent="0.35">
      <c r="A1192" s="34">
        <v>15131506</v>
      </c>
      <c r="B1192" s="35" t="s">
        <v>18689</v>
      </c>
    </row>
    <row r="1193" spans="1:2" x14ac:dyDescent="0.35">
      <c r="A1193" s="34">
        <v>15131601</v>
      </c>
      <c r="B1193" s="35" t="s">
        <v>13494</v>
      </c>
    </row>
    <row r="1194" spans="1:2" x14ac:dyDescent="0.35">
      <c r="A1194" s="34">
        <v>20101501</v>
      </c>
      <c r="B1194" s="35" t="s">
        <v>16657</v>
      </c>
    </row>
    <row r="1195" spans="1:2" x14ac:dyDescent="0.35">
      <c r="A1195" s="34">
        <v>20101502</v>
      </c>
      <c r="B1195" s="35" t="s">
        <v>7694</v>
      </c>
    </row>
    <row r="1196" spans="1:2" x14ac:dyDescent="0.35">
      <c r="A1196" s="34">
        <v>20101503</v>
      </c>
      <c r="B1196" s="35" t="s">
        <v>10151</v>
      </c>
    </row>
    <row r="1197" spans="1:2" x14ac:dyDescent="0.35">
      <c r="A1197" s="34">
        <v>20101504</v>
      </c>
      <c r="B1197" s="35" t="s">
        <v>17882</v>
      </c>
    </row>
    <row r="1198" spans="1:2" x14ac:dyDescent="0.35">
      <c r="A1198" s="34">
        <v>20101601</v>
      </c>
      <c r="B1198" s="35" t="s">
        <v>2107</v>
      </c>
    </row>
    <row r="1199" spans="1:2" x14ac:dyDescent="0.35">
      <c r="A1199" s="34">
        <v>20101602</v>
      </c>
      <c r="B1199" s="35" t="s">
        <v>8867</v>
      </c>
    </row>
    <row r="1200" spans="1:2" x14ac:dyDescent="0.35">
      <c r="A1200" s="34">
        <v>20101603</v>
      </c>
      <c r="B1200" s="35" t="s">
        <v>1491</v>
      </c>
    </row>
    <row r="1201" spans="1:2" x14ac:dyDescent="0.35">
      <c r="A1201" s="34">
        <v>20101701</v>
      </c>
      <c r="B1201" s="35" t="s">
        <v>19624</v>
      </c>
    </row>
    <row r="1202" spans="1:2" x14ac:dyDescent="0.35">
      <c r="A1202" s="34">
        <v>20101702</v>
      </c>
      <c r="B1202" s="35" t="s">
        <v>5987</v>
      </c>
    </row>
    <row r="1203" spans="1:2" x14ac:dyDescent="0.35">
      <c r="A1203" s="34">
        <v>20101703</v>
      </c>
      <c r="B1203" s="35" t="s">
        <v>18826</v>
      </c>
    </row>
    <row r="1204" spans="1:2" x14ac:dyDescent="0.35">
      <c r="A1204" s="34">
        <v>20101704</v>
      </c>
      <c r="B1204" s="35" t="s">
        <v>18161</v>
      </c>
    </row>
    <row r="1205" spans="1:2" x14ac:dyDescent="0.35">
      <c r="A1205" s="34">
        <v>20101705</v>
      </c>
      <c r="B1205" s="35" t="s">
        <v>8522</v>
      </c>
    </row>
    <row r="1206" spans="1:2" x14ac:dyDescent="0.35">
      <c r="A1206" s="34">
        <v>20101706</v>
      </c>
      <c r="B1206" s="35" t="s">
        <v>3575</v>
      </c>
    </row>
    <row r="1207" spans="1:2" x14ac:dyDescent="0.35">
      <c r="A1207" s="34">
        <v>20101707</v>
      </c>
      <c r="B1207" s="35" t="s">
        <v>2831</v>
      </c>
    </row>
    <row r="1208" spans="1:2" x14ac:dyDescent="0.35">
      <c r="A1208" s="34">
        <v>20101708</v>
      </c>
      <c r="B1208" s="35" t="s">
        <v>13841</v>
      </c>
    </row>
    <row r="1209" spans="1:2" x14ac:dyDescent="0.35">
      <c r="A1209" s="34">
        <v>20101709</v>
      </c>
      <c r="B1209" s="35" t="s">
        <v>7926</v>
      </c>
    </row>
    <row r="1210" spans="1:2" x14ac:dyDescent="0.35">
      <c r="A1210" s="34">
        <v>20101710</v>
      </c>
      <c r="B1210" s="35" t="s">
        <v>10544</v>
      </c>
    </row>
    <row r="1211" spans="1:2" x14ac:dyDescent="0.35">
      <c r="A1211" s="34">
        <v>20101711</v>
      </c>
      <c r="B1211" s="35" t="s">
        <v>1714</v>
      </c>
    </row>
    <row r="1212" spans="1:2" x14ac:dyDescent="0.35">
      <c r="A1212" s="34">
        <v>20101712</v>
      </c>
      <c r="B1212" s="35" t="s">
        <v>11026</v>
      </c>
    </row>
    <row r="1213" spans="1:2" x14ac:dyDescent="0.35">
      <c r="A1213" s="34">
        <v>20101713</v>
      </c>
      <c r="B1213" s="35" t="s">
        <v>2504</v>
      </c>
    </row>
    <row r="1214" spans="1:2" x14ac:dyDescent="0.35">
      <c r="A1214" s="34">
        <v>20101714</v>
      </c>
      <c r="B1214" s="35" t="s">
        <v>18625</v>
      </c>
    </row>
    <row r="1215" spans="1:2" x14ac:dyDescent="0.35">
      <c r="A1215" s="34">
        <v>20101801</v>
      </c>
      <c r="B1215" s="35" t="s">
        <v>15065</v>
      </c>
    </row>
    <row r="1216" spans="1:2" x14ac:dyDescent="0.35">
      <c r="A1216" s="34">
        <v>20101802</v>
      </c>
      <c r="B1216" s="35" t="s">
        <v>18884</v>
      </c>
    </row>
    <row r="1217" spans="1:2" x14ac:dyDescent="0.35">
      <c r="A1217" s="34">
        <v>20101803</v>
      </c>
      <c r="B1217" s="35" t="s">
        <v>5233</v>
      </c>
    </row>
    <row r="1218" spans="1:2" x14ac:dyDescent="0.35">
      <c r="A1218" s="34">
        <v>20101804</v>
      </c>
      <c r="B1218" s="35" t="s">
        <v>4439</v>
      </c>
    </row>
    <row r="1219" spans="1:2" x14ac:dyDescent="0.35">
      <c r="A1219" s="34">
        <v>20101805</v>
      </c>
      <c r="B1219" s="35" t="s">
        <v>10759</v>
      </c>
    </row>
    <row r="1220" spans="1:2" x14ac:dyDescent="0.35">
      <c r="A1220" s="34">
        <v>20101901</v>
      </c>
      <c r="B1220" s="35" t="s">
        <v>4727</v>
      </c>
    </row>
    <row r="1221" spans="1:2" x14ac:dyDescent="0.35">
      <c r="A1221" s="34">
        <v>20101902</v>
      </c>
      <c r="B1221" s="35" t="s">
        <v>15234</v>
      </c>
    </row>
    <row r="1222" spans="1:2" x14ac:dyDescent="0.35">
      <c r="A1222" s="34">
        <v>20101903</v>
      </c>
      <c r="B1222" s="35" t="s">
        <v>1639</v>
      </c>
    </row>
    <row r="1223" spans="1:2" x14ac:dyDescent="0.35">
      <c r="A1223" s="34">
        <v>20102001</v>
      </c>
      <c r="B1223" s="35" t="s">
        <v>9225</v>
      </c>
    </row>
    <row r="1224" spans="1:2" x14ac:dyDescent="0.35">
      <c r="A1224" s="34">
        <v>20102002</v>
      </c>
      <c r="B1224" s="35" t="s">
        <v>9002</v>
      </c>
    </row>
    <row r="1225" spans="1:2" x14ac:dyDescent="0.35">
      <c r="A1225" s="34">
        <v>20102003</v>
      </c>
      <c r="B1225" s="35" t="s">
        <v>17781</v>
      </c>
    </row>
    <row r="1226" spans="1:2" x14ac:dyDescent="0.35">
      <c r="A1226" s="34">
        <v>20102004</v>
      </c>
      <c r="B1226" s="35" t="s">
        <v>18951</v>
      </c>
    </row>
    <row r="1227" spans="1:2" x14ac:dyDescent="0.35">
      <c r="A1227" s="34">
        <v>20102005</v>
      </c>
      <c r="B1227" s="35" t="s">
        <v>10060</v>
      </c>
    </row>
    <row r="1228" spans="1:2" x14ac:dyDescent="0.35">
      <c r="A1228" s="34">
        <v>20102006</v>
      </c>
      <c r="B1228" s="35" t="s">
        <v>18776</v>
      </c>
    </row>
    <row r="1229" spans="1:2" x14ac:dyDescent="0.35">
      <c r="A1229" s="34">
        <v>20102007</v>
      </c>
      <c r="B1229" s="35" t="s">
        <v>3311</v>
      </c>
    </row>
    <row r="1230" spans="1:2" x14ac:dyDescent="0.35">
      <c r="A1230" s="34">
        <v>20102008</v>
      </c>
      <c r="B1230" s="35" t="s">
        <v>10740</v>
      </c>
    </row>
    <row r="1231" spans="1:2" x14ac:dyDescent="0.35">
      <c r="A1231" s="34">
        <v>20102101</v>
      </c>
      <c r="B1231" s="35" t="s">
        <v>16507</v>
      </c>
    </row>
    <row r="1232" spans="1:2" x14ac:dyDescent="0.35">
      <c r="A1232" s="34">
        <v>20102102</v>
      </c>
      <c r="B1232" s="35" t="s">
        <v>12495</v>
      </c>
    </row>
    <row r="1233" spans="1:2" x14ac:dyDescent="0.35">
      <c r="A1233" s="34">
        <v>20102103</v>
      </c>
      <c r="B1233" s="35" t="s">
        <v>3169</v>
      </c>
    </row>
    <row r="1234" spans="1:2" x14ac:dyDescent="0.35">
      <c r="A1234" s="34">
        <v>20102104</v>
      </c>
      <c r="B1234" s="35" t="s">
        <v>160</v>
      </c>
    </row>
    <row r="1235" spans="1:2" x14ac:dyDescent="0.35">
      <c r="A1235" s="34">
        <v>20102201</v>
      </c>
      <c r="B1235" s="35" t="s">
        <v>3513</v>
      </c>
    </row>
    <row r="1236" spans="1:2" x14ac:dyDescent="0.35">
      <c r="A1236" s="34">
        <v>20102202</v>
      </c>
      <c r="B1236" s="35" t="s">
        <v>13563</v>
      </c>
    </row>
    <row r="1237" spans="1:2" x14ac:dyDescent="0.35">
      <c r="A1237" s="34">
        <v>20102203</v>
      </c>
      <c r="B1237" s="35" t="s">
        <v>10394</v>
      </c>
    </row>
    <row r="1238" spans="1:2" x14ac:dyDescent="0.35">
      <c r="A1238" s="34">
        <v>20102301</v>
      </c>
      <c r="B1238" s="35" t="s">
        <v>17493</v>
      </c>
    </row>
    <row r="1239" spans="1:2" x14ac:dyDescent="0.35">
      <c r="A1239" s="34">
        <v>20102302</v>
      </c>
      <c r="B1239" s="35" t="s">
        <v>9784</v>
      </c>
    </row>
    <row r="1240" spans="1:2" x14ac:dyDescent="0.35">
      <c r="A1240" s="34">
        <v>20102303</v>
      </c>
      <c r="B1240" s="35" t="s">
        <v>10230</v>
      </c>
    </row>
    <row r="1241" spans="1:2" x14ac:dyDescent="0.35">
      <c r="A1241" s="34">
        <v>20102304</v>
      </c>
      <c r="B1241" s="35" t="s">
        <v>15235</v>
      </c>
    </row>
    <row r="1242" spans="1:2" x14ac:dyDescent="0.35">
      <c r="A1242" s="34">
        <v>20102305</v>
      </c>
      <c r="B1242" s="35" t="s">
        <v>7552</v>
      </c>
    </row>
    <row r="1243" spans="1:2" x14ac:dyDescent="0.35">
      <c r="A1243" s="34">
        <v>20102306</v>
      </c>
      <c r="B1243" s="35" t="s">
        <v>18805</v>
      </c>
    </row>
    <row r="1244" spans="1:2" x14ac:dyDescent="0.35">
      <c r="A1244" s="34">
        <v>20102307</v>
      </c>
      <c r="B1244" s="35" t="s">
        <v>17096</v>
      </c>
    </row>
    <row r="1245" spans="1:2" x14ac:dyDescent="0.35">
      <c r="A1245" s="34">
        <v>20111504</v>
      </c>
      <c r="B1245" s="35" t="s">
        <v>5927</v>
      </c>
    </row>
    <row r="1246" spans="1:2" x14ac:dyDescent="0.35">
      <c r="A1246" s="34">
        <v>20111505</v>
      </c>
      <c r="B1246" s="35" t="s">
        <v>8455</v>
      </c>
    </row>
    <row r="1247" spans="1:2" x14ac:dyDescent="0.35">
      <c r="A1247" s="34">
        <v>20111601</v>
      </c>
      <c r="B1247" s="35" t="s">
        <v>18994</v>
      </c>
    </row>
    <row r="1248" spans="1:2" x14ac:dyDescent="0.35">
      <c r="A1248" s="34">
        <v>20111602</v>
      </c>
      <c r="B1248" s="35" t="s">
        <v>6119</v>
      </c>
    </row>
    <row r="1249" spans="1:2" x14ac:dyDescent="0.35">
      <c r="A1249" s="34">
        <v>20111603</v>
      </c>
      <c r="B1249" s="35" t="s">
        <v>9246</v>
      </c>
    </row>
    <row r="1250" spans="1:2" x14ac:dyDescent="0.35">
      <c r="A1250" s="34">
        <v>20111604</v>
      </c>
      <c r="B1250" s="35" t="s">
        <v>9724</v>
      </c>
    </row>
    <row r="1251" spans="1:2" x14ac:dyDescent="0.35">
      <c r="A1251" s="34">
        <v>20111606</v>
      </c>
      <c r="B1251" s="35" t="s">
        <v>17730</v>
      </c>
    </row>
    <row r="1252" spans="1:2" x14ac:dyDescent="0.35">
      <c r="A1252" s="34">
        <v>20111607</v>
      </c>
      <c r="B1252" s="35" t="s">
        <v>19206</v>
      </c>
    </row>
    <row r="1253" spans="1:2" x14ac:dyDescent="0.35">
      <c r="A1253" s="34">
        <v>20111608</v>
      </c>
      <c r="B1253" s="35" t="s">
        <v>11514</v>
      </c>
    </row>
    <row r="1254" spans="1:2" x14ac:dyDescent="0.35">
      <c r="A1254" s="34">
        <v>20111609</v>
      </c>
      <c r="B1254" s="35" t="s">
        <v>18229</v>
      </c>
    </row>
    <row r="1255" spans="1:2" x14ac:dyDescent="0.35">
      <c r="A1255" s="34">
        <v>20111610</v>
      </c>
      <c r="B1255" s="35" t="s">
        <v>1008</v>
      </c>
    </row>
    <row r="1256" spans="1:2" x14ac:dyDescent="0.35">
      <c r="A1256" s="34">
        <v>20111611</v>
      </c>
      <c r="B1256" s="35" t="s">
        <v>11363</v>
      </c>
    </row>
    <row r="1257" spans="1:2" x14ac:dyDescent="0.35">
      <c r="A1257" s="34">
        <v>20111612</v>
      </c>
      <c r="B1257" s="35" t="s">
        <v>10257</v>
      </c>
    </row>
    <row r="1258" spans="1:2" x14ac:dyDescent="0.35">
      <c r="A1258" s="34">
        <v>20111613</v>
      </c>
      <c r="B1258" s="35" t="s">
        <v>1769</v>
      </c>
    </row>
    <row r="1259" spans="1:2" x14ac:dyDescent="0.35">
      <c r="A1259" s="34">
        <v>20111614</v>
      </c>
      <c r="B1259" s="35" t="s">
        <v>2865</v>
      </c>
    </row>
    <row r="1260" spans="1:2" x14ac:dyDescent="0.35">
      <c r="A1260" s="34">
        <v>20111615</v>
      </c>
      <c r="B1260" s="35" t="s">
        <v>12887</v>
      </c>
    </row>
    <row r="1261" spans="1:2" x14ac:dyDescent="0.35">
      <c r="A1261" s="34">
        <v>20111616</v>
      </c>
      <c r="B1261" s="35" t="s">
        <v>10882</v>
      </c>
    </row>
    <row r="1262" spans="1:2" x14ac:dyDescent="0.35">
      <c r="A1262" s="34">
        <v>20111617</v>
      </c>
      <c r="B1262" s="35" t="s">
        <v>7385</v>
      </c>
    </row>
    <row r="1263" spans="1:2" x14ac:dyDescent="0.35">
      <c r="A1263" s="34">
        <v>20111618</v>
      </c>
      <c r="B1263" s="35" t="s">
        <v>1548</v>
      </c>
    </row>
    <row r="1264" spans="1:2" x14ac:dyDescent="0.35">
      <c r="A1264" s="34">
        <v>20111619</v>
      </c>
      <c r="B1264" s="35" t="s">
        <v>13631</v>
      </c>
    </row>
    <row r="1265" spans="1:2" x14ac:dyDescent="0.35">
      <c r="A1265" s="34">
        <v>20111701</v>
      </c>
      <c r="B1265" s="35" t="s">
        <v>6922</v>
      </c>
    </row>
    <row r="1266" spans="1:2" x14ac:dyDescent="0.35">
      <c r="A1266" s="34">
        <v>20111702</v>
      </c>
      <c r="B1266" s="35" t="s">
        <v>13575</v>
      </c>
    </row>
    <row r="1267" spans="1:2" x14ac:dyDescent="0.35">
      <c r="A1267" s="34">
        <v>20111703</v>
      </c>
      <c r="B1267" s="35" t="s">
        <v>3932</v>
      </c>
    </row>
    <row r="1268" spans="1:2" x14ac:dyDescent="0.35">
      <c r="A1268" s="34">
        <v>20111704</v>
      </c>
      <c r="B1268" s="35" t="s">
        <v>14608</v>
      </c>
    </row>
    <row r="1269" spans="1:2" x14ac:dyDescent="0.35">
      <c r="A1269" s="34">
        <v>20111705</v>
      </c>
      <c r="B1269" s="35" t="s">
        <v>9009</v>
      </c>
    </row>
    <row r="1270" spans="1:2" x14ac:dyDescent="0.35">
      <c r="A1270" s="34">
        <v>20111706</v>
      </c>
      <c r="B1270" s="35" t="s">
        <v>1913</v>
      </c>
    </row>
    <row r="1271" spans="1:2" x14ac:dyDescent="0.35">
      <c r="A1271" s="34">
        <v>20111707</v>
      </c>
      <c r="B1271" s="35" t="s">
        <v>12135</v>
      </c>
    </row>
    <row r="1272" spans="1:2" x14ac:dyDescent="0.35">
      <c r="A1272" s="34">
        <v>20111708</v>
      </c>
      <c r="B1272" s="35" t="s">
        <v>7534</v>
      </c>
    </row>
    <row r="1273" spans="1:2" x14ac:dyDescent="0.35">
      <c r="A1273" s="34">
        <v>20111709</v>
      </c>
      <c r="B1273" s="35" t="s">
        <v>3647</v>
      </c>
    </row>
    <row r="1274" spans="1:2" x14ac:dyDescent="0.35">
      <c r="A1274" s="34">
        <v>20121001</v>
      </c>
      <c r="B1274" s="35" t="s">
        <v>6667</v>
      </c>
    </row>
    <row r="1275" spans="1:2" x14ac:dyDescent="0.35">
      <c r="A1275" s="34">
        <v>20121002</v>
      </c>
      <c r="B1275" s="35" t="s">
        <v>18633</v>
      </c>
    </row>
    <row r="1276" spans="1:2" x14ac:dyDescent="0.35">
      <c r="A1276" s="34">
        <v>20121003</v>
      </c>
      <c r="B1276" s="35" t="s">
        <v>6020</v>
      </c>
    </row>
    <row r="1277" spans="1:2" x14ac:dyDescent="0.35">
      <c r="A1277" s="34">
        <v>20121004</v>
      </c>
      <c r="B1277" s="35" t="s">
        <v>5287</v>
      </c>
    </row>
    <row r="1278" spans="1:2" x14ac:dyDescent="0.35">
      <c r="A1278" s="34">
        <v>20121005</v>
      </c>
      <c r="B1278" s="35" t="s">
        <v>17795</v>
      </c>
    </row>
    <row r="1279" spans="1:2" x14ac:dyDescent="0.35">
      <c r="A1279" s="34">
        <v>20121006</v>
      </c>
      <c r="B1279" s="35" t="s">
        <v>2398</v>
      </c>
    </row>
    <row r="1280" spans="1:2" x14ac:dyDescent="0.35">
      <c r="A1280" s="34">
        <v>20121007</v>
      </c>
      <c r="B1280" s="35" t="s">
        <v>2042</v>
      </c>
    </row>
    <row r="1281" spans="1:2" x14ac:dyDescent="0.35">
      <c r="A1281" s="34">
        <v>20121008</v>
      </c>
      <c r="B1281" s="35" t="s">
        <v>18564</v>
      </c>
    </row>
    <row r="1282" spans="1:2" x14ac:dyDescent="0.35">
      <c r="A1282" s="34">
        <v>20121009</v>
      </c>
      <c r="B1282" s="35" t="s">
        <v>11970</v>
      </c>
    </row>
    <row r="1283" spans="1:2" x14ac:dyDescent="0.35">
      <c r="A1283" s="34">
        <v>20121010</v>
      </c>
      <c r="B1283" s="35" t="s">
        <v>5347</v>
      </c>
    </row>
    <row r="1284" spans="1:2" x14ac:dyDescent="0.35">
      <c r="A1284" s="34">
        <v>20121011</v>
      </c>
      <c r="B1284" s="35" t="s">
        <v>8860</v>
      </c>
    </row>
    <row r="1285" spans="1:2" x14ac:dyDescent="0.35">
      <c r="A1285" s="34">
        <v>20121012</v>
      </c>
      <c r="B1285" s="35" t="s">
        <v>15536</v>
      </c>
    </row>
    <row r="1286" spans="1:2" x14ac:dyDescent="0.35">
      <c r="A1286" s="34">
        <v>20121013</v>
      </c>
      <c r="B1286" s="35" t="s">
        <v>18517</v>
      </c>
    </row>
    <row r="1287" spans="1:2" x14ac:dyDescent="0.35">
      <c r="A1287" s="34">
        <v>20121014</v>
      </c>
      <c r="B1287" s="35" t="s">
        <v>849</v>
      </c>
    </row>
    <row r="1288" spans="1:2" x14ac:dyDescent="0.35">
      <c r="A1288" s="34">
        <v>20121015</v>
      </c>
      <c r="B1288" s="35" t="s">
        <v>8015</v>
      </c>
    </row>
    <row r="1289" spans="1:2" x14ac:dyDescent="0.35">
      <c r="A1289" s="34">
        <v>20121016</v>
      </c>
      <c r="B1289" s="35" t="s">
        <v>14610</v>
      </c>
    </row>
    <row r="1290" spans="1:2" x14ac:dyDescent="0.35">
      <c r="A1290" s="34">
        <v>20121101</v>
      </c>
      <c r="B1290" s="35" t="s">
        <v>10145</v>
      </c>
    </row>
    <row r="1291" spans="1:2" x14ac:dyDescent="0.35">
      <c r="A1291" s="34">
        <v>20121102</v>
      </c>
      <c r="B1291" s="35" t="s">
        <v>13926</v>
      </c>
    </row>
    <row r="1292" spans="1:2" x14ac:dyDescent="0.35">
      <c r="A1292" s="34">
        <v>20121103</v>
      </c>
      <c r="B1292" s="35" t="s">
        <v>3068</v>
      </c>
    </row>
    <row r="1293" spans="1:2" x14ac:dyDescent="0.35">
      <c r="A1293" s="34">
        <v>20121104</v>
      </c>
      <c r="B1293" s="35" t="s">
        <v>10423</v>
      </c>
    </row>
    <row r="1294" spans="1:2" x14ac:dyDescent="0.35">
      <c r="A1294" s="34">
        <v>20121105</v>
      </c>
      <c r="B1294" s="35" t="s">
        <v>12236</v>
      </c>
    </row>
    <row r="1295" spans="1:2" x14ac:dyDescent="0.35">
      <c r="A1295" s="34">
        <v>20121106</v>
      </c>
      <c r="B1295" s="35" t="s">
        <v>17352</v>
      </c>
    </row>
    <row r="1296" spans="1:2" x14ac:dyDescent="0.35">
      <c r="A1296" s="34">
        <v>20121107</v>
      </c>
      <c r="B1296" s="35" t="s">
        <v>6870</v>
      </c>
    </row>
    <row r="1297" spans="1:2" x14ac:dyDescent="0.35">
      <c r="A1297" s="34">
        <v>20121108</v>
      </c>
      <c r="B1297" s="35" t="s">
        <v>5147</v>
      </c>
    </row>
    <row r="1298" spans="1:2" x14ac:dyDescent="0.35">
      <c r="A1298" s="34">
        <v>20121109</v>
      </c>
      <c r="B1298" s="35" t="s">
        <v>8174</v>
      </c>
    </row>
    <row r="1299" spans="1:2" x14ac:dyDescent="0.35">
      <c r="A1299" s="34">
        <v>20121110</v>
      </c>
      <c r="B1299" s="35" t="s">
        <v>17284</v>
      </c>
    </row>
    <row r="1300" spans="1:2" x14ac:dyDescent="0.35">
      <c r="A1300" s="34">
        <v>20121111</v>
      </c>
      <c r="B1300" s="35" t="s">
        <v>3219</v>
      </c>
    </row>
    <row r="1301" spans="1:2" x14ac:dyDescent="0.35">
      <c r="A1301" s="34">
        <v>20121112</v>
      </c>
      <c r="B1301" s="35" t="s">
        <v>8962</v>
      </c>
    </row>
    <row r="1302" spans="1:2" x14ac:dyDescent="0.35">
      <c r="A1302" s="34">
        <v>20121113</v>
      </c>
      <c r="B1302" s="35" t="s">
        <v>3447</v>
      </c>
    </row>
    <row r="1303" spans="1:2" x14ac:dyDescent="0.35">
      <c r="A1303" s="34">
        <v>20121114</v>
      </c>
      <c r="B1303" s="35" t="s">
        <v>3385</v>
      </c>
    </row>
    <row r="1304" spans="1:2" x14ac:dyDescent="0.35">
      <c r="A1304" s="34">
        <v>20121115</v>
      </c>
      <c r="B1304" s="35" t="s">
        <v>2873</v>
      </c>
    </row>
    <row r="1305" spans="1:2" x14ac:dyDescent="0.35">
      <c r="A1305" s="34">
        <v>20121116</v>
      </c>
      <c r="B1305" s="35" t="s">
        <v>11747</v>
      </c>
    </row>
    <row r="1306" spans="1:2" x14ac:dyDescent="0.35">
      <c r="A1306" s="34">
        <v>20121117</v>
      </c>
      <c r="B1306" s="35" t="s">
        <v>18501</v>
      </c>
    </row>
    <row r="1307" spans="1:2" x14ac:dyDescent="0.35">
      <c r="A1307" s="34">
        <v>20121118</v>
      </c>
      <c r="B1307" s="35" t="s">
        <v>14462</v>
      </c>
    </row>
    <row r="1308" spans="1:2" x14ac:dyDescent="0.35">
      <c r="A1308" s="34">
        <v>20121119</v>
      </c>
      <c r="B1308" s="35" t="s">
        <v>17056</v>
      </c>
    </row>
    <row r="1309" spans="1:2" x14ac:dyDescent="0.35">
      <c r="A1309" s="34">
        <v>20121201</v>
      </c>
      <c r="B1309" s="35" t="s">
        <v>3815</v>
      </c>
    </row>
    <row r="1310" spans="1:2" x14ac:dyDescent="0.35">
      <c r="A1310" s="34">
        <v>20121202</v>
      </c>
      <c r="B1310" s="35" t="s">
        <v>15243</v>
      </c>
    </row>
    <row r="1311" spans="1:2" x14ac:dyDescent="0.35">
      <c r="A1311" s="34">
        <v>20121203</v>
      </c>
      <c r="B1311" s="35" t="s">
        <v>17200</v>
      </c>
    </row>
    <row r="1312" spans="1:2" x14ac:dyDescent="0.35">
      <c r="A1312" s="34">
        <v>20121204</v>
      </c>
      <c r="B1312" s="35" t="s">
        <v>14053</v>
      </c>
    </row>
    <row r="1313" spans="1:2" x14ac:dyDescent="0.35">
      <c r="A1313" s="34">
        <v>20121205</v>
      </c>
      <c r="B1313" s="35" t="s">
        <v>10801</v>
      </c>
    </row>
    <row r="1314" spans="1:2" x14ac:dyDescent="0.35">
      <c r="A1314" s="34">
        <v>20121206</v>
      </c>
      <c r="B1314" s="35" t="s">
        <v>3500</v>
      </c>
    </row>
    <row r="1315" spans="1:2" x14ac:dyDescent="0.35">
      <c r="A1315" s="34">
        <v>20121207</v>
      </c>
      <c r="B1315" s="35" t="s">
        <v>7982</v>
      </c>
    </row>
    <row r="1316" spans="1:2" x14ac:dyDescent="0.35">
      <c r="A1316" s="34">
        <v>20121208</v>
      </c>
      <c r="B1316" s="35" t="s">
        <v>1010</v>
      </c>
    </row>
    <row r="1317" spans="1:2" x14ac:dyDescent="0.35">
      <c r="A1317" s="34">
        <v>20121209</v>
      </c>
      <c r="B1317" s="35" t="s">
        <v>6851</v>
      </c>
    </row>
    <row r="1318" spans="1:2" x14ac:dyDescent="0.35">
      <c r="A1318" s="34">
        <v>20121210</v>
      </c>
      <c r="B1318" s="35" t="s">
        <v>8937</v>
      </c>
    </row>
    <row r="1319" spans="1:2" x14ac:dyDescent="0.35">
      <c r="A1319" s="34">
        <v>20121211</v>
      </c>
      <c r="B1319" s="35" t="s">
        <v>13952</v>
      </c>
    </row>
    <row r="1320" spans="1:2" x14ac:dyDescent="0.35">
      <c r="A1320" s="34">
        <v>20121212</v>
      </c>
      <c r="B1320" s="35" t="s">
        <v>15109</v>
      </c>
    </row>
    <row r="1321" spans="1:2" x14ac:dyDescent="0.35">
      <c r="A1321" s="34">
        <v>20121213</v>
      </c>
      <c r="B1321" s="35" t="s">
        <v>1783</v>
      </c>
    </row>
    <row r="1322" spans="1:2" x14ac:dyDescent="0.35">
      <c r="A1322" s="34">
        <v>20121301</v>
      </c>
      <c r="B1322" s="35" t="s">
        <v>7753</v>
      </c>
    </row>
    <row r="1323" spans="1:2" x14ac:dyDescent="0.35">
      <c r="A1323" s="34">
        <v>20121302</v>
      </c>
      <c r="B1323" s="35" t="s">
        <v>16840</v>
      </c>
    </row>
    <row r="1324" spans="1:2" x14ac:dyDescent="0.35">
      <c r="A1324" s="34">
        <v>20121303</v>
      </c>
      <c r="B1324" s="35" t="s">
        <v>19216</v>
      </c>
    </row>
    <row r="1325" spans="1:2" x14ac:dyDescent="0.35">
      <c r="A1325" s="34">
        <v>20121304</v>
      </c>
      <c r="B1325" s="35" t="s">
        <v>15330</v>
      </c>
    </row>
    <row r="1326" spans="1:2" x14ac:dyDescent="0.35">
      <c r="A1326" s="34">
        <v>20121305</v>
      </c>
      <c r="B1326" s="35" t="s">
        <v>8290</v>
      </c>
    </row>
    <row r="1327" spans="1:2" x14ac:dyDescent="0.35">
      <c r="A1327" s="34">
        <v>20121306</v>
      </c>
      <c r="B1327" s="35" t="s">
        <v>12289</v>
      </c>
    </row>
    <row r="1328" spans="1:2" x14ac:dyDescent="0.35">
      <c r="A1328" s="34">
        <v>20121307</v>
      </c>
      <c r="B1328" s="35" t="s">
        <v>8606</v>
      </c>
    </row>
    <row r="1329" spans="1:2" x14ac:dyDescent="0.35">
      <c r="A1329" s="34">
        <v>20121308</v>
      </c>
      <c r="B1329" s="35" t="s">
        <v>1326</v>
      </c>
    </row>
    <row r="1330" spans="1:2" x14ac:dyDescent="0.35">
      <c r="A1330" s="34">
        <v>20121309</v>
      </c>
      <c r="B1330" s="35" t="s">
        <v>6912</v>
      </c>
    </row>
    <row r="1331" spans="1:2" x14ac:dyDescent="0.35">
      <c r="A1331" s="34">
        <v>20121310</v>
      </c>
      <c r="B1331" s="35" t="s">
        <v>18380</v>
      </c>
    </row>
    <row r="1332" spans="1:2" x14ac:dyDescent="0.35">
      <c r="A1332" s="34">
        <v>20121311</v>
      </c>
      <c r="B1332" s="35" t="s">
        <v>19309</v>
      </c>
    </row>
    <row r="1333" spans="1:2" x14ac:dyDescent="0.35">
      <c r="A1333" s="34">
        <v>20121312</v>
      </c>
      <c r="B1333" s="35" t="s">
        <v>6785</v>
      </c>
    </row>
    <row r="1334" spans="1:2" x14ac:dyDescent="0.35">
      <c r="A1334" s="34">
        <v>20121313</v>
      </c>
      <c r="B1334" s="35" t="s">
        <v>7237</v>
      </c>
    </row>
    <row r="1335" spans="1:2" x14ac:dyDescent="0.35">
      <c r="A1335" s="34">
        <v>20121314</v>
      </c>
      <c r="B1335" s="35" t="s">
        <v>11769</v>
      </c>
    </row>
    <row r="1336" spans="1:2" x14ac:dyDescent="0.35">
      <c r="A1336" s="34">
        <v>20121315</v>
      </c>
      <c r="B1336" s="35" t="s">
        <v>15108</v>
      </c>
    </row>
    <row r="1337" spans="1:2" x14ac:dyDescent="0.35">
      <c r="A1337" s="34">
        <v>20121316</v>
      </c>
      <c r="B1337" s="35" t="s">
        <v>10679</v>
      </c>
    </row>
    <row r="1338" spans="1:2" x14ac:dyDescent="0.35">
      <c r="A1338" s="34">
        <v>20121317</v>
      </c>
      <c r="B1338" s="35" t="s">
        <v>140</v>
      </c>
    </row>
    <row r="1339" spans="1:2" x14ac:dyDescent="0.35">
      <c r="A1339" s="34">
        <v>20121318</v>
      </c>
      <c r="B1339" s="35" t="s">
        <v>12975</v>
      </c>
    </row>
    <row r="1340" spans="1:2" x14ac:dyDescent="0.35">
      <c r="A1340" s="34">
        <v>20121319</v>
      </c>
      <c r="B1340" s="35" t="s">
        <v>3035</v>
      </c>
    </row>
    <row r="1341" spans="1:2" x14ac:dyDescent="0.35">
      <c r="A1341" s="34">
        <v>20121320</v>
      </c>
      <c r="B1341" s="35" t="s">
        <v>866</v>
      </c>
    </row>
    <row r="1342" spans="1:2" x14ac:dyDescent="0.35">
      <c r="A1342" s="34">
        <v>20121321</v>
      </c>
      <c r="B1342" s="35" t="s">
        <v>12820</v>
      </c>
    </row>
    <row r="1343" spans="1:2" x14ac:dyDescent="0.35">
      <c r="A1343" s="34">
        <v>20121322</v>
      </c>
      <c r="B1343" s="35" t="s">
        <v>914</v>
      </c>
    </row>
    <row r="1344" spans="1:2" x14ac:dyDescent="0.35">
      <c r="A1344" s="34">
        <v>20121323</v>
      </c>
      <c r="B1344" s="35" t="s">
        <v>3012</v>
      </c>
    </row>
    <row r="1345" spans="1:2" x14ac:dyDescent="0.35">
      <c r="A1345" s="34">
        <v>20121401</v>
      </c>
      <c r="B1345" s="35" t="s">
        <v>9328</v>
      </c>
    </row>
    <row r="1346" spans="1:2" x14ac:dyDescent="0.35">
      <c r="A1346" s="34">
        <v>20121402</v>
      </c>
      <c r="B1346" s="35" t="s">
        <v>18421</v>
      </c>
    </row>
    <row r="1347" spans="1:2" x14ac:dyDescent="0.35">
      <c r="A1347" s="34">
        <v>20121403</v>
      </c>
      <c r="B1347" s="35" t="s">
        <v>5516</v>
      </c>
    </row>
    <row r="1348" spans="1:2" x14ac:dyDescent="0.35">
      <c r="A1348" s="34">
        <v>20121404</v>
      </c>
      <c r="B1348" s="35" t="s">
        <v>8204</v>
      </c>
    </row>
    <row r="1349" spans="1:2" x14ac:dyDescent="0.35">
      <c r="A1349" s="34">
        <v>20121405</v>
      </c>
      <c r="B1349" s="35" t="s">
        <v>5754</v>
      </c>
    </row>
    <row r="1350" spans="1:2" x14ac:dyDescent="0.35">
      <c r="A1350" s="34">
        <v>20121406</v>
      </c>
      <c r="B1350" s="35" t="s">
        <v>13441</v>
      </c>
    </row>
    <row r="1351" spans="1:2" x14ac:dyDescent="0.35">
      <c r="A1351" s="34">
        <v>20121407</v>
      </c>
      <c r="B1351" s="35" t="s">
        <v>19035</v>
      </c>
    </row>
    <row r="1352" spans="1:2" x14ac:dyDescent="0.35">
      <c r="A1352" s="34">
        <v>20121408</v>
      </c>
      <c r="B1352" s="35" t="s">
        <v>13390</v>
      </c>
    </row>
    <row r="1353" spans="1:2" x14ac:dyDescent="0.35">
      <c r="A1353" s="34">
        <v>20121409</v>
      </c>
      <c r="B1353" s="35" t="s">
        <v>13700</v>
      </c>
    </row>
    <row r="1354" spans="1:2" x14ac:dyDescent="0.35">
      <c r="A1354" s="34">
        <v>20121410</v>
      </c>
      <c r="B1354" s="35" t="s">
        <v>2586</v>
      </c>
    </row>
    <row r="1355" spans="1:2" x14ac:dyDescent="0.35">
      <c r="A1355" s="34">
        <v>20121411</v>
      </c>
      <c r="B1355" s="35" t="s">
        <v>16582</v>
      </c>
    </row>
    <row r="1356" spans="1:2" x14ac:dyDescent="0.35">
      <c r="A1356" s="34">
        <v>20121412</v>
      </c>
      <c r="B1356" s="35" t="s">
        <v>11920</v>
      </c>
    </row>
    <row r="1357" spans="1:2" x14ac:dyDescent="0.35">
      <c r="A1357" s="34">
        <v>20121413</v>
      </c>
      <c r="B1357" s="35" t="s">
        <v>10274</v>
      </c>
    </row>
    <row r="1358" spans="1:2" x14ac:dyDescent="0.35">
      <c r="A1358" s="34">
        <v>20121414</v>
      </c>
      <c r="B1358" s="35" t="s">
        <v>10558</v>
      </c>
    </row>
    <row r="1359" spans="1:2" x14ac:dyDescent="0.35">
      <c r="A1359" s="34">
        <v>20121415</v>
      </c>
      <c r="B1359" s="35" t="s">
        <v>116</v>
      </c>
    </row>
    <row r="1360" spans="1:2" x14ac:dyDescent="0.35">
      <c r="A1360" s="34">
        <v>20121416</v>
      </c>
      <c r="B1360" s="35" t="s">
        <v>1286</v>
      </c>
    </row>
    <row r="1361" spans="1:2" x14ac:dyDescent="0.35">
      <c r="A1361" s="34">
        <v>20121417</v>
      </c>
      <c r="B1361" s="35" t="s">
        <v>3663</v>
      </c>
    </row>
    <row r="1362" spans="1:2" x14ac:dyDescent="0.35">
      <c r="A1362" s="34">
        <v>20121418</v>
      </c>
      <c r="B1362" s="35" t="s">
        <v>19091</v>
      </c>
    </row>
    <row r="1363" spans="1:2" x14ac:dyDescent="0.35">
      <c r="A1363" s="34">
        <v>20121419</v>
      </c>
      <c r="B1363" s="35" t="s">
        <v>5993</v>
      </c>
    </row>
    <row r="1364" spans="1:2" x14ac:dyDescent="0.35">
      <c r="A1364" s="34">
        <v>20121420</v>
      </c>
      <c r="B1364" s="35" t="s">
        <v>11541</v>
      </c>
    </row>
    <row r="1365" spans="1:2" x14ac:dyDescent="0.35">
      <c r="A1365" s="34">
        <v>20121421</v>
      </c>
      <c r="B1365" s="35" t="s">
        <v>10374</v>
      </c>
    </row>
    <row r="1366" spans="1:2" x14ac:dyDescent="0.35">
      <c r="A1366" s="34">
        <v>20121422</v>
      </c>
      <c r="B1366" s="35" t="s">
        <v>1293</v>
      </c>
    </row>
    <row r="1367" spans="1:2" x14ac:dyDescent="0.35">
      <c r="A1367" s="34">
        <v>20121423</v>
      </c>
      <c r="B1367" s="35" t="s">
        <v>17330</v>
      </c>
    </row>
    <row r="1368" spans="1:2" x14ac:dyDescent="0.35">
      <c r="A1368" s="34">
        <v>20121424</v>
      </c>
      <c r="B1368" s="35" t="s">
        <v>928</v>
      </c>
    </row>
    <row r="1369" spans="1:2" x14ac:dyDescent="0.35">
      <c r="A1369" s="34">
        <v>20121425</v>
      </c>
      <c r="B1369" s="35" t="s">
        <v>275</v>
      </c>
    </row>
    <row r="1370" spans="1:2" x14ac:dyDescent="0.35">
      <c r="A1370" s="34">
        <v>20121427</v>
      </c>
      <c r="B1370" s="35" t="s">
        <v>2893</v>
      </c>
    </row>
    <row r="1371" spans="1:2" x14ac:dyDescent="0.35">
      <c r="A1371" s="34">
        <v>20121428</v>
      </c>
      <c r="B1371" s="35" t="s">
        <v>8385</v>
      </c>
    </row>
    <row r="1372" spans="1:2" x14ac:dyDescent="0.35">
      <c r="A1372" s="34">
        <v>20121429</v>
      </c>
      <c r="B1372" s="35" t="s">
        <v>1916</v>
      </c>
    </row>
    <row r="1373" spans="1:2" x14ac:dyDescent="0.35">
      <c r="A1373" s="34">
        <v>20121430</v>
      </c>
      <c r="B1373" s="35" t="s">
        <v>12046</v>
      </c>
    </row>
    <row r="1374" spans="1:2" x14ac:dyDescent="0.35">
      <c r="A1374" s="34">
        <v>20121501</v>
      </c>
      <c r="B1374" s="35" t="s">
        <v>17198</v>
      </c>
    </row>
    <row r="1375" spans="1:2" x14ac:dyDescent="0.35">
      <c r="A1375" s="34">
        <v>20121502</v>
      </c>
      <c r="B1375" s="35" t="s">
        <v>3770</v>
      </c>
    </row>
    <row r="1376" spans="1:2" x14ac:dyDescent="0.35">
      <c r="A1376" s="34">
        <v>20121503</v>
      </c>
      <c r="B1376" s="35" t="s">
        <v>18305</v>
      </c>
    </row>
    <row r="1377" spans="1:2" x14ac:dyDescent="0.35">
      <c r="A1377" s="34">
        <v>20121504</v>
      </c>
      <c r="B1377" s="35" t="s">
        <v>1681</v>
      </c>
    </row>
    <row r="1378" spans="1:2" x14ac:dyDescent="0.35">
      <c r="A1378" s="34">
        <v>20121505</v>
      </c>
      <c r="B1378" s="35" t="s">
        <v>17676</v>
      </c>
    </row>
    <row r="1379" spans="1:2" x14ac:dyDescent="0.35">
      <c r="A1379" s="34">
        <v>20121506</v>
      </c>
      <c r="B1379" s="35" t="s">
        <v>10316</v>
      </c>
    </row>
    <row r="1380" spans="1:2" x14ac:dyDescent="0.35">
      <c r="A1380" s="34">
        <v>20121507</v>
      </c>
      <c r="B1380" s="35" t="s">
        <v>15220</v>
      </c>
    </row>
    <row r="1381" spans="1:2" x14ac:dyDescent="0.35">
      <c r="A1381" s="34">
        <v>20121508</v>
      </c>
      <c r="B1381" s="35" t="s">
        <v>17407</v>
      </c>
    </row>
    <row r="1382" spans="1:2" x14ac:dyDescent="0.35">
      <c r="A1382" s="34">
        <v>20121509</v>
      </c>
      <c r="B1382" s="35" t="s">
        <v>13605</v>
      </c>
    </row>
    <row r="1383" spans="1:2" x14ac:dyDescent="0.35">
      <c r="A1383" s="34">
        <v>20121510</v>
      </c>
      <c r="B1383" s="35" t="s">
        <v>7149</v>
      </c>
    </row>
    <row r="1384" spans="1:2" x14ac:dyDescent="0.35">
      <c r="A1384" s="34">
        <v>20121511</v>
      </c>
      <c r="B1384" s="35" t="s">
        <v>9166</v>
      </c>
    </row>
    <row r="1385" spans="1:2" x14ac:dyDescent="0.35">
      <c r="A1385" s="34">
        <v>20121512</v>
      </c>
      <c r="B1385" s="35" t="s">
        <v>16880</v>
      </c>
    </row>
    <row r="1386" spans="1:2" x14ac:dyDescent="0.35">
      <c r="A1386" s="34">
        <v>20121513</v>
      </c>
      <c r="B1386" s="35" t="s">
        <v>11275</v>
      </c>
    </row>
    <row r="1387" spans="1:2" x14ac:dyDescent="0.35">
      <c r="A1387" s="34">
        <v>20121514</v>
      </c>
      <c r="B1387" s="35" t="s">
        <v>860</v>
      </c>
    </row>
    <row r="1388" spans="1:2" x14ac:dyDescent="0.35">
      <c r="A1388" s="34">
        <v>20121515</v>
      </c>
      <c r="B1388" s="35" t="s">
        <v>10027</v>
      </c>
    </row>
    <row r="1389" spans="1:2" x14ac:dyDescent="0.35">
      <c r="A1389" s="34">
        <v>20121516</v>
      </c>
      <c r="B1389" s="35" t="s">
        <v>10191</v>
      </c>
    </row>
    <row r="1390" spans="1:2" x14ac:dyDescent="0.35">
      <c r="A1390" s="34">
        <v>20121601</v>
      </c>
      <c r="B1390" s="35" t="s">
        <v>6696</v>
      </c>
    </row>
    <row r="1391" spans="1:2" x14ac:dyDescent="0.35">
      <c r="A1391" s="34">
        <v>20121602</v>
      </c>
      <c r="B1391" s="35" t="s">
        <v>5059</v>
      </c>
    </row>
    <row r="1392" spans="1:2" x14ac:dyDescent="0.35">
      <c r="A1392" s="34">
        <v>20121603</v>
      </c>
      <c r="B1392" s="35" t="s">
        <v>15143</v>
      </c>
    </row>
    <row r="1393" spans="1:2" x14ac:dyDescent="0.35">
      <c r="A1393" s="34">
        <v>20121604</v>
      </c>
      <c r="B1393" s="35" t="s">
        <v>7923</v>
      </c>
    </row>
    <row r="1394" spans="1:2" x14ac:dyDescent="0.35">
      <c r="A1394" s="34">
        <v>20121605</v>
      </c>
      <c r="B1394" s="35" t="s">
        <v>19375</v>
      </c>
    </row>
    <row r="1395" spans="1:2" x14ac:dyDescent="0.35">
      <c r="A1395" s="34">
        <v>20121606</v>
      </c>
      <c r="B1395" s="35" t="s">
        <v>3303</v>
      </c>
    </row>
    <row r="1396" spans="1:2" x14ac:dyDescent="0.35">
      <c r="A1396" s="34">
        <v>20121607</v>
      </c>
      <c r="B1396" s="35" t="s">
        <v>13676</v>
      </c>
    </row>
    <row r="1397" spans="1:2" x14ac:dyDescent="0.35">
      <c r="A1397" s="34">
        <v>20121701</v>
      </c>
      <c r="B1397" s="35" t="s">
        <v>11195</v>
      </c>
    </row>
    <row r="1398" spans="1:2" x14ac:dyDescent="0.35">
      <c r="A1398" s="34">
        <v>20121702</v>
      </c>
      <c r="B1398" s="35" t="s">
        <v>8890</v>
      </c>
    </row>
    <row r="1399" spans="1:2" x14ac:dyDescent="0.35">
      <c r="A1399" s="34">
        <v>20121703</v>
      </c>
      <c r="B1399" s="35" t="s">
        <v>8366</v>
      </c>
    </row>
    <row r="1400" spans="1:2" x14ac:dyDescent="0.35">
      <c r="A1400" s="34">
        <v>20121704</v>
      </c>
      <c r="B1400" s="35" t="s">
        <v>1231</v>
      </c>
    </row>
    <row r="1401" spans="1:2" x14ac:dyDescent="0.35">
      <c r="A1401" s="34">
        <v>20121705</v>
      </c>
      <c r="B1401" s="35" t="s">
        <v>4708</v>
      </c>
    </row>
    <row r="1402" spans="1:2" x14ac:dyDescent="0.35">
      <c r="A1402" s="34">
        <v>20121706</v>
      </c>
      <c r="B1402" s="35" t="s">
        <v>14439</v>
      </c>
    </row>
    <row r="1403" spans="1:2" x14ac:dyDescent="0.35">
      <c r="A1403" s="34">
        <v>20121707</v>
      </c>
      <c r="B1403" s="35" t="s">
        <v>5316</v>
      </c>
    </row>
    <row r="1404" spans="1:2" x14ac:dyDescent="0.35">
      <c r="A1404" s="34">
        <v>20121708</v>
      </c>
      <c r="B1404" s="35" t="s">
        <v>8698</v>
      </c>
    </row>
    <row r="1405" spans="1:2" x14ac:dyDescent="0.35">
      <c r="A1405" s="34">
        <v>20121801</v>
      </c>
      <c r="B1405" s="35" t="s">
        <v>2274</v>
      </c>
    </row>
    <row r="1406" spans="1:2" x14ac:dyDescent="0.35">
      <c r="A1406" s="34">
        <v>20121802</v>
      </c>
      <c r="B1406" s="35" t="s">
        <v>8838</v>
      </c>
    </row>
    <row r="1407" spans="1:2" x14ac:dyDescent="0.35">
      <c r="A1407" s="34">
        <v>20121803</v>
      </c>
      <c r="B1407" s="35" t="s">
        <v>14625</v>
      </c>
    </row>
    <row r="1408" spans="1:2" x14ac:dyDescent="0.35">
      <c r="A1408" s="34">
        <v>20121804</v>
      </c>
      <c r="B1408" s="35" t="s">
        <v>399</v>
      </c>
    </row>
    <row r="1409" spans="1:2" x14ac:dyDescent="0.35">
      <c r="A1409" s="34">
        <v>20121805</v>
      </c>
      <c r="B1409" s="35" t="s">
        <v>12162</v>
      </c>
    </row>
    <row r="1410" spans="1:2" x14ac:dyDescent="0.35">
      <c r="A1410" s="34">
        <v>20121901</v>
      </c>
      <c r="B1410" s="35" t="s">
        <v>19241</v>
      </c>
    </row>
    <row r="1411" spans="1:2" x14ac:dyDescent="0.35">
      <c r="A1411" s="34">
        <v>20121902</v>
      </c>
      <c r="B1411" s="35" t="s">
        <v>6191</v>
      </c>
    </row>
    <row r="1412" spans="1:2" x14ac:dyDescent="0.35">
      <c r="A1412" s="34">
        <v>20121903</v>
      </c>
      <c r="B1412" s="35" t="s">
        <v>9337</v>
      </c>
    </row>
    <row r="1413" spans="1:2" x14ac:dyDescent="0.35">
      <c r="A1413" s="34">
        <v>20121904</v>
      </c>
      <c r="B1413" s="35" t="s">
        <v>1972</v>
      </c>
    </row>
    <row r="1414" spans="1:2" x14ac:dyDescent="0.35">
      <c r="A1414" s="34">
        <v>20121905</v>
      </c>
      <c r="B1414" s="35" t="s">
        <v>8198</v>
      </c>
    </row>
    <row r="1415" spans="1:2" x14ac:dyDescent="0.35">
      <c r="A1415" s="34">
        <v>20121906</v>
      </c>
      <c r="B1415" s="35" t="s">
        <v>16410</v>
      </c>
    </row>
    <row r="1416" spans="1:2" x14ac:dyDescent="0.35">
      <c r="A1416" s="34">
        <v>20121907</v>
      </c>
      <c r="B1416" s="35" t="s">
        <v>19255</v>
      </c>
    </row>
    <row r="1417" spans="1:2" x14ac:dyDescent="0.35">
      <c r="A1417" s="34">
        <v>20121908</v>
      </c>
      <c r="B1417" s="35" t="s">
        <v>12764</v>
      </c>
    </row>
    <row r="1418" spans="1:2" x14ac:dyDescent="0.35">
      <c r="A1418" s="34">
        <v>20121909</v>
      </c>
      <c r="B1418" s="35" t="s">
        <v>14229</v>
      </c>
    </row>
    <row r="1419" spans="1:2" x14ac:dyDescent="0.35">
      <c r="A1419" s="34">
        <v>20121910</v>
      </c>
      <c r="B1419" s="35" t="s">
        <v>12688</v>
      </c>
    </row>
    <row r="1420" spans="1:2" x14ac:dyDescent="0.35">
      <c r="A1420" s="34">
        <v>20121911</v>
      </c>
      <c r="B1420" s="35" t="s">
        <v>1562</v>
      </c>
    </row>
    <row r="1421" spans="1:2" x14ac:dyDescent="0.35">
      <c r="A1421" s="34">
        <v>20121912</v>
      </c>
      <c r="B1421" s="35" t="s">
        <v>15018</v>
      </c>
    </row>
    <row r="1422" spans="1:2" x14ac:dyDescent="0.35">
      <c r="A1422" s="34">
        <v>20121913</v>
      </c>
      <c r="B1422" s="35" t="s">
        <v>15883</v>
      </c>
    </row>
    <row r="1423" spans="1:2" x14ac:dyDescent="0.35">
      <c r="A1423" s="34">
        <v>20121914</v>
      </c>
      <c r="B1423" s="35" t="s">
        <v>15771</v>
      </c>
    </row>
    <row r="1424" spans="1:2" x14ac:dyDescent="0.35">
      <c r="A1424" s="34">
        <v>20122001</v>
      </c>
      <c r="B1424" s="35" t="s">
        <v>809</v>
      </c>
    </row>
    <row r="1425" spans="1:2" x14ac:dyDescent="0.35">
      <c r="A1425" s="34">
        <v>20122002</v>
      </c>
      <c r="B1425" s="35" t="s">
        <v>17183</v>
      </c>
    </row>
    <row r="1426" spans="1:2" x14ac:dyDescent="0.35">
      <c r="A1426" s="34">
        <v>20122003</v>
      </c>
      <c r="B1426" s="35" t="s">
        <v>18675</v>
      </c>
    </row>
    <row r="1427" spans="1:2" x14ac:dyDescent="0.35">
      <c r="A1427" s="34">
        <v>20122004</v>
      </c>
      <c r="B1427" s="35" t="s">
        <v>12844</v>
      </c>
    </row>
    <row r="1428" spans="1:2" x14ac:dyDescent="0.35">
      <c r="A1428" s="34">
        <v>20122005</v>
      </c>
      <c r="B1428" s="35" t="s">
        <v>3324</v>
      </c>
    </row>
    <row r="1429" spans="1:2" x14ac:dyDescent="0.35">
      <c r="A1429" s="34">
        <v>20122006</v>
      </c>
      <c r="B1429" s="35" t="s">
        <v>1926</v>
      </c>
    </row>
    <row r="1430" spans="1:2" x14ac:dyDescent="0.35">
      <c r="A1430" s="34">
        <v>20122101</v>
      </c>
      <c r="B1430" s="35" t="s">
        <v>8786</v>
      </c>
    </row>
    <row r="1431" spans="1:2" x14ac:dyDescent="0.35">
      <c r="A1431" s="34">
        <v>20122102</v>
      </c>
      <c r="B1431" s="35" t="s">
        <v>10560</v>
      </c>
    </row>
    <row r="1432" spans="1:2" x14ac:dyDescent="0.35">
      <c r="A1432" s="34">
        <v>20122103</v>
      </c>
      <c r="B1432" s="35" t="s">
        <v>10180</v>
      </c>
    </row>
    <row r="1433" spans="1:2" x14ac:dyDescent="0.35">
      <c r="A1433" s="34">
        <v>20122104</v>
      </c>
      <c r="B1433" s="35" t="s">
        <v>1022</v>
      </c>
    </row>
    <row r="1434" spans="1:2" x14ac:dyDescent="0.35">
      <c r="A1434" s="34">
        <v>20122105</v>
      </c>
      <c r="B1434" s="35" t="s">
        <v>8286</v>
      </c>
    </row>
    <row r="1435" spans="1:2" x14ac:dyDescent="0.35">
      <c r="A1435" s="34">
        <v>20122106</v>
      </c>
      <c r="B1435" s="35" t="s">
        <v>14437</v>
      </c>
    </row>
    <row r="1436" spans="1:2" x14ac:dyDescent="0.35">
      <c r="A1436" s="34">
        <v>20122107</v>
      </c>
      <c r="B1436" s="35" t="s">
        <v>657</v>
      </c>
    </row>
    <row r="1437" spans="1:2" x14ac:dyDescent="0.35">
      <c r="A1437" s="34">
        <v>20122108</v>
      </c>
      <c r="B1437" s="35" t="s">
        <v>10399</v>
      </c>
    </row>
    <row r="1438" spans="1:2" x14ac:dyDescent="0.35">
      <c r="A1438" s="34">
        <v>20122109</v>
      </c>
      <c r="B1438" s="35" t="s">
        <v>10996</v>
      </c>
    </row>
    <row r="1439" spans="1:2" x14ac:dyDescent="0.35">
      <c r="A1439" s="34">
        <v>20122110</v>
      </c>
      <c r="B1439" s="35" t="s">
        <v>8833</v>
      </c>
    </row>
    <row r="1440" spans="1:2" x14ac:dyDescent="0.35">
      <c r="A1440" s="34">
        <v>20122111</v>
      </c>
      <c r="B1440" s="35" t="s">
        <v>1283</v>
      </c>
    </row>
    <row r="1441" spans="1:2" x14ac:dyDescent="0.35">
      <c r="A1441" s="34">
        <v>20122112</v>
      </c>
      <c r="B1441" s="35" t="s">
        <v>16002</v>
      </c>
    </row>
    <row r="1442" spans="1:2" x14ac:dyDescent="0.35">
      <c r="A1442" s="34">
        <v>20122113</v>
      </c>
      <c r="B1442" s="35" t="s">
        <v>8035</v>
      </c>
    </row>
    <row r="1443" spans="1:2" x14ac:dyDescent="0.35">
      <c r="A1443" s="34">
        <v>20122114</v>
      </c>
      <c r="B1443" s="35" t="s">
        <v>8324</v>
      </c>
    </row>
    <row r="1444" spans="1:2" x14ac:dyDescent="0.35">
      <c r="A1444" s="34">
        <v>20122115</v>
      </c>
      <c r="B1444" s="35" t="s">
        <v>18265</v>
      </c>
    </row>
    <row r="1445" spans="1:2" x14ac:dyDescent="0.35">
      <c r="A1445" s="34">
        <v>20122201</v>
      </c>
      <c r="B1445" s="35" t="s">
        <v>2252</v>
      </c>
    </row>
    <row r="1446" spans="1:2" x14ac:dyDescent="0.35">
      <c r="A1446" s="34">
        <v>20122202</v>
      </c>
      <c r="B1446" s="35" t="s">
        <v>6199</v>
      </c>
    </row>
    <row r="1447" spans="1:2" x14ac:dyDescent="0.35">
      <c r="A1447" s="34">
        <v>20122203</v>
      </c>
      <c r="B1447" s="35" t="s">
        <v>17431</v>
      </c>
    </row>
    <row r="1448" spans="1:2" x14ac:dyDescent="0.35">
      <c r="A1448" s="34">
        <v>20122204</v>
      </c>
      <c r="B1448" s="35" t="s">
        <v>17831</v>
      </c>
    </row>
    <row r="1449" spans="1:2" x14ac:dyDescent="0.35">
      <c r="A1449" s="34">
        <v>20122205</v>
      </c>
      <c r="B1449" s="35" t="s">
        <v>590</v>
      </c>
    </row>
    <row r="1450" spans="1:2" x14ac:dyDescent="0.35">
      <c r="A1450" s="34">
        <v>20122206</v>
      </c>
      <c r="B1450" s="35" t="s">
        <v>10088</v>
      </c>
    </row>
    <row r="1451" spans="1:2" x14ac:dyDescent="0.35">
      <c r="A1451" s="34">
        <v>20122207</v>
      </c>
      <c r="B1451" s="35" t="s">
        <v>2041</v>
      </c>
    </row>
    <row r="1452" spans="1:2" x14ac:dyDescent="0.35">
      <c r="A1452" s="34">
        <v>20122208</v>
      </c>
      <c r="B1452" s="35" t="s">
        <v>13130</v>
      </c>
    </row>
    <row r="1453" spans="1:2" x14ac:dyDescent="0.35">
      <c r="A1453" s="34">
        <v>20122209</v>
      </c>
      <c r="B1453" s="35" t="s">
        <v>3832</v>
      </c>
    </row>
    <row r="1454" spans="1:2" x14ac:dyDescent="0.35">
      <c r="A1454" s="34">
        <v>20122210</v>
      </c>
      <c r="B1454" s="35" t="s">
        <v>14198</v>
      </c>
    </row>
    <row r="1455" spans="1:2" x14ac:dyDescent="0.35">
      <c r="A1455" s="34">
        <v>20122211</v>
      </c>
      <c r="B1455" s="35" t="s">
        <v>6438</v>
      </c>
    </row>
    <row r="1456" spans="1:2" x14ac:dyDescent="0.35">
      <c r="A1456" s="34">
        <v>20122212</v>
      </c>
      <c r="B1456" s="35" t="s">
        <v>8921</v>
      </c>
    </row>
    <row r="1457" spans="1:2" x14ac:dyDescent="0.35">
      <c r="A1457" s="34">
        <v>20122213</v>
      </c>
      <c r="B1457" s="35" t="s">
        <v>1063</v>
      </c>
    </row>
    <row r="1458" spans="1:2" x14ac:dyDescent="0.35">
      <c r="A1458" s="34">
        <v>20122214</v>
      </c>
      <c r="B1458" s="35" t="s">
        <v>14397</v>
      </c>
    </row>
    <row r="1459" spans="1:2" x14ac:dyDescent="0.35">
      <c r="A1459" s="34">
        <v>20122215</v>
      </c>
      <c r="B1459" s="35" t="s">
        <v>2283</v>
      </c>
    </row>
    <row r="1460" spans="1:2" x14ac:dyDescent="0.35">
      <c r="A1460" s="34">
        <v>20122216</v>
      </c>
      <c r="B1460" s="35" t="s">
        <v>9061</v>
      </c>
    </row>
    <row r="1461" spans="1:2" x14ac:dyDescent="0.35">
      <c r="A1461" s="34">
        <v>20122301</v>
      </c>
      <c r="B1461" s="35" t="s">
        <v>11281</v>
      </c>
    </row>
    <row r="1462" spans="1:2" x14ac:dyDescent="0.35">
      <c r="A1462" s="34">
        <v>20122302</v>
      </c>
      <c r="B1462" s="35" t="s">
        <v>19151</v>
      </c>
    </row>
    <row r="1463" spans="1:2" x14ac:dyDescent="0.35">
      <c r="A1463" s="34">
        <v>20122303</v>
      </c>
      <c r="B1463" s="35" t="s">
        <v>14119</v>
      </c>
    </row>
    <row r="1464" spans="1:2" x14ac:dyDescent="0.35">
      <c r="A1464" s="34">
        <v>20122304</v>
      </c>
      <c r="B1464" s="35" t="s">
        <v>4832</v>
      </c>
    </row>
    <row r="1465" spans="1:2" x14ac:dyDescent="0.35">
      <c r="A1465" s="34">
        <v>20122305</v>
      </c>
      <c r="B1465" s="35" t="s">
        <v>17837</v>
      </c>
    </row>
    <row r="1466" spans="1:2" x14ac:dyDescent="0.35">
      <c r="A1466" s="34">
        <v>20122306</v>
      </c>
      <c r="B1466" s="35" t="s">
        <v>4359</v>
      </c>
    </row>
    <row r="1467" spans="1:2" x14ac:dyDescent="0.35">
      <c r="A1467" s="34">
        <v>20122307</v>
      </c>
      <c r="B1467" s="35" t="s">
        <v>5146</v>
      </c>
    </row>
    <row r="1468" spans="1:2" x14ac:dyDescent="0.35">
      <c r="A1468" s="34">
        <v>20122308</v>
      </c>
      <c r="B1468" s="35" t="s">
        <v>8030</v>
      </c>
    </row>
    <row r="1469" spans="1:2" x14ac:dyDescent="0.35">
      <c r="A1469" s="34">
        <v>20122309</v>
      </c>
      <c r="B1469" s="35" t="s">
        <v>3276</v>
      </c>
    </row>
    <row r="1470" spans="1:2" x14ac:dyDescent="0.35">
      <c r="A1470" s="34">
        <v>20122310</v>
      </c>
      <c r="B1470" s="35" t="s">
        <v>16067</v>
      </c>
    </row>
    <row r="1471" spans="1:2" x14ac:dyDescent="0.35">
      <c r="A1471" s="34">
        <v>20122311</v>
      </c>
      <c r="B1471" s="35" t="s">
        <v>5612</v>
      </c>
    </row>
    <row r="1472" spans="1:2" x14ac:dyDescent="0.35">
      <c r="A1472" s="34">
        <v>20122312</v>
      </c>
      <c r="B1472" s="35" t="s">
        <v>1996</v>
      </c>
    </row>
    <row r="1473" spans="1:2" x14ac:dyDescent="0.35">
      <c r="A1473" s="34">
        <v>20122313</v>
      </c>
      <c r="B1473" s="35" t="s">
        <v>5120</v>
      </c>
    </row>
    <row r="1474" spans="1:2" x14ac:dyDescent="0.35">
      <c r="A1474" s="34">
        <v>20122314</v>
      </c>
      <c r="B1474" s="35" t="s">
        <v>15213</v>
      </c>
    </row>
    <row r="1475" spans="1:2" x14ac:dyDescent="0.35">
      <c r="A1475" s="34">
        <v>20122315</v>
      </c>
      <c r="B1475" s="35" t="s">
        <v>10133</v>
      </c>
    </row>
    <row r="1476" spans="1:2" x14ac:dyDescent="0.35">
      <c r="A1476" s="34">
        <v>20122316</v>
      </c>
      <c r="B1476" s="35" t="s">
        <v>5862</v>
      </c>
    </row>
    <row r="1477" spans="1:2" x14ac:dyDescent="0.35">
      <c r="A1477" s="34">
        <v>20122317</v>
      </c>
      <c r="B1477" s="35" t="s">
        <v>826</v>
      </c>
    </row>
    <row r="1478" spans="1:2" x14ac:dyDescent="0.35">
      <c r="A1478" s="34">
        <v>20122318</v>
      </c>
      <c r="B1478" s="35" t="s">
        <v>16471</v>
      </c>
    </row>
    <row r="1479" spans="1:2" x14ac:dyDescent="0.35">
      <c r="A1479" s="34">
        <v>20122319</v>
      </c>
      <c r="B1479" s="35" t="s">
        <v>16581</v>
      </c>
    </row>
    <row r="1480" spans="1:2" x14ac:dyDescent="0.35">
      <c r="A1480" s="34">
        <v>20122320</v>
      </c>
      <c r="B1480" s="35" t="s">
        <v>18936</v>
      </c>
    </row>
    <row r="1481" spans="1:2" x14ac:dyDescent="0.35">
      <c r="A1481" s="34">
        <v>20122321</v>
      </c>
      <c r="B1481" s="35" t="s">
        <v>3121</v>
      </c>
    </row>
    <row r="1482" spans="1:2" x14ac:dyDescent="0.35">
      <c r="A1482" s="34">
        <v>20122322</v>
      </c>
      <c r="B1482" s="35" t="s">
        <v>3476</v>
      </c>
    </row>
    <row r="1483" spans="1:2" x14ac:dyDescent="0.35">
      <c r="A1483" s="34">
        <v>20122323</v>
      </c>
      <c r="B1483" s="35" t="s">
        <v>10665</v>
      </c>
    </row>
    <row r="1484" spans="1:2" x14ac:dyDescent="0.35">
      <c r="A1484" s="34">
        <v>20122324</v>
      </c>
      <c r="B1484" s="35" t="s">
        <v>16001</v>
      </c>
    </row>
    <row r="1485" spans="1:2" x14ac:dyDescent="0.35">
      <c r="A1485" s="34">
        <v>20122325</v>
      </c>
      <c r="B1485" s="35" t="s">
        <v>14782</v>
      </c>
    </row>
    <row r="1486" spans="1:2" x14ac:dyDescent="0.35">
      <c r="A1486" s="34">
        <v>20122326</v>
      </c>
      <c r="B1486" s="35" t="s">
        <v>18416</v>
      </c>
    </row>
    <row r="1487" spans="1:2" x14ac:dyDescent="0.35">
      <c r="A1487" s="34">
        <v>20122327</v>
      </c>
      <c r="B1487" s="35" t="s">
        <v>18557</v>
      </c>
    </row>
    <row r="1488" spans="1:2" x14ac:dyDescent="0.35">
      <c r="A1488" s="34">
        <v>20122328</v>
      </c>
      <c r="B1488" s="35" t="s">
        <v>9089</v>
      </c>
    </row>
    <row r="1489" spans="1:2" x14ac:dyDescent="0.35">
      <c r="A1489" s="34">
        <v>20122329</v>
      </c>
      <c r="B1489" s="35" t="s">
        <v>14545</v>
      </c>
    </row>
    <row r="1490" spans="1:2" x14ac:dyDescent="0.35">
      <c r="A1490" s="34">
        <v>20122330</v>
      </c>
      <c r="B1490" s="35" t="s">
        <v>17969</v>
      </c>
    </row>
    <row r="1491" spans="1:2" x14ac:dyDescent="0.35">
      <c r="A1491" s="34">
        <v>20122331</v>
      </c>
      <c r="B1491" s="35" t="s">
        <v>15814</v>
      </c>
    </row>
    <row r="1492" spans="1:2" x14ac:dyDescent="0.35">
      <c r="A1492" s="34">
        <v>20122332</v>
      </c>
      <c r="B1492" s="35" t="s">
        <v>11591</v>
      </c>
    </row>
    <row r="1493" spans="1:2" x14ac:dyDescent="0.35">
      <c r="A1493" s="34">
        <v>20122333</v>
      </c>
      <c r="B1493" s="35" t="s">
        <v>17190</v>
      </c>
    </row>
    <row r="1494" spans="1:2" x14ac:dyDescent="0.35">
      <c r="A1494" s="34">
        <v>20122334</v>
      </c>
      <c r="B1494" s="35" t="s">
        <v>2446</v>
      </c>
    </row>
    <row r="1495" spans="1:2" x14ac:dyDescent="0.35">
      <c r="A1495" s="34">
        <v>20122335</v>
      </c>
      <c r="B1495" s="35" t="s">
        <v>5294</v>
      </c>
    </row>
    <row r="1496" spans="1:2" x14ac:dyDescent="0.35">
      <c r="A1496" s="34">
        <v>20122336</v>
      </c>
      <c r="B1496" s="35" t="s">
        <v>7308</v>
      </c>
    </row>
    <row r="1497" spans="1:2" x14ac:dyDescent="0.35">
      <c r="A1497" s="34">
        <v>20122338</v>
      </c>
      <c r="B1497" s="35" t="s">
        <v>2524</v>
      </c>
    </row>
    <row r="1498" spans="1:2" x14ac:dyDescent="0.35">
      <c r="A1498" s="34">
        <v>20122339</v>
      </c>
      <c r="B1498" s="35" t="s">
        <v>7228</v>
      </c>
    </row>
    <row r="1499" spans="1:2" x14ac:dyDescent="0.35">
      <c r="A1499" s="34">
        <v>20122340</v>
      </c>
      <c r="B1499" s="35" t="s">
        <v>16698</v>
      </c>
    </row>
    <row r="1500" spans="1:2" x14ac:dyDescent="0.35">
      <c r="A1500" s="34">
        <v>20122341</v>
      </c>
      <c r="B1500" s="35" t="s">
        <v>18105</v>
      </c>
    </row>
    <row r="1501" spans="1:2" x14ac:dyDescent="0.35">
      <c r="A1501" s="34">
        <v>20122342</v>
      </c>
      <c r="B1501" s="35" t="s">
        <v>9442</v>
      </c>
    </row>
    <row r="1502" spans="1:2" x14ac:dyDescent="0.35">
      <c r="A1502" s="34">
        <v>20122343</v>
      </c>
      <c r="B1502" s="35" t="s">
        <v>12812</v>
      </c>
    </row>
    <row r="1503" spans="1:2" x14ac:dyDescent="0.35">
      <c r="A1503" s="34">
        <v>20122344</v>
      </c>
      <c r="B1503" s="35" t="s">
        <v>5865</v>
      </c>
    </row>
    <row r="1504" spans="1:2" x14ac:dyDescent="0.35">
      <c r="A1504" s="34">
        <v>20122345</v>
      </c>
      <c r="B1504" s="35" t="s">
        <v>16255</v>
      </c>
    </row>
    <row r="1505" spans="1:2" x14ac:dyDescent="0.35">
      <c r="A1505" s="34">
        <v>20122346</v>
      </c>
      <c r="B1505" s="35" t="s">
        <v>12394</v>
      </c>
    </row>
    <row r="1506" spans="1:2" x14ac:dyDescent="0.35">
      <c r="A1506" s="34">
        <v>20122347</v>
      </c>
      <c r="B1506" s="35" t="s">
        <v>4941</v>
      </c>
    </row>
    <row r="1507" spans="1:2" x14ac:dyDescent="0.35">
      <c r="A1507" s="34">
        <v>20122348</v>
      </c>
      <c r="B1507" s="35" t="s">
        <v>1831</v>
      </c>
    </row>
    <row r="1508" spans="1:2" x14ac:dyDescent="0.35">
      <c r="A1508" s="34">
        <v>20122349</v>
      </c>
      <c r="B1508" s="35" t="s">
        <v>7581</v>
      </c>
    </row>
    <row r="1509" spans="1:2" x14ac:dyDescent="0.35">
      <c r="A1509" s="34">
        <v>20122350</v>
      </c>
      <c r="B1509" s="35" t="s">
        <v>4516</v>
      </c>
    </row>
    <row r="1510" spans="1:2" x14ac:dyDescent="0.35">
      <c r="A1510" s="34">
        <v>20122351</v>
      </c>
      <c r="B1510" s="35" t="s">
        <v>18098</v>
      </c>
    </row>
    <row r="1511" spans="1:2" x14ac:dyDescent="0.35">
      <c r="A1511" s="34">
        <v>20122352</v>
      </c>
      <c r="B1511" s="35" t="s">
        <v>8139</v>
      </c>
    </row>
    <row r="1512" spans="1:2" x14ac:dyDescent="0.35">
      <c r="A1512" s="34">
        <v>20122353</v>
      </c>
      <c r="B1512" s="35" t="s">
        <v>4595</v>
      </c>
    </row>
    <row r="1513" spans="1:2" x14ac:dyDescent="0.35">
      <c r="A1513" s="34">
        <v>20122354</v>
      </c>
      <c r="B1513" s="35" t="s">
        <v>11020</v>
      </c>
    </row>
    <row r="1514" spans="1:2" x14ac:dyDescent="0.35">
      <c r="A1514" s="34">
        <v>20122356</v>
      </c>
      <c r="B1514" s="35" t="s">
        <v>10209</v>
      </c>
    </row>
    <row r="1515" spans="1:2" x14ac:dyDescent="0.35">
      <c r="A1515" s="34">
        <v>20122357</v>
      </c>
      <c r="B1515" s="35" t="s">
        <v>6325</v>
      </c>
    </row>
    <row r="1516" spans="1:2" x14ac:dyDescent="0.35">
      <c r="A1516" s="34">
        <v>20122401</v>
      </c>
      <c r="B1516" s="35" t="s">
        <v>14446</v>
      </c>
    </row>
    <row r="1517" spans="1:2" x14ac:dyDescent="0.35">
      <c r="A1517" s="34">
        <v>20122402</v>
      </c>
      <c r="B1517" s="35" t="s">
        <v>1346</v>
      </c>
    </row>
    <row r="1518" spans="1:2" x14ac:dyDescent="0.35">
      <c r="A1518" s="34">
        <v>20122403</v>
      </c>
      <c r="B1518" s="35" t="s">
        <v>19244</v>
      </c>
    </row>
    <row r="1519" spans="1:2" x14ac:dyDescent="0.35">
      <c r="A1519" s="34">
        <v>20122404</v>
      </c>
      <c r="B1519" s="35" t="s">
        <v>12959</v>
      </c>
    </row>
    <row r="1520" spans="1:2" x14ac:dyDescent="0.35">
      <c r="A1520" s="34">
        <v>20122405</v>
      </c>
      <c r="B1520" s="35" t="s">
        <v>587</v>
      </c>
    </row>
    <row r="1521" spans="1:2" x14ac:dyDescent="0.35">
      <c r="A1521" s="34">
        <v>20122406</v>
      </c>
      <c r="B1521" s="35" t="s">
        <v>9215</v>
      </c>
    </row>
    <row r="1522" spans="1:2" x14ac:dyDescent="0.35">
      <c r="A1522" s="34">
        <v>20122407</v>
      </c>
      <c r="B1522" s="35" t="s">
        <v>11365</v>
      </c>
    </row>
    <row r="1523" spans="1:2" x14ac:dyDescent="0.35">
      <c r="A1523" s="34">
        <v>20122408</v>
      </c>
      <c r="B1523" s="35" t="s">
        <v>15882</v>
      </c>
    </row>
    <row r="1524" spans="1:2" x14ac:dyDescent="0.35">
      <c r="A1524" s="34">
        <v>20122409</v>
      </c>
      <c r="B1524" s="35" t="s">
        <v>5763</v>
      </c>
    </row>
    <row r="1525" spans="1:2" x14ac:dyDescent="0.35">
      <c r="A1525" s="34">
        <v>20122410</v>
      </c>
      <c r="B1525" s="35" t="s">
        <v>6892</v>
      </c>
    </row>
    <row r="1526" spans="1:2" x14ac:dyDescent="0.35">
      <c r="A1526" s="34">
        <v>20122501</v>
      </c>
      <c r="B1526" s="35" t="s">
        <v>7780</v>
      </c>
    </row>
    <row r="1527" spans="1:2" x14ac:dyDescent="0.35">
      <c r="A1527" s="34">
        <v>20122502</v>
      </c>
      <c r="B1527" s="35" t="s">
        <v>6422</v>
      </c>
    </row>
    <row r="1528" spans="1:2" x14ac:dyDescent="0.35">
      <c r="A1528" s="34">
        <v>20122503</v>
      </c>
      <c r="B1528" s="35" t="s">
        <v>4089</v>
      </c>
    </row>
    <row r="1529" spans="1:2" x14ac:dyDescent="0.35">
      <c r="A1529" s="34">
        <v>20122504</v>
      </c>
      <c r="B1529" s="35" t="s">
        <v>7516</v>
      </c>
    </row>
    <row r="1530" spans="1:2" x14ac:dyDescent="0.35">
      <c r="A1530" s="34">
        <v>20122505</v>
      </c>
      <c r="B1530" s="35" t="s">
        <v>10926</v>
      </c>
    </row>
    <row r="1531" spans="1:2" x14ac:dyDescent="0.35">
      <c r="A1531" s="34">
        <v>20122506</v>
      </c>
      <c r="B1531" s="35" t="s">
        <v>4251</v>
      </c>
    </row>
    <row r="1532" spans="1:2" x14ac:dyDescent="0.35">
      <c r="A1532" s="34">
        <v>20122507</v>
      </c>
      <c r="B1532" s="35" t="s">
        <v>14803</v>
      </c>
    </row>
    <row r="1533" spans="1:2" x14ac:dyDescent="0.35">
      <c r="A1533" s="34">
        <v>20122508</v>
      </c>
      <c r="B1533" s="35" t="s">
        <v>6483</v>
      </c>
    </row>
    <row r="1534" spans="1:2" x14ac:dyDescent="0.35">
      <c r="A1534" s="34">
        <v>20122509</v>
      </c>
      <c r="B1534" s="35" t="s">
        <v>7230</v>
      </c>
    </row>
    <row r="1535" spans="1:2" x14ac:dyDescent="0.35">
      <c r="A1535" s="34">
        <v>20122510</v>
      </c>
      <c r="B1535" s="35" t="s">
        <v>15419</v>
      </c>
    </row>
    <row r="1536" spans="1:2" x14ac:dyDescent="0.35">
      <c r="A1536" s="34">
        <v>20122511</v>
      </c>
      <c r="B1536" s="35" t="s">
        <v>3495</v>
      </c>
    </row>
    <row r="1537" spans="1:2" x14ac:dyDescent="0.35">
      <c r="A1537" s="34">
        <v>20122512</v>
      </c>
      <c r="B1537" s="35" t="s">
        <v>6584</v>
      </c>
    </row>
    <row r="1538" spans="1:2" x14ac:dyDescent="0.35">
      <c r="A1538" s="34">
        <v>20122513</v>
      </c>
      <c r="B1538" s="35" t="s">
        <v>4917</v>
      </c>
    </row>
    <row r="1539" spans="1:2" x14ac:dyDescent="0.35">
      <c r="A1539" s="34">
        <v>20122514</v>
      </c>
      <c r="B1539" s="35" t="s">
        <v>9821</v>
      </c>
    </row>
    <row r="1540" spans="1:2" x14ac:dyDescent="0.35">
      <c r="A1540" s="34">
        <v>20122515</v>
      </c>
      <c r="B1540" s="35" t="s">
        <v>10026</v>
      </c>
    </row>
    <row r="1541" spans="1:2" x14ac:dyDescent="0.35">
      <c r="A1541" s="34">
        <v>20122601</v>
      </c>
      <c r="B1541" s="35" t="s">
        <v>1370</v>
      </c>
    </row>
    <row r="1542" spans="1:2" x14ac:dyDescent="0.35">
      <c r="A1542" s="34">
        <v>20122602</v>
      </c>
      <c r="B1542" s="35" t="s">
        <v>19362</v>
      </c>
    </row>
    <row r="1543" spans="1:2" x14ac:dyDescent="0.35">
      <c r="A1543" s="34">
        <v>20122603</v>
      </c>
      <c r="B1543" s="35" t="s">
        <v>6613</v>
      </c>
    </row>
    <row r="1544" spans="1:2" x14ac:dyDescent="0.35">
      <c r="A1544" s="34">
        <v>20122604</v>
      </c>
      <c r="B1544" s="35" t="s">
        <v>1742</v>
      </c>
    </row>
    <row r="1545" spans="1:2" x14ac:dyDescent="0.35">
      <c r="A1545" s="34">
        <v>20122605</v>
      </c>
      <c r="B1545" s="35" t="s">
        <v>15398</v>
      </c>
    </row>
    <row r="1546" spans="1:2" x14ac:dyDescent="0.35">
      <c r="A1546" s="34">
        <v>20122606</v>
      </c>
      <c r="B1546" s="35" t="s">
        <v>19110</v>
      </c>
    </row>
    <row r="1547" spans="1:2" x14ac:dyDescent="0.35">
      <c r="A1547" s="34">
        <v>20122607</v>
      </c>
      <c r="B1547" s="35" t="s">
        <v>558</v>
      </c>
    </row>
    <row r="1548" spans="1:2" x14ac:dyDescent="0.35">
      <c r="A1548" s="34">
        <v>20122608</v>
      </c>
      <c r="B1548" s="35" t="s">
        <v>5517</v>
      </c>
    </row>
    <row r="1549" spans="1:2" x14ac:dyDescent="0.35">
      <c r="A1549" s="34">
        <v>20122609</v>
      </c>
      <c r="B1549" s="35" t="s">
        <v>2118</v>
      </c>
    </row>
    <row r="1550" spans="1:2" x14ac:dyDescent="0.35">
      <c r="A1550" s="34">
        <v>20122610</v>
      </c>
      <c r="B1550" s="35" t="s">
        <v>10608</v>
      </c>
    </row>
    <row r="1551" spans="1:2" x14ac:dyDescent="0.35">
      <c r="A1551" s="34">
        <v>20122611</v>
      </c>
      <c r="B1551" s="35" t="s">
        <v>8719</v>
      </c>
    </row>
    <row r="1552" spans="1:2" x14ac:dyDescent="0.35">
      <c r="A1552" s="34">
        <v>20122612</v>
      </c>
      <c r="B1552" s="35" t="s">
        <v>1781</v>
      </c>
    </row>
    <row r="1553" spans="1:2" x14ac:dyDescent="0.35">
      <c r="A1553" s="34">
        <v>20122613</v>
      </c>
      <c r="B1553" s="35" t="s">
        <v>4070</v>
      </c>
    </row>
    <row r="1554" spans="1:2" x14ac:dyDescent="0.35">
      <c r="A1554" s="34">
        <v>20122614</v>
      </c>
      <c r="B1554" s="35" t="s">
        <v>9023</v>
      </c>
    </row>
    <row r="1555" spans="1:2" x14ac:dyDescent="0.35">
      <c r="A1555" s="34">
        <v>20122615</v>
      </c>
      <c r="B1555" s="35" t="s">
        <v>19290</v>
      </c>
    </row>
    <row r="1556" spans="1:2" x14ac:dyDescent="0.35">
      <c r="A1556" s="34">
        <v>20122616</v>
      </c>
      <c r="B1556" s="35" t="s">
        <v>11681</v>
      </c>
    </row>
    <row r="1557" spans="1:2" x14ac:dyDescent="0.35">
      <c r="A1557" s="34">
        <v>20122617</v>
      </c>
      <c r="B1557" s="35" t="s">
        <v>5732</v>
      </c>
    </row>
    <row r="1558" spans="1:2" x14ac:dyDescent="0.35">
      <c r="A1558" s="34">
        <v>20122618</v>
      </c>
      <c r="B1558" s="35" t="s">
        <v>12575</v>
      </c>
    </row>
    <row r="1559" spans="1:2" x14ac:dyDescent="0.35">
      <c r="A1559" s="34">
        <v>20122619</v>
      </c>
      <c r="B1559" s="35" t="s">
        <v>17543</v>
      </c>
    </row>
    <row r="1560" spans="1:2" x14ac:dyDescent="0.35">
      <c r="A1560" s="34">
        <v>20122620</v>
      </c>
      <c r="B1560" s="35" t="s">
        <v>12968</v>
      </c>
    </row>
    <row r="1561" spans="1:2" x14ac:dyDescent="0.35">
      <c r="A1561" s="34">
        <v>20122621</v>
      </c>
      <c r="B1561" s="35" t="s">
        <v>14478</v>
      </c>
    </row>
    <row r="1562" spans="1:2" x14ac:dyDescent="0.35">
      <c r="A1562" s="34">
        <v>20122622</v>
      </c>
      <c r="B1562" s="35" t="s">
        <v>16144</v>
      </c>
    </row>
    <row r="1563" spans="1:2" x14ac:dyDescent="0.35">
      <c r="A1563" s="34">
        <v>20122623</v>
      </c>
      <c r="B1563" s="35" t="s">
        <v>17279</v>
      </c>
    </row>
    <row r="1564" spans="1:2" x14ac:dyDescent="0.35">
      <c r="A1564" s="34">
        <v>20122701</v>
      </c>
      <c r="B1564" s="35" t="s">
        <v>7209</v>
      </c>
    </row>
    <row r="1565" spans="1:2" x14ac:dyDescent="0.35">
      <c r="A1565" s="34">
        <v>20122702</v>
      </c>
      <c r="B1565" s="35" t="s">
        <v>16686</v>
      </c>
    </row>
    <row r="1566" spans="1:2" x14ac:dyDescent="0.35">
      <c r="A1566" s="34">
        <v>20122703</v>
      </c>
      <c r="B1566" s="35" t="s">
        <v>1150</v>
      </c>
    </row>
    <row r="1567" spans="1:2" x14ac:dyDescent="0.35">
      <c r="A1567" s="34">
        <v>20122704</v>
      </c>
      <c r="B1567" s="35" t="s">
        <v>15866</v>
      </c>
    </row>
    <row r="1568" spans="1:2" x14ac:dyDescent="0.35">
      <c r="A1568" s="34">
        <v>20122705</v>
      </c>
      <c r="B1568" s="35" t="s">
        <v>18020</v>
      </c>
    </row>
    <row r="1569" spans="1:2" x14ac:dyDescent="0.35">
      <c r="A1569" s="34">
        <v>20122706</v>
      </c>
      <c r="B1569" s="35" t="s">
        <v>10825</v>
      </c>
    </row>
    <row r="1570" spans="1:2" x14ac:dyDescent="0.35">
      <c r="A1570" s="34">
        <v>20122707</v>
      </c>
      <c r="B1570" s="35" t="s">
        <v>1371</v>
      </c>
    </row>
    <row r="1571" spans="1:2" x14ac:dyDescent="0.35">
      <c r="A1571" s="34">
        <v>20122708</v>
      </c>
      <c r="B1571" s="35" t="s">
        <v>13791</v>
      </c>
    </row>
    <row r="1572" spans="1:2" x14ac:dyDescent="0.35">
      <c r="A1572" s="34">
        <v>20122709</v>
      </c>
      <c r="B1572" s="35" t="s">
        <v>10798</v>
      </c>
    </row>
    <row r="1573" spans="1:2" x14ac:dyDescent="0.35">
      <c r="A1573" s="34">
        <v>20122801</v>
      </c>
      <c r="B1573" s="35" t="s">
        <v>11707</v>
      </c>
    </row>
    <row r="1574" spans="1:2" x14ac:dyDescent="0.35">
      <c r="A1574" s="34">
        <v>20122802</v>
      </c>
      <c r="B1574" s="35" t="s">
        <v>17945</v>
      </c>
    </row>
    <row r="1575" spans="1:2" x14ac:dyDescent="0.35">
      <c r="A1575" s="34">
        <v>20122803</v>
      </c>
      <c r="B1575" s="35" t="s">
        <v>2948</v>
      </c>
    </row>
    <row r="1576" spans="1:2" x14ac:dyDescent="0.35">
      <c r="A1576" s="34">
        <v>20122804</v>
      </c>
      <c r="B1576" s="35" t="s">
        <v>1186</v>
      </c>
    </row>
    <row r="1577" spans="1:2" x14ac:dyDescent="0.35">
      <c r="A1577" s="34">
        <v>20122806</v>
      </c>
      <c r="B1577" s="35" t="s">
        <v>6292</v>
      </c>
    </row>
    <row r="1578" spans="1:2" x14ac:dyDescent="0.35">
      <c r="A1578" s="34">
        <v>20122807</v>
      </c>
      <c r="B1578" s="35" t="s">
        <v>2972</v>
      </c>
    </row>
    <row r="1579" spans="1:2" x14ac:dyDescent="0.35">
      <c r="A1579" s="34">
        <v>20122808</v>
      </c>
      <c r="B1579" s="35" t="s">
        <v>18860</v>
      </c>
    </row>
    <row r="1580" spans="1:2" x14ac:dyDescent="0.35">
      <c r="A1580" s="34">
        <v>20122809</v>
      </c>
      <c r="B1580" s="35" t="s">
        <v>10190</v>
      </c>
    </row>
    <row r="1581" spans="1:2" x14ac:dyDescent="0.35">
      <c r="A1581" s="34">
        <v>20122810</v>
      </c>
      <c r="B1581" s="35" t="s">
        <v>758</v>
      </c>
    </row>
    <row r="1582" spans="1:2" x14ac:dyDescent="0.35">
      <c r="A1582" s="34">
        <v>20122811</v>
      </c>
      <c r="B1582" s="35" t="s">
        <v>8481</v>
      </c>
    </row>
    <row r="1583" spans="1:2" x14ac:dyDescent="0.35">
      <c r="A1583" s="34">
        <v>20122812</v>
      </c>
      <c r="B1583" s="35" t="s">
        <v>11983</v>
      </c>
    </row>
    <row r="1584" spans="1:2" x14ac:dyDescent="0.35">
      <c r="A1584" s="34">
        <v>20122813</v>
      </c>
      <c r="B1584" s="35" t="s">
        <v>6266</v>
      </c>
    </row>
    <row r="1585" spans="1:2" x14ac:dyDescent="0.35">
      <c r="A1585" s="34">
        <v>20122814</v>
      </c>
      <c r="B1585" s="35" t="s">
        <v>11561</v>
      </c>
    </row>
    <row r="1586" spans="1:2" x14ac:dyDescent="0.35">
      <c r="A1586" s="34">
        <v>20122815</v>
      </c>
      <c r="B1586" s="35" t="s">
        <v>17304</v>
      </c>
    </row>
    <row r="1587" spans="1:2" x14ac:dyDescent="0.35">
      <c r="A1587" s="34">
        <v>20122816</v>
      </c>
      <c r="B1587" s="35" t="s">
        <v>16555</v>
      </c>
    </row>
    <row r="1588" spans="1:2" x14ac:dyDescent="0.35">
      <c r="A1588" s="34">
        <v>20122817</v>
      </c>
      <c r="B1588" s="35" t="s">
        <v>9614</v>
      </c>
    </row>
    <row r="1589" spans="1:2" x14ac:dyDescent="0.35">
      <c r="A1589" s="34">
        <v>20122818</v>
      </c>
      <c r="B1589" s="35" t="s">
        <v>4499</v>
      </c>
    </row>
    <row r="1590" spans="1:2" x14ac:dyDescent="0.35">
      <c r="A1590" s="34">
        <v>20122819</v>
      </c>
      <c r="B1590" s="35" t="s">
        <v>1461</v>
      </c>
    </row>
    <row r="1591" spans="1:2" x14ac:dyDescent="0.35">
      <c r="A1591" s="34">
        <v>20122820</v>
      </c>
      <c r="B1591" s="35" t="s">
        <v>17696</v>
      </c>
    </row>
    <row r="1592" spans="1:2" x14ac:dyDescent="0.35">
      <c r="A1592" s="34">
        <v>20122821</v>
      </c>
      <c r="B1592" s="35" t="s">
        <v>10959</v>
      </c>
    </row>
    <row r="1593" spans="1:2" x14ac:dyDescent="0.35">
      <c r="A1593" s="34">
        <v>20122822</v>
      </c>
      <c r="B1593" s="35" t="s">
        <v>3683</v>
      </c>
    </row>
    <row r="1594" spans="1:2" x14ac:dyDescent="0.35">
      <c r="A1594" s="34">
        <v>20122823</v>
      </c>
      <c r="B1594" s="35" t="s">
        <v>17685</v>
      </c>
    </row>
    <row r="1595" spans="1:2" x14ac:dyDescent="0.35">
      <c r="A1595" s="34">
        <v>20122824</v>
      </c>
      <c r="B1595" s="35" t="s">
        <v>4200</v>
      </c>
    </row>
    <row r="1596" spans="1:2" x14ac:dyDescent="0.35">
      <c r="A1596" s="34">
        <v>20122825</v>
      </c>
      <c r="B1596" s="35" t="s">
        <v>16427</v>
      </c>
    </row>
    <row r="1597" spans="1:2" x14ac:dyDescent="0.35">
      <c r="A1597" s="34">
        <v>20122826</v>
      </c>
      <c r="B1597" s="35" t="s">
        <v>2908</v>
      </c>
    </row>
    <row r="1598" spans="1:2" x14ac:dyDescent="0.35">
      <c r="A1598" s="34">
        <v>20122827</v>
      </c>
      <c r="B1598" s="35" t="s">
        <v>18919</v>
      </c>
    </row>
    <row r="1599" spans="1:2" x14ac:dyDescent="0.35">
      <c r="A1599" s="34">
        <v>20122828</v>
      </c>
      <c r="B1599" s="35" t="s">
        <v>16090</v>
      </c>
    </row>
    <row r="1600" spans="1:2" x14ac:dyDescent="0.35">
      <c r="A1600" s="34">
        <v>20122829</v>
      </c>
      <c r="B1600" s="35" t="s">
        <v>6141</v>
      </c>
    </row>
    <row r="1601" spans="1:2" x14ac:dyDescent="0.35">
      <c r="A1601" s="34">
        <v>20122830</v>
      </c>
      <c r="B1601" s="35" t="s">
        <v>8882</v>
      </c>
    </row>
    <row r="1602" spans="1:2" x14ac:dyDescent="0.35">
      <c r="A1602" s="34">
        <v>20122831</v>
      </c>
      <c r="B1602" s="35" t="s">
        <v>17877</v>
      </c>
    </row>
    <row r="1603" spans="1:2" x14ac:dyDescent="0.35">
      <c r="A1603" s="34">
        <v>20122832</v>
      </c>
      <c r="B1603" s="35" t="s">
        <v>8088</v>
      </c>
    </row>
    <row r="1604" spans="1:2" x14ac:dyDescent="0.35">
      <c r="A1604" s="34">
        <v>20122833</v>
      </c>
      <c r="B1604" s="35" t="s">
        <v>9666</v>
      </c>
    </row>
    <row r="1605" spans="1:2" x14ac:dyDescent="0.35">
      <c r="A1605" s="34">
        <v>20122834</v>
      </c>
      <c r="B1605" s="35" t="s">
        <v>334</v>
      </c>
    </row>
    <row r="1606" spans="1:2" x14ac:dyDescent="0.35">
      <c r="A1606" s="34">
        <v>20122835</v>
      </c>
      <c r="B1606" s="35" t="s">
        <v>18448</v>
      </c>
    </row>
    <row r="1607" spans="1:2" x14ac:dyDescent="0.35">
      <c r="A1607" s="34">
        <v>20122836</v>
      </c>
      <c r="B1607" s="35" t="s">
        <v>4084</v>
      </c>
    </row>
    <row r="1608" spans="1:2" x14ac:dyDescent="0.35">
      <c r="A1608" s="34">
        <v>20122837</v>
      </c>
      <c r="B1608" s="35" t="s">
        <v>13360</v>
      </c>
    </row>
    <row r="1609" spans="1:2" x14ac:dyDescent="0.35">
      <c r="A1609" s="34">
        <v>20122838</v>
      </c>
      <c r="B1609" s="35" t="s">
        <v>17670</v>
      </c>
    </row>
    <row r="1610" spans="1:2" x14ac:dyDescent="0.35">
      <c r="A1610" s="34">
        <v>20122839</v>
      </c>
      <c r="B1610" s="35" t="s">
        <v>16216</v>
      </c>
    </row>
    <row r="1611" spans="1:2" x14ac:dyDescent="0.35">
      <c r="A1611" s="34">
        <v>20122840</v>
      </c>
      <c r="B1611" s="35" t="s">
        <v>2848</v>
      </c>
    </row>
    <row r="1612" spans="1:2" x14ac:dyDescent="0.35">
      <c r="A1612" s="34">
        <v>20122841</v>
      </c>
      <c r="B1612" s="35" t="s">
        <v>3721</v>
      </c>
    </row>
    <row r="1613" spans="1:2" x14ac:dyDescent="0.35">
      <c r="A1613" s="34">
        <v>20122842</v>
      </c>
      <c r="B1613" s="35" t="s">
        <v>12365</v>
      </c>
    </row>
    <row r="1614" spans="1:2" x14ac:dyDescent="0.35">
      <c r="A1614" s="34">
        <v>20122843</v>
      </c>
      <c r="B1614" s="35" t="s">
        <v>6187</v>
      </c>
    </row>
    <row r="1615" spans="1:2" x14ac:dyDescent="0.35">
      <c r="A1615" s="34">
        <v>20122901</v>
      </c>
      <c r="B1615" s="35" t="s">
        <v>4642</v>
      </c>
    </row>
    <row r="1616" spans="1:2" x14ac:dyDescent="0.35">
      <c r="A1616" s="34">
        <v>20122902</v>
      </c>
      <c r="B1616" s="35" t="s">
        <v>691</v>
      </c>
    </row>
    <row r="1617" spans="1:2" x14ac:dyDescent="0.35">
      <c r="A1617" s="34">
        <v>20122903</v>
      </c>
      <c r="B1617" s="35" t="s">
        <v>6910</v>
      </c>
    </row>
    <row r="1618" spans="1:2" x14ac:dyDescent="0.35">
      <c r="A1618" s="34">
        <v>20123001</v>
      </c>
      <c r="B1618" s="35" t="s">
        <v>1543</v>
      </c>
    </row>
    <row r="1619" spans="1:2" x14ac:dyDescent="0.35">
      <c r="A1619" s="34">
        <v>20123002</v>
      </c>
      <c r="B1619" s="35" t="s">
        <v>8062</v>
      </c>
    </row>
    <row r="1620" spans="1:2" x14ac:dyDescent="0.35">
      <c r="A1620" s="34">
        <v>20123003</v>
      </c>
      <c r="B1620" s="35" t="s">
        <v>7699</v>
      </c>
    </row>
    <row r="1621" spans="1:2" x14ac:dyDescent="0.35">
      <c r="A1621" s="34">
        <v>20131001</v>
      </c>
      <c r="B1621" s="35" t="s">
        <v>14409</v>
      </c>
    </row>
    <row r="1622" spans="1:2" x14ac:dyDescent="0.35">
      <c r="A1622" s="34">
        <v>20131002</v>
      </c>
      <c r="B1622" s="35" t="s">
        <v>19538</v>
      </c>
    </row>
    <row r="1623" spans="1:2" x14ac:dyDescent="0.35">
      <c r="A1623" s="34">
        <v>20131003</v>
      </c>
      <c r="B1623" s="35" t="s">
        <v>18537</v>
      </c>
    </row>
    <row r="1624" spans="1:2" x14ac:dyDescent="0.35">
      <c r="A1624" s="34">
        <v>20131004</v>
      </c>
      <c r="B1624" s="35" t="s">
        <v>12055</v>
      </c>
    </row>
    <row r="1625" spans="1:2" x14ac:dyDescent="0.35">
      <c r="A1625" s="34">
        <v>20131005</v>
      </c>
      <c r="B1625" s="35" t="s">
        <v>573</v>
      </c>
    </row>
    <row r="1626" spans="1:2" x14ac:dyDescent="0.35">
      <c r="A1626" s="34">
        <v>20131006</v>
      </c>
      <c r="B1626" s="35" t="s">
        <v>17763</v>
      </c>
    </row>
    <row r="1627" spans="1:2" x14ac:dyDescent="0.35">
      <c r="A1627" s="34">
        <v>20131007</v>
      </c>
      <c r="B1627" s="35" t="s">
        <v>9086</v>
      </c>
    </row>
    <row r="1628" spans="1:2" x14ac:dyDescent="0.35">
      <c r="A1628" s="34">
        <v>20131008</v>
      </c>
      <c r="B1628" s="35" t="s">
        <v>8333</v>
      </c>
    </row>
    <row r="1629" spans="1:2" x14ac:dyDescent="0.35">
      <c r="A1629" s="34">
        <v>20131009</v>
      </c>
      <c r="B1629" s="35" t="s">
        <v>3320</v>
      </c>
    </row>
    <row r="1630" spans="1:2" x14ac:dyDescent="0.35">
      <c r="A1630" s="34">
        <v>20131010</v>
      </c>
      <c r="B1630" s="35" t="s">
        <v>12153</v>
      </c>
    </row>
    <row r="1631" spans="1:2" x14ac:dyDescent="0.35">
      <c r="A1631" s="34">
        <v>20131101</v>
      </c>
      <c r="B1631" s="35" t="s">
        <v>1021</v>
      </c>
    </row>
    <row r="1632" spans="1:2" x14ac:dyDescent="0.35">
      <c r="A1632" s="34">
        <v>20131102</v>
      </c>
      <c r="B1632" s="35" t="s">
        <v>3838</v>
      </c>
    </row>
    <row r="1633" spans="1:2" x14ac:dyDescent="0.35">
      <c r="A1633" s="34">
        <v>20131103</v>
      </c>
      <c r="B1633" s="35" t="s">
        <v>17133</v>
      </c>
    </row>
    <row r="1634" spans="1:2" x14ac:dyDescent="0.35">
      <c r="A1634" s="34">
        <v>20131104</v>
      </c>
      <c r="B1634" s="35" t="s">
        <v>1578</v>
      </c>
    </row>
    <row r="1635" spans="1:2" x14ac:dyDescent="0.35">
      <c r="A1635" s="34">
        <v>20131105</v>
      </c>
      <c r="B1635" s="35" t="s">
        <v>15835</v>
      </c>
    </row>
    <row r="1636" spans="1:2" x14ac:dyDescent="0.35">
      <c r="A1636" s="34">
        <v>20131106</v>
      </c>
      <c r="B1636" s="35" t="s">
        <v>7327</v>
      </c>
    </row>
    <row r="1637" spans="1:2" x14ac:dyDescent="0.35">
      <c r="A1637" s="34">
        <v>20131201</v>
      </c>
      <c r="B1637" s="35" t="s">
        <v>3641</v>
      </c>
    </row>
    <row r="1638" spans="1:2" x14ac:dyDescent="0.35">
      <c r="A1638" s="34">
        <v>20131202</v>
      </c>
      <c r="B1638" s="35" t="s">
        <v>4003</v>
      </c>
    </row>
    <row r="1639" spans="1:2" x14ac:dyDescent="0.35">
      <c r="A1639" s="34">
        <v>20131301</v>
      </c>
      <c r="B1639" s="35" t="s">
        <v>13625</v>
      </c>
    </row>
    <row r="1640" spans="1:2" x14ac:dyDescent="0.35">
      <c r="A1640" s="34">
        <v>20131302</v>
      </c>
      <c r="B1640" s="35" t="s">
        <v>304</v>
      </c>
    </row>
    <row r="1641" spans="1:2" x14ac:dyDescent="0.35">
      <c r="A1641" s="34">
        <v>20131303</v>
      </c>
      <c r="B1641" s="35" t="s">
        <v>3850</v>
      </c>
    </row>
    <row r="1642" spans="1:2" x14ac:dyDescent="0.35">
      <c r="A1642" s="34">
        <v>20131304</v>
      </c>
      <c r="B1642" s="35" t="s">
        <v>1774</v>
      </c>
    </row>
    <row r="1643" spans="1:2" x14ac:dyDescent="0.35">
      <c r="A1643" s="34">
        <v>20131305</v>
      </c>
      <c r="B1643" s="35" t="s">
        <v>9621</v>
      </c>
    </row>
    <row r="1644" spans="1:2" x14ac:dyDescent="0.35">
      <c r="A1644" s="34">
        <v>20131306</v>
      </c>
      <c r="B1644" s="35" t="s">
        <v>9034</v>
      </c>
    </row>
    <row r="1645" spans="1:2" x14ac:dyDescent="0.35">
      <c r="A1645" s="34">
        <v>20131307</v>
      </c>
      <c r="B1645" s="35" t="s">
        <v>7890</v>
      </c>
    </row>
    <row r="1646" spans="1:2" x14ac:dyDescent="0.35">
      <c r="A1646" s="34">
        <v>20131308</v>
      </c>
      <c r="B1646" s="35" t="s">
        <v>19086</v>
      </c>
    </row>
    <row r="1647" spans="1:2" x14ac:dyDescent="0.35">
      <c r="A1647" s="34">
        <v>20141001</v>
      </c>
      <c r="B1647" s="35" t="s">
        <v>7130</v>
      </c>
    </row>
    <row r="1648" spans="1:2" x14ac:dyDescent="0.35">
      <c r="A1648" s="34">
        <v>20141002</v>
      </c>
      <c r="B1648" s="35" t="s">
        <v>4764</v>
      </c>
    </row>
    <row r="1649" spans="1:2" x14ac:dyDescent="0.35">
      <c r="A1649" s="34">
        <v>20141003</v>
      </c>
      <c r="B1649" s="35" t="s">
        <v>12286</v>
      </c>
    </row>
    <row r="1650" spans="1:2" x14ac:dyDescent="0.35">
      <c r="A1650" s="34">
        <v>20141004</v>
      </c>
      <c r="B1650" s="35" t="s">
        <v>5921</v>
      </c>
    </row>
    <row r="1651" spans="1:2" x14ac:dyDescent="0.35">
      <c r="A1651" s="34">
        <v>20141005</v>
      </c>
      <c r="B1651" s="35" t="s">
        <v>7847</v>
      </c>
    </row>
    <row r="1652" spans="1:2" x14ac:dyDescent="0.35">
      <c r="A1652" s="34">
        <v>20141006</v>
      </c>
      <c r="B1652" s="35" t="s">
        <v>11104</v>
      </c>
    </row>
    <row r="1653" spans="1:2" x14ac:dyDescent="0.35">
      <c r="A1653" s="34">
        <v>20141007</v>
      </c>
      <c r="B1653" s="35" t="s">
        <v>6507</v>
      </c>
    </row>
    <row r="1654" spans="1:2" x14ac:dyDescent="0.35">
      <c r="A1654" s="34">
        <v>20141008</v>
      </c>
      <c r="B1654" s="35" t="s">
        <v>11742</v>
      </c>
    </row>
    <row r="1655" spans="1:2" x14ac:dyDescent="0.35">
      <c r="A1655" s="34">
        <v>20141011</v>
      </c>
      <c r="B1655" s="35" t="s">
        <v>10904</v>
      </c>
    </row>
    <row r="1656" spans="1:2" x14ac:dyDescent="0.35">
      <c r="A1656" s="34">
        <v>20141012</v>
      </c>
      <c r="B1656" s="35" t="s">
        <v>12965</v>
      </c>
    </row>
    <row r="1657" spans="1:2" x14ac:dyDescent="0.35">
      <c r="A1657" s="34">
        <v>20141013</v>
      </c>
      <c r="B1657" s="35" t="s">
        <v>15537</v>
      </c>
    </row>
    <row r="1658" spans="1:2" x14ac:dyDescent="0.35">
      <c r="A1658" s="34">
        <v>20141014</v>
      </c>
      <c r="B1658" s="35" t="s">
        <v>3026</v>
      </c>
    </row>
    <row r="1659" spans="1:2" x14ac:dyDescent="0.35">
      <c r="A1659" s="34">
        <v>20141015</v>
      </c>
      <c r="B1659" s="35" t="s">
        <v>6710</v>
      </c>
    </row>
    <row r="1660" spans="1:2" x14ac:dyDescent="0.35">
      <c r="A1660" s="34">
        <v>20141101</v>
      </c>
      <c r="B1660" s="35" t="s">
        <v>13432</v>
      </c>
    </row>
    <row r="1661" spans="1:2" x14ac:dyDescent="0.35">
      <c r="A1661" s="34">
        <v>20141201</v>
      </c>
      <c r="B1661" s="35" t="s">
        <v>19622</v>
      </c>
    </row>
    <row r="1662" spans="1:2" x14ac:dyDescent="0.35">
      <c r="A1662" s="34">
        <v>20141301</v>
      </c>
      <c r="B1662" s="35" t="s">
        <v>195</v>
      </c>
    </row>
    <row r="1663" spans="1:2" x14ac:dyDescent="0.35">
      <c r="A1663" s="34">
        <v>20141401</v>
      </c>
      <c r="B1663" s="35" t="s">
        <v>14729</v>
      </c>
    </row>
    <row r="1664" spans="1:2" x14ac:dyDescent="0.35">
      <c r="A1664" s="34">
        <v>20141501</v>
      </c>
      <c r="B1664" s="35" t="s">
        <v>19441</v>
      </c>
    </row>
    <row r="1665" spans="1:2" x14ac:dyDescent="0.35">
      <c r="A1665" s="34">
        <v>20141601</v>
      </c>
      <c r="B1665" s="35" t="s">
        <v>10821</v>
      </c>
    </row>
    <row r="1666" spans="1:2" x14ac:dyDescent="0.35">
      <c r="A1666" s="34">
        <v>20141701</v>
      </c>
      <c r="B1666" s="35" t="s">
        <v>16444</v>
      </c>
    </row>
    <row r="1667" spans="1:2" x14ac:dyDescent="0.35">
      <c r="A1667" s="34">
        <v>20141702</v>
      </c>
      <c r="B1667" s="35" t="s">
        <v>11257</v>
      </c>
    </row>
    <row r="1668" spans="1:2" x14ac:dyDescent="0.35">
      <c r="A1668" s="34">
        <v>20141703</v>
      </c>
      <c r="B1668" s="35" t="s">
        <v>16333</v>
      </c>
    </row>
    <row r="1669" spans="1:2" x14ac:dyDescent="0.35">
      <c r="A1669" s="34">
        <v>20141704</v>
      </c>
      <c r="B1669" s="35" t="s">
        <v>14269</v>
      </c>
    </row>
    <row r="1670" spans="1:2" x14ac:dyDescent="0.35">
      <c r="A1670" s="34">
        <v>20141705</v>
      </c>
      <c r="B1670" s="35" t="s">
        <v>16055</v>
      </c>
    </row>
    <row r="1671" spans="1:2" x14ac:dyDescent="0.35">
      <c r="A1671" s="34">
        <v>20141801</v>
      </c>
      <c r="B1671" s="35" t="s">
        <v>9404</v>
      </c>
    </row>
    <row r="1672" spans="1:2" x14ac:dyDescent="0.35">
      <c r="A1672" s="34">
        <v>20141901</v>
      </c>
      <c r="B1672" s="35" t="s">
        <v>8584</v>
      </c>
    </row>
    <row r="1673" spans="1:2" x14ac:dyDescent="0.35">
      <c r="A1673" s="34">
        <v>20142001</v>
      </c>
      <c r="B1673" s="35" t="s">
        <v>5899</v>
      </c>
    </row>
    <row r="1674" spans="1:2" x14ac:dyDescent="0.35">
      <c r="A1674" s="34">
        <v>20142101</v>
      </c>
      <c r="B1674" s="35" t="s">
        <v>17270</v>
      </c>
    </row>
    <row r="1675" spans="1:2" x14ac:dyDescent="0.35">
      <c r="A1675" s="34">
        <v>20142201</v>
      </c>
      <c r="B1675" s="35" t="s">
        <v>11636</v>
      </c>
    </row>
    <row r="1676" spans="1:2" x14ac:dyDescent="0.35">
      <c r="A1676" s="34">
        <v>20142301</v>
      </c>
      <c r="B1676" s="35" t="s">
        <v>18397</v>
      </c>
    </row>
    <row r="1677" spans="1:2" x14ac:dyDescent="0.35">
      <c r="A1677" s="34">
        <v>20142401</v>
      </c>
      <c r="B1677" s="35" t="s">
        <v>12503</v>
      </c>
    </row>
    <row r="1678" spans="1:2" x14ac:dyDescent="0.35">
      <c r="A1678" s="34">
        <v>20142402</v>
      </c>
      <c r="B1678" s="35" t="s">
        <v>4694</v>
      </c>
    </row>
    <row r="1679" spans="1:2" x14ac:dyDescent="0.35">
      <c r="A1679" s="34">
        <v>20142403</v>
      </c>
      <c r="B1679" s="35" t="s">
        <v>1190</v>
      </c>
    </row>
    <row r="1680" spans="1:2" x14ac:dyDescent="0.35">
      <c r="A1680" s="34">
        <v>20142404</v>
      </c>
      <c r="B1680" s="35" t="s">
        <v>526</v>
      </c>
    </row>
    <row r="1681" spans="1:2" x14ac:dyDescent="0.35">
      <c r="A1681" s="34">
        <v>20142405</v>
      </c>
      <c r="B1681" s="35" t="s">
        <v>17609</v>
      </c>
    </row>
    <row r="1682" spans="1:2" x14ac:dyDescent="0.35">
      <c r="A1682" s="34">
        <v>20142501</v>
      </c>
      <c r="B1682" s="35" t="s">
        <v>1882</v>
      </c>
    </row>
    <row r="1683" spans="1:2" x14ac:dyDescent="0.35">
      <c r="A1683" s="34">
        <v>20142601</v>
      </c>
      <c r="B1683" s="35" t="s">
        <v>18794</v>
      </c>
    </row>
    <row r="1684" spans="1:2" x14ac:dyDescent="0.35">
      <c r="A1684" s="34">
        <v>20142701</v>
      </c>
      <c r="B1684" s="35" t="s">
        <v>14633</v>
      </c>
    </row>
    <row r="1685" spans="1:2" x14ac:dyDescent="0.35">
      <c r="A1685" s="34">
        <v>20142702</v>
      </c>
      <c r="B1685" s="35" t="s">
        <v>10690</v>
      </c>
    </row>
    <row r="1686" spans="1:2" x14ac:dyDescent="0.35">
      <c r="A1686" s="34">
        <v>20142703</v>
      </c>
      <c r="B1686" s="35" t="s">
        <v>3383</v>
      </c>
    </row>
    <row r="1687" spans="1:2" x14ac:dyDescent="0.35">
      <c r="A1687" s="34">
        <v>20142801</v>
      </c>
      <c r="B1687" s="35" t="s">
        <v>8989</v>
      </c>
    </row>
    <row r="1688" spans="1:2" x14ac:dyDescent="0.35">
      <c r="A1688" s="34">
        <v>20142901</v>
      </c>
      <c r="B1688" s="35" t="s">
        <v>10805</v>
      </c>
    </row>
    <row r="1689" spans="1:2" x14ac:dyDescent="0.35">
      <c r="A1689" s="34">
        <v>20143001</v>
      </c>
      <c r="B1689" s="35" t="s">
        <v>11402</v>
      </c>
    </row>
    <row r="1690" spans="1:2" x14ac:dyDescent="0.35">
      <c r="A1690" s="34">
        <v>20143002</v>
      </c>
      <c r="B1690" s="35" t="s">
        <v>12443</v>
      </c>
    </row>
    <row r="1691" spans="1:2" x14ac:dyDescent="0.35">
      <c r="A1691" s="34">
        <v>21101501</v>
      </c>
      <c r="B1691" s="35" t="s">
        <v>12626</v>
      </c>
    </row>
    <row r="1692" spans="1:2" x14ac:dyDescent="0.35">
      <c r="A1692" s="34">
        <v>21101502</v>
      </c>
      <c r="B1692" s="35" t="s">
        <v>16379</v>
      </c>
    </row>
    <row r="1693" spans="1:2" x14ac:dyDescent="0.35">
      <c r="A1693" s="34">
        <v>21101503</v>
      </c>
      <c r="B1693" s="35" t="s">
        <v>12018</v>
      </c>
    </row>
    <row r="1694" spans="1:2" x14ac:dyDescent="0.35">
      <c r="A1694" s="34">
        <v>21101504</v>
      </c>
      <c r="B1694" s="35" t="s">
        <v>14020</v>
      </c>
    </row>
    <row r="1695" spans="1:2" x14ac:dyDescent="0.35">
      <c r="A1695" s="34">
        <v>21101505</v>
      </c>
      <c r="B1695" s="35" t="s">
        <v>3335</v>
      </c>
    </row>
    <row r="1696" spans="1:2" x14ac:dyDescent="0.35">
      <c r="A1696" s="34">
        <v>21101506</v>
      </c>
      <c r="B1696" s="35" t="s">
        <v>19150</v>
      </c>
    </row>
    <row r="1697" spans="1:2" x14ac:dyDescent="0.35">
      <c r="A1697" s="34">
        <v>21101507</v>
      </c>
      <c r="B1697" s="35" t="s">
        <v>2988</v>
      </c>
    </row>
    <row r="1698" spans="1:2" x14ac:dyDescent="0.35">
      <c r="A1698" s="34">
        <v>21101508</v>
      </c>
      <c r="B1698" s="35" t="s">
        <v>19611</v>
      </c>
    </row>
    <row r="1699" spans="1:2" x14ac:dyDescent="0.35">
      <c r="A1699" s="34">
        <v>21101509</v>
      </c>
      <c r="B1699" s="35" t="s">
        <v>292</v>
      </c>
    </row>
    <row r="1700" spans="1:2" x14ac:dyDescent="0.35">
      <c r="A1700" s="34">
        <v>21101510</v>
      </c>
      <c r="B1700" s="35" t="s">
        <v>14032</v>
      </c>
    </row>
    <row r="1701" spans="1:2" x14ac:dyDescent="0.35">
      <c r="A1701" s="34">
        <v>21101511</v>
      </c>
      <c r="B1701" s="35" t="s">
        <v>11042</v>
      </c>
    </row>
    <row r="1702" spans="1:2" x14ac:dyDescent="0.35">
      <c r="A1702" s="34">
        <v>21101512</v>
      </c>
      <c r="B1702" s="35" t="s">
        <v>9606</v>
      </c>
    </row>
    <row r="1703" spans="1:2" x14ac:dyDescent="0.35">
      <c r="A1703" s="34">
        <v>21101513</v>
      </c>
      <c r="B1703" s="35" t="s">
        <v>10961</v>
      </c>
    </row>
    <row r="1704" spans="1:2" x14ac:dyDescent="0.35">
      <c r="A1704" s="34">
        <v>21101514</v>
      </c>
      <c r="B1704" s="35" t="s">
        <v>7940</v>
      </c>
    </row>
    <row r="1705" spans="1:2" x14ac:dyDescent="0.35">
      <c r="A1705" s="34">
        <v>21101516</v>
      </c>
      <c r="B1705" s="35" t="s">
        <v>16205</v>
      </c>
    </row>
    <row r="1706" spans="1:2" x14ac:dyDescent="0.35">
      <c r="A1706" s="34">
        <v>21101601</v>
      </c>
      <c r="B1706" s="35" t="s">
        <v>5049</v>
      </c>
    </row>
    <row r="1707" spans="1:2" x14ac:dyDescent="0.35">
      <c r="A1707" s="34">
        <v>21101602</v>
      </c>
      <c r="B1707" s="35" t="s">
        <v>10564</v>
      </c>
    </row>
    <row r="1708" spans="1:2" x14ac:dyDescent="0.35">
      <c r="A1708" s="34">
        <v>21101603</v>
      </c>
      <c r="B1708" s="35" t="s">
        <v>17938</v>
      </c>
    </row>
    <row r="1709" spans="1:2" x14ac:dyDescent="0.35">
      <c r="A1709" s="34">
        <v>21101604</v>
      </c>
      <c r="B1709" s="35" t="s">
        <v>1453</v>
      </c>
    </row>
    <row r="1710" spans="1:2" x14ac:dyDescent="0.35">
      <c r="A1710" s="34">
        <v>21101605</v>
      </c>
      <c r="B1710" s="35" t="s">
        <v>10591</v>
      </c>
    </row>
    <row r="1711" spans="1:2" x14ac:dyDescent="0.35">
      <c r="A1711" s="34">
        <v>21101606</v>
      </c>
      <c r="B1711" s="35" t="s">
        <v>8386</v>
      </c>
    </row>
    <row r="1712" spans="1:2" x14ac:dyDescent="0.35">
      <c r="A1712" s="34">
        <v>21101607</v>
      </c>
      <c r="B1712" s="35" t="s">
        <v>180</v>
      </c>
    </row>
    <row r="1713" spans="1:2" x14ac:dyDescent="0.35">
      <c r="A1713" s="34">
        <v>21101701</v>
      </c>
      <c r="B1713" s="35" t="s">
        <v>2665</v>
      </c>
    </row>
    <row r="1714" spans="1:2" x14ac:dyDescent="0.35">
      <c r="A1714" s="34">
        <v>21101702</v>
      </c>
      <c r="B1714" s="35" t="s">
        <v>1072</v>
      </c>
    </row>
    <row r="1715" spans="1:2" x14ac:dyDescent="0.35">
      <c r="A1715" s="34">
        <v>21101703</v>
      </c>
      <c r="B1715" s="35" t="s">
        <v>17192</v>
      </c>
    </row>
    <row r="1716" spans="1:2" x14ac:dyDescent="0.35">
      <c r="A1716" s="34">
        <v>21101704</v>
      </c>
      <c r="B1716" s="35" t="s">
        <v>17925</v>
      </c>
    </row>
    <row r="1717" spans="1:2" x14ac:dyDescent="0.35">
      <c r="A1717" s="34">
        <v>21101705</v>
      </c>
      <c r="B1717" s="35" t="s">
        <v>391</v>
      </c>
    </row>
    <row r="1718" spans="1:2" x14ac:dyDescent="0.35">
      <c r="A1718" s="34">
        <v>21101706</v>
      </c>
      <c r="B1718" s="35" t="s">
        <v>10524</v>
      </c>
    </row>
    <row r="1719" spans="1:2" x14ac:dyDescent="0.35">
      <c r="A1719" s="34">
        <v>21101707</v>
      </c>
      <c r="B1719" s="35" t="s">
        <v>6608</v>
      </c>
    </row>
    <row r="1720" spans="1:2" x14ac:dyDescent="0.35">
      <c r="A1720" s="34">
        <v>21101708</v>
      </c>
      <c r="B1720" s="35" t="s">
        <v>10176</v>
      </c>
    </row>
    <row r="1721" spans="1:2" x14ac:dyDescent="0.35">
      <c r="A1721" s="34">
        <v>21101801</v>
      </c>
      <c r="B1721" s="35" t="s">
        <v>19632</v>
      </c>
    </row>
    <row r="1722" spans="1:2" x14ac:dyDescent="0.35">
      <c r="A1722" s="34">
        <v>21101802</v>
      </c>
      <c r="B1722" s="35" t="s">
        <v>6459</v>
      </c>
    </row>
    <row r="1723" spans="1:2" x14ac:dyDescent="0.35">
      <c r="A1723" s="34">
        <v>21101803</v>
      </c>
      <c r="B1723" s="35" t="s">
        <v>5376</v>
      </c>
    </row>
    <row r="1724" spans="1:2" x14ac:dyDescent="0.35">
      <c r="A1724" s="34">
        <v>21101804</v>
      </c>
      <c r="B1724" s="35" t="s">
        <v>9453</v>
      </c>
    </row>
    <row r="1725" spans="1:2" x14ac:dyDescent="0.35">
      <c r="A1725" s="34">
        <v>21101805</v>
      </c>
      <c r="B1725" s="35" t="s">
        <v>17436</v>
      </c>
    </row>
    <row r="1726" spans="1:2" x14ac:dyDescent="0.35">
      <c r="A1726" s="34">
        <v>21101806</v>
      </c>
      <c r="B1726" s="35" t="s">
        <v>1475</v>
      </c>
    </row>
    <row r="1727" spans="1:2" x14ac:dyDescent="0.35">
      <c r="A1727" s="34">
        <v>21101807</v>
      </c>
      <c r="B1727" s="35" t="s">
        <v>1237</v>
      </c>
    </row>
    <row r="1728" spans="1:2" x14ac:dyDescent="0.35">
      <c r="A1728" s="34">
        <v>21101808</v>
      </c>
      <c r="B1728" s="35" t="s">
        <v>1976</v>
      </c>
    </row>
    <row r="1729" spans="1:2" x14ac:dyDescent="0.35">
      <c r="A1729" s="34">
        <v>21101901</v>
      </c>
      <c r="B1729" s="35" t="s">
        <v>942</v>
      </c>
    </row>
    <row r="1730" spans="1:2" x14ac:dyDescent="0.35">
      <c r="A1730" s="34">
        <v>21101902</v>
      </c>
      <c r="B1730" s="35" t="s">
        <v>11333</v>
      </c>
    </row>
    <row r="1731" spans="1:2" x14ac:dyDescent="0.35">
      <c r="A1731" s="34">
        <v>21101903</v>
      </c>
      <c r="B1731" s="35" t="s">
        <v>8083</v>
      </c>
    </row>
    <row r="1732" spans="1:2" x14ac:dyDescent="0.35">
      <c r="A1732" s="34">
        <v>21101904</v>
      </c>
      <c r="B1732" s="35" t="s">
        <v>13055</v>
      </c>
    </row>
    <row r="1733" spans="1:2" x14ac:dyDescent="0.35">
      <c r="A1733" s="34">
        <v>21101905</v>
      </c>
      <c r="B1733" s="35" t="s">
        <v>16584</v>
      </c>
    </row>
    <row r="1734" spans="1:2" x14ac:dyDescent="0.35">
      <c r="A1734" s="34">
        <v>21101906</v>
      </c>
      <c r="B1734" s="35" t="s">
        <v>16249</v>
      </c>
    </row>
    <row r="1735" spans="1:2" x14ac:dyDescent="0.35">
      <c r="A1735" s="34">
        <v>21101907</v>
      </c>
      <c r="B1735" s="35" t="s">
        <v>13409</v>
      </c>
    </row>
    <row r="1736" spans="1:2" x14ac:dyDescent="0.35">
      <c r="A1736" s="34">
        <v>21101908</v>
      </c>
      <c r="B1736" s="35" t="s">
        <v>14048</v>
      </c>
    </row>
    <row r="1737" spans="1:2" x14ac:dyDescent="0.35">
      <c r="A1737" s="34">
        <v>21101909</v>
      </c>
      <c r="B1737" s="35" t="s">
        <v>12463</v>
      </c>
    </row>
    <row r="1738" spans="1:2" x14ac:dyDescent="0.35">
      <c r="A1738" s="34">
        <v>21102001</v>
      </c>
      <c r="B1738" s="35" t="s">
        <v>5530</v>
      </c>
    </row>
    <row r="1739" spans="1:2" x14ac:dyDescent="0.35">
      <c r="A1739" s="34">
        <v>21102002</v>
      </c>
      <c r="B1739" s="35" t="s">
        <v>8177</v>
      </c>
    </row>
    <row r="1740" spans="1:2" x14ac:dyDescent="0.35">
      <c r="A1740" s="34">
        <v>21102003</v>
      </c>
      <c r="B1740" s="35" t="s">
        <v>9706</v>
      </c>
    </row>
    <row r="1741" spans="1:2" x14ac:dyDescent="0.35">
      <c r="A1741" s="34">
        <v>21102004</v>
      </c>
      <c r="B1741" s="35" t="s">
        <v>1104</v>
      </c>
    </row>
    <row r="1742" spans="1:2" x14ac:dyDescent="0.35">
      <c r="A1742" s="34">
        <v>21102005</v>
      </c>
      <c r="B1742" s="35" t="s">
        <v>17341</v>
      </c>
    </row>
    <row r="1743" spans="1:2" x14ac:dyDescent="0.35">
      <c r="A1743" s="34">
        <v>21102006</v>
      </c>
      <c r="B1743" s="35" t="s">
        <v>6492</v>
      </c>
    </row>
    <row r="1744" spans="1:2" x14ac:dyDescent="0.35">
      <c r="A1744" s="34">
        <v>21102101</v>
      </c>
      <c r="B1744" s="35" t="s">
        <v>16250</v>
      </c>
    </row>
    <row r="1745" spans="1:2" x14ac:dyDescent="0.35">
      <c r="A1745" s="34">
        <v>21102201</v>
      </c>
      <c r="B1745" s="35" t="s">
        <v>2223</v>
      </c>
    </row>
    <row r="1746" spans="1:2" x14ac:dyDescent="0.35">
      <c r="A1746" s="34">
        <v>21102202</v>
      </c>
      <c r="B1746" s="35" t="s">
        <v>3823</v>
      </c>
    </row>
    <row r="1747" spans="1:2" x14ac:dyDescent="0.35">
      <c r="A1747" s="34">
        <v>21102203</v>
      </c>
      <c r="B1747" s="35" t="s">
        <v>15644</v>
      </c>
    </row>
    <row r="1748" spans="1:2" x14ac:dyDescent="0.35">
      <c r="A1748" s="34">
        <v>21102204</v>
      </c>
      <c r="B1748" s="35" t="s">
        <v>11132</v>
      </c>
    </row>
    <row r="1749" spans="1:2" x14ac:dyDescent="0.35">
      <c r="A1749" s="34">
        <v>21102205</v>
      </c>
      <c r="B1749" s="35" t="s">
        <v>14581</v>
      </c>
    </row>
    <row r="1750" spans="1:2" x14ac:dyDescent="0.35">
      <c r="A1750" s="34">
        <v>21102206</v>
      </c>
      <c r="B1750" s="35" t="s">
        <v>19145</v>
      </c>
    </row>
    <row r="1751" spans="1:2" x14ac:dyDescent="0.35">
      <c r="A1751" s="34">
        <v>21102207</v>
      </c>
      <c r="B1751" s="35" t="s">
        <v>18461</v>
      </c>
    </row>
    <row r="1752" spans="1:2" x14ac:dyDescent="0.35">
      <c r="A1752" s="34">
        <v>21102301</v>
      </c>
      <c r="B1752" s="35" t="s">
        <v>8042</v>
      </c>
    </row>
    <row r="1753" spans="1:2" x14ac:dyDescent="0.35">
      <c r="A1753" s="34">
        <v>21102302</v>
      </c>
      <c r="B1753" s="35" t="s">
        <v>5403</v>
      </c>
    </row>
    <row r="1754" spans="1:2" x14ac:dyDescent="0.35">
      <c r="A1754" s="34">
        <v>21102303</v>
      </c>
      <c r="B1754" s="35" t="s">
        <v>8775</v>
      </c>
    </row>
    <row r="1755" spans="1:2" x14ac:dyDescent="0.35">
      <c r="A1755" s="34">
        <v>21102304</v>
      </c>
      <c r="B1755" s="35" t="s">
        <v>4038</v>
      </c>
    </row>
    <row r="1756" spans="1:2" x14ac:dyDescent="0.35">
      <c r="A1756" s="34">
        <v>21102401</v>
      </c>
      <c r="B1756" s="35" t="s">
        <v>8534</v>
      </c>
    </row>
    <row r="1757" spans="1:2" x14ac:dyDescent="0.35">
      <c r="A1757" s="34">
        <v>21102402</v>
      </c>
      <c r="B1757" s="35" t="s">
        <v>3633</v>
      </c>
    </row>
    <row r="1758" spans="1:2" x14ac:dyDescent="0.35">
      <c r="A1758" s="34">
        <v>21102403</v>
      </c>
      <c r="B1758" s="35" t="s">
        <v>9505</v>
      </c>
    </row>
    <row r="1759" spans="1:2" x14ac:dyDescent="0.35">
      <c r="A1759" s="34">
        <v>21102404</v>
      </c>
      <c r="B1759" s="35" t="s">
        <v>6190</v>
      </c>
    </row>
    <row r="1760" spans="1:2" x14ac:dyDescent="0.35">
      <c r="A1760" s="34">
        <v>21111501</v>
      </c>
      <c r="B1760" s="35" t="s">
        <v>7610</v>
      </c>
    </row>
    <row r="1761" spans="1:2" x14ac:dyDescent="0.35">
      <c r="A1761" s="34">
        <v>21111502</v>
      </c>
      <c r="B1761" s="35" t="s">
        <v>4819</v>
      </c>
    </row>
    <row r="1762" spans="1:2" x14ac:dyDescent="0.35">
      <c r="A1762" s="34">
        <v>21111503</v>
      </c>
      <c r="B1762" s="35" t="s">
        <v>846</v>
      </c>
    </row>
    <row r="1763" spans="1:2" x14ac:dyDescent="0.35">
      <c r="A1763" s="34">
        <v>21111504</v>
      </c>
      <c r="B1763" s="35" t="s">
        <v>7924</v>
      </c>
    </row>
    <row r="1764" spans="1:2" x14ac:dyDescent="0.35">
      <c r="A1764" s="34">
        <v>21111506</v>
      </c>
      <c r="B1764" s="35" t="s">
        <v>3179</v>
      </c>
    </row>
    <row r="1765" spans="1:2" x14ac:dyDescent="0.35">
      <c r="A1765" s="34">
        <v>21111507</v>
      </c>
      <c r="B1765" s="35" t="s">
        <v>16079</v>
      </c>
    </row>
    <row r="1766" spans="1:2" x14ac:dyDescent="0.35">
      <c r="A1766" s="34">
        <v>21111508</v>
      </c>
      <c r="B1766" s="35" t="s">
        <v>12006</v>
      </c>
    </row>
    <row r="1767" spans="1:2" x14ac:dyDescent="0.35">
      <c r="A1767" s="34">
        <v>21111601</v>
      </c>
      <c r="B1767" s="35" t="s">
        <v>119</v>
      </c>
    </row>
    <row r="1768" spans="1:2" x14ac:dyDescent="0.35">
      <c r="A1768" s="34">
        <v>21111602</v>
      </c>
      <c r="B1768" s="35" t="s">
        <v>2861</v>
      </c>
    </row>
    <row r="1769" spans="1:2" x14ac:dyDescent="0.35">
      <c r="A1769" s="34">
        <v>22101501</v>
      </c>
      <c r="B1769" s="35" t="s">
        <v>13984</v>
      </c>
    </row>
    <row r="1770" spans="1:2" x14ac:dyDescent="0.35">
      <c r="A1770" s="34">
        <v>22101502</v>
      </c>
      <c r="B1770" s="35" t="s">
        <v>7241</v>
      </c>
    </row>
    <row r="1771" spans="1:2" x14ac:dyDescent="0.35">
      <c r="A1771" s="34">
        <v>22101504</v>
      </c>
      <c r="B1771" s="35" t="s">
        <v>15357</v>
      </c>
    </row>
    <row r="1772" spans="1:2" x14ac:dyDescent="0.35">
      <c r="A1772" s="34">
        <v>22101505</v>
      </c>
      <c r="B1772" s="35" t="s">
        <v>2038</v>
      </c>
    </row>
    <row r="1773" spans="1:2" x14ac:dyDescent="0.35">
      <c r="A1773" s="34">
        <v>22101507</v>
      </c>
      <c r="B1773" s="35" t="s">
        <v>5547</v>
      </c>
    </row>
    <row r="1774" spans="1:2" x14ac:dyDescent="0.35">
      <c r="A1774" s="34">
        <v>22101508</v>
      </c>
      <c r="B1774" s="35" t="s">
        <v>3614</v>
      </c>
    </row>
    <row r="1775" spans="1:2" x14ac:dyDescent="0.35">
      <c r="A1775" s="34">
        <v>22101509</v>
      </c>
      <c r="B1775" s="35" t="s">
        <v>1469</v>
      </c>
    </row>
    <row r="1776" spans="1:2" x14ac:dyDescent="0.35">
      <c r="A1776" s="34">
        <v>22101511</v>
      </c>
      <c r="B1776" s="35" t="s">
        <v>2257</v>
      </c>
    </row>
    <row r="1777" spans="1:2" x14ac:dyDescent="0.35">
      <c r="A1777" s="34">
        <v>22101513</v>
      </c>
      <c r="B1777" s="35" t="s">
        <v>14754</v>
      </c>
    </row>
    <row r="1778" spans="1:2" x14ac:dyDescent="0.35">
      <c r="A1778" s="34">
        <v>22101514</v>
      </c>
      <c r="B1778" s="35" t="s">
        <v>5100</v>
      </c>
    </row>
    <row r="1779" spans="1:2" x14ac:dyDescent="0.35">
      <c r="A1779" s="34">
        <v>22101516</v>
      </c>
      <c r="B1779" s="35" t="s">
        <v>14433</v>
      </c>
    </row>
    <row r="1780" spans="1:2" x14ac:dyDescent="0.35">
      <c r="A1780" s="34">
        <v>22101518</v>
      </c>
      <c r="B1780" s="35" t="s">
        <v>17460</v>
      </c>
    </row>
    <row r="1781" spans="1:2" x14ac:dyDescent="0.35">
      <c r="A1781" s="34">
        <v>22101519</v>
      </c>
      <c r="B1781" s="35" t="s">
        <v>1139</v>
      </c>
    </row>
    <row r="1782" spans="1:2" x14ac:dyDescent="0.35">
      <c r="A1782" s="34">
        <v>22101520</v>
      </c>
      <c r="B1782" s="35" t="s">
        <v>16186</v>
      </c>
    </row>
    <row r="1783" spans="1:2" x14ac:dyDescent="0.35">
      <c r="A1783" s="34">
        <v>22101521</v>
      </c>
      <c r="B1783" s="35" t="s">
        <v>308</v>
      </c>
    </row>
    <row r="1784" spans="1:2" x14ac:dyDescent="0.35">
      <c r="A1784" s="34">
        <v>22101522</v>
      </c>
      <c r="B1784" s="35" t="s">
        <v>9551</v>
      </c>
    </row>
    <row r="1785" spans="1:2" x14ac:dyDescent="0.35">
      <c r="A1785" s="34">
        <v>22101523</v>
      </c>
      <c r="B1785" s="35" t="s">
        <v>8619</v>
      </c>
    </row>
    <row r="1786" spans="1:2" x14ac:dyDescent="0.35">
      <c r="A1786" s="34">
        <v>22101524</v>
      </c>
      <c r="B1786" s="35" t="s">
        <v>17950</v>
      </c>
    </row>
    <row r="1787" spans="1:2" x14ac:dyDescent="0.35">
      <c r="A1787" s="34">
        <v>22101525</v>
      </c>
      <c r="B1787" s="35" t="s">
        <v>1907</v>
      </c>
    </row>
    <row r="1788" spans="1:2" x14ac:dyDescent="0.35">
      <c r="A1788" s="34">
        <v>22101526</v>
      </c>
      <c r="B1788" s="35" t="s">
        <v>16519</v>
      </c>
    </row>
    <row r="1789" spans="1:2" x14ac:dyDescent="0.35">
      <c r="A1789" s="34">
        <v>22101527</v>
      </c>
      <c r="B1789" s="35" t="s">
        <v>4306</v>
      </c>
    </row>
    <row r="1790" spans="1:2" x14ac:dyDescent="0.35">
      <c r="A1790" s="34">
        <v>22101528</v>
      </c>
      <c r="B1790" s="35" t="s">
        <v>17693</v>
      </c>
    </row>
    <row r="1791" spans="1:2" x14ac:dyDescent="0.35">
      <c r="A1791" s="34">
        <v>22101529</v>
      </c>
      <c r="B1791" s="35" t="s">
        <v>11905</v>
      </c>
    </row>
    <row r="1792" spans="1:2" x14ac:dyDescent="0.35">
      <c r="A1792" s="34">
        <v>22101530</v>
      </c>
      <c r="B1792" s="35" t="s">
        <v>10143</v>
      </c>
    </row>
    <row r="1793" spans="1:2" x14ac:dyDescent="0.35">
      <c r="A1793" s="34">
        <v>22101531</v>
      </c>
      <c r="B1793" s="35" t="s">
        <v>11313</v>
      </c>
    </row>
    <row r="1794" spans="1:2" x14ac:dyDescent="0.35">
      <c r="A1794" s="34">
        <v>22101532</v>
      </c>
      <c r="B1794" s="35" t="s">
        <v>1799</v>
      </c>
    </row>
    <row r="1795" spans="1:2" x14ac:dyDescent="0.35">
      <c r="A1795" s="34">
        <v>22101533</v>
      </c>
      <c r="B1795" s="35" t="s">
        <v>5902</v>
      </c>
    </row>
    <row r="1796" spans="1:2" x14ac:dyDescent="0.35">
      <c r="A1796" s="34">
        <v>22101534</v>
      </c>
      <c r="B1796" s="35" t="s">
        <v>134</v>
      </c>
    </row>
    <row r="1797" spans="1:2" x14ac:dyDescent="0.35">
      <c r="A1797" s="34">
        <v>22101602</v>
      </c>
      <c r="B1797" s="35" t="s">
        <v>5772</v>
      </c>
    </row>
    <row r="1798" spans="1:2" x14ac:dyDescent="0.35">
      <c r="A1798" s="34">
        <v>22101603</v>
      </c>
      <c r="B1798" s="35" t="s">
        <v>3518</v>
      </c>
    </row>
    <row r="1799" spans="1:2" x14ac:dyDescent="0.35">
      <c r="A1799" s="34">
        <v>22101604</v>
      </c>
      <c r="B1799" s="35" t="s">
        <v>4337</v>
      </c>
    </row>
    <row r="1800" spans="1:2" x14ac:dyDescent="0.35">
      <c r="A1800" s="34">
        <v>22101605</v>
      </c>
      <c r="B1800" s="35" t="s">
        <v>11186</v>
      </c>
    </row>
    <row r="1801" spans="1:2" x14ac:dyDescent="0.35">
      <c r="A1801" s="34">
        <v>22101606</v>
      </c>
      <c r="B1801" s="35" t="s">
        <v>3446</v>
      </c>
    </row>
    <row r="1802" spans="1:2" x14ac:dyDescent="0.35">
      <c r="A1802" s="34">
        <v>22101607</v>
      </c>
      <c r="B1802" s="35" t="s">
        <v>17046</v>
      </c>
    </row>
    <row r="1803" spans="1:2" x14ac:dyDescent="0.35">
      <c r="A1803" s="34">
        <v>22101608</v>
      </c>
      <c r="B1803" s="35" t="s">
        <v>6527</v>
      </c>
    </row>
    <row r="1804" spans="1:2" x14ac:dyDescent="0.35">
      <c r="A1804" s="34">
        <v>22101609</v>
      </c>
      <c r="B1804" s="35" t="s">
        <v>8107</v>
      </c>
    </row>
    <row r="1805" spans="1:2" x14ac:dyDescent="0.35">
      <c r="A1805" s="34">
        <v>22101610</v>
      </c>
      <c r="B1805" s="35" t="s">
        <v>17152</v>
      </c>
    </row>
    <row r="1806" spans="1:2" x14ac:dyDescent="0.35">
      <c r="A1806" s="34">
        <v>22101611</v>
      </c>
      <c r="B1806" s="35" t="s">
        <v>10880</v>
      </c>
    </row>
    <row r="1807" spans="1:2" x14ac:dyDescent="0.35">
      <c r="A1807" s="34">
        <v>22101612</v>
      </c>
      <c r="B1807" s="35" t="s">
        <v>2216</v>
      </c>
    </row>
    <row r="1808" spans="1:2" x14ac:dyDescent="0.35">
      <c r="A1808" s="34">
        <v>22101613</v>
      </c>
      <c r="B1808" s="35" t="s">
        <v>1236</v>
      </c>
    </row>
    <row r="1809" spans="1:2" x14ac:dyDescent="0.35">
      <c r="A1809" s="34">
        <v>22101614</v>
      </c>
      <c r="B1809" s="35" t="s">
        <v>723</v>
      </c>
    </row>
    <row r="1810" spans="1:2" x14ac:dyDescent="0.35">
      <c r="A1810" s="34">
        <v>22101615</v>
      </c>
      <c r="B1810" s="35" t="s">
        <v>3138</v>
      </c>
    </row>
    <row r="1811" spans="1:2" x14ac:dyDescent="0.35">
      <c r="A1811" s="34">
        <v>22101616</v>
      </c>
      <c r="B1811" s="35" t="s">
        <v>4741</v>
      </c>
    </row>
    <row r="1812" spans="1:2" x14ac:dyDescent="0.35">
      <c r="A1812" s="34">
        <v>22101617</v>
      </c>
      <c r="B1812" s="35" t="s">
        <v>8578</v>
      </c>
    </row>
    <row r="1813" spans="1:2" x14ac:dyDescent="0.35">
      <c r="A1813" s="34">
        <v>22101618</v>
      </c>
      <c r="B1813" s="35" t="s">
        <v>1990</v>
      </c>
    </row>
    <row r="1814" spans="1:2" x14ac:dyDescent="0.35">
      <c r="A1814" s="34">
        <v>22101619</v>
      </c>
      <c r="B1814" s="35" t="s">
        <v>16596</v>
      </c>
    </row>
    <row r="1815" spans="1:2" x14ac:dyDescent="0.35">
      <c r="A1815" s="34">
        <v>22101620</v>
      </c>
      <c r="B1815" s="35" t="s">
        <v>7052</v>
      </c>
    </row>
    <row r="1816" spans="1:2" x14ac:dyDescent="0.35">
      <c r="A1816" s="34">
        <v>22101701</v>
      </c>
      <c r="B1816" s="35" t="s">
        <v>12372</v>
      </c>
    </row>
    <row r="1817" spans="1:2" x14ac:dyDescent="0.35">
      <c r="A1817" s="34">
        <v>22101702</v>
      </c>
      <c r="B1817" s="35" t="s">
        <v>18522</v>
      </c>
    </row>
    <row r="1818" spans="1:2" x14ac:dyDescent="0.35">
      <c r="A1818" s="34">
        <v>22101703</v>
      </c>
      <c r="B1818" s="35" t="s">
        <v>10204</v>
      </c>
    </row>
    <row r="1819" spans="1:2" x14ac:dyDescent="0.35">
      <c r="A1819" s="34">
        <v>22101704</v>
      </c>
      <c r="B1819" s="35" t="s">
        <v>13711</v>
      </c>
    </row>
    <row r="1820" spans="1:2" x14ac:dyDescent="0.35">
      <c r="A1820" s="34">
        <v>22101705</v>
      </c>
      <c r="B1820" s="35" t="s">
        <v>10228</v>
      </c>
    </row>
    <row r="1821" spans="1:2" x14ac:dyDescent="0.35">
      <c r="A1821" s="34">
        <v>22101706</v>
      </c>
      <c r="B1821" s="35" t="s">
        <v>252</v>
      </c>
    </row>
    <row r="1822" spans="1:2" x14ac:dyDescent="0.35">
      <c r="A1822" s="34">
        <v>22101707</v>
      </c>
      <c r="B1822" s="35" t="s">
        <v>16616</v>
      </c>
    </row>
    <row r="1823" spans="1:2" x14ac:dyDescent="0.35">
      <c r="A1823" s="34">
        <v>22101708</v>
      </c>
      <c r="B1823" s="35" t="s">
        <v>341</v>
      </c>
    </row>
    <row r="1824" spans="1:2" x14ac:dyDescent="0.35">
      <c r="A1824" s="34">
        <v>22101709</v>
      </c>
      <c r="B1824" s="35" t="s">
        <v>5268</v>
      </c>
    </row>
    <row r="1825" spans="1:2" x14ac:dyDescent="0.35">
      <c r="A1825" s="34">
        <v>22101710</v>
      </c>
      <c r="B1825" s="35" t="s">
        <v>6979</v>
      </c>
    </row>
    <row r="1826" spans="1:2" x14ac:dyDescent="0.35">
      <c r="A1826" s="34">
        <v>22101711</v>
      </c>
      <c r="B1826" s="35" t="s">
        <v>10433</v>
      </c>
    </row>
    <row r="1827" spans="1:2" x14ac:dyDescent="0.35">
      <c r="A1827" s="34">
        <v>22101712</v>
      </c>
      <c r="B1827" s="35" t="s">
        <v>8133</v>
      </c>
    </row>
    <row r="1828" spans="1:2" x14ac:dyDescent="0.35">
      <c r="A1828" s="34">
        <v>22101713</v>
      </c>
      <c r="B1828" s="35" t="s">
        <v>6788</v>
      </c>
    </row>
    <row r="1829" spans="1:2" x14ac:dyDescent="0.35">
      <c r="A1829" s="34">
        <v>22101714</v>
      </c>
      <c r="B1829" s="35" t="s">
        <v>1044</v>
      </c>
    </row>
    <row r="1830" spans="1:2" x14ac:dyDescent="0.35">
      <c r="A1830" s="34">
        <v>22101715</v>
      </c>
      <c r="B1830" s="35" t="s">
        <v>17995</v>
      </c>
    </row>
    <row r="1831" spans="1:2" x14ac:dyDescent="0.35">
      <c r="A1831" s="34">
        <v>22101716</v>
      </c>
      <c r="B1831" s="35" t="s">
        <v>10545</v>
      </c>
    </row>
    <row r="1832" spans="1:2" x14ac:dyDescent="0.35">
      <c r="A1832" s="34">
        <v>22101717</v>
      </c>
      <c r="B1832" s="35" t="s">
        <v>7472</v>
      </c>
    </row>
    <row r="1833" spans="1:2" x14ac:dyDescent="0.35">
      <c r="A1833" s="34">
        <v>22101718</v>
      </c>
      <c r="B1833" s="35" t="s">
        <v>16998</v>
      </c>
    </row>
    <row r="1834" spans="1:2" x14ac:dyDescent="0.35">
      <c r="A1834" s="34">
        <v>22101719</v>
      </c>
      <c r="B1834" s="35" t="s">
        <v>16026</v>
      </c>
    </row>
    <row r="1835" spans="1:2" x14ac:dyDescent="0.35">
      <c r="A1835" s="34">
        <v>22101720</v>
      </c>
      <c r="B1835" s="35" t="s">
        <v>13015</v>
      </c>
    </row>
    <row r="1836" spans="1:2" x14ac:dyDescent="0.35">
      <c r="A1836" s="34">
        <v>22101801</v>
      </c>
      <c r="B1836" s="35" t="s">
        <v>17308</v>
      </c>
    </row>
    <row r="1837" spans="1:2" x14ac:dyDescent="0.35">
      <c r="A1837" s="34">
        <v>22101802</v>
      </c>
      <c r="B1837" s="35" t="s">
        <v>2541</v>
      </c>
    </row>
    <row r="1838" spans="1:2" x14ac:dyDescent="0.35">
      <c r="A1838" s="34">
        <v>22101803</v>
      </c>
      <c r="B1838" s="35" t="s">
        <v>18704</v>
      </c>
    </row>
    <row r="1839" spans="1:2" x14ac:dyDescent="0.35">
      <c r="A1839" s="34">
        <v>22101804</v>
      </c>
      <c r="B1839" s="35" t="s">
        <v>12346</v>
      </c>
    </row>
    <row r="1840" spans="1:2" x14ac:dyDescent="0.35">
      <c r="A1840" s="34">
        <v>22101901</v>
      </c>
      <c r="B1840" s="35" t="s">
        <v>18029</v>
      </c>
    </row>
    <row r="1841" spans="1:2" x14ac:dyDescent="0.35">
      <c r="A1841" s="34">
        <v>22101902</v>
      </c>
      <c r="B1841" s="35" t="s">
        <v>13585</v>
      </c>
    </row>
    <row r="1842" spans="1:2" x14ac:dyDescent="0.35">
      <c r="A1842" s="34">
        <v>22101903</v>
      </c>
      <c r="B1842" s="35" t="s">
        <v>19529</v>
      </c>
    </row>
    <row r="1843" spans="1:2" x14ac:dyDescent="0.35">
      <c r="A1843" s="34">
        <v>22101904</v>
      </c>
      <c r="B1843" s="35" t="s">
        <v>5558</v>
      </c>
    </row>
    <row r="1844" spans="1:2" x14ac:dyDescent="0.35">
      <c r="A1844" s="34">
        <v>22101905</v>
      </c>
      <c r="B1844" s="35" t="s">
        <v>5833</v>
      </c>
    </row>
    <row r="1845" spans="1:2" x14ac:dyDescent="0.35">
      <c r="A1845" s="34">
        <v>22101906</v>
      </c>
      <c r="B1845" s="35" t="s">
        <v>11325</v>
      </c>
    </row>
    <row r="1846" spans="1:2" x14ac:dyDescent="0.35">
      <c r="A1846" s="34">
        <v>22101907</v>
      </c>
      <c r="B1846" s="35" t="s">
        <v>8571</v>
      </c>
    </row>
    <row r="1847" spans="1:2" x14ac:dyDescent="0.35">
      <c r="A1847" s="34">
        <v>22102001</v>
      </c>
      <c r="B1847" s="35" t="s">
        <v>1114</v>
      </c>
    </row>
    <row r="1848" spans="1:2" x14ac:dyDescent="0.35">
      <c r="A1848" s="34">
        <v>23101501</v>
      </c>
      <c r="B1848" s="35" t="s">
        <v>13824</v>
      </c>
    </row>
    <row r="1849" spans="1:2" x14ac:dyDescent="0.35">
      <c r="A1849" s="34">
        <v>23101502</v>
      </c>
      <c r="B1849" s="35" t="s">
        <v>1772</v>
      </c>
    </row>
    <row r="1850" spans="1:2" x14ac:dyDescent="0.35">
      <c r="A1850" s="34">
        <v>23101503</v>
      </c>
      <c r="B1850" s="35" t="s">
        <v>7784</v>
      </c>
    </row>
    <row r="1851" spans="1:2" x14ac:dyDescent="0.35">
      <c r="A1851" s="34">
        <v>23101504</v>
      </c>
      <c r="B1851" s="35" t="s">
        <v>7418</v>
      </c>
    </row>
    <row r="1852" spans="1:2" x14ac:dyDescent="0.35">
      <c r="A1852" s="34">
        <v>23101505</v>
      </c>
      <c r="B1852" s="35" t="s">
        <v>6898</v>
      </c>
    </row>
    <row r="1853" spans="1:2" x14ac:dyDescent="0.35">
      <c r="A1853" s="34">
        <v>23101506</v>
      </c>
      <c r="B1853" s="35" t="s">
        <v>1118</v>
      </c>
    </row>
    <row r="1854" spans="1:2" x14ac:dyDescent="0.35">
      <c r="A1854" s="34">
        <v>23101507</v>
      </c>
      <c r="B1854" s="35" t="s">
        <v>4025</v>
      </c>
    </row>
    <row r="1855" spans="1:2" x14ac:dyDescent="0.35">
      <c r="A1855" s="34">
        <v>23101508</v>
      </c>
      <c r="B1855" s="35" t="s">
        <v>18003</v>
      </c>
    </row>
    <row r="1856" spans="1:2" x14ac:dyDescent="0.35">
      <c r="A1856" s="34">
        <v>23101509</v>
      </c>
      <c r="B1856" s="35" t="s">
        <v>11023</v>
      </c>
    </row>
    <row r="1857" spans="1:2" x14ac:dyDescent="0.35">
      <c r="A1857" s="34">
        <v>23101510</v>
      </c>
      <c r="B1857" s="35" t="s">
        <v>8907</v>
      </c>
    </row>
    <row r="1858" spans="1:2" x14ac:dyDescent="0.35">
      <c r="A1858" s="34">
        <v>23101511</v>
      </c>
      <c r="B1858" s="35" t="s">
        <v>925</v>
      </c>
    </row>
    <row r="1859" spans="1:2" x14ac:dyDescent="0.35">
      <c r="A1859" s="34">
        <v>23101512</v>
      </c>
      <c r="B1859" s="35" t="s">
        <v>8832</v>
      </c>
    </row>
    <row r="1860" spans="1:2" x14ac:dyDescent="0.35">
      <c r="A1860" s="34">
        <v>23101513</v>
      </c>
      <c r="B1860" s="35" t="s">
        <v>18672</v>
      </c>
    </row>
    <row r="1861" spans="1:2" x14ac:dyDescent="0.35">
      <c r="A1861" s="34">
        <v>23101514</v>
      </c>
      <c r="B1861" s="35" t="s">
        <v>33</v>
      </c>
    </row>
    <row r="1862" spans="1:2" x14ac:dyDescent="0.35">
      <c r="A1862" s="34">
        <v>23101515</v>
      </c>
      <c r="B1862" s="35" t="s">
        <v>16739</v>
      </c>
    </row>
    <row r="1863" spans="1:2" x14ac:dyDescent="0.35">
      <c r="A1863" s="34">
        <v>23101516</v>
      </c>
      <c r="B1863" s="35" t="s">
        <v>8465</v>
      </c>
    </row>
    <row r="1864" spans="1:2" x14ac:dyDescent="0.35">
      <c r="A1864" s="34">
        <v>23101517</v>
      </c>
      <c r="B1864" s="35" t="s">
        <v>14606</v>
      </c>
    </row>
    <row r="1865" spans="1:2" x14ac:dyDescent="0.35">
      <c r="A1865" s="34">
        <v>23101518</v>
      </c>
      <c r="B1865" s="35" t="s">
        <v>9255</v>
      </c>
    </row>
    <row r="1866" spans="1:2" x14ac:dyDescent="0.35">
      <c r="A1866" s="34">
        <v>23101519</v>
      </c>
      <c r="B1866" s="35" t="s">
        <v>4457</v>
      </c>
    </row>
    <row r="1867" spans="1:2" x14ac:dyDescent="0.35">
      <c r="A1867" s="34">
        <v>23101520</v>
      </c>
      <c r="B1867" s="35" t="s">
        <v>8033</v>
      </c>
    </row>
    <row r="1868" spans="1:2" x14ac:dyDescent="0.35">
      <c r="A1868" s="34">
        <v>23101521</v>
      </c>
      <c r="B1868" s="35" t="s">
        <v>15387</v>
      </c>
    </row>
    <row r="1869" spans="1:2" x14ac:dyDescent="0.35">
      <c r="A1869" s="34">
        <v>23101522</v>
      </c>
      <c r="B1869" s="35" t="s">
        <v>14770</v>
      </c>
    </row>
    <row r="1870" spans="1:2" x14ac:dyDescent="0.35">
      <c r="A1870" s="34">
        <v>23111501</v>
      </c>
      <c r="B1870" s="35" t="s">
        <v>5632</v>
      </c>
    </row>
    <row r="1871" spans="1:2" x14ac:dyDescent="0.35">
      <c r="A1871" s="34">
        <v>23111502</v>
      </c>
      <c r="B1871" s="35" t="s">
        <v>36</v>
      </c>
    </row>
    <row r="1872" spans="1:2" x14ac:dyDescent="0.35">
      <c r="A1872" s="34">
        <v>23111503</v>
      </c>
      <c r="B1872" s="35" t="s">
        <v>11144</v>
      </c>
    </row>
    <row r="1873" spans="1:2" x14ac:dyDescent="0.35">
      <c r="A1873" s="34">
        <v>23111504</v>
      </c>
      <c r="B1873" s="35" t="s">
        <v>19354</v>
      </c>
    </row>
    <row r="1874" spans="1:2" x14ac:dyDescent="0.35">
      <c r="A1874" s="34">
        <v>23111505</v>
      </c>
      <c r="B1874" s="35" t="s">
        <v>4776</v>
      </c>
    </row>
    <row r="1875" spans="1:2" x14ac:dyDescent="0.35">
      <c r="A1875" s="34">
        <v>23111506</v>
      </c>
      <c r="B1875" s="35" t="s">
        <v>15070</v>
      </c>
    </row>
    <row r="1876" spans="1:2" x14ac:dyDescent="0.35">
      <c r="A1876" s="34">
        <v>23111507</v>
      </c>
      <c r="B1876" s="35" t="s">
        <v>18708</v>
      </c>
    </row>
    <row r="1877" spans="1:2" x14ac:dyDescent="0.35">
      <c r="A1877" s="34">
        <v>23111601</v>
      </c>
      <c r="B1877" s="35" t="s">
        <v>13850</v>
      </c>
    </row>
    <row r="1878" spans="1:2" x14ac:dyDescent="0.35">
      <c r="A1878" s="34">
        <v>23111602</v>
      </c>
      <c r="B1878" s="35" t="s">
        <v>12749</v>
      </c>
    </row>
    <row r="1879" spans="1:2" x14ac:dyDescent="0.35">
      <c r="A1879" s="34">
        <v>23111603</v>
      </c>
      <c r="B1879" s="35" t="s">
        <v>2565</v>
      </c>
    </row>
    <row r="1880" spans="1:2" x14ac:dyDescent="0.35">
      <c r="A1880" s="34">
        <v>23111604</v>
      </c>
      <c r="B1880" s="35" t="s">
        <v>7745</v>
      </c>
    </row>
    <row r="1881" spans="1:2" x14ac:dyDescent="0.35">
      <c r="A1881" s="34">
        <v>23111605</v>
      </c>
      <c r="B1881" s="35" t="s">
        <v>1503</v>
      </c>
    </row>
    <row r="1882" spans="1:2" x14ac:dyDescent="0.35">
      <c r="A1882" s="34">
        <v>23111606</v>
      </c>
      <c r="B1882" s="35" t="s">
        <v>5571</v>
      </c>
    </row>
    <row r="1883" spans="1:2" x14ac:dyDescent="0.35">
      <c r="A1883" s="34">
        <v>23121501</v>
      </c>
      <c r="B1883" s="35" t="s">
        <v>19185</v>
      </c>
    </row>
    <row r="1884" spans="1:2" x14ac:dyDescent="0.35">
      <c r="A1884" s="34">
        <v>23121502</v>
      </c>
      <c r="B1884" s="35" t="s">
        <v>19122</v>
      </c>
    </row>
    <row r="1885" spans="1:2" x14ac:dyDescent="0.35">
      <c r="A1885" s="34">
        <v>23121503</v>
      </c>
      <c r="B1885" s="35" t="s">
        <v>10431</v>
      </c>
    </row>
    <row r="1886" spans="1:2" x14ac:dyDescent="0.35">
      <c r="A1886" s="34">
        <v>23121504</v>
      </c>
      <c r="B1886" s="35" t="s">
        <v>9064</v>
      </c>
    </row>
    <row r="1887" spans="1:2" x14ac:dyDescent="0.35">
      <c r="A1887" s="34">
        <v>23121505</v>
      </c>
      <c r="B1887" s="35" t="s">
        <v>697</v>
      </c>
    </row>
    <row r="1888" spans="1:2" x14ac:dyDescent="0.35">
      <c r="A1888" s="34">
        <v>23121506</v>
      </c>
      <c r="B1888" s="35" t="s">
        <v>14204</v>
      </c>
    </row>
    <row r="1889" spans="1:2" x14ac:dyDescent="0.35">
      <c r="A1889" s="34">
        <v>23121507</v>
      </c>
      <c r="B1889" s="35" t="s">
        <v>7407</v>
      </c>
    </row>
    <row r="1890" spans="1:2" x14ac:dyDescent="0.35">
      <c r="A1890" s="34">
        <v>23121508</v>
      </c>
      <c r="B1890" s="35" t="s">
        <v>10339</v>
      </c>
    </row>
    <row r="1891" spans="1:2" x14ac:dyDescent="0.35">
      <c r="A1891" s="34">
        <v>23121509</v>
      </c>
      <c r="B1891" s="35" t="s">
        <v>7114</v>
      </c>
    </row>
    <row r="1892" spans="1:2" x14ac:dyDescent="0.35">
      <c r="A1892" s="34">
        <v>23121510</v>
      </c>
      <c r="B1892" s="35" t="s">
        <v>1249</v>
      </c>
    </row>
    <row r="1893" spans="1:2" x14ac:dyDescent="0.35">
      <c r="A1893" s="34">
        <v>23121601</v>
      </c>
      <c r="B1893" s="35" t="s">
        <v>4581</v>
      </c>
    </row>
    <row r="1894" spans="1:2" x14ac:dyDescent="0.35">
      <c r="A1894" s="34">
        <v>23121602</v>
      </c>
      <c r="B1894" s="35" t="s">
        <v>8909</v>
      </c>
    </row>
    <row r="1895" spans="1:2" x14ac:dyDescent="0.35">
      <c r="A1895" s="34">
        <v>23121603</v>
      </c>
      <c r="B1895" s="35" t="s">
        <v>4820</v>
      </c>
    </row>
    <row r="1896" spans="1:2" x14ac:dyDescent="0.35">
      <c r="A1896" s="34">
        <v>23121604</v>
      </c>
      <c r="B1896" s="35" t="s">
        <v>13153</v>
      </c>
    </row>
    <row r="1897" spans="1:2" x14ac:dyDescent="0.35">
      <c r="A1897" s="34">
        <v>23121605</v>
      </c>
      <c r="B1897" s="35" t="s">
        <v>15902</v>
      </c>
    </row>
    <row r="1898" spans="1:2" x14ac:dyDescent="0.35">
      <c r="A1898" s="34">
        <v>23121606</v>
      </c>
      <c r="B1898" s="35" t="s">
        <v>5965</v>
      </c>
    </row>
    <row r="1899" spans="1:2" x14ac:dyDescent="0.35">
      <c r="A1899" s="34">
        <v>23121607</v>
      </c>
      <c r="B1899" s="35" t="s">
        <v>1030</v>
      </c>
    </row>
    <row r="1900" spans="1:2" x14ac:dyDescent="0.35">
      <c r="A1900" s="34">
        <v>23121608</v>
      </c>
      <c r="B1900" s="35" t="s">
        <v>15722</v>
      </c>
    </row>
    <row r="1901" spans="1:2" x14ac:dyDescent="0.35">
      <c r="A1901" s="34">
        <v>23121609</v>
      </c>
      <c r="B1901" s="35" t="s">
        <v>15078</v>
      </c>
    </row>
    <row r="1902" spans="1:2" x14ac:dyDescent="0.35">
      <c r="A1902" s="34">
        <v>23121610</v>
      </c>
      <c r="B1902" s="35" t="s">
        <v>9191</v>
      </c>
    </row>
    <row r="1903" spans="1:2" x14ac:dyDescent="0.35">
      <c r="A1903" s="34">
        <v>23121611</v>
      </c>
      <c r="B1903" s="35" t="s">
        <v>10868</v>
      </c>
    </row>
    <row r="1904" spans="1:2" x14ac:dyDescent="0.35">
      <c r="A1904" s="34">
        <v>23121612</v>
      </c>
      <c r="B1904" s="35" t="s">
        <v>18361</v>
      </c>
    </row>
    <row r="1905" spans="1:2" x14ac:dyDescent="0.35">
      <c r="A1905" s="34">
        <v>23121613</v>
      </c>
      <c r="B1905" s="35" t="s">
        <v>4903</v>
      </c>
    </row>
    <row r="1906" spans="1:2" x14ac:dyDescent="0.35">
      <c r="A1906" s="34">
        <v>23121614</v>
      </c>
      <c r="B1906" s="35" t="s">
        <v>16458</v>
      </c>
    </row>
    <row r="1907" spans="1:2" x14ac:dyDescent="0.35">
      <c r="A1907" s="34">
        <v>23121615</v>
      </c>
      <c r="B1907" s="35" t="s">
        <v>18469</v>
      </c>
    </row>
    <row r="1908" spans="1:2" x14ac:dyDescent="0.35">
      <c r="A1908" s="34">
        <v>23131501</v>
      </c>
      <c r="B1908" s="35" t="s">
        <v>3731</v>
      </c>
    </row>
    <row r="1909" spans="1:2" x14ac:dyDescent="0.35">
      <c r="A1909" s="34">
        <v>23131502</v>
      </c>
      <c r="B1909" s="35" t="s">
        <v>182</v>
      </c>
    </row>
    <row r="1910" spans="1:2" x14ac:dyDescent="0.35">
      <c r="A1910" s="34">
        <v>23131503</v>
      </c>
      <c r="B1910" s="35" t="s">
        <v>3267</v>
      </c>
    </row>
    <row r="1911" spans="1:2" x14ac:dyDescent="0.35">
      <c r="A1911" s="34">
        <v>23131504</v>
      </c>
      <c r="B1911" s="35" t="s">
        <v>10886</v>
      </c>
    </row>
    <row r="1912" spans="1:2" x14ac:dyDescent="0.35">
      <c r="A1912" s="34">
        <v>23131505</v>
      </c>
      <c r="B1912" s="35" t="s">
        <v>14143</v>
      </c>
    </row>
    <row r="1913" spans="1:2" x14ac:dyDescent="0.35">
      <c r="A1913" s="34">
        <v>23131506</v>
      </c>
      <c r="B1913" s="35" t="s">
        <v>7076</v>
      </c>
    </row>
    <row r="1914" spans="1:2" x14ac:dyDescent="0.35">
      <c r="A1914" s="34">
        <v>23131507</v>
      </c>
      <c r="B1914" s="35" t="s">
        <v>9942</v>
      </c>
    </row>
    <row r="1915" spans="1:2" x14ac:dyDescent="0.35">
      <c r="A1915" s="34">
        <v>23131508</v>
      </c>
      <c r="B1915" s="35" t="s">
        <v>18791</v>
      </c>
    </row>
    <row r="1916" spans="1:2" x14ac:dyDescent="0.35">
      <c r="A1916" s="34">
        <v>23131509</v>
      </c>
      <c r="B1916" s="35" t="s">
        <v>6513</v>
      </c>
    </row>
    <row r="1917" spans="1:2" x14ac:dyDescent="0.35">
      <c r="A1917" s="34">
        <v>23131510</v>
      </c>
      <c r="B1917" s="35" t="s">
        <v>17770</v>
      </c>
    </row>
    <row r="1918" spans="1:2" x14ac:dyDescent="0.35">
      <c r="A1918" s="34">
        <v>23131511</v>
      </c>
      <c r="B1918" s="35" t="s">
        <v>15686</v>
      </c>
    </row>
    <row r="1919" spans="1:2" x14ac:dyDescent="0.35">
      <c r="A1919" s="34">
        <v>23131512</v>
      </c>
      <c r="B1919" s="35" t="s">
        <v>7347</v>
      </c>
    </row>
    <row r="1920" spans="1:2" x14ac:dyDescent="0.35">
      <c r="A1920" s="34">
        <v>23131513</v>
      </c>
      <c r="B1920" s="35" t="s">
        <v>19408</v>
      </c>
    </row>
    <row r="1921" spans="1:2" x14ac:dyDescent="0.35">
      <c r="A1921" s="34">
        <v>23131514</v>
      </c>
      <c r="B1921" s="35" t="s">
        <v>7825</v>
      </c>
    </row>
    <row r="1922" spans="1:2" x14ac:dyDescent="0.35">
      <c r="A1922" s="34">
        <v>23131515</v>
      </c>
      <c r="B1922" s="35" t="s">
        <v>4678</v>
      </c>
    </row>
    <row r="1923" spans="1:2" x14ac:dyDescent="0.35">
      <c r="A1923" s="34">
        <v>23131601</v>
      </c>
      <c r="B1923" s="35" t="s">
        <v>17942</v>
      </c>
    </row>
    <row r="1924" spans="1:2" x14ac:dyDescent="0.35">
      <c r="A1924" s="34">
        <v>23131602</v>
      </c>
      <c r="B1924" s="35" t="s">
        <v>10144</v>
      </c>
    </row>
    <row r="1925" spans="1:2" x14ac:dyDescent="0.35">
      <c r="A1925" s="34">
        <v>23131603</v>
      </c>
      <c r="B1925" s="35" t="s">
        <v>9863</v>
      </c>
    </row>
    <row r="1926" spans="1:2" x14ac:dyDescent="0.35">
      <c r="A1926" s="34">
        <v>23131604</v>
      </c>
      <c r="B1926" s="35" t="s">
        <v>16414</v>
      </c>
    </row>
    <row r="1927" spans="1:2" x14ac:dyDescent="0.35">
      <c r="A1927" s="34">
        <v>23131701</v>
      </c>
      <c r="B1927" s="35" t="s">
        <v>11417</v>
      </c>
    </row>
    <row r="1928" spans="1:2" x14ac:dyDescent="0.35">
      <c r="A1928" s="34">
        <v>23131702</v>
      </c>
      <c r="B1928" s="35" t="s">
        <v>15214</v>
      </c>
    </row>
    <row r="1929" spans="1:2" x14ac:dyDescent="0.35">
      <c r="A1929" s="34">
        <v>23131703</v>
      </c>
      <c r="B1929" s="35" t="s">
        <v>887</v>
      </c>
    </row>
    <row r="1930" spans="1:2" x14ac:dyDescent="0.35">
      <c r="A1930" s="34">
        <v>23131704</v>
      </c>
      <c r="B1930" s="35" t="s">
        <v>5098</v>
      </c>
    </row>
    <row r="1931" spans="1:2" x14ac:dyDescent="0.35">
      <c r="A1931" s="34">
        <v>23141601</v>
      </c>
      <c r="B1931" s="35" t="s">
        <v>16904</v>
      </c>
    </row>
    <row r="1932" spans="1:2" x14ac:dyDescent="0.35">
      <c r="A1932" s="34">
        <v>23141602</v>
      </c>
      <c r="B1932" s="35" t="s">
        <v>17081</v>
      </c>
    </row>
    <row r="1933" spans="1:2" x14ac:dyDescent="0.35">
      <c r="A1933" s="34">
        <v>23141603</v>
      </c>
      <c r="B1933" s="35" t="s">
        <v>9114</v>
      </c>
    </row>
    <row r="1934" spans="1:2" x14ac:dyDescent="0.35">
      <c r="A1934" s="34">
        <v>23141604</v>
      </c>
      <c r="B1934" s="35" t="s">
        <v>8267</v>
      </c>
    </row>
    <row r="1935" spans="1:2" x14ac:dyDescent="0.35">
      <c r="A1935" s="34">
        <v>23141605</v>
      </c>
      <c r="B1935" s="35" t="s">
        <v>15608</v>
      </c>
    </row>
    <row r="1936" spans="1:2" x14ac:dyDescent="0.35">
      <c r="A1936" s="34">
        <v>23141701</v>
      </c>
      <c r="B1936" s="35" t="s">
        <v>13271</v>
      </c>
    </row>
    <row r="1937" spans="1:2" x14ac:dyDescent="0.35">
      <c r="A1937" s="34">
        <v>23141702</v>
      </c>
      <c r="B1937" s="35" t="s">
        <v>10303</v>
      </c>
    </row>
    <row r="1938" spans="1:2" x14ac:dyDescent="0.35">
      <c r="A1938" s="34">
        <v>23141703</v>
      </c>
      <c r="B1938" s="35" t="s">
        <v>1493</v>
      </c>
    </row>
    <row r="1939" spans="1:2" x14ac:dyDescent="0.35">
      <c r="A1939" s="34">
        <v>23141704</v>
      </c>
      <c r="B1939" s="35" t="s">
        <v>1534</v>
      </c>
    </row>
    <row r="1940" spans="1:2" x14ac:dyDescent="0.35">
      <c r="A1940" s="34">
        <v>23151501</v>
      </c>
      <c r="B1940" s="35" t="s">
        <v>19004</v>
      </c>
    </row>
    <row r="1941" spans="1:2" x14ac:dyDescent="0.35">
      <c r="A1941" s="34">
        <v>23151502</v>
      </c>
      <c r="B1941" s="35" t="s">
        <v>9696</v>
      </c>
    </row>
    <row r="1942" spans="1:2" x14ac:dyDescent="0.35">
      <c r="A1942" s="34">
        <v>23151503</v>
      </c>
      <c r="B1942" s="35" t="s">
        <v>702</v>
      </c>
    </row>
    <row r="1943" spans="1:2" x14ac:dyDescent="0.35">
      <c r="A1943" s="34">
        <v>23151504</v>
      </c>
      <c r="B1943" s="35" t="s">
        <v>19257</v>
      </c>
    </row>
    <row r="1944" spans="1:2" x14ac:dyDescent="0.35">
      <c r="A1944" s="34">
        <v>23151506</v>
      </c>
      <c r="B1944" s="35" t="s">
        <v>6269</v>
      </c>
    </row>
    <row r="1945" spans="1:2" x14ac:dyDescent="0.35">
      <c r="A1945" s="34">
        <v>23151507</v>
      </c>
      <c r="B1945" s="35" t="s">
        <v>17519</v>
      </c>
    </row>
    <row r="1946" spans="1:2" x14ac:dyDescent="0.35">
      <c r="A1946" s="34">
        <v>23151508</v>
      </c>
      <c r="B1946" s="35" t="s">
        <v>10814</v>
      </c>
    </row>
    <row r="1947" spans="1:2" x14ac:dyDescent="0.35">
      <c r="A1947" s="34">
        <v>23151509</v>
      </c>
      <c r="B1947" s="35" t="s">
        <v>4416</v>
      </c>
    </row>
    <row r="1948" spans="1:2" x14ac:dyDescent="0.35">
      <c r="A1948" s="34">
        <v>23151510</v>
      </c>
      <c r="B1948" s="35" t="s">
        <v>5246</v>
      </c>
    </row>
    <row r="1949" spans="1:2" x14ac:dyDescent="0.35">
      <c r="A1949" s="34">
        <v>23151511</v>
      </c>
      <c r="B1949" s="35" t="s">
        <v>3199</v>
      </c>
    </row>
    <row r="1950" spans="1:2" x14ac:dyDescent="0.35">
      <c r="A1950" s="34">
        <v>23151512</v>
      </c>
      <c r="B1950" s="35" t="s">
        <v>18260</v>
      </c>
    </row>
    <row r="1951" spans="1:2" x14ac:dyDescent="0.35">
      <c r="A1951" s="34">
        <v>23151513</v>
      </c>
      <c r="B1951" s="35" t="s">
        <v>186</v>
      </c>
    </row>
    <row r="1952" spans="1:2" x14ac:dyDescent="0.35">
      <c r="A1952" s="34">
        <v>23151514</v>
      </c>
      <c r="B1952" s="35" t="s">
        <v>17935</v>
      </c>
    </row>
    <row r="1953" spans="1:2" x14ac:dyDescent="0.35">
      <c r="A1953" s="34">
        <v>23151515</v>
      </c>
      <c r="B1953" s="35" t="s">
        <v>17251</v>
      </c>
    </row>
    <row r="1954" spans="1:2" x14ac:dyDescent="0.35">
      <c r="A1954" s="34">
        <v>23151516</v>
      </c>
      <c r="B1954" s="35" t="s">
        <v>2556</v>
      </c>
    </row>
    <row r="1955" spans="1:2" x14ac:dyDescent="0.35">
      <c r="A1955" s="34">
        <v>23151601</v>
      </c>
      <c r="B1955" s="35" t="s">
        <v>13663</v>
      </c>
    </row>
    <row r="1956" spans="1:2" x14ac:dyDescent="0.35">
      <c r="A1956" s="34">
        <v>23151602</v>
      </c>
      <c r="B1956" s="35" t="s">
        <v>610</v>
      </c>
    </row>
    <row r="1957" spans="1:2" x14ac:dyDescent="0.35">
      <c r="A1957" s="34">
        <v>23151603</v>
      </c>
      <c r="B1957" s="35" t="s">
        <v>18392</v>
      </c>
    </row>
    <row r="1958" spans="1:2" x14ac:dyDescent="0.35">
      <c r="A1958" s="34">
        <v>23151604</v>
      </c>
      <c r="B1958" s="35" t="s">
        <v>1661</v>
      </c>
    </row>
    <row r="1959" spans="1:2" x14ac:dyDescent="0.35">
      <c r="A1959" s="34">
        <v>23151606</v>
      </c>
      <c r="B1959" s="35" t="s">
        <v>8926</v>
      </c>
    </row>
    <row r="1960" spans="1:2" x14ac:dyDescent="0.35">
      <c r="A1960" s="34">
        <v>23151607</v>
      </c>
      <c r="B1960" s="35" t="s">
        <v>8851</v>
      </c>
    </row>
    <row r="1961" spans="1:2" x14ac:dyDescent="0.35">
      <c r="A1961" s="34">
        <v>23151608</v>
      </c>
      <c r="B1961" s="35" t="s">
        <v>15983</v>
      </c>
    </row>
    <row r="1962" spans="1:2" x14ac:dyDescent="0.35">
      <c r="A1962" s="34">
        <v>23151701</v>
      </c>
      <c r="B1962" s="35" t="s">
        <v>12864</v>
      </c>
    </row>
    <row r="1963" spans="1:2" x14ac:dyDescent="0.35">
      <c r="A1963" s="34">
        <v>23151702</v>
      </c>
      <c r="B1963" s="35" t="s">
        <v>14659</v>
      </c>
    </row>
    <row r="1964" spans="1:2" x14ac:dyDescent="0.35">
      <c r="A1964" s="34">
        <v>23151703</v>
      </c>
      <c r="B1964" s="35" t="s">
        <v>1126</v>
      </c>
    </row>
    <row r="1965" spans="1:2" x14ac:dyDescent="0.35">
      <c r="A1965" s="34">
        <v>23151704</v>
      </c>
      <c r="B1965" s="35" t="s">
        <v>2120</v>
      </c>
    </row>
    <row r="1966" spans="1:2" x14ac:dyDescent="0.35">
      <c r="A1966" s="34">
        <v>23151705</v>
      </c>
      <c r="B1966" s="35" t="s">
        <v>8787</v>
      </c>
    </row>
    <row r="1967" spans="1:2" x14ac:dyDescent="0.35">
      <c r="A1967" s="34">
        <v>23151801</v>
      </c>
      <c r="B1967" s="35" t="s">
        <v>8114</v>
      </c>
    </row>
    <row r="1968" spans="1:2" x14ac:dyDescent="0.35">
      <c r="A1968" s="34">
        <v>23151802</v>
      </c>
      <c r="B1968" s="35" t="s">
        <v>14390</v>
      </c>
    </row>
    <row r="1969" spans="1:2" x14ac:dyDescent="0.35">
      <c r="A1969" s="34">
        <v>23151803</v>
      </c>
      <c r="B1969" s="35" t="s">
        <v>16646</v>
      </c>
    </row>
    <row r="1970" spans="1:2" x14ac:dyDescent="0.35">
      <c r="A1970" s="34">
        <v>23151804</v>
      </c>
      <c r="B1970" s="35" t="s">
        <v>12493</v>
      </c>
    </row>
    <row r="1971" spans="1:2" x14ac:dyDescent="0.35">
      <c r="A1971" s="34">
        <v>23151805</v>
      </c>
      <c r="B1971" s="35" t="s">
        <v>11083</v>
      </c>
    </row>
    <row r="1972" spans="1:2" x14ac:dyDescent="0.35">
      <c r="A1972" s="34">
        <v>23151806</v>
      </c>
      <c r="B1972" s="35" t="s">
        <v>8046</v>
      </c>
    </row>
    <row r="1973" spans="1:2" x14ac:dyDescent="0.35">
      <c r="A1973" s="34">
        <v>23151807</v>
      </c>
      <c r="B1973" s="35" t="s">
        <v>9560</v>
      </c>
    </row>
    <row r="1974" spans="1:2" x14ac:dyDescent="0.35">
      <c r="A1974" s="34">
        <v>23151808</v>
      </c>
      <c r="B1974" s="35" t="s">
        <v>7769</v>
      </c>
    </row>
    <row r="1975" spans="1:2" x14ac:dyDescent="0.35">
      <c r="A1975" s="34">
        <v>23151809</v>
      </c>
      <c r="B1975" s="35" t="s">
        <v>4641</v>
      </c>
    </row>
    <row r="1976" spans="1:2" x14ac:dyDescent="0.35">
      <c r="A1976" s="34">
        <v>23151810</v>
      </c>
      <c r="B1976" s="35" t="s">
        <v>6318</v>
      </c>
    </row>
    <row r="1977" spans="1:2" x14ac:dyDescent="0.35">
      <c r="A1977" s="34">
        <v>23151811</v>
      </c>
      <c r="B1977" s="35" t="s">
        <v>11148</v>
      </c>
    </row>
    <row r="1978" spans="1:2" x14ac:dyDescent="0.35">
      <c r="A1978" s="34">
        <v>23151812</v>
      </c>
      <c r="B1978" s="35" t="s">
        <v>7056</v>
      </c>
    </row>
    <row r="1979" spans="1:2" x14ac:dyDescent="0.35">
      <c r="A1979" s="34">
        <v>23151813</v>
      </c>
      <c r="B1979" s="35" t="s">
        <v>13006</v>
      </c>
    </row>
    <row r="1980" spans="1:2" x14ac:dyDescent="0.35">
      <c r="A1980" s="34">
        <v>23151814</v>
      </c>
      <c r="B1980" s="35" t="s">
        <v>15674</v>
      </c>
    </row>
    <row r="1981" spans="1:2" x14ac:dyDescent="0.35">
      <c r="A1981" s="34">
        <v>23151816</v>
      </c>
      <c r="B1981" s="35" t="s">
        <v>15089</v>
      </c>
    </row>
    <row r="1982" spans="1:2" x14ac:dyDescent="0.35">
      <c r="A1982" s="34">
        <v>23151817</v>
      </c>
      <c r="B1982" s="35" t="s">
        <v>15030</v>
      </c>
    </row>
    <row r="1983" spans="1:2" x14ac:dyDescent="0.35">
      <c r="A1983" s="34">
        <v>23151818</v>
      </c>
      <c r="B1983" s="35" t="s">
        <v>3448</v>
      </c>
    </row>
    <row r="1984" spans="1:2" x14ac:dyDescent="0.35">
      <c r="A1984" s="34">
        <v>23151819</v>
      </c>
      <c r="B1984" s="35" t="s">
        <v>17974</v>
      </c>
    </row>
    <row r="1985" spans="1:2" x14ac:dyDescent="0.35">
      <c r="A1985" s="34">
        <v>23151820</v>
      </c>
      <c r="B1985" s="35" t="s">
        <v>16269</v>
      </c>
    </row>
    <row r="1986" spans="1:2" x14ac:dyDescent="0.35">
      <c r="A1986" s="34">
        <v>23151821</v>
      </c>
      <c r="B1986" s="35" t="s">
        <v>4731</v>
      </c>
    </row>
    <row r="1987" spans="1:2" x14ac:dyDescent="0.35">
      <c r="A1987" s="34">
        <v>23151822</v>
      </c>
      <c r="B1987" s="35" t="s">
        <v>12387</v>
      </c>
    </row>
    <row r="1988" spans="1:2" x14ac:dyDescent="0.35">
      <c r="A1988" s="34">
        <v>23151823</v>
      </c>
      <c r="B1988" s="35" t="s">
        <v>13729</v>
      </c>
    </row>
    <row r="1989" spans="1:2" x14ac:dyDescent="0.35">
      <c r="A1989" s="34">
        <v>23151901</v>
      </c>
      <c r="B1989" s="35" t="s">
        <v>12475</v>
      </c>
    </row>
    <row r="1990" spans="1:2" x14ac:dyDescent="0.35">
      <c r="A1990" s="34">
        <v>23151902</v>
      </c>
      <c r="B1990" s="35" t="s">
        <v>17155</v>
      </c>
    </row>
    <row r="1991" spans="1:2" x14ac:dyDescent="0.35">
      <c r="A1991" s="34">
        <v>23151903</v>
      </c>
      <c r="B1991" s="35" t="s">
        <v>9557</v>
      </c>
    </row>
    <row r="1992" spans="1:2" x14ac:dyDescent="0.35">
      <c r="A1992" s="34">
        <v>23151904</v>
      </c>
      <c r="B1992" s="35" t="s">
        <v>7437</v>
      </c>
    </row>
    <row r="1993" spans="1:2" x14ac:dyDescent="0.35">
      <c r="A1993" s="34">
        <v>23151905</v>
      </c>
      <c r="B1993" s="35" t="s">
        <v>12457</v>
      </c>
    </row>
    <row r="1994" spans="1:2" x14ac:dyDescent="0.35">
      <c r="A1994" s="34">
        <v>23151906</v>
      </c>
      <c r="B1994" s="35" t="s">
        <v>1832</v>
      </c>
    </row>
    <row r="1995" spans="1:2" x14ac:dyDescent="0.35">
      <c r="A1995" s="34">
        <v>23152001</v>
      </c>
      <c r="B1995" s="35" t="s">
        <v>5664</v>
      </c>
    </row>
    <row r="1996" spans="1:2" x14ac:dyDescent="0.35">
      <c r="A1996" s="34">
        <v>23152002</v>
      </c>
      <c r="B1996" s="35" t="s">
        <v>17596</v>
      </c>
    </row>
    <row r="1997" spans="1:2" x14ac:dyDescent="0.35">
      <c r="A1997" s="34">
        <v>23152101</v>
      </c>
      <c r="B1997" s="35" t="s">
        <v>11692</v>
      </c>
    </row>
    <row r="1998" spans="1:2" x14ac:dyDescent="0.35">
      <c r="A1998" s="34">
        <v>23152102</v>
      </c>
      <c r="B1998" s="35" t="s">
        <v>5953</v>
      </c>
    </row>
    <row r="1999" spans="1:2" x14ac:dyDescent="0.35">
      <c r="A1999" s="34">
        <v>23152103</v>
      </c>
      <c r="B1999" s="35" t="s">
        <v>1429</v>
      </c>
    </row>
    <row r="2000" spans="1:2" x14ac:dyDescent="0.35">
      <c r="A2000" s="34">
        <v>23152104</v>
      </c>
      <c r="B2000" s="35" t="s">
        <v>5217</v>
      </c>
    </row>
    <row r="2001" spans="1:2" x14ac:dyDescent="0.35">
      <c r="A2001" s="34">
        <v>23152201</v>
      </c>
      <c r="B2001" s="35" t="s">
        <v>10295</v>
      </c>
    </row>
    <row r="2002" spans="1:2" x14ac:dyDescent="0.35">
      <c r="A2002" s="34">
        <v>23152202</v>
      </c>
      <c r="B2002" s="35" t="s">
        <v>10593</v>
      </c>
    </row>
    <row r="2003" spans="1:2" x14ac:dyDescent="0.35">
      <c r="A2003" s="34">
        <v>23152203</v>
      </c>
      <c r="B2003" s="35" t="s">
        <v>6540</v>
      </c>
    </row>
    <row r="2004" spans="1:2" x14ac:dyDescent="0.35">
      <c r="A2004" s="34">
        <v>23152204</v>
      </c>
      <c r="B2004" s="35" t="s">
        <v>11518</v>
      </c>
    </row>
    <row r="2005" spans="1:2" x14ac:dyDescent="0.35">
      <c r="A2005" s="34">
        <v>23152205</v>
      </c>
      <c r="B2005" s="35" t="s">
        <v>1146</v>
      </c>
    </row>
    <row r="2006" spans="1:2" x14ac:dyDescent="0.35">
      <c r="A2006" s="34">
        <v>23152206</v>
      </c>
      <c r="B2006" s="35" t="s">
        <v>1207</v>
      </c>
    </row>
    <row r="2007" spans="1:2" x14ac:dyDescent="0.35">
      <c r="A2007" s="34">
        <v>23152901</v>
      </c>
      <c r="B2007" s="35" t="s">
        <v>6812</v>
      </c>
    </row>
    <row r="2008" spans="1:2" x14ac:dyDescent="0.35">
      <c r="A2008" s="34">
        <v>23152902</v>
      </c>
      <c r="B2008" s="35" t="s">
        <v>15969</v>
      </c>
    </row>
    <row r="2009" spans="1:2" x14ac:dyDescent="0.35">
      <c r="A2009" s="34">
        <v>23152903</v>
      </c>
      <c r="B2009" s="35" t="s">
        <v>19405</v>
      </c>
    </row>
    <row r="2010" spans="1:2" x14ac:dyDescent="0.35">
      <c r="A2010" s="34">
        <v>23152904</v>
      </c>
      <c r="B2010" s="35" t="s">
        <v>1372</v>
      </c>
    </row>
    <row r="2011" spans="1:2" x14ac:dyDescent="0.35">
      <c r="A2011" s="34">
        <v>23152905</v>
      </c>
      <c r="B2011" s="35" t="s">
        <v>17050</v>
      </c>
    </row>
    <row r="2012" spans="1:2" x14ac:dyDescent="0.35">
      <c r="A2012" s="34">
        <v>23152906</v>
      </c>
      <c r="B2012" s="35" t="s">
        <v>18268</v>
      </c>
    </row>
    <row r="2013" spans="1:2" x14ac:dyDescent="0.35">
      <c r="A2013" s="34">
        <v>23153001</v>
      </c>
      <c r="B2013" s="35" t="s">
        <v>7416</v>
      </c>
    </row>
    <row r="2014" spans="1:2" x14ac:dyDescent="0.35">
      <c r="A2014" s="34">
        <v>23153002</v>
      </c>
      <c r="B2014" s="35" t="s">
        <v>787</v>
      </c>
    </row>
    <row r="2015" spans="1:2" x14ac:dyDescent="0.35">
      <c r="A2015" s="34">
        <v>23153003</v>
      </c>
      <c r="B2015" s="35" t="s">
        <v>4787</v>
      </c>
    </row>
    <row r="2016" spans="1:2" x14ac:dyDescent="0.35">
      <c r="A2016" s="34">
        <v>23153004</v>
      </c>
      <c r="B2016" s="35" t="s">
        <v>7340</v>
      </c>
    </row>
    <row r="2017" spans="1:2" x14ac:dyDescent="0.35">
      <c r="A2017" s="34">
        <v>23153005</v>
      </c>
      <c r="B2017" s="35" t="s">
        <v>6720</v>
      </c>
    </row>
    <row r="2018" spans="1:2" x14ac:dyDescent="0.35">
      <c r="A2018" s="34">
        <v>23153006</v>
      </c>
      <c r="B2018" s="35" t="s">
        <v>3095</v>
      </c>
    </row>
    <row r="2019" spans="1:2" x14ac:dyDescent="0.35">
      <c r="A2019" s="34">
        <v>23153007</v>
      </c>
      <c r="B2019" s="35" t="s">
        <v>12521</v>
      </c>
    </row>
    <row r="2020" spans="1:2" x14ac:dyDescent="0.35">
      <c r="A2020" s="34">
        <v>23153008</v>
      </c>
      <c r="B2020" s="35" t="s">
        <v>18534</v>
      </c>
    </row>
    <row r="2021" spans="1:2" x14ac:dyDescent="0.35">
      <c r="A2021" s="34">
        <v>23153009</v>
      </c>
      <c r="B2021" s="35" t="s">
        <v>2277</v>
      </c>
    </row>
    <row r="2022" spans="1:2" x14ac:dyDescent="0.35">
      <c r="A2022" s="34">
        <v>23153010</v>
      </c>
      <c r="B2022" s="35" t="s">
        <v>1102</v>
      </c>
    </row>
    <row r="2023" spans="1:2" x14ac:dyDescent="0.35">
      <c r="A2023" s="34">
        <v>23153011</v>
      </c>
      <c r="B2023" s="35" t="s">
        <v>9493</v>
      </c>
    </row>
    <row r="2024" spans="1:2" x14ac:dyDescent="0.35">
      <c r="A2024" s="34">
        <v>23153012</v>
      </c>
      <c r="B2024" s="35" t="s">
        <v>11329</v>
      </c>
    </row>
    <row r="2025" spans="1:2" x14ac:dyDescent="0.35">
      <c r="A2025" s="34">
        <v>23153013</v>
      </c>
      <c r="B2025" s="35" t="s">
        <v>6037</v>
      </c>
    </row>
    <row r="2026" spans="1:2" x14ac:dyDescent="0.35">
      <c r="A2026" s="34">
        <v>23153014</v>
      </c>
      <c r="B2026" s="35" t="s">
        <v>3600</v>
      </c>
    </row>
    <row r="2027" spans="1:2" x14ac:dyDescent="0.35">
      <c r="A2027" s="34">
        <v>23153015</v>
      </c>
      <c r="B2027" s="35" t="s">
        <v>6637</v>
      </c>
    </row>
    <row r="2028" spans="1:2" x14ac:dyDescent="0.35">
      <c r="A2028" s="34">
        <v>23153016</v>
      </c>
      <c r="B2028" s="35" t="s">
        <v>8473</v>
      </c>
    </row>
    <row r="2029" spans="1:2" x14ac:dyDescent="0.35">
      <c r="A2029" s="34">
        <v>23153017</v>
      </c>
      <c r="B2029" s="35" t="s">
        <v>11337</v>
      </c>
    </row>
    <row r="2030" spans="1:2" x14ac:dyDescent="0.35">
      <c r="A2030" s="34">
        <v>23153018</v>
      </c>
      <c r="B2030" s="35" t="s">
        <v>7951</v>
      </c>
    </row>
    <row r="2031" spans="1:2" x14ac:dyDescent="0.35">
      <c r="A2031" s="34">
        <v>23153019</v>
      </c>
      <c r="B2031" s="35" t="s">
        <v>792</v>
      </c>
    </row>
    <row r="2032" spans="1:2" x14ac:dyDescent="0.35">
      <c r="A2032" s="34">
        <v>23153020</v>
      </c>
      <c r="B2032" s="35" t="s">
        <v>679</v>
      </c>
    </row>
    <row r="2033" spans="1:2" x14ac:dyDescent="0.35">
      <c r="A2033" s="34">
        <v>23153021</v>
      </c>
      <c r="B2033" s="35" t="s">
        <v>14951</v>
      </c>
    </row>
    <row r="2034" spans="1:2" x14ac:dyDescent="0.35">
      <c r="A2034" s="34">
        <v>23153022</v>
      </c>
      <c r="B2034" s="35" t="s">
        <v>17850</v>
      </c>
    </row>
    <row r="2035" spans="1:2" x14ac:dyDescent="0.35">
      <c r="A2035" s="34">
        <v>23153023</v>
      </c>
      <c r="B2035" s="35" t="s">
        <v>5051</v>
      </c>
    </row>
    <row r="2036" spans="1:2" x14ac:dyDescent="0.35">
      <c r="A2036" s="34">
        <v>23153024</v>
      </c>
      <c r="B2036" s="35" t="s">
        <v>15789</v>
      </c>
    </row>
    <row r="2037" spans="1:2" x14ac:dyDescent="0.35">
      <c r="A2037" s="34">
        <v>23153025</v>
      </c>
      <c r="B2037" s="35" t="s">
        <v>15781</v>
      </c>
    </row>
    <row r="2038" spans="1:2" x14ac:dyDescent="0.35">
      <c r="A2038" s="34">
        <v>23153026</v>
      </c>
      <c r="B2038" s="35" t="s">
        <v>11112</v>
      </c>
    </row>
    <row r="2039" spans="1:2" x14ac:dyDescent="0.35">
      <c r="A2039" s="34">
        <v>23153027</v>
      </c>
      <c r="B2039" s="35" t="s">
        <v>5958</v>
      </c>
    </row>
    <row r="2040" spans="1:2" x14ac:dyDescent="0.35">
      <c r="A2040" s="34">
        <v>23153028</v>
      </c>
      <c r="B2040" s="35" t="s">
        <v>921</v>
      </c>
    </row>
    <row r="2041" spans="1:2" x14ac:dyDescent="0.35">
      <c r="A2041" s="34">
        <v>23153029</v>
      </c>
      <c r="B2041" s="35" t="s">
        <v>763</v>
      </c>
    </row>
    <row r="2042" spans="1:2" x14ac:dyDescent="0.35">
      <c r="A2042" s="34">
        <v>23153030</v>
      </c>
      <c r="B2042" s="35" t="s">
        <v>783</v>
      </c>
    </row>
    <row r="2043" spans="1:2" x14ac:dyDescent="0.35">
      <c r="A2043" s="34">
        <v>23153031</v>
      </c>
      <c r="B2043" s="35" t="s">
        <v>3654</v>
      </c>
    </row>
    <row r="2044" spans="1:2" x14ac:dyDescent="0.35">
      <c r="A2044" s="34">
        <v>23153032</v>
      </c>
      <c r="B2044" s="35" t="s">
        <v>5325</v>
      </c>
    </row>
    <row r="2045" spans="1:2" x14ac:dyDescent="0.35">
      <c r="A2045" s="34">
        <v>23153033</v>
      </c>
      <c r="B2045" s="35" t="s">
        <v>6733</v>
      </c>
    </row>
    <row r="2046" spans="1:2" x14ac:dyDescent="0.35">
      <c r="A2046" s="34">
        <v>23153034</v>
      </c>
      <c r="B2046" s="35" t="s">
        <v>18059</v>
      </c>
    </row>
    <row r="2047" spans="1:2" x14ac:dyDescent="0.35">
      <c r="A2047" s="34">
        <v>23153035</v>
      </c>
      <c r="B2047" s="35" t="s">
        <v>4521</v>
      </c>
    </row>
    <row r="2048" spans="1:2" x14ac:dyDescent="0.35">
      <c r="A2048" s="34">
        <v>23153036</v>
      </c>
      <c r="B2048" s="35" t="s">
        <v>14539</v>
      </c>
    </row>
    <row r="2049" spans="1:2" x14ac:dyDescent="0.35">
      <c r="A2049" s="34">
        <v>23153037</v>
      </c>
      <c r="B2049" s="35" t="s">
        <v>3153</v>
      </c>
    </row>
    <row r="2050" spans="1:2" x14ac:dyDescent="0.35">
      <c r="A2050" s="34">
        <v>23153101</v>
      </c>
      <c r="B2050" s="35" t="s">
        <v>10226</v>
      </c>
    </row>
    <row r="2051" spans="1:2" x14ac:dyDescent="0.35">
      <c r="A2051" s="34">
        <v>23153102</v>
      </c>
      <c r="B2051" s="35" t="s">
        <v>1066</v>
      </c>
    </row>
    <row r="2052" spans="1:2" x14ac:dyDescent="0.35">
      <c r="A2052" s="34">
        <v>23153103</v>
      </c>
      <c r="B2052" s="35" t="s">
        <v>19320</v>
      </c>
    </row>
    <row r="2053" spans="1:2" x14ac:dyDescent="0.35">
      <c r="A2053" s="34">
        <v>23153129</v>
      </c>
      <c r="B2053" s="35" t="s">
        <v>14021</v>
      </c>
    </row>
    <row r="2054" spans="1:2" x14ac:dyDescent="0.35">
      <c r="A2054" s="34">
        <v>23153130</v>
      </c>
      <c r="B2054" s="35" t="s">
        <v>11010</v>
      </c>
    </row>
    <row r="2055" spans="1:2" x14ac:dyDescent="0.35">
      <c r="A2055" s="34">
        <v>23153131</v>
      </c>
      <c r="B2055" s="35" t="s">
        <v>601</v>
      </c>
    </row>
    <row r="2056" spans="1:2" x14ac:dyDescent="0.35">
      <c r="A2056" s="34">
        <v>23153132</v>
      </c>
      <c r="B2056" s="35" t="s">
        <v>1112</v>
      </c>
    </row>
    <row r="2057" spans="1:2" x14ac:dyDescent="0.35">
      <c r="A2057" s="34">
        <v>23153133</v>
      </c>
      <c r="B2057" s="35" t="s">
        <v>19398</v>
      </c>
    </row>
    <row r="2058" spans="1:2" x14ac:dyDescent="0.35">
      <c r="A2058" s="34">
        <v>23153134</v>
      </c>
      <c r="B2058" s="35" t="s">
        <v>500</v>
      </c>
    </row>
    <row r="2059" spans="1:2" x14ac:dyDescent="0.35">
      <c r="A2059" s="34">
        <v>23153135</v>
      </c>
      <c r="B2059" s="35" t="s">
        <v>17215</v>
      </c>
    </row>
    <row r="2060" spans="1:2" x14ac:dyDescent="0.35">
      <c r="A2060" s="34">
        <v>23153136</v>
      </c>
      <c r="B2060" s="35" t="s">
        <v>7740</v>
      </c>
    </row>
    <row r="2061" spans="1:2" x14ac:dyDescent="0.35">
      <c r="A2061" s="34">
        <v>23153137</v>
      </c>
      <c r="B2061" s="35" t="s">
        <v>4880</v>
      </c>
    </row>
    <row r="2062" spans="1:2" x14ac:dyDescent="0.35">
      <c r="A2062" s="34">
        <v>23153138</v>
      </c>
      <c r="B2062" s="35" t="s">
        <v>318</v>
      </c>
    </row>
    <row r="2063" spans="1:2" x14ac:dyDescent="0.35">
      <c r="A2063" s="34">
        <v>23153139</v>
      </c>
      <c r="B2063" s="35" t="s">
        <v>15506</v>
      </c>
    </row>
    <row r="2064" spans="1:2" x14ac:dyDescent="0.35">
      <c r="A2064" s="34">
        <v>23153140</v>
      </c>
      <c r="B2064" s="35" t="s">
        <v>11394</v>
      </c>
    </row>
    <row r="2065" spans="1:2" x14ac:dyDescent="0.35">
      <c r="A2065" s="34">
        <v>23153201</v>
      </c>
      <c r="B2065" s="35" t="s">
        <v>10809</v>
      </c>
    </row>
    <row r="2066" spans="1:2" x14ac:dyDescent="0.35">
      <c r="A2066" s="34">
        <v>23153202</v>
      </c>
      <c r="B2066" s="35" t="s">
        <v>12348</v>
      </c>
    </row>
    <row r="2067" spans="1:2" x14ac:dyDescent="0.35">
      <c r="A2067" s="34">
        <v>23153203</v>
      </c>
      <c r="B2067" s="35" t="s">
        <v>19326</v>
      </c>
    </row>
    <row r="2068" spans="1:2" x14ac:dyDescent="0.35">
      <c r="A2068" s="34">
        <v>23153204</v>
      </c>
      <c r="B2068" s="35" t="s">
        <v>9966</v>
      </c>
    </row>
    <row r="2069" spans="1:2" x14ac:dyDescent="0.35">
      <c r="A2069" s="34">
        <v>23153301</v>
      </c>
      <c r="B2069" s="35" t="s">
        <v>18549</v>
      </c>
    </row>
    <row r="2070" spans="1:2" x14ac:dyDescent="0.35">
      <c r="A2070" s="34">
        <v>23153302</v>
      </c>
      <c r="B2070" s="35" t="s">
        <v>4918</v>
      </c>
    </row>
    <row r="2071" spans="1:2" x14ac:dyDescent="0.35">
      <c r="A2071" s="34">
        <v>23153303</v>
      </c>
      <c r="B2071" s="35" t="s">
        <v>8095</v>
      </c>
    </row>
    <row r="2072" spans="1:2" x14ac:dyDescent="0.35">
      <c r="A2072" s="34">
        <v>23153305</v>
      </c>
      <c r="B2072" s="35" t="s">
        <v>3996</v>
      </c>
    </row>
    <row r="2073" spans="1:2" x14ac:dyDescent="0.35">
      <c r="A2073" s="34">
        <v>23153306</v>
      </c>
      <c r="B2073" s="35" t="s">
        <v>7838</v>
      </c>
    </row>
    <row r="2074" spans="1:2" x14ac:dyDescent="0.35">
      <c r="A2074" s="34">
        <v>23153307</v>
      </c>
      <c r="B2074" s="35" t="s">
        <v>15446</v>
      </c>
    </row>
    <row r="2075" spans="1:2" x14ac:dyDescent="0.35">
      <c r="A2075" s="34">
        <v>23153308</v>
      </c>
      <c r="B2075" s="35" t="s">
        <v>14314</v>
      </c>
    </row>
    <row r="2076" spans="1:2" x14ac:dyDescent="0.35">
      <c r="A2076" s="34">
        <v>23153309</v>
      </c>
      <c r="B2076" s="35" t="s">
        <v>287</v>
      </c>
    </row>
    <row r="2077" spans="1:2" x14ac:dyDescent="0.35">
      <c r="A2077" s="34">
        <v>23153310</v>
      </c>
      <c r="B2077" s="35" t="s">
        <v>13943</v>
      </c>
    </row>
    <row r="2078" spans="1:2" x14ac:dyDescent="0.35">
      <c r="A2078" s="34">
        <v>23153311</v>
      </c>
      <c r="B2078" s="35" t="s">
        <v>8052</v>
      </c>
    </row>
    <row r="2079" spans="1:2" x14ac:dyDescent="0.35">
      <c r="A2079" s="34">
        <v>23153312</v>
      </c>
      <c r="B2079" s="35" t="s">
        <v>18051</v>
      </c>
    </row>
    <row r="2080" spans="1:2" x14ac:dyDescent="0.35">
      <c r="A2080" s="34">
        <v>23153313</v>
      </c>
      <c r="B2080" s="35" t="s">
        <v>7164</v>
      </c>
    </row>
    <row r="2081" spans="1:2" x14ac:dyDescent="0.35">
      <c r="A2081" s="34">
        <v>23153401</v>
      </c>
      <c r="B2081" s="35" t="s">
        <v>16415</v>
      </c>
    </row>
    <row r="2082" spans="1:2" x14ac:dyDescent="0.35">
      <c r="A2082" s="34">
        <v>23153402</v>
      </c>
      <c r="B2082" s="35" t="s">
        <v>19536</v>
      </c>
    </row>
    <row r="2083" spans="1:2" x14ac:dyDescent="0.35">
      <c r="A2083" s="34">
        <v>23153403</v>
      </c>
      <c r="B2083" s="35" t="s">
        <v>2159</v>
      </c>
    </row>
    <row r="2084" spans="1:2" x14ac:dyDescent="0.35">
      <c r="A2084" s="34">
        <v>23153404</v>
      </c>
      <c r="B2084" s="35" t="s">
        <v>139</v>
      </c>
    </row>
    <row r="2085" spans="1:2" x14ac:dyDescent="0.35">
      <c r="A2085" s="34">
        <v>23153405</v>
      </c>
      <c r="B2085" s="35" t="s">
        <v>2703</v>
      </c>
    </row>
    <row r="2086" spans="1:2" x14ac:dyDescent="0.35">
      <c r="A2086" s="34">
        <v>23153406</v>
      </c>
      <c r="B2086" s="35" t="s">
        <v>18922</v>
      </c>
    </row>
    <row r="2087" spans="1:2" x14ac:dyDescent="0.35">
      <c r="A2087" s="34">
        <v>23153407</v>
      </c>
      <c r="B2087" s="35" t="s">
        <v>7073</v>
      </c>
    </row>
    <row r="2088" spans="1:2" x14ac:dyDescent="0.35">
      <c r="A2088" s="34">
        <v>23153408</v>
      </c>
      <c r="B2088" s="35" t="s">
        <v>19027</v>
      </c>
    </row>
    <row r="2089" spans="1:2" x14ac:dyDescent="0.35">
      <c r="A2089" s="34">
        <v>23153409</v>
      </c>
      <c r="B2089" s="35" t="s">
        <v>6815</v>
      </c>
    </row>
    <row r="2090" spans="1:2" x14ac:dyDescent="0.35">
      <c r="A2090" s="34">
        <v>23153410</v>
      </c>
      <c r="B2090" s="35" t="s">
        <v>16823</v>
      </c>
    </row>
    <row r="2091" spans="1:2" x14ac:dyDescent="0.35">
      <c r="A2091" s="34">
        <v>23153411</v>
      </c>
      <c r="B2091" s="35" t="s">
        <v>11131</v>
      </c>
    </row>
    <row r="2092" spans="1:2" x14ac:dyDescent="0.35">
      <c r="A2092" s="34">
        <v>23153412</v>
      </c>
      <c r="B2092" s="35" t="s">
        <v>5544</v>
      </c>
    </row>
    <row r="2093" spans="1:2" x14ac:dyDescent="0.35">
      <c r="A2093" s="34">
        <v>23153413</v>
      </c>
      <c r="B2093" s="35" t="s">
        <v>4066</v>
      </c>
    </row>
    <row r="2094" spans="1:2" x14ac:dyDescent="0.35">
      <c r="A2094" s="34">
        <v>23153414</v>
      </c>
      <c r="B2094" s="35" t="s">
        <v>7419</v>
      </c>
    </row>
    <row r="2095" spans="1:2" x14ac:dyDescent="0.35">
      <c r="A2095" s="34">
        <v>23153415</v>
      </c>
      <c r="B2095" s="35" t="s">
        <v>18498</v>
      </c>
    </row>
    <row r="2096" spans="1:2" x14ac:dyDescent="0.35">
      <c r="A2096" s="34">
        <v>23153416</v>
      </c>
      <c r="B2096" s="35" t="s">
        <v>6158</v>
      </c>
    </row>
    <row r="2097" spans="1:2" x14ac:dyDescent="0.35">
      <c r="A2097" s="34">
        <v>23153417</v>
      </c>
      <c r="B2097" s="35" t="s">
        <v>5543</v>
      </c>
    </row>
    <row r="2098" spans="1:2" x14ac:dyDescent="0.35">
      <c r="A2098" s="34">
        <v>23153501</v>
      </c>
      <c r="B2098" s="35" t="s">
        <v>2417</v>
      </c>
    </row>
    <row r="2099" spans="1:2" x14ac:dyDescent="0.35">
      <c r="A2099" s="34">
        <v>23153502</v>
      </c>
      <c r="B2099" s="35" t="s">
        <v>12648</v>
      </c>
    </row>
    <row r="2100" spans="1:2" x14ac:dyDescent="0.35">
      <c r="A2100" s="34">
        <v>23153503</v>
      </c>
      <c r="B2100" s="35" t="s">
        <v>3299</v>
      </c>
    </row>
    <row r="2101" spans="1:2" x14ac:dyDescent="0.35">
      <c r="A2101" s="34">
        <v>23153504</v>
      </c>
      <c r="B2101" s="35" t="s">
        <v>19499</v>
      </c>
    </row>
    <row r="2102" spans="1:2" x14ac:dyDescent="0.35">
      <c r="A2102" s="34">
        <v>23153505</v>
      </c>
      <c r="B2102" s="35" t="s">
        <v>13402</v>
      </c>
    </row>
    <row r="2103" spans="1:2" x14ac:dyDescent="0.35">
      <c r="A2103" s="34">
        <v>23153506</v>
      </c>
      <c r="B2103" s="35" t="s">
        <v>915</v>
      </c>
    </row>
    <row r="2104" spans="1:2" x14ac:dyDescent="0.35">
      <c r="A2104" s="34">
        <v>23153507</v>
      </c>
      <c r="B2104" s="35" t="s">
        <v>15260</v>
      </c>
    </row>
    <row r="2105" spans="1:2" x14ac:dyDescent="0.35">
      <c r="A2105" s="34">
        <v>23153508</v>
      </c>
      <c r="B2105" s="35" t="s">
        <v>11832</v>
      </c>
    </row>
    <row r="2106" spans="1:2" x14ac:dyDescent="0.35">
      <c r="A2106" s="34">
        <v>23161501</v>
      </c>
      <c r="B2106" s="35" t="s">
        <v>15809</v>
      </c>
    </row>
    <row r="2107" spans="1:2" x14ac:dyDescent="0.35">
      <c r="A2107" s="34">
        <v>23161502</v>
      </c>
      <c r="B2107" s="35" t="s">
        <v>8467</v>
      </c>
    </row>
    <row r="2108" spans="1:2" x14ac:dyDescent="0.35">
      <c r="A2108" s="34">
        <v>23161503</v>
      </c>
      <c r="B2108" s="35" t="s">
        <v>6081</v>
      </c>
    </row>
    <row r="2109" spans="1:2" x14ac:dyDescent="0.35">
      <c r="A2109" s="34">
        <v>23161504</v>
      </c>
      <c r="B2109" s="35" t="s">
        <v>3238</v>
      </c>
    </row>
    <row r="2110" spans="1:2" x14ac:dyDescent="0.35">
      <c r="A2110" s="34">
        <v>23161506</v>
      </c>
      <c r="B2110" s="35" t="s">
        <v>11170</v>
      </c>
    </row>
    <row r="2111" spans="1:2" x14ac:dyDescent="0.35">
      <c r="A2111" s="34">
        <v>23161507</v>
      </c>
      <c r="B2111" s="35" t="s">
        <v>15615</v>
      </c>
    </row>
    <row r="2112" spans="1:2" x14ac:dyDescent="0.35">
      <c r="A2112" s="34">
        <v>23161508</v>
      </c>
      <c r="B2112" s="35" t="s">
        <v>18433</v>
      </c>
    </row>
    <row r="2113" spans="1:2" x14ac:dyDescent="0.35">
      <c r="A2113" s="34">
        <v>23161509</v>
      </c>
      <c r="B2113" s="35" t="s">
        <v>1516</v>
      </c>
    </row>
    <row r="2114" spans="1:2" x14ac:dyDescent="0.35">
      <c r="A2114" s="34">
        <v>23161510</v>
      </c>
      <c r="B2114" s="35" t="s">
        <v>12517</v>
      </c>
    </row>
    <row r="2115" spans="1:2" x14ac:dyDescent="0.35">
      <c r="A2115" s="34">
        <v>23161511</v>
      </c>
      <c r="B2115" s="35" t="s">
        <v>2636</v>
      </c>
    </row>
    <row r="2116" spans="1:2" x14ac:dyDescent="0.35">
      <c r="A2116" s="34">
        <v>23161512</v>
      </c>
      <c r="B2116" s="35" t="s">
        <v>13148</v>
      </c>
    </row>
    <row r="2117" spans="1:2" x14ac:dyDescent="0.35">
      <c r="A2117" s="34">
        <v>23161513</v>
      </c>
      <c r="B2117" s="35" t="s">
        <v>12165</v>
      </c>
    </row>
    <row r="2118" spans="1:2" x14ac:dyDescent="0.35">
      <c r="A2118" s="34">
        <v>23161514</v>
      </c>
      <c r="B2118" s="35" t="s">
        <v>19521</v>
      </c>
    </row>
    <row r="2119" spans="1:2" x14ac:dyDescent="0.35">
      <c r="A2119" s="34">
        <v>23161515</v>
      </c>
      <c r="B2119" s="35" t="s">
        <v>8968</v>
      </c>
    </row>
    <row r="2120" spans="1:2" x14ac:dyDescent="0.35">
      <c r="A2120" s="34">
        <v>23161601</v>
      </c>
      <c r="B2120" s="35" t="s">
        <v>15809</v>
      </c>
    </row>
    <row r="2121" spans="1:2" x14ac:dyDescent="0.35">
      <c r="A2121" s="34">
        <v>23161602</v>
      </c>
      <c r="B2121" s="35" t="s">
        <v>18605</v>
      </c>
    </row>
    <row r="2122" spans="1:2" x14ac:dyDescent="0.35">
      <c r="A2122" s="34">
        <v>23161603</v>
      </c>
      <c r="B2122" s="35" t="s">
        <v>4301</v>
      </c>
    </row>
    <row r="2123" spans="1:2" x14ac:dyDescent="0.35">
      <c r="A2123" s="34">
        <v>23161605</v>
      </c>
      <c r="B2123" s="35" t="s">
        <v>8672</v>
      </c>
    </row>
    <row r="2124" spans="1:2" x14ac:dyDescent="0.35">
      <c r="A2124" s="34">
        <v>23161606</v>
      </c>
      <c r="B2124" s="35" t="s">
        <v>11778</v>
      </c>
    </row>
    <row r="2125" spans="1:2" x14ac:dyDescent="0.35">
      <c r="A2125" s="34">
        <v>23161607</v>
      </c>
      <c r="B2125" s="35" t="s">
        <v>6317</v>
      </c>
    </row>
    <row r="2126" spans="1:2" x14ac:dyDescent="0.35">
      <c r="A2126" s="34">
        <v>23161608</v>
      </c>
      <c r="B2126" s="35" t="s">
        <v>10606</v>
      </c>
    </row>
    <row r="2127" spans="1:2" x14ac:dyDescent="0.35">
      <c r="A2127" s="34">
        <v>23171501</v>
      </c>
      <c r="B2127" s="35" t="s">
        <v>14000</v>
      </c>
    </row>
    <row r="2128" spans="1:2" x14ac:dyDescent="0.35">
      <c r="A2128" s="34">
        <v>23171502</v>
      </c>
      <c r="B2128" s="35" t="s">
        <v>1998</v>
      </c>
    </row>
    <row r="2129" spans="1:2" x14ac:dyDescent="0.35">
      <c r="A2129" s="34">
        <v>23171504</v>
      </c>
      <c r="B2129" s="35" t="s">
        <v>4971</v>
      </c>
    </row>
    <row r="2130" spans="1:2" x14ac:dyDescent="0.35">
      <c r="A2130" s="34">
        <v>23171505</v>
      </c>
      <c r="B2130" s="35" t="s">
        <v>15748</v>
      </c>
    </row>
    <row r="2131" spans="1:2" x14ac:dyDescent="0.35">
      <c r="A2131" s="34">
        <v>23171506</v>
      </c>
      <c r="B2131" s="35" t="s">
        <v>2458</v>
      </c>
    </row>
    <row r="2132" spans="1:2" x14ac:dyDescent="0.35">
      <c r="A2132" s="34">
        <v>23171507</v>
      </c>
      <c r="B2132" s="35" t="s">
        <v>18505</v>
      </c>
    </row>
    <row r="2133" spans="1:2" x14ac:dyDescent="0.35">
      <c r="A2133" s="34">
        <v>23171508</v>
      </c>
      <c r="B2133" s="35" t="s">
        <v>8161</v>
      </c>
    </row>
    <row r="2134" spans="1:2" x14ac:dyDescent="0.35">
      <c r="A2134" s="34">
        <v>23171509</v>
      </c>
      <c r="B2134" s="35" t="s">
        <v>8995</v>
      </c>
    </row>
    <row r="2135" spans="1:2" x14ac:dyDescent="0.35">
      <c r="A2135" s="34">
        <v>23171510</v>
      </c>
      <c r="B2135" s="35" t="s">
        <v>545</v>
      </c>
    </row>
    <row r="2136" spans="1:2" x14ac:dyDescent="0.35">
      <c r="A2136" s="34">
        <v>23171511</v>
      </c>
      <c r="B2136" s="35" t="s">
        <v>9911</v>
      </c>
    </row>
    <row r="2137" spans="1:2" x14ac:dyDescent="0.35">
      <c r="A2137" s="34">
        <v>23171512</v>
      </c>
      <c r="B2137" s="35" t="s">
        <v>11047</v>
      </c>
    </row>
    <row r="2138" spans="1:2" x14ac:dyDescent="0.35">
      <c r="A2138" s="34">
        <v>23171513</v>
      </c>
      <c r="B2138" s="35" t="s">
        <v>6216</v>
      </c>
    </row>
    <row r="2139" spans="1:2" x14ac:dyDescent="0.35">
      <c r="A2139" s="34">
        <v>23171514</v>
      </c>
      <c r="B2139" s="35" t="s">
        <v>8829</v>
      </c>
    </row>
    <row r="2140" spans="1:2" x14ac:dyDescent="0.35">
      <c r="A2140" s="34">
        <v>23171515</v>
      </c>
      <c r="B2140" s="35" t="s">
        <v>389</v>
      </c>
    </row>
    <row r="2141" spans="1:2" x14ac:dyDescent="0.35">
      <c r="A2141" s="34">
        <v>23171517</v>
      </c>
      <c r="B2141" s="35" t="s">
        <v>4971</v>
      </c>
    </row>
    <row r="2142" spans="1:2" x14ac:dyDescent="0.35">
      <c r="A2142" s="34">
        <v>23171518</v>
      </c>
      <c r="B2142" s="35" t="s">
        <v>7136</v>
      </c>
    </row>
    <row r="2143" spans="1:2" x14ac:dyDescent="0.35">
      <c r="A2143" s="34">
        <v>23171519</v>
      </c>
      <c r="B2143" s="35" t="s">
        <v>16564</v>
      </c>
    </row>
    <row r="2144" spans="1:2" x14ac:dyDescent="0.35">
      <c r="A2144" s="34">
        <v>23171520</v>
      </c>
      <c r="B2144" s="35" t="s">
        <v>7801</v>
      </c>
    </row>
    <row r="2145" spans="1:2" x14ac:dyDescent="0.35">
      <c r="A2145" s="34">
        <v>23171521</v>
      </c>
      <c r="B2145" s="35" t="s">
        <v>14008</v>
      </c>
    </row>
    <row r="2146" spans="1:2" x14ac:dyDescent="0.35">
      <c r="A2146" s="34">
        <v>23171522</v>
      </c>
      <c r="B2146" s="35" t="s">
        <v>16679</v>
      </c>
    </row>
    <row r="2147" spans="1:2" x14ac:dyDescent="0.35">
      <c r="A2147" s="34">
        <v>23171523</v>
      </c>
      <c r="B2147" s="35" t="s">
        <v>7727</v>
      </c>
    </row>
    <row r="2148" spans="1:2" x14ac:dyDescent="0.35">
      <c r="A2148" s="34">
        <v>23171524</v>
      </c>
      <c r="B2148" s="35" t="s">
        <v>10684</v>
      </c>
    </row>
    <row r="2149" spans="1:2" x14ac:dyDescent="0.35">
      <c r="A2149" s="34">
        <v>23171525</v>
      </c>
      <c r="B2149" s="35" t="s">
        <v>18588</v>
      </c>
    </row>
    <row r="2150" spans="1:2" x14ac:dyDescent="0.35">
      <c r="A2150" s="34">
        <v>23171526</v>
      </c>
      <c r="B2150" s="35" t="s">
        <v>6593</v>
      </c>
    </row>
    <row r="2151" spans="1:2" x14ac:dyDescent="0.35">
      <c r="A2151" s="34">
        <v>23171527</v>
      </c>
      <c r="B2151" s="35" t="s">
        <v>5742</v>
      </c>
    </row>
    <row r="2152" spans="1:2" x14ac:dyDescent="0.35">
      <c r="A2152" s="34">
        <v>23171528</v>
      </c>
      <c r="B2152" s="35" t="s">
        <v>17476</v>
      </c>
    </row>
    <row r="2153" spans="1:2" x14ac:dyDescent="0.35">
      <c r="A2153" s="34">
        <v>23171529</v>
      </c>
      <c r="B2153" s="35" t="s">
        <v>6082</v>
      </c>
    </row>
    <row r="2154" spans="1:2" x14ac:dyDescent="0.35">
      <c r="A2154" s="34">
        <v>23171530</v>
      </c>
      <c r="B2154" s="35" t="s">
        <v>18381</v>
      </c>
    </row>
    <row r="2155" spans="1:2" x14ac:dyDescent="0.35">
      <c r="A2155" s="34">
        <v>23171531</v>
      </c>
      <c r="B2155" s="35" t="s">
        <v>10781</v>
      </c>
    </row>
    <row r="2156" spans="1:2" x14ac:dyDescent="0.35">
      <c r="A2156" s="34">
        <v>23171532</v>
      </c>
      <c r="B2156" s="35" t="s">
        <v>7043</v>
      </c>
    </row>
    <row r="2157" spans="1:2" x14ac:dyDescent="0.35">
      <c r="A2157" s="34">
        <v>23171533</v>
      </c>
      <c r="B2157" s="35" t="s">
        <v>14210</v>
      </c>
    </row>
    <row r="2158" spans="1:2" x14ac:dyDescent="0.35">
      <c r="A2158" s="34">
        <v>23171534</v>
      </c>
      <c r="B2158" s="35" t="s">
        <v>1752</v>
      </c>
    </row>
    <row r="2159" spans="1:2" x14ac:dyDescent="0.35">
      <c r="A2159" s="34">
        <v>23171535</v>
      </c>
      <c r="B2159" s="35" t="s">
        <v>5041</v>
      </c>
    </row>
    <row r="2160" spans="1:2" x14ac:dyDescent="0.35">
      <c r="A2160" s="34">
        <v>23171536</v>
      </c>
      <c r="B2160" s="35" t="s">
        <v>16474</v>
      </c>
    </row>
    <row r="2161" spans="1:2" x14ac:dyDescent="0.35">
      <c r="A2161" s="34">
        <v>23171537</v>
      </c>
      <c r="B2161" s="35" t="s">
        <v>18122</v>
      </c>
    </row>
    <row r="2162" spans="1:2" x14ac:dyDescent="0.35">
      <c r="A2162" s="34">
        <v>23171538</v>
      </c>
      <c r="B2162" s="35" t="s">
        <v>15812</v>
      </c>
    </row>
    <row r="2163" spans="1:2" x14ac:dyDescent="0.35">
      <c r="A2163" s="34">
        <v>23171539</v>
      </c>
      <c r="B2163" s="35" t="s">
        <v>1490</v>
      </c>
    </row>
    <row r="2164" spans="1:2" x14ac:dyDescent="0.35">
      <c r="A2164" s="34">
        <v>23171540</v>
      </c>
      <c r="B2164" s="35" t="s">
        <v>1977</v>
      </c>
    </row>
    <row r="2165" spans="1:2" x14ac:dyDescent="0.35">
      <c r="A2165" s="34">
        <v>23171541</v>
      </c>
      <c r="B2165" s="35" t="s">
        <v>35</v>
      </c>
    </row>
    <row r="2166" spans="1:2" x14ac:dyDescent="0.35">
      <c r="A2166" s="34">
        <v>23171602</v>
      </c>
      <c r="B2166" s="35" t="s">
        <v>16736</v>
      </c>
    </row>
    <row r="2167" spans="1:2" x14ac:dyDescent="0.35">
      <c r="A2167" s="34">
        <v>23171603</v>
      </c>
      <c r="B2167" s="35" t="s">
        <v>12715</v>
      </c>
    </row>
    <row r="2168" spans="1:2" x14ac:dyDescent="0.35">
      <c r="A2168" s="34">
        <v>23171604</v>
      </c>
      <c r="B2168" s="35" t="s">
        <v>15664</v>
      </c>
    </row>
    <row r="2169" spans="1:2" x14ac:dyDescent="0.35">
      <c r="A2169" s="34">
        <v>23171605</v>
      </c>
      <c r="B2169" s="35" t="s">
        <v>17567</v>
      </c>
    </row>
    <row r="2170" spans="1:2" x14ac:dyDescent="0.35">
      <c r="A2170" s="34">
        <v>23171606</v>
      </c>
      <c r="B2170" s="35" t="s">
        <v>15119</v>
      </c>
    </row>
    <row r="2171" spans="1:2" x14ac:dyDescent="0.35">
      <c r="A2171" s="34">
        <v>23171607</v>
      </c>
      <c r="B2171" s="35" t="s">
        <v>11946</v>
      </c>
    </row>
    <row r="2172" spans="1:2" x14ac:dyDescent="0.35">
      <c r="A2172" s="34">
        <v>23171608</v>
      </c>
      <c r="B2172" s="35" t="s">
        <v>5274</v>
      </c>
    </row>
    <row r="2173" spans="1:2" x14ac:dyDescent="0.35">
      <c r="A2173" s="34">
        <v>23171609</v>
      </c>
      <c r="B2173" s="35" t="s">
        <v>5679</v>
      </c>
    </row>
    <row r="2174" spans="1:2" x14ac:dyDescent="0.35">
      <c r="A2174" s="34">
        <v>23171610</v>
      </c>
      <c r="B2174" s="35" t="s">
        <v>17413</v>
      </c>
    </row>
    <row r="2175" spans="1:2" x14ac:dyDescent="0.35">
      <c r="A2175" s="34">
        <v>23171611</v>
      </c>
      <c r="B2175" s="35" t="s">
        <v>11638</v>
      </c>
    </row>
    <row r="2176" spans="1:2" x14ac:dyDescent="0.35">
      <c r="A2176" s="34">
        <v>23171612</v>
      </c>
      <c r="B2176" s="35" t="s">
        <v>7135</v>
      </c>
    </row>
    <row r="2177" spans="1:2" x14ac:dyDescent="0.35">
      <c r="A2177" s="34">
        <v>23171613</v>
      </c>
      <c r="B2177" s="35" t="s">
        <v>6562</v>
      </c>
    </row>
    <row r="2178" spans="1:2" x14ac:dyDescent="0.35">
      <c r="A2178" s="34">
        <v>23171614</v>
      </c>
      <c r="B2178" s="35" t="s">
        <v>15350</v>
      </c>
    </row>
    <row r="2179" spans="1:2" x14ac:dyDescent="0.35">
      <c r="A2179" s="34">
        <v>23171615</v>
      </c>
      <c r="B2179" s="35" t="s">
        <v>11851</v>
      </c>
    </row>
    <row r="2180" spans="1:2" x14ac:dyDescent="0.35">
      <c r="A2180" s="34">
        <v>23171616</v>
      </c>
      <c r="B2180" s="35" t="s">
        <v>363</v>
      </c>
    </row>
    <row r="2181" spans="1:2" x14ac:dyDescent="0.35">
      <c r="A2181" s="34">
        <v>23171617</v>
      </c>
      <c r="B2181" s="35" t="s">
        <v>19289</v>
      </c>
    </row>
    <row r="2182" spans="1:2" x14ac:dyDescent="0.35">
      <c r="A2182" s="34">
        <v>23171618</v>
      </c>
      <c r="B2182" s="35" t="s">
        <v>109</v>
      </c>
    </row>
    <row r="2183" spans="1:2" x14ac:dyDescent="0.35">
      <c r="A2183" s="34">
        <v>23171619</v>
      </c>
      <c r="B2183" s="35" t="s">
        <v>9605</v>
      </c>
    </row>
    <row r="2184" spans="1:2" x14ac:dyDescent="0.35">
      <c r="A2184" s="34">
        <v>23171620</v>
      </c>
      <c r="B2184" s="35" t="s">
        <v>17863</v>
      </c>
    </row>
    <row r="2185" spans="1:2" x14ac:dyDescent="0.35">
      <c r="A2185" s="34">
        <v>23171621</v>
      </c>
      <c r="B2185" s="35" t="s">
        <v>11094</v>
      </c>
    </row>
    <row r="2186" spans="1:2" x14ac:dyDescent="0.35">
      <c r="A2186" s="34">
        <v>23171622</v>
      </c>
      <c r="B2186" s="35" t="s">
        <v>17620</v>
      </c>
    </row>
    <row r="2187" spans="1:2" x14ac:dyDescent="0.35">
      <c r="A2187" s="34">
        <v>23171623</v>
      </c>
      <c r="B2187" s="35" t="s">
        <v>17095</v>
      </c>
    </row>
    <row r="2188" spans="1:2" x14ac:dyDescent="0.35">
      <c r="A2188" s="34">
        <v>23171701</v>
      </c>
      <c r="B2188" s="35" t="s">
        <v>3145</v>
      </c>
    </row>
    <row r="2189" spans="1:2" x14ac:dyDescent="0.35">
      <c r="A2189" s="34">
        <v>23171702</v>
      </c>
      <c r="B2189" s="35" t="s">
        <v>1556</v>
      </c>
    </row>
    <row r="2190" spans="1:2" x14ac:dyDescent="0.35">
      <c r="A2190" s="34">
        <v>23171703</v>
      </c>
      <c r="B2190" s="35" t="s">
        <v>2759</v>
      </c>
    </row>
    <row r="2191" spans="1:2" x14ac:dyDescent="0.35">
      <c r="A2191" s="34">
        <v>23171704</v>
      </c>
      <c r="B2191" s="35" t="s">
        <v>15364</v>
      </c>
    </row>
    <row r="2192" spans="1:2" x14ac:dyDescent="0.35">
      <c r="A2192" s="34">
        <v>23171705</v>
      </c>
      <c r="B2192" s="35" t="s">
        <v>5806</v>
      </c>
    </row>
    <row r="2193" spans="1:2" x14ac:dyDescent="0.35">
      <c r="A2193" s="34">
        <v>23171706</v>
      </c>
      <c r="B2193" s="35" t="s">
        <v>15858</v>
      </c>
    </row>
    <row r="2194" spans="1:2" x14ac:dyDescent="0.35">
      <c r="A2194" s="34">
        <v>23171707</v>
      </c>
      <c r="B2194" s="35" t="s">
        <v>9632</v>
      </c>
    </row>
    <row r="2195" spans="1:2" x14ac:dyDescent="0.35">
      <c r="A2195" s="34">
        <v>23171708</v>
      </c>
      <c r="B2195" s="35" t="s">
        <v>15441</v>
      </c>
    </row>
    <row r="2196" spans="1:2" x14ac:dyDescent="0.35">
      <c r="A2196" s="34">
        <v>23171801</v>
      </c>
      <c r="B2196" s="35" t="s">
        <v>5352</v>
      </c>
    </row>
    <row r="2197" spans="1:2" x14ac:dyDescent="0.35">
      <c r="A2197" s="34">
        <v>23171802</v>
      </c>
      <c r="B2197" s="35" t="s">
        <v>5818</v>
      </c>
    </row>
    <row r="2198" spans="1:2" x14ac:dyDescent="0.35">
      <c r="A2198" s="34">
        <v>23171803</v>
      </c>
      <c r="B2198" s="35" t="s">
        <v>10403</v>
      </c>
    </row>
    <row r="2199" spans="1:2" x14ac:dyDescent="0.35">
      <c r="A2199" s="34">
        <v>23171804</v>
      </c>
      <c r="B2199" s="35" t="s">
        <v>15358</v>
      </c>
    </row>
    <row r="2200" spans="1:2" x14ac:dyDescent="0.35">
      <c r="A2200" s="34">
        <v>23171805</v>
      </c>
      <c r="B2200" s="35" t="s">
        <v>6723</v>
      </c>
    </row>
    <row r="2201" spans="1:2" x14ac:dyDescent="0.35">
      <c r="A2201" s="34">
        <v>23171806</v>
      </c>
      <c r="B2201" s="35" t="s">
        <v>1513</v>
      </c>
    </row>
    <row r="2202" spans="1:2" x14ac:dyDescent="0.35">
      <c r="A2202" s="34">
        <v>23171901</v>
      </c>
      <c r="B2202" s="35" t="s">
        <v>11637</v>
      </c>
    </row>
    <row r="2203" spans="1:2" x14ac:dyDescent="0.35">
      <c r="A2203" s="34">
        <v>23171902</v>
      </c>
      <c r="B2203" s="35" t="s">
        <v>15685</v>
      </c>
    </row>
    <row r="2204" spans="1:2" x14ac:dyDescent="0.35">
      <c r="A2204" s="34">
        <v>23171903</v>
      </c>
      <c r="B2204" s="35" t="s">
        <v>150</v>
      </c>
    </row>
    <row r="2205" spans="1:2" x14ac:dyDescent="0.35">
      <c r="A2205" s="34">
        <v>23171904</v>
      </c>
      <c r="B2205" s="35" t="s">
        <v>19340</v>
      </c>
    </row>
    <row r="2206" spans="1:2" x14ac:dyDescent="0.35">
      <c r="A2206" s="34">
        <v>23171905</v>
      </c>
      <c r="B2206" s="35" t="s">
        <v>10206</v>
      </c>
    </row>
    <row r="2207" spans="1:2" x14ac:dyDescent="0.35">
      <c r="A2207" s="34">
        <v>23171906</v>
      </c>
      <c r="B2207" s="35" t="s">
        <v>1749</v>
      </c>
    </row>
    <row r="2208" spans="1:2" x14ac:dyDescent="0.35">
      <c r="A2208" s="34">
        <v>23172001</v>
      </c>
      <c r="B2208" s="35" t="s">
        <v>11288</v>
      </c>
    </row>
    <row r="2209" spans="1:2" x14ac:dyDescent="0.35">
      <c r="A2209" s="34">
        <v>23172002</v>
      </c>
      <c r="B2209" s="35" t="s">
        <v>2099</v>
      </c>
    </row>
    <row r="2210" spans="1:2" x14ac:dyDescent="0.35">
      <c r="A2210" s="34">
        <v>23172003</v>
      </c>
      <c r="B2210" s="35" t="s">
        <v>15100</v>
      </c>
    </row>
    <row r="2211" spans="1:2" x14ac:dyDescent="0.35">
      <c r="A2211" s="34">
        <v>23172005</v>
      </c>
      <c r="B2211" s="35" t="s">
        <v>10534</v>
      </c>
    </row>
    <row r="2212" spans="1:2" x14ac:dyDescent="0.35">
      <c r="A2212" s="34">
        <v>23172006</v>
      </c>
      <c r="B2212" s="35" t="s">
        <v>1437</v>
      </c>
    </row>
    <row r="2213" spans="1:2" x14ac:dyDescent="0.35">
      <c r="A2213" s="34">
        <v>23172007</v>
      </c>
      <c r="B2213" s="35" t="s">
        <v>5091</v>
      </c>
    </row>
    <row r="2214" spans="1:2" x14ac:dyDescent="0.35">
      <c r="A2214" s="34">
        <v>23172008</v>
      </c>
      <c r="B2214" s="35" t="s">
        <v>11551</v>
      </c>
    </row>
    <row r="2215" spans="1:2" x14ac:dyDescent="0.35">
      <c r="A2215" s="34">
        <v>23172009</v>
      </c>
      <c r="B2215" s="35" t="s">
        <v>15813</v>
      </c>
    </row>
    <row r="2216" spans="1:2" x14ac:dyDescent="0.35">
      <c r="A2216" s="34">
        <v>23172010</v>
      </c>
      <c r="B2216" s="35" t="s">
        <v>2806</v>
      </c>
    </row>
    <row r="2217" spans="1:2" x14ac:dyDescent="0.35">
      <c r="A2217" s="34">
        <v>23172011</v>
      </c>
      <c r="B2217" s="35" t="s">
        <v>17199</v>
      </c>
    </row>
    <row r="2218" spans="1:2" x14ac:dyDescent="0.35">
      <c r="A2218" s="34">
        <v>23172012</v>
      </c>
      <c r="B2218" s="35" t="s">
        <v>16192</v>
      </c>
    </row>
    <row r="2219" spans="1:2" x14ac:dyDescent="0.35">
      <c r="A2219" s="34">
        <v>23172013</v>
      </c>
      <c r="B2219" s="35" t="s">
        <v>6027</v>
      </c>
    </row>
    <row r="2220" spans="1:2" x14ac:dyDescent="0.35">
      <c r="A2220" s="34">
        <v>23172014</v>
      </c>
      <c r="B2220" s="35" t="s">
        <v>16311</v>
      </c>
    </row>
    <row r="2221" spans="1:2" x14ac:dyDescent="0.35">
      <c r="A2221" s="34">
        <v>23172015</v>
      </c>
      <c r="B2221" s="35" t="s">
        <v>15441</v>
      </c>
    </row>
    <row r="2222" spans="1:2" x14ac:dyDescent="0.35">
      <c r="A2222" s="34">
        <v>23181501</v>
      </c>
      <c r="B2222" s="35" t="s">
        <v>8383</v>
      </c>
    </row>
    <row r="2223" spans="1:2" x14ac:dyDescent="0.35">
      <c r="A2223" s="34">
        <v>23181502</v>
      </c>
      <c r="B2223" s="35" t="s">
        <v>10921</v>
      </c>
    </row>
    <row r="2224" spans="1:2" x14ac:dyDescent="0.35">
      <c r="A2224" s="34">
        <v>23181504</v>
      </c>
      <c r="B2224" s="35" t="s">
        <v>7077</v>
      </c>
    </row>
    <row r="2225" spans="1:2" x14ac:dyDescent="0.35">
      <c r="A2225" s="34">
        <v>23181505</v>
      </c>
      <c r="B2225" s="35" t="s">
        <v>16059</v>
      </c>
    </row>
    <row r="2226" spans="1:2" x14ac:dyDescent="0.35">
      <c r="A2226" s="34">
        <v>23181506</v>
      </c>
      <c r="B2226" s="35" t="s">
        <v>1982</v>
      </c>
    </row>
    <row r="2227" spans="1:2" x14ac:dyDescent="0.35">
      <c r="A2227" s="34">
        <v>23181507</v>
      </c>
      <c r="B2227" s="35" t="s">
        <v>18018</v>
      </c>
    </row>
    <row r="2228" spans="1:2" x14ac:dyDescent="0.35">
      <c r="A2228" s="34">
        <v>23181508</v>
      </c>
      <c r="B2228" s="35" t="s">
        <v>1030</v>
      </c>
    </row>
    <row r="2229" spans="1:2" x14ac:dyDescent="0.35">
      <c r="A2229" s="34">
        <v>23181509</v>
      </c>
      <c r="B2229" s="35" t="s">
        <v>10643</v>
      </c>
    </row>
    <row r="2230" spans="1:2" x14ac:dyDescent="0.35">
      <c r="A2230" s="34">
        <v>23181510</v>
      </c>
      <c r="B2230" s="35" t="s">
        <v>18799</v>
      </c>
    </row>
    <row r="2231" spans="1:2" x14ac:dyDescent="0.35">
      <c r="A2231" s="34">
        <v>23181511</v>
      </c>
      <c r="B2231" s="35" t="s">
        <v>11373</v>
      </c>
    </row>
    <row r="2232" spans="1:2" x14ac:dyDescent="0.35">
      <c r="A2232" s="34">
        <v>23181512</v>
      </c>
      <c r="B2232" s="35" t="s">
        <v>5218</v>
      </c>
    </row>
    <row r="2233" spans="1:2" x14ac:dyDescent="0.35">
      <c r="A2233" s="34">
        <v>23181513</v>
      </c>
      <c r="B2233" s="35" t="s">
        <v>3920</v>
      </c>
    </row>
    <row r="2234" spans="1:2" x14ac:dyDescent="0.35">
      <c r="A2234" s="34">
        <v>23181601</v>
      </c>
      <c r="B2234" s="35" t="s">
        <v>16983</v>
      </c>
    </row>
    <row r="2235" spans="1:2" x14ac:dyDescent="0.35">
      <c r="A2235" s="34">
        <v>23181602</v>
      </c>
      <c r="B2235" s="35" t="s">
        <v>14246</v>
      </c>
    </row>
    <row r="2236" spans="1:2" x14ac:dyDescent="0.35">
      <c r="A2236" s="34">
        <v>23181603</v>
      </c>
      <c r="B2236" s="35" t="s">
        <v>3256</v>
      </c>
    </row>
    <row r="2237" spans="1:2" x14ac:dyDescent="0.35">
      <c r="A2237" s="34">
        <v>23181604</v>
      </c>
      <c r="B2237" s="35" t="s">
        <v>233</v>
      </c>
    </row>
    <row r="2238" spans="1:2" x14ac:dyDescent="0.35">
      <c r="A2238" s="34">
        <v>23181605</v>
      </c>
      <c r="B2238" s="35" t="s">
        <v>17463</v>
      </c>
    </row>
    <row r="2239" spans="1:2" x14ac:dyDescent="0.35">
      <c r="A2239" s="34">
        <v>23181606</v>
      </c>
      <c r="B2239" s="35" t="s">
        <v>17717</v>
      </c>
    </row>
    <row r="2240" spans="1:2" x14ac:dyDescent="0.35">
      <c r="A2240" s="34">
        <v>23181701</v>
      </c>
      <c r="B2240" s="35" t="s">
        <v>11368</v>
      </c>
    </row>
    <row r="2241" spans="1:2" x14ac:dyDescent="0.35">
      <c r="A2241" s="34">
        <v>23181702</v>
      </c>
      <c r="B2241" s="35" t="s">
        <v>14167</v>
      </c>
    </row>
    <row r="2242" spans="1:2" x14ac:dyDescent="0.35">
      <c r="A2242" s="34">
        <v>23181703</v>
      </c>
      <c r="B2242" s="35" t="s">
        <v>9861</v>
      </c>
    </row>
    <row r="2243" spans="1:2" x14ac:dyDescent="0.35">
      <c r="A2243" s="34">
        <v>23181704</v>
      </c>
      <c r="B2243" s="35" t="s">
        <v>7634</v>
      </c>
    </row>
    <row r="2244" spans="1:2" x14ac:dyDescent="0.35">
      <c r="A2244" s="34">
        <v>23181801</v>
      </c>
      <c r="B2244" s="35" t="s">
        <v>14470</v>
      </c>
    </row>
    <row r="2245" spans="1:2" x14ac:dyDescent="0.35">
      <c r="A2245" s="34">
        <v>23181802</v>
      </c>
      <c r="B2245" s="35" t="s">
        <v>12093</v>
      </c>
    </row>
    <row r="2246" spans="1:2" x14ac:dyDescent="0.35">
      <c r="A2246" s="34">
        <v>23181803</v>
      </c>
      <c r="B2246" s="35" t="s">
        <v>14536</v>
      </c>
    </row>
    <row r="2247" spans="1:2" x14ac:dyDescent="0.35">
      <c r="A2247" s="34">
        <v>23181804</v>
      </c>
      <c r="B2247" s="35" t="s">
        <v>2421</v>
      </c>
    </row>
    <row r="2248" spans="1:2" x14ac:dyDescent="0.35">
      <c r="A2248" s="34">
        <v>23191001</v>
      </c>
      <c r="B2248" s="35" t="s">
        <v>16628</v>
      </c>
    </row>
    <row r="2249" spans="1:2" x14ac:dyDescent="0.35">
      <c r="A2249" s="34">
        <v>23191002</v>
      </c>
      <c r="B2249" s="35" t="s">
        <v>9195</v>
      </c>
    </row>
    <row r="2250" spans="1:2" x14ac:dyDescent="0.35">
      <c r="A2250" s="34">
        <v>23191003</v>
      </c>
      <c r="B2250" s="35" t="s">
        <v>19578</v>
      </c>
    </row>
    <row r="2251" spans="1:2" x14ac:dyDescent="0.35">
      <c r="A2251" s="34">
        <v>23191004</v>
      </c>
      <c r="B2251" s="35" t="s">
        <v>12217</v>
      </c>
    </row>
    <row r="2252" spans="1:2" x14ac:dyDescent="0.35">
      <c r="A2252" s="34">
        <v>23191005</v>
      </c>
      <c r="B2252" s="35" t="s">
        <v>7742</v>
      </c>
    </row>
    <row r="2253" spans="1:2" x14ac:dyDescent="0.35">
      <c r="A2253" s="34">
        <v>23191101</v>
      </c>
      <c r="B2253" s="35" t="s">
        <v>14592</v>
      </c>
    </row>
    <row r="2254" spans="1:2" x14ac:dyDescent="0.35">
      <c r="A2254" s="34">
        <v>23191102</v>
      </c>
      <c r="B2254" s="35" t="s">
        <v>6880</v>
      </c>
    </row>
    <row r="2255" spans="1:2" x14ac:dyDescent="0.35">
      <c r="A2255" s="34">
        <v>23191201</v>
      </c>
      <c r="B2255" s="35" t="s">
        <v>13609</v>
      </c>
    </row>
    <row r="2256" spans="1:2" x14ac:dyDescent="0.35">
      <c r="A2256" s="34">
        <v>23191202</v>
      </c>
      <c r="B2256" s="35" t="s">
        <v>1218</v>
      </c>
    </row>
    <row r="2257" spans="1:2" x14ac:dyDescent="0.35">
      <c r="A2257" s="34">
        <v>23201001</v>
      </c>
      <c r="B2257" s="35" t="s">
        <v>6807</v>
      </c>
    </row>
    <row r="2258" spans="1:2" x14ac:dyDescent="0.35">
      <c r="A2258" s="34">
        <v>23201002</v>
      </c>
      <c r="B2258" s="35" t="s">
        <v>19598</v>
      </c>
    </row>
    <row r="2259" spans="1:2" x14ac:dyDescent="0.35">
      <c r="A2259" s="34">
        <v>23201003</v>
      </c>
      <c r="B2259" s="35" t="s">
        <v>40</v>
      </c>
    </row>
    <row r="2260" spans="1:2" x14ac:dyDescent="0.35">
      <c r="A2260" s="34">
        <v>23201004</v>
      </c>
      <c r="B2260" s="35" t="s">
        <v>68</v>
      </c>
    </row>
    <row r="2261" spans="1:2" x14ac:dyDescent="0.35">
      <c r="A2261" s="34">
        <v>23201005</v>
      </c>
      <c r="B2261" s="35" t="s">
        <v>3580</v>
      </c>
    </row>
    <row r="2262" spans="1:2" x14ac:dyDescent="0.35">
      <c r="A2262" s="34">
        <v>23201101</v>
      </c>
      <c r="B2262" s="35" t="s">
        <v>12905</v>
      </c>
    </row>
    <row r="2263" spans="1:2" x14ac:dyDescent="0.35">
      <c r="A2263" s="34">
        <v>23201102</v>
      </c>
      <c r="B2263" s="35" t="s">
        <v>511</v>
      </c>
    </row>
    <row r="2264" spans="1:2" x14ac:dyDescent="0.35">
      <c r="A2264" s="34">
        <v>23201201</v>
      </c>
      <c r="B2264" s="35" t="s">
        <v>13266</v>
      </c>
    </row>
    <row r="2265" spans="1:2" x14ac:dyDescent="0.35">
      <c r="A2265" s="34">
        <v>23201202</v>
      </c>
      <c r="B2265" s="35" t="s">
        <v>18823</v>
      </c>
    </row>
    <row r="2266" spans="1:2" x14ac:dyDescent="0.35">
      <c r="A2266" s="34">
        <v>23211001</v>
      </c>
      <c r="B2266" s="35" t="s">
        <v>12547</v>
      </c>
    </row>
    <row r="2267" spans="1:2" x14ac:dyDescent="0.35">
      <c r="A2267" s="34">
        <v>23211002</v>
      </c>
      <c r="B2267" s="35" t="s">
        <v>1663</v>
      </c>
    </row>
    <row r="2268" spans="1:2" x14ac:dyDescent="0.35">
      <c r="A2268" s="34">
        <v>23211101</v>
      </c>
      <c r="B2268" s="35" t="s">
        <v>11479</v>
      </c>
    </row>
    <row r="2269" spans="1:2" x14ac:dyDescent="0.35">
      <c r="A2269" s="34">
        <v>23221001</v>
      </c>
      <c r="B2269" s="35" t="s">
        <v>1499</v>
      </c>
    </row>
    <row r="2270" spans="1:2" x14ac:dyDescent="0.35">
      <c r="A2270" s="34">
        <v>23221002</v>
      </c>
      <c r="B2270" s="35" t="s">
        <v>6485</v>
      </c>
    </row>
    <row r="2271" spans="1:2" x14ac:dyDescent="0.35">
      <c r="A2271" s="34">
        <v>23221101</v>
      </c>
      <c r="B2271" s="35" t="s">
        <v>17122</v>
      </c>
    </row>
    <row r="2272" spans="1:2" x14ac:dyDescent="0.35">
      <c r="A2272" s="34">
        <v>23221201</v>
      </c>
      <c r="B2272" s="35" t="s">
        <v>16387</v>
      </c>
    </row>
    <row r="2273" spans="1:2" x14ac:dyDescent="0.35">
      <c r="A2273" s="34">
        <v>23231001</v>
      </c>
      <c r="B2273" s="35" t="s">
        <v>8122</v>
      </c>
    </row>
    <row r="2274" spans="1:2" x14ac:dyDescent="0.35">
      <c r="A2274" s="34">
        <v>23231002</v>
      </c>
      <c r="B2274" s="35" t="s">
        <v>18650</v>
      </c>
    </row>
    <row r="2275" spans="1:2" x14ac:dyDescent="0.35">
      <c r="A2275" s="34">
        <v>23231101</v>
      </c>
      <c r="B2275" s="35" t="s">
        <v>14389</v>
      </c>
    </row>
    <row r="2276" spans="1:2" x14ac:dyDescent="0.35">
      <c r="A2276" s="34">
        <v>23231102</v>
      </c>
      <c r="B2276" s="35" t="s">
        <v>13972</v>
      </c>
    </row>
    <row r="2277" spans="1:2" x14ac:dyDescent="0.35">
      <c r="A2277" s="34">
        <v>23231201</v>
      </c>
      <c r="B2277" s="35" t="s">
        <v>13477</v>
      </c>
    </row>
    <row r="2278" spans="1:2" x14ac:dyDescent="0.35">
      <c r="A2278" s="34">
        <v>23231202</v>
      </c>
      <c r="B2278" s="35" t="s">
        <v>9685</v>
      </c>
    </row>
    <row r="2279" spans="1:2" x14ac:dyDescent="0.35">
      <c r="A2279" s="34">
        <v>23231301</v>
      </c>
      <c r="B2279" s="35" t="s">
        <v>5367</v>
      </c>
    </row>
    <row r="2280" spans="1:2" x14ac:dyDescent="0.35">
      <c r="A2280" s="34">
        <v>23231302</v>
      </c>
      <c r="B2280" s="35" t="s">
        <v>9824</v>
      </c>
    </row>
    <row r="2281" spans="1:2" x14ac:dyDescent="0.35">
      <c r="A2281" s="34">
        <v>23231401</v>
      </c>
      <c r="B2281" s="35" t="s">
        <v>14691</v>
      </c>
    </row>
    <row r="2282" spans="1:2" x14ac:dyDescent="0.35">
      <c r="A2282" s="34">
        <v>23231402</v>
      </c>
      <c r="B2282" s="35" t="s">
        <v>16165</v>
      </c>
    </row>
    <row r="2283" spans="1:2" x14ac:dyDescent="0.35">
      <c r="A2283" s="34">
        <v>23231501</v>
      </c>
      <c r="B2283" s="35" t="s">
        <v>12665</v>
      </c>
    </row>
    <row r="2284" spans="1:2" x14ac:dyDescent="0.35">
      <c r="A2284" s="34">
        <v>23231502</v>
      </c>
      <c r="B2284" s="35" t="s">
        <v>4304</v>
      </c>
    </row>
    <row r="2285" spans="1:2" x14ac:dyDescent="0.35">
      <c r="A2285" s="34">
        <v>23231601</v>
      </c>
      <c r="B2285" s="35" t="s">
        <v>11439</v>
      </c>
    </row>
    <row r="2286" spans="1:2" x14ac:dyDescent="0.35">
      <c r="A2286" s="34">
        <v>23231602</v>
      </c>
      <c r="B2286" s="35" t="s">
        <v>9095</v>
      </c>
    </row>
    <row r="2287" spans="1:2" x14ac:dyDescent="0.35">
      <c r="A2287" s="34">
        <v>23231701</v>
      </c>
      <c r="B2287" s="35" t="s">
        <v>11161</v>
      </c>
    </row>
    <row r="2288" spans="1:2" x14ac:dyDescent="0.35">
      <c r="A2288" s="34">
        <v>23231801</v>
      </c>
      <c r="B2288" s="35" t="s">
        <v>13470</v>
      </c>
    </row>
    <row r="2289" spans="1:2" x14ac:dyDescent="0.35">
      <c r="A2289" s="34">
        <v>23231901</v>
      </c>
      <c r="B2289" s="35" t="s">
        <v>17772</v>
      </c>
    </row>
    <row r="2290" spans="1:2" x14ac:dyDescent="0.35">
      <c r="A2290" s="34">
        <v>23231902</v>
      </c>
      <c r="B2290" s="35" t="s">
        <v>10140</v>
      </c>
    </row>
    <row r="2291" spans="1:2" x14ac:dyDescent="0.35">
      <c r="A2291" s="34">
        <v>23231903</v>
      </c>
      <c r="B2291" s="35" t="s">
        <v>1915</v>
      </c>
    </row>
    <row r="2292" spans="1:2" x14ac:dyDescent="0.35">
      <c r="A2292" s="34">
        <v>23232001</v>
      </c>
      <c r="B2292" s="35" t="s">
        <v>10021</v>
      </c>
    </row>
    <row r="2293" spans="1:2" x14ac:dyDescent="0.35">
      <c r="A2293" s="34">
        <v>23232101</v>
      </c>
      <c r="B2293" s="35" t="s">
        <v>5048</v>
      </c>
    </row>
    <row r="2294" spans="1:2" x14ac:dyDescent="0.35">
      <c r="A2294" s="34">
        <v>23232201</v>
      </c>
      <c r="B2294" s="35" t="s">
        <v>4014</v>
      </c>
    </row>
    <row r="2295" spans="1:2" x14ac:dyDescent="0.35">
      <c r="A2295" s="34">
        <v>24101501</v>
      </c>
      <c r="B2295" s="35" t="s">
        <v>17789</v>
      </c>
    </row>
    <row r="2296" spans="1:2" x14ac:dyDescent="0.35">
      <c r="A2296" s="34">
        <v>24101502</v>
      </c>
      <c r="B2296" s="35" t="s">
        <v>3000</v>
      </c>
    </row>
    <row r="2297" spans="1:2" x14ac:dyDescent="0.35">
      <c r="A2297" s="34">
        <v>24101503</v>
      </c>
      <c r="B2297" s="35" t="s">
        <v>18040</v>
      </c>
    </row>
    <row r="2298" spans="1:2" x14ac:dyDescent="0.35">
      <c r="A2298" s="34">
        <v>24101504</v>
      </c>
      <c r="B2298" s="35" t="s">
        <v>14025</v>
      </c>
    </row>
    <row r="2299" spans="1:2" x14ac:dyDescent="0.35">
      <c r="A2299" s="34">
        <v>24101505</v>
      </c>
      <c r="B2299" s="35" t="s">
        <v>14322</v>
      </c>
    </row>
    <row r="2300" spans="1:2" x14ac:dyDescent="0.35">
      <c r="A2300" s="34">
        <v>24101506</v>
      </c>
      <c r="B2300" s="35" t="s">
        <v>16750</v>
      </c>
    </row>
    <row r="2301" spans="1:2" x14ac:dyDescent="0.35">
      <c r="A2301" s="34">
        <v>24101507</v>
      </c>
      <c r="B2301" s="35" t="s">
        <v>14374</v>
      </c>
    </row>
    <row r="2302" spans="1:2" x14ac:dyDescent="0.35">
      <c r="A2302" s="34">
        <v>24101508</v>
      </c>
      <c r="B2302" s="35" t="s">
        <v>2130</v>
      </c>
    </row>
    <row r="2303" spans="1:2" x14ac:dyDescent="0.35">
      <c r="A2303" s="34">
        <v>24101509</v>
      </c>
      <c r="B2303" s="35" t="s">
        <v>4712</v>
      </c>
    </row>
    <row r="2304" spans="1:2" x14ac:dyDescent="0.35">
      <c r="A2304" s="34">
        <v>24101510</v>
      </c>
      <c r="B2304" s="35" t="s">
        <v>12991</v>
      </c>
    </row>
    <row r="2305" spans="1:2" x14ac:dyDescent="0.35">
      <c r="A2305" s="34">
        <v>24101511</v>
      </c>
      <c r="B2305" s="35" t="s">
        <v>3859</v>
      </c>
    </row>
    <row r="2306" spans="1:2" x14ac:dyDescent="0.35">
      <c r="A2306" s="34">
        <v>24101512</v>
      </c>
      <c r="B2306" s="35" t="s">
        <v>12939</v>
      </c>
    </row>
    <row r="2307" spans="1:2" x14ac:dyDescent="0.35">
      <c r="A2307" s="34">
        <v>24101601</v>
      </c>
      <c r="B2307" s="35" t="s">
        <v>19182</v>
      </c>
    </row>
    <row r="2308" spans="1:2" x14ac:dyDescent="0.35">
      <c r="A2308" s="34">
        <v>24101602</v>
      </c>
      <c r="B2308" s="35" t="s">
        <v>12240</v>
      </c>
    </row>
    <row r="2309" spans="1:2" x14ac:dyDescent="0.35">
      <c r="A2309" s="34">
        <v>24101603</v>
      </c>
      <c r="B2309" s="35" t="s">
        <v>19436</v>
      </c>
    </row>
    <row r="2310" spans="1:2" x14ac:dyDescent="0.35">
      <c r="A2310" s="34">
        <v>24101604</v>
      </c>
      <c r="B2310" s="35" t="s">
        <v>4570</v>
      </c>
    </row>
    <row r="2311" spans="1:2" x14ac:dyDescent="0.35">
      <c r="A2311" s="34">
        <v>24101605</v>
      </c>
      <c r="B2311" s="35" t="s">
        <v>7545</v>
      </c>
    </row>
    <row r="2312" spans="1:2" x14ac:dyDescent="0.35">
      <c r="A2312" s="34">
        <v>24101606</v>
      </c>
      <c r="B2312" s="35" t="s">
        <v>19333</v>
      </c>
    </row>
    <row r="2313" spans="1:2" x14ac:dyDescent="0.35">
      <c r="A2313" s="34">
        <v>24101608</v>
      </c>
      <c r="B2313" s="35" t="s">
        <v>16126</v>
      </c>
    </row>
    <row r="2314" spans="1:2" x14ac:dyDescent="0.35">
      <c r="A2314" s="34">
        <v>24101609</v>
      </c>
      <c r="B2314" s="35" t="s">
        <v>452</v>
      </c>
    </row>
    <row r="2315" spans="1:2" x14ac:dyDescent="0.35">
      <c r="A2315" s="34">
        <v>24101610</v>
      </c>
      <c r="B2315" s="35" t="s">
        <v>14067</v>
      </c>
    </row>
    <row r="2316" spans="1:2" x14ac:dyDescent="0.35">
      <c r="A2316" s="34">
        <v>24101611</v>
      </c>
      <c r="B2316" s="35" t="s">
        <v>144</v>
      </c>
    </row>
    <row r="2317" spans="1:2" x14ac:dyDescent="0.35">
      <c r="A2317" s="34">
        <v>24101612</v>
      </c>
      <c r="B2317" s="35" t="s">
        <v>14132</v>
      </c>
    </row>
    <row r="2318" spans="1:2" x14ac:dyDescent="0.35">
      <c r="A2318" s="34">
        <v>24101613</v>
      </c>
      <c r="B2318" s="35" t="s">
        <v>12682</v>
      </c>
    </row>
    <row r="2319" spans="1:2" x14ac:dyDescent="0.35">
      <c r="A2319" s="34">
        <v>24101614</v>
      </c>
      <c r="B2319" s="35" t="s">
        <v>11599</v>
      </c>
    </row>
    <row r="2320" spans="1:2" x14ac:dyDescent="0.35">
      <c r="A2320" s="34">
        <v>24101615</v>
      </c>
      <c r="B2320" s="35" t="s">
        <v>13211</v>
      </c>
    </row>
    <row r="2321" spans="1:2" x14ac:dyDescent="0.35">
      <c r="A2321" s="34">
        <v>24101616</v>
      </c>
      <c r="B2321" s="35" t="s">
        <v>18262</v>
      </c>
    </row>
    <row r="2322" spans="1:2" x14ac:dyDescent="0.35">
      <c r="A2322" s="34">
        <v>24101617</v>
      </c>
      <c r="B2322" s="35" t="s">
        <v>16318</v>
      </c>
    </row>
    <row r="2323" spans="1:2" x14ac:dyDescent="0.35">
      <c r="A2323" s="34">
        <v>24101618</v>
      </c>
      <c r="B2323" s="35" t="s">
        <v>18964</v>
      </c>
    </row>
    <row r="2324" spans="1:2" x14ac:dyDescent="0.35">
      <c r="A2324" s="34">
        <v>24101619</v>
      </c>
      <c r="B2324" s="35" t="s">
        <v>10120</v>
      </c>
    </row>
    <row r="2325" spans="1:2" x14ac:dyDescent="0.35">
      <c r="A2325" s="34">
        <v>24101620</v>
      </c>
      <c r="B2325" s="35" t="s">
        <v>15244</v>
      </c>
    </row>
    <row r="2326" spans="1:2" x14ac:dyDescent="0.35">
      <c r="A2326" s="34">
        <v>24101621</v>
      </c>
      <c r="B2326" s="35" t="s">
        <v>5245</v>
      </c>
    </row>
    <row r="2327" spans="1:2" x14ac:dyDescent="0.35">
      <c r="A2327" s="34">
        <v>24101622</v>
      </c>
      <c r="B2327" s="35" t="s">
        <v>8913</v>
      </c>
    </row>
    <row r="2328" spans="1:2" x14ac:dyDescent="0.35">
      <c r="A2328" s="34">
        <v>24101623</v>
      </c>
      <c r="B2328" s="35" t="s">
        <v>8520</v>
      </c>
    </row>
    <row r="2329" spans="1:2" x14ac:dyDescent="0.35">
      <c r="A2329" s="34">
        <v>24101624</v>
      </c>
      <c r="B2329" s="35" t="s">
        <v>8728</v>
      </c>
    </row>
    <row r="2330" spans="1:2" x14ac:dyDescent="0.35">
      <c r="A2330" s="34">
        <v>24101625</v>
      </c>
      <c r="B2330" s="35" t="s">
        <v>171</v>
      </c>
    </row>
    <row r="2331" spans="1:2" x14ac:dyDescent="0.35">
      <c r="A2331" s="34">
        <v>24101626</v>
      </c>
      <c r="B2331" s="35" t="s">
        <v>9980</v>
      </c>
    </row>
    <row r="2332" spans="1:2" x14ac:dyDescent="0.35">
      <c r="A2332" s="34">
        <v>24101627</v>
      </c>
      <c r="B2332" s="35" t="s">
        <v>8060</v>
      </c>
    </row>
    <row r="2333" spans="1:2" x14ac:dyDescent="0.35">
      <c r="A2333" s="34">
        <v>24101628</v>
      </c>
      <c r="B2333" s="35" t="s">
        <v>6842</v>
      </c>
    </row>
    <row r="2334" spans="1:2" x14ac:dyDescent="0.35">
      <c r="A2334" s="34">
        <v>24101629</v>
      </c>
      <c r="B2334" s="35" t="s">
        <v>2553</v>
      </c>
    </row>
    <row r="2335" spans="1:2" x14ac:dyDescent="0.35">
      <c r="A2335" s="34">
        <v>24101630</v>
      </c>
      <c r="B2335" s="35" t="s">
        <v>7984</v>
      </c>
    </row>
    <row r="2336" spans="1:2" x14ac:dyDescent="0.35">
      <c r="A2336" s="34">
        <v>24101631</v>
      </c>
      <c r="B2336" s="35" t="s">
        <v>13784</v>
      </c>
    </row>
    <row r="2337" spans="1:2" x14ac:dyDescent="0.35">
      <c r="A2337" s="34">
        <v>24101632</v>
      </c>
      <c r="B2337" s="35" t="s">
        <v>5205</v>
      </c>
    </row>
    <row r="2338" spans="1:2" x14ac:dyDescent="0.35">
      <c r="A2338" s="34">
        <v>24101633</v>
      </c>
      <c r="B2338" s="35" t="s">
        <v>2021</v>
      </c>
    </row>
    <row r="2339" spans="1:2" x14ac:dyDescent="0.35">
      <c r="A2339" s="34">
        <v>24101634</v>
      </c>
      <c r="B2339" s="35" t="s">
        <v>15548</v>
      </c>
    </row>
    <row r="2340" spans="1:2" x14ac:dyDescent="0.35">
      <c r="A2340" s="34">
        <v>24101701</v>
      </c>
      <c r="B2340" s="35" t="s">
        <v>2618</v>
      </c>
    </row>
    <row r="2341" spans="1:2" x14ac:dyDescent="0.35">
      <c r="A2341" s="34">
        <v>24101702</v>
      </c>
      <c r="B2341" s="35" t="s">
        <v>1039</v>
      </c>
    </row>
    <row r="2342" spans="1:2" x14ac:dyDescent="0.35">
      <c r="A2342" s="34">
        <v>24101703</v>
      </c>
      <c r="B2342" s="35" t="s">
        <v>10231</v>
      </c>
    </row>
    <row r="2343" spans="1:2" x14ac:dyDescent="0.35">
      <c r="A2343" s="34">
        <v>24101704</v>
      </c>
      <c r="B2343" s="35" t="s">
        <v>14289</v>
      </c>
    </row>
    <row r="2344" spans="1:2" x14ac:dyDescent="0.35">
      <c r="A2344" s="34">
        <v>24101705</v>
      </c>
      <c r="B2344" s="35" t="s">
        <v>18275</v>
      </c>
    </row>
    <row r="2345" spans="1:2" x14ac:dyDescent="0.35">
      <c r="A2345" s="34">
        <v>24101706</v>
      </c>
      <c r="B2345" s="35" t="s">
        <v>2234</v>
      </c>
    </row>
    <row r="2346" spans="1:2" x14ac:dyDescent="0.35">
      <c r="A2346" s="34">
        <v>24101707</v>
      </c>
      <c r="B2346" s="35" t="s">
        <v>19307</v>
      </c>
    </row>
    <row r="2347" spans="1:2" x14ac:dyDescent="0.35">
      <c r="A2347" s="34">
        <v>24101708</v>
      </c>
      <c r="B2347" s="35" t="s">
        <v>10048</v>
      </c>
    </row>
    <row r="2348" spans="1:2" x14ac:dyDescent="0.35">
      <c r="A2348" s="34">
        <v>24101709</v>
      </c>
      <c r="B2348" s="35" t="s">
        <v>2213</v>
      </c>
    </row>
    <row r="2349" spans="1:2" x14ac:dyDescent="0.35">
      <c r="A2349" s="34">
        <v>24101710</v>
      </c>
      <c r="B2349" s="35" t="s">
        <v>7520</v>
      </c>
    </row>
    <row r="2350" spans="1:2" x14ac:dyDescent="0.35">
      <c r="A2350" s="34">
        <v>24101711</v>
      </c>
      <c r="B2350" s="35" t="s">
        <v>3331</v>
      </c>
    </row>
    <row r="2351" spans="1:2" x14ac:dyDescent="0.35">
      <c r="A2351" s="34">
        <v>24101712</v>
      </c>
      <c r="B2351" s="35" t="s">
        <v>2401</v>
      </c>
    </row>
    <row r="2352" spans="1:2" x14ac:dyDescent="0.35">
      <c r="A2352" s="34">
        <v>24101713</v>
      </c>
      <c r="B2352" s="35" t="s">
        <v>2998</v>
      </c>
    </row>
    <row r="2353" spans="1:2" x14ac:dyDescent="0.35">
      <c r="A2353" s="34">
        <v>24101714</v>
      </c>
      <c r="B2353" s="35" t="s">
        <v>13549</v>
      </c>
    </row>
    <row r="2354" spans="1:2" x14ac:dyDescent="0.35">
      <c r="A2354" s="34">
        <v>24101715</v>
      </c>
      <c r="B2354" s="35" t="s">
        <v>6224</v>
      </c>
    </row>
    <row r="2355" spans="1:2" x14ac:dyDescent="0.35">
      <c r="A2355" s="34">
        <v>24101716</v>
      </c>
      <c r="B2355" s="35" t="s">
        <v>4700</v>
      </c>
    </row>
    <row r="2356" spans="1:2" x14ac:dyDescent="0.35">
      <c r="A2356" s="34">
        <v>24101717</v>
      </c>
      <c r="B2356" s="35" t="s">
        <v>16122</v>
      </c>
    </row>
    <row r="2357" spans="1:2" x14ac:dyDescent="0.35">
      <c r="A2357" s="34">
        <v>24101718</v>
      </c>
      <c r="B2357" s="35" t="s">
        <v>3565</v>
      </c>
    </row>
    <row r="2358" spans="1:2" x14ac:dyDescent="0.35">
      <c r="A2358" s="34">
        <v>24101719</v>
      </c>
      <c r="B2358" s="35" t="s">
        <v>2726</v>
      </c>
    </row>
    <row r="2359" spans="1:2" x14ac:dyDescent="0.35">
      <c r="A2359" s="34">
        <v>24101721</v>
      </c>
      <c r="B2359" s="35" t="s">
        <v>514</v>
      </c>
    </row>
    <row r="2360" spans="1:2" x14ac:dyDescent="0.35">
      <c r="A2360" s="34">
        <v>24101722</v>
      </c>
      <c r="B2360" s="35" t="s">
        <v>1226</v>
      </c>
    </row>
    <row r="2361" spans="1:2" x14ac:dyDescent="0.35">
      <c r="A2361" s="34">
        <v>24101723</v>
      </c>
      <c r="B2361" s="35" t="s">
        <v>4944</v>
      </c>
    </row>
    <row r="2362" spans="1:2" x14ac:dyDescent="0.35">
      <c r="A2362" s="34">
        <v>24101724</v>
      </c>
      <c r="B2362" s="35" t="s">
        <v>14432</v>
      </c>
    </row>
    <row r="2363" spans="1:2" x14ac:dyDescent="0.35">
      <c r="A2363" s="34">
        <v>24101725</v>
      </c>
      <c r="B2363" s="35" t="s">
        <v>9118</v>
      </c>
    </row>
    <row r="2364" spans="1:2" x14ac:dyDescent="0.35">
      <c r="A2364" s="34">
        <v>24101726</v>
      </c>
      <c r="B2364" s="35" t="s">
        <v>8673</v>
      </c>
    </row>
    <row r="2365" spans="1:2" x14ac:dyDescent="0.35">
      <c r="A2365" s="34">
        <v>24101727</v>
      </c>
      <c r="B2365" s="35" t="s">
        <v>16636</v>
      </c>
    </row>
    <row r="2366" spans="1:2" x14ac:dyDescent="0.35">
      <c r="A2366" s="34">
        <v>24101728</v>
      </c>
      <c r="B2366" s="35" t="s">
        <v>17171</v>
      </c>
    </row>
    <row r="2367" spans="1:2" x14ac:dyDescent="0.35">
      <c r="A2367" s="34">
        <v>24101801</v>
      </c>
      <c r="B2367" s="35" t="s">
        <v>9472</v>
      </c>
    </row>
    <row r="2368" spans="1:2" x14ac:dyDescent="0.35">
      <c r="A2368" s="34">
        <v>24101802</v>
      </c>
      <c r="B2368" s="35" t="s">
        <v>9775</v>
      </c>
    </row>
    <row r="2369" spans="1:2" x14ac:dyDescent="0.35">
      <c r="A2369" s="34">
        <v>24101803</v>
      </c>
      <c r="B2369" s="35" t="s">
        <v>2206</v>
      </c>
    </row>
    <row r="2370" spans="1:2" x14ac:dyDescent="0.35">
      <c r="A2370" s="34">
        <v>24101804</v>
      </c>
      <c r="B2370" s="35" t="s">
        <v>240</v>
      </c>
    </row>
    <row r="2371" spans="1:2" x14ac:dyDescent="0.35">
      <c r="A2371" s="34">
        <v>24101805</v>
      </c>
      <c r="B2371" s="35" t="s">
        <v>10338</v>
      </c>
    </row>
    <row r="2372" spans="1:2" x14ac:dyDescent="0.35">
      <c r="A2372" s="34">
        <v>24101806</v>
      </c>
      <c r="B2372" s="35" t="s">
        <v>14089</v>
      </c>
    </row>
    <row r="2373" spans="1:2" x14ac:dyDescent="0.35">
      <c r="A2373" s="34">
        <v>24101807</v>
      </c>
      <c r="B2373" s="35" t="s">
        <v>12821</v>
      </c>
    </row>
    <row r="2374" spans="1:2" x14ac:dyDescent="0.35">
      <c r="A2374" s="34">
        <v>24101808</v>
      </c>
      <c r="B2374" s="35" t="s">
        <v>8845</v>
      </c>
    </row>
    <row r="2375" spans="1:2" x14ac:dyDescent="0.35">
      <c r="A2375" s="34">
        <v>24101809</v>
      </c>
      <c r="B2375" s="35" t="s">
        <v>16661</v>
      </c>
    </row>
    <row r="2376" spans="1:2" x14ac:dyDescent="0.35">
      <c r="A2376" s="34">
        <v>24101901</v>
      </c>
      <c r="B2376" s="35" t="s">
        <v>8660</v>
      </c>
    </row>
    <row r="2377" spans="1:2" x14ac:dyDescent="0.35">
      <c r="A2377" s="34">
        <v>24101902</v>
      </c>
      <c r="B2377" s="35" t="s">
        <v>15496</v>
      </c>
    </row>
    <row r="2378" spans="1:2" x14ac:dyDescent="0.35">
      <c r="A2378" s="34">
        <v>24101903</v>
      </c>
      <c r="B2378" s="35" t="s">
        <v>12700</v>
      </c>
    </row>
    <row r="2379" spans="1:2" x14ac:dyDescent="0.35">
      <c r="A2379" s="34">
        <v>24101904</v>
      </c>
      <c r="B2379" s="35" t="s">
        <v>5637</v>
      </c>
    </row>
    <row r="2380" spans="1:2" x14ac:dyDescent="0.35">
      <c r="A2380" s="34">
        <v>24101905</v>
      </c>
      <c r="B2380" s="35" t="s">
        <v>18339</v>
      </c>
    </row>
    <row r="2381" spans="1:2" x14ac:dyDescent="0.35">
      <c r="A2381" s="34">
        <v>24101906</v>
      </c>
      <c r="B2381" s="35" t="s">
        <v>2601</v>
      </c>
    </row>
    <row r="2382" spans="1:2" x14ac:dyDescent="0.35">
      <c r="A2382" s="34">
        <v>24101907</v>
      </c>
      <c r="B2382" s="35" t="s">
        <v>15097</v>
      </c>
    </row>
    <row r="2383" spans="1:2" x14ac:dyDescent="0.35">
      <c r="A2383" s="34">
        <v>24102001</v>
      </c>
      <c r="B2383" s="35" t="s">
        <v>8993</v>
      </c>
    </row>
    <row r="2384" spans="1:2" x14ac:dyDescent="0.35">
      <c r="A2384" s="34">
        <v>24102002</v>
      </c>
      <c r="B2384" s="35" t="s">
        <v>11233</v>
      </c>
    </row>
    <row r="2385" spans="1:2" x14ac:dyDescent="0.35">
      <c r="A2385" s="34">
        <v>24102004</v>
      </c>
      <c r="B2385" s="35" t="s">
        <v>7404</v>
      </c>
    </row>
    <row r="2386" spans="1:2" x14ac:dyDescent="0.35">
      <c r="A2386" s="34">
        <v>24102005</v>
      </c>
      <c r="B2386" s="35" t="s">
        <v>15327</v>
      </c>
    </row>
    <row r="2387" spans="1:2" x14ac:dyDescent="0.35">
      <c r="A2387" s="34">
        <v>24102006</v>
      </c>
      <c r="B2387" s="35" t="s">
        <v>6607</v>
      </c>
    </row>
    <row r="2388" spans="1:2" x14ac:dyDescent="0.35">
      <c r="A2388" s="34">
        <v>24102007</v>
      </c>
      <c r="B2388" s="35" t="s">
        <v>6627</v>
      </c>
    </row>
    <row r="2389" spans="1:2" x14ac:dyDescent="0.35">
      <c r="A2389" s="34">
        <v>24102008</v>
      </c>
      <c r="B2389" s="35" t="s">
        <v>1448</v>
      </c>
    </row>
    <row r="2390" spans="1:2" x14ac:dyDescent="0.35">
      <c r="A2390" s="34">
        <v>24102101</v>
      </c>
      <c r="B2390" s="35" t="s">
        <v>10953</v>
      </c>
    </row>
    <row r="2391" spans="1:2" x14ac:dyDescent="0.35">
      <c r="A2391" s="34">
        <v>24102102</v>
      </c>
      <c r="B2391" s="35" t="s">
        <v>5105</v>
      </c>
    </row>
    <row r="2392" spans="1:2" x14ac:dyDescent="0.35">
      <c r="A2392" s="34">
        <v>24102103</v>
      </c>
      <c r="B2392" s="35" t="s">
        <v>7565</v>
      </c>
    </row>
    <row r="2393" spans="1:2" x14ac:dyDescent="0.35">
      <c r="A2393" s="34">
        <v>24102104</v>
      </c>
      <c r="B2393" s="35" t="s">
        <v>17416</v>
      </c>
    </row>
    <row r="2394" spans="1:2" x14ac:dyDescent="0.35">
      <c r="A2394" s="34">
        <v>24102105</v>
      </c>
      <c r="B2394" s="35" t="s">
        <v>13650</v>
      </c>
    </row>
    <row r="2395" spans="1:2" x14ac:dyDescent="0.35">
      <c r="A2395" s="34">
        <v>24102106</v>
      </c>
      <c r="B2395" s="35" t="s">
        <v>891</v>
      </c>
    </row>
    <row r="2396" spans="1:2" x14ac:dyDescent="0.35">
      <c r="A2396" s="34">
        <v>24102107</v>
      </c>
      <c r="B2396" s="35" t="s">
        <v>6680</v>
      </c>
    </row>
    <row r="2397" spans="1:2" x14ac:dyDescent="0.35">
      <c r="A2397" s="34">
        <v>24102108</v>
      </c>
      <c r="B2397" s="35" t="s">
        <v>14276</v>
      </c>
    </row>
    <row r="2398" spans="1:2" x14ac:dyDescent="0.35">
      <c r="A2398" s="34">
        <v>24102109</v>
      </c>
      <c r="B2398" s="35" t="s">
        <v>9668</v>
      </c>
    </row>
    <row r="2399" spans="1:2" x14ac:dyDescent="0.35">
      <c r="A2399" s="34">
        <v>24102201</v>
      </c>
      <c r="B2399" s="35" t="s">
        <v>8207</v>
      </c>
    </row>
    <row r="2400" spans="1:2" x14ac:dyDescent="0.35">
      <c r="A2400" s="34">
        <v>24102202</v>
      </c>
      <c r="B2400" s="35" t="s">
        <v>7099</v>
      </c>
    </row>
    <row r="2401" spans="1:2" x14ac:dyDescent="0.35">
      <c r="A2401" s="34">
        <v>24102203</v>
      </c>
      <c r="B2401" s="35" t="s">
        <v>121</v>
      </c>
    </row>
    <row r="2402" spans="1:2" x14ac:dyDescent="0.35">
      <c r="A2402" s="34">
        <v>24102204</v>
      </c>
      <c r="B2402" s="35" t="s">
        <v>19373</v>
      </c>
    </row>
    <row r="2403" spans="1:2" x14ac:dyDescent="0.35">
      <c r="A2403" s="34">
        <v>24102208</v>
      </c>
      <c r="B2403" s="35" t="s">
        <v>3444</v>
      </c>
    </row>
    <row r="2404" spans="1:2" x14ac:dyDescent="0.35">
      <c r="A2404" s="34">
        <v>24111501</v>
      </c>
      <c r="B2404" s="35" t="s">
        <v>4101</v>
      </c>
    </row>
    <row r="2405" spans="1:2" x14ac:dyDescent="0.35">
      <c r="A2405" s="34">
        <v>24111502</v>
      </c>
      <c r="B2405" s="35" t="s">
        <v>538</v>
      </c>
    </row>
    <row r="2406" spans="1:2" x14ac:dyDescent="0.35">
      <c r="A2406" s="34">
        <v>24111503</v>
      </c>
      <c r="B2406" s="35" t="s">
        <v>11624</v>
      </c>
    </row>
    <row r="2407" spans="1:2" x14ac:dyDescent="0.35">
      <c r="A2407" s="34">
        <v>24111505</v>
      </c>
      <c r="B2407" s="35" t="s">
        <v>13478</v>
      </c>
    </row>
    <row r="2408" spans="1:2" x14ac:dyDescent="0.35">
      <c r="A2408" s="34">
        <v>24111506</v>
      </c>
      <c r="B2408" s="35" t="s">
        <v>4729</v>
      </c>
    </row>
    <row r="2409" spans="1:2" x14ac:dyDescent="0.35">
      <c r="A2409" s="34">
        <v>24111507</v>
      </c>
      <c r="B2409" s="35" t="s">
        <v>6445</v>
      </c>
    </row>
    <row r="2410" spans="1:2" x14ac:dyDescent="0.35">
      <c r="A2410" s="34">
        <v>24111508</v>
      </c>
      <c r="B2410" s="35" t="s">
        <v>14235</v>
      </c>
    </row>
    <row r="2411" spans="1:2" x14ac:dyDescent="0.35">
      <c r="A2411" s="34">
        <v>24111509</v>
      </c>
      <c r="B2411" s="35" t="s">
        <v>16727</v>
      </c>
    </row>
    <row r="2412" spans="1:2" x14ac:dyDescent="0.35">
      <c r="A2412" s="34">
        <v>24111801</v>
      </c>
      <c r="B2412" s="35" t="s">
        <v>3100</v>
      </c>
    </row>
    <row r="2413" spans="1:2" x14ac:dyDescent="0.35">
      <c r="A2413" s="34">
        <v>24111802</v>
      </c>
      <c r="B2413" s="35" t="s">
        <v>13314</v>
      </c>
    </row>
    <row r="2414" spans="1:2" x14ac:dyDescent="0.35">
      <c r="A2414" s="34">
        <v>24111803</v>
      </c>
      <c r="B2414" s="35" t="s">
        <v>7732</v>
      </c>
    </row>
    <row r="2415" spans="1:2" x14ac:dyDescent="0.35">
      <c r="A2415" s="34">
        <v>24111804</v>
      </c>
      <c r="B2415" s="35" t="s">
        <v>16687</v>
      </c>
    </row>
    <row r="2416" spans="1:2" x14ac:dyDescent="0.35">
      <c r="A2416" s="34">
        <v>24111805</v>
      </c>
      <c r="B2416" s="35" t="s">
        <v>13454</v>
      </c>
    </row>
    <row r="2417" spans="1:2" x14ac:dyDescent="0.35">
      <c r="A2417" s="34">
        <v>24111806</v>
      </c>
      <c r="B2417" s="35" t="s">
        <v>1889</v>
      </c>
    </row>
    <row r="2418" spans="1:2" x14ac:dyDescent="0.35">
      <c r="A2418" s="34">
        <v>24111807</v>
      </c>
      <c r="B2418" s="35" t="s">
        <v>10741</v>
      </c>
    </row>
    <row r="2419" spans="1:2" x14ac:dyDescent="0.35">
      <c r="A2419" s="34">
        <v>24111808</v>
      </c>
      <c r="B2419" s="35" t="s">
        <v>5823</v>
      </c>
    </row>
    <row r="2420" spans="1:2" x14ac:dyDescent="0.35">
      <c r="A2420" s="34">
        <v>24111809</v>
      </c>
      <c r="B2420" s="35" t="s">
        <v>1250</v>
      </c>
    </row>
    <row r="2421" spans="1:2" x14ac:dyDescent="0.35">
      <c r="A2421" s="34">
        <v>24111810</v>
      </c>
      <c r="B2421" s="35" t="s">
        <v>8539</v>
      </c>
    </row>
    <row r="2422" spans="1:2" x14ac:dyDescent="0.35">
      <c r="A2422" s="34">
        <v>24111811</v>
      </c>
      <c r="B2422" s="35" t="s">
        <v>17658</v>
      </c>
    </row>
    <row r="2423" spans="1:2" x14ac:dyDescent="0.35">
      <c r="A2423" s="34">
        <v>24111812</v>
      </c>
      <c r="B2423" s="35" t="s">
        <v>13094</v>
      </c>
    </row>
    <row r="2424" spans="1:2" x14ac:dyDescent="0.35">
      <c r="A2424" s="34">
        <v>24111813</v>
      </c>
      <c r="B2424" s="35" t="s">
        <v>6304</v>
      </c>
    </row>
    <row r="2425" spans="1:2" x14ac:dyDescent="0.35">
      <c r="A2425" s="34">
        <v>24112003</v>
      </c>
      <c r="B2425" s="35" t="s">
        <v>4934</v>
      </c>
    </row>
    <row r="2426" spans="1:2" x14ac:dyDescent="0.35">
      <c r="A2426" s="34">
        <v>24112004</v>
      </c>
      <c r="B2426" s="35" t="s">
        <v>3365</v>
      </c>
    </row>
    <row r="2427" spans="1:2" x14ac:dyDescent="0.35">
      <c r="A2427" s="34">
        <v>24112005</v>
      </c>
      <c r="B2427" s="35" t="s">
        <v>8550</v>
      </c>
    </row>
    <row r="2428" spans="1:2" x14ac:dyDescent="0.35">
      <c r="A2428" s="34">
        <v>24112006</v>
      </c>
      <c r="B2428" s="35" t="s">
        <v>13286</v>
      </c>
    </row>
    <row r="2429" spans="1:2" x14ac:dyDescent="0.35">
      <c r="A2429" s="34">
        <v>24112101</v>
      </c>
      <c r="B2429" s="35" t="s">
        <v>14529</v>
      </c>
    </row>
    <row r="2430" spans="1:2" x14ac:dyDescent="0.35">
      <c r="A2430" s="34">
        <v>24112102</v>
      </c>
      <c r="B2430" s="35" t="s">
        <v>14525</v>
      </c>
    </row>
    <row r="2431" spans="1:2" x14ac:dyDescent="0.35">
      <c r="A2431" s="34">
        <v>24112108</v>
      </c>
      <c r="B2431" s="35" t="s">
        <v>18885</v>
      </c>
    </row>
    <row r="2432" spans="1:2" x14ac:dyDescent="0.35">
      <c r="A2432" s="34">
        <v>24112109</v>
      </c>
      <c r="B2432" s="35" t="s">
        <v>1588</v>
      </c>
    </row>
    <row r="2433" spans="1:2" x14ac:dyDescent="0.35">
      <c r="A2433" s="34">
        <v>24112110</v>
      </c>
      <c r="B2433" s="35" t="s">
        <v>12125</v>
      </c>
    </row>
    <row r="2434" spans="1:2" x14ac:dyDescent="0.35">
      <c r="A2434" s="34">
        <v>24112111</v>
      </c>
      <c r="B2434" s="35" t="s">
        <v>18451</v>
      </c>
    </row>
    <row r="2435" spans="1:2" x14ac:dyDescent="0.35">
      <c r="A2435" s="34">
        <v>24112112</v>
      </c>
      <c r="B2435" s="35" t="s">
        <v>1166</v>
      </c>
    </row>
    <row r="2436" spans="1:2" x14ac:dyDescent="0.35">
      <c r="A2436" s="34">
        <v>24112204</v>
      </c>
      <c r="B2436" s="35" t="s">
        <v>8720</v>
      </c>
    </row>
    <row r="2437" spans="1:2" x14ac:dyDescent="0.35">
      <c r="A2437" s="34">
        <v>24112205</v>
      </c>
      <c r="B2437" s="35" t="s">
        <v>2727</v>
      </c>
    </row>
    <row r="2438" spans="1:2" x14ac:dyDescent="0.35">
      <c r="A2438" s="34">
        <v>24112206</v>
      </c>
      <c r="B2438" s="35" t="s">
        <v>3930</v>
      </c>
    </row>
    <row r="2439" spans="1:2" x14ac:dyDescent="0.35">
      <c r="A2439" s="34">
        <v>24112207</v>
      </c>
      <c r="B2439" s="35" t="s">
        <v>19573</v>
      </c>
    </row>
    <row r="2440" spans="1:2" x14ac:dyDescent="0.35">
      <c r="A2440" s="34">
        <v>24112208</v>
      </c>
      <c r="B2440" s="35" t="s">
        <v>2710</v>
      </c>
    </row>
    <row r="2441" spans="1:2" x14ac:dyDescent="0.35">
      <c r="A2441" s="34">
        <v>24112209</v>
      </c>
      <c r="B2441" s="35" t="s">
        <v>9987</v>
      </c>
    </row>
    <row r="2442" spans="1:2" x14ac:dyDescent="0.35">
      <c r="A2442" s="34">
        <v>24112401</v>
      </c>
      <c r="B2442" s="35" t="s">
        <v>141</v>
      </c>
    </row>
    <row r="2443" spans="1:2" x14ac:dyDescent="0.35">
      <c r="A2443" s="34">
        <v>24112402</v>
      </c>
      <c r="B2443" s="35" t="s">
        <v>12669</v>
      </c>
    </row>
    <row r="2444" spans="1:2" x14ac:dyDescent="0.35">
      <c r="A2444" s="34">
        <v>24112403</v>
      </c>
      <c r="B2444" s="35" t="s">
        <v>12748</v>
      </c>
    </row>
    <row r="2445" spans="1:2" x14ac:dyDescent="0.35">
      <c r="A2445" s="34">
        <v>24112404</v>
      </c>
      <c r="B2445" s="35" t="s">
        <v>17735</v>
      </c>
    </row>
    <row r="2446" spans="1:2" x14ac:dyDescent="0.35">
      <c r="A2446" s="34">
        <v>24112405</v>
      </c>
      <c r="B2446" s="35" t="s">
        <v>246</v>
      </c>
    </row>
    <row r="2447" spans="1:2" x14ac:dyDescent="0.35">
      <c r="A2447" s="34">
        <v>24112406</v>
      </c>
      <c r="B2447" s="35" t="s">
        <v>12712</v>
      </c>
    </row>
    <row r="2448" spans="1:2" x14ac:dyDescent="0.35">
      <c r="A2448" s="34">
        <v>24112407</v>
      </c>
      <c r="B2448" s="35" t="s">
        <v>4550</v>
      </c>
    </row>
    <row r="2449" spans="1:2" x14ac:dyDescent="0.35">
      <c r="A2449" s="34">
        <v>24112408</v>
      </c>
      <c r="B2449" s="35" t="s">
        <v>15394</v>
      </c>
    </row>
    <row r="2450" spans="1:2" x14ac:dyDescent="0.35">
      <c r="A2450" s="34">
        <v>24112409</v>
      </c>
      <c r="B2450" s="35" t="s">
        <v>5357</v>
      </c>
    </row>
    <row r="2451" spans="1:2" x14ac:dyDescent="0.35">
      <c r="A2451" s="34">
        <v>24112501</v>
      </c>
      <c r="B2451" s="35" t="s">
        <v>8194</v>
      </c>
    </row>
    <row r="2452" spans="1:2" x14ac:dyDescent="0.35">
      <c r="A2452" s="34">
        <v>24112502</v>
      </c>
      <c r="B2452" s="35" t="s">
        <v>3799</v>
      </c>
    </row>
    <row r="2453" spans="1:2" x14ac:dyDescent="0.35">
      <c r="A2453" s="34">
        <v>24112503</v>
      </c>
      <c r="B2453" s="35" t="s">
        <v>18520</v>
      </c>
    </row>
    <row r="2454" spans="1:2" x14ac:dyDescent="0.35">
      <c r="A2454" s="34">
        <v>24112504</v>
      </c>
      <c r="B2454" s="35" t="s">
        <v>17484</v>
      </c>
    </row>
    <row r="2455" spans="1:2" x14ac:dyDescent="0.35">
      <c r="A2455" s="34">
        <v>24112505</v>
      </c>
      <c r="B2455" s="35" t="s">
        <v>297</v>
      </c>
    </row>
    <row r="2456" spans="1:2" x14ac:dyDescent="0.35">
      <c r="A2456" s="34">
        <v>24112601</v>
      </c>
      <c r="B2456" s="35" t="s">
        <v>19204</v>
      </c>
    </row>
    <row r="2457" spans="1:2" x14ac:dyDescent="0.35">
      <c r="A2457" s="34">
        <v>24112602</v>
      </c>
      <c r="B2457" s="35" t="s">
        <v>17943</v>
      </c>
    </row>
    <row r="2458" spans="1:2" x14ac:dyDescent="0.35">
      <c r="A2458" s="34">
        <v>24121502</v>
      </c>
      <c r="B2458" s="35" t="s">
        <v>11430</v>
      </c>
    </row>
    <row r="2459" spans="1:2" x14ac:dyDescent="0.35">
      <c r="A2459" s="34">
        <v>24121503</v>
      </c>
      <c r="B2459" s="35" t="s">
        <v>11422</v>
      </c>
    </row>
    <row r="2460" spans="1:2" x14ac:dyDescent="0.35">
      <c r="A2460" s="34">
        <v>24121504</v>
      </c>
      <c r="B2460" s="35" t="s">
        <v>1431</v>
      </c>
    </row>
    <row r="2461" spans="1:2" x14ac:dyDescent="0.35">
      <c r="A2461" s="34">
        <v>24121506</v>
      </c>
      <c r="B2461" s="35" t="s">
        <v>4725</v>
      </c>
    </row>
    <row r="2462" spans="1:2" x14ac:dyDescent="0.35">
      <c r="A2462" s="34">
        <v>24121507</v>
      </c>
      <c r="B2462" s="35" t="s">
        <v>13138</v>
      </c>
    </row>
    <row r="2463" spans="1:2" x14ac:dyDescent="0.35">
      <c r="A2463" s="34">
        <v>24121508</v>
      </c>
      <c r="B2463" s="35" t="s">
        <v>2876</v>
      </c>
    </row>
    <row r="2464" spans="1:2" x14ac:dyDescent="0.35">
      <c r="A2464" s="34">
        <v>24121509</v>
      </c>
      <c r="B2464" s="35" t="s">
        <v>3947</v>
      </c>
    </row>
    <row r="2465" spans="1:2" x14ac:dyDescent="0.35">
      <c r="A2465" s="34">
        <v>24121801</v>
      </c>
      <c r="B2465" s="35" t="s">
        <v>12915</v>
      </c>
    </row>
    <row r="2466" spans="1:2" x14ac:dyDescent="0.35">
      <c r="A2466" s="34">
        <v>24121802</v>
      </c>
      <c r="B2466" s="35" t="s">
        <v>14870</v>
      </c>
    </row>
    <row r="2467" spans="1:2" x14ac:dyDescent="0.35">
      <c r="A2467" s="34">
        <v>24121803</v>
      </c>
      <c r="B2467" s="35" t="s">
        <v>10103</v>
      </c>
    </row>
    <row r="2468" spans="1:2" x14ac:dyDescent="0.35">
      <c r="A2468" s="34">
        <v>24121804</v>
      </c>
      <c r="B2468" s="35" t="s">
        <v>667</v>
      </c>
    </row>
    <row r="2469" spans="1:2" x14ac:dyDescent="0.35">
      <c r="A2469" s="34">
        <v>24121805</v>
      </c>
      <c r="B2469" s="35" t="s">
        <v>1924</v>
      </c>
    </row>
    <row r="2470" spans="1:2" x14ac:dyDescent="0.35">
      <c r="A2470" s="34">
        <v>24121806</v>
      </c>
      <c r="B2470" s="35" t="s">
        <v>14557</v>
      </c>
    </row>
    <row r="2471" spans="1:2" x14ac:dyDescent="0.35">
      <c r="A2471" s="34">
        <v>24121807</v>
      </c>
      <c r="B2471" s="35" t="s">
        <v>11384</v>
      </c>
    </row>
    <row r="2472" spans="1:2" x14ac:dyDescent="0.35">
      <c r="A2472" s="34">
        <v>24122001</v>
      </c>
      <c r="B2472" s="35" t="s">
        <v>4001</v>
      </c>
    </row>
    <row r="2473" spans="1:2" x14ac:dyDescent="0.35">
      <c r="A2473" s="34">
        <v>24122002</v>
      </c>
      <c r="B2473" s="35" t="s">
        <v>7460</v>
      </c>
    </row>
    <row r="2474" spans="1:2" x14ac:dyDescent="0.35">
      <c r="A2474" s="34">
        <v>24122003</v>
      </c>
      <c r="B2474" s="35" t="s">
        <v>2138</v>
      </c>
    </row>
    <row r="2475" spans="1:2" x14ac:dyDescent="0.35">
      <c r="A2475" s="34">
        <v>24122004</v>
      </c>
      <c r="B2475" s="35" t="s">
        <v>1619</v>
      </c>
    </row>
    <row r="2476" spans="1:2" x14ac:dyDescent="0.35">
      <c r="A2476" s="34">
        <v>24122005</v>
      </c>
      <c r="B2476" s="35" t="s">
        <v>3622</v>
      </c>
    </row>
    <row r="2477" spans="1:2" x14ac:dyDescent="0.35">
      <c r="A2477" s="34">
        <v>24122006</v>
      </c>
      <c r="B2477" s="35" t="s">
        <v>16622</v>
      </c>
    </row>
    <row r="2478" spans="1:2" x14ac:dyDescent="0.35">
      <c r="A2478" s="34">
        <v>24131501</v>
      </c>
      <c r="B2478" s="35" t="s">
        <v>311</v>
      </c>
    </row>
    <row r="2479" spans="1:2" x14ac:dyDescent="0.35">
      <c r="A2479" s="34">
        <v>24131502</v>
      </c>
      <c r="B2479" s="35" t="s">
        <v>13048</v>
      </c>
    </row>
    <row r="2480" spans="1:2" x14ac:dyDescent="0.35">
      <c r="A2480" s="34">
        <v>24131503</v>
      </c>
      <c r="B2480" s="35" t="s">
        <v>4637</v>
      </c>
    </row>
    <row r="2481" spans="1:2" x14ac:dyDescent="0.35">
      <c r="A2481" s="34">
        <v>24131504</v>
      </c>
      <c r="B2481" s="35" t="s">
        <v>16101</v>
      </c>
    </row>
    <row r="2482" spans="1:2" x14ac:dyDescent="0.35">
      <c r="A2482" s="34">
        <v>24131505</v>
      </c>
      <c r="B2482" s="35" t="s">
        <v>3338</v>
      </c>
    </row>
    <row r="2483" spans="1:2" x14ac:dyDescent="0.35">
      <c r="A2483" s="34">
        <v>24131506</v>
      </c>
      <c r="B2483" s="35" t="s">
        <v>3424</v>
      </c>
    </row>
    <row r="2484" spans="1:2" x14ac:dyDescent="0.35">
      <c r="A2484" s="34">
        <v>24131601</v>
      </c>
      <c r="B2484" s="35" t="s">
        <v>4114</v>
      </c>
    </row>
    <row r="2485" spans="1:2" x14ac:dyDescent="0.35">
      <c r="A2485" s="34">
        <v>24131602</v>
      </c>
      <c r="B2485" s="35" t="s">
        <v>1103</v>
      </c>
    </row>
    <row r="2486" spans="1:2" x14ac:dyDescent="0.35">
      <c r="A2486" s="34">
        <v>24131603</v>
      </c>
      <c r="B2486" s="35" t="s">
        <v>19560</v>
      </c>
    </row>
    <row r="2487" spans="1:2" x14ac:dyDescent="0.35">
      <c r="A2487" s="34">
        <v>24131604</v>
      </c>
      <c r="B2487" s="35" t="s">
        <v>218</v>
      </c>
    </row>
    <row r="2488" spans="1:2" x14ac:dyDescent="0.35">
      <c r="A2488" s="34">
        <v>24131605</v>
      </c>
      <c r="B2488" s="35" t="s">
        <v>4637</v>
      </c>
    </row>
    <row r="2489" spans="1:2" x14ac:dyDescent="0.35">
      <c r="A2489" s="34">
        <v>24131606</v>
      </c>
      <c r="B2489" s="35" t="s">
        <v>19446</v>
      </c>
    </row>
    <row r="2490" spans="1:2" x14ac:dyDescent="0.35">
      <c r="A2490" s="34">
        <v>24131607</v>
      </c>
      <c r="B2490" s="35" t="s">
        <v>8353</v>
      </c>
    </row>
    <row r="2491" spans="1:2" x14ac:dyDescent="0.35">
      <c r="A2491" s="34">
        <v>24131901</v>
      </c>
      <c r="B2491" s="35" t="s">
        <v>5384</v>
      </c>
    </row>
    <row r="2492" spans="1:2" x14ac:dyDescent="0.35">
      <c r="A2492" s="34">
        <v>24131902</v>
      </c>
      <c r="B2492" s="35" t="s">
        <v>13022</v>
      </c>
    </row>
    <row r="2493" spans="1:2" x14ac:dyDescent="0.35">
      <c r="A2493" s="34">
        <v>24141501</v>
      </c>
      <c r="B2493" s="35" t="s">
        <v>970</v>
      </c>
    </row>
    <row r="2494" spans="1:2" x14ac:dyDescent="0.35">
      <c r="A2494" s="34">
        <v>24141502</v>
      </c>
      <c r="B2494" s="35" t="s">
        <v>8362</v>
      </c>
    </row>
    <row r="2495" spans="1:2" x14ac:dyDescent="0.35">
      <c r="A2495" s="34">
        <v>24141504</v>
      </c>
      <c r="B2495" s="35" t="s">
        <v>18894</v>
      </c>
    </row>
    <row r="2496" spans="1:2" x14ac:dyDescent="0.35">
      <c r="A2496" s="34">
        <v>24141506</v>
      </c>
      <c r="B2496" s="35" t="s">
        <v>5130</v>
      </c>
    </row>
    <row r="2497" spans="1:2" x14ac:dyDescent="0.35">
      <c r="A2497" s="34">
        <v>24141507</v>
      </c>
      <c r="B2497" s="35" t="s">
        <v>13623</v>
      </c>
    </row>
    <row r="2498" spans="1:2" x14ac:dyDescent="0.35">
      <c r="A2498" s="34">
        <v>24141508</v>
      </c>
      <c r="B2498" s="35" t="s">
        <v>7876</v>
      </c>
    </row>
    <row r="2499" spans="1:2" x14ac:dyDescent="0.35">
      <c r="A2499" s="34">
        <v>24141509</v>
      </c>
      <c r="B2499" s="35" t="s">
        <v>11038</v>
      </c>
    </row>
    <row r="2500" spans="1:2" x14ac:dyDescent="0.35">
      <c r="A2500" s="34">
        <v>24141510</v>
      </c>
      <c r="B2500" s="35" t="s">
        <v>7393</v>
      </c>
    </row>
    <row r="2501" spans="1:2" x14ac:dyDescent="0.35">
      <c r="A2501" s="34">
        <v>24141511</v>
      </c>
      <c r="B2501" s="35" t="s">
        <v>2307</v>
      </c>
    </row>
    <row r="2502" spans="1:2" x14ac:dyDescent="0.35">
      <c r="A2502" s="34">
        <v>24141512</v>
      </c>
      <c r="B2502" s="35" t="s">
        <v>18745</v>
      </c>
    </row>
    <row r="2503" spans="1:2" x14ac:dyDescent="0.35">
      <c r="A2503" s="34">
        <v>24141513</v>
      </c>
      <c r="B2503" s="35" t="s">
        <v>7704</v>
      </c>
    </row>
    <row r="2504" spans="1:2" x14ac:dyDescent="0.35">
      <c r="A2504" s="34">
        <v>24141514</v>
      </c>
      <c r="B2504" s="35" t="s">
        <v>703</v>
      </c>
    </row>
    <row r="2505" spans="1:2" x14ac:dyDescent="0.35">
      <c r="A2505" s="34">
        <v>24141515</v>
      </c>
      <c r="B2505" s="35" t="s">
        <v>8156</v>
      </c>
    </row>
    <row r="2506" spans="1:2" x14ac:dyDescent="0.35">
      <c r="A2506" s="34">
        <v>24141601</v>
      </c>
      <c r="B2506" s="35" t="s">
        <v>8794</v>
      </c>
    </row>
    <row r="2507" spans="1:2" x14ac:dyDescent="0.35">
      <c r="A2507" s="34">
        <v>24141602</v>
      </c>
      <c r="B2507" s="35" t="s">
        <v>18484</v>
      </c>
    </row>
    <row r="2508" spans="1:2" x14ac:dyDescent="0.35">
      <c r="A2508" s="34">
        <v>24141603</v>
      </c>
      <c r="B2508" s="35" t="s">
        <v>12168</v>
      </c>
    </row>
    <row r="2509" spans="1:2" x14ac:dyDescent="0.35">
      <c r="A2509" s="34">
        <v>24141604</v>
      </c>
      <c r="B2509" s="35" t="s">
        <v>7217</v>
      </c>
    </row>
    <row r="2510" spans="1:2" x14ac:dyDescent="0.35">
      <c r="A2510" s="34">
        <v>24141605</v>
      </c>
      <c r="B2510" s="35" t="s">
        <v>6091</v>
      </c>
    </row>
    <row r="2511" spans="1:2" x14ac:dyDescent="0.35">
      <c r="A2511" s="34">
        <v>24141606</v>
      </c>
      <c r="B2511" s="35" t="s">
        <v>735</v>
      </c>
    </row>
    <row r="2512" spans="1:2" x14ac:dyDescent="0.35">
      <c r="A2512" s="34">
        <v>24141607</v>
      </c>
      <c r="B2512" s="35" t="s">
        <v>13884</v>
      </c>
    </row>
    <row r="2513" spans="1:2" x14ac:dyDescent="0.35">
      <c r="A2513" s="34">
        <v>24141608</v>
      </c>
      <c r="B2513" s="35" t="s">
        <v>18102</v>
      </c>
    </row>
    <row r="2514" spans="1:2" x14ac:dyDescent="0.35">
      <c r="A2514" s="34">
        <v>24141701</v>
      </c>
      <c r="B2514" s="35" t="s">
        <v>2867</v>
      </c>
    </row>
    <row r="2515" spans="1:2" x14ac:dyDescent="0.35">
      <c r="A2515" s="34">
        <v>24141702</v>
      </c>
      <c r="B2515" s="35" t="s">
        <v>8477</v>
      </c>
    </row>
    <row r="2516" spans="1:2" x14ac:dyDescent="0.35">
      <c r="A2516" s="34">
        <v>24141703</v>
      </c>
      <c r="B2516" s="35" t="s">
        <v>8438</v>
      </c>
    </row>
    <row r="2517" spans="1:2" x14ac:dyDescent="0.35">
      <c r="A2517" s="34">
        <v>24141704</v>
      </c>
      <c r="B2517" s="35" t="s">
        <v>14128</v>
      </c>
    </row>
    <row r="2518" spans="1:2" x14ac:dyDescent="0.35">
      <c r="A2518" s="34">
        <v>24141705</v>
      </c>
      <c r="B2518" s="35" t="s">
        <v>8608</v>
      </c>
    </row>
    <row r="2519" spans="1:2" x14ac:dyDescent="0.35">
      <c r="A2519" s="34">
        <v>24141706</v>
      </c>
      <c r="B2519" s="35" t="s">
        <v>16417</v>
      </c>
    </row>
    <row r="2520" spans="1:2" x14ac:dyDescent="0.35">
      <c r="A2520" s="34">
        <v>24141707</v>
      </c>
      <c r="B2520" s="35" t="s">
        <v>18269</v>
      </c>
    </row>
    <row r="2521" spans="1:2" x14ac:dyDescent="0.35">
      <c r="A2521" s="34">
        <v>24141708</v>
      </c>
      <c r="B2521" s="35" t="s">
        <v>12656</v>
      </c>
    </row>
    <row r="2522" spans="1:2" x14ac:dyDescent="0.35">
      <c r="A2522" s="34">
        <v>24141709</v>
      </c>
      <c r="B2522" s="35" t="s">
        <v>9976</v>
      </c>
    </row>
    <row r="2523" spans="1:2" x14ac:dyDescent="0.35">
      <c r="A2523" s="34">
        <v>25101501</v>
      </c>
      <c r="B2523" s="35" t="s">
        <v>17474</v>
      </c>
    </row>
    <row r="2524" spans="1:2" x14ac:dyDescent="0.35">
      <c r="A2524" s="34">
        <v>25101502</v>
      </c>
      <c r="B2524" s="35" t="s">
        <v>18947</v>
      </c>
    </row>
    <row r="2525" spans="1:2" x14ac:dyDescent="0.35">
      <c r="A2525" s="34">
        <v>25101503</v>
      </c>
      <c r="B2525" s="35" t="s">
        <v>18795</v>
      </c>
    </row>
    <row r="2526" spans="1:2" x14ac:dyDescent="0.35">
      <c r="A2526" s="34">
        <v>25101504</v>
      </c>
      <c r="B2526" s="35" t="s">
        <v>6475</v>
      </c>
    </row>
    <row r="2527" spans="1:2" x14ac:dyDescent="0.35">
      <c r="A2527" s="34">
        <v>25101505</v>
      </c>
      <c r="B2527" s="35" t="s">
        <v>14709</v>
      </c>
    </row>
    <row r="2528" spans="1:2" x14ac:dyDescent="0.35">
      <c r="A2528" s="34">
        <v>25101506</v>
      </c>
      <c r="B2528" s="35" t="s">
        <v>9835</v>
      </c>
    </row>
    <row r="2529" spans="1:2" x14ac:dyDescent="0.35">
      <c r="A2529" s="34">
        <v>25101507</v>
      </c>
      <c r="B2529" s="35" t="s">
        <v>15224</v>
      </c>
    </row>
    <row r="2530" spans="1:2" x14ac:dyDescent="0.35">
      <c r="A2530" s="34">
        <v>25101508</v>
      </c>
      <c r="B2530" s="35" t="s">
        <v>14106</v>
      </c>
    </row>
    <row r="2531" spans="1:2" x14ac:dyDescent="0.35">
      <c r="A2531" s="34">
        <v>25101601</v>
      </c>
      <c r="B2531" s="35" t="s">
        <v>16503</v>
      </c>
    </row>
    <row r="2532" spans="1:2" x14ac:dyDescent="0.35">
      <c r="A2532" s="34">
        <v>25101602</v>
      </c>
      <c r="B2532" s="35" t="s">
        <v>11928</v>
      </c>
    </row>
    <row r="2533" spans="1:2" x14ac:dyDescent="0.35">
      <c r="A2533" s="34">
        <v>25101604</v>
      </c>
      <c r="B2533" s="35" t="s">
        <v>10894</v>
      </c>
    </row>
    <row r="2534" spans="1:2" x14ac:dyDescent="0.35">
      <c r="A2534" s="34">
        <v>25101609</v>
      </c>
      <c r="B2534" s="35" t="s">
        <v>2812</v>
      </c>
    </row>
    <row r="2535" spans="1:2" x14ac:dyDescent="0.35">
      <c r="A2535" s="34">
        <v>25101610</v>
      </c>
      <c r="B2535" s="35" t="s">
        <v>1931</v>
      </c>
    </row>
    <row r="2536" spans="1:2" x14ac:dyDescent="0.35">
      <c r="A2536" s="34">
        <v>25101611</v>
      </c>
      <c r="B2536" s="35" t="s">
        <v>14488</v>
      </c>
    </row>
    <row r="2537" spans="1:2" x14ac:dyDescent="0.35">
      <c r="A2537" s="34">
        <v>25101701</v>
      </c>
      <c r="B2537" s="35" t="s">
        <v>4472</v>
      </c>
    </row>
    <row r="2538" spans="1:2" x14ac:dyDescent="0.35">
      <c r="A2538" s="34">
        <v>25101702</v>
      </c>
      <c r="B2538" s="35" t="s">
        <v>17018</v>
      </c>
    </row>
    <row r="2539" spans="1:2" x14ac:dyDescent="0.35">
      <c r="A2539" s="34">
        <v>25101703</v>
      </c>
      <c r="B2539" s="35" t="s">
        <v>487</v>
      </c>
    </row>
    <row r="2540" spans="1:2" x14ac:dyDescent="0.35">
      <c r="A2540" s="34">
        <v>25101801</v>
      </c>
      <c r="B2540" s="35" t="s">
        <v>13322</v>
      </c>
    </row>
    <row r="2541" spans="1:2" x14ac:dyDescent="0.35">
      <c r="A2541" s="34">
        <v>25101802</v>
      </c>
      <c r="B2541" s="35" t="s">
        <v>2296</v>
      </c>
    </row>
    <row r="2542" spans="1:2" x14ac:dyDescent="0.35">
      <c r="A2542" s="34">
        <v>25101803</v>
      </c>
      <c r="B2542" s="35" t="s">
        <v>16937</v>
      </c>
    </row>
    <row r="2543" spans="1:2" x14ac:dyDescent="0.35">
      <c r="A2543" s="34">
        <v>25101901</v>
      </c>
      <c r="B2543" s="35" t="s">
        <v>6084</v>
      </c>
    </row>
    <row r="2544" spans="1:2" x14ac:dyDescent="0.35">
      <c r="A2544" s="34">
        <v>25101902</v>
      </c>
      <c r="B2544" s="35" t="s">
        <v>16234</v>
      </c>
    </row>
    <row r="2545" spans="1:2" x14ac:dyDescent="0.35">
      <c r="A2545" s="34">
        <v>25101903</v>
      </c>
      <c r="B2545" s="35" t="s">
        <v>15020</v>
      </c>
    </row>
    <row r="2546" spans="1:2" x14ac:dyDescent="0.35">
      <c r="A2546" s="34">
        <v>25101904</v>
      </c>
      <c r="B2546" s="35" t="s">
        <v>19433</v>
      </c>
    </row>
    <row r="2547" spans="1:2" x14ac:dyDescent="0.35">
      <c r="A2547" s="34">
        <v>25101905</v>
      </c>
      <c r="B2547" s="35" t="s">
        <v>17766</v>
      </c>
    </row>
    <row r="2548" spans="1:2" x14ac:dyDescent="0.35">
      <c r="A2548" s="34">
        <v>25101906</v>
      </c>
      <c r="B2548" s="35" t="s">
        <v>2762</v>
      </c>
    </row>
    <row r="2549" spans="1:2" x14ac:dyDescent="0.35">
      <c r="A2549" s="34">
        <v>25101907</v>
      </c>
      <c r="B2549" s="35" t="s">
        <v>3344</v>
      </c>
    </row>
    <row r="2550" spans="1:2" x14ac:dyDescent="0.35">
      <c r="A2550" s="34">
        <v>25101908</v>
      </c>
      <c r="B2550" s="35" t="s">
        <v>9884</v>
      </c>
    </row>
    <row r="2551" spans="1:2" x14ac:dyDescent="0.35">
      <c r="A2551" s="34">
        <v>25102001</v>
      </c>
      <c r="B2551" s="35" t="s">
        <v>16699</v>
      </c>
    </row>
    <row r="2552" spans="1:2" x14ac:dyDescent="0.35">
      <c r="A2552" s="34">
        <v>25102002</v>
      </c>
      <c r="B2552" s="35" t="s">
        <v>11464</v>
      </c>
    </row>
    <row r="2553" spans="1:2" x14ac:dyDescent="0.35">
      <c r="A2553" s="34">
        <v>25102003</v>
      </c>
      <c r="B2553" s="35" t="s">
        <v>1557</v>
      </c>
    </row>
    <row r="2554" spans="1:2" x14ac:dyDescent="0.35">
      <c r="A2554" s="34">
        <v>25102101</v>
      </c>
      <c r="B2554" s="35" t="s">
        <v>12067</v>
      </c>
    </row>
    <row r="2555" spans="1:2" x14ac:dyDescent="0.35">
      <c r="A2555" s="34">
        <v>25102102</v>
      </c>
      <c r="B2555" s="35" t="s">
        <v>13521</v>
      </c>
    </row>
    <row r="2556" spans="1:2" x14ac:dyDescent="0.35">
      <c r="A2556" s="34">
        <v>25102103</v>
      </c>
      <c r="B2556" s="35" t="s">
        <v>6163</v>
      </c>
    </row>
    <row r="2557" spans="1:2" x14ac:dyDescent="0.35">
      <c r="A2557" s="34">
        <v>25102104</v>
      </c>
      <c r="B2557" s="35" t="s">
        <v>14362</v>
      </c>
    </row>
    <row r="2558" spans="1:2" x14ac:dyDescent="0.35">
      <c r="A2558" s="34">
        <v>25102105</v>
      </c>
      <c r="B2558" s="35" t="s">
        <v>18080</v>
      </c>
    </row>
    <row r="2559" spans="1:2" x14ac:dyDescent="0.35">
      <c r="A2559" s="34">
        <v>25102106</v>
      </c>
      <c r="B2559" s="35" t="s">
        <v>8119</v>
      </c>
    </row>
    <row r="2560" spans="1:2" x14ac:dyDescent="0.35">
      <c r="A2560" s="34">
        <v>25111501</v>
      </c>
      <c r="B2560" s="35" t="s">
        <v>9704</v>
      </c>
    </row>
    <row r="2561" spans="1:2" x14ac:dyDescent="0.35">
      <c r="A2561" s="34">
        <v>25111502</v>
      </c>
      <c r="B2561" s="35" t="s">
        <v>15447</v>
      </c>
    </row>
    <row r="2562" spans="1:2" x14ac:dyDescent="0.35">
      <c r="A2562" s="34">
        <v>25111503</v>
      </c>
      <c r="B2562" s="35" t="s">
        <v>13062</v>
      </c>
    </row>
    <row r="2563" spans="1:2" x14ac:dyDescent="0.35">
      <c r="A2563" s="34">
        <v>25111504</v>
      </c>
      <c r="B2563" s="35" t="s">
        <v>16651</v>
      </c>
    </row>
    <row r="2564" spans="1:2" x14ac:dyDescent="0.35">
      <c r="A2564" s="34">
        <v>25111505</v>
      </c>
      <c r="B2564" s="35" t="s">
        <v>16866</v>
      </c>
    </row>
    <row r="2565" spans="1:2" x14ac:dyDescent="0.35">
      <c r="A2565" s="34">
        <v>25111506</v>
      </c>
      <c r="B2565" s="35" t="s">
        <v>11726</v>
      </c>
    </row>
    <row r="2566" spans="1:2" x14ac:dyDescent="0.35">
      <c r="A2566" s="34">
        <v>25111507</v>
      </c>
      <c r="B2566" s="35" t="s">
        <v>5881</v>
      </c>
    </row>
    <row r="2567" spans="1:2" x14ac:dyDescent="0.35">
      <c r="A2567" s="34">
        <v>25111508</v>
      </c>
      <c r="B2567" s="35" t="s">
        <v>1696</v>
      </c>
    </row>
    <row r="2568" spans="1:2" x14ac:dyDescent="0.35">
      <c r="A2568" s="34">
        <v>25111509</v>
      </c>
      <c r="B2568" s="35" t="s">
        <v>1096</v>
      </c>
    </row>
    <row r="2569" spans="1:2" x14ac:dyDescent="0.35">
      <c r="A2569" s="34">
        <v>25111510</v>
      </c>
      <c r="B2569" s="35" t="s">
        <v>10395</v>
      </c>
    </row>
    <row r="2570" spans="1:2" x14ac:dyDescent="0.35">
      <c r="A2570" s="34">
        <v>25111511</v>
      </c>
      <c r="B2570" s="35" t="s">
        <v>4476</v>
      </c>
    </row>
    <row r="2571" spans="1:2" x14ac:dyDescent="0.35">
      <c r="A2571" s="34">
        <v>25111512</v>
      </c>
      <c r="B2571" s="35" t="s">
        <v>5944</v>
      </c>
    </row>
    <row r="2572" spans="1:2" x14ac:dyDescent="0.35">
      <c r="A2572" s="34">
        <v>25111513</v>
      </c>
      <c r="B2572" s="35" t="s">
        <v>7429</v>
      </c>
    </row>
    <row r="2573" spans="1:2" x14ac:dyDescent="0.35">
      <c r="A2573" s="34">
        <v>25111601</v>
      </c>
      <c r="B2573" s="35" t="s">
        <v>11286</v>
      </c>
    </row>
    <row r="2574" spans="1:2" x14ac:dyDescent="0.35">
      <c r="A2574" s="34">
        <v>25111602</v>
      </c>
      <c r="B2574" s="35" t="s">
        <v>7614</v>
      </c>
    </row>
    <row r="2575" spans="1:2" x14ac:dyDescent="0.35">
      <c r="A2575" s="34">
        <v>25111603</v>
      </c>
      <c r="B2575" s="35" t="s">
        <v>10471</v>
      </c>
    </row>
    <row r="2576" spans="1:2" x14ac:dyDescent="0.35">
      <c r="A2576" s="34">
        <v>25111701</v>
      </c>
      <c r="B2576" s="35" t="s">
        <v>11367</v>
      </c>
    </row>
    <row r="2577" spans="1:2" x14ac:dyDescent="0.35">
      <c r="A2577" s="34">
        <v>25111702</v>
      </c>
      <c r="B2577" s="35" t="s">
        <v>6263</v>
      </c>
    </row>
    <row r="2578" spans="1:2" x14ac:dyDescent="0.35">
      <c r="A2578" s="34">
        <v>25111703</v>
      </c>
      <c r="B2578" s="35" t="s">
        <v>4600</v>
      </c>
    </row>
    <row r="2579" spans="1:2" x14ac:dyDescent="0.35">
      <c r="A2579" s="34">
        <v>25111704</v>
      </c>
      <c r="B2579" s="35" t="s">
        <v>14473</v>
      </c>
    </row>
    <row r="2580" spans="1:2" x14ac:dyDescent="0.35">
      <c r="A2580" s="34">
        <v>25111705</v>
      </c>
      <c r="B2580" s="35" t="s">
        <v>1234</v>
      </c>
    </row>
    <row r="2581" spans="1:2" x14ac:dyDescent="0.35">
      <c r="A2581" s="34">
        <v>25111706</v>
      </c>
      <c r="B2581" s="35" t="s">
        <v>14693</v>
      </c>
    </row>
    <row r="2582" spans="1:2" x14ac:dyDescent="0.35">
      <c r="A2582" s="34">
        <v>25111707</v>
      </c>
      <c r="B2582" s="35" t="s">
        <v>17458</v>
      </c>
    </row>
    <row r="2583" spans="1:2" x14ac:dyDescent="0.35">
      <c r="A2583" s="34">
        <v>25111708</v>
      </c>
      <c r="B2583" s="35" t="s">
        <v>15562</v>
      </c>
    </row>
    <row r="2584" spans="1:2" x14ac:dyDescent="0.35">
      <c r="A2584" s="34">
        <v>25111709</v>
      </c>
      <c r="B2584" s="35" t="s">
        <v>9332</v>
      </c>
    </row>
    <row r="2585" spans="1:2" x14ac:dyDescent="0.35">
      <c r="A2585" s="34">
        <v>25111710</v>
      </c>
      <c r="B2585" s="35" t="s">
        <v>18702</v>
      </c>
    </row>
    <row r="2586" spans="1:2" x14ac:dyDescent="0.35">
      <c r="A2586" s="34">
        <v>25111711</v>
      </c>
      <c r="B2586" s="35" t="s">
        <v>1101</v>
      </c>
    </row>
    <row r="2587" spans="1:2" x14ac:dyDescent="0.35">
      <c r="A2587" s="34">
        <v>25111712</v>
      </c>
      <c r="B2587" s="35" t="s">
        <v>17415</v>
      </c>
    </row>
    <row r="2588" spans="1:2" x14ac:dyDescent="0.35">
      <c r="A2588" s="34">
        <v>25111713</v>
      </c>
      <c r="B2588" s="35" t="s">
        <v>994</v>
      </c>
    </row>
    <row r="2589" spans="1:2" x14ac:dyDescent="0.35">
      <c r="A2589" s="34">
        <v>25111714</v>
      </c>
      <c r="B2589" s="35" t="s">
        <v>4440</v>
      </c>
    </row>
    <row r="2590" spans="1:2" x14ac:dyDescent="0.35">
      <c r="A2590" s="34">
        <v>25111715</v>
      </c>
      <c r="B2590" s="35" t="s">
        <v>2294</v>
      </c>
    </row>
    <row r="2591" spans="1:2" x14ac:dyDescent="0.35">
      <c r="A2591" s="34">
        <v>25111716</v>
      </c>
      <c r="B2591" s="35" t="s">
        <v>11254</v>
      </c>
    </row>
    <row r="2592" spans="1:2" x14ac:dyDescent="0.35">
      <c r="A2592" s="34">
        <v>25111717</v>
      </c>
      <c r="B2592" s="35" t="s">
        <v>4421</v>
      </c>
    </row>
    <row r="2593" spans="1:2" x14ac:dyDescent="0.35">
      <c r="A2593" s="34">
        <v>25111718</v>
      </c>
      <c r="B2593" s="35" t="s">
        <v>15486</v>
      </c>
    </row>
    <row r="2594" spans="1:2" x14ac:dyDescent="0.35">
      <c r="A2594" s="34">
        <v>25111719</v>
      </c>
      <c r="B2594" s="35" t="s">
        <v>15106</v>
      </c>
    </row>
    <row r="2595" spans="1:2" x14ac:dyDescent="0.35">
      <c r="A2595" s="34">
        <v>25111720</v>
      </c>
      <c r="B2595" s="35" t="s">
        <v>2318</v>
      </c>
    </row>
    <row r="2596" spans="1:2" x14ac:dyDescent="0.35">
      <c r="A2596" s="34">
        <v>25111721</v>
      </c>
      <c r="B2596" s="35" t="s">
        <v>5343</v>
      </c>
    </row>
    <row r="2597" spans="1:2" x14ac:dyDescent="0.35">
      <c r="A2597" s="34">
        <v>25111801</v>
      </c>
      <c r="B2597" s="35" t="s">
        <v>4835</v>
      </c>
    </row>
    <row r="2598" spans="1:2" x14ac:dyDescent="0.35">
      <c r="A2598" s="34">
        <v>25111802</v>
      </c>
      <c r="B2598" s="35" t="s">
        <v>1611</v>
      </c>
    </row>
    <row r="2599" spans="1:2" x14ac:dyDescent="0.35">
      <c r="A2599" s="34">
        <v>25111803</v>
      </c>
      <c r="B2599" s="35" t="s">
        <v>17253</v>
      </c>
    </row>
    <row r="2600" spans="1:2" x14ac:dyDescent="0.35">
      <c r="A2600" s="34">
        <v>25111804</v>
      </c>
      <c r="B2600" s="35" t="s">
        <v>9454</v>
      </c>
    </row>
    <row r="2601" spans="1:2" x14ac:dyDescent="0.35">
      <c r="A2601" s="34">
        <v>25111805</v>
      </c>
      <c r="B2601" s="35" t="s">
        <v>5420</v>
      </c>
    </row>
    <row r="2602" spans="1:2" x14ac:dyDescent="0.35">
      <c r="A2602" s="34">
        <v>25111806</v>
      </c>
      <c r="B2602" s="35" t="s">
        <v>7273</v>
      </c>
    </row>
    <row r="2603" spans="1:2" x14ac:dyDescent="0.35">
      <c r="A2603" s="34">
        <v>25111807</v>
      </c>
      <c r="B2603" s="35" t="s">
        <v>2604</v>
      </c>
    </row>
    <row r="2604" spans="1:2" x14ac:dyDescent="0.35">
      <c r="A2604" s="34">
        <v>25111808</v>
      </c>
      <c r="B2604" s="35" t="s">
        <v>12376</v>
      </c>
    </row>
    <row r="2605" spans="1:2" x14ac:dyDescent="0.35">
      <c r="A2605" s="34">
        <v>25111901</v>
      </c>
      <c r="B2605" s="35" t="s">
        <v>8377</v>
      </c>
    </row>
    <row r="2606" spans="1:2" x14ac:dyDescent="0.35">
      <c r="A2606" s="34">
        <v>25111902</v>
      </c>
      <c r="B2606" s="35" t="s">
        <v>12247</v>
      </c>
    </row>
    <row r="2607" spans="1:2" x14ac:dyDescent="0.35">
      <c r="A2607" s="34">
        <v>25111903</v>
      </c>
      <c r="B2607" s="35" t="s">
        <v>14817</v>
      </c>
    </row>
    <row r="2608" spans="1:2" x14ac:dyDescent="0.35">
      <c r="A2608" s="34">
        <v>25111904</v>
      </c>
      <c r="B2608" s="35" t="s">
        <v>14282</v>
      </c>
    </row>
    <row r="2609" spans="1:2" x14ac:dyDescent="0.35">
      <c r="A2609" s="34">
        <v>25111905</v>
      </c>
      <c r="B2609" s="35" t="s">
        <v>6154</v>
      </c>
    </row>
    <row r="2610" spans="1:2" x14ac:dyDescent="0.35">
      <c r="A2610" s="34">
        <v>25111906</v>
      </c>
      <c r="B2610" s="35" t="s">
        <v>13306</v>
      </c>
    </row>
    <row r="2611" spans="1:2" x14ac:dyDescent="0.35">
      <c r="A2611" s="34">
        <v>25111907</v>
      </c>
      <c r="B2611" s="35" t="s">
        <v>11418</v>
      </c>
    </row>
    <row r="2612" spans="1:2" x14ac:dyDescent="0.35">
      <c r="A2612" s="34">
        <v>25111908</v>
      </c>
      <c r="B2612" s="35" t="s">
        <v>2115</v>
      </c>
    </row>
    <row r="2613" spans="1:2" x14ac:dyDescent="0.35">
      <c r="A2613" s="34">
        <v>25111909</v>
      </c>
      <c r="B2613" s="35" t="s">
        <v>7334</v>
      </c>
    </row>
    <row r="2614" spans="1:2" x14ac:dyDescent="0.35">
      <c r="A2614" s="34">
        <v>25111910</v>
      </c>
      <c r="B2614" s="35" t="s">
        <v>3509</v>
      </c>
    </row>
    <row r="2615" spans="1:2" x14ac:dyDescent="0.35">
      <c r="A2615" s="34">
        <v>25111911</v>
      </c>
      <c r="B2615" s="35" t="s">
        <v>9859</v>
      </c>
    </row>
    <row r="2616" spans="1:2" x14ac:dyDescent="0.35">
      <c r="A2616" s="34">
        <v>25111912</v>
      </c>
      <c r="B2616" s="35" t="s">
        <v>12078</v>
      </c>
    </row>
    <row r="2617" spans="1:2" x14ac:dyDescent="0.35">
      <c r="A2617" s="34">
        <v>25111913</v>
      </c>
      <c r="B2617" s="35" t="s">
        <v>1242</v>
      </c>
    </row>
    <row r="2618" spans="1:2" x14ac:dyDescent="0.35">
      <c r="A2618" s="34">
        <v>25111914</v>
      </c>
      <c r="B2618" s="35" t="s">
        <v>12927</v>
      </c>
    </row>
    <row r="2619" spans="1:2" x14ac:dyDescent="0.35">
      <c r="A2619" s="34">
        <v>25111915</v>
      </c>
      <c r="B2619" s="35" t="s">
        <v>7598</v>
      </c>
    </row>
    <row r="2620" spans="1:2" x14ac:dyDescent="0.35">
      <c r="A2620" s="34">
        <v>25111916</v>
      </c>
      <c r="B2620" s="35" t="s">
        <v>10164</v>
      </c>
    </row>
    <row r="2621" spans="1:2" x14ac:dyDescent="0.35">
      <c r="A2621" s="34">
        <v>25111917</v>
      </c>
      <c r="B2621" s="35" t="s">
        <v>12345</v>
      </c>
    </row>
    <row r="2622" spans="1:2" x14ac:dyDescent="0.35">
      <c r="A2622" s="34">
        <v>25111918</v>
      </c>
      <c r="B2622" s="35" t="s">
        <v>15570</v>
      </c>
    </row>
    <row r="2623" spans="1:2" x14ac:dyDescent="0.35">
      <c r="A2623" s="34">
        <v>25111919</v>
      </c>
      <c r="B2623" s="35" t="s">
        <v>4817</v>
      </c>
    </row>
    <row r="2624" spans="1:2" x14ac:dyDescent="0.35">
      <c r="A2624" s="34">
        <v>25111920</v>
      </c>
      <c r="B2624" s="35" t="s">
        <v>7821</v>
      </c>
    </row>
    <row r="2625" spans="1:2" x14ac:dyDescent="0.35">
      <c r="A2625" s="34">
        <v>25111921</v>
      </c>
      <c r="B2625" s="35" t="s">
        <v>9643</v>
      </c>
    </row>
    <row r="2626" spans="1:2" x14ac:dyDescent="0.35">
      <c r="A2626" s="34">
        <v>25111922</v>
      </c>
      <c r="B2626" s="35" t="s">
        <v>4886</v>
      </c>
    </row>
    <row r="2627" spans="1:2" x14ac:dyDescent="0.35">
      <c r="A2627" s="34">
        <v>25111923</v>
      </c>
      <c r="B2627" s="35" t="s">
        <v>10419</v>
      </c>
    </row>
    <row r="2628" spans="1:2" x14ac:dyDescent="0.35">
      <c r="A2628" s="34">
        <v>25111924</v>
      </c>
      <c r="B2628" s="35" t="s">
        <v>8039</v>
      </c>
    </row>
    <row r="2629" spans="1:2" x14ac:dyDescent="0.35">
      <c r="A2629" s="34">
        <v>25111925</v>
      </c>
      <c r="B2629" s="35" t="s">
        <v>10718</v>
      </c>
    </row>
    <row r="2630" spans="1:2" x14ac:dyDescent="0.35">
      <c r="A2630" s="34">
        <v>25111926</v>
      </c>
      <c r="B2630" s="35" t="s">
        <v>11737</v>
      </c>
    </row>
    <row r="2631" spans="1:2" x14ac:dyDescent="0.35">
      <c r="A2631" s="34">
        <v>25111927</v>
      </c>
      <c r="B2631" s="35" t="s">
        <v>4162</v>
      </c>
    </row>
    <row r="2632" spans="1:2" x14ac:dyDescent="0.35">
      <c r="A2632" s="34">
        <v>25111928</v>
      </c>
      <c r="B2632" s="35" t="s">
        <v>10852</v>
      </c>
    </row>
    <row r="2633" spans="1:2" x14ac:dyDescent="0.35">
      <c r="A2633" s="34">
        <v>25111929</v>
      </c>
      <c r="B2633" s="35" t="s">
        <v>5598</v>
      </c>
    </row>
    <row r="2634" spans="1:2" x14ac:dyDescent="0.35">
      <c r="A2634" s="34">
        <v>25111930</v>
      </c>
      <c r="B2634" s="35" t="s">
        <v>12492</v>
      </c>
    </row>
    <row r="2635" spans="1:2" x14ac:dyDescent="0.35">
      <c r="A2635" s="34">
        <v>25111931</v>
      </c>
      <c r="B2635" s="35" t="s">
        <v>4300</v>
      </c>
    </row>
    <row r="2636" spans="1:2" x14ac:dyDescent="0.35">
      <c r="A2636" s="34">
        <v>25111932</v>
      </c>
      <c r="B2636" s="35" t="s">
        <v>3703</v>
      </c>
    </row>
    <row r="2637" spans="1:2" x14ac:dyDescent="0.35">
      <c r="A2637" s="34">
        <v>25111933</v>
      </c>
      <c r="B2637" s="35" t="s">
        <v>15430</v>
      </c>
    </row>
    <row r="2638" spans="1:2" x14ac:dyDescent="0.35">
      <c r="A2638" s="34">
        <v>25111934</v>
      </c>
      <c r="B2638" s="35" t="s">
        <v>12529</v>
      </c>
    </row>
    <row r="2639" spans="1:2" x14ac:dyDescent="0.35">
      <c r="A2639" s="34">
        <v>25111935</v>
      </c>
      <c r="B2639" s="35" t="s">
        <v>19232</v>
      </c>
    </row>
    <row r="2640" spans="1:2" x14ac:dyDescent="0.35">
      <c r="A2640" s="34">
        <v>25121501</v>
      </c>
      <c r="B2640" s="35" t="s">
        <v>4740</v>
      </c>
    </row>
    <row r="2641" spans="1:2" x14ac:dyDescent="0.35">
      <c r="A2641" s="34">
        <v>25121502</v>
      </c>
      <c r="B2641" s="35" t="s">
        <v>5028</v>
      </c>
    </row>
    <row r="2642" spans="1:2" x14ac:dyDescent="0.35">
      <c r="A2642" s="34">
        <v>25121503</v>
      </c>
      <c r="B2642" s="35" t="s">
        <v>15739</v>
      </c>
    </row>
    <row r="2643" spans="1:2" x14ac:dyDescent="0.35">
      <c r="A2643" s="34">
        <v>25121504</v>
      </c>
      <c r="B2643" s="35" t="s">
        <v>12298</v>
      </c>
    </row>
    <row r="2644" spans="1:2" x14ac:dyDescent="0.35">
      <c r="A2644" s="34">
        <v>25121601</v>
      </c>
      <c r="B2644" s="35" t="s">
        <v>13124</v>
      </c>
    </row>
    <row r="2645" spans="1:2" x14ac:dyDescent="0.35">
      <c r="A2645" s="34">
        <v>25121602</v>
      </c>
      <c r="B2645" s="35" t="s">
        <v>17583</v>
      </c>
    </row>
    <row r="2646" spans="1:2" x14ac:dyDescent="0.35">
      <c r="A2646" s="34">
        <v>25121603</v>
      </c>
      <c r="B2646" s="35" t="s">
        <v>2039</v>
      </c>
    </row>
    <row r="2647" spans="1:2" x14ac:dyDescent="0.35">
      <c r="A2647" s="34">
        <v>25121604</v>
      </c>
      <c r="B2647" s="35" t="s">
        <v>17301</v>
      </c>
    </row>
    <row r="2648" spans="1:2" x14ac:dyDescent="0.35">
      <c r="A2648" s="34">
        <v>25121605</v>
      </c>
      <c r="B2648" s="35" t="s">
        <v>4816</v>
      </c>
    </row>
    <row r="2649" spans="1:2" x14ac:dyDescent="0.35">
      <c r="A2649" s="34">
        <v>25121701</v>
      </c>
      <c r="B2649" s="35" t="s">
        <v>7115</v>
      </c>
    </row>
    <row r="2650" spans="1:2" x14ac:dyDescent="0.35">
      <c r="A2650" s="34">
        <v>25121702</v>
      </c>
      <c r="B2650" s="35" t="s">
        <v>584</v>
      </c>
    </row>
    <row r="2651" spans="1:2" x14ac:dyDescent="0.35">
      <c r="A2651" s="34">
        <v>25121703</v>
      </c>
      <c r="B2651" s="35" t="s">
        <v>60</v>
      </c>
    </row>
    <row r="2652" spans="1:2" x14ac:dyDescent="0.35">
      <c r="A2652" s="34">
        <v>25121704</v>
      </c>
      <c r="B2652" s="35" t="s">
        <v>1912</v>
      </c>
    </row>
    <row r="2653" spans="1:2" x14ac:dyDescent="0.35">
      <c r="A2653" s="34">
        <v>25121705</v>
      </c>
      <c r="B2653" s="35" t="s">
        <v>11571</v>
      </c>
    </row>
    <row r="2654" spans="1:2" x14ac:dyDescent="0.35">
      <c r="A2654" s="34">
        <v>25121706</v>
      </c>
      <c r="B2654" s="35" t="s">
        <v>16349</v>
      </c>
    </row>
    <row r="2655" spans="1:2" x14ac:dyDescent="0.35">
      <c r="A2655" s="34">
        <v>25121707</v>
      </c>
      <c r="B2655" s="35" t="s">
        <v>12578</v>
      </c>
    </row>
    <row r="2656" spans="1:2" x14ac:dyDescent="0.35">
      <c r="A2656" s="34">
        <v>25131501</v>
      </c>
      <c r="B2656" s="35" t="s">
        <v>8804</v>
      </c>
    </row>
    <row r="2657" spans="1:2" x14ac:dyDescent="0.35">
      <c r="A2657" s="34">
        <v>25131502</v>
      </c>
      <c r="B2657" s="35" t="s">
        <v>5224</v>
      </c>
    </row>
    <row r="2658" spans="1:2" x14ac:dyDescent="0.35">
      <c r="A2658" s="34">
        <v>25131503</v>
      </c>
      <c r="B2658" s="35" t="s">
        <v>505</v>
      </c>
    </row>
    <row r="2659" spans="1:2" x14ac:dyDescent="0.35">
      <c r="A2659" s="34">
        <v>25131504</v>
      </c>
      <c r="B2659" s="35" t="s">
        <v>10352</v>
      </c>
    </row>
    <row r="2660" spans="1:2" x14ac:dyDescent="0.35">
      <c r="A2660" s="34">
        <v>25131505</v>
      </c>
      <c r="B2660" s="35" t="s">
        <v>14160</v>
      </c>
    </row>
    <row r="2661" spans="1:2" x14ac:dyDescent="0.35">
      <c r="A2661" s="34">
        <v>25131506</v>
      </c>
      <c r="B2661" s="35" t="s">
        <v>5854</v>
      </c>
    </row>
    <row r="2662" spans="1:2" x14ac:dyDescent="0.35">
      <c r="A2662" s="34">
        <v>25131507</v>
      </c>
      <c r="B2662" s="35" t="s">
        <v>16200</v>
      </c>
    </row>
    <row r="2663" spans="1:2" x14ac:dyDescent="0.35">
      <c r="A2663" s="34">
        <v>25131508</v>
      </c>
      <c r="B2663" s="35" t="s">
        <v>8253</v>
      </c>
    </row>
    <row r="2664" spans="1:2" x14ac:dyDescent="0.35">
      <c r="A2664" s="34">
        <v>25131601</v>
      </c>
      <c r="B2664" s="35" t="s">
        <v>1432</v>
      </c>
    </row>
    <row r="2665" spans="1:2" x14ac:dyDescent="0.35">
      <c r="A2665" s="34">
        <v>25131602</v>
      </c>
      <c r="B2665" s="35" t="s">
        <v>8284</v>
      </c>
    </row>
    <row r="2666" spans="1:2" x14ac:dyDescent="0.35">
      <c r="A2666" s="34">
        <v>25131603</v>
      </c>
      <c r="B2666" s="35" t="s">
        <v>7176</v>
      </c>
    </row>
    <row r="2667" spans="1:2" x14ac:dyDescent="0.35">
      <c r="A2667" s="34">
        <v>25131604</v>
      </c>
      <c r="B2667" s="35" t="s">
        <v>9117</v>
      </c>
    </row>
    <row r="2668" spans="1:2" x14ac:dyDescent="0.35">
      <c r="A2668" s="34">
        <v>25131701</v>
      </c>
      <c r="B2668" s="35" t="s">
        <v>7213</v>
      </c>
    </row>
    <row r="2669" spans="1:2" x14ac:dyDescent="0.35">
      <c r="A2669" s="34">
        <v>25131702</v>
      </c>
      <c r="B2669" s="35" t="s">
        <v>4338</v>
      </c>
    </row>
    <row r="2670" spans="1:2" x14ac:dyDescent="0.35">
      <c r="A2670" s="34">
        <v>25131703</v>
      </c>
      <c r="B2670" s="35" t="s">
        <v>13288</v>
      </c>
    </row>
    <row r="2671" spans="1:2" x14ac:dyDescent="0.35">
      <c r="A2671" s="34">
        <v>25131704</v>
      </c>
      <c r="B2671" s="35" t="s">
        <v>9608</v>
      </c>
    </row>
    <row r="2672" spans="1:2" x14ac:dyDescent="0.35">
      <c r="A2672" s="34">
        <v>25131705</v>
      </c>
      <c r="B2672" s="35" t="s">
        <v>11235</v>
      </c>
    </row>
    <row r="2673" spans="1:2" x14ac:dyDescent="0.35">
      <c r="A2673" s="34">
        <v>25131706</v>
      </c>
      <c r="B2673" s="35" t="s">
        <v>8586</v>
      </c>
    </row>
    <row r="2674" spans="1:2" x14ac:dyDescent="0.35">
      <c r="A2674" s="34">
        <v>25131707</v>
      </c>
      <c r="B2674" s="35" t="s">
        <v>3182</v>
      </c>
    </row>
    <row r="2675" spans="1:2" x14ac:dyDescent="0.35">
      <c r="A2675" s="34">
        <v>25131708</v>
      </c>
      <c r="B2675" s="35" t="s">
        <v>13415</v>
      </c>
    </row>
    <row r="2676" spans="1:2" x14ac:dyDescent="0.35">
      <c r="A2676" s="34">
        <v>25131709</v>
      </c>
      <c r="B2676" s="35" t="s">
        <v>13718</v>
      </c>
    </row>
    <row r="2677" spans="1:2" x14ac:dyDescent="0.35">
      <c r="A2677" s="34">
        <v>25131801</v>
      </c>
      <c r="B2677" s="35" t="s">
        <v>5564</v>
      </c>
    </row>
    <row r="2678" spans="1:2" x14ac:dyDescent="0.35">
      <c r="A2678" s="34">
        <v>25131902</v>
      </c>
      <c r="B2678" s="35" t="s">
        <v>3077</v>
      </c>
    </row>
    <row r="2679" spans="1:2" x14ac:dyDescent="0.35">
      <c r="A2679" s="34">
        <v>25131903</v>
      </c>
      <c r="B2679" s="35" t="s">
        <v>14271</v>
      </c>
    </row>
    <row r="2680" spans="1:2" x14ac:dyDescent="0.35">
      <c r="A2680" s="34">
        <v>25131904</v>
      </c>
      <c r="B2680" s="35" t="s">
        <v>9547</v>
      </c>
    </row>
    <row r="2681" spans="1:2" x14ac:dyDescent="0.35">
      <c r="A2681" s="34">
        <v>25131905</v>
      </c>
      <c r="B2681" s="35" t="s">
        <v>12846</v>
      </c>
    </row>
    <row r="2682" spans="1:2" x14ac:dyDescent="0.35">
      <c r="A2682" s="34">
        <v>25131906</v>
      </c>
      <c r="B2682" s="35" t="s">
        <v>19097</v>
      </c>
    </row>
    <row r="2683" spans="1:2" x14ac:dyDescent="0.35">
      <c r="A2683" s="34">
        <v>25132001</v>
      </c>
      <c r="B2683" s="35" t="s">
        <v>9373</v>
      </c>
    </row>
    <row r="2684" spans="1:2" x14ac:dyDescent="0.35">
      <c r="A2684" s="34">
        <v>25132002</v>
      </c>
      <c r="B2684" s="35" t="s">
        <v>5014</v>
      </c>
    </row>
    <row r="2685" spans="1:2" x14ac:dyDescent="0.35">
      <c r="A2685" s="34">
        <v>25132003</v>
      </c>
      <c r="B2685" s="35" t="s">
        <v>19572</v>
      </c>
    </row>
    <row r="2686" spans="1:2" x14ac:dyDescent="0.35">
      <c r="A2686" s="34">
        <v>25132004</v>
      </c>
      <c r="B2686" s="35" t="s">
        <v>11962</v>
      </c>
    </row>
    <row r="2687" spans="1:2" x14ac:dyDescent="0.35">
      <c r="A2687" s="34">
        <v>25132005</v>
      </c>
      <c r="B2687" s="35" t="s">
        <v>15177</v>
      </c>
    </row>
    <row r="2688" spans="1:2" x14ac:dyDescent="0.35">
      <c r="A2688" s="34">
        <v>25151501</v>
      </c>
      <c r="B2688" s="35" t="s">
        <v>13382</v>
      </c>
    </row>
    <row r="2689" spans="1:2" x14ac:dyDescent="0.35">
      <c r="A2689" s="34">
        <v>25151502</v>
      </c>
      <c r="B2689" s="35" t="s">
        <v>12691</v>
      </c>
    </row>
    <row r="2690" spans="1:2" x14ac:dyDescent="0.35">
      <c r="A2690" s="34">
        <v>25151701</v>
      </c>
      <c r="B2690" s="35" t="s">
        <v>11516</v>
      </c>
    </row>
    <row r="2691" spans="1:2" x14ac:dyDescent="0.35">
      <c r="A2691" s="34">
        <v>25151702</v>
      </c>
      <c r="B2691" s="35" t="s">
        <v>1733</v>
      </c>
    </row>
    <row r="2692" spans="1:2" x14ac:dyDescent="0.35">
      <c r="A2692" s="34">
        <v>25151703</v>
      </c>
      <c r="B2692" s="35" t="s">
        <v>18560</v>
      </c>
    </row>
    <row r="2693" spans="1:2" x14ac:dyDescent="0.35">
      <c r="A2693" s="34">
        <v>25151704</v>
      </c>
      <c r="B2693" s="35" t="s">
        <v>17194</v>
      </c>
    </row>
    <row r="2694" spans="1:2" x14ac:dyDescent="0.35">
      <c r="A2694" s="34">
        <v>25151705</v>
      </c>
      <c r="B2694" s="35" t="s">
        <v>5615</v>
      </c>
    </row>
    <row r="2695" spans="1:2" x14ac:dyDescent="0.35">
      <c r="A2695" s="34">
        <v>25151706</v>
      </c>
      <c r="B2695" s="35" t="s">
        <v>2566</v>
      </c>
    </row>
    <row r="2696" spans="1:2" x14ac:dyDescent="0.35">
      <c r="A2696" s="34">
        <v>25151707</v>
      </c>
      <c r="B2696" s="35" t="s">
        <v>4030</v>
      </c>
    </row>
    <row r="2697" spans="1:2" x14ac:dyDescent="0.35">
      <c r="A2697" s="34">
        <v>25151708</v>
      </c>
      <c r="B2697" s="35" t="s">
        <v>5633</v>
      </c>
    </row>
    <row r="2698" spans="1:2" x14ac:dyDescent="0.35">
      <c r="A2698" s="34">
        <v>25151709</v>
      </c>
      <c r="B2698" s="35" t="s">
        <v>6952</v>
      </c>
    </row>
    <row r="2699" spans="1:2" x14ac:dyDescent="0.35">
      <c r="A2699" s="34">
        <v>25161501</v>
      </c>
      <c r="B2699" s="35" t="s">
        <v>15129</v>
      </c>
    </row>
    <row r="2700" spans="1:2" x14ac:dyDescent="0.35">
      <c r="A2700" s="34">
        <v>25161502</v>
      </c>
      <c r="B2700" s="35" t="s">
        <v>4008</v>
      </c>
    </row>
    <row r="2701" spans="1:2" x14ac:dyDescent="0.35">
      <c r="A2701" s="34">
        <v>25161503</v>
      </c>
      <c r="B2701" s="35" t="s">
        <v>10982</v>
      </c>
    </row>
    <row r="2702" spans="1:2" x14ac:dyDescent="0.35">
      <c r="A2702" s="34">
        <v>25161504</v>
      </c>
      <c r="B2702" s="35" t="s">
        <v>17228</v>
      </c>
    </row>
    <row r="2703" spans="1:2" x14ac:dyDescent="0.35">
      <c r="A2703" s="34">
        <v>25161505</v>
      </c>
      <c r="B2703" s="35" t="s">
        <v>2934</v>
      </c>
    </row>
    <row r="2704" spans="1:2" x14ac:dyDescent="0.35">
      <c r="A2704" s="34">
        <v>25161506</v>
      </c>
      <c r="B2704" s="35" t="s">
        <v>9092</v>
      </c>
    </row>
    <row r="2705" spans="1:2" x14ac:dyDescent="0.35">
      <c r="A2705" s="34">
        <v>25161507</v>
      </c>
      <c r="B2705" s="35" t="s">
        <v>15588</v>
      </c>
    </row>
    <row r="2706" spans="1:2" x14ac:dyDescent="0.35">
      <c r="A2706" s="34">
        <v>25161508</v>
      </c>
      <c r="B2706" s="35" t="s">
        <v>7100</v>
      </c>
    </row>
    <row r="2707" spans="1:2" x14ac:dyDescent="0.35">
      <c r="A2707" s="34">
        <v>25161509</v>
      </c>
      <c r="B2707" s="35" t="s">
        <v>10626</v>
      </c>
    </row>
    <row r="2708" spans="1:2" x14ac:dyDescent="0.35">
      <c r="A2708" s="34">
        <v>25171502</v>
      </c>
      <c r="B2708" s="35" t="s">
        <v>835</v>
      </c>
    </row>
    <row r="2709" spans="1:2" x14ac:dyDescent="0.35">
      <c r="A2709" s="34">
        <v>25171503</v>
      </c>
      <c r="B2709" s="35" t="s">
        <v>3257</v>
      </c>
    </row>
    <row r="2710" spans="1:2" x14ac:dyDescent="0.35">
      <c r="A2710" s="34">
        <v>25171504</v>
      </c>
      <c r="B2710" s="35" t="s">
        <v>9307</v>
      </c>
    </row>
    <row r="2711" spans="1:2" x14ac:dyDescent="0.35">
      <c r="A2711" s="34">
        <v>25171505</v>
      </c>
      <c r="B2711" s="35" t="s">
        <v>7922</v>
      </c>
    </row>
    <row r="2712" spans="1:2" x14ac:dyDescent="0.35">
      <c r="A2712" s="34">
        <v>25171506</v>
      </c>
      <c r="B2712" s="35" t="s">
        <v>9308</v>
      </c>
    </row>
    <row r="2713" spans="1:2" x14ac:dyDescent="0.35">
      <c r="A2713" s="34">
        <v>25171507</v>
      </c>
      <c r="B2713" s="35" t="s">
        <v>3473</v>
      </c>
    </row>
    <row r="2714" spans="1:2" x14ac:dyDescent="0.35">
      <c r="A2714" s="34">
        <v>25171602</v>
      </c>
      <c r="B2714" s="35" t="s">
        <v>2920</v>
      </c>
    </row>
    <row r="2715" spans="1:2" x14ac:dyDescent="0.35">
      <c r="A2715" s="34">
        <v>25171603</v>
      </c>
      <c r="B2715" s="35" t="s">
        <v>14278</v>
      </c>
    </row>
    <row r="2716" spans="1:2" x14ac:dyDescent="0.35">
      <c r="A2716" s="34">
        <v>25171702</v>
      </c>
      <c r="B2716" s="35" t="s">
        <v>8617</v>
      </c>
    </row>
    <row r="2717" spans="1:2" x14ac:dyDescent="0.35">
      <c r="A2717" s="34">
        <v>25171703</v>
      </c>
      <c r="B2717" s="35" t="s">
        <v>5173</v>
      </c>
    </row>
    <row r="2718" spans="1:2" x14ac:dyDescent="0.35">
      <c r="A2718" s="34">
        <v>25171704</v>
      </c>
      <c r="B2718" s="35" t="s">
        <v>11543</v>
      </c>
    </row>
    <row r="2719" spans="1:2" x14ac:dyDescent="0.35">
      <c r="A2719" s="34">
        <v>25171705</v>
      </c>
      <c r="B2719" s="35" t="s">
        <v>9224</v>
      </c>
    </row>
    <row r="2720" spans="1:2" x14ac:dyDescent="0.35">
      <c r="A2720" s="34">
        <v>25171706</v>
      </c>
      <c r="B2720" s="35" t="s">
        <v>1201</v>
      </c>
    </row>
    <row r="2721" spans="1:2" x14ac:dyDescent="0.35">
      <c r="A2721" s="34">
        <v>25171707</v>
      </c>
      <c r="B2721" s="35" t="s">
        <v>14859</v>
      </c>
    </row>
    <row r="2722" spans="1:2" x14ac:dyDescent="0.35">
      <c r="A2722" s="34">
        <v>25171708</v>
      </c>
      <c r="B2722" s="35" t="s">
        <v>18938</v>
      </c>
    </row>
    <row r="2723" spans="1:2" x14ac:dyDescent="0.35">
      <c r="A2723" s="34">
        <v>25171709</v>
      </c>
      <c r="B2723" s="35" t="s">
        <v>8631</v>
      </c>
    </row>
    <row r="2724" spans="1:2" x14ac:dyDescent="0.35">
      <c r="A2724" s="34">
        <v>25171710</v>
      </c>
      <c r="B2724" s="35" t="s">
        <v>881</v>
      </c>
    </row>
    <row r="2725" spans="1:2" x14ac:dyDescent="0.35">
      <c r="A2725" s="34">
        <v>25171711</v>
      </c>
      <c r="B2725" s="35" t="s">
        <v>1599</v>
      </c>
    </row>
    <row r="2726" spans="1:2" x14ac:dyDescent="0.35">
      <c r="A2726" s="34">
        <v>25171712</v>
      </c>
      <c r="B2726" s="35" t="s">
        <v>6404</v>
      </c>
    </row>
    <row r="2727" spans="1:2" x14ac:dyDescent="0.35">
      <c r="A2727" s="34">
        <v>25171713</v>
      </c>
      <c r="B2727" s="35" t="s">
        <v>15370</v>
      </c>
    </row>
    <row r="2728" spans="1:2" x14ac:dyDescent="0.35">
      <c r="A2728" s="34">
        <v>25171714</v>
      </c>
      <c r="B2728" s="35" t="s">
        <v>9673</v>
      </c>
    </row>
    <row r="2729" spans="1:2" x14ac:dyDescent="0.35">
      <c r="A2729" s="34">
        <v>25171715</v>
      </c>
      <c r="B2729" s="35" t="s">
        <v>11326</v>
      </c>
    </row>
    <row r="2730" spans="1:2" x14ac:dyDescent="0.35">
      <c r="A2730" s="34">
        <v>25171716</v>
      </c>
      <c r="B2730" s="35" t="s">
        <v>10723</v>
      </c>
    </row>
    <row r="2731" spans="1:2" x14ac:dyDescent="0.35">
      <c r="A2731" s="34">
        <v>25171717</v>
      </c>
      <c r="B2731" s="35" t="s">
        <v>10426</v>
      </c>
    </row>
    <row r="2732" spans="1:2" x14ac:dyDescent="0.35">
      <c r="A2732" s="34">
        <v>25171718</v>
      </c>
      <c r="B2732" s="35" t="s">
        <v>786</v>
      </c>
    </row>
    <row r="2733" spans="1:2" x14ac:dyDescent="0.35">
      <c r="A2733" s="34">
        <v>25171719</v>
      </c>
      <c r="B2733" s="35" t="s">
        <v>18577</v>
      </c>
    </row>
    <row r="2734" spans="1:2" x14ac:dyDescent="0.35">
      <c r="A2734" s="34">
        <v>25171901</v>
      </c>
      <c r="B2734" s="35" t="s">
        <v>3745</v>
      </c>
    </row>
    <row r="2735" spans="1:2" x14ac:dyDescent="0.35">
      <c r="A2735" s="34">
        <v>25171902</v>
      </c>
      <c r="B2735" s="35" t="s">
        <v>10238</v>
      </c>
    </row>
    <row r="2736" spans="1:2" x14ac:dyDescent="0.35">
      <c r="A2736" s="34">
        <v>25171903</v>
      </c>
      <c r="B2736" s="35" t="s">
        <v>14617</v>
      </c>
    </row>
    <row r="2737" spans="1:2" x14ac:dyDescent="0.35">
      <c r="A2737" s="34">
        <v>25171905</v>
      </c>
      <c r="B2737" s="35" t="s">
        <v>11494</v>
      </c>
    </row>
    <row r="2738" spans="1:2" x14ac:dyDescent="0.35">
      <c r="A2738" s="34">
        <v>25172001</v>
      </c>
      <c r="B2738" s="35" t="s">
        <v>16850</v>
      </c>
    </row>
    <row r="2739" spans="1:2" x14ac:dyDescent="0.35">
      <c r="A2739" s="34">
        <v>25172002</v>
      </c>
      <c r="B2739" s="35" t="s">
        <v>8881</v>
      </c>
    </row>
    <row r="2740" spans="1:2" x14ac:dyDescent="0.35">
      <c r="A2740" s="34">
        <v>25172003</v>
      </c>
      <c r="B2740" s="35" t="s">
        <v>8810</v>
      </c>
    </row>
    <row r="2741" spans="1:2" x14ac:dyDescent="0.35">
      <c r="A2741" s="34">
        <v>25172004</v>
      </c>
      <c r="B2741" s="35" t="s">
        <v>18331</v>
      </c>
    </row>
    <row r="2742" spans="1:2" x14ac:dyDescent="0.35">
      <c r="A2742" s="34">
        <v>25172005</v>
      </c>
      <c r="B2742" s="35" t="s">
        <v>9598</v>
      </c>
    </row>
    <row r="2743" spans="1:2" x14ac:dyDescent="0.35">
      <c r="A2743" s="34">
        <v>25172007</v>
      </c>
      <c r="B2743" s="35" t="s">
        <v>11639</v>
      </c>
    </row>
    <row r="2744" spans="1:2" x14ac:dyDescent="0.35">
      <c r="A2744" s="34">
        <v>25172009</v>
      </c>
      <c r="B2744" s="35" t="s">
        <v>2551</v>
      </c>
    </row>
    <row r="2745" spans="1:2" x14ac:dyDescent="0.35">
      <c r="A2745" s="34">
        <v>25172010</v>
      </c>
      <c r="B2745" s="35" t="s">
        <v>11904</v>
      </c>
    </row>
    <row r="2746" spans="1:2" x14ac:dyDescent="0.35">
      <c r="A2746" s="34">
        <v>25172011</v>
      </c>
      <c r="B2746" s="35" t="s">
        <v>12970</v>
      </c>
    </row>
    <row r="2747" spans="1:2" x14ac:dyDescent="0.35">
      <c r="A2747" s="34">
        <v>25172101</v>
      </c>
      <c r="B2747" s="35" t="s">
        <v>1618</v>
      </c>
    </row>
    <row r="2748" spans="1:2" x14ac:dyDescent="0.35">
      <c r="A2748" s="34">
        <v>25172104</v>
      </c>
      <c r="B2748" s="35" t="s">
        <v>12977</v>
      </c>
    </row>
    <row r="2749" spans="1:2" x14ac:dyDescent="0.35">
      <c r="A2749" s="34">
        <v>25172105</v>
      </c>
      <c r="B2749" s="35" t="s">
        <v>18115</v>
      </c>
    </row>
    <row r="2750" spans="1:2" x14ac:dyDescent="0.35">
      <c r="A2750" s="34">
        <v>25172106</v>
      </c>
      <c r="B2750" s="35" t="s">
        <v>8931</v>
      </c>
    </row>
    <row r="2751" spans="1:2" x14ac:dyDescent="0.35">
      <c r="A2751" s="34">
        <v>25172108</v>
      </c>
      <c r="B2751" s="35" t="s">
        <v>81</v>
      </c>
    </row>
    <row r="2752" spans="1:2" x14ac:dyDescent="0.35">
      <c r="A2752" s="34">
        <v>25172109</v>
      </c>
      <c r="B2752" s="35" t="s">
        <v>6310</v>
      </c>
    </row>
    <row r="2753" spans="1:2" x14ac:dyDescent="0.35">
      <c r="A2753" s="34">
        <v>25172110</v>
      </c>
      <c r="B2753" s="35" t="s">
        <v>7510</v>
      </c>
    </row>
    <row r="2754" spans="1:2" x14ac:dyDescent="0.35">
      <c r="A2754" s="34">
        <v>25172111</v>
      </c>
      <c r="B2754" s="35" t="s">
        <v>2434</v>
      </c>
    </row>
    <row r="2755" spans="1:2" x14ac:dyDescent="0.35">
      <c r="A2755" s="34">
        <v>25172112</v>
      </c>
      <c r="B2755" s="35" t="s">
        <v>7473</v>
      </c>
    </row>
    <row r="2756" spans="1:2" x14ac:dyDescent="0.35">
      <c r="A2756" s="34">
        <v>25172113</v>
      </c>
      <c r="B2756" s="35" t="s">
        <v>19385</v>
      </c>
    </row>
    <row r="2757" spans="1:2" x14ac:dyDescent="0.35">
      <c r="A2757" s="34">
        <v>25172114</v>
      </c>
      <c r="B2757" s="35" t="s">
        <v>12856</v>
      </c>
    </row>
    <row r="2758" spans="1:2" x14ac:dyDescent="0.35">
      <c r="A2758" s="34">
        <v>25172201</v>
      </c>
      <c r="B2758" s="35" t="s">
        <v>5171</v>
      </c>
    </row>
    <row r="2759" spans="1:2" x14ac:dyDescent="0.35">
      <c r="A2759" s="34">
        <v>25172203</v>
      </c>
      <c r="B2759" s="35" t="s">
        <v>11379</v>
      </c>
    </row>
    <row r="2760" spans="1:2" x14ac:dyDescent="0.35">
      <c r="A2760" s="34">
        <v>25172204</v>
      </c>
      <c r="B2760" s="35" t="s">
        <v>19171</v>
      </c>
    </row>
    <row r="2761" spans="1:2" x14ac:dyDescent="0.35">
      <c r="A2761" s="34">
        <v>25172205</v>
      </c>
      <c r="B2761" s="35" t="s">
        <v>2642</v>
      </c>
    </row>
    <row r="2762" spans="1:2" x14ac:dyDescent="0.35">
      <c r="A2762" s="34">
        <v>25172301</v>
      </c>
      <c r="B2762" s="35" t="s">
        <v>7048</v>
      </c>
    </row>
    <row r="2763" spans="1:2" x14ac:dyDescent="0.35">
      <c r="A2763" s="34">
        <v>25172303</v>
      </c>
      <c r="B2763" s="35" t="s">
        <v>15294</v>
      </c>
    </row>
    <row r="2764" spans="1:2" x14ac:dyDescent="0.35">
      <c r="A2764" s="34">
        <v>25172404</v>
      </c>
      <c r="B2764" s="35" t="s">
        <v>2907</v>
      </c>
    </row>
    <row r="2765" spans="1:2" x14ac:dyDescent="0.35">
      <c r="A2765" s="34">
        <v>25172405</v>
      </c>
      <c r="B2765" s="35" t="s">
        <v>3294</v>
      </c>
    </row>
    <row r="2766" spans="1:2" x14ac:dyDescent="0.35">
      <c r="A2766" s="34">
        <v>25172406</v>
      </c>
      <c r="B2766" s="35" t="s">
        <v>3272</v>
      </c>
    </row>
    <row r="2767" spans="1:2" x14ac:dyDescent="0.35">
      <c r="A2767" s="34">
        <v>25172407</v>
      </c>
      <c r="B2767" s="35" t="s">
        <v>8847</v>
      </c>
    </row>
    <row r="2768" spans="1:2" x14ac:dyDescent="0.35">
      <c r="A2768" s="34">
        <v>25172408</v>
      </c>
      <c r="B2768" s="35" t="s">
        <v>6135</v>
      </c>
    </row>
    <row r="2769" spans="1:2" x14ac:dyDescent="0.35">
      <c r="A2769" s="34">
        <v>25172502</v>
      </c>
      <c r="B2769" s="35" t="s">
        <v>16282</v>
      </c>
    </row>
    <row r="2770" spans="1:2" x14ac:dyDescent="0.35">
      <c r="A2770" s="34">
        <v>25172503</v>
      </c>
      <c r="B2770" s="35" t="s">
        <v>7169</v>
      </c>
    </row>
    <row r="2771" spans="1:2" x14ac:dyDescent="0.35">
      <c r="A2771" s="34">
        <v>25172504</v>
      </c>
      <c r="B2771" s="35" t="s">
        <v>5096</v>
      </c>
    </row>
    <row r="2772" spans="1:2" x14ac:dyDescent="0.35">
      <c r="A2772" s="34">
        <v>25172505</v>
      </c>
      <c r="B2772" s="35" t="s">
        <v>11691</v>
      </c>
    </row>
    <row r="2773" spans="1:2" x14ac:dyDescent="0.35">
      <c r="A2773" s="34">
        <v>25172506</v>
      </c>
      <c r="B2773" s="35" t="s">
        <v>6478</v>
      </c>
    </row>
    <row r="2774" spans="1:2" x14ac:dyDescent="0.35">
      <c r="A2774" s="34">
        <v>25172507</v>
      </c>
      <c r="B2774" s="35" t="s">
        <v>10889</v>
      </c>
    </row>
    <row r="2775" spans="1:2" x14ac:dyDescent="0.35">
      <c r="A2775" s="34">
        <v>25172508</v>
      </c>
      <c r="B2775" s="35" t="s">
        <v>19211</v>
      </c>
    </row>
    <row r="2776" spans="1:2" x14ac:dyDescent="0.35">
      <c r="A2776" s="34">
        <v>25172509</v>
      </c>
      <c r="B2776" s="35" t="s">
        <v>3950</v>
      </c>
    </row>
    <row r="2777" spans="1:2" x14ac:dyDescent="0.35">
      <c r="A2777" s="34">
        <v>25172510</v>
      </c>
      <c r="B2777" s="35" t="s">
        <v>18365</v>
      </c>
    </row>
    <row r="2778" spans="1:2" x14ac:dyDescent="0.35">
      <c r="A2778" s="34">
        <v>25172511</v>
      </c>
      <c r="B2778" s="35" t="s">
        <v>10222</v>
      </c>
    </row>
    <row r="2779" spans="1:2" x14ac:dyDescent="0.35">
      <c r="A2779" s="34">
        <v>25172512</v>
      </c>
      <c r="B2779" s="35" t="s">
        <v>16903</v>
      </c>
    </row>
    <row r="2780" spans="1:2" x14ac:dyDescent="0.35">
      <c r="A2780" s="34">
        <v>25172601</v>
      </c>
      <c r="B2780" s="35" t="s">
        <v>9941</v>
      </c>
    </row>
    <row r="2781" spans="1:2" x14ac:dyDescent="0.35">
      <c r="A2781" s="34">
        <v>25172602</v>
      </c>
      <c r="B2781" s="35" t="s">
        <v>12161</v>
      </c>
    </row>
    <row r="2782" spans="1:2" x14ac:dyDescent="0.35">
      <c r="A2782" s="34">
        <v>25172603</v>
      </c>
      <c r="B2782" s="35" t="s">
        <v>6827</v>
      </c>
    </row>
    <row r="2783" spans="1:2" x14ac:dyDescent="0.35">
      <c r="A2783" s="34">
        <v>25172604</v>
      </c>
      <c r="B2783" s="35" t="s">
        <v>13303</v>
      </c>
    </row>
    <row r="2784" spans="1:2" x14ac:dyDescent="0.35">
      <c r="A2784" s="34">
        <v>25172605</v>
      </c>
      <c r="B2784" s="35" t="s">
        <v>10387</v>
      </c>
    </row>
    <row r="2785" spans="1:2" x14ac:dyDescent="0.35">
      <c r="A2785" s="34">
        <v>25172606</v>
      </c>
      <c r="B2785" s="35" t="s">
        <v>7503</v>
      </c>
    </row>
    <row r="2786" spans="1:2" x14ac:dyDescent="0.35">
      <c r="A2786" s="34">
        <v>25172607</v>
      </c>
      <c r="B2786" s="35" t="s">
        <v>17168</v>
      </c>
    </row>
    <row r="2787" spans="1:2" x14ac:dyDescent="0.35">
      <c r="A2787" s="34">
        <v>25172608</v>
      </c>
      <c r="B2787" s="35" t="s">
        <v>1945</v>
      </c>
    </row>
    <row r="2788" spans="1:2" x14ac:dyDescent="0.35">
      <c r="A2788" s="34">
        <v>25172702</v>
      </c>
      <c r="B2788" s="35" t="s">
        <v>18749</v>
      </c>
    </row>
    <row r="2789" spans="1:2" x14ac:dyDescent="0.35">
      <c r="A2789" s="34">
        <v>25172703</v>
      </c>
      <c r="B2789" s="35" t="s">
        <v>19332</v>
      </c>
    </row>
    <row r="2790" spans="1:2" x14ac:dyDescent="0.35">
      <c r="A2790" s="34">
        <v>25172704</v>
      </c>
      <c r="B2790" s="35" t="s">
        <v>17121</v>
      </c>
    </row>
    <row r="2791" spans="1:2" x14ac:dyDescent="0.35">
      <c r="A2791" s="34">
        <v>25172802</v>
      </c>
      <c r="B2791" s="35" t="s">
        <v>10096</v>
      </c>
    </row>
    <row r="2792" spans="1:2" x14ac:dyDescent="0.35">
      <c r="A2792" s="34">
        <v>25172803</v>
      </c>
      <c r="B2792" s="35" t="s">
        <v>2634</v>
      </c>
    </row>
    <row r="2793" spans="1:2" x14ac:dyDescent="0.35">
      <c r="A2793" s="34">
        <v>25172901</v>
      </c>
      <c r="B2793" s="35" t="s">
        <v>15304</v>
      </c>
    </row>
    <row r="2794" spans="1:2" x14ac:dyDescent="0.35">
      <c r="A2794" s="34">
        <v>25172903</v>
      </c>
      <c r="B2794" s="35" t="s">
        <v>18920</v>
      </c>
    </row>
    <row r="2795" spans="1:2" x14ac:dyDescent="0.35">
      <c r="A2795" s="34">
        <v>25172904</v>
      </c>
      <c r="B2795" s="35" t="s">
        <v>6585</v>
      </c>
    </row>
    <row r="2796" spans="1:2" x14ac:dyDescent="0.35">
      <c r="A2796" s="34">
        <v>25172905</v>
      </c>
      <c r="B2796" s="35" t="s">
        <v>11364</v>
      </c>
    </row>
    <row r="2797" spans="1:2" x14ac:dyDescent="0.35">
      <c r="A2797" s="34">
        <v>25172906</v>
      </c>
      <c r="B2797" s="35" t="s">
        <v>3262</v>
      </c>
    </row>
    <row r="2798" spans="1:2" x14ac:dyDescent="0.35">
      <c r="A2798" s="34">
        <v>25172907</v>
      </c>
      <c r="B2798" s="35" t="s">
        <v>15393</v>
      </c>
    </row>
    <row r="2799" spans="1:2" x14ac:dyDescent="0.35">
      <c r="A2799" s="34">
        <v>25173001</v>
      </c>
      <c r="B2799" s="35" t="s">
        <v>7993</v>
      </c>
    </row>
    <row r="2800" spans="1:2" x14ac:dyDescent="0.35">
      <c r="A2800" s="34">
        <v>25173003</v>
      </c>
      <c r="B2800" s="35" t="s">
        <v>6147</v>
      </c>
    </row>
    <row r="2801" spans="1:2" x14ac:dyDescent="0.35">
      <c r="A2801" s="34">
        <v>25173004</v>
      </c>
      <c r="B2801" s="35" t="s">
        <v>4872</v>
      </c>
    </row>
    <row r="2802" spans="1:2" x14ac:dyDescent="0.35">
      <c r="A2802" s="34">
        <v>25173005</v>
      </c>
      <c r="B2802" s="35" t="s">
        <v>8581</v>
      </c>
    </row>
    <row r="2803" spans="1:2" x14ac:dyDescent="0.35">
      <c r="A2803" s="34">
        <v>25173107</v>
      </c>
      <c r="B2803" s="35" t="s">
        <v>1921</v>
      </c>
    </row>
    <row r="2804" spans="1:2" x14ac:dyDescent="0.35">
      <c r="A2804" s="34">
        <v>25173108</v>
      </c>
      <c r="B2804" s="35" t="s">
        <v>14214</v>
      </c>
    </row>
    <row r="2805" spans="1:2" x14ac:dyDescent="0.35">
      <c r="A2805" s="34">
        <v>25173303</v>
      </c>
      <c r="B2805" s="35" t="s">
        <v>12175</v>
      </c>
    </row>
    <row r="2806" spans="1:2" x14ac:dyDescent="0.35">
      <c r="A2806" s="34">
        <v>25173304</v>
      </c>
      <c r="B2806" s="35" t="s">
        <v>1540</v>
      </c>
    </row>
    <row r="2807" spans="1:2" x14ac:dyDescent="0.35">
      <c r="A2807" s="34">
        <v>25173701</v>
      </c>
      <c r="B2807" s="35" t="s">
        <v>6426</v>
      </c>
    </row>
    <row r="2808" spans="1:2" x14ac:dyDescent="0.35">
      <c r="A2808" s="34">
        <v>25173702</v>
      </c>
      <c r="B2808" s="35" t="s">
        <v>3397</v>
      </c>
    </row>
    <row r="2809" spans="1:2" x14ac:dyDescent="0.35">
      <c r="A2809" s="34">
        <v>25173703</v>
      </c>
      <c r="B2809" s="35" t="s">
        <v>15669</v>
      </c>
    </row>
    <row r="2810" spans="1:2" x14ac:dyDescent="0.35">
      <c r="A2810" s="34">
        <v>25173704</v>
      </c>
      <c r="B2810" s="35" t="s">
        <v>15371</v>
      </c>
    </row>
    <row r="2811" spans="1:2" x14ac:dyDescent="0.35">
      <c r="A2811" s="34">
        <v>25173705</v>
      </c>
      <c r="B2811" s="35" t="s">
        <v>13742</v>
      </c>
    </row>
    <row r="2812" spans="1:2" x14ac:dyDescent="0.35">
      <c r="A2812" s="34">
        <v>25173801</v>
      </c>
      <c r="B2812" s="35" t="s">
        <v>4829</v>
      </c>
    </row>
    <row r="2813" spans="1:2" x14ac:dyDescent="0.35">
      <c r="A2813" s="34">
        <v>25173802</v>
      </c>
      <c r="B2813" s="35" t="s">
        <v>10383</v>
      </c>
    </row>
    <row r="2814" spans="1:2" x14ac:dyDescent="0.35">
      <c r="A2814" s="34">
        <v>25173803</v>
      </c>
      <c r="B2814" s="35" t="s">
        <v>18709</v>
      </c>
    </row>
    <row r="2815" spans="1:2" x14ac:dyDescent="0.35">
      <c r="A2815" s="34">
        <v>25173804</v>
      </c>
      <c r="B2815" s="35" t="s">
        <v>12969</v>
      </c>
    </row>
    <row r="2816" spans="1:2" x14ac:dyDescent="0.35">
      <c r="A2816" s="34">
        <v>25173805</v>
      </c>
      <c r="B2816" s="35" t="s">
        <v>14062</v>
      </c>
    </row>
    <row r="2817" spans="1:2" x14ac:dyDescent="0.35">
      <c r="A2817" s="34">
        <v>25173806</v>
      </c>
      <c r="B2817" s="35" t="s">
        <v>13919</v>
      </c>
    </row>
    <row r="2818" spans="1:2" x14ac:dyDescent="0.35">
      <c r="A2818" s="34">
        <v>25173807</v>
      </c>
      <c r="B2818" s="35" t="s">
        <v>8563</v>
      </c>
    </row>
    <row r="2819" spans="1:2" x14ac:dyDescent="0.35">
      <c r="A2819" s="34">
        <v>25173808</v>
      </c>
      <c r="B2819" s="35" t="s">
        <v>13654</v>
      </c>
    </row>
    <row r="2820" spans="1:2" x14ac:dyDescent="0.35">
      <c r="A2820" s="34">
        <v>25173809</v>
      </c>
      <c r="B2820" s="35" t="s">
        <v>15210</v>
      </c>
    </row>
    <row r="2821" spans="1:2" x14ac:dyDescent="0.35">
      <c r="A2821" s="34">
        <v>25173810</v>
      </c>
      <c r="B2821" s="35" t="s">
        <v>8823</v>
      </c>
    </row>
    <row r="2822" spans="1:2" x14ac:dyDescent="0.35">
      <c r="A2822" s="34">
        <v>25173811</v>
      </c>
      <c r="B2822" s="35" t="s">
        <v>9381</v>
      </c>
    </row>
    <row r="2823" spans="1:2" x14ac:dyDescent="0.35">
      <c r="A2823" s="34">
        <v>25173812</v>
      </c>
      <c r="B2823" s="35" t="s">
        <v>12632</v>
      </c>
    </row>
    <row r="2824" spans="1:2" x14ac:dyDescent="0.35">
      <c r="A2824" s="34">
        <v>25173813</v>
      </c>
      <c r="B2824" s="35" t="s">
        <v>8855</v>
      </c>
    </row>
    <row r="2825" spans="1:2" x14ac:dyDescent="0.35">
      <c r="A2825" s="34">
        <v>25173815</v>
      </c>
      <c r="B2825" s="35" t="s">
        <v>10289</v>
      </c>
    </row>
    <row r="2826" spans="1:2" x14ac:dyDescent="0.35">
      <c r="A2826" s="34">
        <v>25173816</v>
      </c>
      <c r="B2826" s="35" t="s">
        <v>7373</v>
      </c>
    </row>
    <row r="2827" spans="1:2" x14ac:dyDescent="0.35">
      <c r="A2827" s="34">
        <v>25173817</v>
      </c>
      <c r="B2827" s="35" t="s">
        <v>12170</v>
      </c>
    </row>
    <row r="2828" spans="1:2" x14ac:dyDescent="0.35">
      <c r="A2828" s="34">
        <v>25173901</v>
      </c>
      <c r="B2828" s="35" t="s">
        <v>18870</v>
      </c>
    </row>
    <row r="2829" spans="1:2" x14ac:dyDescent="0.35">
      <c r="A2829" s="34">
        <v>25174001</v>
      </c>
      <c r="B2829" s="35" t="s">
        <v>19480</v>
      </c>
    </row>
    <row r="2830" spans="1:2" x14ac:dyDescent="0.35">
      <c r="A2830" s="34">
        <v>25174002</v>
      </c>
      <c r="B2830" s="35" t="s">
        <v>1497</v>
      </c>
    </row>
    <row r="2831" spans="1:2" x14ac:dyDescent="0.35">
      <c r="A2831" s="34">
        <v>25174003</v>
      </c>
      <c r="B2831" s="35" t="s">
        <v>2488</v>
      </c>
    </row>
    <row r="2832" spans="1:2" x14ac:dyDescent="0.35">
      <c r="A2832" s="34">
        <v>25174004</v>
      </c>
      <c r="B2832" s="35" t="s">
        <v>7903</v>
      </c>
    </row>
    <row r="2833" spans="1:2" x14ac:dyDescent="0.35">
      <c r="A2833" s="34">
        <v>25174101</v>
      </c>
      <c r="B2833" s="35" t="s">
        <v>16239</v>
      </c>
    </row>
    <row r="2834" spans="1:2" x14ac:dyDescent="0.35">
      <c r="A2834" s="34">
        <v>25174102</v>
      </c>
      <c r="B2834" s="35" t="s">
        <v>17340</v>
      </c>
    </row>
    <row r="2835" spans="1:2" x14ac:dyDescent="0.35">
      <c r="A2835" s="34">
        <v>25174103</v>
      </c>
      <c r="B2835" s="35" t="s">
        <v>18738</v>
      </c>
    </row>
    <row r="2836" spans="1:2" x14ac:dyDescent="0.35">
      <c r="A2836" s="34">
        <v>25174104</v>
      </c>
      <c r="B2836" s="35" t="s">
        <v>4763</v>
      </c>
    </row>
    <row r="2837" spans="1:2" x14ac:dyDescent="0.35">
      <c r="A2837" s="34">
        <v>25174105</v>
      </c>
      <c r="B2837" s="35" t="s">
        <v>5720</v>
      </c>
    </row>
    <row r="2838" spans="1:2" x14ac:dyDescent="0.35">
      <c r="A2838" s="34">
        <v>25174106</v>
      </c>
      <c r="B2838" s="35" t="s">
        <v>12895</v>
      </c>
    </row>
    <row r="2839" spans="1:2" x14ac:dyDescent="0.35">
      <c r="A2839" s="34">
        <v>25174107</v>
      </c>
      <c r="B2839" s="35" t="s">
        <v>169</v>
      </c>
    </row>
    <row r="2840" spans="1:2" x14ac:dyDescent="0.35">
      <c r="A2840" s="34">
        <v>25174201</v>
      </c>
      <c r="B2840" s="35" t="s">
        <v>9438</v>
      </c>
    </row>
    <row r="2841" spans="1:2" x14ac:dyDescent="0.35">
      <c r="A2841" s="34">
        <v>25174202</v>
      </c>
      <c r="B2841" s="35" t="s">
        <v>14012</v>
      </c>
    </row>
    <row r="2842" spans="1:2" x14ac:dyDescent="0.35">
      <c r="A2842" s="34">
        <v>25174203</v>
      </c>
      <c r="B2842" s="35" t="s">
        <v>11017</v>
      </c>
    </row>
    <row r="2843" spans="1:2" x14ac:dyDescent="0.35">
      <c r="A2843" s="34">
        <v>25174204</v>
      </c>
      <c r="B2843" s="35" t="s">
        <v>4522</v>
      </c>
    </row>
    <row r="2844" spans="1:2" x14ac:dyDescent="0.35">
      <c r="A2844" s="34">
        <v>25174205</v>
      </c>
      <c r="B2844" s="35" t="s">
        <v>6669</v>
      </c>
    </row>
    <row r="2845" spans="1:2" x14ac:dyDescent="0.35">
      <c r="A2845" s="34">
        <v>25174206</v>
      </c>
      <c r="B2845" s="35" t="s">
        <v>981</v>
      </c>
    </row>
    <row r="2846" spans="1:2" x14ac:dyDescent="0.35">
      <c r="A2846" s="34">
        <v>25174207</v>
      </c>
      <c r="B2846" s="35" t="s">
        <v>18277</v>
      </c>
    </row>
    <row r="2847" spans="1:2" x14ac:dyDescent="0.35">
      <c r="A2847" s="34">
        <v>25174208</v>
      </c>
      <c r="B2847" s="35" t="s">
        <v>6647</v>
      </c>
    </row>
    <row r="2848" spans="1:2" x14ac:dyDescent="0.35">
      <c r="A2848" s="34">
        <v>25174209</v>
      </c>
      <c r="B2848" s="35" t="s">
        <v>4922</v>
      </c>
    </row>
    <row r="2849" spans="1:2" x14ac:dyDescent="0.35">
      <c r="A2849" s="34">
        <v>25174210</v>
      </c>
      <c r="B2849" s="35" t="s">
        <v>7015</v>
      </c>
    </row>
    <row r="2850" spans="1:2" x14ac:dyDescent="0.35">
      <c r="A2850" s="34">
        <v>25174211</v>
      </c>
      <c r="B2850" s="35" t="s">
        <v>18377</v>
      </c>
    </row>
    <row r="2851" spans="1:2" x14ac:dyDescent="0.35">
      <c r="A2851" s="34">
        <v>25174212</v>
      </c>
      <c r="B2851" s="35" t="s">
        <v>19634</v>
      </c>
    </row>
    <row r="2852" spans="1:2" x14ac:dyDescent="0.35">
      <c r="A2852" s="34">
        <v>25174213</v>
      </c>
      <c r="B2852" s="35" t="s">
        <v>65</v>
      </c>
    </row>
    <row r="2853" spans="1:2" x14ac:dyDescent="0.35">
      <c r="A2853" s="34">
        <v>25174214</v>
      </c>
      <c r="B2853" s="35" t="s">
        <v>16589</v>
      </c>
    </row>
    <row r="2854" spans="1:2" x14ac:dyDescent="0.35">
      <c r="A2854" s="34">
        <v>25174215</v>
      </c>
      <c r="B2854" s="35" t="s">
        <v>11228</v>
      </c>
    </row>
    <row r="2855" spans="1:2" x14ac:dyDescent="0.35">
      <c r="A2855" s="34">
        <v>25174216</v>
      </c>
      <c r="B2855" s="35" t="s">
        <v>1971</v>
      </c>
    </row>
    <row r="2856" spans="1:2" x14ac:dyDescent="0.35">
      <c r="A2856" s="34">
        <v>25174217</v>
      </c>
      <c r="B2856" s="35" t="s">
        <v>4293</v>
      </c>
    </row>
    <row r="2857" spans="1:2" x14ac:dyDescent="0.35">
      <c r="A2857" s="34">
        <v>25174218</v>
      </c>
      <c r="B2857" s="35" t="s">
        <v>11763</v>
      </c>
    </row>
    <row r="2858" spans="1:2" x14ac:dyDescent="0.35">
      <c r="A2858" s="34">
        <v>25174401</v>
      </c>
      <c r="B2858" s="35" t="s">
        <v>9188</v>
      </c>
    </row>
    <row r="2859" spans="1:2" x14ac:dyDescent="0.35">
      <c r="A2859" s="34">
        <v>25174402</v>
      </c>
      <c r="B2859" s="35" t="s">
        <v>15522</v>
      </c>
    </row>
    <row r="2860" spans="1:2" x14ac:dyDescent="0.35">
      <c r="A2860" s="34">
        <v>25174403</v>
      </c>
      <c r="B2860" s="35" t="s">
        <v>8964</v>
      </c>
    </row>
    <row r="2861" spans="1:2" x14ac:dyDescent="0.35">
      <c r="A2861" s="34">
        <v>25174404</v>
      </c>
      <c r="B2861" s="35" t="s">
        <v>6790</v>
      </c>
    </row>
    <row r="2862" spans="1:2" x14ac:dyDescent="0.35">
      <c r="A2862" s="34">
        <v>25174405</v>
      </c>
      <c r="B2862" s="35" t="s">
        <v>457</v>
      </c>
    </row>
    <row r="2863" spans="1:2" x14ac:dyDescent="0.35">
      <c r="A2863" s="34">
        <v>25174406</v>
      </c>
      <c r="B2863" s="35" t="s">
        <v>9203</v>
      </c>
    </row>
    <row r="2864" spans="1:2" x14ac:dyDescent="0.35">
      <c r="A2864" s="34">
        <v>25174407</v>
      </c>
      <c r="B2864" s="35" t="s">
        <v>4976</v>
      </c>
    </row>
    <row r="2865" spans="1:2" x14ac:dyDescent="0.35">
      <c r="A2865" s="34">
        <v>25174408</v>
      </c>
      <c r="B2865" s="35" t="s">
        <v>9731</v>
      </c>
    </row>
    <row r="2866" spans="1:2" x14ac:dyDescent="0.35">
      <c r="A2866" s="34">
        <v>25174409</v>
      </c>
      <c r="B2866" s="35" t="s">
        <v>3403</v>
      </c>
    </row>
    <row r="2867" spans="1:2" x14ac:dyDescent="0.35">
      <c r="A2867" s="34">
        <v>25174410</v>
      </c>
      <c r="B2867" s="35" t="s">
        <v>16432</v>
      </c>
    </row>
    <row r="2868" spans="1:2" x14ac:dyDescent="0.35">
      <c r="A2868" s="34">
        <v>25174411</v>
      </c>
      <c r="B2868" s="35" t="s">
        <v>11807</v>
      </c>
    </row>
    <row r="2869" spans="1:2" x14ac:dyDescent="0.35">
      <c r="A2869" s="34">
        <v>25174412</v>
      </c>
      <c r="B2869" s="35" t="s">
        <v>660</v>
      </c>
    </row>
    <row r="2870" spans="1:2" x14ac:dyDescent="0.35">
      <c r="A2870" s="34">
        <v>25174413</v>
      </c>
      <c r="B2870" s="35" t="s">
        <v>7719</v>
      </c>
    </row>
    <row r="2871" spans="1:2" x14ac:dyDescent="0.35">
      <c r="A2871" s="34">
        <v>25174414</v>
      </c>
      <c r="B2871" s="35" t="s">
        <v>3441</v>
      </c>
    </row>
    <row r="2872" spans="1:2" x14ac:dyDescent="0.35">
      <c r="A2872" s="34">
        <v>25174415</v>
      </c>
      <c r="B2872" s="35" t="s">
        <v>8051</v>
      </c>
    </row>
    <row r="2873" spans="1:2" x14ac:dyDescent="0.35">
      <c r="A2873" s="34">
        <v>25174416</v>
      </c>
      <c r="B2873" s="35" t="s">
        <v>14981</v>
      </c>
    </row>
    <row r="2874" spans="1:2" x14ac:dyDescent="0.35">
      <c r="A2874" s="34">
        <v>25174417</v>
      </c>
      <c r="B2874" s="35" t="s">
        <v>4379</v>
      </c>
    </row>
    <row r="2875" spans="1:2" x14ac:dyDescent="0.35">
      <c r="A2875" s="34">
        <v>25174418</v>
      </c>
      <c r="B2875" s="35" t="s">
        <v>3628</v>
      </c>
    </row>
    <row r="2876" spans="1:2" x14ac:dyDescent="0.35">
      <c r="A2876" s="34">
        <v>25174419</v>
      </c>
      <c r="B2876" s="35" t="s">
        <v>4147</v>
      </c>
    </row>
    <row r="2877" spans="1:2" x14ac:dyDescent="0.35">
      <c r="A2877" s="34">
        <v>25174420</v>
      </c>
      <c r="B2877" s="35" t="s">
        <v>15679</v>
      </c>
    </row>
    <row r="2878" spans="1:2" x14ac:dyDescent="0.35">
      <c r="A2878" s="34">
        <v>25174421</v>
      </c>
      <c r="B2878" s="35" t="s">
        <v>5975</v>
      </c>
    </row>
    <row r="2879" spans="1:2" x14ac:dyDescent="0.35">
      <c r="A2879" s="34">
        <v>25174601</v>
      </c>
      <c r="B2879" s="35" t="s">
        <v>9680</v>
      </c>
    </row>
    <row r="2880" spans="1:2" x14ac:dyDescent="0.35">
      <c r="A2880" s="34">
        <v>25174602</v>
      </c>
      <c r="B2880" s="35" t="s">
        <v>17223</v>
      </c>
    </row>
    <row r="2881" spans="1:2" x14ac:dyDescent="0.35">
      <c r="A2881" s="34">
        <v>25174603</v>
      </c>
      <c r="B2881" s="35" t="s">
        <v>10110</v>
      </c>
    </row>
    <row r="2882" spans="1:2" x14ac:dyDescent="0.35">
      <c r="A2882" s="34">
        <v>25174701</v>
      </c>
      <c r="B2882" s="35" t="s">
        <v>4822</v>
      </c>
    </row>
    <row r="2883" spans="1:2" x14ac:dyDescent="0.35">
      <c r="A2883" s="34">
        <v>25181601</v>
      </c>
      <c r="B2883" s="35" t="s">
        <v>4310</v>
      </c>
    </row>
    <row r="2884" spans="1:2" x14ac:dyDescent="0.35">
      <c r="A2884" s="34">
        <v>25181602</v>
      </c>
      <c r="B2884" s="35" t="s">
        <v>12662</v>
      </c>
    </row>
    <row r="2885" spans="1:2" x14ac:dyDescent="0.35">
      <c r="A2885" s="34">
        <v>25181603</v>
      </c>
      <c r="B2885" s="35" t="s">
        <v>2121</v>
      </c>
    </row>
    <row r="2886" spans="1:2" x14ac:dyDescent="0.35">
      <c r="A2886" s="34">
        <v>25181701</v>
      </c>
      <c r="B2886" s="35" t="s">
        <v>2945</v>
      </c>
    </row>
    <row r="2887" spans="1:2" x14ac:dyDescent="0.35">
      <c r="A2887" s="34">
        <v>25181702</v>
      </c>
      <c r="B2887" s="35" t="s">
        <v>2452</v>
      </c>
    </row>
    <row r="2888" spans="1:2" x14ac:dyDescent="0.35">
      <c r="A2888" s="34">
        <v>25181703</v>
      </c>
      <c r="B2888" s="35" t="s">
        <v>14023</v>
      </c>
    </row>
    <row r="2889" spans="1:2" x14ac:dyDescent="0.35">
      <c r="A2889" s="34">
        <v>25181704</v>
      </c>
      <c r="B2889" s="35" t="s">
        <v>2425</v>
      </c>
    </row>
    <row r="2890" spans="1:2" x14ac:dyDescent="0.35">
      <c r="A2890" s="34">
        <v>25181705</v>
      </c>
      <c r="B2890" s="35" t="s">
        <v>10968</v>
      </c>
    </row>
    <row r="2891" spans="1:2" x14ac:dyDescent="0.35">
      <c r="A2891" s="34">
        <v>25181706</v>
      </c>
      <c r="B2891" s="35" t="s">
        <v>13025</v>
      </c>
    </row>
    <row r="2892" spans="1:2" x14ac:dyDescent="0.35">
      <c r="A2892" s="34">
        <v>25181707</v>
      </c>
      <c r="B2892" s="35" t="s">
        <v>15953</v>
      </c>
    </row>
    <row r="2893" spans="1:2" x14ac:dyDescent="0.35">
      <c r="A2893" s="34">
        <v>25181708</v>
      </c>
      <c r="B2893" s="35" t="s">
        <v>14274</v>
      </c>
    </row>
    <row r="2894" spans="1:2" x14ac:dyDescent="0.35">
      <c r="A2894" s="34">
        <v>25181709</v>
      </c>
      <c r="B2894" s="35" t="s">
        <v>12702</v>
      </c>
    </row>
    <row r="2895" spans="1:2" x14ac:dyDescent="0.35">
      <c r="A2895" s="34">
        <v>25181710</v>
      </c>
      <c r="B2895" s="35" t="s">
        <v>4280</v>
      </c>
    </row>
    <row r="2896" spans="1:2" x14ac:dyDescent="0.35">
      <c r="A2896" s="34">
        <v>25181711</v>
      </c>
      <c r="B2896" s="35" t="s">
        <v>4433</v>
      </c>
    </row>
    <row r="2897" spans="1:2" x14ac:dyDescent="0.35">
      <c r="A2897" s="34">
        <v>25181712</v>
      </c>
      <c r="B2897" s="35" t="s">
        <v>15617</v>
      </c>
    </row>
    <row r="2898" spans="1:2" x14ac:dyDescent="0.35">
      <c r="A2898" s="34">
        <v>25181713</v>
      </c>
      <c r="B2898" s="35" t="s">
        <v>12694</v>
      </c>
    </row>
    <row r="2899" spans="1:2" x14ac:dyDescent="0.35">
      <c r="A2899" s="34">
        <v>25181714</v>
      </c>
      <c r="B2899" s="35" t="s">
        <v>11127</v>
      </c>
    </row>
    <row r="2900" spans="1:2" x14ac:dyDescent="0.35">
      <c r="A2900" s="34">
        <v>25191501</v>
      </c>
      <c r="B2900" s="35" t="s">
        <v>11485</v>
      </c>
    </row>
    <row r="2901" spans="1:2" x14ac:dyDescent="0.35">
      <c r="A2901" s="34">
        <v>25191502</v>
      </c>
      <c r="B2901" s="35" t="s">
        <v>7304</v>
      </c>
    </row>
    <row r="2902" spans="1:2" x14ac:dyDescent="0.35">
      <c r="A2902" s="34">
        <v>25191503</v>
      </c>
      <c r="B2902" s="35" t="s">
        <v>8075</v>
      </c>
    </row>
    <row r="2903" spans="1:2" x14ac:dyDescent="0.35">
      <c r="A2903" s="34">
        <v>25191504</v>
      </c>
      <c r="B2903" s="35" t="s">
        <v>17524</v>
      </c>
    </row>
    <row r="2904" spans="1:2" x14ac:dyDescent="0.35">
      <c r="A2904" s="34">
        <v>25191505</v>
      </c>
      <c r="B2904" s="35" t="s">
        <v>11401</v>
      </c>
    </row>
    <row r="2905" spans="1:2" x14ac:dyDescent="0.35">
      <c r="A2905" s="34">
        <v>25191506</v>
      </c>
      <c r="B2905" s="35" t="s">
        <v>12956</v>
      </c>
    </row>
    <row r="2906" spans="1:2" x14ac:dyDescent="0.35">
      <c r="A2906" s="34">
        <v>25191507</v>
      </c>
      <c r="B2906" s="35" t="s">
        <v>17768</v>
      </c>
    </row>
    <row r="2907" spans="1:2" x14ac:dyDescent="0.35">
      <c r="A2907" s="34">
        <v>25191508</v>
      </c>
      <c r="B2907" s="35" t="s">
        <v>15904</v>
      </c>
    </row>
    <row r="2908" spans="1:2" x14ac:dyDescent="0.35">
      <c r="A2908" s="34">
        <v>25191509</v>
      </c>
      <c r="B2908" s="35" t="s">
        <v>445</v>
      </c>
    </row>
    <row r="2909" spans="1:2" x14ac:dyDescent="0.35">
      <c r="A2909" s="34">
        <v>25191510</v>
      </c>
      <c r="B2909" s="35" t="s">
        <v>14678</v>
      </c>
    </row>
    <row r="2910" spans="1:2" x14ac:dyDescent="0.35">
      <c r="A2910" s="34">
        <v>25191511</v>
      </c>
      <c r="B2910" s="35" t="s">
        <v>15980</v>
      </c>
    </row>
    <row r="2911" spans="1:2" x14ac:dyDescent="0.35">
      <c r="A2911" s="34">
        <v>25191512</v>
      </c>
      <c r="B2911" s="35" t="s">
        <v>16883</v>
      </c>
    </row>
    <row r="2912" spans="1:2" x14ac:dyDescent="0.35">
      <c r="A2912" s="34">
        <v>25191513</v>
      </c>
      <c r="B2912" s="35" t="s">
        <v>8971</v>
      </c>
    </row>
    <row r="2913" spans="1:2" x14ac:dyDescent="0.35">
      <c r="A2913" s="34">
        <v>25191514</v>
      </c>
      <c r="B2913" s="35" t="s">
        <v>17124</v>
      </c>
    </row>
    <row r="2914" spans="1:2" x14ac:dyDescent="0.35">
      <c r="A2914" s="34">
        <v>25191601</v>
      </c>
      <c r="B2914" s="35" t="s">
        <v>6960</v>
      </c>
    </row>
    <row r="2915" spans="1:2" x14ac:dyDescent="0.35">
      <c r="A2915" s="34">
        <v>25191602</v>
      </c>
      <c r="B2915" s="35" t="s">
        <v>18072</v>
      </c>
    </row>
    <row r="2916" spans="1:2" x14ac:dyDescent="0.35">
      <c r="A2916" s="34">
        <v>25191603</v>
      </c>
      <c r="B2916" s="35" t="s">
        <v>4143</v>
      </c>
    </row>
    <row r="2917" spans="1:2" x14ac:dyDescent="0.35">
      <c r="A2917" s="34">
        <v>25191604</v>
      </c>
      <c r="B2917" s="35" t="s">
        <v>11633</v>
      </c>
    </row>
    <row r="2918" spans="1:2" x14ac:dyDescent="0.35">
      <c r="A2918" s="34">
        <v>25191605</v>
      </c>
      <c r="B2918" s="35" t="s">
        <v>16174</v>
      </c>
    </row>
    <row r="2919" spans="1:2" x14ac:dyDescent="0.35">
      <c r="A2919" s="34">
        <v>25191701</v>
      </c>
      <c r="B2919" s="35" t="s">
        <v>17212</v>
      </c>
    </row>
    <row r="2920" spans="1:2" x14ac:dyDescent="0.35">
      <c r="A2920" s="34">
        <v>25191702</v>
      </c>
      <c r="B2920" s="35" t="s">
        <v>6175</v>
      </c>
    </row>
    <row r="2921" spans="1:2" x14ac:dyDescent="0.35">
      <c r="A2921" s="34">
        <v>25191703</v>
      </c>
      <c r="B2921" s="35" t="s">
        <v>12783</v>
      </c>
    </row>
    <row r="2922" spans="1:2" x14ac:dyDescent="0.35">
      <c r="A2922" s="34">
        <v>25191704</v>
      </c>
      <c r="B2922" s="35" t="s">
        <v>18092</v>
      </c>
    </row>
    <row r="2923" spans="1:2" x14ac:dyDescent="0.35">
      <c r="A2923" s="34">
        <v>25201501</v>
      </c>
      <c r="B2923" s="35" t="s">
        <v>16457</v>
      </c>
    </row>
    <row r="2924" spans="1:2" x14ac:dyDescent="0.35">
      <c r="A2924" s="34">
        <v>25201502</v>
      </c>
      <c r="B2924" s="35" t="s">
        <v>183</v>
      </c>
    </row>
    <row r="2925" spans="1:2" x14ac:dyDescent="0.35">
      <c r="A2925" s="34">
        <v>25201503</v>
      </c>
      <c r="B2925" s="35" t="s">
        <v>1327</v>
      </c>
    </row>
    <row r="2926" spans="1:2" x14ac:dyDescent="0.35">
      <c r="A2926" s="34">
        <v>25201504</v>
      </c>
      <c r="B2926" s="35" t="s">
        <v>3922</v>
      </c>
    </row>
    <row r="2927" spans="1:2" x14ac:dyDescent="0.35">
      <c r="A2927" s="34">
        <v>25201505</v>
      </c>
      <c r="B2927" s="35" t="s">
        <v>2878</v>
      </c>
    </row>
    <row r="2928" spans="1:2" x14ac:dyDescent="0.35">
      <c r="A2928" s="34">
        <v>25201506</v>
      </c>
      <c r="B2928" s="35" t="s">
        <v>8767</v>
      </c>
    </row>
    <row r="2929" spans="1:2" x14ac:dyDescent="0.35">
      <c r="A2929" s="34">
        <v>25201507</v>
      </c>
      <c r="B2929" s="35" t="s">
        <v>3848</v>
      </c>
    </row>
    <row r="2930" spans="1:2" x14ac:dyDescent="0.35">
      <c r="A2930" s="34">
        <v>25201508</v>
      </c>
      <c r="B2930" s="35" t="s">
        <v>14740</v>
      </c>
    </row>
    <row r="2931" spans="1:2" x14ac:dyDescent="0.35">
      <c r="A2931" s="34">
        <v>25201509</v>
      </c>
      <c r="B2931" s="35" t="s">
        <v>10683</v>
      </c>
    </row>
    <row r="2932" spans="1:2" x14ac:dyDescent="0.35">
      <c r="A2932" s="34">
        <v>25201510</v>
      </c>
      <c r="B2932" s="35" t="s">
        <v>5795</v>
      </c>
    </row>
    <row r="2933" spans="1:2" x14ac:dyDescent="0.35">
      <c r="A2933" s="34">
        <v>25201511</v>
      </c>
      <c r="B2933" s="35" t="s">
        <v>17629</v>
      </c>
    </row>
    <row r="2934" spans="1:2" x14ac:dyDescent="0.35">
      <c r="A2934" s="34">
        <v>25201512</v>
      </c>
      <c r="B2934" s="35" t="s">
        <v>9300</v>
      </c>
    </row>
    <row r="2935" spans="1:2" x14ac:dyDescent="0.35">
      <c r="A2935" s="34">
        <v>25201513</v>
      </c>
      <c r="B2935" s="35" t="s">
        <v>10729</v>
      </c>
    </row>
    <row r="2936" spans="1:2" x14ac:dyDescent="0.35">
      <c r="A2936" s="34">
        <v>25201514</v>
      </c>
      <c r="B2936" s="35" t="s">
        <v>12527</v>
      </c>
    </row>
    <row r="2937" spans="1:2" x14ac:dyDescent="0.35">
      <c r="A2937" s="34">
        <v>25201515</v>
      </c>
      <c r="B2937" s="35" t="s">
        <v>15648</v>
      </c>
    </row>
    <row r="2938" spans="1:2" x14ac:dyDescent="0.35">
      <c r="A2938" s="34">
        <v>25201516</v>
      </c>
      <c r="B2938" s="35" t="s">
        <v>8484</v>
      </c>
    </row>
    <row r="2939" spans="1:2" x14ac:dyDescent="0.35">
      <c r="A2939" s="34">
        <v>25201517</v>
      </c>
      <c r="B2939" s="35" t="s">
        <v>10322</v>
      </c>
    </row>
    <row r="2940" spans="1:2" x14ac:dyDescent="0.35">
      <c r="A2940" s="34">
        <v>25201518</v>
      </c>
      <c r="B2940" s="35" t="s">
        <v>1208</v>
      </c>
    </row>
    <row r="2941" spans="1:2" x14ac:dyDescent="0.35">
      <c r="A2941" s="34">
        <v>25201519</v>
      </c>
      <c r="B2941" s="35" t="s">
        <v>10114</v>
      </c>
    </row>
    <row r="2942" spans="1:2" x14ac:dyDescent="0.35">
      <c r="A2942" s="34">
        <v>25201520</v>
      </c>
      <c r="B2942" s="35" t="s">
        <v>17808</v>
      </c>
    </row>
    <row r="2943" spans="1:2" x14ac:dyDescent="0.35">
      <c r="A2943" s="34">
        <v>25201601</v>
      </c>
      <c r="B2943" s="35" t="s">
        <v>8856</v>
      </c>
    </row>
    <row r="2944" spans="1:2" x14ac:dyDescent="0.35">
      <c r="A2944" s="34">
        <v>25201602</v>
      </c>
      <c r="B2944" s="35" t="s">
        <v>6205</v>
      </c>
    </row>
    <row r="2945" spans="1:2" x14ac:dyDescent="0.35">
      <c r="A2945" s="34">
        <v>25201603</v>
      </c>
      <c r="B2945" s="35" t="s">
        <v>3143</v>
      </c>
    </row>
    <row r="2946" spans="1:2" x14ac:dyDescent="0.35">
      <c r="A2946" s="34">
        <v>25201604</v>
      </c>
      <c r="B2946" s="35" t="s">
        <v>1638</v>
      </c>
    </row>
    <row r="2947" spans="1:2" x14ac:dyDescent="0.35">
      <c r="A2947" s="34">
        <v>25201605</v>
      </c>
      <c r="B2947" s="35" t="s">
        <v>12410</v>
      </c>
    </row>
    <row r="2948" spans="1:2" x14ac:dyDescent="0.35">
      <c r="A2948" s="34">
        <v>25201606</v>
      </c>
      <c r="B2948" s="35" t="s">
        <v>16100</v>
      </c>
    </row>
    <row r="2949" spans="1:2" x14ac:dyDescent="0.35">
      <c r="A2949" s="34">
        <v>25201701</v>
      </c>
      <c r="B2949" s="35" t="s">
        <v>18937</v>
      </c>
    </row>
    <row r="2950" spans="1:2" x14ac:dyDescent="0.35">
      <c r="A2950" s="34">
        <v>25201702</v>
      </c>
      <c r="B2950" s="35" t="s">
        <v>1140</v>
      </c>
    </row>
    <row r="2951" spans="1:2" x14ac:dyDescent="0.35">
      <c r="A2951" s="34">
        <v>25201703</v>
      </c>
      <c r="B2951" s="35" t="s">
        <v>7301</v>
      </c>
    </row>
    <row r="2952" spans="1:2" x14ac:dyDescent="0.35">
      <c r="A2952" s="34">
        <v>25201704</v>
      </c>
      <c r="B2952" s="35" t="s">
        <v>3590</v>
      </c>
    </row>
    <row r="2953" spans="1:2" x14ac:dyDescent="0.35">
      <c r="A2953" s="34">
        <v>25201705</v>
      </c>
      <c r="B2953" s="35" t="s">
        <v>11181</v>
      </c>
    </row>
    <row r="2954" spans="1:2" x14ac:dyDescent="0.35">
      <c r="A2954" s="34">
        <v>25201706</v>
      </c>
      <c r="B2954" s="35" t="s">
        <v>5976</v>
      </c>
    </row>
    <row r="2955" spans="1:2" x14ac:dyDescent="0.35">
      <c r="A2955" s="34">
        <v>25201707</v>
      </c>
      <c r="B2955" s="35" t="s">
        <v>5078</v>
      </c>
    </row>
    <row r="2956" spans="1:2" x14ac:dyDescent="0.35">
      <c r="A2956" s="34">
        <v>25201708</v>
      </c>
      <c r="B2956" s="35" t="s">
        <v>17196</v>
      </c>
    </row>
    <row r="2957" spans="1:2" x14ac:dyDescent="0.35">
      <c r="A2957" s="34">
        <v>25201709</v>
      </c>
      <c r="B2957" s="35" t="s">
        <v>18696</v>
      </c>
    </row>
    <row r="2958" spans="1:2" x14ac:dyDescent="0.35">
      <c r="A2958" s="34">
        <v>25201710</v>
      </c>
      <c r="B2958" s="35" t="s">
        <v>14689</v>
      </c>
    </row>
    <row r="2959" spans="1:2" x14ac:dyDescent="0.35">
      <c r="A2959" s="34">
        <v>25201801</v>
      </c>
      <c r="B2959" s="35" t="s">
        <v>8181</v>
      </c>
    </row>
    <row r="2960" spans="1:2" x14ac:dyDescent="0.35">
      <c r="A2960" s="34">
        <v>25201802</v>
      </c>
      <c r="B2960" s="35" t="s">
        <v>8905</v>
      </c>
    </row>
    <row r="2961" spans="1:2" x14ac:dyDescent="0.35">
      <c r="A2961" s="34">
        <v>25201901</v>
      </c>
      <c r="B2961" s="35" t="s">
        <v>18594</v>
      </c>
    </row>
    <row r="2962" spans="1:2" x14ac:dyDescent="0.35">
      <c r="A2962" s="34">
        <v>25201902</v>
      </c>
      <c r="B2962" s="35" t="s">
        <v>4425</v>
      </c>
    </row>
    <row r="2963" spans="1:2" x14ac:dyDescent="0.35">
      <c r="A2963" s="34">
        <v>25201903</v>
      </c>
      <c r="B2963" s="35" t="s">
        <v>15799</v>
      </c>
    </row>
    <row r="2964" spans="1:2" x14ac:dyDescent="0.35">
      <c r="A2964" s="34">
        <v>25201904</v>
      </c>
      <c r="B2964" s="35" t="s">
        <v>6923</v>
      </c>
    </row>
    <row r="2965" spans="1:2" x14ac:dyDescent="0.35">
      <c r="A2965" s="34">
        <v>25202001</v>
      </c>
      <c r="B2965" s="35" t="s">
        <v>8985</v>
      </c>
    </row>
    <row r="2966" spans="1:2" x14ac:dyDescent="0.35">
      <c r="A2966" s="34">
        <v>25202002</v>
      </c>
      <c r="B2966" s="35" t="s">
        <v>19165</v>
      </c>
    </row>
    <row r="2967" spans="1:2" x14ac:dyDescent="0.35">
      <c r="A2967" s="34">
        <v>25202003</v>
      </c>
      <c r="B2967" s="35" t="s">
        <v>12760</v>
      </c>
    </row>
    <row r="2968" spans="1:2" x14ac:dyDescent="0.35">
      <c r="A2968" s="34">
        <v>25202004</v>
      </c>
      <c r="B2968" s="35" t="s">
        <v>15651</v>
      </c>
    </row>
    <row r="2969" spans="1:2" x14ac:dyDescent="0.35">
      <c r="A2969" s="34">
        <v>25202101</v>
      </c>
      <c r="B2969" s="35" t="s">
        <v>14182</v>
      </c>
    </row>
    <row r="2970" spans="1:2" x14ac:dyDescent="0.35">
      <c r="A2970" s="34">
        <v>25202102</v>
      </c>
      <c r="B2970" s="35" t="s">
        <v>7945</v>
      </c>
    </row>
    <row r="2971" spans="1:2" x14ac:dyDescent="0.35">
      <c r="A2971" s="34">
        <v>25202103</v>
      </c>
      <c r="B2971" s="35" t="s">
        <v>11498</v>
      </c>
    </row>
    <row r="2972" spans="1:2" x14ac:dyDescent="0.35">
      <c r="A2972" s="34">
        <v>25202104</v>
      </c>
      <c r="B2972" s="35" t="s">
        <v>3479</v>
      </c>
    </row>
    <row r="2973" spans="1:2" x14ac:dyDescent="0.35">
      <c r="A2973" s="34">
        <v>25202105</v>
      </c>
      <c r="B2973" s="35" t="s">
        <v>11395</v>
      </c>
    </row>
    <row r="2974" spans="1:2" x14ac:dyDescent="0.35">
      <c r="A2974" s="34">
        <v>25202201</v>
      </c>
      <c r="B2974" s="35" t="s">
        <v>4128</v>
      </c>
    </row>
    <row r="2975" spans="1:2" x14ac:dyDescent="0.35">
      <c r="A2975" s="34">
        <v>25202202</v>
      </c>
      <c r="B2975" s="35" t="s">
        <v>4624</v>
      </c>
    </row>
    <row r="2976" spans="1:2" x14ac:dyDescent="0.35">
      <c r="A2976" s="34">
        <v>25202203</v>
      </c>
      <c r="B2976" s="35" t="s">
        <v>13008</v>
      </c>
    </row>
    <row r="2977" spans="1:2" x14ac:dyDescent="0.35">
      <c r="A2977" s="34">
        <v>25202204</v>
      </c>
      <c r="B2977" s="35" t="s">
        <v>14241</v>
      </c>
    </row>
    <row r="2978" spans="1:2" x14ac:dyDescent="0.35">
      <c r="A2978" s="34">
        <v>25202205</v>
      </c>
      <c r="B2978" s="35" t="s">
        <v>16957</v>
      </c>
    </row>
    <row r="2979" spans="1:2" x14ac:dyDescent="0.35">
      <c r="A2979" s="34">
        <v>25202206</v>
      </c>
      <c r="B2979" s="35" t="s">
        <v>4151</v>
      </c>
    </row>
    <row r="2980" spans="1:2" x14ac:dyDescent="0.35">
      <c r="A2980" s="34">
        <v>25202301</v>
      </c>
      <c r="B2980" s="35" t="s">
        <v>12519</v>
      </c>
    </row>
    <row r="2981" spans="1:2" x14ac:dyDescent="0.35">
      <c r="A2981" s="34">
        <v>25202302</v>
      </c>
      <c r="B2981" s="35" t="s">
        <v>18827</v>
      </c>
    </row>
    <row r="2982" spans="1:2" x14ac:dyDescent="0.35">
      <c r="A2982" s="34">
        <v>25202401</v>
      </c>
      <c r="B2982" s="35" t="s">
        <v>9280</v>
      </c>
    </row>
    <row r="2983" spans="1:2" x14ac:dyDescent="0.35">
      <c r="A2983" s="34">
        <v>25202402</v>
      </c>
      <c r="B2983" s="35" t="s">
        <v>2512</v>
      </c>
    </row>
    <row r="2984" spans="1:2" x14ac:dyDescent="0.35">
      <c r="A2984" s="34">
        <v>25202403</v>
      </c>
      <c r="B2984" s="35" t="s">
        <v>9024</v>
      </c>
    </row>
    <row r="2985" spans="1:2" x14ac:dyDescent="0.35">
      <c r="A2985" s="34">
        <v>25202404</v>
      </c>
      <c r="B2985" s="35" t="s">
        <v>19458</v>
      </c>
    </row>
    <row r="2986" spans="1:2" x14ac:dyDescent="0.35">
      <c r="A2986" s="34">
        <v>25202405</v>
      </c>
      <c r="B2986" s="35" t="s">
        <v>19202</v>
      </c>
    </row>
    <row r="2987" spans="1:2" x14ac:dyDescent="0.35">
      <c r="A2987" s="34">
        <v>25202406</v>
      </c>
      <c r="B2987" s="35" t="s">
        <v>47</v>
      </c>
    </row>
    <row r="2988" spans="1:2" x14ac:dyDescent="0.35">
      <c r="A2988" s="34">
        <v>25202501</v>
      </c>
      <c r="B2988" s="35" t="s">
        <v>1245</v>
      </c>
    </row>
    <row r="2989" spans="1:2" x14ac:dyDescent="0.35">
      <c r="A2989" s="34">
        <v>25202502</v>
      </c>
      <c r="B2989" s="35" t="s">
        <v>17964</v>
      </c>
    </row>
    <row r="2990" spans="1:2" x14ac:dyDescent="0.35">
      <c r="A2990" s="34">
        <v>25202503</v>
      </c>
      <c r="B2990" s="35" t="s">
        <v>15998</v>
      </c>
    </row>
    <row r="2991" spans="1:2" x14ac:dyDescent="0.35">
      <c r="A2991" s="34">
        <v>25202504</v>
      </c>
      <c r="B2991" s="35" t="s">
        <v>13710</v>
      </c>
    </row>
    <row r="2992" spans="1:2" x14ac:dyDescent="0.35">
      <c r="A2992" s="34">
        <v>25202505</v>
      </c>
      <c r="B2992" s="35" t="s">
        <v>19009</v>
      </c>
    </row>
    <row r="2993" spans="1:2" x14ac:dyDescent="0.35">
      <c r="A2993" s="34">
        <v>25202506</v>
      </c>
      <c r="B2993" s="35" t="s">
        <v>9495</v>
      </c>
    </row>
    <row r="2994" spans="1:2" x14ac:dyDescent="0.35">
      <c r="A2994" s="34">
        <v>25202507</v>
      </c>
      <c r="B2994" s="35" t="s">
        <v>16668</v>
      </c>
    </row>
    <row r="2995" spans="1:2" x14ac:dyDescent="0.35">
      <c r="A2995" s="34">
        <v>25202508</v>
      </c>
      <c r="B2995" s="35" t="s">
        <v>1957</v>
      </c>
    </row>
    <row r="2996" spans="1:2" x14ac:dyDescent="0.35">
      <c r="A2996" s="34">
        <v>25202509</v>
      </c>
      <c r="B2996" s="35" t="s">
        <v>5787</v>
      </c>
    </row>
    <row r="2997" spans="1:2" x14ac:dyDescent="0.35">
      <c r="A2997" s="34">
        <v>25202510</v>
      </c>
      <c r="B2997" s="35" t="s">
        <v>13911</v>
      </c>
    </row>
    <row r="2998" spans="1:2" x14ac:dyDescent="0.35">
      <c r="A2998" s="34">
        <v>25202601</v>
      </c>
      <c r="B2998" s="35" t="s">
        <v>15594</v>
      </c>
    </row>
    <row r="2999" spans="1:2" x14ac:dyDescent="0.35">
      <c r="A2999" s="34">
        <v>25202602</v>
      </c>
      <c r="B2999" s="35" t="s">
        <v>4652</v>
      </c>
    </row>
    <row r="3000" spans="1:2" x14ac:dyDescent="0.35">
      <c r="A3000" s="34">
        <v>25202603</v>
      </c>
      <c r="B3000" s="35" t="s">
        <v>10299</v>
      </c>
    </row>
    <row r="3001" spans="1:2" x14ac:dyDescent="0.35">
      <c r="A3001" s="34">
        <v>25202604</v>
      </c>
      <c r="B3001" s="35" t="s">
        <v>1933</v>
      </c>
    </row>
    <row r="3002" spans="1:2" x14ac:dyDescent="0.35">
      <c r="A3002" s="34">
        <v>25202605</v>
      </c>
      <c r="B3002" s="35" t="s">
        <v>11497</v>
      </c>
    </row>
    <row r="3003" spans="1:2" x14ac:dyDescent="0.35">
      <c r="A3003" s="34">
        <v>25202606</v>
      </c>
      <c r="B3003" s="35" t="s">
        <v>7496</v>
      </c>
    </row>
    <row r="3004" spans="1:2" x14ac:dyDescent="0.35">
      <c r="A3004" s="34">
        <v>25202607</v>
      </c>
      <c r="B3004" s="35" t="s">
        <v>7350</v>
      </c>
    </row>
    <row r="3005" spans="1:2" x14ac:dyDescent="0.35">
      <c r="A3005" s="34">
        <v>25202701</v>
      </c>
      <c r="B3005" s="35" t="s">
        <v>64</v>
      </c>
    </row>
    <row r="3006" spans="1:2" x14ac:dyDescent="0.35">
      <c r="A3006" s="34">
        <v>25202702</v>
      </c>
      <c r="B3006" s="35" t="s">
        <v>16529</v>
      </c>
    </row>
    <row r="3007" spans="1:2" x14ac:dyDescent="0.35">
      <c r="A3007" s="34">
        <v>26101501</v>
      </c>
      <c r="B3007" s="35" t="s">
        <v>209</v>
      </c>
    </row>
    <row r="3008" spans="1:2" x14ac:dyDescent="0.35">
      <c r="A3008" s="34">
        <v>26101502</v>
      </c>
      <c r="B3008" s="35" t="s">
        <v>10184</v>
      </c>
    </row>
    <row r="3009" spans="1:2" x14ac:dyDescent="0.35">
      <c r="A3009" s="34">
        <v>26101503</v>
      </c>
      <c r="B3009" s="35" t="s">
        <v>18376</v>
      </c>
    </row>
    <row r="3010" spans="1:2" x14ac:dyDescent="0.35">
      <c r="A3010" s="34">
        <v>26101504</v>
      </c>
      <c r="B3010" s="35" t="s">
        <v>16570</v>
      </c>
    </row>
    <row r="3011" spans="1:2" x14ac:dyDescent="0.35">
      <c r="A3011" s="34">
        <v>26101505</v>
      </c>
      <c r="B3011" s="35" t="s">
        <v>1024</v>
      </c>
    </row>
    <row r="3012" spans="1:2" x14ac:dyDescent="0.35">
      <c r="A3012" s="34">
        <v>26101506</v>
      </c>
      <c r="B3012" s="35" t="s">
        <v>16222</v>
      </c>
    </row>
    <row r="3013" spans="1:2" x14ac:dyDescent="0.35">
      <c r="A3013" s="34">
        <v>26101507</v>
      </c>
      <c r="B3013" s="35" t="s">
        <v>14280</v>
      </c>
    </row>
    <row r="3014" spans="1:2" x14ac:dyDescent="0.35">
      <c r="A3014" s="34">
        <v>26101508</v>
      </c>
      <c r="B3014" s="35" t="s">
        <v>16626</v>
      </c>
    </row>
    <row r="3015" spans="1:2" x14ac:dyDescent="0.35">
      <c r="A3015" s="34">
        <v>26101509</v>
      </c>
      <c r="B3015" s="35" t="s">
        <v>662</v>
      </c>
    </row>
    <row r="3016" spans="1:2" x14ac:dyDescent="0.35">
      <c r="A3016" s="34">
        <v>26101510</v>
      </c>
      <c r="B3016" s="35" t="s">
        <v>6902</v>
      </c>
    </row>
    <row r="3017" spans="1:2" x14ac:dyDescent="0.35">
      <c r="A3017" s="34">
        <v>26101511</v>
      </c>
      <c r="B3017" s="35" t="s">
        <v>9139</v>
      </c>
    </row>
    <row r="3018" spans="1:2" x14ac:dyDescent="0.35">
      <c r="A3018" s="34">
        <v>26101512</v>
      </c>
      <c r="B3018" s="35" t="s">
        <v>18167</v>
      </c>
    </row>
    <row r="3019" spans="1:2" x14ac:dyDescent="0.35">
      <c r="A3019" s="34">
        <v>26101513</v>
      </c>
      <c r="B3019" s="35" t="s">
        <v>15606</v>
      </c>
    </row>
    <row r="3020" spans="1:2" x14ac:dyDescent="0.35">
      <c r="A3020" s="34">
        <v>26101601</v>
      </c>
      <c r="B3020" s="35" t="s">
        <v>15193</v>
      </c>
    </row>
    <row r="3021" spans="1:2" x14ac:dyDescent="0.35">
      <c r="A3021" s="34">
        <v>26101602</v>
      </c>
      <c r="B3021" s="35" t="s">
        <v>14882</v>
      </c>
    </row>
    <row r="3022" spans="1:2" x14ac:dyDescent="0.35">
      <c r="A3022" s="34">
        <v>26101603</v>
      </c>
      <c r="B3022" s="35" t="s">
        <v>6125</v>
      </c>
    </row>
    <row r="3023" spans="1:2" x14ac:dyDescent="0.35">
      <c r="A3023" s="34">
        <v>26101604</v>
      </c>
      <c r="B3023" s="35" t="s">
        <v>8662</v>
      </c>
    </row>
    <row r="3024" spans="1:2" x14ac:dyDescent="0.35">
      <c r="A3024" s="34">
        <v>26101605</v>
      </c>
      <c r="B3024" s="35" t="s">
        <v>16324</v>
      </c>
    </row>
    <row r="3025" spans="1:2" x14ac:dyDescent="0.35">
      <c r="A3025" s="34">
        <v>26101606</v>
      </c>
      <c r="B3025" s="35" t="s">
        <v>12652</v>
      </c>
    </row>
    <row r="3026" spans="1:2" x14ac:dyDescent="0.35">
      <c r="A3026" s="34">
        <v>26101607</v>
      </c>
      <c r="B3026" s="35" t="s">
        <v>1968</v>
      </c>
    </row>
    <row r="3027" spans="1:2" x14ac:dyDescent="0.35">
      <c r="A3027" s="34">
        <v>26101608</v>
      </c>
      <c r="B3027" s="35" t="s">
        <v>5469</v>
      </c>
    </row>
    <row r="3028" spans="1:2" x14ac:dyDescent="0.35">
      <c r="A3028" s="34">
        <v>26101609</v>
      </c>
      <c r="B3028" s="35" t="s">
        <v>14495</v>
      </c>
    </row>
    <row r="3029" spans="1:2" x14ac:dyDescent="0.35">
      <c r="A3029" s="34">
        <v>26101610</v>
      </c>
      <c r="B3029" s="35" t="s">
        <v>4506</v>
      </c>
    </row>
    <row r="3030" spans="1:2" x14ac:dyDescent="0.35">
      <c r="A3030" s="34">
        <v>26101611</v>
      </c>
      <c r="B3030" s="35" t="s">
        <v>13835</v>
      </c>
    </row>
    <row r="3031" spans="1:2" x14ac:dyDescent="0.35">
      <c r="A3031" s="34">
        <v>26101612</v>
      </c>
      <c r="B3031" s="35" t="s">
        <v>125</v>
      </c>
    </row>
    <row r="3032" spans="1:2" x14ac:dyDescent="0.35">
      <c r="A3032" s="34">
        <v>26101613</v>
      </c>
      <c r="B3032" s="35" t="s">
        <v>209</v>
      </c>
    </row>
    <row r="3033" spans="1:2" x14ac:dyDescent="0.35">
      <c r="A3033" s="34">
        <v>26101614</v>
      </c>
      <c r="B3033" s="35" t="s">
        <v>6031</v>
      </c>
    </row>
    <row r="3034" spans="1:2" x14ac:dyDescent="0.35">
      <c r="A3034" s="34">
        <v>26101615</v>
      </c>
      <c r="B3034" s="35" t="s">
        <v>6128</v>
      </c>
    </row>
    <row r="3035" spans="1:2" x14ac:dyDescent="0.35">
      <c r="A3035" s="34">
        <v>26101616</v>
      </c>
      <c r="B3035" s="35" t="s">
        <v>2918</v>
      </c>
    </row>
    <row r="3036" spans="1:2" x14ac:dyDescent="0.35">
      <c r="A3036" s="34">
        <v>26101701</v>
      </c>
      <c r="B3036" s="35" t="s">
        <v>3955</v>
      </c>
    </row>
    <row r="3037" spans="1:2" x14ac:dyDescent="0.35">
      <c r="A3037" s="34">
        <v>26101702</v>
      </c>
      <c r="B3037" s="35" t="s">
        <v>13600</v>
      </c>
    </row>
    <row r="3038" spans="1:2" x14ac:dyDescent="0.35">
      <c r="A3038" s="34">
        <v>26101703</v>
      </c>
      <c r="B3038" s="35" t="s">
        <v>2248</v>
      </c>
    </row>
    <row r="3039" spans="1:2" x14ac:dyDescent="0.35">
      <c r="A3039" s="34">
        <v>26101704</v>
      </c>
      <c r="B3039" s="35" t="s">
        <v>14907</v>
      </c>
    </row>
    <row r="3040" spans="1:2" x14ac:dyDescent="0.35">
      <c r="A3040" s="34">
        <v>26101705</v>
      </c>
      <c r="B3040" s="35" t="s">
        <v>17467</v>
      </c>
    </row>
    <row r="3041" spans="1:2" x14ac:dyDescent="0.35">
      <c r="A3041" s="34">
        <v>26101706</v>
      </c>
      <c r="B3041" s="35" t="s">
        <v>3923</v>
      </c>
    </row>
    <row r="3042" spans="1:2" x14ac:dyDescent="0.35">
      <c r="A3042" s="34">
        <v>26101707</v>
      </c>
      <c r="B3042" s="35" t="s">
        <v>7870</v>
      </c>
    </row>
    <row r="3043" spans="1:2" x14ac:dyDescent="0.35">
      <c r="A3043" s="34">
        <v>26101708</v>
      </c>
      <c r="B3043" s="35" t="s">
        <v>18523</v>
      </c>
    </row>
    <row r="3044" spans="1:2" x14ac:dyDescent="0.35">
      <c r="A3044" s="34">
        <v>26101709</v>
      </c>
      <c r="B3044" s="35" t="s">
        <v>17069</v>
      </c>
    </row>
    <row r="3045" spans="1:2" x14ac:dyDescent="0.35">
      <c r="A3045" s="34">
        <v>26101710</v>
      </c>
      <c r="B3045" s="35" t="s">
        <v>497</v>
      </c>
    </row>
    <row r="3046" spans="1:2" x14ac:dyDescent="0.35">
      <c r="A3046" s="34">
        <v>26101711</v>
      </c>
      <c r="B3046" s="35" t="s">
        <v>6669</v>
      </c>
    </row>
    <row r="3047" spans="1:2" x14ac:dyDescent="0.35">
      <c r="A3047" s="34">
        <v>26101712</v>
      </c>
      <c r="B3047" s="35" t="s">
        <v>12609</v>
      </c>
    </row>
    <row r="3048" spans="1:2" x14ac:dyDescent="0.35">
      <c r="A3048" s="34">
        <v>26101713</v>
      </c>
      <c r="B3048" s="35" t="s">
        <v>5381</v>
      </c>
    </row>
    <row r="3049" spans="1:2" x14ac:dyDescent="0.35">
      <c r="A3049" s="34">
        <v>26101715</v>
      </c>
      <c r="B3049" s="35" t="s">
        <v>663</v>
      </c>
    </row>
    <row r="3050" spans="1:2" x14ac:dyDescent="0.35">
      <c r="A3050" s="34">
        <v>26101716</v>
      </c>
      <c r="B3050" s="35" t="s">
        <v>3347</v>
      </c>
    </row>
    <row r="3051" spans="1:2" x14ac:dyDescent="0.35">
      <c r="A3051" s="34">
        <v>26101717</v>
      </c>
      <c r="B3051" s="35" t="s">
        <v>4366</v>
      </c>
    </row>
    <row r="3052" spans="1:2" x14ac:dyDescent="0.35">
      <c r="A3052" s="34">
        <v>26101718</v>
      </c>
      <c r="B3052" s="35" t="s">
        <v>7320</v>
      </c>
    </row>
    <row r="3053" spans="1:2" x14ac:dyDescent="0.35">
      <c r="A3053" s="34">
        <v>26101719</v>
      </c>
      <c r="B3053" s="35" t="s">
        <v>4632</v>
      </c>
    </row>
    <row r="3054" spans="1:2" x14ac:dyDescent="0.35">
      <c r="A3054" s="34">
        <v>26101720</v>
      </c>
      <c r="B3054" s="35" t="s">
        <v>2215</v>
      </c>
    </row>
    <row r="3055" spans="1:2" x14ac:dyDescent="0.35">
      <c r="A3055" s="34">
        <v>26101721</v>
      </c>
      <c r="B3055" s="35" t="s">
        <v>8374</v>
      </c>
    </row>
    <row r="3056" spans="1:2" x14ac:dyDescent="0.35">
      <c r="A3056" s="34">
        <v>26101723</v>
      </c>
      <c r="B3056" s="35" t="s">
        <v>3164</v>
      </c>
    </row>
    <row r="3057" spans="1:2" x14ac:dyDescent="0.35">
      <c r="A3057" s="34">
        <v>26101724</v>
      </c>
      <c r="B3057" s="35" t="s">
        <v>552</v>
      </c>
    </row>
    <row r="3058" spans="1:2" x14ac:dyDescent="0.35">
      <c r="A3058" s="34">
        <v>26101725</v>
      </c>
      <c r="B3058" s="35" t="s">
        <v>15301</v>
      </c>
    </row>
    <row r="3059" spans="1:2" x14ac:dyDescent="0.35">
      <c r="A3059" s="34">
        <v>26101726</v>
      </c>
      <c r="B3059" s="35" t="s">
        <v>12085</v>
      </c>
    </row>
    <row r="3060" spans="1:2" x14ac:dyDescent="0.35">
      <c r="A3060" s="34">
        <v>26101727</v>
      </c>
      <c r="B3060" s="35" t="s">
        <v>12752</v>
      </c>
    </row>
    <row r="3061" spans="1:2" x14ac:dyDescent="0.35">
      <c r="A3061" s="34">
        <v>26101728</v>
      </c>
      <c r="B3061" s="35" t="s">
        <v>3802</v>
      </c>
    </row>
    <row r="3062" spans="1:2" x14ac:dyDescent="0.35">
      <c r="A3062" s="34">
        <v>26101729</v>
      </c>
      <c r="B3062" s="35" t="s">
        <v>2089</v>
      </c>
    </row>
    <row r="3063" spans="1:2" x14ac:dyDescent="0.35">
      <c r="A3063" s="34">
        <v>26101730</v>
      </c>
      <c r="B3063" s="35" t="s">
        <v>644</v>
      </c>
    </row>
    <row r="3064" spans="1:2" x14ac:dyDescent="0.35">
      <c r="A3064" s="34">
        <v>26101731</v>
      </c>
      <c r="B3064" s="35" t="s">
        <v>12351</v>
      </c>
    </row>
    <row r="3065" spans="1:2" x14ac:dyDescent="0.35">
      <c r="A3065" s="34">
        <v>26101732</v>
      </c>
      <c r="B3065" s="35" t="s">
        <v>11331</v>
      </c>
    </row>
    <row r="3066" spans="1:2" x14ac:dyDescent="0.35">
      <c r="A3066" s="34">
        <v>26101733</v>
      </c>
      <c r="B3066" s="35" t="s">
        <v>6332</v>
      </c>
    </row>
    <row r="3067" spans="1:2" x14ac:dyDescent="0.35">
      <c r="A3067" s="34">
        <v>26101734</v>
      </c>
      <c r="B3067" s="35" t="s">
        <v>12485</v>
      </c>
    </row>
    <row r="3068" spans="1:2" x14ac:dyDescent="0.35">
      <c r="A3068" s="34">
        <v>26101735</v>
      </c>
      <c r="B3068" s="35" t="s">
        <v>14416</v>
      </c>
    </row>
    <row r="3069" spans="1:2" x14ac:dyDescent="0.35">
      <c r="A3069" s="34">
        <v>26101736</v>
      </c>
      <c r="B3069" s="35" t="s">
        <v>11283</v>
      </c>
    </row>
    <row r="3070" spans="1:2" x14ac:dyDescent="0.35">
      <c r="A3070" s="34">
        <v>26101737</v>
      </c>
      <c r="B3070" s="35" t="s">
        <v>1823</v>
      </c>
    </row>
    <row r="3071" spans="1:2" x14ac:dyDescent="0.35">
      <c r="A3071" s="34">
        <v>26101738</v>
      </c>
      <c r="B3071" s="35" t="s">
        <v>7845</v>
      </c>
    </row>
    <row r="3072" spans="1:2" x14ac:dyDescent="0.35">
      <c r="A3072" s="34">
        <v>26101740</v>
      </c>
      <c r="B3072" s="35" t="s">
        <v>5675</v>
      </c>
    </row>
    <row r="3073" spans="1:2" x14ac:dyDescent="0.35">
      <c r="A3073" s="34">
        <v>26101741</v>
      </c>
      <c r="B3073" s="35" t="s">
        <v>8695</v>
      </c>
    </row>
    <row r="3074" spans="1:2" x14ac:dyDescent="0.35">
      <c r="A3074" s="34">
        <v>26101742</v>
      </c>
      <c r="B3074" s="35" t="s">
        <v>16722</v>
      </c>
    </row>
    <row r="3075" spans="1:2" x14ac:dyDescent="0.35">
      <c r="A3075" s="34">
        <v>26101743</v>
      </c>
      <c r="B3075" s="35" t="s">
        <v>14692</v>
      </c>
    </row>
    <row r="3076" spans="1:2" x14ac:dyDescent="0.35">
      <c r="A3076" s="34">
        <v>26101747</v>
      </c>
      <c r="B3076" s="35" t="s">
        <v>1298</v>
      </c>
    </row>
    <row r="3077" spans="1:2" x14ac:dyDescent="0.35">
      <c r="A3077" s="34">
        <v>26101748</v>
      </c>
      <c r="B3077" s="35" t="s">
        <v>17507</v>
      </c>
    </row>
    <row r="3078" spans="1:2" x14ac:dyDescent="0.35">
      <c r="A3078" s="34">
        <v>26101749</v>
      </c>
      <c r="B3078" s="35" t="s">
        <v>7483</v>
      </c>
    </row>
    <row r="3079" spans="1:2" x14ac:dyDescent="0.35">
      <c r="A3079" s="34">
        <v>26101750</v>
      </c>
      <c r="B3079" s="35" t="s">
        <v>8726</v>
      </c>
    </row>
    <row r="3080" spans="1:2" x14ac:dyDescent="0.35">
      <c r="A3080" s="34">
        <v>26101751</v>
      </c>
      <c r="B3080" s="35" t="s">
        <v>6747</v>
      </c>
    </row>
    <row r="3081" spans="1:2" x14ac:dyDescent="0.35">
      <c r="A3081" s="34">
        <v>26101754</v>
      </c>
      <c r="B3081" s="35" t="s">
        <v>5794</v>
      </c>
    </row>
    <row r="3082" spans="1:2" x14ac:dyDescent="0.35">
      <c r="A3082" s="34">
        <v>26101755</v>
      </c>
      <c r="B3082" s="35" t="s">
        <v>401</v>
      </c>
    </row>
    <row r="3083" spans="1:2" x14ac:dyDescent="0.35">
      <c r="A3083" s="34">
        <v>26101756</v>
      </c>
      <c r="B3083" s="35" t="s">
        <v>6355</v>
      </c>
    </row>
    <row r="3084" spans="1:2" x14ac:dyDescent="0.35">
      <c r="A3084" s="34">
        <v>26101757</v>
      </c>
      <c r="B3084" s="35" t="s">
        <v>2871</v>
      </c>
    </row>
    <row r="3085" spans="1:2" x14ac:dyDescent="0.35">
      <c r="A3085" s="34">
        <v>26101758</v>
      </c>
      <c r="B3085" s="35" t="s">
        <v>5834</v>
      </c>
    </row>
    <row r="3086" spans="1:2" x14ac:dyDescent="0.35">
      <c r="A3086" s="34">
        <v>26101759</v>
      </c>
      <c r="B3086" s="35" t="s">
        <v>18183</v>
      </c>
    </row>
    <row r="3087" spans="1:2" x14ac:dyDescent="0.35">
      <c r="A3087" s="34">
        <v>26101760</v>
      </c>
      <c r="B3087" s="35" t="s">
        <v>10919</v>
      </c>
    </row>
    <row r="3088" spans="1:2" x14ac:dyDescent="0.35">
      <c r="A3088" s="34">
        <v>26101761</v>
      </c>
      <c r="B3088" s="35" t="s">
        <v>18731</v>
      </c>
    </row>
    <row r="3089" spans="1:2" x14ac:dyDescent="0.35">
      <c r="A3089" s="34">
        <v>26101762</v>
      </c>
      <c r="B3089" s="35" t="s">
        <v>1129</v>
      </c>
    </row>
    <row r="3090" spans="1:2" x14ac:dyDescent="0.35">
      <c r="A3090" s="34">
        <v>26101763</v>
      </c>
      <c r="B3090" s="35" t="s">
        <v>9943</v>
      </c>
    </row>
    <row r="3091" spans="1:2" x14ac:dyDescent="0.35">
      <c r="A3091" s="34">
        <v>26101764</v>
      </c>
      <c r="B3091" s="35" t="s">
        <v>11289</v>
      </c>
    </row>
    <row r="3092" spans="1:2" x14ac:dyDescent="0.35">
      <c r="A3092" s="34">
        <v>26101765</v>
      </c>
      <c r="B3092" s="35" t="s">
        <v>6054</v>
      </c>
    </row>
    <row r="3093" spans="1:2" x14ac:dyDescent="0.35">
      <c r="A3093" s="34">
        <v>26101766</v>
      </c>
      <c r="B3093" s="35" t="s">
        <v>13712</v>
      </c>
    </row>
    <row r="3094" spans="1:2" x14ac:dyDescent="0.35">
      <c r="A3094" s="34">
        <v>26101801</v>
      </c>
      <c r="B3094" s="35" t="s">
        <v>5513</v>
      </c>
    </row>
    <row r="3095" spans="1:2" x14ac:dyDescent="0.35">
      <c r="A3095" s="34">
        <v>26101802</v>
      </c>
      <c r="B3095" s="35" t="s">
        <v>11162</v>
      </c>
    </row>
    <row r="3096" spans="1:2" x14ac:dyDescent="0.35">
      <c r="A3096" s="34">
        <v>26101803</v>
      </c>
      <c r="B3096" s="35" t="s">
        <v>19626</v>
      </c>
    </row>
    <row r="3097" spans="1:2" x14ac:dyDescent="0.35">
      <c r="A3097" s="34">
        <v>26101805</v>
      </c>
      <c r="B3097" s="35" t="s">
        <v>11199</v>
      </c>
    </row>
    <row r="3098" spans="1:2" x14ac:dyDescent="0.35">
      <c r="A3098" s="34">
        <v>26101806</v>
      </c>
      <c r="B3098" s="35" t="s">
        <v>13921</v>
      </c>
    </row>
    <row r="3099" spans="1:2" x14ac:dyDescent="0.35">
      <c r="A3099" s="34">
        <v>26101807</v>
      </c>
      <c r="B3099" s="35" t="s">
        <v>9825</v>
      </c>
    </row>
    <row r="3100" spans="1:2" x14ac:dyDescent="0.35">
      <c r="A3100" s="34">
        <v>26101808</v>
      </c>
      <c r="B3100" s="35" t="s">
        <v>19633</v>
      </c>
    </row>
    <row r="3101" spans="1:2" x14ac:dyDescent="0.35">
      <c r="A3101" s="34">
        <v>26101809</v>
      </c>
      <c r="B3101" s="35" t="s">
        <v>13231</v>
      </c>
    </row>
    <row r="3102" spans="1:2" x14ac:dyDescent="0.35">
      <c r="A3102" s="34">
        <v>26101903</v>
      </c>
      <c r="B3102" s="35" t="s">
        <v>15590</v>
      </c>
    </row>
    <row r="3103" spans="1:2" x14ac:dyDescent="0.35">
      <c r="A3103" s="34">
        <v>26101904</v>
      </c>
      <c r="B3103" s="35" t="s">
        <v>7097</v>
      </c>
    </row>
    <row r="3104" spans="1:2" x14ac:dyDescent="0.35">
      <c r="A3104" s="34">
        <v>26101905</v>
      </c>
      <c r="B3104" s="35" t="s">
        <v>2368</v>
      </c>
    </row>
    <row r="3105" spans="1:2" x14ac:dyDescent="0.35">
      <c r="A3105" s="34">
        <v>26111501</v>
      </c>
      <c r="B3105" s="35" t="s">
        <v>10494</v>
      </c>
    </row>
    <row r="3106" spans="1:2" x14ac:dyDescent="0.35">
      <c r="A3106" s="34">
        <v>26111503</v>
      </c>
      <c r="B3106" s="35" t="s">
        <v>9609</v>
      </c>
    </row>
    <row r="3107" spans="1:2" x14ac:dyDescent="0.35">
      <c r="A3107" s="34">
        <v>26111504</v>
      </c>
      <c r="B3107" s="35" t="s">
        <v>4198</v>
      </c>
    </row>
    <row r="3108" spans="1:2" x14ac:dyDescent="0.35">
      <c r="A3108" s="34">
        <v>26111505</v>
      </c>
      <c r="B3108" s="35" t="s">
        <v>18315</v>
      </c>
    </row>
    <row r="3109" spans="1:2" x14ac:dyDescent="0.35">
      <c r="A3109" s="34">
        <v>26111506</v>
      </c>
      <c r="B3109" s="35" t="s">
        <v>1336</v>
      </c>
    </row>
    <row r="3110" spans="1:2" x14ac:dyDescent="0.35">
      <c r="A3110" s="34">
        <v>26111508</v>
      </c>
      <c r="B3110" s="35" t="s">
        <v>15607</v>
      </c>
    </row>
    <row r="3111" spans="1:2" x14ac:dyDescent="0.35">
      <c r="A3111" s="34">
        <v>26111509</v>
      </c>
      <c r="B3111" s="35" t="s">
        <v>3117</v>
      </c>
    </row>
    <row r="3112" spans="1:2" x14ac:dyDescent="0.35">
      <c r="A3112" s="34">
        <v>26111510</v>
      </c>
      <c r="B3112" s="35" t="s">
        <v>19067</v>
      </c>
    </row>
    <row r="3113" spans="1:2" x14ac:dyDescent="0.35">
      <c r="A3113" s="34">
        <v>26111512</v>
      </c>
      <c r="B3113" s="35" t="s">
        <v>1820</v>
      </c>
    </row>
    <row r="3114" spans="1:2" x14ac:dyDescent="0.35">
      <c r="A3114" s="34">
        <v>26111513</v>
      </c>
      <c r="B3114" s="35" t="s">
        <v>227</v>
      </c>
    </row>
    <row r="3115" spans="1:2" x14ac:dyDescent="0.35">
      <c r="A3115" s="34">
        <v>26111514</v>
      </c>
      <c r="B3115" s="35" t="s">
        <v>9798</v>
      </c>
    </row>
    <row r="3116" spans="1:2" x14ac:dyDescent="0.35">
      <c r="A3116" s="34">
        <v>26111515</v>
      </c>
      <c r="B3116" s="35" t="s">
        <v>17082</v>
      </c>
    </row>
    <row r="3117" spans="1:2" x14ac:dyDescent="0.35">
      <c r="A3117" s="34">
        <v>26111516</v>
      </c>
      <c r="B3117" s="35" t="s">
        <v>4475</v>
      </c>
    </row>
    <row r="3118" spans="1:2" x14ac:dyDescent="0.35">
      <c r="A3118" s="34">
        <v>26111517</v>
      </c>
      <c r="B3118" s="35" t="s">
        <v>11261</v>
      </c>
    </row>
    <row r="3119" spans="1:2" x14ac:dyDescent="0.35">
      <c r="A3119" s="34">
        <v>26111518</v>
      </c>
      <c r="B3119" s="35" t="s">
        <v>9115</v>
      </c>
    </row>
    <row r="3120" spans="1:2" x14ac:dyDescent="0.35">
      <c r="A3120" s="34">
        <v>26111519</v>
      </c>
      <c r="B3120" s="35" t="s">
        <v>7089</v>
      </c>
    </row>
    <row r="3121" spans="1:2" x14ac:dyDescent="0.35">
      <c r="A3121" s="34">
        <v>26111520</v>
      </c>
      <c r="B3121" s="35" t="s">
        <v>1509</v>
      </c>
    </row>
    <row r="3122" spans="1:2" x14ac:dyDescent="0.35">
      <c r="A3122" s="34">
        <v>26111521</v>
      </c>
      <c r="B3122" s="35" t="s">
        <v>3901</v>
      </c>
    </row>
    <row r="3123" spans="1:2" x14ac:dyDescent="0.35">
      <c r="A3123" s="34">
        <v>26111522</v>
      </c>
      <c r="B3123" s="35" t="s">
        <v>11344</v>
      </c>
    </row>
    <row r="3124" spans="1:2" x14ac:dyDescent="0.35">
      <c r="A3124" s="34">
        <v>26111523</v>
      </c>
      <c r="B3124" s="35" t="s">
        <v>4050</v>
      </c>
    </row>
    <row r="3125" spans="1:2" x14ac:dyDescent="0.35">
      <c r="A3125" s="34">
        <v>26111524</v>
      </c>
      <c r="B3125" s="35" t="s">
        <v>11576</v>
      </c>
    </row>
    <row r="3126" spans="1:2" x14ac:dyDescent="0.35">
      <c r="A3126" s="34">
        <v>26111525</v>
      </c>
      <c r="B3126" s="35" t="s">
        <v>15595</v>
      </c>
    </row>
    <row r="3127" spans="1:2" x14ac:dyDescent="0.35">
      <c r="A3127" s="34">
        <v>26111526</v>
      </c>
      <c r="B3127" s="35" t="s">
        <v>1259</v>
      </c>
    </row>
    <row r="3128" spans="1:2" x14ac:dyDescent="0.35">
      <c r="A3128" s="34">
        <v>26111527</v>
      </c>
      <c r="B3128" s="35" t="s">
        <v>19334</v>
      </c>
    </row>
    <row r="3129" spans="1:2" x14ac:dyDescent="0.35">
      <c r="A3129" s="34">
        <v>26111528</v>
      </c>
      <c r="B3129" s="35" t="s">
        <v>1476</v>
      </c>
    </row>
    <row r="3130" spans="1:2" x14ac:dyDescent="0.35">
      <c r="A3130" s="34">
        <v>26111529</v>
      </c>
      <c r="B3130" s="35" t="s">
        <v>15818</v>
      </c>
    </row>
    <row r="3131" spans="1:2" x14ac:dyDescent="0.35">
      <c r="A3131" s="34">
        <v>26111530</v>
      </c>
      <c r="B3131" s="35" t="s">
        <v>11088</v>
      </c>
    </row>
    <row r="3132" spans="1:2" x14ac:dyDescent="0.35">
      <c r="A3132" s="34">
        <v>26111531</v>
      </c>
      <c r="B3132" s="35" t="s">
        <v>1743</v>
      </c>
    </row>
    <row r="3133" spans="1:2" x14ac:dyDescent="0.35">
      <c r="A3133" s="34">
        <v>26111532</v>
      </c>
      <c r="B3133" s="35" t="s">
        <v>18678</v>
      </c>
    </row>
    <row r="3134" spans="1:2" x14ac:dyDescent="0.35">
      <c r="A3134" s="34">
        <v>26111533</v>
      </c>
      <c r="B3134" s="35" t="s">
        <v>3886</v>
      </c>
    </row>
    <row r="3135" spans="1:2" x14ac:dyDescent="0.35">
      <c r="A3135" s="34">
        <v>26111534</v>
      </c>
      <c r="B3135" s="35" t="s">
        <v>9190</v>
      </c>
    </row>
    <row r="3136" spans="1:2" x14ac:dyDescent="0.35">
      <c r="A3136" s="34">
        <v>26111535</v>
      </c>
      <c r="B3136" s="35" t="s">
        <v>16435</v>
      </c>
    </row>
    <row r="3137" spans="1:2" x14ac:dyDescent="0.35">
      <c r="A3137" s="34">
        <v>26111601</v>
      </c>
      <c r="B3137" s="35" t="s">
        <v>7689</v>
      </c>
    </row>
    <row r="3138" spans="1:2" x14ac:dyDescent="0.35">
      <c r="A3138" s="34">
        <v>26111602</v>
      </c>
      <c r="B3138" s="35" t="s">
        <v>15123</v>
      </c>
    </row>
    <row r="3139" spans="1:2" x14ac:dyDescent="0.35">
      <c r="A3139" s="34">
        <v>26111603</v>
      </c>
      <c r="B3139" s="35" t="s">
        <v>5602</v>
      </c>
    </row>
    <row r="3140" spans="1:2" x14ac:dyDescent="0.35">
      <c r="A3140" s="34">
        <v>26111604</v>
      </c>
      <c r="B3140" s="35" t="s">
        <v>9674</v>
      </c>
    </row>
    <row r="3141" spans="1:2" x14ac:dyDescent="0.35">
      <c r="A3141" s="34">
        <v>26111605</v>
      </c>
      <c r="B3141" s="35" t="s">
        <v>5522</v>
      </c>
    </row>
    <row r="3142" spans="1:2" x14ac:dyDescent="0.35">
      <c r="A3142" s="34">
        <v>26111606</v>
      </c>
      <c r="B3142" s="35" t="s">
        <v>17093</v>
      </c>
    </row>
    <row r="3143" spans="1:2" x14ac:dyDescent="0.35">
      <c r="A3143" s="34">
        <v>26111607</v>
      </c>
      <c r="B3143" s="35" t="s">
        <v>11001</v>
      </c>
    </row>
    <row r="3144" spans="1:2" x14ac:dyDescent="0.35">
      <c r="A3144" s="34">
        <v>26111608</v>
      </c>
      <c r="B3144" s="35" t="s">
        <v>14587</v>
      </c>
    </row>
    <row r="3145" spans="1:2" x14ac:dyDescent="0.35">
      <c r="A3145" s="34">
        <v>26111701</v>
      </c>
      <c r="B3145" s="35" t="s">
        <v>5684</v>
      </c>
    </row>
    <row r="3146" spans="1:2" x14ac:dyDescent="0.35">
      <c r="A3146" s="34">
        <v>26111702</v>
      </c>
      <c r="B3146" s="35" t="s">
        <v>10663</v>
      </c>
    </row>
    <row r="3147" spans="1:2" x14ac:dyDescent="0.35">
      <c r="A3147" s="34">
        <v>26111703</v>
      </c>
      <c r="B3147" s="35" t="s">
        <v>5531</v>
      </c>
    </row>
    <row r="3148" spans="1:2" x14ac:dyDescent="0.35">
      <c r="A3148" s="34">
        <v>26111704</v>
      </c>
      <c r="B3148" s="35" t="s">
        <v>1392</v>
      </c>
    </row>
    <row r="3149" spans="1:2" x14ac:dyDescent="0.35">
      <c r="A3149" s="34">
        <v>26111705</v>
      </c>
      <c r="B3149" s="35" t="s">
        <v>12834</v>
      </c>
    </row>
    <row r="3150" spans="1:2" x14ac:dyDescent="0.35">
      <c r="A3150" s="34">
        <v>26111706</v>
      </c>
      <c r="B3150" s="35" t="s">
        <v>2026</v>
      </c>
    </row>
    <row r="3151" spans="1:2" x14ac:dyDescent="0.35">
      <c r="A3151" s="34">
        <v>26111707</v>
      </c>
      <c r="B3151" s="35" t="s">
        <v>16180</v>
      </c>
    </row>
    <row r="3152" spans="1:2" x14ac:dyDescent="0.35">
      <c r="A3152" s="34">
        <v>26111708</v>
      </c>
      <c r="B3152" s="35" t="s">
        <v>3176</v>
      </c>
    </row>
    <row r="3153" spans="1:2" x14ac:dyDescent="0.35">
      <c r="A3153" s="34">
        <v>26111709</v>
      </c>
      <c r="B3153" s="35" t="s">
        <v>16202</v>
      </c>
    </row>
    <row r="3154" spans="1:2" x14ac:dyDescent="0.35">
      <c r="A3154" s="34">
        <v>26111710</v>
      </c>
      <c r="B3154" s="35" t="s">
        <v>12139</v>
      </c>
    </row>
    <row r="3155" spans="1:2" x14ac:dyDescent="0.35">
      <c r="A3155" s="34">
        <v>26111711</v>
      </c>
      <c r="B3155" s="35" t="s">
        <v>8992</v>
      </c>
    </row>
    <row r="3156" spans="1:2" x14ac:dyDescent="0.35">
      <c r="A3156" s="34">
        <v>26111712</v>
      </c>
      <c r="B3156" s="35" t="s">
        <v>17652</v>
      </c>
    </row>
    <row r="3157" spans="1:2" x14ac:dyDescent="0.35">
      <c r="A3157" s="34">
        <v>26111713</v>
      </c>
      <c r="B3157" s="35" t="s">
        <v>16557</v>
      </c>
    </row>
    <row r="3158" spans="1:2" x14ac:dyDescent="0.35">
      <c r="A3158" s="34">
        <v>26111714</v>
      </c>
      <c r="B3158" s="35" t="s">
        <v>3406</v>
      </c>
    </row>
    <row r="3159" spans="1:2" x14ac:dyDescent="0.35">
      <c r="A3159" s="34">
        <v>26111715</v>
      </c>
      <c r="B3159" s="35" t="s">
        <v>5922</v>
      </c>
    </row>
    <row r="3160" spans="1:2" x14ac:dyDescent="0.35">
      <c r="A3160" s="34">
        <v>26111716</v>
      </c>
      <c r="B3160" s="35" t="s">
        <v>9351</v>
      </c>
    </row>
    <row r="3161" spans="1:2" x14ac:dyDescent="0.35">
      <c r="A3161" s="34">
        <v>26111717</v>
      </c>
      <c r="B3161" s="35" t="s">
        <v>824</v>
      </c>
    </row>
    <row r="3162" spans="1:2" x14ac:dyDescent="0.35">
      <c r="A3162" s="34">
        <v>26111718</v>
      </c>
      <c r="B3162" s="35" t="s">
        <v>9208</v>
      </c>
    </row>
    <row r="3163" spans="1:2" x14ac:dyDescent="0.35">
      <c r="A3163" s="34">
        <v>26111719</v>
      </c>
      <c r="B3163" s="35" t="s">
        <v>8625</v>
      </c>
    </row>
    <row r="3164" spans="1:2" x14ac:dyDescent="0.35">
      <c r="A3164" s="34">
        <v>26111720</v>
      </c>
      <c r="B3164" s="35" t="s">
        <v>9397</v>
      </c>
    </row>
    <row r="3165" spans="1:2" x14ac:dyDescent="0.35">
      <c r="A3165" s="34">
        <v>26111721</v>
      </c>
      <c r="B3165" s="35" t="s">
        <v>19081</v>
      </c>
    </row>
    <row r="3166" spans="1:2" x14ac:dyDescent="0.35">
      <c r="A3166" s="34">
        <v>26111722</v>
      </c>
      <c r="B3166" s="35" t="s">
        <v>55</v>
      </c>
    </row>
    <row r="3167" spans="1:2" x14ac:dyDescent="0.35">
      <c r="A3167" s="34">
        <v>26111723</v>
      </c>
      <c r="B3167" s="35" t="s">
        <v>19159</v>
      </c>
    </row>
    <row r="3168" spans="1:2" x14ac:dyDescent="0.35">
      <c r="A3168" s="34">
        <v>26111724</v>
      </c>
      <c r="B3168" s="35" t="s">
        <v>3465</v>
      </c>
    </row>
    <row r="3169" spans="1:2" x14ac:dyDescent="0.35">
      <c r="A3169" s="34">
        <v>26111725</v>
      </c>
      <c r="B3169" s="35" t="s">
        <v>14769</v>
      </c>
    </row>
    <row r="3170" spans="1:2" x14ac:dyDescent="0.35">
      <c r="A3170" s="34">
        <v>26111726</v>
      </c>
      <c r="B3170" s="35" t="s">
        <v>15752</v>
      </c>
    </row>
    <row r="3171" spans="1:2" x14ac:dyDescent="0.35">
      <c r="A3171" s="34">
        <v>26111801</v>
      </c>
      <c r="B3171" s="35" t="s">
        <v>16467</v>
      </c>
    </row>
    <row r="3172" spans="1:2" x14ac:dyDescent="0.35">
      <c r="A3172" s="34">
        <v>26111802</v>
      </c>
      <c r="B3172" s="35" t="s">
        <v>1574</v>
      </c>
    </row>
    <row r="3173" spans="1:2" x14ac:dyDescent="0.35">
      <c r="A3173" s="34">
        <v>26111803</v>
      </c>
      <c r="B3173" s="35" t="s">
        <v>7050</v>
      </c>
    </row>
    <row r="3174" spans="1:2" x14ac:dyDescent="0.35">
      <c r="A3174" s="34">
        <v>26111804</v>
      </c>
      <c r="B3174" s="35" t="s">
        <v>15647</v>
      </c>
    </row>
    <row r="3175" spans="1:2" x14ac:dyDescent="0.35">
      <c r="A3175" s="34">
        <v>26111805</v>
      </c>
      <c r="B3175" s="35" t="s">
        <v>1768</v>
      </c>
    </row>
    <row r="3176" spans="1:2" x14ac:dyDescent="0.35">
      <c r="A3176" s="34">
        <v>26111806</v>
      </c>
      <c r="B3176" s="35" t="s">
        <v>15477</v>
      </c>
    </row>
    <row r="3177" spans="1:2" x14ac:dyDescent="0.35">
      <c r="A3177" s="34">
        <v>26111807</v>
      </c>
      <c r="B3177" s="35" t="s">
        <v>3657</v>
      </c>
    </row>
    <row r="3178" spans="1:2" x14ac:dyDescent="0.35">
      <c r="A3178" s="34">
        <v>26111808</v>
      </c>
      <c r="B3178" s="35" t="s">
        <v>11507</v>
      </c>
    </row>
    <row r="3179" spans="1:2" x14ac:dyDescent="0.35">
      <c r="A3179" s="34">
        <v>26111809</v>
      </c>
      <c r="B3179" s="35" t="s">
        <v>5952</v>
      </c>
    </row>
    <row r="3180" spans="1:2" x14ac:dyDescent="0.35">
      <c r="A3180" s="34">
        <v>26111810</v>
      </c>
      <c r="B3180" s="35" t="s">
        <v>4075</v>
      </c>
    </row>
    <row r="3181" spans="1:2" x14ac:dyDescent="0.35">
      <c r="A3181" s="34">
        <v>26111901</v>
      </c>
      <c r="B3181" s="35" t="s">
        <v>13296</v>
      </c>
    </row>
    <row r="3182" spans="1:2" x14ac:dyDescent="0.35">
      <c r="A3182" s="34">
        <v>26111902</v>
      </c>
      <c r="B3182" s="35" t="s">
        <v>16499</v>
      </c>
    </row>
    <row r="3183" spans="1:2" x14ac:dyDescent="0.35">
      <c r="A3183" s="34">
        <v>26111903</v>
      </c>
      <c r="B3183" s="35" t="s">
        <v>6409</v>
      </c>
    </row>
    <row r="3184" spans="1:2" x14ac:dyDescent="0.35">
      <c r="A3184" s="34">
        <v>26111904</v>
      </c>
      <c r="B3184" s="35" t="s">
        <v>17387</v>
      </c>
    </row>
    <row r="3185" spans="1:2" x14ac:dyDescent="0.35">
      <c r="A3185" s="34">
        <v>26111905</v>
      </c>
      <c r="B3185" s="35" t="s">
        <v>3421</v>
      </c>
    </row>
    <row r="3186" spans="1:2" x14ac:dyDescent="0.35">
      <c r="A3186" s="34">
        <v>26111907</v>
      </c>
      <c r="B3186" s="35" t="s">
        <v>13807</v>
      </c>
    </row>
    <row r="3187" spans="1:2" x14ac:dyDescent="0.35">
      <c r="A3187" s="34">
        <v>26111908</v>
      </c>
      <c r="B3187" s="35" t="s">
        <v>3103</v>
      </c>
    </row>
    <row r="3188" spans="1:2" x14ac:dyDescent="0.35">
      <c r="A3188" s="34">
        <v>26111909</v>
      </c>
      <c r="B3188" s="35" t="s">
        <v>3856</v>
      </c>
    </row>
    <row r="3189" spans="1:2" x14ac:dyDescent="0.35">
      <c r="A3189" s="34">
        <v>26111910</v>
      </c>
      <c r="B3189" s="35" t="s">
        <v>2349</v>
      </c>
    </row>
    <row r="3190" spans="1:2" x14ac:dyDescent="0.35">
      <c r="A3190" s="34">
        <v>26112001</v>
      </c>
      <c r="B3190" s="35" t="s">
        <v>14701</v>
      </c>
    </row>
    <row r="3191" spans="1:2" x14ac:dyDescent="0.35">
      <c r="A3191" s="34">
        <v>26112002</v>
      </c>
      <c r="B3191" s="35" t="s">
        <v>16764</v>
      </c>
    </row>
    <row r="3192" spans="1:2" x14ac:dyDescent="0.35">
      <c r="A3192" s="34">
        <v>26112003</v>
      </c>
      <c r="B3192" s="35" t="s">
        <v>13552</v>
      </c>
    </row>
    <row r="3193" spans="1:2" x14ac:dyDescent="0.35">
      <c r="A3193" s="34">
        <v>26112004</v>
      </c>
      <c r="B3193" s="35" t="s">
        <v>10436</v>
      </c>
    </row>
    <row r="3194" spans="1:2" x14ac:dyDescent="0.35">
      <c r="A3194" s="34">
        <v>26112101</v>
      </c>
      <c r="B3194" s="35" t="s">
        <v>6599</v>
      </c>
    </row>
    <row r="3195" spans="1:2" x14ac:dyDescent="0.35">
      <c r="A3195" s="34">
        <v>26112102</v>
      </c>
      <c r="B3195" s="35" t="s">
        <v>1301</v>
      </c>
    </row>
    <row r="3196" spans="1:2" x14ac:dyDescent="0.35">
      <c r="A3196" s="34">
        <v>26112103</v>
      </c>
      <c r="B3196" s="35" t="s">
        <v>3118</v>
      </c>
    </row>
    <row r="3197" spans="1:2" x14ac:dyDescent="0.35">
      <c r="A3197" s="34">
        <v>26112104</v>
      </c>
      <c r="B3197" s="35" t="s">
        <v>1761</v>
      </c>
    </row>
    <row r="3198" spans="1:2" x14ac:dyDescent="0.35">
      <c r="A3198" s="34">
        <v>26112105</v>
      </c>
      <c r="B3198" s="35" t="s">
        <v>14221</v>
      </c>
    </row>
    <row r="3199" spans="1:2" x14ac:dyDescent="0.35">
      <c r="A3199" s="34">
        <v>26121501</v>
      </c>
      <c r="B3199" s="35" t="s">
        <v>12079</v>
      </c>
    </row>
    <row r="3200" spans="1:2" x14ac:dyDescent="0.35">
      <c r="A3200" s="34">
        <v>26121505</v>
      </c>
      <c r="B3200" s="35" t="s">
        <v>2090</v>
      </c>
    </row>
    <row r="3201" spans="1:2" x14ac:dyDescent="0.35">
      <c r="A3201" s="34">
        <v>26121507</v>
      </c>
      <c r="B3201" s="35" t="s">
        <v>10022</v>
      </c>
    </row>
    <row r="3202" spans="1:2" x14ac:dyDescent="0.35">
      <c r="A3202" s="34">
        <v>26121508</v>
      </c>
      <c r="B3202" s="35" t="s">
        <v>6896</v>
      </c>
    </row>
    <row r="3203" spans="1:2" x14ac:dyDescent="0.35">
      <c r="A3203" s="34">
        <v>26121509</v>
      </c>
      <c r="B3203" s="35" t="s">
        <v>18454</v>
      </c>
    </row>
    <row r="3204" spans="1:2" x14ac:dyDescent="0.35">
      <c r="A3204" s="34">
        <v>26121510</v>
      </c>
      <c r="B3204" s="35" t="s">
        <v>773</v>
      </c>
    </row>
    <row r="3205" spans="1:2" x14ac:dyDescent="0.35">
      <c r="A3205" s="34">
        <v>26121514</v>
      </c>
      <c r="B3205" s="35" t="s">
        <v>16877</v>
      </c>
    </row>
    <row r="3206" spans="1:2" x14ac:dyDescent="0.35">
      <c r="A3206" s="34">
        <v>26121515</v>
      </c>
      <c r="B3206" s="35" t="s">
        <v>2670</v>
      </c>
    </row>
    <row r="3207" spans="1:2" x14ac:dyDescent="0.35">
      <c r="A3207" s="34">
        <v>26121517</v>
      </c>
      <c r="B3207" s="35" t="s">
        <v>7537</v>
      </c>
    </row>
    <row r="3208" spans="1:2" x14ac:dyDescent="0.35">
      <c r="A3208" s="34">
        <v>26121519</v>
      </c>
      <c r="B3208" s="35" t="s">
        <v>17551</v>
      </c>
    </row>
    <row r="3209" spans="1:2" x14ac:dyDescent="0.35">
      <c r="A3209" s="34">
        <v>26121520</v>
      </c>
      <c r="B3209" s="35" t="s">
        <v>1423</v>
      </c>
    </row>
    <row r="3210" spans="1:2" x14ac:dyDescent="0.35">
      <c r="A3210" s="34">
        <v>26121521</v>
      </c>
      <c r="B3210" s="35" t="s">
        <v>2516</v>
      </c>
    </row>
    <row r="3211" spans="1:2" x14ac:dyDescent="0.35">
      <c r="A3211" s="34">
        <v>26121522</v>
      </c>
      <c r="B3211" s="35" t="s">
        <v>4046</v>
      </c>
    </row>
    <row r="3212" spans="1:2" x14ac:dyDescent="0.35">
      <c r="A3212" s="34">
        <v>26121523</v>
      </c>
      <c r="B3212" s="35" t="s">
        <v>18735</v>
      </c>
    </row>
    <row r="3213" spans="1:2" x14ac:dyDescent="0.35">
      <c r="A3213" s="34">
        <v>26121524</v>
      </c>
      <c r="B3213" s="35" t="s">
        <v>9635</v>
      </c>
    </row>
    <row r="3214" spans="1:2" x14ac:dyDescent="0.35">
      <c r="A3214" s="34">
        <v>26121532</v>
      </c>
      <c r="B3214" s="35" t="s">
        <v>864</v>
      </c>
    </row>
    <row r="3215" spans="1:2" x14ac:dyDescent="0.35">
      <c r="A3215" s="34">
        <v>26121533</v>
      </c>
      <c r="B3215" s="35" t="s">
        <v>7007</v>
      </c>
    </row>
    <row r="3216" spans="1:2" x14ac:dyDescent="0.35">
      <c r="A3216" s="34">
        <v>26121534</v>
      </c>
      <c r="B3216" s="35" t="s">
        <v>10784</v>
      </c>
    </row>
    <row r="3217" spans="1:2" x14ac:dyDescent="0.35">
      <c r="A3217" s="34">
        <v>26121536</v>
      </c>
      <c r="B3217" s="35" t="s">
        <v>4796</v>
      </c>
    </row>
    <row r="3218" spans="1:2" x14ac:dyDescent="0.35">
      <c r="A3218" s="34">
        <v>26121538</v>
      </c>
      <c r="B3218" s="35" t="s">
        <v>9168</v>
      </c>
    </row>
    <row r="3219" spans="1:2" x14ac:dyDescent="0.35">
      <c r="A3219" s="34">
        <v>26121539</v>
      </c>
      <c r="B3219" s="35" t="s">
        <v>12130</v>
      </c>
    </row>
    <row r="3220" spans="1:2" x14ac:dyDescent="0.35">
      <c r="A3220" s="34">
        <v>26121540</v>
      </c>
      <c r="B3220" s="35" t="s">
        <v>15797</v>
      </c>
    </row>
    <row r="3221" spans="1:2" x14ac:dyDescent="0.35">
      <c r="A3221" s="34">
        <v>26121541</v>
      </c>
      <c r="B3221" s="35" t="s">
        <v>19380</v>
      </c>
    </row>
    <row r="3222" spans="1:2" x14ac:dyDescent="0.35">
      <c r="A3222" s="34">
        <v>26121601</v>
      </c>
      <c r="B3222" s="35" t="s">
        <v>989</v>
      </c>
    </row>
    <row r="3223" spans="1:2" x14ac:dyDescent="0.35">
      <c r="A3223" s="34">
        <v>26121602</v>
      </c>
      <c r="B3223" s="35" t="s">
        <v>12446</v>
      </c>
    </row>
    <row r="3224" spans="1:2" x14ac:dyDescent="0.35">
      <c r="A3224" s="34">
        <v>26121603</v>
      </c>
      <c r="B3224" s="35" t="s">
        <v>9427</v>
      </c>
    </row>
    <row r="3225" spans="1:2" x14ac:dyDescent="0.35">
      <c r="A3225" s="34">
        <v>26121604</v>
      </c>
      <c r="B3225" s="35" t="s">
        <v>7918</v>
      </c>
    </row>
    <row r="3226" spans="1:2" x14ac:dyDescent="0.35">
      <c r="A3226" s="34">
        <v>26121605</v>
      </c>
      <c r="B3226" s="35" t="s">
        <v>1703</v>
      </c>
    </row>
    <row r="3227" spans="1:2" x14ac:dyDescent="0.35">
      <c r="A3227" s="34">
        <v>26121606</v>
      </c>
      <c r="B3227" s="35" t="s">
        <v>6972</v>
      </c>
    </row>
    <row r="3228" spans="1:2" x14ac:dyDescent="0.35">
      <c r="A3228" s="34">
        <v>26121607</v>
      </c>
      <c r="B3228" s="35" t="s">
        <v>15632</v>
      </c>
    </row>
    <row r="3229" spans="1:2" x14ac:dyDescent="0.35">
      <c r="A3229" s="34">
        <v>26121608</v>
      </c>
      <c r="B3229" s="35" t="s">
        <v>16034</v>
      </c>
    </row>
    <row r="3230" spans="1:2" x14ac:dyDescent="0.35">
      <c r="A3230" s="34">
        <v>26121609</v>
      </c>
      <c r="B3230" s="35" t="s">
        <v>4659</v>
      </c>
    </row>
    <row r="3231" spans="1:2" x14ac:dyDescent="0.35">
      <c r="A3231" s="34">
        <v>26121610</v>
      </c>
      <c r="B3231" s="35" t="s">
        <v>8509</v>
      </c>
    </row>
    <row r="3232" spans="1:2" x14ac:dyDescent="0.35">
      <c r="A3232" s="34">
        <v>26121611</v>
      </c>
      <c r="B3232" s="35" t="s">
        <v>10691</v>
      </c>
    </row>
    <row r="3233" spans="1:2" x14ac:dyDescent="0.35">
      <c r="A3233" s="34">
        <v>26121612</v>
      </c>
      <c r="B3233" s="35" t="s">
        <v>14749</v>
      </c>
    </row>
    <row r="3234" spans="1:2" x14ac:dyDescent="0.35">
      <c r="A3234" s="34">
        <v>26121613</v>
      </c>
      <c r="B3234" s="35" t="s">
        <v>8785</v>
      </c>
    </row>
    <row r="3235" spans="1:2" x14ac:dyDescent="0.35">
      <c r="A3235" s="34">
        <v>26121614</v>
      </c>
      <c r="B3235" s="35" t="s">
        <v>13033</v>
      </c>
    </row>
    <row r="3236" spans="1:2" x14ac:dyDescent="0.35">
      <c r="A3236" s="34">
        <v>26121615</v>
      </c>
      <c r="B3236" s="35" t="s">
        <v>11481</v>
      </c>
    </row>
    <row r="3237" spans="1:2" x14ac:dyDescent="0.35">
      <c r="A3237" s="34">
        <v>26121616</v>
      </c>
      <c r="B3237" s="35" t="s">
        <v>6249</v>
      </c>
    </row>
    <row r="3238" spans="1:2" x14ac:dyDescent="0.35">
      <c r="A3238" s="34">
        <v>26121617</v>
      </c>
      <c r="B3238" s="35" t="s">
        <v>8216</v>
      </c>
    </row>
    <row r="3239" spans="1:2" x14ac:dyDescent="0.35">
      <c r="A3239" s="34">
        <v>26121618</v>
      </c>
      <c r="B3239" s="35" t="s">
        <v>12073</v>
      </c>
    </row>
    <row r="3240" spans="1:2" x14ac:dyDescent="0.35">
      <c r="A3240" s="34">
        <v>26121619</v>
      </c>
      <c r="B3240" s="35" t="s">
        <v>6002</v>
      </c>
    </row>
    <row r="3241" spans="1:2" x14ac:dyDescent="0.35">
      <c r="A3241" s="34">
        <v>26121620</v>
      </c>
      <c r="B3241" s="35" t="s">
        <v>10871</v>
      </c>
    </row>
    <row r="3242" spans="1:2" x14ac:dyDescent="0.35">
      <c r="A3242" s="34">
        <v>26121621</v>
      </c>
      <c r="B3242" s="35" t="s">
        <v>14665</v>
      </c>
    </row>
    <row r="3243" spans="1:2" x14ac:dyDescent="0.35">
      <c r="A3243" s="34">
        <v>26121622</v>
      </c>
      <c r="B3243" s="35" t="s">
        <v>14987</v>
      </c>
    </row>
    <row r="3244" spans="1:2" x14ac:dyDescent="0.35">
      <c r="A3244" s="34">
        <v>26121623</v>
      </c>
      <c r="B3244" s="35" t="s">
        <v>8071</v>
      </c>
    </row>
    <row r="3245" spans="1:2" x14ac:dyDescent="0.35">
      <c r="A3245" s="34">
        <v>26121624</v>
      </c>
      <c r="B3245" s="35" t="s">
        <v>7185</v>
      </c>
    </row>
    <row r="3246" spans="1:2" x14ac:dyDescent="0.35">
      <c r="A3246" s="34">
        <v>26121628</v>
      </c>
      <c r="B3246" s="35" t="s">
        <v>14812</v>
      </c>
    </row>
    <row r="3247" spans="1:2" x14ac:dyDescent="0.35">
      <c r="A3247" s="34">
        <v>26121629</v>
      </c>
      <c r="B3247" s="35" t="s">
        <v>9627</v>
      </c>
    </row>
    <row r="3248" spans="1:2" x14ac:dyDescent="0.35">
      <c r="A3248" s="34">
        <v>26121630</v>
      </c>
      <c r="B3248" s="35" t="s">
        <v>1547</v>
      </c>
    </row>
    <row r="3249" spans="1:2" x14ac:dyDescent="0.35">
      <c r="A3249" s="34">
        <v>26121631</v>
      </c>
      <c r="B3249" s="35" t="s">
        <v>16198</v>
      </c>
    </row>
    <row r="3250" spans="1:2" x14ac:dyDescent="0.35">
      <c r="A3250" s="34">
        <v>26121632</v>
      </c>
      <c r="B3250" s="35" t="s">
        <v>16354</v>
      </c>
    </row>
    <row r="3251" spans="1:2" x14ac:dyDescent="0.35">
      <c r="A3251" s="34">
        <v>26121633</v>
      </c>
      <c r="B3251" s="35" t="s">
        <v>12244</v>
      </c>
    </row>
    <row r="3252" spans="1:2" x14ac:dyDescent="0.35">
      <c r="A3252" s="34">
        <v>26121634</v>
      </c>
      <c r="B3252" s="35" t="s">
        <v>9912</v>
      </c>
    </row>
    <row r="3253" spans="1:2" x14ac:dyDescent="0.35">
      <c r="A3253" s="34">
        <v>26121635</v>
      </c>
      <c r="B3253" s="35" t="s">
        <v>1531</v>
      </c>
    </row>
    <row r="3254" spans="1:2" x14ac:dyDescent="0.35">
      <c r="A3254" s="34">
        <v>26121636</v>
      </c>
      <c r="B3254" s="35" t="s">
        <v>15320</v>
      </c>
    </row>
    <row r="3255" spans="1:2" x14ac:dyDescent="0.35">
      <c r="A3255" s="34">
        <v>26121637</v>
      </c>
      <c r="B3255" s="35" t="s">
        <v>12833</v>
      </c>
    </row>
    <row r="3256" spans="1:2" x14ac:dyDescent="0.35">
      <c r="A3256" s="34">
        <v>26121701</v>
      </c>
      <c r="B3256" s="35" t="s">
        <v>11809</v>
      </c>
    </row>
    <row r="3257" spans="1:2" x14ac:dyDescent="0.35">
      <c r="A3257" s="34">
        <v>26121702</v>
      </c>
      <c r="B3257" s="35" t="s">
        <v>19198</v>
      </c>
    </row>
    <row r="3258" spans="1:2" x14ac:dyDescent="0.35">
      <c r="A3258" s="34">
        <v>26121703</v>
      </c>
      <c r="B3258" s="35" t="s">
        <v>16811</v>
      </c>
    </row>
    <row r="3259" spans="1:2" x14ac:dyDescent="0.35">
      <c r="A3259" s="34">
        <v>26121704</v>
      </c>
      <c r="B3259" s="35" t="s">
        <v>10370</v>
      </c>
    </row>
    <row r="3260" spans="1:2" x14ac:dyDescent="0.35">
      <c r="A3260" s="34">
        <v>26121705</v>
      </c>
      <c r="B3260" s="35" t="s">
        <v>11715</v>
      </c>
    </row>
    <row r="3261" spans="1:2" x14ac:dyDescent="0.35">
      <c r="A3261" s="34">
        <v>26131501</v>
      </c>
      <c r="B3261" s="35" t="s">
        <v>18814</v>
      </c>
    </row>
    <row r="3262" spans="1:2" x14ac:dyDescent="0.35">
      <c r="A3262" s="34">
        <v>26131502</v>
      </c>
      <c r="B3262" s="35" t="s">
        <v>18796</v>
      </c>
    </row>
    <row r="3263" spans="1:2" x14ac:dyDescent="0.35">
      <c r="A3263" s="34">
        <v>26131503</v>
      </c>
      <c r="B3263" s="35" t="s">
        <v>4302</v>
      </c>
    </row>
    <row r="3264" spans="1:2" x14ac:dyDescent="0.35">
      <c r="A3264" s="34">
        <v>26131504</v>
      </c>
      <c r="B3264" s="35" t="s">
        <v>8237</v>
      </c>
    </row>
    <row r="3265" spans="1:2" x14ac:dyDescent="0.35">
      <c r="A3265" s="34">
        <v>26131505</v>
      </c>
      <c r="B3265" s="35" t="s">
        <v>2990</v>
      </c>
    </row>
    <row r="3266" spans="1:2" x14ac:dyDescent="0.35">
      <c r="A3266" s="34">
        <v>26131506</v>
      </c>
      <c r="B3266" s="35" t="s">
        <v>18002</v>
      </c>
    </row>
    <row r="3267" spans="1:2" x14ac:dyDescent="0.35">
      <c r="A3267" s="34">
        <v>26131507</v>
      </c>
      <c r="B3267" s="35" t="s">
        <v>9702</v>
      </c>
    </row>
    <row r="3268" spans="1:2" x14ac:dyDescent="0.35">
      <c r="A3268" s="34">
        <v>26131508</v>
      </c>
      <c r="B3268" s="35" t="s">
        <v>3442</v>
      </c>
    </row>
    <row r="3269" spans="1:2" x14ac:dyDescent="0.35">
      <c r="A3269" s="34">
        <v>26131509</v>
      </c>
      <c r="B3269" s="35" t="s">
        <v>12199</v>
      </c>
    </row>
    <row r="3270" spans="1:2" x14ac:dyDescent="0.35">
      <c r="A3270" s="34">
        <v>26131510</v>
      </c>
      <c r="B3270" s="35" t="s">
        <v>10496</v>
      </c>
    </row>
    <row r="3271" spans="1:2" x14ac:dyDescent="0.35">
      <c r="A3271" s="34">
        <v>26131601</v>
      </c>
      <c r="B3271" s="35" t="s">
        <v>1197</v>
      </c>
    </row>
    <row r="3272" spans="1:2" x14ac:dyDescent="0.35">
      <c r="A3272" s="34">
        <v>26131602</v>
      </c>
      <c r="B3272" s="35" t="s">
        <v>14942</v>
      </c>
    </row>
    <row r="3273" spans="1:2" x14ac:dyDescent="0.35">
      <c r="A3273" s="34">
        <v>26131603</v>
      </c>
      <c r="B3273" s="35" t="s">
        <v>5422</v>
      </c>
    </row>
    <row r="3274" spans="1:2" x14ac:dyDescent="0.35">
      <c r="A3274" s="34">
        <v>26131604</v>
      </c>
      <c r="B3274" s="35" t="s">
        <v>16259</v>
      </c>
    </row>
    <row r="3275" spans="1:2" x14ac:dyDescent="0.35">
      <c r="A3275" s="34">
        <v>26131605</v>
      </c>
      <c r="B3275" s="35" t="s">
        <v>18107</v>
      </c>
    </row>
    <row r="3276" spans="1:2" x14ac:dyDescent="0.35">
      <c r="A3276" s="34">
        <v>26131606</v>
      </c>
      <c r="B3276" s="35" t="s">
        <v>4191</v>
      </c>
    </row>
    <row r="3277" spans="1:2" x14ac:dyDescent="0.35">
      <c r="A3277" s="34">
        <v>26131607</v>
      </c>
      <c r="B3277" s="35" t="s">
        <v>16605</v>
      </c>
    </row>
    <row r="3278" spans="1:2" x14ac:dyDescent="0.35">
      <c r="A3278" s="34">
        <v>26131608</v>
      </c>
      <c r="B3278" s="35" t="s">
        <v>9380</v>
      </c>
    </row>
    <row r="3279" spans="1:2" x14ac:dyDescent="0.35">
      <c r="A3279" s="34">
        <v>26131609</v>
      </c>
      <c r="B3279" s="35" t="s">
        <v>8657</v>
      </c>
    </row>
    <row r="3280" spans="1:2" x14ac:dyDescent="0.35">
      <c r="A3280" s="34">
        <v>26131610</v>
      </c>
      <c r="B3280" s="35" t="s">
        <v>8351</v>
      </c>
    </row>
    <row r="3281" spans="1:2" x14ac:dyDescent="0.35">
      <c r="A3281" s="34">
        <v>26131611</v>
      </c>
      <c r="B3281" s="35" t="s">
        <v>5142</v>
      </c>
    </row>
    <row r="3282" spans="1:2" x14ac:dyDescent="0.35">
      <c r="A3282" s="34">
        <v>26131612</v>
      </c>
      <c r="B3282" s="35" t="s">
        <v>7285</v>
      </c>
    </row>
    <row r="3283" spans="1:2" x14ac:dyDescent="0.35">
      <c r="A3283" s="34">
        <v>26131613</v>
      </c>
      <c r="B3283" s="35" t="s">
        <v>11320</v>
      </c>
    </row>
    <row r="3284" spans="1:2" x14ac:dyDescent="0.35">
      <c r="A3284" s="34">
        <v>26131614</v>
      </c>
      <c r="B3284" s="35" t="s">
        <v>10896</v>
      </c>
    </row>
    <row r="3285" spans="1:2" x14ac:dyDescent="0.35">
      <c r="A3285" s="34">
        <v>26131615</v>
      </c>
      <c r="B3285" s="35" t="s">
        <v>18674</v>
      </c>
    </row>
    <row r="3286" spans="1:2" x14ac:dyDescent="0.35">
      <c r="A3286" s="34">
        <v>26131616</v>
      </c>
      <c r="B3286" s="35" t="s">
        <v>5206</v>
      </c>
    </row>
    <row r="3287" spans="1:2" x14ac:dyDescent="0.35">
      <c r="A3287" s="34">
        <v>26131701</v>
      </c>
      <c r="B3287" s="35" t="s">
        <v>15962</v>
      </c>
    </row>
    <row r="3288" spans="1:2" x14ac:dyDescent="0.35">
      <c r="A3288" s="34">
        <v>26131702</v>
      </c>
      <c r="B3288" s="35" t="s">
        <v>14479</v>
      </c>
    </row>
    <row r="3289" spans="1:2" x14ac:dyDescent="0.35">
      <c r="A3289" s="34">
        <v>26131801</v>
      </c>
      <c r="B3289" s="35" t="s">
        <v>4772</v>
      </c>
    </row>
    <row r="3290" spans="1:2" x14ac:dyDescent="0.35">
      <c r="A3290" s="34">
        <v>26131802</v>
      </c>
      <c r="B3290" s="35" t="s">
        <v>8037</v>
      </c>
    </row>
    <row r="3291" spans="1:2" x14ac:dyDescent="0.35">
      <c r="A3291" s="34">
        <v>26131803</v>
      </c>
      <c r="B3291" s="35" t="s">
        <v>7867</v>
      </c>
    </row>
    <row r="3292" spans="1:2" x14ac:dyDescent="0.35">
      <c r="A3292" s="34">
        <v>26131804</v>
      </c>
      <c r="B3292" s="35" t="s">
        <v>8436</v>
      </c>
    </row>
    <row r="3293" spans="1:2" x14ac:dyDescent="0.35">
      <c r="A3293" s="34">
        <v>26131805</v>
      </c>
      <c r="B3293" s="35" t="s">
        <v>17441</v>
      </c>
    </row>
    <row r="3294" spans="1:2" x14ac:dyDescent="0.35">
      <c r="A3294" s="34">
        <v>26131806</v>
      </c>
      <c r="B3294" s="35" t="s">
        <v>6120</v>
      </c>
    </row>
    <row r="3295" spans="1:2" x14ac:dyDescent="0.35">
      <c r="A3295" s="34">
        <v>26131807</v>
      </c>
      <c r="B3295" s="35" t="s">
        <v>16784</v>
      </c>
    </row>
    <row r="3296" spans="1:2" x14ac:dyDescent="0.35">
      <c r="A3296" s="34">
        <v>26131808</v>
      </c>
      <c r="B3296" s="35" t="s">
        <v>16171</v>
      </c>
    </row>
    <row r="3297" spans="1:2" x14ac:dyDescent="0.35">
      <c r="A3297" s="34">
        <v>26131809</v>
      </c>
      <c r="B3297" s="35" t="s">
        <v>670</v>
      </c>
    </row>
    <row r="3298" spans="1:2" x14ac:dyDescent="0.35">
      <c r="A3298" s="34">
        <v>26131810</v>
      </c>
      <c r="B3298" s="35" t="s">
        <v>3041</v>
      </c>
    </row>
    <row r="3299" spans="1:2" x14ac:dyDescent="0.35">
      <c r="A3299" s="34">
        <v>26131811</v>
      </c>
      <c r="B3299" s="35" t="s">
        <v>16419</v>
      </c>
    </row>
    <row r="3300" spans="1:2" x14ac:dyDescent="0.35">
      <c r="A3300" s="34">
        <v>26131812</v>
      </c>
      <c r="B3300" s="35" t="s">
        <v>2168</v>
      </c>
    </row>
    <row r="3301" spans="1:2" x14ac:dyDescent="0.35">
      <c r="A3301" s="34">
        <v>26131813</v>
      </c>
      <c r="B3301" s="35" t="s">
        <v>10042</v>
      </c>
    </row>
    <row r="3302" spans="1:2" x14ac:dyDescent="0.35">
      <c r="A3302" s="34">
        <v>26131814</v>
      </c>
      <c r="B3302" s="35" t="s">
        <v>16102</v>
      </c>
    </row>
    <row r="3303" spans="1:2" x14ac:dyDescent="0.35">
      <c r="A3303" s="34">
        <v>26141601</v>
      </c>
      <c r="B3303" s="35" t="s">
        <v>13143</v>
      </c>
    </row>
    <row r="3304" spans="1:2" x14ac:dyDescent="0.35">
      <c r="A3304" s="34">
        <v>26141602</v>
      </c>
      <c r="B3304" s="35" t="s">
        <v>2433</v>
      </c>
    </row>
    <row r="3305" spans="1:2" x14ac:dyDescent="0.35">
      <c r="A3305" s="34">
        <v>26141603</v>
      </c>
      <c r="B3305" s="35" t="s">
        <v>2184</v>
      </c>
    </row>
    <row r="3306" spans="1:2" x14ac:dyDescent="0.35">
      <c r="A3306" s="34">
        <v>26141701</v>
      </c>
      <c r="B3306" s="35" t="s">
        <v>12112</v>
      </c>
    </row>
    <row r="3307" spans="1:2" x14ac:dyDescent="0.35">
      <c r="A3307" s="34">
        <v>26141702</v>
      </c>
      <c r="B3307" s="35" t="s">
        <v>254</v>
      </c>
    </row>
    <row r="3308" spans="1:2" x14ac:dyDescent="0.35">
      <c r="A3308" s="34">
        <v>26141703</v>
      </c>
      <c r="B3308" s="35" t="s">
        <v>3880</v>
      </c>
    </row>
    <row r="3309" spans="1:2" x14ac:dyDescent="0.35">
      <c r="A3309" s="34">
        <v>26141704</v>
      </c>
      <c r="B3309" s="35" t="s">
        <v>10945</v>
      </c>
    </row>
    <row r="3310" spans="1:2" x14ac:dyDescent="0.35">
      <c r="A3310" s="34">
        <v>26141801</v>
      </c>
      <c r="B3310" s="35" t="s">
        <v>8117</v>
      </c>
    </row>
    <row r="3311" spans="1:2" x14ac:dyDescent="0.35">
      <c r="A3311" s="34">
        <v>26141802</v>
      </c>
      <c r="B3311" s="35" t="s">
        <v>11935</v>
      </c>
    </row>
    <row r="3312" spans="1:2" x14ac:dyDescent="0.35">
      <c r="A3312" s="34">
        <v>26141803</v>
      </c>
      <c r="B3312" s="35" t="s">
        <v>18960</v>
      </c>
    </row>
    <row r="3313" spans="1:2" x14ac:dyDescent="0.35">
      <c r="A3313" s="34">
        <v>26141804</v>
      </c>
      <c r="B3313" s="35" t="s">
        <v>14760</v>
      </c>
    </row>
    <row r="3314" spans="1:2" x14ac:dyDescent="0.35">
      <c r="A3314" s="34">
        <v>26141805</v>
      </c>
      <c r="B3314" s="35" t="s">
        <v>9894</v>
      </c>
    </row>
    <row r="3315" spans="1:2" x14ac:dyDescent="0.35">
      <c r="A3315" s="34">
        <v>26141806</v>
      </c>
      <c r="B3315" s="35" t="s">
        <v>5462</v>
      </c>
    </row>
    <row r="3316" spans="1:2" x14ac:dyDescent="0.35">
      <c r="A3316" s="34">
        <v>26141807</v>
      </c>
      <c r="B3316" s="35" t="s">
        <v>4248</v>
      </c>
    </row>
    <row r="3317" spans="1:2" x14ac:dyDescent="0.35">
      <c r="A3317" s="34">
        <v>26141808</v>
      </c>
      <c r="B3317" s="35" t="s">
        <v>15567</v>
      </c>
    </row>
    <row r="3318" spans="1:2" x14ac:dyDescent="0.35">
      <c r="A3318" s="34">
        <v>26141809</v>
      </c>
      <c r="B3318" s="35" t="s">
        <v>13723</v>
      </c>
    </row>
    <row r="3319" spans="1:2" x14ac:dyDescent="0.35">
      <c r="A3319" s="34">
        <v>26141901</v>
      </c>
      <c r="B3319" s="35" t="s">
        <v>15472</v>
      </c>
    </row>
    <row r="3320" spans="1:2" x14ac:dyDescent="0.35">
      <c r="A3320" s="34">
        <v>26141902</v>
      </c>
      <c r="B3320" s="35" t="s">
        <v>14965</v>
      </c>
    </row>
    <row r="3321" spans="1:2" x14ac:dyDescent="0.35">
      <c r="A3321" s="34">
        <v>26141904</v>
      </c>
      <c r="B3321" s="35" t="s">
        <v>8316</v>
      </c>
    </row>
    <row r="3322" spans="1:2" x14ac:dyDescent="0.35">
      <c r="A3322" s="34">
        <v>26141905</v>
      </c>
      <c r="B3322" s="35" t="s">
        <v>7160</v>
      </c>
    </row>
    <row r="3323" spans="1:2" x14ac:dyDescent="0.35">
      <c r="A3323" s="34">
        <v>26141906</v>
      </c>
      <c r="B3323" s="35" t="s">
        <v>1709</v>
      </c>
    </row>
    <row r="3324" spans="1:2" x14ac:dyDescent="0.35">
      <c r="A3324" s="34">
        <v>26141907</v>
      </c>
      <c r="B3324" s="35" t="s">
        <v>3611</v>
      </c>
    </row>
    <row r="3325" spans="1:2" x14ac:dyDescent="0.35">
      <c r="A3325" s="34">
        <v>26141908</v>
      </c>
      <c r="B3325" s="35" t="s">
        <v>8038</v>
      </c>
    </row>
    <row r="3326" spans="1:2" x14ac:dyDescent="0.35">
      <c r="A3326" s="34">
        <v>26141909</v>
      </c>
      <c r="B3326" s="35" t="s">
        <v>10070</v>
      </c>
    </row>
    <row r="3327" spans="1:2" x14ac:dyDescent="0.35">
      <c r="A3327" s="34">
        <v>26141910</v>
      </c>
      <c r="B3327" s="35" t="s">
        <v>11370</v>
      </c>
    </row>
    <row r="3328" spans="1:2" x14ac:dyDescent="0.35">
      <c r="A3328" s="34">
        <v>26141911</v>
      </c>
      <c r="B3328" s="35" t="s">
        <v>7588</v>
      </c>
    </row>
    <row r="3329" spans="1:2" x14ac:dyDescent="0.35">
      <c r="A3329" s="34">
        <v>26142001</v>
      </c>
      <c r="B3329" s="35" t="s">
        <v>22</v>
      </c>
    </row>
    <row r="3330" spans="1:2" x14ac:dyDescent="0.35">
      <c r="A3330" s="34">
        <v>26142002</v>
      </c>
      <c r="B3330" s="35" t="s">
        <v>18837</v>
      </c>
    </row>
    <row r="3331" spans="1:2" x14ac:dyDescent="0.35">
      <c r="A3331" s="34">
        <v>26142003</v>
      </c>
      <c r="B3331" s="35" t="s">
        <v>13877</v>
      </c>
    </row>
    <row r="3332" spans="1:2" x14ac:dyDescent="0.35">
      <c r="A3332" s="34">
        <v>26142004</v>
      </c>
      <c r="B3332" s="35" t="s">
        <v>2791</v>
      </c>
    </row>
    <row r="3333" spans="1:2" x14ac:dyDescent="0.35">
      <c r="A3333" s="34">
        <v>26142005</v>
      </c>
      <c r="B3333" s="35" t="s">
        <v>4383</v>
      </c>
    </row>
    <row r="3334" spans="1:2" x14ac:dyDescent="0.35">
      <c r="A3334" s="34">
        <v>26142006</v>
      </c>
      <c r="B3334" s="35" t="s">
        <v>16465</v>
      </c>
    </row>
    <row r="3335" spans="1:2" x14ac:dyDescent="0.35">
      <c r="A3335" s="34">
        <v>26142007</v>
      </c>
      <c r="B3335" s="35" t="s">
        <v>7754</v>
      </c>
    </row>
    <row r="3336" spans="1:2" x14ac:dyDescent="0.35">
      <c r="A3336" s="34">
        <v>26142101</v>
      </c>
      <c r="B3336" s="35" t="s">
        <v>18688</v>
      </c>
    </row>
    <row r="3337" spans="1:2" x14ac:dyDescent="0.35">
      <c r="A3337" s="34">
        <v>26142106</v>
      </c>
      <c r="B3337" s="35" t="s">
        <v>11964</v>
      </c>
    </row>
    <row r="3338" spans="1:2" x14ac:dyDescent="0.35">
      <c r="A3338" s="34">
        <v>26142108</v>
      </c>
      <c r="B3338" s="35" t="s">
        <v>8414</v>
      </c>
    </row>
    <row r="3339" spans="1:2" x14ac:dyDescent="0.35">
      <c r="A3339" s="34">
        <v>26142117</v>
      </c>
      <c r="B3339" s="35" t="s">
        <v>9391</v>
      </c>
    </row>
    <row r="3340" spans="1:2" x14ac:dyDescent="0.35">
      <c r="A3340" s="34">
        <v>26142201</v>
      </c>
      <c r="B3340" s="35" t="s">
        <v>5538</v>
      </c>
    </row>
    <row r="3341" spans="1:2" x14ac:dyDescent="0.35">
      <c r="A3341" s="34">
        <v>26142202</v>
      </c>
      <c r="B3341" s="35" t="s">
        <v>14459</v>
      </c>
    </row>
    <row r="3342" spans="1:2" x14ac:dyDescent="0.35">
      <c r="A3342" s="34">
        <v>26142302</v>
      </c>
      <c r="B3342" s="35" t="s">
        <v>9177</v>
      </c>
    </row>
    <row r="3343" spans="1:2" x14ac:dyDescent="0.35">
      <c r="A3343" s="34">
        <v>26142303</v>
      </c>
      <c r="B3343" s="35" t="s">
        <v>13546</v>
      </c>
    </row>
    <row r="3344" spans="1:2" x14ac:dyDescent="0.35">
      <c r="A3344" s="34">
        <v>26142304</v>
      </c>
      <c r="B3344" s="35" t="s">
        <v>579</v>
      </c>
    </row>
    <row r="3345" spans="1:2" x14ac:dyDescent="0.35">
      <c r="A3345" s="34">
        <v>26142306</v>
      </c>
      <c r="B3345" s="35" t="s">
        <v>14239</v>
      </c>
    </row>
    <row r="3346" spans="1:2" x14ac:dyDescent="0.35">
      <c r="A3346" s="34">
        <v>26142307</v>
      </c>
      <c r="B3346" s="35" t="s">
        <v>10129</v>
      </c>
    </row>
    <row r="3347" spans="1:2" x14ac:dyDescent="0.35">
      <c r="A3347" s="34">
        <v>26142308</v>
      </c>
      <c r="B3347" s="35" t="s">
        <v>4887</v>
      </c>
    </row>
    <row r="3348" spans="1:2" x14ac:dyDescent="0.35">
      <c r="A3348" s="34">
        <v>26142310</v>
      </c>
      <c r="B3348" s="35" t="s">
        <v>18524</v>
      </c>
    </row>
    <row r="3349" spans="1:2" x14ac:dyDescent="0.35">
      <c r="A3349" s="34">
        <v>26142311</v>
      </c>
      <c r="B3349" s="35" t="s">
        <v>9015</v>
      </c>
    </row>
    <row r="3350" spans="1:2" x14ac:dyDescent="0.35">
      <c r="A3350" s="34">
        <v>26142312</v>
      </c>
      <c r="B3350" s="35" t="s">
        <v>4514</v>
      </c>
    </row>
    <row r="3351" spans="1:2" x14ac:dyDescent="0.35">
      <c r="A3351" s="34">
        <v>26142401</v>
      </c>
      <c r="B3351" s="35" t="s">
        <v>3030</v>
      </c>
    </row>
    <row r="3352" spans="1:2" x14ac:dyDescent="0.35">
      <c r="A3352" s="34">
        <v>26142402</v>
      </c>
      <c r="B3352" s="35" t="s">
        <v>17267</v>
      </c>
    </row>
    <row r="3353" spans="1:2" x14ac:dyDescent="0.35">
      <c r="A3353" s="34">
        <v>26142403</v>
      </c>
      <c r="B3353" s="35" t="s">
        <v>2078</v>
      </c>
    </row>
    <row r="3354" spans="1:2" x14ac:dyDescent="0.35">
      <c r="A3354" s="34">
        <v>26142404</v>
      </c>
      <c r="B3354" s="35" t="s">
        <v>12642</v>
      </c>
    </row>
    <row r="3355" spans="1:2" x14ac:dyDescent="0.35">
      <c r="A3355" s="34">
        <v>26142405</v>
      </c>
      <c r="B3355" s="35" t="s">
        <v>13960</v>
      </c>
    </row>
    <row r="3356" spans="1:2" x14ac:dyDescent="0.35">
      <c r="A3356" s="34">
        <v>26142406</v>
      </c>
      <c r="B3356" s="35" t="s">
        <v>14051</v>
      </c>
    </row>
    <row r="3357" spans="1:2" x14ac:dyDescent="0.35">
      <c r="A3357" s="34">
        <v>26142407</v>
      </c>
      <c r="B3357" s="35" t="s">
        <v>5627</v>
      </c>
    </row>
    <row r="3358" spans="1:2" x14ac:dyDescent="0.35">
      <c r="A3358" s="34">
        <v>26142408</v>
      </c>
      <c r="B3358" s="35" t="s">
        <v>9148</v>
      </c>
    </row>
    <row r="3359" spans="1:2" x14ac:dyDescent="0.35">
      <c r="A3359" s="34">
        <v>27111501</v>
      </c>
      <c r="B3359" s="35" t="s">
        <v>598</v>
      </c>
    </row>
    <row r="3360" spans="1:2" x14ac:dyDescent="0.35">
      <c r="A3360" s="34">
        <v>27111502</v>
      </c>
      <c r="B3360" s="35" t="s">
        <v>8369</v>
      </c>
    </row>
    <row r="3361" spans="1:2" x14ac:dyDescent="0.35">
      <c r="A3361" s="34">
        <v>27111503</v>
      </c>
      <c r="B3361" s="35" t="s">
        <v>2506</v>
      </c>
    </row>
    <row r="3362" spans="1:2" x14ac:dyDescent="0.35">
      <c r="A3362" s="34">
        <v>27111504</v>
      </c>
      <c r="B3362" s="35" t="s">
        <v>14068</v>
      </c>
    </row>
    <row r="3363" spans="1:2" x14ac:dyDescent="0.35">
      <c r="A3363" s="34">
        <v>27111505</v>
      </c>
      <c r="B3363" s="35" t="s">
        <v>17508</v>
      </c>
    </row>
    <row r="3364" spans="1:2" x14ac:dyDescent="0.35">
      <c r="A3364" s="34">
        <v>27111506</v>
      </c>
      <c r="B3364" s="35" t="s">
        <v>8651</v>
      </c>
    </row>
    <row r="3365" spans="1:2" x14ac:dyDescent="0.35">
      <c r="A3365" s="34">
        <v>27111507</v>
      </c>
      <c r="B3365" s="35" t="s">
        <v>5164</v>
      </c>
    </row>
    <row r="3366" spans="1:2" x14ac:dyDescent="0.35">
      <c r="A3366" s="34">
        <v>27111508</v>
      </c>
      <c r="B3366" s="35" t="s">
        <v>7739</v>
      </c>
    </row>
    <row r="3367" spans="1:2" x14ac:dyDescent="0.35">
      <c r="A3367" s="34">
        <v>27111509</v>
      </c>
      <c r="B3367" s="35" t="s">
        <v>9214</v>
      </c>
    </row>
    <row r="3368" spans="1:2" x14ac:dyDescent="0.35">
      <c r="A3368" s="34">
        <v>27111510</v>
      </c>
      <c r="B3368" s="35" t="s">
        <v>11584</v>
      </c>
    </row>
    <row r="3369" spans="1:2" x14ac:dyDescent="0.35">
      <c r="A3369" s="34">
        <v>27111511</v>
      </c>
      <c r="B3369" s="35" t="s">
        <v>10407</v>
      </c>
    </row>
    <row r="3370" spans="1:2" x14ac:dyDescent="0.35">
      <c r="A3370" s="34">
        <v>27111512</v>
      </c>
      <c r="B3370" s="35" t="s">
        <v>1425</v>
      </c>
    </row>
    <row r="3371" spans="1:2" x14ac:dyDescent="0.35">
      <c r="A3371" s="34">
        <v>27111513</v>
      </c>
      <c r="B3371" s="35" t="s">
        <v>14058</v>
      </c>
    </row>
    <row r="3372" spans="1:2" x14ac:dyDescent="0.35">
      <c r="A3372" s="34">
        <v>27111514</v>
      </c>
      <c r="B3372" s="35" t="s">
        <v>16325</v>
      </c>
    </row>
    <row r="3373" spans="1:2" x14ac:dyDescent="0.35">
      <c r="A3373" s="34">
        <v>27111515</v>
      </c>
      <c r="B3373" s="35" t="s">
        <v>12601</v>
      </c>
    </row>
    <row r="3374" spans="1:2" x14ac:dyDescent="0.35">
      <c r="A3374" s="34">
        <v>27111516</v>
      </c>
      <c r="B3374" s="35" t="s">
        <v>4333</v>
      </c>
    </row>
    <row r="3375" spans="1:2" x14ac:dyDescent="0.35">
      <c r="A3375" s="34">
        <v>27111517</v>
      </c>
      <c r="B3375" s="35" t="s">
        <v>10923</v>
      </c>
    </row>
    <row r="3376" spans="1:2" x14ac:dyDescent="0.35">
      <c r="A3376" s="34">
        <v>27111518</v>
      </c>
      <c r="B3376" s="35" t="s">
        <v>9414</v>
      </c>
    </row>
    <row r="3377" spans="1:2" x14ac:dyDescent="0.35">
      <c r="A3377" s="34">
        <v>27111519</v>
      </c>
      <c r="B3377" s="35" t="s">
        <v>8895</v>
      </c>
    </row>
    <row r="3378" spans="1:2" x14ac:dyDescent="0.35">
      <c r="A3378" s="34">
        <v>27111520</v>
      </c>
      <c r="B3378" s="35" t="s">
        <v>14888</v>
      </c>
    </row>
    <row r="3379" spans="1:2" x14ac:dyDescent="0.35">
      <c r="A3379" s="34">
        <v>27111521</v>
      </c>
      <c r="B3379" s="35" t="s">
        <v>310</v>
      </c>
    </row>
    <row r="3380" spans="1:2" x14ac:dyDescent="0.35">
      <c r="A3380" s="34">
        <v>27111601</v>
      </c>
      <c r="B3380" s="35" t="s">
        <v>11483</v>
      </c>
    </row>
    <row r="3381" spans="1:2" x14ac:dyDescent="0.35">
      <c r="A3381" s="34">
        <v>27111602</v>
      </c>
      <c r="B3381" s="35" t="s">
        <v>5937</v>
      </c>
    </row>
    <row r="3382" spans="1:2" x14ac:dyDescent="0.35">
      <c r="A3382" s="34">
        <v>27111603</v>
      </c>
      <c r="B3382" s="35" t="s">
        <v>12799</v>
      </c>
    </row>
    <row r="3383" spans="1:2" x14ac:dyDescent="0.35">
      <c r="A3383" s="34">
        <v>27111604</v>
      </c>
      <c r="B3383" s="35" t="s">
        <v>17236</v>
      </c>
    </row>
    <row r="3384" spans="1:2" x14ac:dyDescent="0.35">
      <c r="A3384" s="34">
        <v>27111605</v>
      </c>
      <c r="B3384" s="35" t="s">
        <v>8128</v>
      </c>
    </row>
    <row r="3385" spans="1:2" x14ac:dyDescent="0.35">
      <c r="A3385" s="34">
        <v>27111607</v>
      </c>
      <c r="B3385" s="35" t="s">
        <v>3596</v>
      </c>
    </row>
    <row r="3386" spans="1:2" x14ac:dyDescent="0.35">
      <c r="A3386" s="34">
        <v>27111608</v>
      </c>
      <c r="B3386" s="35" t="s">
        <v>8214</v>
      </c>
    </row>
    <row r="3387" spans="1:2" x14ac:dyDescent="0.35">
      <c r="A3387" s="34">
        <v>27111609</v>
      </c>
      <c r="B3387" s="35" t="s">
        <v>2980</v>
      </c>
    </row>
    <row r="3388" spans="1:2" x14ac:dyDescent="0.35">
      <c r="A3388" s="34">
        <v>27111701</v>
      </c>
      <c r="B3388" s="35" t="s">
        <v>10487</v>
      </c>
    </row>
    <row r="3389" spans="1:2" x14ac:dyDescent="0.35">
      <c r="A3389" s="34">
        <v>27111702</v>
      </c>
      <c r="B3389" s="35" t="s">
        <v>16167</v>
      </c>
    </row>
    <row r="3390" spans="1:2" x14ac:dyDescent="0.35">
      <c r="A3390" s="34">
        <v>27111703</v>
      </c>
      <c r="B3390" s="35" t="s">
        <v>5404</v>
      </c>
    </row>
    <row r="3391" spans="1:2" x14ac:dyDescent="0.35">
      <c r="A3391" s="34">
        <v>27111704</v>
      </c>
      <c r="B3391" s="35" t="s">
        <v>14111</v>
      </c>
    </row>
    <row r="3392" spans="1:2" x14ac:dyDescent="0.35">
      <c r="A3392" s="34">
        <v>27111705</v>
      </c>
      <c r="B3392" s="35" t="s">
        <v>7781</v>
      </c>
    </row>
    <row r="3393" spans="1:2" x14ac:dyDescent="0.35">
      <c r="A3393" s="34">
        <v>27111706</v>
      </c>
      <c r="B3393" s="35" t="s">
        <v>7177</v>
      </c>
    </row>
    <row r="3394" spans="1:2" x14ac:dyDescent="0.35">
      <c r="A3394" s="34">
        <v>27111707</v>
      </c>
      <c r="B3394" s="35" t="s">
        <v>1019</v>
      </c>
    </row>
    <row r="3395" spans="1:2" x14ac:dyDescent="0.35">
      <c r="A3395" s="34">
        <v>27111708</v>
      </c>
      <c r="B3395" s="35" t="s">
        <v>17347</v>
      </c>
    </row>
    <row r="3396" spans="1:2" x14ac:dyDescent="0.35">
      <c r="A3396" s="34">
        <v>27111709</v>
      </c>
      <c r="B3396" s="35" t="s">
        <v>8979</v>
      </c>
    </row>
    <row r="3397" spans="1:2" x14ac:dyDescent="0.35">
      <c r="A3397" s="34">
        <v>27111710</v>
      </c>
      <c r="B3397" s="35" t="s">
        <v>8796</v>
      </c>
    </row>
    <row r="3398" spans="1:2" x14ac:dyDescent="0.35">
      <c r="A3398" s="34">
        <v>27111711</v>
      </c>
      <c r="B3398" s="35" t="s">
        <v>19382</v>
      </c>
    </row>
    <row r="3399" spans="1:2" x14ac:dyDescent="0.35">
      <c r="A3399" s="34">
        <v>27111712</v>
      </c>
      <c r="B3399" s="35" t="s">
        <v>341</v>
      </c>
    </row>
    <row r="3400" spans="1:2" x14ac:dyDescent="0.35">
      <c r="A3400" s="34">
        <v>27111713</v>
      </c>
      <c r="B3400" s="35" t="s">
        <v>12564</v>
      </c>
    </row>
    <row r="3401" spans="1:2" x14ac:dyDescent="0.35">
      <c r="A3401" s="34">
        <v>27111714</v>
      </c>
      <c r="B3401" s="35" t="s">
        <v>5393</v>
      </c>
    </row>
    <row r="3402" spans="1:2" x14ac:dyDescent="0.35">
      <c r="A3402" s="34">
        <v>27111715</v>
      </c>
      <c r="B3402" s="35" t="s">
        <v>8098</v>
      </c>
    </row>
    <row r="3403" spans="1:2" x14ac:dyDescent="0.35">
      <c r="A3403" s="34">
        <v>27111716</v>
      </c>
      <c r="B3403" s="35" t="s">
        <v>17357</v>
      </c>
    </row>
    <row r="3404" spans="1:2" x14ac:dyDescent="0.35">
      <c r="A3404" s="34">
        <v>27111717</v>
      </c>
      <c r="B3404" s="35" t="s">
        <v>8808</v>
      </c>
    </row>
    <row r="3405" spans="1:2" x14ac:dyDescent="0.35">
      <c r="A3405" s="34">
        <v>27111718</v>
      </c>
      <c r="B3405" s="35" t="s">
        <v>14123</v>
      </c>
    </row>
    <row r="3406" spans="1:2" x14ac:dyDescent="0.35">
      <c r="A3406" s="34">
        <v>27111720</v>
      </c>
      <c r="B3406" s="35" t="s">
        <v>10167</v>
      </c>
    </row>
    <row r="3407" spans="1:2" x14ac:dyDescent="0.35">
      <c r="A3407" s="34">
        <v>27111721</v>
      </c>
      <c r="B3407" s="35" t="s">
        <v>16766</v>
      </c>
    </row>
    <row r="3408" spans="1:2" x14ac:dyDescent="0.35">
      <c r="A3408" s="34">
        <v>27111722</v>
      </c>
      <c r="B3408" s="35" t="s">
        <v>15593</v>
      </c>
    </row>
    <row r="3409" spans="1:2" x14ac:dyDescent="0.35">
      <c r="A3409" s="34">
        <v>27111723</v>
      </c>
      <c r="B3409" s="35" t="s">
        <v>2024</v>
      </c>
    </row>
    <row r="3410" spans="1:2" x14ac:dyDescent="0.35">
      <c r="A3410" s="34">
        <v>27111724</v>
      </c>
      <c r="B3410" s="35" t="s">
        <v>7446</v>
      </c>
    </row>
    <row r="3411" spans="1:2" x14ac:dyDescent="0.35">
      <c r="A3411" s="34">
        <v>27111725</v>
      </c>
      <c r="B3411" s="35" t="s">
        <v>8028</v>
      </c>
    </row>
    <row r="3412" spans="1:2" x14ac:dyDescent="0.35">
      <c r="A3412" s="34">
        <v>27111726</v>
      </c>
      <c r="B3412" s="35" t="s">
        <v>16468</v>
      </c>
    </row>
    <row r="3413" spans="1:2" x14ac:dyDescent="0.35">
      <c r="A3413" s="34">
        <v>27111727</v>
      </c>
      <c r="B3413" s="35" t="s">
        <v>10570</v>
      </c>
    </row>
    <row r="3414" spans="1:2" x14ac:dyDescent="0.35">
      <c r="A3414" s="34">
        <v>27111801</v>
      </c>
      <c r="B3414" s="35" t="s">
        <v>10885</v>
      </c>
    </row>
    <row r="3415" spans="1:2" x14ac:dyDescent="0.35">
      <c r="A3415" s="34">
        <v>27111802</v>
      </c>
      <c r="B3415" s="35" t="s">
        <v>12634</v>
      </c>
    </row>
    <row r="3416" spans="1:2" x14ac:dyDescent="0.35">
      <c r="A3416" s="34">
        <v>27111803</v>
      </c>
      <c r="B3416" s="35" t="s">
        <v>15389</v>
      </c>
    </row>
    <row r="3417" spans="1:2" x14ac:dyDescent="0.35">
      <c r="A3417" s="34">
        <v>27111804</v>
      </c>
      <c r="B3417" s="35" t="s">
        <v>19098</v>
      </c>
    </row>
    <row r="3418" spans="1:2" x14ac:dyDescent="0.35">
      <c r="A3418" s="34">
        <v>27111806</v>
      </c>
      <c r="B3418" s="35" t="s">
        <v>5874</v>
      </c>
    </row>
    <row r="3419" spans="1:2" x14ac:dyDescent="0.35">
      <c r="A3419" s="34">
        <v>27111807</v>
      </c>
      <c r="B3419" s="35" t="s">
        <v>7508</v>
      </c>
    </row>
    <row r="3420" spans="1:2" x14ac:dyDescent="0.35">
      <c r="A3420" s="34">
        <v>27111809</v>
      </c>
      <c r="B3420" s="35" t="s">
        <v>9188</v>
      </c>
    </row>
    <row r="3421" spans="1:2" x14ac:dyDescent="0.35">
      <c r="A3421" s="34">
        <v>27111810</v>
      </c>
      <c r="B3421" s="35" t="s">
        <v>3658</v>
      </c>
    </row>
    <row r="3422" spans="1:2" x14ac:dyDescent="0.35">
      <c r="A3422" s="34">
        <v>27111901</v>
      </c>
      <c r="B3422" s="35" t="s">
        <v>17053</v>
      </c>
    </row>
    <row r="3423" spans="1:2" x14ac:dyDescent="0.35">
      <c r="A3423" s="34">
        <v>27111902</v>
      </c>
      <c r="B3423" s="35" t="s">
        <v>15347</v>
      </c>
    </row>
    <row r="3424" spans="1:2" x14ac:dyDescent="0.35">
      <c r="A3424" s="34">
        <v>27111903</v>
      </c>
      <c r="B3424" s="35" t="s">
        <v>14333</v>
      </c>
    </row>
    <row r="3425" spans="1:2" x14ac:dyDescent="0.35">
      <c r="A3425" s="34">
        <v>27111904</v>
      </c>
      <c r="B3425" s="35" t="s">
        <v>10939</v>
      </c>
    </row>
    <row r="3426" spans="1:2" x14ac:dyDescent="0.35">
      <c r="A3426" s="34">
        <v>27111905</v>
      </c>
      <c r="B3426" s="35" t="s">
        <v>1118</v>
      </c>
    </row>
    <row r="3427" spans="1:2" x14ac:dyDescent="0.35">
      <c r="A3427" s="34">
        <v>27111906</v>
      </c>
      <c r="B3427" s="35" t="s">
        <v>17064</v>
      </c>
    </row>
    <row r="3428" spans="1:2" x14ac:dyDescent="0.35">
      <c r="A3428" s="34">
        <v>27111907</v>
      </c>
      <c r="B3428" s="35" t="s">
        <v>5005</v>
      </c>
    </row>
    <row r="3429" spans="1:2" x14ac:dyDescent="0.35">
      <c r="A3429" s="34">
        <v>27111908</v>
      </c>
      <c r="B3429" s="35" t="s">
        <v>8166</v>
      </c>
    </row>
    <row r="3430" spans="1:2" x14ac:dyDescent="0.35">
      <c r="A3430" s="34">
        <v>27111909</v>
      </c>
      <c r="B3430" s="35" t="s">
        <v>17885</v>
      </c>
    </row>
    <row r="3431" spans="1:2" x14ac:dyDescent="0.35">
      <c r="A3431" s="34">
        <v>27111910</v>
      </c>
      <c r="B3431" s="35" t="s">
        <v>4523</v>
      </c>
    </row>
    <row r="3432" spans="1:2" x14ac:dyDescent="0.35">
      <c r="A3432" s="34">
        <v>27111911</v>
      </c>
      <c r="B3432" s="35" t="s">
        <v>4197</v>
      </c>
    </row>
    <row r="3433" spans="1:2" x14ac:dyDescent="0.35">
      <c r="A3433" s="34">
        <v>27112001</v>
      </c>
      <c r="B3433" s="35" t="s">
        <v>16684</v>
      </c>
    </row>
    <row r="3434" spans="1:2" x14ac:dyDescent="0.35">
      <c r="A3434" s="34">
        <v>27112002</v>
      </c>
      <c r="B3434" s="35" t="s">
        <v>2180</v>
      </c>
    </row>
    <row r="3435" spans="1:2" x14ac:dyDescent="0.35">
      <c r="A3435" s="34">
        <v>27112003</v>
      </c>
      <c r="B3435" s="35" t="s">
        <v>8173</v>
      </c>
    </row>
    <row r="3436" spans="1:2" x14ac:dyDescent="0.35">
      <c r="A3436" s="34">
        <v>27112004</v>
      </c>
      <c r="B3436" s="35" t="s">
        <v>4847</v>
      </c>
    </row>
    <row r="3437" spans="1:2" x14ac:dyDescent="0.35">
      <c r="A3437" s="34">
        <v>27112005</v>
      </c>
      <c r="B3437" s="35" t="s">
        <v>5628</v>
      </c>
    </row>
    <row r="3438" spans="1:2" x14ac:dyDescent="0.35">
      <c r="A3438" s="34">
        <v>27112006</v>
      </c>
      <c r="B3438" s="35" t="s">
        <v>4225</v>
      </c>
    </row>
    <row r="3439" spans="1:2" x14ac:dyDescent="0.35">
      <c r="A3439" s="34">
        <v>27112007</v>
      </c>
      <c r="B3439" s="35" t="s">
        <v>4966</v>
      </c>
    </row>
    <row r="3440" spans="1:2" x14ac:dyDescent="0.35">
      <c r="A3440" s="34">
        <v>27112008</v>
      </c>
      <c r="B3440" s="35" t="s">
        <v>15601</v>
      </c>
    </row>
    <row r="3441" spans="1:2" x14ac:dyDescent="0.35">
      <c r="A3441" s="34">
        <v>27112009</v>
      </c>
      <c r="B3441" s="35" t="s">
        <v>12653</v>
      </c>
    </row>
    <row r="3442" spans="1:2" x14ac:dyDescent="0.35">
      <c r="A3442" s="34">
        <v>27112010</v>
      </c>
      <c r="B3442" s="35" t="s">
        <v>309</v>
      </c>
    </row>
    <row r="3443" spans="1:2" x14ac:dyDescent="0.35">
      <c r="A3443" s="34">
        <v>27112011</v>
      </c>
      <c r="B3443" s="35" t="s">
        <v>239</v>
      </c>
    </row>
    <row r="3444" spans="1:2" x14ac:dyDescent="0.35">
      <c r="A3444" s="34">
        <v>27112012</v>
      </c>
      <c r="B3444" s="35" t="s">
        <v>16208</v>
      </c>
    </row>
    <row r="3445" spans="1:2" x14ac:dyDescent="0.35">
      <c r="A3445" s="34">
        <v>27112013</v>
      </c>
      <c r="B3445" s="35" t="s">
        <v>10282</v>
      </c>
    </row>
    <row r="3446" spans="1:2" x14ac:dyDescent="0.35">
      <c r="A3446" s="34">
        <v>27112014</v>
      </c>
      <c r="B3446" s="35" t="s">
        <v>14948</v>
      </c>
    </row>
    <row r="3447" spans="1:2" x14ac:dyDescent="0.35">
      <c r="A3447" s="34">
        <v>27112015</v>
      </c>
      <c r="B3447" s="35" t="s">
        <v>10755</v>
      </c>
    </row>
    <row r="3448" spans="1:2" x14ac:dyDescent="0.35">
      <c r="A3448" s="34">
        <v>27112016</v>
      </c>
      <c r="B3448" s="35" t="s">
        <v>18124</v>
      </c>
    </row>
    <row r="3449" spans="1:2" x14ac:dyDescent="0.35">
      <c r="A3449" s="34">
        <v>27112017</v>
      </c>
      <c r="B3449" s="35" t="s">
        <v>9055</v>
      </c>
    </row>
    <row r="3450" spans="1:2" x14ac:dyDescent="0.35">
      <c r="A3450" s="34">
        <v>27112101</v>
      </c>
      <c r="B3450" s="35" t="s">
        <v>2695</v>
      </c>
    </row>
    <row r="3451" spans="1:2" x14ac:dyDescent="0.35">
      <c r="A3451" s="34">
        <v>27112102</v>
      </c>
      <c r="B3451" s="35" t="s">
        <v>1495</v>
      </c>
    </row>
    <row r="3452" spans="1:2" x14ac:dyDescent="0.35">
      <c r="A3452" s="34">
        <v>27112103</v>
      </c>
      <c r="B3452" s="35" t="s">
        <v>78</v>
      </c>
    </row>
    <row r="3453" spans="1:2" x14ac:dyDescent="0.35">
      <c r="A3453" s="34">
        <v>27112104</v>
      </c>
      <c r="B3453" s="35" t="s">
        <v>4350</v>
      </c>
    </row>
    <row r="3454" spans="1:2" x14ac:dyDescent="0.35">
      <c r="A3454" s="34">
        <v>27112105</v>
      </c>
      <c r="B3454" s="35" t="s">
        <v>5187</v>
      </c>
    </row>
    <row r="3455" spans="1:2" x14ac:dyDescent="0.35">
      <c r="A3455" s="34">
        <v>27112106</v>
      </c>
      <c r="B3455" s="35" t="s">
        <v>8526</v>
      </c>
    </row>
    <row r="3456" spans="1:2" x14ac:dyDescent="0.35">
      <c r="A3456" s="34">
        <v>27112107</v>
      </c>
      <c r="B3456" s="35" t="s">
        <v>17714</v>
      </c>
    </row>
    <row r="3457" spans="1:2" x14ac:dyDescent="0.35">
      <c r="A3457" s="34">
        <v>27112108</v>
      </c>
      <c r="B3457" s="35" t="s">
        <v>16515</v>
      </c>
    </row>
    <row r="3458" spans="1:2" x14ac:dyDescent="0.35">
      <c r="A3458" s="34">
        <v>27112109</v>
      </c>
      <c r="B3458" s="35" t="s">
        <v>1390</v>
      </c>
    </row>
    <row r="3459" spans="1:2" x14ac:dyDescent="0.35">
      <c r="A3459" s="34">
        <v>27112110</v>
      </c>
      <c r="B3459" s="35" t="s">
        <v>10437</v>
      </c>
    </row>
    <row r="3460" spans="1:2" x14ac:dyDescent="0.35">
      <c r="A3460" s="34">
        <v>27112111</v>
      </c>
      <c r="B3460" s="35" t="s">
        <v>4087</v>
      </c>
    </row>
    <row r="3461" spans="1:2" x14ac:dyDescent="0.35">
      <c r="A3461" s="34">
        <v>27112112</v>
      </c>
      <c r="B3461" s="35" t="s">
        <v>76</v>
      </c>
    </row>
    <row r="3462" spans="1:2" x14ac:dyDescent="0.35">
      <c r="A3462" s="34">
        <v>27112113</v>
      </c>
      <c r="B3462" s="35" t="s">
        <v>3794</v>
      </c>
    </row>
    <row r="3463" spans="1:2" x14ac:dyDescent="0.35">
      <c r="A3463" s="34">
        <v>27112114</v>
      </c>
      <c r="B3463" s="35" t="s">
        <v>14139</v>
      </c>
    </row>
    <row r="3464" spans="1:2" x14ac:dyDescent="0.35">
      <c r="A3464" s="34">
        <v>27112115</v>
      </c>
      <c r="B3464" s="35" t="s">
        <v>19005</v>
      </c>
    </row>
    <row r="3465" spans="1:2" x14ac:dyDescent="0.35">
      <c r="A3465" s="34">
        <v>27112116</v>
      </c>
      <c r="B3465" s="35" t="s">
        <v>742</v>
      </c>
    </row>
    <row r="3466" spans="1:2" x14ac:dyDescent="0.35">
      <c r="A3466" s="34">
        <v>27112117</v>
      </c>
      <c r="B3466" s="35" t="s">
        <v>12579</v>
      </c>
    </row>
    <row r="3467" spans="1:2" x14ac:dyDescent="0.35">
      <c r="A3467" s="34">
        <v>27112119</v>
      </c>
      <c r="B3467" s="35" t="s">
        <v>6230</v>
      </c>
    </row>
    <row r="3468" spans="1:2" x14ac:dyDescent="0.35">
      <c r="A3468" s="34">
        <v>27112120</v>
      </c>
      <c r="B3468" s="35" t="s">
        <v>10615</v>
      </c>
    </row>
    <row r="3469" spans="1:2" x14ac:dyDescent="0.35">
      <c r="A3469" s="34">
        <v>27112121</v>
      </c>
      <c r="B3469" s="35" t="s">
        <v>11675</v>
      </c>
    </row>
    <row r="3470" spans="1:2" x14ac:dyDescent="0.35">
      <c r="A3470" s="34">
        <v>27112122</v>
      </c>
      <c r="B3470" s="35" t="s">
        <v>6717</v>
      </c>
    </row>
    <row r="3471" spans="1:2" x14ac:dyDescent="0.35">
      <c r="A3471" s="34">
        <v>27112123</v>
      </c>
      <c r="B3471" s="35" t="s">
        <v>3766</v>
      </c>
    </row>
    <row r="3472" spans="1:2" x14ac:dyDescent="0.35">
      <c r="A3472" s="34">
        <v>27112124</v>
      </c>
      <c r="B3472" s="35" t="s">
        <v>2887</v>
      </c>
    </row>
    <row r="3473" spans="1:2" x14ac:dyDescent="0.35">
      <c r="A3473" s="34">
        <v>27112125</v>
      </c>
      <c r="B3473" s="35" t="s">
        <v>13392</v>
      </c>
    </row>
    <row r="3474" spans="1:2" x14ac:dyDescent="0.35">
      <c r="A3474" s="34">
        <v>27112126</v>
      </c>
      <c r="B3474" s="35" t="s">
        <v>12245</v>
      </c>
    </row>
    <row r="3475" spans="1:2" x14ac:dyDescent="0.35">
      <c r="A3475" s="34">
        <v>27112127</v>
      </c>
      <c r="B3475" s="35" t="s">
        <v>7105</v>
      </c>
    </row>
    <row r="3476" spans="1:2" x14ac:dyDescent="0.35">
      <c r="A3476" s="34">
        <v>27112128</v>
      </c>
      <c r="B3476" s="35" t="s">
        <v>6209</v>
      </c>
    </row>
    <row r="3477" spans="1:2" x14ac:dyDescent="0.35">
      <c r="A3477" s="34">
        <v>27112129</v>
      </c>
      <c r="B3477" s="35" t="s">
        <v>1518</v>
      </c>
    </row>
    <row r="3478" spans="1:2" x14ac:dyDescent="0.35">
      <c r="A3478" s="34">
        <v>27112130</v>
      </c>
      <c r="B3478" s="35" t="s">
        <v>10018</v>
      </c>
    </row>
    <row r="3479" spans="1:2" x14ac:dyDescent="0.35">
      <c r="A3479" s="34">
        <v>27112131</v>
      </c>
      <c r="B3479" s="35" t="s">
        <v>14666</v>
      </c>
    </row>
    <row r="3480" spans="1:2" x14ac:dyDescent="0.35">
      <c r="A3480" s="34">
        <v>27112132</v>
      </c>
      <c r="B3480" s="35" t="s">
        <v>6576</v>
      </c>
    </row>
    <row r="3481" spans="1:2" x14ac:dyDescent="0.35">
      <c r="A3481" s="34">
        <v>27112133</v>
      </c>
      <c r="B3481" s="35" t="s">
        <v>13347</v>
      </c>
    </row>
    <row r="3482" spans="1:2" x14ac:dyDescent="0.35">
      <c r="A3482" s="34">
        <v>27112134</v>
      </c>
      <c r="B3482" s="35" t="s">
        <v>14718</v>
      </c>
    </row>
    <row r="3483" spans="1:2" x14ac:dyDescent="0.35">
      <c r="A3483" s="34">
        <v>27112201</v>
      </c>
      <c r="B3483" s="35" t="s">
        <v>2181</v>
      </c>
    </row>
    <row r="3484" spans="1:2" x14ac:dyDescent="0.35">
      <c r="A3484" s="34">
        <v>27112202</v>
      </c>
      <c r="B3484" s="35" t="s">
        <v>6948</v>
      </c>
    </row>
    <row r="3485" spans="1:2" x14ac:dyDescent="0.35">
      <c r="A3485" s="34">
        <v>27112203</v>
      </c>
      <c r="B3485" s="35" t="s">
        <v>7702</v>
      </c>
    </row>
    <row r="3486" spans="1:2" x14ac:dyDescent="0.35">
      <c r="A3486" s="34">
        <v>27112205</v>
      </c>
      <c r="B3486" s="35" t="s">
        <v>9360</v>
      </c>
    </row>
    <row r="3487" spans="1:2" x14ac:dyDescent="0.35">
      <c r="A3487" s="34">
        <v>27112301</v>
      </c>
      <c r="B3487" s="35" t="s">
        <v>10645</v>
      </c>
    </row>
    <row r="3488" spans="1:2" x14ac:dyDescent="0.35">
      <c r="A3488" s="34">
        <v>27112302</v>
      </c>
      <c r="B3488" s="35" t="s">
        <v>14161</v>
      </c>
    </row>
    <row r="3489" spans="1:2" x14ac:dyDescent="0.35">
      <c r="A3489" s="34">
        <v>27112303</v>
      </c>
      <c r="B3489" s="35" t="s">
        <v>4881</v>
      </c>
    </row>
    <row r="3490" spans="1:2" x14ac:dyDescent="0.35">
      <c r="A3490" s="34">
        <v>27112304</v>
      </c>
      <c r="B3490" s="35" t="s">
        <v>3090</v>
      </c>
    </row>
    <row r="3491" spans="1:2" x14ac:dyDescent="0.35">
      <c r="A3491" s="34">
        <v>27112305</v>
      </c>
      <c r="B3491" s="35" t="s">
        <v>3845</v>
      </c>
    </row>
    <row r="3492" spans="1:2" x14ac:dyDescent="0.35">
      <c r="A3492" s="34">
        <v>27112306</v>
      </c>
      <c r="B3492" s="35" t="s">
        <v>7965</v>
      </c>
    </row>
    <row r="3493" spans="1:2" x14ac:dyDescent="0.35">
      <c r="A3493" s="34">
        <v>27112401</v>
      </c>
      <c r="B3493" s="35" t="s">
        <v>11896</v>
      </c>
    </row>
    <row r="3494" spans="1:2" x14ac:dyDescent="0.35">
      <c r="A3494" s="34">
        <v>27112402</v>
      </c>
      <c r="B3494" s="35" t="s">
        <v>12729</v>
      </c>
    </row>
    <row r="3495" spans="1:2" x14ac:dyDescent="0.35">
      <c r="A3495" s="34">
        <v>27112403</v>
      </c>
      <c r="B3495" s="35" t="s">
        <v>3351</v>
      </c>
    </row>
    <row r="3496" spans="1:2" x14ac:dyDescent="0.35">
      <c r="A3496" s="34">
        <v>27112404</v>
      </c>
      <c r="B3496" s="35" t="s">
        <v>14496</v>
      </c>
    </row>
    <row r="3497" spans="1:2" x14ac:dyDescent="0.35">
      <c r="A3497" s="34">
        <v>27112405</v>
      </c>
      <c r="B3497" s="35" t="s">
        <v>12373</v>
      </c>
    </row>
    <row r="3498" spans="1:2" x14ac:dyDescent="0.35">
      <c r="A3498" s="34">
        <v>27112406</v>
      </c>
      <c r="B3498" s="35" t="s">
        <v>260</v>
      </c>
    </row>
    <row r="3499" spans="1:2" x14ac:dyDescent="0.35">
      <c r="A3499" s="34">
        <v>27112407</v>
      </c>
      <c r="B3499" s="35" t="s">
        <v>9146</v>
      </c>
    </row>
    <row r="3500" spans="1:2" x14ac:dyDescent="0.35">
      <c r="A3500" s="34">
        <v>27112501</v>
      </c>
      <c r="B3500" s="35" t="s">
        <v>9705</v>
      </c>
    </row>
    <row r="3501" spans="1:2" x14ac:dyDescent="0.35">
      <c r="A3501" s="34">
        <v>27112502</v>
      </c>
      <c r="B3501" s="35" t="s">
        <v>4593</v>
      </c>
    </row>
    <row r="3502" spans="1:2" x14ac:dyDescent="0.35">
      <c r="A3502" s="34">
        <v>27112503</v>
      </c>
      <c r="B3502" s="35" t="s">
        <v>10468</v>
      </c>
    </row>
    <row r="3503" spans="1:2" x14ac:dyDescent="0.35">
      <c r="A3503" s="34">
        <v>27112504</v>
      </c>
      <c r="B3503" s="35" t="s">
        <v>11869</v>
      </c>
    </row>
    <row r="3504" spans="1:2" x14ac:dyDescent="0.35">
      <c r="A3504" s="34">
        <v>27112505</v>
      </c>
      <c r="B3504" s="35" t="s">
        <v>2527</v>
      </c>
    </row>
    <row r="3505" spans="1:2" x14ac:dyDescent="0.35">
      <c r="A3505" s="34">
        <v>27112506</v>
      </c>
      <c r="B3505" s="35" t="s">
        <v>4597</v>
      </c>
    </row>
    <row r="3506" spans="1:2" x14ac:dyDescent="0.35">
      <c r="A3506" s="34">
        <v>27112601</v>
      </c>
      <c r="B3506" s="35" t="s">
        <v>1168</v>
      </c>
    </row>
    <row r="3507" spans="1:2" x14ac:dyDescent="0.35">
      <c r="A3507" s="34">
        <v>27112602</v>
      </c>
      <c r="B3507" s="35" t="s">
        <v>4059</v>
      </c>
    </row>
    <row r="3508" spans="1:2" x14ac:dyDescent="0.35">
      <c r="A3508" s="34">
        <v>27112701</v>
      </c>
      <c r="B3508" s="35" t="s">
        <v>4235</v>
      </c>
    </row>
    <row r="3509" spans="1:2" x14ac:dyDescent="0.35">
      <c r="A3509" s="34">
        <v>27112702</v>
      </c>
      <c r="B3509" s="35" t="s">
        <v>9576</v>
      </c>
    </row>
    <row r="3510" spans="1:2" x14ac:dyDescent="0.35">
      <c r="A3510" s="34">
        <v>27112703</v>
      </c>
      <c r="B3510" s="35" t="s">
        <v>5029</v>
      </c>
    </row>
    <row r="3511" spans="1:2" x14ac:dyDescent="0.35">
      <c r="A3511" s="34">
        <v>27112704</v>
      </c>
      <c r="B3511" s="35" t="s">
        <v>3801</v>
      </c>
    </row>
    <row r="3512" spans="1:2" x14ac:dyDescent="0.35">
      <c r="A3512" s="34">
        <v>27112705</v>
      </c>
      <c r="B3512" s="35" t="s">
        <v>18456</v>
      </c>
    </row>
    <row r="3513" spans="1:2" x14ac:dyDescent="0.35">
      <c r="A3513" s="34">
        <v>27112706</v>
      </c>
      <c r="B3513" s="35" t="s">
        <v>10863</v>
      </c>
    </row>
    <row r="3514" spans="1:2" x14ac:dyDescent="0.35">
      <c r="A3514" s="34">
        <v>27112707</v>
      </c>
      <c r="B3514" s="35" t="s">
        <v>9355</v>
      </c>
    </row>
    <row r="3515" spans="1:2" x14ac:dyDescent="0.35">
      <c r="A3515" s="34">
        <v>27112708</v>
      </c>
      <c r="B3515" s="35" t="s">
        <v>15140</v>
      </c>
    </row>
    <row r="3516" spans="1:2" x14ac:dyDescent="0.35">
      <c r="A3516" s="34">
        <v>27112709</v>
      </c>
      <c r="B3516" s="35" t="s">
        <v>1756</v>
      </c>
    </row>
    <row r="3517" spans="1:2" x14ac:dyDescent="0.35">
      <c r="A3517" s="34">
        <v>27112710</v>
      </c>
      <c r="B3517" s="35" t="s">
        <v>3872</v>
      </c>
    </row>
    <row r="3518" spans="1:2" x14ac:dyDescent="0.35">
      <c r="A3518" s="34">
        <v>27112711</v>
      </c>
      <c r="B3518" s="35" t="s">
        <v>392</v>
      </c>
    </row>
    <row r="3519" spans="1:2" x14ac:dyDescent="0.35">
      <c r="A3519" s="34">
        <v>27112712</v>
      </c>
      <c r="B3519" s="35" t="s">
        <v>1811</v>
      </c>
    </row>
    <row r="3520" spans="1:2" x14ac:dyDescent="0.35">
      <c r="A3520" s="34">
        <v>27112713</v>
      </c>
      <c r="B3520" s="35" t="s">
        <v>5695</v>
      </c>
    </row>
    <row r="3521" spans="1:2" x14ac:dyDescent="0.35">
      <c r="A3521" s="34">
        <v>27112714</v>
      </c>
      <c r="B3521" s="35" t="s">
        <v>12928</v>
      </c>
    </row>
    <row r="3522" spans="1:2" x14ac:dyDescent="0.35">
      <c r="A3522" s="34">
        <v>27112715</v>
      </c>
      <c r="B3522" s="35" t="s">
        <v>8959</v>
      </c>
    </row>
    <row r="3523" spans="1:2" x14ac:dyDescent="0.35">
      <c r="A3523" s="34">
        <v>27112716</v>
      </c>
      <c r="B3523" s="35" t="s">
        <v>5562</v>
      </c>
    </row>
    <row r="3524" spans="1:2" x14ac:dyDescent="0.35">
      <c r="A3524" s="34">
        <v>27112717</v>
      </c>
      <c r="B3524" s="35" t="s">
        <v>5704</v>
      </c>
    </row>
    <row r="3525" spans="1:2" x14ac:dyDescent="0.35">
      <c r="A3525" s="34">
        <v>27112718</v>
      </c>
      <c r="B3525" s="35" t="s">
        <v>10066</v>
      </c>
    </row>
    <row r="3526" spans="1:2" x14ac:dyDescent="0.35">
      <c r="A3526" s="34">
        <v>27112719</v>
      </c>
      <c r="B3526" s="35" t="s">
        <v>17450</v>
      </c>
    </row>
    <row r="3527" spans="1:2" x14ac:dyDescent="0.35">
      <c r="A3527" s="34">
        <v>27112720</v>
      </c>
      <c r="B3527" s="35" t="s">
        <v>4107</v>
      </c>
    </row>
    <row r="3528" spans="1:2" x14ac:dyDescent="0.35">
      <c r="A3528" s="34">
        <v>27112721</v>
      </c>
      <c r="B3528" s="35" t="s">
        <v>9268</v>
      </c>
    </row>
    <row r="3529" spans="1:2" x14ac:dyDescent="0.35">
      <c r="A3529" s="34">
        <v>27112801</v>
      </c>
      <c r="B3529" s="35" t="s">
        <v>15164</v>
      </c>
    </row>
    <row r="3530" spans="1:2" x14ac:dyDescent="0.35">
      <c r="A3530" s="34">
        <v>27112802</v>
      </c>
      <c r="B3530" s="35" t="s">
        <v>19294</v>
      </c>
    </row>
    <row r="3531" spans="1:2" x14ac:dyDescent="0.35">
      <c r="A3531" s="34">
        <v>27112803</v>
      </c>
      <c r="B3531" s="35" t="s">
        <v>10377</v>
      </c>
    </row>
    <row r="3532" spans="1:2" x14ac:dyDescent="0.35">
      <c r="A3532" s="34">
        <v>27112804</v>
      </c>
      <c r="B3532" s="35" t="s">
        <v>10354</v>
      </c>
    </row>
    <row r="3533" spans="1:2" x14ac:dyDescent="0.35">
      <c r="A3533" s="34">
        <v>27112805</v>
      </c>
      <c r="B3533" s="35" t="s">
        <v>16563</v>
      </c>
    </row>
    <row r="3534" spans="1:2" x14ac:dyDescent="0.35">
      <c r="A3534" s="34">
        <v>27112806</v>
      </c>
      <c r="B3534" s="35" t="s">
        <v>879</v>
      </c>
    </row>
    <row r="3535" spans="1:2" x14ac:dyDescent="0.35">
      <c r="A3535" s="34">
        <v>27112807</v>
      </c>
      <c r="B3535" s="35" t="s">
        <v>11869</v>
      </c>
    </row>
    <row r="3536" spans="1:2" x14ac:dyDescent="0.35">
      <c r="A3536" s="34">
        <v>27112808</v>
      </c>
      <c r="B3536" s="35" t="s">
        <v>17030</v>
      </c>
    </row>
    <row r="3537" spans="1:2" x14ac:dyDescent="0.35">
      <c r="A3537" s="34">
        <v>27112809</v>
      </c>
      <c r="B3537" s="35" t="s">
        <v>8122</v>
      </c>
    </row>
    <row r="3538" spans="1:2" x14ac:dyDescent="0.35">
      <c r="A3538" s="34">
        <v>27112810</v>
      </c>
      <c r="B3538" s="35" t="s">
        <v>18173</v>
      </c>
    </row>
    <row r="3539" spans="1:2" x14ac:dyDescent="0.35">
      <c r="A3539" s="34">
        <v>27112811</v>
      </c>
      <c r="B3539" s="35" t="s">
        <v>15134</v>
      </c>
    </row>
    <row r="3540" spans="1:2" x14ac:dyDescent="0.35">
      <c r="A3540" s="34">
        <v>27112812</v>
      </c>
      <c r="B3540" s="35" t="s">
        <v>9206</v>
      </c>
    </row>
    <row r="3541" spans="1:2" x14ac:dyDescent="0.35">
      <c r="A3541" s="34">
        <v>27112813</v>
      </c>
      <c r="B3541" s="35" t="s">
        <v>5180</v>
      </c>
    </row>
    <row r="3542" spans="1:2" x14ac:dyDescent="0.35">
      <c r="A3542" s="34">
        <v>27112814</v>
      </c>
      <c r="B3542" s="35" t="s">
        <v>3458</v>
      </c>
    </row>
    <row r="3543" spans="1:2" x14ac:dyDescent="0.35">
      <c r="A3543" s="34">
        <v>27112815</v>
      </c>
      <c r="B3543" s="35" t="s">
        <v>2620</v>
      </c>
    </row>
    <row r="3544" spans="1:2" x14ac:dyDescent="0.35">
      <c r="A3544" s="34">
        <v>27112818</v>
      </c>
      <c r="B3544" s="35" t="s">
        <v>15190</v>
      </c>
    </row>
    <row r="3545" spans="1:2" x14ac:dyDescent="0.35">
      <c r="A3545" s="34">
        <v>27112819</v>
      </c>
      <c r="B3545" s="35" t="s">
        <v>8594</v>
      </c>
    </row>
    <row r="3546" spans="1:2" x14ac:dyDescent="0.35">
      <c r="A3546" s="34">
        <v>27112820</v>
      </c>
      <c r="B3546" s="35" t="s">
        <v>11960</v>
      </c>
    </row>
    <row r="3547" spans="1:2" x14ac:dyDescent="0.35">
      <c r="A3547" s="34">
        <v>27112821</v>
      </c>
      <c r="B3547" s="35" t="s">
        <v>3828</v>
      </c>
    </row>
    <row r="3548" spans="1:2" x14ac:dyDescent="0.35">
      <c r="A3548" s="34">
        <v>27112822</v>
      </c>
      <c r="B3548" s="35" t="s">
        <v>18566</v>
      </c>
    </row>
    <row r="3549" spans="1:2" x14ac:dyDescent="0.35">
      <c r="A3549" s="34">
        <v>27112823</v>
      </c>
      <c r="B3549" s="35" t="s">
        <v>5933</v>
      </c>
    </row>
    <row r="3550" spans="1:2" x14ac:dyDescent="0.35">
      <c r="A3550" s="34">
        <v>27112824</v>
      </c>
      <c r="B3550" s="35" t="s">
        <v>15640</v>
      </c>
    </row>
    <row r="3551" spans="1:2" x14ac:dyDescent="0.35">
      <c r="A3551" s="34">
        <v>27112825</v>
      </c>
      <c r="B3551" s="35" t="s">
        <v>16352</v>
      </c>
    </row>
    <row r="3552" spans="1:2" x14ac:dyDescent="0.35">
      <c r="A3552" s="34">
        <v>27112826</v>
      </c>
      <c r="B3552" s="35" t="s">
        <v>11540</v>
      </c>
    </row>
    <row r="3553" spans="1:2" x14ac:dyDescent="0.35">
      <c r="A3553" s="34">
        <v>27112901</v>
      </c>
      <c r="B3553" s="35" t="s">
        <v>11179</v>
      </c>
    </row>
    <row r="3554" spans="1:2" x14ac:dyDescent="0.35">
      <c r="A3554" s="34">
        <v>27112902</v>
      </c>
      <c r="B3554" s="35" t="s">
        <v>2834</v>
      </c>
    </row>
    <row r="3555" spans="1:2" x14ac:dyDescent="0.35">
      <c r="A3555" s="34">
        <v>27112903</v>
      </c>
      <c r="B3555" s="35" t="s">
        <v>7885</v>
      </c>
    </row>
    <row r="3556" spans="1:2" x14ac:dyDescent="0.35">
      <c r="A3556" s="34">
        <v>27112904</v>
      </c>
      <c r="B3556" s="35" t="s">
        <v>16361</v>
      </c>
    </row>
    <row r="3557" spans="1:2" x14ac:dyDescent="0.35">
      <c r="A3557" s="34">
        <v>27112905</v>
      </c>
      <c r="B3557" s="35" t="s">
        <v>11456</v>
      </c>
    </row>
    <row r="3558" spans="1:2" x14ac:dyDescent="0.35">
      <c r="A3558" s="34">
        <v>27112906</v>
      </c>
      <c r="B3558" s="35" t="s">
        <v>10266</v>
      </c>
    </row>
    <row r="3559" spans="1:2" x14ac:dyDescent="0.35">
      <c r="A3559" s="34">
        <v>27112907</v>
      </c>
      <c r="B3559" s="35" t="s">
        <v>18877</v>
      </c>
    </row>
    <row r="3560" spans="1:2" x14ac:dyDescent="0.35">
      <c r="A3560" s="34">
        <v>27112908</v>
      </c>
      <c r="B3560" s="35" t="s">
        <v>18781</v>
      </c>
    </row>
    <row r="3561" spans="1:2" x14ac:dyDescent="0.35">
      <c r="A3561" s="34">
        <v>27113001</v>
      </c>
      <c r="B3561" s="35" t="s">
        <v>12659</v>
      </c>
    </row>
    <row r="3562" spans="1:2" x14ac:dyDescent="0.35">
      <c r="A3562" s="34">
        <v>27113002</v>
      </c>
      <c r="B3562" s="35" t="s">
        <v>8729</v>
      </c>
    </row>
    <row r="3563" spans="1:2" x14ac:dyDescent="0.35">
      <c r="A3563" s="34">
        <v>27113003</v>
      </c>
      <c r="B3563" s="35" t="s">
        <v>1034</v>
      </c>
    </row>
    <row r="3564" spans="1:2" x14ac:dyDescent="0.35">
      <c r="A3564" s="34">
        <v>27113004</v>
      </c>
      <c r="B3564" s="35" t="s">
        <v>10509</v>
      </c>
    </row>
    <row r="3565" spans="1:2" x14ac:dyDescent="0.35">
      <c r="A3565" s="34">
        <v>27113101</v>
      </c>
      <c r="B3565" s="35" t="s">
        <v>9920</v>
      </c>
    </row>
    <row r="3566" spans="1:2" x14ac:dyDescent="0.35">
      <c r="A3566" s="34">
        <v>27113102</v>
      </c>
      <c r="B3566" s="35" t="s">
        <v>2395</v>
      </c>
    </row>
    <row r="3567" spans="1:2" x14ac:dyDescent="0.35">
      <c r="A3567" s="34">
        <v>27113103</v>
      </c>
      <c r="B3567" s="35" t="s">
        <v>14170</v>
      </c>
    </row>
    <row r="3568" spans="1:2" x14ac:dyDescent="0.35">
      <c r="A3568" s="34">
        <v>27113201</v>
      </c>
      <c r="B3568" s="35" t="s">
        <v>9739</v>
      </c>
    </row>
    <row r="3569" spans="1:2" x14ac:dyDescent="0.35">
      <c r="A3569" s="34">
        <v>27113202</v>
      </c>
      <c r="B3569" s="35" t="s">
        <v>15507</v>
      </c>
    </row>
    <row r="3570" spans="1:2" x14ac:dyDescent="0.35">
      <c r="A3570" s="34">
        <v>27113203</v>
      </c>
      <c r="B3570" s="35" t="s">
        <v>15333</v>
      </c>
    </row>
    <row r="3571" spans="1:2" x14ac:dyDescent="0.35">
      <c r="A3571" s="34">
        <v>27113204</v>
      </c>
      <c r="B3571" s="35" t="s">
        <v>8684</v>
      </c>
    </row>
    <row r="3572" spans="1:2" x14ac:dyDescent="0.35">
      <c r="A3572" s="34">
        <v>27121501</v>
      </c>
      <c r="B3572" s="35" t="s">
        <v>18624</v>
      </c>
    </row>
    <row r="3573" spans="1:2" x14ac:dyDescent="0.35">
      <c r="A3573" s="34">
        <v>27121502</v>
      </c>
      <c r="B3573" s="35" t="s">
        <v>16051</v>
      </c>
    </row>
    <row r="3574" spans="1:2" x14ac:dyDescent="0.35">
      <c r="A3574" s="34">
        <v>27121503</v>
      </c>
      <c r="B3574" s="35" t="s">
        <v>8940</v>
      </c>
    </row>
    <row r="3575" spans="1:2" x14ac:dyDescent="0.35">
      <c r="A3575" s="34">
        <v>27121601</v>
      </c>
      <c r="B3575" s="35" t="s">
        <v>11602</v>
      </c>
    </row>
    <row r="3576" spans="1:2" x14ac:dyDescent="0.35">
      <c r="A3576" s="34">
        <v>27121602</v>
      </c>
      <c r="B3576" s="35" t="s">
        <v>19575</v>
      </c>
    </row>
    <row r="3577" spans="1:2" x14ac:dyDescent="0.35">
      <c r="A3577" s="34">
        <v>27121603</v>
      </c>
      <c r="B3577" s="35" t="s">
        <v>19283</v>
      </c>
    </row>
    <row r="3578" spans="1:2" x14ac:dyDescent="0.35">
      <c r="A3578" s="34">
        <v>27121604</v>
      </c>
      <c r="B3578" s="35" t="s">
        <v>7756</v>
      </c>
    </row>
    <row r="3579" spans="1:2" x14ac:dyDescent="0.35">
      <c r="A3579" s="34">
        <v>27121605</v>
      </c>
      <c r="B3579" s="35" t="s">
        <v>14030</v>
      </c>
    </row>
    <row r="3580" spans="1:2" x14ac:dyDescent="0.35">
      <c r="A3580" s="34">
        <v>27121606</v>
      </c>
      <c r="B3580" s="35" t="s">
        <v>17218</v>
      </c>
    </row>
    <row r="3581" spans="1:2" x14ac:dyDescent="0.35">
      <c r="A3581" s="34">
        <v>27121701</v>
      </c>
      <c r="B3581" s="35" t="s">
        <v>15073</v>
      </c>
    </row>
    <row r="3582" spans="1:2" x14ac:dyDescent="0.35">
      <c r="A3582" s="34">
        <v>27121702</v>
      </c>
      <c r="B3582" s="35" t="s">
        <v>13121</v>
      </c>
    </row>
    <row r="3583" spans="1:2" x14ac:dyDescent="0.35">
      <c r="A3583" s="34">
        <v>27121703</v>
      </c>
      <c r="B3583" s="35" t="s">
        <v>3456</v>
      </c>
    </row>
    <row r="3584" spans="1:2" x14ac:dyDescent="0.35">
      <c r="A3584" s="34">
        <v>27121704</v>
      </c>
      <c r="B3584" s="35" t="s">
        <v>9855</v>
      </c>
    </row>
    <row r="3585" spans="1:2" x14ac:dyDescent="0.35">
      <c r="A3585" s="34">
        <v>27121705</v>
      </c>
      <c r="B3585" s="35" t="s">
        <v>17505</v>
      </c>
    </row>
    <row r="3586" spans="1:2" x14ac:dyDescent="0.35">
      <c r="A3586" s="34">
        <v>27121706</v>
      </c>
      <c r="B3586" s="35" t="s">
        <v>15084</v>
      </c>
    </row>
    <row r="3587" spans="1:2" x14ac:dyDescent="0.35">
      <c r="A3587" s="34">
        <v>27121707</v>
      </c>
      <c r="B3587" s="35" t="s">
        <v>8588</v>
      </c>
    </row>
    <row r="3588" spans="1:2" x14ac:dyDescent="0.35">
      <c r="A3588" s="34">
        <v>27126101</v>
      </c>
      <c r="B3588" s="35" t="s">
        <v>10782</v>
      </c>
    </row>
    <row r="3589" spans="1:2" x14ac:dyDescent="0.35">
      <c r="A3589" s="34">
        <v>27126102</v>
      </c>
      <c r="B3589" s="35" t="s">
        <v>13388</v>
      </c>
    </row>
    <row r="3590" spans="1:2" x14ac:dyDescent="0.35">
      <c r="A3590" s="34">
        <v>27131501</v>
      </c>
      <c r="B3590" s="35" t="s">
        <v>18188</v>
      </c>
    </row>
    <row r="3591" spans="1:2" x14ac:dyDescent="0.35">
      <c r="A3591" s="34">
        <v>27131502</v>
      </c>
      <c r="B3591" s="35" t="s">
        <v>11188</v>
      </c>
    </row>
    <row r="3592" spans="1:2" x14ac:dyDescent="0.35">
      <c r="A3592" s="34">
        <v>27131504</v>
      </c>
      <c r="B3592" s="35" t="s">
        <v>17928</v>
      </c>
    </row>
    <row r="3593" spans="1:2" x14ac:dyDescent="0.35">
      <c r="A3593" s="34">
        <v>27131505</v>
      </c>
      <c r="B3593" s="35" t="s">
        <v>11030</v>
      </c>
    </row>
    <row r="3594" spans="1:2" x14ac:dyDescent="0.35">
      <c r="A3594" s="34">
        <v>27131506</v>
      </c>
      <c r="B3594" s="35" t="s">
        <v>6531</v>
      </c>
    </row>
    <row r="3595" spans="1:2" x14ac:dyDescent="0.35">
      <c r="A3595" s="34">
        <v>27131507</v>
      </c>
      <c r="B3595" s="35" t="s">
        <v>432</v>
      </c>
    </row>
    <row r="3596" spans="1:2" x14ac:dyDescent="0.35">
      <c r="A3596" s="34">
        <v>27131508</v>
      </c>
      <c r="B3596" s="35" t="s">
        <v>10184</v>
      </c>
    </row>
    <row r="3597" spans="1:2" x14ac:dyDescent="0.35">
      <c r="A3597" s="34">
        <v>27131509</v>
      </c>
      <c r="B3597" s="35" t="s">
        <v>8229</v>
      </c>
    </row>
    <row r="3598" spans="1:2" x14ac:dyDescent="0.35">
      <c r="A3598" s="34">
        <v>27131510</v>
      </c>
      <c r="B3598" s="35" t="s">
        <v>14236</v>
      </c>
    </row>
    <row r="3599" spans="1:2" x14ac:dyDescent="0.35">
      <c r="A3599" s="34">
        <v>27131511</v>
      </c>
      <c r="B3599" s="35" t="s">
        <v>10807</v>
      </c>
    </row>
    <row r="3600" spans="1:2" x14ac:dyDescent="0.35">
      <c r="A3600" s="34">
        <v>27131512</v>
      </c>
      <c r="B3600" s="35" t="s">
        <v>5977</v>
      </c>
    </row>
    <row r="3601" spans="1:2" x14ac:dyDescent="0.35">
      <c r="A3601" s="34">
        <v>27131601</v>
      </c>
      <c r="B3601" s="35" t="s">
        <v>10513</v>
      </c>
    </row>
    <row r="3602" spans="1:2" x14ac:dyDescent="0.35">
      <c r="A3602" s="34">
        <v>27131603</v>
      </c>
      <c r="B3602" s="35" t="s">
        <v>4351</v>
      </c>
    </row>
    <row r="3603" spans="1:2" x14ac:dyDescent="0.35">
      <c r="A3603" s="34">
        <v>27131604</v>
      </c>
      <c r="B3603" s="35" t="s">
        <v>3142</v>
      </c>
    </row>
    <row r="3604" spans="1:2" x14ac:dyDescent="0.35">
      <c r="A3604" s="34">
        <v>27131605</v>
      </c>
      <c r="B3604" s="35" t="s">
        <v>16731</v>
      </c>
    </row>
    <row r="3605" spans="1:2" x14ac:dyDescent="0.35">
      <c r="A3605" s="34">
        <v>27131608</v>
      </c>
      <c r="B3605" s="35" t="s">
        <v>655</v>
      </c>
    </row>
    <row r="3606" spans="1:2" x14ac:dyDescent="0.35">
      <c r="A3606" s="34">
        <v>27131609</v>
      </c>
      <c r="B3606" s="35" t="s">
        <v>4905</v>
      </c>
    </row>
    <row r="3607" spans="1:2" x14ac:dyDescent="0.35">
      <c r="A3607" s="34">
        <v>27131610</v>
      </c>
      <c r="B3607" s="35" t="s">
        <v>3941</v>
      </c>
    </row>
    <row r="3608" spans="1:2" x14ac:dyDescent="0.35">
      <c r="A3608" s="34">
        <v>27131613</v>
      </c>
      <c r="B3608" s="35" t="s">
        <v>13678</v>
      </c>
    </row>
    <row r="3609" spans="1:2" x14ac:dyDescent="0.35">
      <c r="A3609" s="34">
        <v>27131614</v>
      </c>
      <c r="B3609" s="35" t="s">
        <v>8566</v>
      </c>
    </row>
    <row r="3610" spans="1:2" x14ac:dyDescent="0.35">
      <c r="A3610" s="34">
        <v>27131701</v>
      </c>
      <c r="B3610" s="35" t="s">
        <v>19419</v>
      </c>
    </row>
    <row r="3611" spans="1:2" x14ac:dyDescent="0.35">
      <c r="A3611" s="34">
        <v>27131702</v>
      </c>
      <c r="B3611" s="35" t="s">
        <v>17902</v>
      </c>
    </row>
    <row r="3612" spans="1:2" x14ac:dyDescent="0.35">
      <c r="A3612" s="34">
        <v>27131703</v>
      </c>
      <c r="B3612" s="35" t="s">
        <v>12858</v>
      </c>
    </row>
    <row r="3613" spans="1:2" x14ac:dyDescent="0.35">
      <c r="A3613" s="34">
        <v>27131704</v>
      </c>
      <c r="B3613" s="35" t="s">
        <v>3328</v>
      </c>
    </row>
    <row r="3614" spans="1:2" x14ac:dyDescent="0.35">
      <c r="A3614" s="34">
        <v>27131705</v>
      </c>
      <c r="B3614" s="35" t="s">
        <v>2196</v>
      </c>
    </row>
    <row r="3615" spans="1:2" x14ac:dyDescent="0.35">
      <c r="A3615" s="34">
        <v>27131706</v>
      </c>
      <c r="B3615" s="35" t="s">
        <v>2933</v>
      </c>
    </row>
    <row r="3616" spans="1:2" x14ac:dyDescent="0.35">
      <c r="A3616" s="34">
        <v>27131707</v>
      </c>
      <c r="B3616" s="35" t="s">
        <v>12921</v>
      </c>
    </row>
    <row r="3617" spans="1:2" x14ac:dyDescent="0.35">
      <c r="A3617" s="34">
        <v>27131708</v>
      </c>
      <c r="B3617" s="35" t="s">
        <v>17533</v>
      </c>
    </row>
    <row r="3618" spans="1:2" x14ac:dyDescent="0.35">
      <c r="A3618" s="34">
        <v>27131709</v>
      </c>
      <c r="B3618" s="35" t="s">
        <v>2031</v>
      </c>
    </row>
    <row r="3619" spans="1:2" x14ac:dyDescent="0.35">
      <c r="A3619" s="34">
        <v>27141001</v>
      </c>
      <c r="B3619" s="35" t="s">
        <v>1843</v>
      </c>
    </row>
    <row r="3620" spans="1:2" x14ac:dyDescent="0.35">
      <c r="A3620" s="34">
        <v>27141101</v>
      </c>
      <c r="B3620" s="35" t="s">
        <v>10905</v>
      </c>
    </row>
    <row r="3621" spans="1:2" x14ac:dyDescent="0.35">
      <c r="A3621" s="34">
        <v>30101501</v>
      </c>
      <c r="B3621" s="35" t="s">
        <v>9915</v>
      </c>
    </row>
    <row r="3622" spans="1:2" x14ac:dyDescent="0.35">
      <c r="A3622" s="34">
        <v>30101502</v>
      </c>
      <c r="B3622" s="35" t="s">
        <v>18355</v>
      </c>
    </row>
    <row r="3623" spans="1:2" x14ac:dyDescent="0.35">
      <c r="A3623" s="34">
        <v>30101503</v>
      </c>
      <c r="B3623" s="35" t="s">
        <v>18048</v>
      </c>
    </row>
    <row r="3624" spans="1:2" x14ac:dyDescent="0.35">
      <c r="A3624" s="34">
        <v>30101504</v>
      </c>
      <c r="B3624" s="35" t="s">
        <v>4871</v>
      </c>
    </row>
    <row r="3625" spans="1:2" x14ac:dyDescent="0.35">
      <c r="A3625" s="34">
        <v>30101505</v>
      </c>
      <c r="B3625" s="35" t="s">
        <v>2284</v>
      </c>
    </row>
    <row r="3626" spans="1:2" x14ac:dyDescent="0.35">
      <c r="A3626" s="34">
        <v>30101506</v>
      </c>
      <c r="B3626" s="35" t="s">
        <v>8336</v>
      </c>
    </row>
    <row r="3627" spans="1:2" x14ac:dyDescent="0.35">
      <c r="A3627" s="34">
        <v>30101507</v>
      </c>
      <c r="B3627" s="35" t="s">
        <v>3050</v>
      </c>
    </row>
    <row r="3628" spans="1:2" x14ac:dyDescent="0.35">
      <c r="A3628" s="34">
        <v>30101508</v>
      </c>
      <c r="B3628" s="35" t="s">
        <v>9808</v>
      </c>
    </row>
    <row r="3629" spans="1:2" x14ac:dyDescent="0.35">
      <c r="A3629" s="34">
        <v>30101509</v>
      </c>
      <c r="B3629" s="35" t="s">
        <v>11538</v>
      </c>
    </row>
    <row r="3630" spans="1:2" x14ac:dyDescent="0.35">
      <c r="A3630" s="34">
        <v>30101510</v>
      </c>
      <c r="B3630" s="35" t="s">
        <v>19554</v>
      </c>
    </row>
    <row r="3631" spans="1:2" x14ac:dyDescent="0.35">
      <c r="A3631" s="34">
        <v>30101511</v>
      </c>
      <c r="B3631" s="35" t="s">
        <v>15157</v>
      </c>
    </row>
    <row r="3632" spans="1:2" x14ac:dyDescent="0.35">
      <c r="A3632" s="34">
        <v>30101512</v>
      </c>
      <c r="B3632" s="35" t="s">
        <v>15377</v>
      </c>
    </row>
    <row r="3633" spans="1:2" x14ac:dyDescent="0.35">
      <c r="A3633" s="34">
        <v>30101513</v>
      </c>
      <c r="B3633" s="35" t="s">
        <v>17307</v>
      </c>
    </row>
    <row r="3634" spans="1:2" x14ac:dyDescent="0.35">
      <c r="A3634" s="34">
        <v>30101514</v>
      </c>
      <c r="B3634" s="35" t="s">
        <v>13155</v>
      </c>
    </row>
    <row r="3635" spans="1:2" x14ac:dyDescent="0.35">
      <c r="A3635" s="34">
        <v>30101515</v>
      </c>
      <c r="B3635" s="35" t="s">
        <v>4662</v>
      </c>
    </row>
    <row r="3636" spans="1:2" x14ac:dyDescent="0.35">
      <c r="A3636" s="34">
        <v>30101516</v>
      </c>
      <c r="B3636" s="35" t="s">
        <v>15856</v>
      </c>
    </row>
    <row r="3637" spans="1:2" x14ac:dyDescent="0.35">
      <c r="A3637" s="34">
        <v>30101517</v>
      </c>
      <c r="B3637" s="35" t="s">
        <v>4795</v>
      </c>
    </row>
    <row r="3638" spans="1:2" x14ac:dyDescent="0.35">
      <c r="A3638" s="34">
        <v>30101601</v>
      </c>
      <c r="B3638" s="35" t="s">
        <v>15319</v>
      </c>
    </row>
    <row r="3639" spans="1:2" x14ac:dyDescent="0.35">
      <c r="A3639" s="34">
        <v>30101602</v>
      </c>
      <c r="B3639" s="35" t="s">
        <v>3844</v>
      </c>
    </row>
    <row r="3640" spans="1:2" x14ac:dyDescent="0.35">
      <c r="A3640" s="34">
        <v>30101603</v>
      </c>
      <c r="B3640" s="35" t="s">
        <v>4262</v>
      </c>
    </row>
    <row r="3641" spans="1:2" x14ac:dyDescent="0.35">
      <c r="A3641" s="34">
        <v>30101604</v>
      </c>
      <c r="B3641" s="35" t="s">
        <v>4771</v>
      </c>
    </row>
    <row r="3642" spans="1:2" x14ac:dyDescent="0.35">
      <c r="A3642" s="34">
        <v>30101605</v>
      </c>
      <c r="B3642" s="35" t="s">
        <v>17022</v>
      </c>
    </row>
    <row r="3643" spans="1:2" x14ac:dyDescent="0.35">
      <c r="A3643" s="34">
        <v>30101606</v>
      </c>
      <c r="B3643" s="35" t="s">
        <v>425</v>
      </c>
    </row>
    <row r="3644" spans="1:2" x14ac:dyDescent="0.35">
      <c r="A3644" s="34">
        <v>30101607</v>
      </c>
      <c r="B3644" s="35" t="s">
        <v>5286</v>
      </c>
    </row>
    <row r="3645" spans="1:2" x14ac:dyDescent="0.35">
      <c r="A3645" s="34">
        <v>30101608</v>
      </c>
      <c r="B3645" s="35" t="s">
        <v>17778</v>
      </c>
    </row>
    <row r="3646" spans="1:2" x14ac:dyDescent="0.35">
      <c r="A3646" s="34">
        <v>30101609</v>
      </c>
      <c r="B3646" s="35" t="s">
        <v>17618</v>
      </c>
    </row>
    <row r="3647" spans="1:2" x14ac:dyDescent="0.35">
      <c r="A3647" s="34">
        <v>30101610</v>
      </c>
      <c r="B3647" s="35" t="s">
        <v>12593</v>
      </c>
    </row>
    <row r="3648" spans="1:2" x14ac:dyDescent="0.35">
      <c r="A3648" s="34">
        <v>30101611</v>
      </c>
      <c r="B3648" s="35" t="s">
        <v>4874</v>
      </c>
    </row>
    <row r="3649" spans="1:2" x14ac:dyDescent="0.35">
      <c r="A3649" s="34">
        <v>30101612</v>
      </c>
      <c r="B3649" s="35" t="s">
        <v>7883</v>
      </c>
    </row>
    <row r="3650" spans="1:2" x14ac:dyDescent="0.35">
      <c r="A3650" s="34">
        <v>30101613</v>
      </c>
      <c r="B3650" s="35" t="s">
        <v>14638</v>
      </c>
    </row>
    <row r="3651" spans="1:2" x14ac:dyDescent="0.35">
      <c r="A3651" s="34">
        <v>30101614</v>
      </c>
      <c r="B3651" s="35" t="s">
        <v>6291</v>
      </c>
    </row>
    <row r="3652" spans="1:2" x14ac:dyDescent="0.35">
      <c r="A3652" s="34">
        <v>30101615</v>
      </c>
      <c r="B3652" s="35" t="s">
        <v>762</v>
      </c>
    </row>
    <row r="3653" spans="1:2" x14ac:dyDescent="0.35">
      <c r="A3653" s="34">
        <v>30101616</v>
      </c>
      <c r="B3653" s="35" t="s">
        <v>12732</v>
      </c>
    </row>
    <row r="3654" spans="1:2" x14ac:dyDescent="0.35">
      <c r="A3654" s="34">
        <v>30101617</v>
      </c>
      <c r="B3654" s="35" t="s">
        <v>17604</v>
      </c>
    </row>
    <row r="3655" spans="1:2" x14ac:dyDescent="0.35">
      <c r="A3655" s="34">
        <v>30101618</v>
      </c>
      <c r="B3655" s="35" t="s">
        <v>15292</v>
      </c>
    </row>
    <row r="3656" spans="1:2" x14ac:dyDescent="0.35">
      <c r="A3656" s="34">
        <v>30101701</v>
      </c>
      <c r="B3656" s="35" t="s">
        <v>15979</v>
      </c>
    </row>
    <row r="3657" spans="1:2" x14ac:dyDescent="0.35">
      <c r="A3657" s="34">
        <v>30101702</v>
      </c>
      <c r="B3657" s="35" t="s">
        <v>2571</v>
      </c>
    </row>
    <row r="3658" spans="1:2" x14ac:dyDescent="0.35">
      <c r="A3658" s="34">
        <v>30101703</v>
      </c>
      <c r="B3658" s="35" t="s">
        <v>335</v>
      </c>
    </row>
    <row r="3659" spans="1:2" x14ac:dyDescent="0.35">
      <c r="A3659" s="34">
        <v>30101704</v>
      </c>
      <c r="B3659" s="35" t="s">
        <v>6433</v>
      </c>
    </row>
    <row r="3660" spans="1:2" x14ac:dyDescent="0.35">
      <c r="A3660" s="34">
        <v>30101705</v>
      </c>
      <c r="B3660" s="35" t="s">
        <v>16972</v>
      </c>
    </row>
    <row r="3661" spans="1:2" x14ac:dyDescent="0.35">
      <c r="A3661" s="34">
        <v>30101706</v>
      </c>
      <c r="B3661" s="35" t="s">
        <v>18538</v>
      </c>
    </row>
    <row r="3662" spans="1:2" x14ac:dyDescent="0.35">
      <c r="A3662" s="34">
        <v>30101707</v>
      </c>
      <c r="B3662" s="35" t="s">
        <v>10213</v>
      </c>
    </row>
    <row r="3663" spans="1:2" x14ac:dyDescent="0.35">
      <c r="A3663" s="34">
        <v>30101708</v>
      </c>
      <c r="B3663" s="35" t="s">
        <v>4035</v>
      </c>
    </row>
    <row r="3664" spans="1:2" x14ac:dyDescent="0.35">
      <c r="A3664" s="34">
        <v>30101709</v>
      </c>
      <c r="B3664" s="35" t="s">
        <v>5102</v>
      </c>
    </row>
    <row r="3665" spans="1:2" x14ac:dyDescent="0.35">
      <c r="A3665" s="34">
        <v>30101710</v>
      </c>
      <c r="B3665" s="35" t="s">
        <v>16016</v>
      </c>
    </row>
    <row r="3666" spans="1:2" x14ac:dyDescent="0.35">
      <c r="A3666" s="34">
        <v>30101711</v>
      </c>
      <c r="B3666" s="35" t="s">
        <v>2940</v>
      </c>
    </row>
    <row r="3667" spans="1:2" x14ac:dyDescent="0.35">
      <c r="A3667" s="34">
        <v>30101712</v>
      </c>
      <c r="B3667" s="35" t="s">
        <v>2030</v>
      </c>
    </row>
    <row r="3668" spans="1:2" x14ac:dyDescent="0.35">
      <c r="A3668" s="34">
        <v>30101713</v>
      </c>
      <c r="B3668" s="35" t="s">
        <v>778</v>
      </c>
    </row>
    <row r="3669" spans="1:2" x14ac:dyDescent="0.35">
      <c r="A3669" s="34">
        <v>30101714</v>
      </c>
      <c r="B3669" s="35" t="s">
        <v>11534</v>
      </c>
    </row>
    <row r="3670" spans="1:2" x14ac:dyDescent="0.35">
      <c r="A3670" s="34">
        <v>30101715</v>
      </c>
      <c r="B3670" s="35" t="s">
        <v>15464</v>
      </c>
    </row>
    <row r="3671" spans="1:2" x14ac:dyDescent="0.35">
      <c r="A3671" s="34">
        <v>30101716</v>
      </c>
      <c r="B3671" s="35" t="s">
        <v>16121</v>
      </c>
    </row>
    <row r="3672" spans="1:2" x14ac:dyDescent="0.35">
      <c r="A3672" s="34">
        <v>30101717</v>
      </c>
      <c r="B3672" s="35" t="s">
        <v>15586</v>
      </c>
    </row>
    <row r="3673" spans="1:2" x14ac:dyDescent="0.35">
      <c r="A3673" s="34">
        <v>30101718</v>
      </c>
      <c r="B3673" s="35" t="s">
        <v>3723</v>
      </c>
    </row>
    <row r="3674" spans="1:2" x14ac:dyDescent="0.35">
      <c r="A3674" s="34">
        <v>30101801</v>
      </c>
      <c r="B3674" s="35" t="s">
        <v>5984</v>
      </c>
    </row>
    <row r="3675" spans="1:2" x14ac:dyDescent="0.35">
      <c r="A3675" s="34">
        <v>30101802</v>
      </c>
      <c r="B3675" s="35" t="s">
        <v>11727</v>
      </c>
    </row>
    <row r="3676" spans="1:2" x14ac:dyDescent="0.35">
      <c r="A3676" s="34">
        <v>30101803</v>
      </c>
      <c r="B3676" s="35" t="s">
        <v>12230</v>
      </c>
    </row>
    <row r="3677" spans="1:2" x14ac:dyDescent="0.35">
      <c r="A3677" s="34">
        <v>30101804</v>
      </c>
      <c r="B3677" s="35" t="s">
        <v>13077</v>
      </c>
    </row>
    <row r="3678" spans="1:2" x14ac:dyDescent="0.35">
      <c r="A3678" s="34">
        <v>30101805</v>
      </c>
      <c r="B3678" s="35" t="s">
        <v>11756</v>
      </c>
    </row>
    <row r="3679" spans="1:2" x14ac:dyDescent="0.35">
      <c r="A3679" s="34">
        <v>30101806</v>
      </c>
      <c r="B3679" s="35" t="s">
        <v>13236</v>
      </c>
    </row>
    <row r="3680" spans="1:2" x14ac:dyDescent="0.35">
      <c r="A3680" s="34">
        <v>30101807</v>
      </c>
      <c r="B3680" s="35" t="s">
        <v>16237</v>
      </c>
    </row>
    <row r="3681" spans="1:2" x14ac:dyDescent="0.35">
      <c r="A3681" s="34">
        <v>30101808</v>
      </c>
      <c r="B3681" s="35" t="s">
        <v>10768</v>
      </c>
    </row>
    <row r="3682" spans="1:2" x14ac:dyDescent="0.35">
      <c r="A3682" s="34">
        <v>30101809</v>
      </c>
      <c r="B3682" s="35" t="s">
        <v>3186</v>
      </c>
    </row>
    <row r="3683" spans="1:2" x14ac:dyDescent="0.35">
      <c r="A3683" s="34">
        <v>30101810</v>
      </c>
      <c r="B3683" s="35" t="s">
        <v>8380</v>
      </c>
    </row>
    <row r="3684" spans="1:2" x14ac:dyDescent="0.35">
      <c r="A3684" s="34">
        <v>30101811</v>
      </c>
      <c r="B3684" s="35" t="s">
        <v>17748</v>
      </c>
    </row>
    <row r="3685" spans="1:2" x14ac:dyDescent="0.35">
      <c r="A3685" s="34">
        <v>30101812</v>
      </c>
      <c r="B3685" s="35" t="s">
        <v>7155</v>
      </c>
    </row>
    <row r="3686" spans="1:2" x14ac:dyDescent="0.35">
      <c r="A3686" s="34">
        <v>30101813</v>
      </c>
      <c r="B3686" s="35" t="s">
        <v>11512</v>
      </c>
    </row>
    <row r="3687" spans="1:2" x14ac:dyDescent="0.35">
      <c r="A3687" s="34">
        <v>30101814</v>
      </c>
      <c r="B3687" s="35" t="s">
        <v>8350</v>
      </c>
    </row>
    <row r="3688" spans="1:2" x14ac:dyDescent="0.35">
      <c r="A3688" s="34">
        <v>30101815</v>
      </c>
      <c r="B3688" s="35" t="s">
        <v>11871</v>
      </c>
    </row>
    <row r="3689" spans="1:2" x14ac:dyDescent="0.35">
      <c r="A3689" s="34">
        <v>30101816</v>
      </c>
      <c r="B3689" s="35" t="s">
        <v>14141</v>
      </c>
    </row>
    <row r="3690" spans="1:2" x14ac:dyDescent="0.35">
      <c r="A3690" s="34">
        <v>30101817</v>
      </c>
      <c r="B3690" s="35" t="s">
        <v>7611</v>
      </c>
    </row>
    <row r="3691" spans="1:2" x14ac:dyDescent="0.35">
      <c r="A3691" s="34">
        <v>30101901</v>
      </c>
      <c r="B3691" s="35" t="s">
        <v>11785</v>
      </c>
    </row>
    <row r="3692" spans="1:2" x14ac:dyDescent="0.35">
      <c r="A3692" s="34">
        <v>30101902</v>
      </c>
      <c r="B3692" s="35" t="s">
        <v>17139</v>
      </c>
    </row>
    <row r="3693" spans="1:2" x14ac:dyDescent="0.35">
      <c r="A3693" s="34">
        <v>30101903</v>
      </c>
      <c r="B3693" s="35" t="s">
        <v>7944</v>
      </c>
    </row>
    <row r="3694" spans="1:2" x14ac:dyDescent="0.35">
      <c r="A3694" s="34">
        <v>30101904</v>
      </c>
      <c r="B3694" s="35" t="s">
        <v>4529</v>
      </c>
    </row>
    <row r="3695" spans="1:2" x14ac:dyDescent="0.35">
      <c r="A3695" s="34">
        <v>30101905</v>
      </c>
      <c r="B3695" s="35" t="s">
        <v>21</v>
      </c>
    </row>
    <row r="3696" spans="1:2" x14ac:dyDescent="0.35">
      <c r="A3696" s="34">
        <v>30101906</v>
      </c>
      <c r="B3696" s="35" t="s">
        <v>18596</v>
      </c>
    </row>
    <row r="3697" spans="1:2" x14ac:dyDescent="0.35">
      <c r="A3697" s="34">
        <v>30101907</v>
      </c>
      <c r="B3697" s="35" t="s">
        <v>13741</v>
      </c>
    </row>
    <row r="3698" spans="1:2" x14ac:dyDescent="0.35">
      <c r="A3698" s="34">
        <v>30101908</v>
      </c>
      <c r="B3698" s="35" t="s">
        <v>17835</v>
      </c>
    </row>
    <row r="3699" spans="1:2" x14ac:dyDescent="0.35">
      <c r="A3699" s="34">
        <v>30101909</v>
      </c>
      <c r="B3699" s="35" t="s">
        <v>1204</v>
      </c>
    </row>
    <row r="3700" spans="1:2" x14ac:dyDescent="0.35">
      <c r="A3700" s="34">
        <v>30101910</v>
      </c>
      <c r="B3700" s="35" t="s">
        <v>13326</v>
      </c>
    </row>
    <row r="3701" spans="1:2" x14ac:dyDescent="0.35">
      <c r="A3701" s="34">
        <v>30101911</v>
      </c>
      <c r="B3701" s="35" t="s">
        <v>15756</v>
      </c>
    </row>
    <row r="3702" spans="1:2" x14ac:dyDescent="0.35">
      <c r="A3702" s="34">
        <v>30101912</v>
      </c>
      <c r="B3702" s="35" t="s">
        <v>13867</v>
      </c>
    </row>
    <row r="3703" spans="1:2" x14ac:dyDescent="0.35">
      <c r="A3703" s="34">
        <v>30101913</v>
      </c>
      <c r="B3703" s="35" t="s">
        <v>6750</v>
      </c>
    </row>
    <row r="3704" spans="1:2" x14ac:dyDescent="0.35">
      <c r="A3704" s="34">
        <v>30101914</v>
      </c>
      <c r="B3704" s="35" t="s">
        <v>12224</v>
      </c>
    </row>
    <row r="3705" spans="1:2" x14ac:dyDescent="0.35">
      <c r="A3705" s="34">
        <v>30101915</v>
      </c>
      <c r="B3705" s="35" t="s">
        <v>1365</v>
      </c>
    </row>
    <row r="3706" spans="1:2" x14ac:dyDescent="0.35">
      <c r="A3706" s="34">
        <v>30101916</v>
      </c>
      <c r="B3706" s="35" t="s">
        <v>14585</v>
      </c>
    </row>
    <row r="3707" spans="1:2" x14ac:dyDescent="0.35">
      <c r="A3707" s="34">
        <v>30101918</v>
      </c>
      <c r="B3707" s="35" t="s">
        <v>6793</v>
      </c>
    </row>
    <row r="3708" spans="1:2" x14ac:dyDescent="0.35">
      <c r="A3708" s="34">
        <v>30101919</v>
      </c>
      <c r="B3708" s="35" t="s">
        <v>2338</v>
      </c>
    </row>
    <row r="3709" spans="1:2" x14ac:dyDescent="0.35">
      <c r="A3709" s="34">
        <v>30101920</v>
      </c>
      <c r="B3709" s="35" t="s">
        <v>1725</v>
      </c>
    </row>
    <row r="3710" spans="1:2" x14ac:dyDescent="0.35">
      <c r="A3710" s="34">
        <v>30101921</v>
      </c>
      <c r="B3710" s="35" t="s">
        <v>12301</v>
      </c>
    </row>
    <row r="3711" spans="1:2" x14ac:dyDescent="0.35">
      <c r="A3711" s="34">
        <v>30101922</v>
      </c>
      <c r="B3711" s="35" t="s">
        <v>4793</v>
      </c>
    </row>
    <row r="3712" spans="1:2" x14ac:dyDescent="0.35">
      <c r="A3712" s="34">
        <v>30101923</v>
      </c>
      <c r="B3712" s="35" t="s">
        <v>13773</v>
      </c>
    </row>
    <row r="3713" spans="1:2" x14ac:dyDescent="0.35">
      <c r="A3713" s="34">
        <v>30102001</v>
      </c>
      <c r="B3713" s="35" t="s">
        <v>9068</v>
      </c>
    </row>
    <row r="3714" spans="1:2" x14ac:dyDescent="0.35">
      <c r="A3714" s="34">
        <v>30102002</v>
      </c>
      <c r="B3714" s="35" t="s">
        <v>13686</v>
      </c>
    </row>
    <row r="3715" spans="1:2" x14ac:dyDescent="0.35">
      <c r="A3715" s="34">
        <v>30102003</v>
      </c>
      <c r="B3715" s="35" t="s">
        <v>8137</v>
      </c>
    </row>
    <row r="3716" spans="1:2" x14ac:dyDescent="0.35">
      <c r="A3716" s="34">
        <v>30102004</v>
      </c>
      <c r="B3716" s="35" t="s">
        <v>541</v>
      </c>
    </row>
    <row r="3717" spans="1:2" x14ac:dyDescent="0.35">
      <c r="A3717" s="34">
        <v>30102005</v>
      </c>
      <c r="B3717" s="35" t="s">
        <v>18779</v>
      </c>
    </row>
    <row r="3718" spans="1:2" x14ac:dyDescent="0.35">
      <c r="A3718" s="34">
        <v>30102006</v>
      </c>
      <c r="B3718" s="35" t="s">
        <v>5521</v>
      </c>
    </row>
    <row r="3719" spans="1:2" x14ac:dyDescent="0.35">
      <c r="A3719" s="34">
        <v>30102007</v>
      </c>
      <c r="B3719" s="35" t="s">
        <v>15721</v>
      </c>
    </row>
    <row r="3720" spans="1:2" x14ac:dyDescent="0.35">
      <c r="A3720" s="34">
        <v>30102008</v>
      </c>
      <c r="B3720" s="35" t="s">
        <v>7663</v>
      </c>
    </row>
    <row r="3721" spans="1:2" x14ac:dyDescent="0.35">
      <c r="A3721" s="34">
        <v>30102009</v>
      </c>
      <c r="B3721" s="35" t="s">
        <v>16422</v>
      </c>
    </row>
    <row r="3722" spans="1:2" x14ac:dyDescent="0.35">
      <c r="A3722" s="34">
        <v>30102010</v>
      </c>
      <c r="B3722" s="35" t="s">
        <v>9334</v>
      </c>
    </row>
    <row r="3723" spans="1:2" x14ac:dyDescent="0.35">
      <c r="A3723" s="34">
        <v>30102011</v>
      </c>
      <c r="B3723" s="35" t="s">
        <v>12388</v>
      </c>
    </row>
    <row r="3724" spans="1:2" x14ac:dyDescent="0.35">
      <c r="A3724" s="34">
        <v>30102012</v>
      </c>
      <c r="B3724" s="35" t="s">
        <v>10542</v>
      </c>
    </row>
    <row r="3725" spans="1:2" x14ac:dyDescent="0.35">
      <c r="A3725" s="34">
        <v>30102013</v>
      </c>
      <c r="B3725" s="35" t="s">
        <v>5743</v>
      </c>
    </row>
    <row r="3726" spans="1:2" x14ac:dyDescent="0.35">
      <c r="A3726" s="34">
        <v>30102014</v>
      </c>
      <c r="B3726" s="35" t="s">
        <v>13275</v>
      </c>
    </row>
    <row r="3727" spans="1:2" x14ac:dyDescent="0.35">
      <c r="A3727" s="34">
        <v>30102015</v>
      </c>
      <c r="B3727" s="35" t="s">
        <v>14808</v>
      </c>
    </row>
    <row r="3728" spans="1:2" x14ac:dyDescent="0.35">
      <c r="A3728" s="34">
        <v>30102201</v>
      </c>
      <c r="B3728" s="35" t="s">
        <v>18693</v>
      </c>
    </row>
    <row r="3729" spans="1:2" x14ac:dyDescent="0.35">
      <c r="A3729" s="34">
        <v>30102202</v>
      </c>
      <c r="B3729" s="35" t="s">
        <v>14527</v>
      </c>
    </row>
    <row r="3730" spans="1:2" x14ac:dyDescent="0.35">
      <c r="A3730" s="34">
        <v>30102203</v>
      </c>
      <c r="B3730" s="35" t="s">
        <v>3675</v>
      </c>
    </row>
    <row r="3731" spans="1:2" x14ac:dyDescent="0.35">
      <c r="A3731" s="34">
        <v>30102204</v>
      </c>
      <c r="B3731" s="35" t="s">
        <v>9634</v>
      </c>
    </row>
    <row r="3732" spans="1:2" x14ac:dyDescent="0.35">
      <c r="A3732" s="34">
        <v>30102205</v>
      </c>
      <c r="B3732" s="35" t="s">
        <v>3897</v>
      </c>
    </row>
    <row r="3733" spans="1:2" x14ac:dyDescent="0.35">
      <c r="A3733" s="34">
        <v>30102206</v>
      </c>
      <c r="B3733" s="35" t="s">
        <v>3890</v>
      </c>
    </row>
    <row r="3734" spans="1:2" x14ac:dyDescent="0.35">
      <c r="A3734" s="34">
        <v>30102207</v>
      </c>
      <c r="B3734" s="35" t="s">
        <v>9617</v>
      </c>
    </row>
    <row r="3735" spans="1:2" x14ac:dyDescent="0.35">
      <c r="A3735" s="34">
        <v>30102208</v>
      </c>
      <c r="B3735" s="35" t="s">
        <v>15300</v>
      </c>
    </row>
    <row r="3736" spans="1:2" x14ac:dyDescent="0.35">
      <c r="A3736" s="34">
        <v>30102209</v>
      </c>
      <c r="B3736" s="35" t="s">
        <v>7227</v>
      </c>
    </row>
    <row r="3737" spans="1:2" x14ac:dyDescent="0.35">
      <c r="A3737" s="34">
        <v>30102210</v>
      </c>
      <c r="B3737" s="35" t="s">
        <v>9990</v>
      </c>
    </row>
    <row r="3738" spans="1:2" x14ac:dyDescent="0.35">
      <c r="A3738" s="34">
        <v>30102211</v>
      </c>
      <c r="B3738" s="35" t="s">
        <v>4681</v>
      </c>
    </row>
    <row r="3739" spans="1:2" x14ac:dyDescent="0.35">
      <c r="A3739" s="34">
        <v>30102212</v>
      </c>
      <c r="B3739" s="35" t="s">
        <v>11087</v>
      </c>
    </row>
    <row r="3740" spans="1:2" x14ac:dyDescent="0.35">
      <c r="A3740" s="34">
        <v>30102213</v>
      </c>
      <c r="B3740" s="35" t="s">
        <v>9939</v>
      </c>
    </row>
    <row r="3741" spans="1:2" x14ac:dyDescent="0.35">
      <c r="A3741" s="34">
        <v>30102214</v>
      </c>
      <c r="B3741" s="35" t="s">
        <v>10883</v>
      </c>
    </row>
    <row r="3742" spans="1:2" x14ac:dyDescent="0.35">
      <c r="A3742" s="34">
        <v>30102215</v>
      </c>
      <c r="B3742" s="35" t="s">
        <v>1407</v>
      </c>
    </row>
    <row r="3743" spans="1:2" x14ac:dyDescent="0.35">
      <c r="A3743" s="34">
        <v>30102216</v>
      </c>
      <c r="B3743" s="35" t="s">
        <v>14804</v>
      </c>
    </row>
    <row r="3744" spans="1:2" x14ac:dyDescent="0.35">
      <c r="A3744" s="34">
        <v>30102217</v>
      </c>
      <c r="B3744" s="35" t="s">
        <v>13914</v>
      </c>
    </row>
    <row r="3745" spans="1:2" x14ac:dyDescent="0.35">
      <c r="A3745" s="34">
        <v>30102218</v>
      </c>
      <c r="B3745" s="35" t="s">
        <v>6875</v>
      </c>
    </row>
    <row r="3746" spans="1:2" x14ac:dyDescent="0.35">
      <c r="A3746" s="34">
        <v>30102220</v>
      </c>
      <c r="B3746" s="35" t="s">
        <v>523</v>
      </c>
    </row>
    <row r="3747" spans="1:2" x14ac:dyDescent="0.35">
      <c r="A3747" s="34">
        <v>30102301</v>
      </c>
      <c r="B3747" s="35" t="s">
        <v>7807</v>
      </c>
    </row>
    <row r="3748" spans="1:2" x14ac:dyDescent="0.35">
      <c r="A3748" s="34">
        <v>30102302</v>
      </c>
      <c r="B3748" s="35" t="s">
        <v>13246</v>
      </c>
    </row>
    <row r="3749" spans="1:2" x14ac:dyDescent="0.35">
      <c r="A3749" s="34">
        <v>30102303</v>
      </c>
      <c r="B3749" s="35" t="s">
        <v>224</v>
      </c>
    </row>
    <row r="3750" spans="1:2" x14ac:dyDescent="0.35">
      <c r="A3750" s="34">
        <v>30102304</v>
      </c>
      <c r="B3750" s="35" t="s">
        <v>16140</v>
      </c>
    </row>
    <row r="3751" spans="1:2" x14ac:dyDescent="0.35">
      <c r="A3751" s="34">
        <v>30102305</v>
      </c>
      <c r="B3751" s="35" t="s">
        <v>15125</v>
      </c>
    </row>
    <row r="3752" spans="1:2" x14ac:dyDescent="0.35">
      <c r="A3752" s="34">
        <v>30102306</v>
      </c>
      <c r="B3752" s="35" t="s">
        <v>5199</v>
      </c>
    </row>
    <row r="3753" spans="1:2" x14ac:dyDescent="0.35">
      <c r="A3753" s="34">
        <v>30102307</v>
      </c>
      <c r="B3753" s="35" t="s">
        <v>18874</v>
      </c>
    </row>
    <row r="3754" spans="1:2" x14ac:dyDescent="0.35">
      <c r="A3754" s="34">
        <v>30102308</v>
      </c>
      <c r="B3754" s="35" t="s">
        <v>8185</v>
      </c>
    </row>
    <row r="3755" spans="1:2" x14ac:dyDescent="0.35">
      <c r="A3755" s="34">
        <v>30102309</v>
      </c>
      <c r="B3755" s="35" t="s">
        <v>18319</v>
      </c>
    </row>
    <row r="3756" spans="1:2" x14ac:dyDescent="0.35">
      <c r="A3756" s="34">
        <v>30102310</v>
      </c>
      <c r="B3756" s="35" t="s">
        <v>2063</v>
      </c>
    </row>
    <row r="3757" spans="1:2" x14ac:dyDescent="0.35">
      <c r="A3757" s="34">
        <v>30102311</v>
      </c>
      <c r="B3757" s="35" t="s">
        <v>19028</v>
      </c>
    </row>
    <row r="3758" spans="1:2" x14ac:dyDescent="0.35">
      <c r="A3758" s="34">
        <v>30102312</v>
      </c>
      <c r="B3758" s="35" t="s">
        <v>18336</v>
      </c>
    </row>
    <row r="3759" spans="1:2" x14ac:dyDescent="0.35">
      <c r="A3759" s="34">
        <v>30102313</v>
      </c>
      <c r="B3759" s="35" t="s">
        <v>3962</v>
      </c>
    </row>
    <row r="3760" spans="1:2" x14ac:dyDescent="0.35">
      <c r="A3760" s="34">
        <v>30102314</v>
      </c>
      <c r="B3760" s="35" t="s">
        <v>8400</v>
      </c>
    </row>
    <row r="3761" spans="1:2" x14ac:dyDescent="0.35">
      <c r="A3761" s="34">
        <v>30102315</v>
      </c>
      <c r="B3761" s="35" t="s">
        <v>900</v>
      </c>
    </row>
    <row r="3762" spans="1:2" x14ac:dyDescent="0.35">
      <c r="A3762" s="34">
        <v>30102316</v>
      </c>
      <c r="B3762" s="35" t="s">
        <v>11444</v>
      </c>
    </row>
    <row r="3763" spans="1:2" x14ac:dyDescent="0.35">
      <c r="A3763" s="34">
        <v>30102401</v>
      </c>
      <c r="B3763" s="35" t="s">
        <v>11655</v>
      </c>
    </row>
    <row r="3764" spans="1:2" x14ac:dyDescent="0.35">
      <c r="A3764" s="34">
        <v>30102402</v>
      </c>
      <c r="B3764" s="35" t="s">
        <v>16718</v>
      </c>
    </row>
    <row r="3765" spans="1:2" x14ac:dyDescent="0.35">
      <c r="A3765" s="34">
        <v>30102403</v>
      </c>
      <c r="B3765" s="35" t="s">
        <v>6226</v>
      </c>
    </row>
    <row r="3766" spans="1:2" x14ac:dyDescent="0.35">
      <c r="A3766" s="34">
        <v>30102404</v>
      </c>
      <c r="B3766" s="35" t="s">
        <v>12703</v>
      </c>
    </row>
    <row r="3767" spans="1:2" x14ac:dyDescent="0.35">
      <c r="A3767" s="34">
        <v>30102405</v>
      </c>
      <c r="B3767" s="35" t="s">
        <v>19351</v>
      </c>
    </row>
    <row r="3768" spans="1:2" x14ac:dyDescent="0.35">
      <c r="A3768" s="34">
        <v>30102406</v>
      </c>
      <c r="B3768" s="35" t="s">
        <v>515</v>
      </c>
    </row>
    <row r="3769" spans="1:2" x14ac:dyDescent="0.35">
      <c r="A3769" s="34">
        <v>30102407</v>
      </c>
      <c r="B3769" s="35" t="s">
        <v>13909</v>
      </c>
    </row>
    <row r="3770" spans="1:2" x14ac:dyDescent="0.35">
      <c r="A3770" s="34">
        <v>30102408</v>
      </c>
      <c r="B3770" s="35" t="s">
        <v>1581</v>
      </c>
    </row>
    <row r="3771" spans="1:2" x14ac:dyDescent="0.35">
      <c r="A3771" s="34">
        <v>30102409</v>
      </c>
      <c r="B3771" s="35" t="s">
        <v>1131</v>
      </c>
    </row>
    <row r="3772" spans="1:2" x14ac:dyDescent="0.35">
      <c r="A3772" s="34">
        <v>30102410</v>
      </c>
      <c r="B3772" s="35" t="s">
        <v>12094</v>
      </c>
    </row>
    <row r="3773" spans="1:2" x14ac:dyDescent="0.35">
      <c r="A3773" s="34">
        <v>30102411</v>
      </c>
      <c r="B3773" s="35" t="s">
        <v>9110</v>
      </c>
    </row>
    <row r="3774" spans="1:2" x14ac:dyDescent="0.35">
      <c r="A3774" s="34">
        <v>30102412</v>
      </c>
      <c r="B3774" s="35" t="s">
        <v>11969</v>
      </c>
    </row>
    <row r="3775" spans="1:2" x14ac:dyDescent="0.35">
      <c r="A3775" s="34">
        <v>30102413</v>
      </c>
      <c r="B3775" s="35" t="s">
        <v>11760</v>
      </c>
    </row>
    <row r="3776" spans="1:2" x14ac:dyDescent="0.35">
      <c r="A3776" s="34">
        <v>30102414</v>
      </c>
      <c r="B3776" s="35" t="s">
        <v>11603</v>
      </c>
    </row>
    <row r="3777" spans="1:2" x14ac:dyDescent="0.35">
      <c r="A3777" s="34">
        <v>30102415</v>
      </c>
      <c r="B3777" s="35" t="s">
        <v>10902</v>
      </c>
    </row>
    <row r="3778" spans="1:2" x14ac:dyDescent="0.35">
      <c r="A3778" s="34">
        <v>30102416</v>
      </c>
      <c r="B3778" s="35" t="s">
        <v>2186</v>
      </c>
    </row>
    <row r="3779" spans="1:2" x14ac:dyDescent="0.35">
      <c r="A3779" s="34">
        <v>30102417</v>
      </c>
      <c r="B3779" s="35" t="s">
        <v>8248</v>
      </c>
    </row>
    <row r="3780" spans="1:2" x14ac:dyDescent="0.35">
      <c r="A3780" s="34">
        <v>30102501</v>
      </c>
      <c r="B3780" s="35" t="s">
        <v>16351</v>
      </c>
    </row>
    <row r="3781" spans="1:2" x14ac:dyDescent="0.35">
      <c r="A3781" s="34">
        <v>30102502</v>
      </c>
      <c r="B3781" s="35" t="s">
        <v>3866</v>
      </c>
    </row>
    <row r="3782" spans="1:2" x14ac:dyDescent="0.35">
      <c r="A3782" s="34">
        <v>30102503</v>
      </c>
      <c r="B3782" s="35" t="s">
        <v>1398</v>
      </c>
    </row>
    <row r="3783" spans="1:2" x14ac:dyDescent="0.35">
      <c r="A3783" s="34">
        <v>30102504</v>
      </c>
      <c r="B3783" s="35" t="s">
        <v>10005</v>
      </c>
    </row>
    <row r="3784" spans="1:2" x14ac:dyDescent="0.35">
      <c r="A3784" s="34">
        <v>30102505</v>
      </c>
      <c r="B3784" s="35" t="s">
        <v>851</v>
      </c>
    </row>
    <row r="3785" spans="1:2" x14ac:dyDescent="0.35">
      <c r="A3785" s="34">
        <v>30102506</v>
      </c>
      <c r="B3785" s="35" t="s">
        <v>2870</v>
      </c>
    </row>
    <row r="3786" spans="1:2" x14ac:dyDescent="0.35">
      <c r="A3786" s="34">
        <v>30102507</v>
      </c>
      <c r="B3786" s="35" t="s">
        <v>2157</v>
      </c>
    </row>
    <row r="3787" spans="1:2" x14ac:dyDescent="0.35">
      <c r="A3787" s="34">
        <v>30102508</v>
      </c>
      <c r="B3787" s="35" t="s">
        <v>12989</v>
      </c>
    </row>
    <row r="3788" spans="1:2" x14ac:dyDescent="0.35">
      <c r="A3788" s="34">
        <v>30102509</v>
      </c>
      <c r="B3788" s="35" t="s">
        <v>221</v>
      </c>
    </row>
    <row r="3789" spans="1:2" x14ac:dyDescent="0.35">
      <c r="A3789" s="34">
        <v>30102510</v>
      </c>
      <c r="B3789" s="35" t="s">
        <v>14669</v>
      </c>
    </row>
    <row r="3790" spans="1:2" x14ac:dyDescent="0.35">
      <c r="A3790" s="34">
        <v>30102511</v>
      </c>
      <c r="B3790" s="35" t="s">
        <v>14331</v>
      </c>
    </row>
    <row r="3791" spans="1:2" x14ac:dyDescent="0.35">
      <c r="A3791" s="34">
        <v>30102512</v>
      </c>
      <c r="B3791" s="35" t="s">
        <v>15127</v>
      </c>
    </row>
    <row r="3792" spans="1:2" x14ac:dyDescent="0.35">
      <c r="A3792" s="34">
        <v>30102513</v>
      </c>
      <c r="B3792" s="35" t="s">
        <v>17182</v>
      </c>
    </row>
    <row r="3793" spans="1:2" x14ac:dyDescent="0.35">
      <c r="A3793" s="34">
        <v>30102514</v>
      </c>
      <c r="B3793" s="35" t="s">
        <v>9879</v>
      </c>
    </row>
    <row r="3794" spans="1:2" x14ac:dyDescent="0.35">
      <c r="A3794" s="34">
        <v>30102515</v>
      </c>
      <c r="B3794" s="35" t="s">
        <v>14060</v>
      </c>
    </row>
    <row r="3795" spans="1:2" x14ac:dyDescent="0.35">
      <c r="A3795" s="34">
        <v>30102516</v>
      </c>
      <c r="B3795" s="35" t="s">
        <v>12506</v>
      </c>
    </row>
    <row r="3796" spans="1:2" x14ac:dyDescent="0.35">
      <c r="A3796" s="34">
        <v>30102517</v>
      </c>
      <c r="B3796" s="35" t="s">
        <v>14517</v>
      </c>
    </row>
    <row r="3797" spans="1:2" x14ac:dyDescent="0.35">
      <c r="A3797" s="34">
        <v>30102518</v>
      </c>
      <c r="B3797" s="35" t="s">
        <v>12328</v>
      </c>
    </row>
    <row r="3798" spans="1:2" x14ac:dyDescent="0.35">
      <c r="A3798" s="34">
        <v>30102519</v>
      </c>
      <c r="B3798" s="35" t="s">
        <v>14196</v>
      </c>
    </row>
    <row r="3799" spans="1:2" x14ac:dyDescent="0.35">
      <c r="A3799" s="34">
        <v>30102520</v>
      </c>
      <c r="B3799" s="35" t="s">
        <v>11811</v>
      </c>
    </row>
    <row r="3800" spans="1:2" x14ac:dyDescent="0.35">
      <c r="A3800" s="34">
        <v>30102521</v>
      </c>
      <c r="B3800" s="35" t="s">
        <v>18329</v>
      </c>
    </row>
    <row r="3801" spans="1:2" x14ac:dyDescent="0.35">
      <c r="A3801" s="34">
        <v>30102522</v>
      </c>
      <c r="B3801" s="35" t="s">
        <v>15390</v>
      </c>
    </row>
    <row r="3802" spans="1:2" x14ac:dyDescent="0.35">
      <c r="A3802" s="34">
        <v>30102523</v>
      </c>
      <c r="B3802" s="35" t="s">
        <v>6008</v>
      </c>
    </row>
    <row r="3803" spans="1:2" x14ac:dyDescent="0.35">
      <c r="A3803" s="34">
        <v>30102524</v>
      </c>
      <c r="B3803" s="35" t="s">
        <v>3972</v>
      </c>
    </row>
    <row r="3804" spans="1:2" x14ac:dyDescent="0.35">
      <c r="A3804" s="34">
        <v>30102525</v>
      </c>
      <c r="B3804" s="35" t="s">
        <v>17541</v>
      </c>
    </row>
    <row r="3805" spans="1:2" x14ac:dyDescent="0.35">
      <c r="A3805" s="34">
        <v>30102526</v>
      </c>
      <c r="B3805" s="35" t="s">
        <v>977</v>
      </c>
    </row>
    <row r="3806" spans="1:2" x14ac:dyDescent="0.35">
      <c r="A3806" s="34">
        <v>30102601</v>
      </c>
      <c r="B3806" s="35" t="s">
        <v>17844</v>
      </c>
    </row>
    <row r="3807" spans="1:2" x14ac:dyDescent="0.35">
      <c r="A3807" s="34">
        <v>30102602</v>
      </c>
      <c r="B3807" s="35" t="s">
        <v>6469</v>
      </c>
    </row>
    <row r="3808" spans="1:2" x14ac:dyDescent="0.35">
      <c r="A3808" s="34">
        <v>30102603</v>
      </c>
      <c r="B3808" s="35" t="s">
        <v>6283</v>
      </c>
    </row>
    <row r="3809" spans="1:2" x14ac:dyDescent="0.35">
      <c r="A3809" s="34">
        <v>30102604</v>
      </c>
      <c r="B3809" s="35" t="s">
        <v>19369</v>
      </c>
    </row>
    <row r="3810" spans="1:2" x14ac:dyDescent="0.35">
      <c r="A3810" s="34">
        <v>30102605</v>
      </c>
      <c r="B3810" s="35" t="s">
        <v>16166</v>
      </c>
    </row>
    <row r="3811" spans="1:2" x14ac:dyDescent="0.35">
      <c r="A3811" s="34">
        <v>30102606</v>
      </c>
      <c r="B3811" s="35" t="s">
        <v>4287</v>
      </c>
    </row>
    <row r="3812" spans="1:2" x14ac:dyDescent="0.35">
      <c r="A3812" s="34">
        <v>30102607</v>
      </c>
      <c r="B3812" s="35" t="s">
        <v>16820</v>
      </c>
    </row>
    <row r="3813" spans="1:2" x14ac:dyDescent="0.35">
      <c r="A3813" s="34">
        <v>30102608</v>
      </c>
      <c r="B3813" s="35" t="s">
        <v>18648</v>
      </c>
    </row>
    <row r="3814" spans="1:2" x14ac:dyDescent="0.35">
      <c r="A3814" s="34">
        <v>30102609</v>
      </c>
      <c r="B3814" s="35" t="s">
        <v>18926</v>
      </c>
    </row>
    <row r="3815" spans="1:2" x14ac:dyDescent="0.35">
      <c r="A3815" s="34">
        <v>30102610</v>
      </c>
      <c r="B3815" s="35" t="s">
        <v>9802</v>
      </c>
    </row>
    <row r="3816" spans="1:2" x14ac:dyDescent="0.35">
      <c r="A3816" s="34">
        <v>30102611</v>
      </c>
      <c r="B3816" s="35" t="s">
        <v>4142</v>
      </c>
    </row>
    <row r="3817" spans="1:2" x14ac:dyDescent="0.35">
      <c r="A3817" s="34">
        <v>30102612</v>
      </c>
      <c r="B3817" s="35" t="s">
        <v>13908</v>
      </c>
    </row>
    <row r="3818" spans="1:2" x14ac:dyDescent="0.35">
      <c r="A3818" s="34">
        <v>30102613</v>
      </c>
      <c r="B3818" s="35" t="s">
        <v>9318</v>
      </c>
    </row>
    <row r="3819" spans="1:2" x14ac:dyDescent="0.35">
      <c r="A3819" s="34">
        <v>30102614</v>
      </c>
      <c r="B3819" s="35" t="s">
        <v>17385</v>
      </c>
    </row>
    <row r="3820" spans="1:2" x14ac:dyDescent="0.35">
      <c r="A3820" s="34">
        <v>30102615</v>
      </c>
      <c r="B3820" s="35" t="s">
        <v>14821</v>
      </c>
    </row>
    <row r="3821" spans="1:2" x14ac:dyDescent="0.35">
      <c r="A3821" s="34">
        <v>30102616</v>
      </c>
      <c r="B3821" s="35" t="s">
        <v>12237</v>
      </c>
    </row>
    <row r="3822" spans="1:2" x14ac:dyDescent="0.35">
      <c r="A3822" s="34">
        <v>30102801</v>
      </c>
      <c r="B3822" s="35" t="s">
        <v>5220</v>
      </c>
    </row>
    <row r="3823" spans="1:2" x14ac:dyDescent="0.35">
      <c r="A3823" s="34">
        <v>30102802</v>
      </c>
      <c r="B3823" s="35" t="s">
        <v>7367</v>
      </c>
    </row>
    <row r="3824" spans="1:2" x14ac:dyDescent="0.35">
      <c r="A3824" s="34">
        <v>30102803</v>
      </c>
      <c r="B3824" s="35" t="s">
        <v>5378</v>
      </c>
    </row>
    <row r="3825" spans="1:2" x14ac:dyDescent="0.35">
      <c r="A3825" s="34">
        <v>30102901</v>
      </c>
      <c r="B3825" s="35" t="s">
        <v>12589</v>
      </c>
    </row>
    <row r="3826" spans="1:2" x14ac:dyDescent="0.35">
      <c r="A3826" s="34">
        <v>30102903</v>
      </c>
      <c r="B3826" s="35" t="s">
        <v>19600</v>
      </c>
    </row>
    <row r="3827" spans="1:2" x14ac:dyDescent="0.35">
      <c r="A3827" s="34">
        <v>30102904</v>
      </c>
      <c r="B3827" s="35" t="s">
        <v>5550</v>
      </c>
    </row>
    <row r="3828" spans="1:2" x14ac:dyDescent="0.35">
      <c r="A3828" s="34">
        <v>30102905</v>
      </c>
      <c r="B3828" s="35" t="s">
        <v>2657</v>
      </c>
    </row>
    <row r="3829" spans="1:2" x14ac:dyDescent="0.35">
      <c r="A3829" s="34">
        <v>30102906</v>
      </c>
      <c r="B3829" s="35" t="s">
        <v>16046</v>
      </c>
    </row>
    <row r="3830" spans="1:2" x14ac:dyDescent="0.35">
      <c r="A3830" s="34">
        <v>30103001</v>
      </c>
      <c r="B3830" s="35" t="s">
        <v>6032</v>
      </c>
    </row>
    <row r="3831" spans="1:2" x14ac:dyDescent="0.35">
      <c r="A3831" s="34">
        <v>30103002</v>
      </c>
      <c r="B3831" s="35" t="s">
        <v>18627</v>
      </c>
    </row>
    <row r="3832" spans="1:2" x14ac:dyDescent="0.35">
      <c r="A3832" s="34">
        <v>30103101</v>
      </c>
      <c r="B3832" s="35" t="s">
        <v>2731</v>
      </c>
    </row>
    <row r="3833" spans="1:2" x14ac:dyDescent="0.35">
      <c r="A3833" s="34">
        <v>30103102</v>
      </c>
      <c r="B3833" s="35" t="s">
        <v>16554</v>
      </c>
    </row>
    <row r="3834" spans="1:2" x14ac:dyDescent="0.35">
      <c r="A3834" s="34">
        <v>30103103</v>
      </c>
      <c r="B3834" s="35" t="s">
        <v>5024</v>
      </c>
    </row>
    <row r="3835" spans="1:2" x14ac:dyDescent="0.35">
      <c r="A3835" s="34">
        <v>30103201</v>
      </c>
      <c r="B3835" s="35" t="s">
        <v>6708</v>
      </c>
    </row>
    <row r="3836" spans="1:2" x14ac:dyDescent="0.35">
      <c r="A3836" s="34">
        <v>30103202</v>
      </c>
      <c r="B3836" s="35" t="s">
        <v>4456</v>
      </c>
    </row>
    <row r="3837" spans="1:2" x14ac:dyDescent="0.35">
      <c r="A3837" s="34">
        <v>30103203</v>
      </c>
      <c r="B3837" s="35" t="s">
        <v>13938</v>
      </c>
    </row>
    <row r="3838" spans="1:2" x14ac:dyDescent="0.35">
      <c r="A3838" s="34">
        <v>30103204</v>
      </c>
      <c r="B3838" s="35" t="s">
        <v>18391</v>
      </c>
    </row>
    <row r="3839" spans="1:2" x14ac:dyDescent="0.35">
      <c r="A3839" s="34">
        <v>30103205</v>
      </c>
      <c r="B3839" s="35" t="s">
        <v>11713</v>
      </c>
    </row>
    <row r="3840" spans="1:2" x14ac:dyDescent="0.35">
      <c r="A3840" s="34">
        <v>30103206</v>
      </c>
      <c r="B3840" s="35" t="s">
        <v>19653</v>
      </c>
    </row>
    <row r="3841" spans="1:2" x14ac:dyDescent="0.35">
      <c r="A3841" s="34">
        <v>30103301</v>
      </c>
      <c r="B3841" s="35" t="s">
        <v>5464</v>
      </c>
    </row>
    <row r="3842" spans="1:2" x14ac:dyDescent="0.35">
      <c r="A3842" s="34">
        <v>30103302</v>
      </c>
      <c r="B3842" s="35" t="s">
        <v>12759</v>
      </c>
    </row>
    <row r="3843" spans="1:2" x14ac:dyDescent="0.35">
      <c r="A3843" s="34">
        <v>30103303</v>
      </c>
      <c r="B3843" s="35" t="s">
        <v>15099</v>
      </c>
    </row>
    <row r="3844" spans="1:2" x14ac:dyDescent="0.35">
      <c r="A3844" s="34">
        <v>30103304</v>
      </c>
      <c r="B3844" s="35" t="s">
        <v>2906</v>
      </c>
    </row>
    <row r="3845" spans="1:2" x14ac:dyDescent="0.35">
      <c r="A3845" s="34">
        <v>30103305</v>
      </c>
      <c r="B3845" s="35" t="s">
        <v>2653</v>
      </c>
    </row>
    <row r="3846" spans="1:2" x14ac:dyDescent="0.35">
      <c r="A3846" s="34">
        <v>30103306</v>
      </c>
      <c r="B3846" s="35" t="s">
        <v>1826</v>
      </c>
    </row>
    <row r="3847" spans="1:2" x14ac:dyDescent="0.35">
      <c r="A3847" s="34">
        <v>30103307</v>
      </c>
      <c r="B3847" s="35" t="s">
        <v>13827</v>
      </c>
    </row>
    <row r="3848" spans="1:2" x14ac:dyDescent="0.35">
      <c r="A3848" s="34">
        <v>30103308</v>
      </c>
      <c r="B3848" s="35" t="s">
        <v>701</v>
      </c>
    </row>
    <row r="3849" spans="1:2" x14ac:dyDescent="0.35">
      <c r="A3849" s="34">
        <v>30103309</v>
      </c>
      <c r="B3849" s="35" t="s">
        <v>9243</v>
      </c>
    </row>
    <row r="3850" spans="1:2" x14ac:dyDescent="0.35">
      <c r="A3850" s="34">
        <v>30103310</v>
      </c>
      <c r="B3850" s="35" t="s">
        <v>5145</v>
      </c>
    </row>
    <row r="3851" spans="1:2" x14ac:dyDescent="0.35">
      <c r="A3851" s="34">
        <v>30103311</v>
      </c>
      <c r="B3851" s="35" t="s">
        <v>6936</v>
      </c>
    </row>
    <row r="3852" spans="1:2" x14ac:dyDescent="0.35">
      <c r="A3852" s="34">
        <v>30103312</v>
      </c>
      <c r="B3852" s="35" t="s">
        <v>12334</v>
      </c>
    </row>
    <row r="3853" spans="1:2" x14ac:dyDescent="0.35">
      <c r="A3853" s="34">
        <v>30103313</v>
      </c>
      <c r="B3853" s="35" t="s">
        <v>823</v>
      </c>
    </row>
    <row r="3854" spans="1:2" x14ac:dyDescent="0.35">
      <c r="A3854" s="34">
        <v>30103401</v>
      </c>
      <c r="B3854" s="35" t="s">
        <v>17151</v>
      </c>
    </row>
    <row r="3855" spans="1:2" x14ac:dyDescent="0.35">
      <c r="A3855" s="34">
        <v>30103402</v>
      </c>
      <c r="B3855" s="35" t="s">
        <v>16817</v>
      </c>
    </row>
    <row r="3856" spans="1:2" x14ac:dyDescent="0.35">
      <c r="A3856" s="34">
        <v>30103403</v>
      </c>
      <c r="B3856" s="35" t="s">
        <v>10708</v>
      </c>
    </row>
    <row r="3857" spans="1:2" x14ac:dyDescent="0.35">
      <c r="A3857" s="34">
        <v>30103404</v>
      </c>
      <c r="B3857" s="35" t="s">
        <v>1312</v>
      </c>
    </row>
    <row r="3858" spans="1:2" x14ac:dyDescent="0.35">
      <c r="A3858" s="34">
        <v>30103405</v>
      </c>
      <c r="B3858" s="35" t="s">
        <v>18553</v>
      </c>
    </row>
    <row r="3859" spans="1:2" x14ac:dyDescent="0.35">
      <c r="A3859" s="34">
        <v>30103406</v>
      </c>
      <c r="B3859" s="35" t="s">
        <v>1715</v>
      </c>
    </row>
    <row r="3860" spans="1:2" x14ac:dyDescent="0.35">
      <c r="A3860" s="34">
        <v>30103407</v>
      </c>
      <c r="B3860" s="35" t="s">
        <v>12787</v>
      </c>
    </row>
    <row r="3861" spans="1:2" x14ac:dyDescent="0.35">
      <c r="A3861" s="34">
        <v>30103408</v>
      </c>
      <c r="B3861" s="35" t="s">
        <v>6765</v>
      </c>
    </row>
    <row r="3862" spans="1:2" x14ac:dyDescent="0.35">
      <c r="A3862" s="34">
        <v>30103409</v>
      </c>
      <c r="B3862" s="35" t="s">
        <v>2268</v>
      </c>
    </row>
    <row r="3863" spans="1:2" x14ac:dyDescent="0.35">
      <c r="A3863" s="34">
        <v>30103410</v>
      </c>
      <c r="B3863" s="35" t="s">
        <v>6552</v>
      </c>
    </row>
    <row r="3864" spans="1:2" x14ac:dyDescent="0.35">
      <c r="A3864" s="34">
        <v>30103411</v>
      </c>
      <c r="B3864" s="35" t="s">
        <v>2757</v>
      </c>
    </row>
    <row r="3865" spans="1:2" x14ac:dyDescent="0.35">
      <c r="A3865" s="34">
        <v>30103412</v>
      </c>
      <c r="B3865" s="35" t="s">
        <v>4901</v>
      </c>
    </row>
    <row r="3866" spans="1:2" x14ac:dyDescent="0.35">
      <c r="A3866" s="34">
        <v>30103413</v>
      </c>
      <c r="B3866" s="35" t="s">
        <v>10029</v>
      </c>
    </row>
    <row r="3867" spans="1:2" x14ac:dyDescent="0.35">
      <c r="A3867" s="34">
        <v>30103501</v>
      </c>
      <c r="B3867" s="35" t="s">
        <v>14739</v>
      </c>
    </row>
    <row r="3868" spans="1:2" x14ac:dyDescent="0.35">
      <c r="A3868" s="34">
        <v>30103502</v>
      </c>
      <c r="B3868" s="35" t="s">
        <v>1254</v>
      </c>
    </row>
    <row r="3869" spans="1:2" x14ac:dyDescent="0.35">
      <c r="A3869" s="34">
        <v>30103503</v>
      </c>
      <c r="B3869" s="35" t="s">
        <v>13644</v>
      </c>
    </row>
    <row r="3870" spans="1:2" x14ac:dyDescent="0.35">
      <c r="A3870" s="34">
        <v>30103504</v>
      </c>
      <c r="B3870" s="35" t="s">
        <v>16215</v>
      </c>
    </row>
    <row r="3871" spans="1:2" x14ac:dyDescent="0.35">
      <c r="A3871" s="34">
        <v>30103505</v>
      </c>
      <c r="B3871" s="35" t="s">
        <v>13224</v>
      </c>
    </row>
    <row r="3872" spans="1:2" x14ac:dyDescent="0.35">
      <c r="A3872" s="34">
        <v>30103506</v>
      </c>
      <c r="B3872" s="35" t="s">
        <v>9383</v>
      </c>
    </row>
    <row r="3873" spans="1:2" x14ac:dyDescent="0.35">
      <c r="A3873" s="34">
        <v>30103507</v>
      </c>
      <c r="B3873" s="35" t="s">
        <v>12744</v>
      </c>
    </row>
    <row r="3874" spans="1:2" x14ac:dyDescent="0.35">
      <c r="A3874" s="34">
        <v>30103508</v>
      </c>
      <c r="B3874" s="35" t="s">
        <v>10823</v>
      </c>
    </row>
    <row r="3875" spans="1:2" x14ac:dyDescent="0.35">
      <c r="A3875" s="34">
        <v>30103509</v>
      </c>
      <c r="B3875" s="35" t="s">
        <v>12167</v>
      </c>
    </row>
    <row r="3876" spans="1:2" x14ac:dyDescent="0.35">
      <c r="A3876" s="34">
        <v>30103510</v>
      </c>
      <c r="B3876" s="35" t="s">
        <v>7900</v>
      </c>
    </row>
    <row r="3877" spans="1:2" x14ac:dyDescent="0.35">
      <c r="A3877" s="34">
        <v>30103511</v>
      </c>
      <c r="B3877" s="35" t="s">
        <v>18905</v>
      </c>
    </row>
    <row r="3878" spans="1:2" x14ac:dyDescent="0.35">
      <c r="A3878" s="34">
        <v>30103512</v>
      </c>
      <c r="B3878" s="35" t="s">
        <v>6914</v>
      </c>
    </row>
    <row r="3879" spans="1:2" x14ac:dyDescent="0.35">
      <c r="A3879" s="34">
        <v>30103513</v>
      </c>
      <c r="B3879" s="35" t="s">
        <v>3171</v>
      </c>
    </row>
    <row r="3880" spans="1:2" x14ac:dyDescent="0.35">
      <c r="A3880" s="34">
        <v>30103514</v>
      </c>
      <c r="B3880" s="35" t="s">
        <v>4146</v>
      </c>
    </row>
    <row r="3881" spans="1:2" x14ac:dyDescent="0.35">
      <c r="A3881" s="34">
        <v>30103515</v>
      </c>
      <c r="B3881" s="35" t="s">
        <v>2019</v>
      </c>
    </row>
    <row r="3882" spans="1:2" x14ac:dyDescent="0.35">
      <c r="A3882" s="34">
        <v>30103601</v>
      </c>
      <c r="B3882" s="35" t="s">
        <v>11958</v>
      </c>
    </row>
    <row r="3883" spans="1:2" x14ac:dyDescent="0.35">
      <c r="A3883" s="34">
        <v>30103602</v>
      </c>
      <c r="B3883" s="35" t="s">
        <v>12481</v>
      </c>
    </row>
    <row r="3884" spans="1:2" x14ac:dyDescent="0.35">
      <c r="A3884" s="34">
        <v>30103603</v>
      </c>
      <c r="B3884" s="35" t="s">
        <v>7119</v>
      </c>
    </row>
    <row r="3885" spans="1:2" x14ac:dyDescent="0.35">
      <c r="A3885" s="34">
        <v>30103604</v>
      </c>
      <c r="B3885" s="35" t="s">
        <v>19230</v>
      </c>
    </row>
    <row r="3886" spans="1:2" x14ac:dyDescent="0.35">
      <c r="A3886" s="34">
        <v>30103605</v>
      </c>
      <c r="B3886" s="35" t="s">
        <v>12047</v>
      </c>
    </row>
    <row r="3887" spans="1:2" x14ac:dyDescent="0.35">
      <c r="A3887" s="34">
        <v>30103606</v>
      </c>
      <c r="B3887" s="35" t="s">
        <v>15807</v>
      </c>
    </row>
    <row r="3888" spans="1:2" x14ac:dyDescent="0.35">
      <c r="A3888" s="34">
        <v>30103607</v>
      </c>
      <c r="B3888" s="35" t="s">
        <v>9085</v>
      </c>
    </row>
    <row r="3889" spans="1:2" x14ac:dyDescent="0.35">
      <c r="A3889" s="34">
        <v>30103608</v>
      </c>
      <c r="B3889" s="35" t="s">
        <v>11839</v>
      </c>
    </row>
    <row r="3890" spans="1:2" x14ac:dyDescent="0.35">
      <c r="A3890" s="34">
        <v>30103701</v>
      </c>
      <c r="B3890" s="35" t="s">
        <v>5519</v>
      </c>
    </row>
    <row r="3891" spans="1:2" x14ac:dyDescent="0.35">
      <c r="A3891" s="34">
        <v>30111501</v>
      </c>
      <c r="B3891" s="35" t="s">
        <v>9622</v>
      </c>
    </row>
    <row r="3892" spans="1:2" x14ac:dyDescent="0.35">
      <c r="A3892" s="34">
        <v>30111502</v>
      </c>
      <c r="B3892" s="35" t="s">
        <v>11770</v>
      </c>
    </row>
    <row r="3893" spans="1:2" x14ac:dyDescent="0.35">
      <c r="A3893" s="34">
        <v>30111503</v>
      </c>
      <c r="B3893" s="35" t="s">
        <v>15666</v>
      </c>
    </row>
    <row r="3894" spans="1:2" x14ac:dyDescent="0.35">
      <c r="A3894" s="34">
        <v>30111504</v>
      </c>
      <c r="B3894" s="35" t="s">
        <v>13408</v>
      </c>
    </row>
    <row r="3895" spans="1:2" x14ac:dyDescent="0.35">
      <c r="A3895" s="34">
        <v>30111601</v>
      </c>
      <c r="B3895" s="35" t="s">
        <v>13358</v>
      </c>
    </row>
    <row r="3896" spans="1:2" x14ac:dyDescent="0.35">
      <c r="A3896" s="34">
        <v>30111602</v>
      </c>
      <c r="B3896" s="35" t="s">
        <v>1079</v>
      </c>
    </row>
    <row r="3897" spans="1:2" x14ac:dyDescent="0.35">
      <c r="A3897" s="34">
        <v>30111603</v>
      </c>
      <c r="B3897" s="35" t="s">
        <v>374</v>
      </c>
    </row>
    <row r="3898" spans="1:2" x14ac:dyDescent="0.35">
      <c r="A3898" s="34">
        <v>30111604</v>
      </c>
      <c r="B3898" s="35" t="s">
        <v>19517</v>
      </c>
    </row>
    <row r="3899" spans="1:2" x14ac:dyDescent="0.35">
      <c r="A3899" s="34">
        <v>30111605</v>
      </c>
      <c r="B3899" s="35" t="s">
        <v>3634</v>
      </c>
    </row>
    <row r="3900" spans="1:2" x14ac:dyDescent="0.35">
      <c r="A3900" s="34">
        <v>30111606</v>
      </c>
      <c r="B3900" s="35" t="s">
        <v>175</v>
      </c>
    </row>
    <row r="3901" spans="1:2" x14ac:dyDescent="0.35">
      <c r="A3901" s="34">
        <v>30111607</v>
      </c>
      <c r="B3901" s="35" t="s">
        <v>7972</v>
      </c>
    </row>
    <row r="3902" spans="1:2" x14ac:dyDescent="0.35">
      <c r="A3902" s="34">
        <v>30111701</v>
      </c>
      <c r="B3902" s="35" t="s">
        <v>9296</v>
      </c>
    </row>
    <row r="3903" spans="1:2" x14ac:dyDescent="0.35">
      <c r="A3903" s="34">
        <v>30121501</v>
      </c>
      <c r="B3903" s="35" t="s">
        <v>13962</v>
      </c>
    </row>
    <row r="3904" spans="1:2" x14ac:dyDescent="0.35">
      <c r="A3904" s="34">
        <v>30121503</v>
      </c>
      <c r="B3904" s="35" t="s">
        <v>6066</v>
      </c>
    </row>
    <row r="3905" spans="1:2" x14ac:dyDescent="0.35">
      <c r="A3905" s="34">
        <v>30121601</v>
      </c>
      <c r="B3905" s="35" t="s">
        <v>10933</v>
      </c>
    </row>
    <row r="3906" spans="1:2" x14ac:dyDescent="0.35">
      <c r="A3906" s="34">
        <v>30121602</v>
      </c>
      <c r="B3906" s="35" t="s">
        <v>18131</v>
      </c>
    </row>
    <row r="3907" spans="1:2" x14ac:dyDescent="0.35">
      <c r="A3907" s="34">
        <v>30121603</v>
      </c>
      <c r="B3907" s="35" t="s">
        <v>2804</v>
      </c>
    </row>
    <row r="3908" spans="1:2" x14ac:dyDescent="0.35">
      <c r="A3908" s="34">
        <v>30121604</v>
      </c>
      <c r="B3908" s="35" t="s">
        <v>4911</v>
      </c>
    </row>
    <row r="3909" spans="1:2" x14ac:dyDescent="0.35">
      <c r="A3909" s="34">
        <v>30121605</v>
      </c>
      <c r="B3909" s="35" t="s">
        <v>8501</v>
      </c>
    </row>
    <row r="3910" spans="1:2" x14ac:dyDescent="0.35">
      <c r="A3910" s="34">
        <v>30131501</v>
      </c>
      <c r="B3910" s="35" t="s">
        <v>3889</v>
      </c>
    </row>
    <row r="3911" spans="1:2" x14ac:dyDescent="0.35">
      <c r="A3911" s="34">
        <v>30131502</v>
      </c>
      <c r="B3911" s="35" t="s">
        <v>4190</v>
      </c>
    </row>
    <row r="3912" spans="1:2" x14ac:dyDescent="0.35">
      <c r="A3912" s="34">
        <v>30131503</v>
      </c>
      <c r="B3912" s="35" t="s">
        <v>3004</v>
      </c>
    </row>
    <row r="3913" spans="1:2" x14ac:dyDescent="0.35">
      <c r="A3913" s="34">
        <v>30131504</v>
      </c>
      <c r="B3913" s="35" t="s">
        <v>2868</v>
      </c>
    </row>
    <row r="3914" spans="1:2" x14ac:dyDescent="0.35">
      <c r="A3914" s="34">
        <v>30131601</v>
      </c>
      <c r="B3914" s="35" t="s">
        <v>5887</v>
      </c>
    </row>
    <row r="3915" spans="1:2" x14ac:dyDescent="0.35">
      <c r="A3915" s="34">
        <v>30131602</v>
      </c>
      <c r="B3915" s="35" t="s">
        <v>5419</v>
      </c>
    </row>
    <row r="3916" spans="1:2" x14ac:dyDescent="0.35">
      <c r="A3916" s="34">
        <v>30131603</v>
      </c>
      <c r="B3916" s="35" t="s">
        <v>14950</v>
      </c>
    </row>
    <row r="3917" spans="1:2" x14ac:dyDescent="0.35">
      <c r="A3917" s="34">
        <v>30131604</v>
      </c>
      <c r="B3917" s="35" t="s">
        <v>8445</v>
      </c>
    </row>
    <row r="3918" spans="1:2" x14ac:dyDescent="0.35">
      <c r="A3918" s="34">
        <v>30131701</v>
      </c>
      <c r="B3918" s="35" t="s">
        <v>4094</v>
      </c>
    </row>
    <row r="3919" spans="1:2" x14ac:dyDescent="0.35">
      <c r="A3919" s="34">
        <v>30131702</v>
      </c>
      <c r="B3919" s="35" t="s">
        <v>736</v>
      </c>
    </row>
    <row r="3920" spans="1:2" x14ac:dyDescent="0.35">
      <c r="A3920" s="34">
        <v>30131703</v>
      </c>
      <c r="B3920" s="35" t="s">
        <v>15865</v>
      </c>
    </row>
    <row r="3921" spans="1:2" x14ac:dyDescent="0.35">
      <c r="A3921" s="34">
        <v>30131704</v>
      </c>
      <c r="B3921" s="35" t="s">
        <v>3621</v>
      </c>
    </row>
    <row r="3922" spans="1:2" x14ac:dyDescent="0.35">
      <c r="A3922" s="34">
        <v>30131705</v>
      </c>
      <c r="B3922" s="35" t="s">
        <v>16834</v>
      </c>
    </row>
    <row r="3923" spans="1:2" x14ac:dyDescent="0.35">
      <c r="A3923" s="34">
        <v>30141501</v>
      </c>
      <c r="B3923" s="35" t="s">
        <v>1614</v>
      </c>
    </row>
    <row r="3924" spans="1:2" x14ac:dyDescent="0.35">
      <c r="A3924" s="34">
        <v>30141502</v>
      </c>
      <c r="B3924" s="35" t="s">
        <v>12061</v>
      </c>
    </row>
    <row r="3925" spans="1:2" x14ac:dyDescent="0.35">
      <c r="A3925" s="34">
        <v>30141503</v>
      </c>
      <c r="B3925" s="35" t="s">
        <v>14335</v>
      </c>
    </row>
    <row r="3926" spans="1:2" x14ac:dyDescent="0.35">
      <c r="A3926" s="34">
        <v>30141504</v>
      </c>
      <c r="B3926" s="35" t="s">
        <v>13622</v>
      </c>
    </row>
    <row r="3927" spans="1:2" x14ac:dyDescent="0.35">
      <c r="A3927" s="34">
        <v>30141505</v>
      </c>
      <c r="B3927" s="35" t="s">
        <v>4149</v>
      </c>
    </row>
    <row r="3928" spans="1:2" x14ac:dyDescent="0.35">
      <c r="A3928" s="34">
        <v>30141506</v>
      </c>
      <c r="B3928" s="35" t="s">
        <v>858</v>
      </c>
    </row>
    <row r="3929" spans="1:2" x14ac:dyDescent="0.35">
      <c r="A3929" s="34">
        <v>30141507</v>
      </c>
      <c r="B3929" s="35" t="s">
        <v>9832</v>
      </c>
    </row>
    <row r="3930" spans="1:2" x14ac:dyDescent="0.35">
      <c r="A3930" s="34">
        <v>30141508</v>
      </c>
      <c r="B3930" s="35" t="s">
        <v>5861</v>
      </c>
    </row>
    <row r="3931" spans="1:2" x14ac:dyDescent="0.35">
      <c r="A3931" s="34">
        <v>30141510</v>
      </c>
      <c r="B3931" s="35" t="s">
        <v>12319</v>
      </c>
    </row>
    <row r="3932" spans="1:2" x14ac:dyDescent="0.35">
      <c r="A3932" s="34">
        <v>30141511</v>
      </c>
      <c r="B3932" s="35" t="s">
        <v>17499</v>
      </c>
    </row>
    <row r="3933" spans="1:2" x14ac:dyDescent="0.35">
      <c r="A3933" s="34">
        <v>30141512</v>
      </c>
      <c r="B3933" s="35" t="s">
        <v>16746</v>
      </c>
    </row>
    <row r="3934" spans="1:2" x14ac:dyDescent="0.35">
      <c r="A3934" s="34">
        <v>30141513</v>
      </c>
      <c r="B3934" s="35" t="s">
        <v>16512</v>
      </c>
    </row>
    <row r="3935" spans="1:2" x14ac:dyDescent="0.35">
      <c r="A3935" s="34">
        <v>30141601</v>
      </c>
      <c r="B3935" s="35" t="s">
        <v>1873</v>
      </c>
    </row>
    <row r="3936" spans="1:2" x14ac:dyDescent="0.35">
      <c r="A3936" s="34">
        <v>30141602</v>
      </c>
      <c r="B3936" s="35" t="s">
        <v>19195</v>
      </c>
    </row>
    <row r="3937" spans="1:2" x14ac:dyDescent="0.35">
      <c r="A3937" s="34">
        <v>30141603</v>
      </c>
      <c r="B3937" s="35" t="s">
        <v>13119</v>
      </c>
    </row>
    <row r="3938" spans="1:2" x14ac:dyDescent="0.35">
      <c r="A3938" s="34">
        <v>30151501</v>
      </c>
      <c r="B3938" s="35" t="s">
        <v>13851</v>
      </c>
    </row>
    <row r="3939" spans="1:2" x14ac:dyDescent="0.35">
      <c r="A3939" s="34">
        <v>30151502</v>
      </c>
      <c r="B3939" s="35" t="s">
        <v>6818</v>
      </c>
    </row>
    <row r="3940" spans="1:2" x14ac:dyDescent="0.35">
      <c r="A3940" s="34">
        <v>30151503</v>
      </c>
      <c r="B3940" s="35" t="s">
        <v>10464</v>
      </c>
    </row>
    <row r="3941" spans="1:2" x14ac:dyDescent="0.35">
      <c r="A3941" s="34">
        <v>30151504</v>
      </c>
      <c r="B3941" s="35" t="s">
        <v>9049</v>
      </c>
    </row>
    <row r="3942" spans="1:2" x14ac:dyDescent="0.35">
      <c r="A3942" s="34">
        <v>30151505</v>
      </c>
      <c r="B3942" s="35" t="s">
        <v>13464</v>
      </c>
    </row>
    <row r="3943" spans="1:2" x14ac:dyDescent="0.35">
      <c r="A3943" s="34">
        <v>30151506</v>
      </c>
      <c r="B3943" s="35" t="s">
        <v>7667</v>
      </c>
    </row>
    <row r="3944" spans="1:2" x14ac:dyDescent="0.35">
      <c r="A3944" s="34">
        <v>30151507</v>
      </c>
      <c r="B3944" s="35" t="s">
        <v>9857</v>
      </c>
    </row>
    <row r="3945" spans="1:2" x14ac:dyDescent="0.35">
      <c r="A3945" s="34">
        <v>30151508</v>
      </c>
      <c r="B3945" s="35" t="s">
        <v>8771</v>
      </c>
    </row>
    <row r="3946" spans="1:2" x14ac:dyDescent="0.35">
      <c r="A3946" s="34">
        <v>30151509</v>
      </c>
      <c r="B3946" s="35" t="s">
        <v>14613</v>
      </c>
    </row>
    <row r="3947" spans="1:2" x14ac:dyDescent="0.35">
      <c r="A3947" s="34">
        <v>30151510</v>
      </c>
      <c r="B3947" s="35" t="s">
        <v>12814</v>
      </c>
    </row>
    <row r="3948" spans="1:2" x14ac:dyDescent="0.35">
      <c r="A3948" s="34">
        <v>30151601</v>
      </c>
      <c r="B3948" s="35" t="s">
        <v>17365</v>
      </c>
    </row>
    <row r="3949" spans="1:2" x14ac:dyDescent="0.35">
      <c r="A3949" s="34">
        <v>30151602</v>
      </c>
      <c r="B3949" s="35" t="s">
        <v>17317</v>
      </c>
    </row>
    <row r="3950" spans="1:2" x14ac:dyDescent="0.35">
      <c r="A3950" s="34">
        <v>30151603</v>
      </c>
      <c r="B3950" s="35" t="s">
        <v>955</v>
      </c>
    </row>
    <row r="3951" spans="1:2" x14ac:dyDescent="0.35">
      <c r="A3951" s="34">
        <v>30151604</v>
      </c>
      <c r="B3951" s="35" t="s">
        <v>1040</v>
      </c>
    </row>
    <row r="3952" spans="1:2" x14ac:dyDescent="0.35">
      <c r="A3952" s="34">
        <v>30151605</v>
      </c>
      <c r="B3952" s="35" t="s">
        <v>7403</v>
      </c>
    </row>
    <row r="3953" spans="1:2" x14ac:dyDescent="0.35">
      <c r="A3953" s="34">
        <v>30151606</v>
      </c>
      <c r="B3953" s="35" t="s">
        <v>16138</v>
      </c>
    </row>
    <row r="3954" spans="1:2" x14ac:dyDescent="0.35">
      <c r="A3954" s="34">
        <v>30151607</v>
      </c>
      <c r="B3954" s="35" t="s">
        <v>14310</v>
      </c>
    </row>
    <row r="3955" spans="1:2" x14ac:dyDescent="0.35">
      <c r="A3955" s="34">
        <v>30151608</v>
      </c>
      <c r="B3955" s="35" t="s">
        <v>15527</v>
      </c>
    </row>
    <row r="3956" spans="1:2" x14ac:dyDescent="0.35">
      <c r="A3956" s="34">
        <v>30151609</v>
      </c>
      <c r="B3956" s="35" t="s">
        <v>17204</v>
      </c>
    </row>
    <row r="3957" spans="1:2" x14ac:dyDescent="0.35">
      <c r="A3957" s="34">
        <v>30151610</v>
      </c>
      <c r="B3957" s="35" t="s">
        <v>5135</v>
      </c>
    </row>
    <row r="3958" spans="1:2" x14ac:dyDescent="0.35">
      <c r="A3958" s="34">
        <v>30151701</v>
      </c>
      <c r="B3958" s="35" t="s">
        <v>11836</v>
      </c>
    </row>
    <row r="3959" spans="1:2" x14ac:dyDescent="0.35">
      <c r="A3959" s="34">
        <v>30151702</v>
      </c>
      <c r="B3959" s="35" t="s">
        <v>10732</v>
      </c>
    </row>
    <row r="3960" spans="1:2" x14ac:dyDescent="0.35">
      <c r="A3960" s="34">
        <v>30151703</v>
      </c>
      <c r="B3960" s="35" t="s">
        <v>5791</v>
      </c>
    </row>
    <row r="3961" spans="1:2" x14ac:dyDescent="0.35">
      <c r="A3961" s="34">
        <v>30151704</v>
      </c>
      <c r="B3961" s="35" t="s">
        <v>12514</v>
      </c>
    </row>
    <row r="3962" spans="1:2" x14ac:dyDescent="0.35">
      <c r="A3962" s="34">
        <v>30151801</v>
      </c>
      <c r="B3962" s="35" t="s">
        <v>7752</v>
      </c>
    </row>
    <row r="3963" spans="1:2" x14ac:dyDescent="0.35">
      <c r="A3963" s="34">
        <v>30151802</v>
      </c>
      <c r="B3963" s="35" t="s">
        <v>4930</v>
      </c>
    </row>
    <row r="3964" spans="1:2" x14ac:dyDescent="0.35">
      <c r="A3964" s="34">
        <v>30151803</v>
      </c>
      <c r="B3964" s="35" t="s">
        <v>15514</v>
      </c>
    </row>
    <row r="3965" spans="1:2" x14ac:dyDescent="0.35">
      <c r="A3965" s="34">
        <v>30151804</v>
      </c>
      <c r="B3965" s="35" t="s">
        <v>15541</v>
      </c>
    </row>
    <row r="3966" spans="1:2" x14ac:dyDescent="0.35">
      <c r="A3966" s="34">
        <v>30151805</v>
      </c>
      <c r="B3966" s="35" t="s">
        <v>9461</v>
      </c>
    </row>
    <row r="3967" spans="1:2" x14ac:dyDescent="0.35">
      <c r="A3967" s="34">
        <v>30151806</v>
      </c>
      <c r="B3967" s="35" t="s">
        <v>19121</v>
      </c>
    </row>
    <row r="3968" spans="1:2" x14ac:dyDescent="0.35">
      <c r="A3968" s="34">
        <v>30151901</v>
      </c>
      <c r="B3968" s="35" t="s">
        <v>10597</v>
      </c>
    </row>
    <row r="3969" spans="1:2" x14ac:dyDescent="0.35">
      <c r="A3969" s="34">
        <v>30151902</v>
      </c>
      <c r="B3969" s="35" t="s">
        <v>8430</v>
      </c>
    </row>
    <row r="3970" spans="1:2" x14ac:dyDescent="0.35">
      <c r="A3970" s="34">
        <v>30152001</v>
      </c>
      <c r="B3970" s="35" t="s">
        <v>14655</v>
      </c>
    </row>
    <row r="3971" spans="1:2" x14ac:dyDescent="0.35">
      <c r="A3971" s="34">
        <v>30152002</v>
      </c>
      <c r="B3971" s="35" t="s">
        <v>18619</v>
      </c>
    </row>
    <row r="3972" spans="1:2" x14ac:dyDescent="0.35">
      <c r="A3972" s="34">
        <v>30152003</v>
      </c>
      <c r="B3972" s="35" t="s">
        <v>5741</v>
      </c>
    </row>
    <row r="3973" spans="1:2" x14ac:dyDescent="0.35">
      <c r="A3973" s="34">
        <v>30152101</v>
      </c>
      <c r="B3973" s="35" t="s">
        <v>9059</v>
      </c>
    </row>
    <row r="3974" spans="1:2" x14ac:dyDescent="0.35">
      <c r="A3974" s="34">
        <v>30161501</v>
      </c>
      <c r="B3974" s="35" t="s">
        <v>12259</v>
      </c>
    </row>
    <row r="3975" spans="1:2" x14ac:dyDescent="0.35">
      <c r="A3975" s="34">
        <v>30161502</v>
      </c>
      <c r="B3975" s="35" t="s">
        <v>13813</v>
      </c>
    </row>
    <row r="3976" spans="1:2" x14ac:dyDescent="0.35">
      <c r="A3976" s="34">
        <v>30161503</v>
      </c>
      <c r="B3976" s="35" t="s">
        <v>6419</v>
      </c>
    </row>
    <row r="3977" spans="1:2" x14ac:dyDescent="0.35">
      <c r="A3977" s="34">
        <v>30161504</v>
      </c>
      <c r="B3977" s="35" t="s">
        <v>10067</v>
      </c>
    </row>
    <row r="3978" spans="1:2" x14ac:dyDescent="0.35">
      <c r="A3978" s="34">
        <v>30161505</v>
      </c>
      <c r="B3978" s="35" t="s">
        <v>156</v>
      </c>
    </row>
    <row r="3979" spans="1:2" x14ac:dyDescent="0.35">
      <c r="A3979" s="34">
        <v>30161507</v>
      </c>
      <c r="B3979" s="35" t="s">
        <v>112</v>
      </c>
    </row>
    <row r="3980" spans="1:2" x14ac:dyDescent="0.35">
      <c r="A3980" s="34">
        <v>30161508</v>
      </c>
      <c r="B3980" s="35" t="s">
        <v>12773</v>
      </c>
    </row>
    <row r="3981" spans="1:2" x14ac:dyDescent="0.35">
      <c r="A3981" s="34">
        <v>30161509</v>
      </c>
      <c r="B3981" s="35" t="s">
        <v>4007</v>
      </c>
    </row>
    <row r="3982" spans="1:2" x14ac:dyDescent="0.35">
      <c r="A3982" s="34">
        <v>30161601</v>
      </c>
      <c r="B3982" s="35" t="s">
        <v>9955</v>
      </c>
    </row>
    <row r="3983" spans="1:2" x14ac:dyDescent="0.35">
      <c r="A3983" s="34">
        <v>30161602</v>
      </c>
      <c r="B3983" s="35" t="s">
        <v>8858</v>
      </c>
    </row>
    <row r="3984" spans="1:2" x14ac:dyDescent="0.35">
      <c r="A3984" s="34">
        <v>30161603</v>
      </c>
      <c r="B3984" s="35" t="s">
        <v>12076</v>
      </c>
    </row>
    <row r="3985" spans="1:2" x14ac:dyDescent="0.35">
      <c r="A3985" s="34">
        <v>30161604</v>
      </c>
      <c r="B3985" s="35" t="s">
        <v>16543</v>
      </c>
    </row>
    <row r="3986" spans="1:2" x14ac:dyDescent="0.35">
      <c r="A3986" s="34">
        <v>30161701</v>
      </c>
      <c r="B3986" s="35" t="s">
        <v>16876</v>
      </c>
    </row>
    <row r="3987" spans="1:2" x14ac:dyDescent="0.35">
      <c r="A3987" s="34">
        <v>30161702</v>
      </c>
      <c r="B3987" s="35" t="s">
        <v>13240</v>
      </c>
    </row>
    <row r="3988" spans="1:2" x14ac:dyDescent="0.35">
      <c r="A3988" s="34">
        <v>30161703</v>
      </c>
      <c r="B3988" s="35" t="s">
        <v>18193</v>
      </c>
    </row>
    <row r="3989" spans="1:2" x14ac:dyDescent="0.35">
      <c r="A3989" s="34">
        <v>30161705</v>
      </c>
      <c r="B3989" s="35" t="s">
        <v>18890</v>
      </c>
    </row>
    <row r="3990" spans="1:2" x14ac:dyDescent="0.35">
      <c r="A3990" s="34">
        <v>30161706</v>
      </c>
      <c r="B3990" s="35" t="s">
        <v>2464</v>
      </c>
    </row>
    <row r="3991" spans="1:2" x14ac:dyDescent="0.35">
      <c r="A3991" s="34">
        <v>30161707</v>
      </c>
      <c r="B3991" s="35" t="s">
        <v>10716</v>
      </c>
    </row>
    <row r="3992" spans="1:2" x14ac:dyDescent="0.35">
      <c r="A3992" s="34">
        <v>30161708</v>
      </c>
      <c r="B3992" s="35" t="s">
        <v>18851</v>
      </c>
    </row>
    <row r="3993" spans="1:2" x14ac:dyDescent="0.35">
      <c r="A3993" s="34">
        <v>30161709</v>
      </c>
      <c r="B3993" s="35" t="s">
        <v>15808</v>
      </c>
    </row>
    <row r="3994" spans="1:2" x14ac:dyDescent="0.35">
      <c r="A3994" s="34">
        <v>30161710</v>
      </c>
      <c r="B3994" s="35" t="s">
        <v>557</v>
      </c>
    </row>
    <row r="3995" spans="1:2" x14ac:dyDescent="0.35">
      <c r="A3995" s="34">
        <v>30161711</v>
      </c>
      <c r="B3995" s="35" t="s">
        <v>305</v>
      </c>
    </row>
    <row r="3996" spans="1:2" x14ac:dyDescent="0.35">
      <c r="A3996" s="34">
        <v>30161712</v>
      </c>
      <c r="B3996" s="35" t="s">
        <v>18691</v>
      </c>
    </row>
    <row r="3997" spans="1:2" x14ac:dyDescent="0.35">
      <c r="A3997" s="34">
        <v>30161713</v>
      </c>
      <c r="B3997" s="35" t="s">
        <v>8144</v>
      </c>
    </row>
    <row r="3998" spans="1:2" x14ac:dyDescent="0.35">
      <c r="A3998" s="34">
        <v>30161714</v>
      </c>
      <c r="B3998" s="35" t="s">
        <v>6370</v>
      </c>
    </row>
    <row r="3999" spans="1:2" x14ac:dyDescent="0.35">
      <c r="A3999" s="34">
        <v>30161715</v>
      </c>
      <c r="B3999" s="35" t="s">
        <v>1478</v>
      </c>
    </row>
    <row r="4000" spans="1:2" x14ac:dyDescent="0.35">
      <c r="A4000" s="34">
        <v>30161716</v>
      </c>
      <c r="B4000" s="35" t="s">
        <v>751</v>
      </c>
    </row>
    <row r="4001" spans="1:2" x14ac:dyDescent="0.35">
      <c r="A4001" s="34">
        <v>30161717</v>
      </c>
      <c r="B4001" s="35" t="s">
        <v>194</v>
      </c>
    </row>
    <row r="4002" spans="1:2" x14ac:dyDescent="0.35">
      <c r="A4002" s="34">
        <v>30161718</v>
      </c>
      <c r="B4002" s="35" t="s">
        <v>253</v>
      </c>
    </row>
    <row r="4003" spans="1:2" x14ac:dyDescent="0.35">
      <c r="A4003" s="34">
        <v>30161719</v>
      </c>
      <c r="B4003" s="35" t="s">
        <v>1838</v>
      </c>
    </row>
    <row r="4004" spans="1:2" x14ac:dyDescent="0.35">
      <c r="A4004" s="34">
        <v>30161801</v>
      </c>
      <c r="B4004" s="35" t="s">
        <v>246</v>
      </c>
    </row>
    <row r="4005" spans="1:2" x14ac:dyDescent="0.35">
      <c r="A4005" s="34">
        <v>30161802</v>
      </c>
      <c r="B4005" s="35" t="s">
        <v>17689</v>
      </c>
    </row>
    <row r="4006" spans="1:2" x14ac:dyDescent="0.35">
      <c r="A4006" s="34">
        <v>30161901</v>
      </c>
      <c r="B4006" s="35" t="s">
        <v>8180</v>
      </c>
    </row>
    <row r="4007" spans="1:2" x14ac:dyDescent="0.35">
      <c r="A4007" s="34">
        <v>30161902</v>
      </c>
      <c r="B4007" s="35" t="s">
        <v>13350</v>
      </c>
    </row>
    <row r="4008" spans="1:2" x14ac:dyDescent="0.35">
      <c r="A4008" s="34">
        <v>30161903</v>
      </c>
      <c r="B4008" s="35" t="s">
        <v>868</v>
      </c>
    </row>
    <row r="4009" spans="1:2" x14ac:dyDescent="0.35">
      <c r="A4009" s="34">
        <v>30161904</v>
      </c>
      <c r="B4009" s="35" t="s">
        <v>550</v>
      </c>
    </row>
    <row r="4010" spans="1:2" x14ac:dyDescent="0.35">
      <c r="A4010" s="34">
        <v>30161905</v>
      </c>
      <c r="B4010" s="35" t="s">
        <v>15876</v>
      </c>
    </row>
    <row r="4011" spans="1:2" x14ac:dyDescent="0.35">
      <c r="A4011" s="34">
        <v>30161906</v>
      </c>
      <c r="B4011" s="35" t="s">
        <v>19577</v>
      </c>
    </row>
    <row r="4012" spans="1:2" x14ac:dyDescent="0.35">
      <c r="A4012" s="34">
        <v>30161907</v>
      </c>
      <c r="B4012" s="35" t="s">
        <v>4534</v>
      </c>
    </row>
    <row r="4013" spans="1:2" x14ac:dyDescent="0.35">
      <c r="A4013" s="34">
        <v>30161908</v>
      </c>
      <c r="B4013" s="35" t="s">
        <v>16226</v>
      </c>
    </row>
    <row r="4014" spans="1:2" x14ac:dyDescent="0.35">
      <c r="A4014" s="34">
        <v>30171501</v>
      </c>
      <c r="B4014" s="35" t="s">
        <v>14869</v>
      </c>
    </row>
    <row r="4015" spans="1:2" x14ac:dyDescent="0.35">
      <c r="A4015" s="34">
        <v>30171502</v>
      </c>
      <c r="B4015" s="35" t="s">
        <v>18658</v>
      </c>
    </row>
    <row r="4016" spans="1:2" x14ac:dyDescent="0.35">
      <c r="A4016" s="34">
        <v>30171503</v>
      </c>
      <c r="B4016" s="35" t="s">
        <v>14511</v>
      </c>
    </row>
    <row r="4017" spans="1:2" x14ac:dyDescent="0.35">
      <c r="A4017" s="34">
        <v>30171504</v>
      </c>
      <c r="B4017" s="35" t="s">
        <v>7297</v>
      </c>
    </row>
    <row r="4018" spans="1:2" x14ac:dyDescent="0.35">
      <c r="A4018" s="34">
        <v>30171505</v>
      </c>
      <c r="B4018" s="35" t="s">
        <v>17143</v>
      </c>
    </row>
    <row r="4019" spans="1:2" x14ac:dyDescent="0.35">
      <c r="A4019" s="34">
        <v>30171506</v>
      </c>
      <c r="B4019" s="35" t="s">
        <v>14026</v>
      </c>
    </row>
    <row r="4020" spans="1:2" x14ac:dyDescent="0.35">
      <c r="A4020" s="34">
        <v>30171507</v>
      </c>
      <c r="B4020" s="35" t="s">
        <v>4754</v>
      </c>
    </row>
    <row r="4021" spans="1:2" x14ac:dyDescent="0.35">
      <c r="A4021" s="34">
        <v>30171508</v>
      </c>
      <c r="B4021" s="35" t="s">
        <v>6345</v>
      </c>
    </row>
    <row r="4022" spans="1:2" x14ac:dyDescent="0.35">
      <c r="A4022" s="34">
        <v>30171509</v>
      </c>
      <c r="B4022" s="35" t="s">
        <v>4392</v>
      </c>
    </row>
    <row r="4023" spans="1:2" x14ac:dyDescent="0.35">
      <c r="A4023" s="34">
        <v>30171510</v>
      </c>
      <c r="B4023" s="35" t="s">
        <v>16782</v>
      </c>
    </row>
    <row r="4024" spans="1:2" x14ac:dyDescent="0.35">
      <c r="A4024" s="34">
        <v>30171511</v>
      </c>
      <c r="B4024" s="35" t="s">
        <v>9223</v>
      </c>
    </row>
    <row r="4025" spans="1:2" x14ac:dyDescent="0.35">
      <c r="A4025" s="34">
        <v>30171512</v>
      </c>
      <c r="B4025" s="35" t="s">
        <v>10756</v>
      </c>
    </row>
    <row r="4026" spans="1:2" x14ac:dyDescent="0.35">
      <c r="A4026" s="34">
        <v>30171513</v>
      </c>
      <c r="B4026" s="35" t="s">
        <v>16706</v>
      </c>
    </row>
    <row r="4027" spans="1:2" x14ac:dyDescent="0.35">
      <c r="A4027" s="34">
        <v>30171514</v>
      </c>
      <c r="B4027" s="35" t="s">
        <v>19423</v>
      </c>
    </row>
    <row r="4028" spans="1:2" x14ac:dyDescent="0.35">
      <c r="A4028" s="34">
        <v>30171604</v>
      </c>
      <c r="B4028" s="35" t="s">
        <v>3389</v>
      </c>
    </row>
    <row r="4029" spans="1:2" x14ac:dyDescent="0.35">
      <c r="A4029" s="34">
        <v>30171605</v>
      </c>
      <c r="B4029" s="35" t="s">
        <v>19329</v>
      </c>
    </row>
    <row r="4030" spans="1:2" x14ac:dyDescent="0.35">
      <c r="A4030" s="34">
        <v>30171606</v>
      </c>
      <c r="B4030" s="35" t="s">
        <v>12978</v>
      </c>
    </row>
    <row r="4031" spans="1:2" x14ac:dyDescent="0.35">
      <c r="A4031" s="34">
        <v>30171607</v>
      </c>
      <c r="B4031" s="35" t="s">
        <v>15060</v>
      </c>
    </row>
    <row r="4032" spans="1:2" x14ac:dyDescent="0.35">
      <c r="A4032" s="34">
        <v>30171608</v>
      </c>
      <c r="B4032" s="35" t="s">
        <v>7467</v>
      </c>
    </row>
    <row r="4033" spans="1:2" x14ac:dyDescent="0.35">
      <c r="A4033" s="34">
        <v>30171609</v>
      </c>
      <c r="B4033" s="35" t="s">
        <v>9745</v>
      </c>
    </row>
    <row r="4034" spans="1:2" x14ac:dyDescent="0.35">
      <c r="A4034" s="34">
        <v>30171610</v>
      </c>
      <c r="B4034" s="35" t="s">
        <v>19314</v>
      </c>
    </row>
    <row r="4035" spans="1:2" x14ac:dyDescent="0.35">
      <c r="A4035" s="34">
        <v>30171611</v>
      </c>
      <c r="B4035" s="35" t="s">
        <v>18886</v>
      </c>
    </row>
    <row r="4036" spans="1:2" x14ac:dyDescent="0.35">
      <c r="A4036" s="34">
        <v>30171612</v>
      </c>
      <c r="B4036" s="35" t="s">
        <v>5557</v>
      </c>
    </row>
    <row r="4037" spans="1:2" x14ac:dyDescent="0.35">
      <c r="A4037" s="34">
        <v>30171613</v>
      </c>
      <c r="B4037" s="35" t="s">
        <v>6561</v>
      </c>
    </row>
    <row r="4038" spans="1:2" x14ac:dyDescent="0.35">
      <c r="A4038" s="34">
        <v>30171614</v>
      </c>
      <c r="B4038" s="35" t="s">
        <v>15612</v>
      </c>
    </row>
    <row r="4039" spans="1:2" x14ac:dyDescent="0.35">
      <c r="A4039" s="34">
        <v>30171615</v>
      </c>
      <c r="B4039" s="35" t="s">
        <v>14890</v>
      </c>
    </row>
    <row r="4040" spans="1:2" x14ac:dyDescent="0.35">
      <c r="A4040" s="34">
        <v>30171701</v>
      </c>
      <c r="B4040" s="35" t="s">
        <v>14913</v>
      </c>
    </row>
    <row r="4041" spans="1:2" x14ac:dyDescent="0.35">
      <c r="A4041" s="34">
        <v>30171703</v>
      </c>
      <c r="B4041" s="35" t="s">
        <v>13357</v>
      </c>
    </row>
    <row r="4042" spans="1:2" x14ac:dyDescent="0.35">
      <c r="A4042" s="34">
        <v>30171704</v>
      </c>
      <c r="B4042" s="35" t="s">
        <v>9880</v>
      </c>
    </row>
    <row r="4043" spans="1:2" x14ac:dyDescent="0.35">
      <c r="A4043" s="34">
        <v>30171705</v>
      </c>
      <c r="B4043" s="35" t="s">
        <v>16700</v>
      </c>
    </row>
    <row r="4044" spans="1:2" x14ac:dyDescent="0.35">
      <c r="A4044" s="34">
        <v>30171706</v>
      </c>
      <c r="B4044" s="35" t="s">
        <v>15004</v>
      </c>
    </row>
    <row r="4045" spans="1:2" x14ac:dyDescent="0.35">
      <c r="A4045" s="34">
        <v>30171707</v>
      </c>
      <c r="B4045" s="35" t="s">
        <v>12363</v>
      </c>
    </row>
    <row r="4046" spans="1:2" x14ac:dyDescent="0.35">
      <c r="A4046" s="34">
        <v>30171708</v>
      </c>
      <c r="B4046" s="35" t="s">
        <v>8587</v>
      </c>
    </row>
    <row r="4047" spans="1:2" x14ac:dyDescent="0.35">
      <c r="A4047" s="34">
        <v>30171709</v>
      </c>
      <c r="B4047" s="35" t="s">
        <v>16132</v>
      </c>
    </row>
    <row r="4048" spans="1:2" x14ac:dyDescent="0.35">
      <c r="A4048" s="34">
        <v>30171801</v>
      </c>
      <c r="B4048" s="35" t="s">
        <v>9245</v>
      </c>
    </row>
    <row r="4049" spans="1:2" x14ac:dyDescent="0.35">
      <c r="A4049" s="34">
        <v>30171802</v>
      </c>
      <c r="B4049" s="35" t="s">
        <v>10212</v>
      </c>
    </row>
    <row r="4050" spans="1:2" x14ac:dyDescent="0.35">
      <c r="A4050" s="34">
        <v>30171803</v>
      </c>
      <c r="B4050" s="35" t="s">
        <v>9603</v>
      </c>
    </row>
    <row r="4051" spans="1:2" x14ac:dyDescent="0.35">
      <c r="A4051" s="34">
        <v>30171901</v>
      </c>
      <c r="B4051" s="35" t="s">
        <v>6302</v>
      </c>
    </row>
    <row r="4052" spans="1:2" x14ac:dyDescent="0.35">
      <c r="A4052" s="34">
        <v>30171902</v>
      </c>
      <c r="B4052" s="35" t="s">
        <v>892</v>
      </c>
    </row>
    <row r="4053" spans="1:2" x14ac:dyDescent="0.35">
      <c r="A4053" s="34">
        <v>30171903</v>
      </c>
      <c r="B4053" s="35" t="s">
        <v>13543</v>
      </c>
    </row>
    <row r="4054" spans="1:2" x14ac:dyDescent="0.35">
      <c r="A4054" s="34">
        <v>30171904</v>
      </c>
      <c r="B4054" s="35" t="s">
        <v>1899</v>
      </c>
    </row>
    <row r="4055" spans="1:2" x14ac:dyDescent="0.35">
      <c r="A4055" s="34">
        <v>30171905</v>
      </c>
      <c r="B4055" s="35" t="s">
        <v>13833</v>
      </c>
    </row>
    <row r="4056" spans="1:2" x14ac:dyDescent="0.35">
      <c r="A4056" s="34">
        <v>30171906</v>
      </c>
      <c r="B4056" s="35" t="s">
        <v>10775</v>
      </c>
    </row>
    <row r="4057" spans="1:2" x14ac:dyDescent="0.35">
      <c r="A4057" s="34">
        <v>30172001</v>
      </c>
      <c r="B4057" s="35" t="s">
        <v>5160</v>
      </c>
    </row>
    <row r="4058" spans="1:2" x14ac:dyDescent="0.35">
      <c r="A4058" s="34">
        <v>30172002</v>
      </c>
      <c r="B4058" s="35" t="s">
        <v>18766</v>
      </c>
    </row>
    <row r="4059" spans="1:2" x14ac:dyDescent="0.35">
      <c r="A4059" s="34">
        <v>30181501</v>
      </c>
      <c r="B4059" s="35" t="s">
        <v>556</v>
      </c>
    </row>
    <row r="4060" spans="1:2" x14ac:dyDescent="0.35">
      <c r="A4060" s="34">
        <v>30181502</v>
      </c>
      <c r="B4060" s="35" t="s">
        <v>15890</v>
      </c>
    </row>
    <row r="4061" spans="1:2" x14ac:dyDescent="0.35">
      <c r="A4061" s="34">
        <v>30181503</v>
      </c>
      <c r="B4061" s="35" t="s">
        <v>11056</v>
      </c>
    </row>
    <row r="4062" spans="1:2" x14ac:dyDescent="0.35">
      <c r="A4062" s="34">
        <v>30181504</v>
      </c>
      <c r="B4062" s="35" t="s">
        <v>4242</v>
      </c>
    </row>
    <row r="4063" spans="1:2" x14ac:dyDescent="0.35">
      <c r="A4063" s="34">
        <v>30181505</v>
      </c>
      <c r="B4063" s="35" t="s">
        <v>17426</v>
      </c>
    </row>
    <row r="4064" spans="1:2" x14ac:dyDescent="0.35">
      <c r="A4064" s="34">
        <v>30181506</v>
      </c>
      <c r="B4064" s="35" t="s">
        <v>5663</v>
      </c>
    </row>
    <row r="4065" spans="1:2" x14ac:dyDescent="0.35">
      <c r="A4065" s="34">
        <v>30181507</v>
      </c>
      <c r="B4065" s="35" t="s">
        <v>7316</v>
      </c>
    </row>
    <row r="4066" spans="1:2" x14ac:dyDescent="0.35">
      <c r="A4066" s="34">
        <v>30181508</v>
      </c>
      <c r="B4066" s="35" t="s">
        <v>15864</v>
      </c>
    </row>
    <row r="4067" spans="1:2" x14ac:dyDescent="0.35">
      <c r="A4067" s="34">
        <v>30181509</v>
      </c>
      <c r="B4067" s="35" t="s">
        <v>5891</v>
      </c>
    </row>
    <row r="4068" spans="1:2" x14ac:dyDescent="0.35">
      <c r="A4068" s="34">
        <v>30181510</v>
      </c>
      <c r="B4068" s="35" t="s">
        <v>16392</v>
      </c>
    </row>
    <row r="4069" spans="1:2" x14ac:dyDescent="0.35">
      <c r="A4069" s="34">
        <v>30181511</v>
      </c>
      <c r="B4069" s="35" t="s">
        <v>17426</v>
      </c>
    </row>
    <row r="4070" spans="1:2" x14ac:dyDescent="0.35">
      <c r="A4070" s="34">
        <v>30181512</v>
      </c>
      <c r="B4070" s="35" t="s">
        <v>17812</v>
      </c>
    </row>
    <row r="4071" spans="1:2" x14ac:dyDescent="0.35">
      <c r="A4071" s="34">
        <v>30181513</v>
      </c>
      <c r="B4071" s="35" t="s">
        <v>4052</v>
      </c>
    </row>
    <row r="4072" spans="1:2" x14ac:dyDescent="0.35">
      <c r="A4072" s="34">
        <v>30181514</v>
      </c>
      <c r="B4072" s="35" t="s">
        <v>6702</v>
      </c>
    </row>
    <row r="4073" spans="1:2" x14ac:dyDescent="0.35">
      <c r="A4073" s="34">
        <v>30181515</v>
      </c>
      <c r="B4073" s="35" t="s">
        <v>4628</v>
      </c>
    </row>
    <row r="4074" spans="1:2" x14ac:dyDescent="0.35">
      <c r="A4074" s="34">
        <v>30191501</v>
      </c>
      <c r="B4074" s="35" t="s">
        <v>4534</v>
      </c>
    </row>
    <row r="4075" spans="1:2" x14ac:dyDescent="0.35">
      <c r="A4075" s="34">
        <v>30191502</v>
      </c>
      <c r="B4075" s="35" t="s">
        <v>4841</v>
      </c>
    </row>
    <row r="4076" spans="1:2" x14ac:dyDescent="0.35">
      <c r="A4076" s="34">
        <v>30191505</v>
      </c>
      <c r="B4076" s="35" t="s">
        <v>7386</v>
      </c>
    </row>
    <row r="4077" spans="1:2" x14ac:dyDescent="0.35">
      <c r="A4077" s="34">
        <v>30191601</v>
      </c>
      <c r="B4077" s="35" t="s">
        <v>18333</v>
      </c>
    </row>
    <row r="4078" spans="1:2" x14ac:dyDescent="0.35">
      <c r="A4078" s="34">
        <v>30191602</v>
      </c>
      <c r="B4078" s="35" t="s">
        <v>4680</v>
      </c>
    </row>
    <row r="4079" spans="1:2" x14ac:dyDescent="0.35">
      <c r="A4079" s="34">
        <v>30191603</v>
      </c>
      <c r="B4079" s="35" t="s">
        <v>9274</v>
      </c>
    </row>
    <row r="4080" spans="1:2" x14ac:dyDescent="0.35">
      <c r="A4080" s="34">
        <v>30201501</v>
      </c>
      <c r="B4080" s="35" t="s">
        <v>19138</v>
      </c>
    </row>
    <row r="4081" spans="1:2" x14ac:dyDescent="0.35">
      <c r="A4081" s="34">
        <v>30201502</v>
      </c>
      <c r="B4081" s="35" t="s">
        <v>7361</v>
      </c>
    </row>
    <row r="4082" spans="1:2" x14ac:dyDescent="0.35">
      <c r="A4082" s="34">
        <v>30201601</v>
      </c>
      <c r="B4082" s="35" t="s">
        <v>2141</v>
      </c>
    </row>
    <row r="4083" spans="1:2" x14ac:dyDescent="0.35">
      <c r="A4083" s="34">
        <v>30201602</v>
      </c>
      <c r="B4083" s="35" t="s">
        <v>15761</v>
      </c>
    </row>
    <row r="4084" spans="1:2" x14ac:dyDescent="0.35">
      <c r="A4084" s="34">
        <v>30201603</v>
      </c>
      <c r="B4084" s="35" t="s">
        <v>7113</v>
      </c>
    </row>
    <row r="4085" spans="1:2" x14ac:dyDescent="0.35">
      <c r="A4085" s="34">
        <v>30201604</v>
      </c>
      <c r="B4085" s="35" t="s">
        <v>18364</v>
      </c>
    </row>
    <row r="4086" spans="1:2" x14ac:dyDescent="0.35">
      <c r="A4086" s="34">
        <v>30201605</v>
      </c>
      <c r="B4086" s="35" t="s">
        <v>7947</v>
      </c>
    </row>
    <row r="4087" spans="1:2" x14ac:dyDescent="0.35">
      <c r="A4087" s="34">
        <v>30201606</v>
      </c>
      <c r="B4087" s="35" t="s">
        <v>11598</v>
      </c>
    </row>
    <row r="4088" spans="1:2" x14ac:dyDescent="0.35">
      <c r="A4088" s="34">
        <v>30201701</v>
      </c>
      <c r="B4088" s="35" t="s">
        <v>13665</v>
      </c>
    </row>
    <row r="4089" spans="1:2" x14ac:dyDescent="0.35">
      <c r="A4089" s="34">
        <v>30201702</v>
      </c>
      <c r="B4089" s="35" t="s">
        <v>13434</v>
      </c>
    </row>
    <row r="4090" spans="1:2" x14ac:dyDescent="0.35">
      <c r="A4090" s="34">
        <v>30201703</v>
      </c>
      <c r="B4090" s="35" t="s">
        <v>2648</v>
      </c>
    </row>
    <row r="4091" spans="1:2" x14ac:dyDescent="0.35">
      <c r="A4091" s="34">
        <v>30201704</v>
      </c>
      <c r="B4091" s="35" t="s">
        <v>4205</v>
      </c>
    </row>
    <row r="4092" spans="1:2" x14ac:dyDescent="0.35">
      <c r="A4092" s="34">
        <v>30201705</v>
      </c>
      <c r="B4092" s="35" t="s">
        <v>358</v>
      </c>
    </row>
    <row r="4093" spans="1:2" x14ac:dyDescent="0.35">
      <c r="A4093" s="34">
        <v>30201706</v>
      </c>
      <c r="B4093" s="35" t="s">
        <v>16278</v>
      </c>
    </row>
    <row r="4094" spans="1:2" x14ac:dyDescent="0.35">
      <c r="A4094" s="34">
        <v>30201707</v>
      </c>
      <c r="B4094" s="35" t="s">
        <v>4260</v>
      </c>
    </row>
    <row r="4095" spans="1:2" x14ac:dyDescent="0.35">
      <c r="A4095" s="34">
        <v>30201708</v>
      </c>
      <c r="B4095" s="35" t="s">
        <v>12619</v>
      </c>
    </row>
    <row r="4096" spans="1:2" x14ac:dyDescent="0.35">
      <c r="A4096" s="34">
        <v>30201710</v>
      </c>
      <c r="B4096" s="35" t="s">
        <v>13242</v>
      </c>
    </row>
    <row r="4097" spans="1:2" x14ac:dyDescent="0.35">
      <c r="A4097" s="34">
        <v>30201711</v>
      </c>
      <c r="B4097" s="35" t="s">
        <v>18304</v>
      </c>
    </row>
    <row r="4098" spans="1:2" x14ac:dyDescent="0.35">
      <c r="A4098" s="34">
        <v>30201712</v>
      </c>
      <c r="B4098" s="35" t="s">
        <v>1754</v>
      </c>
    </row>
    <row r="4099" spans="1:2" x14ac:dyDescent="0.35">
      <c r="A4099" s="34">
        <v>30201801</v>
      </c>
      <c r="B4099" s="35" t="s">
        <v>18468</v>
      </c>
    </row>
    <row r="4100" spans="1:2" x14ac:dyDescent="0.35">
      <c r="A4100" s="34">
        <v>30201802</v>
      </c>
      <c r="B4100" s="35" t="s">
        <v>15</v>
      </c>
    </row>
    <row r="4101" spans="1:2" x14ac:dyDescent="0.35">
      <c r="A4101" s="34">
        <v>30201803</v>
      </c>
      <c r="B4101" s="35" t="s">
        <v>9138</v>
      </c>
    </row>
    <row r="4102" spans="1:2" x14ac:dyDescent="0.35">
      <c r="A4102" s="34">
        <v>30201901</v>
      </c>
      <c r="B4102" s="35" t="s">
        <v>3576</v>
      </c>
    </row>
    <row r="4103" spans="1:2" x14ac:dyDescent="0.35">
      <c r="A4103" s="34">
        <v>30201902</v>
      </c>
      <c r="B4103" s="35" t="s">
        <v>15638</v>
      </c>
    </row>
    <row r="4104" spans="1:2" x14ac:dyDescent="0.35">
      <c r="A4104" s="34">
        <v>30201903</v>
      </c>
      <c r="B4104" s="35" t="s">
        <v>2985</v>
      </c>
    </row>
    <row r="4105" spans="1:2" x14ac:dyDescent="0.35">
      <c r="A4105" s="34">
        <v>30201904</v>
      </c>
      <c r="B4105" s="35" t="s">
        <v>19409</v>
      </c>
    </row>
    <row r="4106" spans="1:2" x14ac:dyDescent="0.35">
      <c r="A4106" s="34">
        <v>30221001</v>
      </c>
      <c r="B4106" s="35" t="s">
        <v>6764</v>
      </c>
    </row>
    <row r="4107" spans="1:2" x14ac:dyDescent="0.35">
      <c r="A4107" s="34">
        <v>30221002</v>
      </c>
      <c r="B4107" s="35" t="s">
        <v>10215</v>
      </c>
    </row>
    <row r="4108" spans="1:2" x14ac:dyDescent="0.35">
      <c r="A4108" s="34">
        <v>30221003</v>
      </c>
      <c r="B4108" s="35" t="s">
        <v>7433</v>
      </c>
    </row>
    <row r="4109" spans="1:2" x14ac:dyDescent="0.35">
      <c r="A4109" s="34">
        <v>30221004</v>
      </c>
      <c r="B4109" s="35" t="s">
        <v>15276</v>
      </c>
    </row>
    <row r="4110" spans="1:2" x14ac:dyDescent="0.35">
      <c r="A4110" s="34">
        <v>30221005</v>
      </c>
      <c r="B4110" s="35" t="s">
        <v>17922</v>
      </c>
    </row>
    <row r="4111" spans="1:2" x14ac:dyDescent="0.35">
      <c r="A4111" s="34">
        <v>30221006</v>
      </c>
      <c r="B4111" s="35" t="s">
        <v>17135</v>
      </c>
    </row>
    <row r="4112" spans="1:2" x14ac:dyDescent="0.35">
      <c r="A4112" s="34">
        <v>30221007</v>
      </c>
      <c r="B4112" s="35" t="s">
        <v>4477</v>
      </c>
    </row>
    <row r="4113" spans="1:2" x14ac:dyDescent="0.35">
      <c r="A4113" s="34">
        <v>30221009</v>
      </c>
      <c r="B4113" s="35" t="s">
        <v>16772</v>
      </c>
    </row>
    <row r="4114" spans="1:2" x14ac:dyDescent="0.35">
      <c r="A4114" s="34">
        <v>30221010</v>
      </c>
      <c r="B4114" s="35" t="s">
        <v>1623</v>
      </c>
    </row>
    <row r="4115" spans="1:2" x14ac:dyDescent="0.35">
      <c r="A4115" s="34">
        <v>30221011</v>
      </c>
      <c r="B4115" s="35" t="s">
        <v>7963</v>
      </c>
    </row>
    <row r="4116" spans="1:2" x14ac:dyDescent="0.35">
      <c r="A4116" s="34">
        <v>30221012</v>
      </c>
      <c r="B4116" s="35" t="s">
        <v>18111</v>
      </c>
    </row>
    <row r="4117" spans="1:2" x14ac:dyDescent="0.35">
      <c r="A4117" s="34">
        <v>30221013</v>
      </c>
      <c r="B4117" s="35" t="s">
        <v>2544</v>
      </c>
    </row>
    <row r="4118" spans="1:2" x14ac:dyDescent="0.35">
      <c r="A4118" s="34">
        <v>30221014</v>
      </c>
      <c r="B4118" s="35" t="s">
        <v>3091</v>
      </c>
    </row>
    <row r="4119" spans="1:2" x14ac:dyDescent="0.35">
      <c r="A4119" s="34">
        <v>30222001</v>
      </c>
      <c r="B4119" s="35" t="s">
        <v>14431</v>
      </c>
    </row>
    <row r="4120" spans="1:2" x14ac:dyDescent="0.35">
      <c r="A4120" s="34">
        <v>30222002</v>
      </c>
      <c r="B4120" s="35" t="s">
        <v>1149</v>
      </c>
    </row>
    <row r="4121" spans="1:2" x14ac:dyDescent="0.35">
      <c r="A4121" s="34">
        <v>30222003</v>
      </c>
      <c r="B4121" s="35" t="s">
        <v>2270</v>
      </c>
    </row>
    <row r="4122" spans="1:2" x14ac:dyDescent="0.35">
      <c r="A4122" s="34">
        <v>30222004</v>
      </c>
      <c r="B4122" s="35" t="s">
        <v>7523</v>
      </c>
    </row>
    <row r="4123" spans="1:2" x14ac:dyDescent="0.35">
      <c r="A4123" s="34">
        <v>30222005</v>
      </c>
      <c r="B4123" s="35" t="s">
        <v>11028</v>
      </c>
    </row>
    <row r="4124" spans="1:2" x14ac:dyDescent="0.35">
      <c r="A4124" s="34">
        <v>30222006</v>
      </c>
      <c r="B4124" s="35" t="s">
        <v>1814</v>
      </c>
    </row>
    <row r="4125" spans="1:2" x14ac:dyDescent="0.35">
      <c r="A4125" s="34">
        <v>30222007</v>
      </c>
      <c r="B4125" s="35" t="s">
        <v>10969</v>
      </c>
    </row>
    <row r="4126" spans="1:2" x14ac:dyDescent="0.35">
      <c r="A4126" s="34">
        <v>30222008</v>
      </c>
      <c r="B4126" s="35" t="s">
        <v>7967</v>
      </c>
    </row>
    <row r="4127" spans="1:2" x14ac:dyDescent="0.35">
      <c r="A4127" s="34">
        <v>30222009</v>
      </c>
      <c r="B4127" s="35" t="s">
        <v>10319</v>
      </c>
    </row>
    <row r="4128" spans="1:2" x14ac:dyDescent="0.35">
      <c r="A4128" s="34">
        <v>30222010</v>
      </c>
      <c r="B4128" s="35" t="s">
        <v>3617</v>
      </c>
    </row>
    <row r="4129" spans="1:2" x14ac:dyDescent="0.35">
      <c r="A4129" s="34">
        <v>30222011</v>
      </c>
      <c r="B4129" s="35" t="s">
        <v>5968</v>
      </c>
    </row>
    <row r="4130" spans="1:2" x14ac:dyDescent="0.35">
      <c r="A4130" s="34">
        <v>30222012</v>
      </c>
      <c r="B4130" s="35" t="s">
        <v>10986</v>
      </c>
    </row>
    <row r="4131" spans="1:2" x14ac:dyDescent="0.35">
      <c r="A4131" s="34">
        <v>30222013</v>
      </c>
      <c r="B4131" s="35" t="s">
        <v>13351</v>
      </c>
    </row>
    <row r="4132" spans="1:2" x14ac:dyDescent="0.35">
      <c r="A4132" s="34">
        <v>30222014</v>
      </c>
      <c r="B4132" s="35" t="s">
        <v>7920</v>
      </c>
    </row>
    <row r="4133" spans="1:2" x14ac:dyDescent="0.35">
      <c r="A4133" s="34">
        <v>30222015</v>
      </c>
      <c r="B4133" s="35" t="s">
        <v>2515</v>
      </c>
    </row>
    <row r="4134" spans="1:2" x14ac:dyDescent="0.35">
      <c r="A4134" s="34">
        <v>30222016</v>
      </c>
      <c r="B4134" s="35" t="s">
        <v>2262</v>
      </c>
    </row>
    <row r="4135" spans="1:2" x14ac:dyDescent="0.35">
      <c r="A4135" s="34">
        <v>30222017</v>
      </c>
      <c r="B4135" s="35" t="s">
        <v>17298</v>
      </c>
    </row>
    <row r="4136" spans="1:2" x14ac:dyDescent="0.35">
      <c r="A4136" s="34">
        <v>30222018</v>
      </c>
      <c r="B4136" s="35" t="s">
        <v>18772</v>
      </c>
    </row>
    <row r="4137" spans="1:2" x14ac:dyDescent="0.35">
      <c r="A4137" s="34">
        <v>30222019</v>
      </c>
      <c r="B4137" s="35" t="s">
        <v>13018</v>
      </c>
    </row>
    <row r="4138" spans="1:2" x14ac:dyDescent="0.35">
      <c r="A4138" s="34">
        <v>30222020</v>
      </c>
      <c r="B4138" s="35" t="s">
        <v>673</v>
      </c>
    </row>
    <row r="4139" spans="1:2" x14ac:dyDescent="0.35">
      <c r="A4139" s="34">
        <v>30222021</v>
      </c>
      <c r="B4139" s="35" t="s">
        <v>16996</v>
      </c>
    </row>
    <row r="4140" spans="1:2" x14ac:dyDescent="0.35">
      <c r="A4140" s="34">
        <v>30222022</v>
      </c>
      <c r="B4140" s="35" t="s">
        <v>9192</v>
      </c>
    </row>
    <row r="4141" spans="1:2" x14ac:dyDescent="0.35">
      <c r="A4141" s="34">
        <v>30222023</v>
      </c>
      <c r="B4141" s="35" t="s">
        <v>19390</v>
      </c>
    </row>
    <row r="4142" spans="1:2" x14ac:dyDescent="0.35">
      <c r="A4142" s="34">
        <v>30222024</v>
      </c>
      <c r="B4142" s="35" t="s">
        <v>6361</v>
      </c>
    </row>
    <row r="4143" spans="1:2" x14ac:dyDescent="0.35">
      <c r="A4143" s="34">
        <v>30222025</v>
      </c>
      <c r="B4143" s="35" t="s">
        <v>412</v>
      </c>
    </row>
    <row r="4144" spans="1:2" x14ac:dyDescent="0.35">
      <c r="A4144" s="34">
        <v>30222026</v>
      </c>
      <c r="B4144" s="35" t="s">
        <v>1255</v>
      </c>
    </row>
    <row r="4145" spans="1:2" x14ac:dyDescent="0.35">
      <c r="A4145" s="34">
        <v>30222027</v>
      </c>
      <c r="B4145" s="35" t="s">
        <v>14131</v>
      </c>
    </row>
    <row r="4146" spans="1:2" x14ac:dyDescent="0.35">
      <c r="A4146" s="34">
        <v>30222028</v>
      </c>
      <c r="B4146" s="35" t="s">
        <v>8264</v>
      </c>
    </row>
    <row r="4147" spans="1:2" x14ac:dyDescent="0.35">
      <c r="A4147" s="34">
        <v>30222029</v>
      </c>
      <c r="B4147" s="35" t="s">
        <v>8252</v>
      </c>
    </row>
    <row r="4148" spans="1:2" x14ac:dyDescent="0.35">
      <c r="A4148" s="34">
        <v>30222030</v>
      </c>
      <c r="B4148" s="35" t="s">
        <v>16728</v>
      </c>
    </row>
    <row r="4149" spans="1:2" x14ac:dyDescent="0.35">
      <c r="A4149" s="34">
        <v>30222031</v>
      </c>
      <c r="B4149" s="35" t="s">
        <v>6610</v>
      </c>
    </row>
    <row r="4150" spans="1:2" x14ac:dyDescent="0.35">
      <c r="A4150" s="34">
        <v>30222032</v>
      </c>
      <c r="B4150" s="35" t="s">
        <v>19186</v>
      </c>
    </row>
    <row r="4151" spans="1:2" x14ac:dyDescent="0.35">
      <c r="A4151" s="34">
        <v>30222033</v>
      </c>
      <c r="B4151" s="35" t="s">
        <v>4657</v>
      </c>
    </row>
    <row r="4152" spans="1:2" x14ac:dyDescent="0.35">
      <c r="A4152" s="34">
        <v>30222034</v>
      </c>
      <c r="B4152" s="35" t="s">
        <v>18806</v>
      </c>
    </row>
    <row r="4153" spans="1:2" x14ac:dyDescent="0.35">
      <c r="A4153" s="34">
        <v>30222035</v>
      </c>
      <c r="B4153" s="35" t="s">
        <v>12037</v>
      </c>
    </row>
    <row r="4154" spans="1:2" x14ac:dyDescent="0.35">
      <c r="A4154" s="34">
        <v>30222036</v>
      </c>
      <c r="B4154" s="35" t="s">
        <v>13244</v>
      </c>
    </row>
    <row r="4155" spans="1:2" x14ac:dyDescent="0.35">
      <c r="A4155" s="34">
        <v>30222037</v>
      </c>
      <c r="B4155" s="35" t="s">
        <v>18486</v>
      </c>
    </row>
    <row r="4156" spans="1:2" x14ac:dyDescent="0.35">
      <c r="A4156" s="34">
        <v>30222038</v>
      </c>
      <c r="B4156" s="35" t="s">
        <v>7930</v>
      </c>
    </row>
    <row r="4157" spans="1:2" x14ac:dyDescent="0.35">
      <c r="A4157" s="34">
        <v>30222039</v>
      </c>
      <c r="B4157" s="35" t="s">
        <v>930</v>
      </c>
    </row>
    <row r="4158" spans="1:2" x14ac:dyDescent="0.35">
      <c r="A4158" s="34">
        <v>30222040</v>
      </c>
      <c r="B4158" s="35" t="s">
        <v>1851</v>
      </c>
    </row>
    <row r="4159" spans="1:2" x14ac:dyDescent="0.35">
      <c r="A4159" s="34">
        <v>30222041</v>
      </c>
      <c r="B4159" s="35" t="s">
        <v>4650</v>
      </c>
    </row>
    <row r="4160" spans="1:2" x14ac:dyDescent="0.35">
      <c r="A4160" s="34">
        <v>30222042</v>
      </c>
      <c r="B4160" s="35" t="s">
        <v>14894</v>
      </c>
    </row>
    <row r="4161" spans="1:2" x14ac:dyDescent="0.35">
      <c r="A4161" s="34">
        <v>30222043</v>
      </c>
      <c r="B4161" s="35" t="s">
        <v>14902</v>
      </c>
    </row>
    <row r="4162" spans="1:2" x14ac:dyDescent="0.35">
      <c r="A4162" s="34">
        <v>30222044</v>
      </c>
      <c r="B4162" s="35" t="s">
        <v>10272</v>
      </c>
    </row>
    <row r="4163" spans="1:2" x14ac:dyDescent="0.35">
      <c r="A4163" s="34">
        <v>30222045</v>
      </c>
      <c r="B4163" s="35" t="s">
        <v>4785</v>
      </c>
    </row>
    <row r="4164" spans="1:2" x14ac:dyDescent="0.35">
      <c r="A4164" s="34">
        <v>30222046</v>
      </c>
      <c r="B4164" s="35" t="s">
        <v>18529</v>
      </c>
    </row>
    <row r="4165" spans="1:2" x14ac:dyDescent="0.35">
      <c r="A4165" s="34">
        <v>30222047</v>
      </c>
      <c r="B4165" s="35" t="s">
        <v>3236</v>
      </c>
    </row>
    <row r="4166" spans="1:2" x14ac:dyDescent="0.35">
      <c r="A4166" s="34">
        <v>30222048</v>
      </c>
      <c r="B4166" s="35" t="s">
        <v>17297</v>
      </c>
    </row>
    <row r="4167" spans="1:2" x14ac:dyDescent="0.35">
      <c r="A4167" s="34">
        <v>30222049</v>
      </c>
      <c r="B4167" s="35" t="s">
        <v>19361</v>
      </c>
    </row>
    <row r="4168" spans="1:2" x14ac:dyDescent="0.35">
      <c r="A4168" s="34">
        <v>30222050</v>
      </c>
      <c r="B4168" s="35" t="s">
        <v>578</v>
      </c>
    </row>
    <row r="4169" spans="1:2" x14ac:dyDescent="0.35">
      <c r="A4169" s="34">
        <v>30222051</v>
      </c>
      <c r="B4169" s="35" t="s">
        <v>14967</v>
      </c>
    </row>
    <row r="4170" spans="1:2" x14ac:dyDescent="0.35">
      <c r="A4170" s="34">
        <v>30222052</v>
      </c>
      <c r="B4170" s="35" t="s">
        <v>12267</v>
      </c>
    </row>
    <row r="4171" spans="1:2" x14ac:dyDescent="0.35">
      <c r="A4171" s="34">
        <v>30222053</v>
      </c>
      <c r="B4171" s="35" t="s">
        <v>11157</v>
      </c>
    </row>
    <row r="4172" spans="1:2" x14ac:dyDescent="0.35">
      <c r="A4172" s="34">
        <v>30222054</v>
      </c>
      <c r="B4172" s="35" t="s">
        <v>11150</v>
      </c>
    </row>
    <row r="4173" spans="1:2" x14ac:dyDescent="0.35">
      <c r="A4173" s="34">
        <v>30222055</v>
      </c>
      <c r="B4173" s="35" t="s">
        <v>14673</v>
      </c>
    </row>
    <row r="4174" spans="1:2" x14ac:dyDescent="0.35">
      <c r="A4174" s="34">
        <v>30222056</v>
      </c>
      <c r="B4174" s="35" t="s">
        <v>15369</v>
      </c>
    </row>
    <row r="4175" spans="1:2" x14ac:dyDescent="0.35">
      <c r="A4175" s="34">
        <v>30222057</v>
      </c>
      <c r="B4175" s="35" t="s">
        <v>10632</v>
      </c>
    </row>
    <row r="4176" spans="1:2" x14ac:dyDescent="0.35">
      <c r="A4176" s="34">
        <v>30222058</v>
      </c>
      <c r="B4176" s="35" t="s">
        <v>13076</v>
      </c>
    </row>
    <row r="4177" spans="1:2" x14ac:dyDescent="0.35">
      <c r="A4177" s="34">
        <v>30222059</v>
      </c>
      <c r="B4177" s="35" t="s">
        <v>5310</v>
      </c>
    </row>
    <row r="4178" spans="1:2" x14ac:dyDescent="0.35">
      <c r="A4178" s="34">
        <v>30222060</v>
      </c>
      <c r="B4178" s="35" t="s">
        <v>15676</v>
      </c>
    </row>
    <row r="4179" spans="1:2" x14ac:dyDescent="0.35">
      <c r="A4179" s="34">
        <v>30222061</v>
      </c>
      <c r="B4179" s="35" t="s">
        <v>19494</v>
      </c>
    </row>
    <row r="4180" spans="1:2" x14ac:dyDescent="0.35">
      <c r="A4180" s="34">
        <v>30222063</v>
      </c>
      <c r="B4180" s="35" t="s">
        <v>6183</v>
      </c>
    </row>
    <row r="4181" spans="1:2" x14ac:dyDescent="0.35">
      <c r="A4181" s="34">
        <v>30222101</v>
      </c>
      <c r="B4181" s="35" t="s">
        <v>11110</v>
      </c>
    </row>
    <row r="4182" spans="1:2" x14ac:dyDescent="0.35">
      <c r="A4182" s="34">
        <v>30222102</v>
      </c>
      <c r="B4182" s="35" t="s">
        <v>850</v>
      </c>
    </row>
    <row r="4183" spans="1:2" x14ac:dyDescent="0.35">
      <c r="A4183" s="34">
        <v>30222103</v>
      </c>
      <c r="B4183" s="35" t="s">
        <v>472</v>
      </c>
    </row>
    <row r="4184" spans="1:2" x14ac:dyDescent="0.35">
      <c r="A4184" s="34">
        <v>30222104</v>
      </c>
      <c r="B4184" s="35" t="s">
        <v>3505</v>
      </c>
    </row>
    <row r="4185" spans="1:2" x14ac:dyDescent="0.35">
      <c r="A4185" s="34">
        <v>30222105</v>
      </c>
      <c r="B4185" s="35" t="s">
        <v>15992</v>
      </c>
    </row>
    <row r="4186" spans="1:2" x14ac:dyDescent="0.35">
      <c r="A4186" s="34">
        <v>30222106</v>
      </c>
      <c r="B4186" s="35" t="s">
        <v>13444</v>
      </c>
    </row>
    <row r="4187" spans="1:2" x14ac:dyDescent="0.35">
      <c r="A4187" s="34">
        <v>30222107</v>
      </c>
      <c r="B4187" s="35" t="s">
        <v>6756</v>
      </c>
    </row>
    <row r="4188" spans="1:2" x14ac:dyDescent="0.35">
      <c r="A4188" s="34">
        <v>30222108</v>
      </c>
      <c r="B4188" s="35" t="s">
        <v>6133</v>
      </c>
    </row>
    <row r="4189" spans="1:2" x14ac:dyDescent="0.35">
      <c r="A4189" s="34">
        <v>30222109</v>
      </c>
      <c r="B4189" s="35" t="s">
        <v>7423</v>
      </c>
    </row>
    <row r="4190" spans="1:2" x14ac:dyDescent="0.35">
      <c r="A4190" s="34">
        <v>30222110</v>
      </c>
      <c r="B4190" s="35" t="s">
        <v>10324</v>
      </c>
    </row>
    <row r="4191" spans="1:2" x14ac:dyDescent="0.35">
      <c r="A4191" s="34">
        <v>30222111</v>
      </c>
      <c r="B4191" s="35" t="s">
        <v>16083</v>
      </c>
    </row>
    <row r="4192" spans="1:2" x14ac:dyDescent="0.35">
      <c r="A4192" s="34">
        <v>30222112</v>
      </c>
      <c r="B4192" s="35" t="s">
        <v>18752</v>
      </c>
    </row>
    <row r="4193" spans="1:2" x14ac:dyDescent="0.35">
      <c r="A4193" s="34">
        <v>30222113</v>
      </c>
      <c r="B4193" s="35" t="s">
        <v>10263</v>
      </c>
    </row>
    <row r="4194" spans="1:2" x14ac:dyDescent="0.35">
      <c r="A4194" s="34">
        <v>30222114</v>
      </c>
      <c r="B4194" s="35" t="s">
        <v>4526</v>
      </c>
    </row>
    <row r="4195" spans="1:2" x14ac:dyDescent="0.35">
      <c r="A4195" s="34">
        <v>30222115</v>
      </c>
      <c r="B4195" s="35" t="s">
        <v>12269</v>
      </c>
    </row>
    <row r="4196" spans="1:2" x14ac:dyDescent="0.35">
      <c r="A4196" s="34">
        <v>30222116</v>
      </c>
      <c r="B4196" s="35" t="s">
        <v>5555</v>
      </c>
    </row>
    <row r="4197" spans="1:2" x14ac:dyDescent="0.35">
      <c r="A4197" s="34">
        <v>30222117</v>
      </c>
      <c r="B4197" s="35" t="s">
        <v>7875</v>
      </c>
    </row>
    <row r="4198" spans="1:2" x14ac:dyDescent="0.35">
      <c r="A4198" s="34">
        <v>30222118</v>
      </c>
      <c r="B4198" s="35" t="s">
        <v>6578</v>
      </c>
    </row>
    <row r="4199" spans="1:2" x14ac:dyDescent="0.35">
      <c r="A4199" s="34">
        <v>30222201</v>
      </c>
      <c r="B4199" s="35" t="s">
        <v>13705</v>
      </c>
    </row>
    <row r="4200" spans="1:2" x14ac:dyDescent="0.35">
      <c r="A4200" s="34">
        <v>30222202</v>
      </c>
      <c r="B4200" s="35" t="s">
        <v>19509</v>
      </c>
    </row>
    <row r="4201" spans="1:2" x14ac:dyDescent="0.35">
      <c r="A4201" s="34">
        <v>30222203</v>
      </c>
      <c r="B4201" s="35" t="s">
        <v>18118</v>
      </c>
    </row>
    <row r="4202" spans="1:2" x14ac:dyDescent="0.35">
      <c r="A4202" s="34">
        <v>30222204</v>
      </c>
      <c r="B4202" s="35" t="s">
        <v>11613</v>
      </c>
    </row>
    <row r="4203" spans="1:2" x14ac:dyDescent="0.35">
      <c r="A4203" s="34">
        <v>30222205</v>
      </c>
      <c r="B4203" s="35" t="s">
        <v>11327</v>
      </c>
    </row>
    <row r="4204" spans="1:2" x14ac:dyDescent="0.35">
      <c r="A4204" s="34">
        <v>30222206</v>
      </c>
      <c r="B4204" s="35" t="s">
        <v>15274</v>
      </c>
    </row>
    <row r="4205" spans="1:2" x14ac:dyDescent="0.35">
      <c r="A4205" s="34">
        <v>30222207</v>
      </c>
      <c r="B4205" s="35" t="s">
        <v>383</v>
      </c>
    </row>
    <row r="4206" spans="1:2" x14ac:dyDescent="0.35">
      <c r="A4206" s="34">
        <v>30222208</v>
      </c>
      <c r="B4206" s="35" t="s">
        <v>12848</v>
      </c>
    </row>
    <row r="4207" spans="1:2" x14ac:dyDescent="0.35">
      <c r="A4207" s="34">
        <v>30222301</v>
      </c>
      <c r="B4207" s="35" t="s">
        <v>100</v>
      </c>
    </row>
    <row r="4208" spans="1:2" x14ac:dyDescent="0.35">
      <c r="A4208" s="34">
        <v>30222302</v>
      </c>
      <c r="B4208" s="35" t="s">
        <v>9728</v>
      </c>
    </row>
    <row r="4209" spans="1:2" x14ac:dyDescent="0.35">
      <c r="A4209" s="34">
        <v>30222303</v>
      </c>
      <c r="B4209" s="35" t="s">
        <v>10258</v>
      </c>
    </row>
    <row r="4210" spans="1:2" x14ac:dyDescent="0.35">
      <c r="A4210" s="34">
        <v>30222304</v>
      </c>
      <c r="B4210" s="35" t="s">
        <v>11687</v>
      </c>
    </row>
    <row r="4211" spans="1:2" x14ac:dyDescent="0.35">
      <c r="A4211" s="34">
        <v>30222305</v>
      </c>
      <c r="B4211" s="35" t="s">
        <v>4562</v>
      </c>
    </row>
    <row r="4212" spans="1:2" x14ac:dyDescent="0.35">
      <c r="A4212" s="34">
        <v>30222306</v>
      </c>
      <c r="B4212" s="35" t="s">
        <v>12562</v>
      </c>
    </row>
    <row r="4213" spans="1:2" x14ac:dyDescent="0.35">
      <c r="A4213" s="34">
        <v>30222307</v>
      </c>
      <c r="B4213" s="35" t="s">
        <v>16531</v>
      </c>
    </row>
    <row r="4214" spans="1:2" x14ac:dyDescent="0.35">
      <c r="A4214" s="34">
        <v>30222308</v>
      </c>
      <c r="B4214" s="35" t="s">
        <v>2627</v>
      </c>
    </row>
    <row r="4215" spans="1:2" x14ac:dyDescent="0.35">
      <c r="A4215" s="34">
        <v>30222309</v>
      </c>
      <c r="B4215" s="35" t="s">
        <v>10491</v>
      </c>
    </row>
    <row r="4216" spans="1:2" x14ac:dyDescent="0.35">
      <c r="A4216" s="34">
        <v>30222401</v>
      </c>
      <c r="B4216" s="35" t="s">
        <v>7494</v>
      </c>
    </row>
    <row r="4217" spans="1:2" x14ac:dyDescent="0.35">
      <c r="A4217" s="34">
        <v>30222402</v>
      </c>
      <c r="B4217" s="35" t="s">
        <v>13838</v>
      </c>
    </row>
    <row r="4218" spans="1:2" x14ac:dyDescent="0.35">
      <c r="A4218" s="34">
        <v>30222403</v>
      </c>
      <c r="B4218" s="35" t="s">
        <v>14087</v>
      </c>
    </row>
    <row r="4219" spans="1:2" x14ac:dyDescent="0.35">
      <c r="A4219" s="34">
        <v>30222404</v>
      </c>
      <c r="B4219" s="35" t="s">
        <v>10373</v>
      </c>
    </row>
    <row r="4220" spans="1:2" x14ac:dyDescent="0.35">
      <c r="A4220" s="34">
        <v>30222405</v>
      </c>
      <c r="B4220" s="35" t="s">
        <v>1073</v>
      </c>
    </row>
    <row r="4221" spans="1:2" x14ac:dyDescent="0.35">
      <c r="A4221" s="34">
        <v>30222406</v>
      </c>
      <c r="B4221" s="35" t="s">
        <v>11868</v>
      </c>
    </row>
    <row r="4222" spans="1:2" x14ac:dyDescent="0.35">
      <c r="A4222" s="34">
        <v>30222407</v>
      </c>
      <c r="B4222" s="35" t="s">
        <v>315</v>
      </c>
    </row>
    <row r="4223" spans="1:2" x14ac:dyDescent="0.35">
      <c r="A4223" s="34">
        <v>30222408</v>
      </c>
      <c r="B4223" s="35" t="s">
        <v>974</v>
      </c>
    </row>
    <row r="4224" spans="1:2" x14ac:dyDescent="0.35">
      <c r="A4224" s="34">
        <v>30222409</v>
      </c>
      <c r="B4224" s="35" t="s">
        <v>9539</v>
      </c>
    </row>
    <row r="4225" spans="1:2" x14ac:dyDescent="0.35">
      <c r="A4225" s="34">
        <v>30222501</v>
      </c>
      <c r="B4225" s="35" t="s">
        <v>15603</v>
      </c>
    </row>
    <row r="4226" spans="1:2" x14ac:dyDescent="0.35">
      <c r="A4226" s="34">
        <v>30222502</v>
      </c>
      <c r="B4226" s="35" t="s">
        <v>6412</v>
      </c>
    </row>
    <row r="4227" spans="1:2" x14ac:dyDescent="0.35">
      <c r="A4227" s="34">
        <v>30222503</v>
      </c>
      <c r="B4227" s="35" t="s">
        <v>3691</v>
      </c>
    </row>
    <row r="4228" spans="1:2" x14ac:dyDescent="0.35">
      <c r="A4228" s="34">
        <v>30222504</v>
      </c>
      <c r="B4228" s="35" t="s">
        <v>18932</v>
      </c>
    </row>
    <row r="4229" spans="1:2" x14ac:dyDescent="0.35">
      <c r="A4229" s="34">
        <v>30222505</v>
      </c>
      <c r="B4229" s="35" t="s">
        <v>14745</v>
      </c>
    </row>
    <row r="4230" spans="1:2" x14ac:dyDescent="0.35">
      <c r="A4230" s="34">
        <v>30222506</v>
      </c>
      <c r="B4230" s="35" t="s">
        <v>9378</v>
      </c>
    </row>
    <row r="4231" spans="1:2" x14ac:dyDescent="0.35">
      <c r="A4231" s="34">
        <v>30222507</v>
      </c>
      <c r="B4231" s="35" t="s">
        <v>8476</v>
      </c>
    </row>
    <row r="4232" spans="1:2" x14ac:dyDescent="0.35">
      <c r="A4232" s="34">
        <v>30222601</v>
      </c>
      <c r="B4232" s="35" t="s">
        <v>15380</v>
      </c>
    </row>
    <row r="4233" spans="1:2" x14ac:dyDescent="0.35">
      <c r="A4233" s="34">
        <v>30222602</v>
      </c>
      <c r="B4233" s="35" t="s">
        <v>18242</v>
      </c>
    </row>
    <row r="4234" spans="1:2" x14ac:dyDescent="0.35">
      <c r="A4234" s="34">
        <v>30222603</v>
      </c>
      <c r="B4234" s="35" t="s">
        <v>2815</v>
      </c>
    </row>
    <row r="4235" spans="1:2" x14ac:dyDescent="0.35">
      <c r="A4235" s="34">
        <v>30222604</v>
      </c>
      <c r="B4235" s="35" t="s">
        <v>8496</v>
      </c>
    </row>
    <row r="4236" spans="1:2" x14ac:dyDescent="0.35">
      <c r="A4236" s="34">
        <v>30222605</v>
      </c>
      <c r="B4236" s="35" t="s">
        <v>14889</v>
      </c>
    </row>
    <row r="4237" spans="1:2" x14ac:dyDescent="0.35">
      <c r="A4237" s="34">
        <v>30222606</v>
      </c>
      <c r="B4237" s="35" t="s">
        <v>17823</v>
      </c>
    </row>
    <row r="4238" spans="1:2" x14ac:dyDescent="0.35">
      <c r="A4238" s="34">
        <v>30222607</v>
      </c>
      <c r="B4238" s="35" t="s">
        <v>25</v>
      </c>
    </row>
    <row r="4239" spans="1:2" x14ac:dyDescent="0.35">
      <c r="A4239" s="34">
        <v>30222608</v>
      </c>
      <c r="B4239" s="35" t="s">
        <v>844</v>
      </c>
    </row>
    <row r="4240" spans="1:2" x14ac:dyDescent="0.35">
      <c r="A4240" s="34">
        <v>30222701</v>
      </c>
      <c r="B4240" s="35" t="s">
        <v>8532</v>
      </c>
    </row>
    <row r="4241" spans="1:2" x14ac:dyDescent="0.35">
      <c r="A4241" s="34">
        <v>30222702</v>
      </c>
      <c r="B4241" s="35" t="s">
        <v>18216</v>
      </c>
    </row>
    <row r="4242" spans="1:2" x14ac:dyDescent="0.35">
      <c r="A4242" s="34">
        <v>30222703</v>
      </c>
      <c r="B4242" s="35" t="s">
        <v>2494</v>
      </c>
    </row>
    <row r="4243" spans="1:2" x14ac:dyDescent="0.35">
      <c r="A4243" s="34">
        <v>30222801</v>
      </c>
      <c r="B4243" s="35" t="s">
        <v>1942</v>
      </c>
    </row>
    <row r="4244" spans="1:2" x14ac:dyDescent="0.35">
      <c r="A4244" s="34">
        <v>30222802</v>
      </c>
      <c r="B4244" s="35" t="s">
        <v>19526</v>
      </c>
    </row>
    <row r="4245" spans="1:2" x14ac:dyDescent="0.35">
      <c r="A4245" s="34">
        <v>30222803</v>
      </c>
      <c r="B4245" s="35" t="s">
        <v>7470</v>
      </c>
    </row>
    <row r="4246" spans="1:2" x14ac:dyDescent="0.35">
      <c r="A4246" s="34">
        <v>30222901</v>
      </c>
      <c r="B4246" s="35" t="s">
        <v>11848</v>
      </c>
    </row>
    <row r="4247" spans="1:2" x14ac:dyDescent="0.35">
      <c r="A4247" s="34">
        <v>30222902</v>
      </c>
      <c r="B4247" s="35" t="s">
        <v>17607</v>
      </c>
    </row>
    <row r="4248" spans="1:2" x14ac:dyDescent="0.35">
      <c r="A4248" s="34">
        <v>30222903</v>
      </c>
      <c r="B4248" s="35" t="s">
        <v>7380</v>
      </c>
    </row>
    <row r="4249" spans="1:2" x14ac:dyDescent="0.35">
      <c r="A4249" s="34">
        <v>30222904</v>
      </c>
      <c r="B4249" s="35" t="s">
        <v>14336</v>
      </c>
    </row>
    <row r="4250" spans="1:2" x14ac:dyDescent="0.35">
      <c r="A4250" s="34">
        <v>30223001</v>
      </c>
      <c r="B4250" s="35" t="s">
        <v>6436</v>
      </c>
    </row>
    <row r="4251" spans="1:2" x14ac:dyDescent="0.35">
      <c r="A4251" s="34">
        <v>30223002</v>
      </c>
      <c r="B4251" s="35" t="s">
        <v>14074</v>
      </c>
    </row>
    <row r="4252" spans="1:2" x14ac:dyDescent="0.35">
      <c r="A4252" s="34">
        <v>30223003</v>
      </c>
      <c r="B4252" s="35" t="s">
        <v>875</v>
      </c>
    </row>
    <row r="4253" spans="1:2" x14ac:dyDescent="0.35">
      <c r="A4253" s="34">
        <v>31101501</v>
      </c>
      <c r="B4253" s="35" t="s">
        <v>15597</v>
      </c>
    </row>
    <row r="4254" spans="1:2" x14ac:dyDescent="0.35">
      <c r="A4254" s="34">
        <v>31101502</v>
      </c>
      <c r="B4254" s="35" t="s">
        <v>14465</v>
      </c>
    </row>
    <row r="4255" spans="1:2" x14ac:dyDescent="0.35">
      <c r="A4255" s="34">
        <v>31101503</v>
      </c>
      <c r="B4255" s="35" t="s">
        <v>16425</v>
      </c>
    </row>
    <row r="4256" spans="1:2" x14ac:dyDescent="0.35">
      <c r="A4256" s="34">
        <v>31101504</v>
      </c>
      <c r="B4256" s="35" t="s">
        <v>6924</v>
      </c>
    </row>
    <row r="4257" spans="1:2" x14ac:dyDescent="0.35">
      <c r="A4257" s="34">
        <v>31101505</v>
      </c>
      <c r="B4257" s="35" t="s">
        <v>18544</v>
      </c>
    </row>
    <row r="4258" spans="1:2" x14ac:dyDescent="0.35">
      <c r="A4258" s="34">
        <v>31101506</v>
      </c>
      <c r="B4258" s="35" t="s">
        <v>12434</v>
      </c>
    </row>
    <row r="4259" spans="1:2" x14ac:dyDescent="0.35">
      <c r="A4259" s="34">
        <v>31101507</v>
      </c>
      <c r="B4259" s="35" t="s">
        <v>15780</v>
      </c>
    </row>
    <row r="4260" spans="1:2" x14ac:dyDescent="0.35">
      <c r="A4260" s="34">
        <v>31101508</v>
      </c>
      <c r="B4260" s="35" t="s">
        <v>11122</v>
      </c>
    </row>
    <row r="4261" spans="1:2" x14ac:dyDescent="0.35">
      <c r="A4261" s="34">
        <v>31101509</v>
      </c>
      <c r="B4261" s="35" t="s">
        <v>1917</v>
      </c>
    </row>
    <row r="4262" spans="1:2" x14ac:dyDescent="0.35">
      <c r="A4262" s="34">
        <v>31101510</v>
      </c>
      <c r="B4262" s="35" t="s">
        <v>15086</v>
      </c>
    </row>
    <row r="4263" spans="1:2" x14ac:dyDescent="0.35">
      <c r="A4263" s="34">
        <v>31101511</v>
      </c>
      <c r="B4263" s="35" t="s">
        <v>15321</v>
      </c>
    </row>
    <row r="4264" spans="1:2" x14ac:dyDescent="0.35">
      <c r="A4264" s="34">
        <v>31101512</v>
      </c>
      <c r="B4264" s="35" t="s">
        <v>16393</v>
      </c>
    </row>
    <row r="4265" spans="1:2" x14ac:dyDescent="0.35">
      <c r="A4265" s="34">
        <v>31101513</v>
      </c>
      <c r="B4265" s="35" t="s">
        <v>6354</v>
      </c>
    </row>
    <row r="4266" spans="1:2" x14ac:dyDescent="0.35">
      <c r="A4266" s="34">
        <v>31101514</v>
      </c>
      <c r="B4266" s="35" t="s">
        <v>9474</v>
      </c>
    </row>
    <row r="4267" spans="1:2" x14ac:dyDescent="0.35">
      <c r="A4267" s="34">
        <v>31101515</v>
      </c>
      <c r="B4267" s="35" t="s">
        <v>1109</v>
      </c>
    </row>
    <row r="4268" spans="1:2" x14ac:dyDescent="0.35">
      <c r="A4268" s="34">
        <v>31101516</v>
      </c>
      <c r="B4268" s="35" t="s">
        <v>17742</v>
      </c>
    </row>
    <row r="4269" spans="1:2" x14ac:dyDescent="0.35">
      <c r="A4269" s="34">
        <v>31101601</v>
      </c>
      <c r="B4269" s="35" t="s">
        <v>3776</v>
      </c>
    </row>
    <row r="4270" spans="1:2" x14ac:dyDescent="0.35">
      <c r="A4270" s="34">
        <v>31101602</v>
      </c>
      <c r="B4270" s="35" t="s">
        <v>379</v>
      </c>
    </row>
    <row r="4271" spans="1:2" x14ac:dyDescent="0.35">
      <c r="A4271" s="34">
        <v>31101603</v>
      </c>
      <c r="B4271" s="35" t="s">
        <v>17760</v>
      </c>
    </row>
    <row r="4272" spans="1:2" x14ac:dyDescent="0.35">
      <c r="A4272" s="34">
        <v>31101604</v>
      </c>
      <c r="B4272" s="35" t="s">
        <v>19235</v>
      </c>
    </row>
    <row r="4273" spans="1:2" x14ac:dyDescent="0.35">
      <c r="A4273" s="34">
        <v>31101605</v>
      </c>
      <c r="B4273" s="35" t="s">
        <v>13367</v>
      </c>
    </row>
    <row r="4274" spans="1:2" x14ac:dyDescent="0.35">
      <c r="A4274" s="34">
        <v>31101606</v>
      </c>
      <c r="B4274" s="35" t="s">
        <v>5970</v>
      </c>
    </row>
    <row r="4275" spans="1:2" x14ac:dyDescent="0.35">
      <c r="A4275" s="34">
        <v>31101607</v>
      </c>
      <c r="B4275" s="35" t="s">
        <v>9384</v>
      </c>
    </row>
    <row r="4276" spans="1:2" x14ac:dyDescent="0.35">
      <c r="A4276" s="34">
        <v>31101608</v>
      </c>
      <c r="B4276" s="35" t="s">
        <v>12333</v>
      </c>
    </row>
    <row r="4277" spans="1:2" x14ac:dyDescent="0.35">
      <c r="A4277" s="34">
        <v>31101609</v>
      </c>
      <c r="B4277" s="35" t="s">
        <v>12052</v>
      </c>
    </row>
    <row r="4278" spans="1:2" x14ac:dyDescent="0.35">
      <c r="A4278" s="34">
        <v>31101610</v>
      </c>
      <c r="B4278" s="35" t="s">
        <v>3508</v>
      </c>
    </row>
    <row r="4279" spans="1:2" x14ac:dyDescent="0.35">
      <c r="A4279" s="34">
        <v>31101611</v>
      </c>
      <c r="B4279" s="35" t="s">
        <v>7561</v>
      </c>
    </row>
    <row r="4280" spans="1:2" x14ac:dyDescent="0.35">
      <c r="A4280" s="34">
        <v>31101612</v>
      </c>
      <c r="B4280" s="35" t="s">
        <v>17535</v>
      </c>
    </row>
    <row r="4281" spans="1:2" x14ac:dyDescent="0.35">
      <c r="A4281" s="34">
        <v>31101613</v>
      </c>
      <c r="B4281" s="35" t="s">
        <v>12886</v>
      </c>
    </row>
    <row r="4282" spans="1:2" x14ac:dyDescent="0.35">
      <c r="A4282" s="34">
        <v>31101614</v>
      </c>
      <c r="B4282" s="35" t="s">
        <v>19533</v>
      </c>
    </row>
    <row r="4283" spans="1:2" x14ac:dyDescent="0.35">
      <c r="A4283" s="34">
        <v>31101615</v>
      </c>
      <c r="B4283" s="35" t="s">
        <v>10830</v>
      </c>
    </row>
    <row r="4284" spans="1:2" x14ac:dyDescent="0.35">
      <c r="A4284" s="34">
        <v>31101616</v>
      </c>
      <c r="B4284" s="35" t="s">
        <v>18196</v>
      </c>
    </row>
    <row r="4285" spans="1:2" x14ac:dyDescent="0.35">
      <c r="A4285" s="34">
        <v>31101701</v>
      </c>
      <c r="B4285" s="35" t="s">
        <v>18983</v>
      </c>
    </row>
    <row r="4286" spans="1:2" x14ac:dyDescent="0.35">
      <c r="A4286" s="34">
        <v>31101702</v>
      </c>
      <c r="B4286" s="35" t="s">
        <v>15423</v>
      </c>
    </row>
    <row r="4287" spans="1:2" x14ac:dyDescent="0.35">
      <c r="A4287" s="34">
        <v>31101703</v>
      </c>
      <c r="B4287" s="35" t="s">
        <v>11732</v>
      </c>
    </row>
    <row r="4288" spans="1:2" x14ac:dyDescent="0.35">
      <c r="A4288" s="34">
        <v>31101704</v>
      </c>
      <c r="B4288" s="35" t="s">
        <v>16235</v>
      </c>
    </row>
    <row r="4289" spans="1:2" x14ac:dyDescent="0.35">
      <c r="A4289" s="34">
        <v>31101705</v>
      </c>
      <c r="B4289" s="35" t="s">
        <v>3538</v>
      </c>
    </row>
    <row r="4290" spans="1:2" x14ac:dyDescent="0.35">
      <c r="A4290" s="34">
        <v>31101706</v>
      </c>
      <c r="B4290" s="35" t="s">
        <v>17920</v>
      </c>
    </row>
    <row r="4291" spans="1:2" x14ac:dyDescent="0.35">
      <c r="A4291" s="34">
        <v>31101707</v>
      </c>
      <c r="B4291" s="35" t="s">
        <v>4721</v>
      </c>
    </row>
    <row r="4292" spans="1:2" x14ac:dyDescent="0.35">
      <c r="A4292" s="34">
        <v>31101708</v>
      </c>
      <c r="B4292" s="35" t="s">
        <v>2238</v>
      </c>
    </row>
    <row r="4293" spans="1:2" x14ac:dyDescent="0.35">
      <c r="A4293" s="34">
        <v>31101709</v>
      </c>
      <c r="B4293" s="35" t="s">
        <v>4401</v>
      </c>
    </row>
    <row r="4294" spans="1:2" x14ac:dyDescent="0.35">
      <c r="A4294" s="34">
        <v>31101710</v>
      </c>
      <c r="B4294" s="35" t="s">
        <v>94</v>
      </c>
    </row>
    <row r="4295" spans="1:2" x14ac:dyDescent="0.35">
      <c r="A4295" s="34">
        <v>31101711</v>
      </c>
      <c r="B4295" s="35" t="s">
        <v>15746</v>
      </c>
    </row>
    <row r="4296" spans="1:2" x14ac:dyDescent="0.35">
      <c r="A4296" s="34">
        <v>31101712</v>
      </c>
      <c r="B4296" s="35" t="s">
        <v>9500</v>
      </c>
    </row>
    <row r="4297" spans="1:2" x14ac:dyDescent="0.35">
      <c r="A4297" s="34">
        <v>31101713</v>
      </c>
      <c r="B4297" s="35" t="s">
        <v>8048</v>
      </c>
    </row>
    <row r="4298" spans="1:2" x14ac:dyDescent="0.35">
      <c r="A4298" s="34">
        <v>31101714</v>
      </c>
      <c r="B4298" s="35" t="s">
        <v>5260</v>
      </c>
    </row>
    <row r="4299" spans="1:2" x14ac:dyDescent="0.35">
      <c r="A4299" s="34">
        <v>31101715</v>
      </c>
      <c r="B4299" s="35" t="s">
        <v>4434</v>
      </c>
    </row>
    <row r="4300" spans="1:2" x14ac:dyDescent="0.35">
      <c r="A4300" s="34">
        <v>31101716</v>
      </c>
      <c r="B4300" s="35" t="s">
        <v>9476</v>
      </c>
    </row>
    <row r="4301" spans="1:2" x14ac:dyDescent="0.35">
      <c r="A4301" s="34">
        <v>31101801</v>
      </c>
      <c r="B4301" s="35" t="s">
        <v>13359</v>
      </c>
    </row>
    <row r="4302" spans="1:2" x14ac:dyDescent="0.35">
      <c r="A4302" s="34">
        <v>31101802</v>
      </c>
      <c r="B4302" s="35" t="s">
        <v>6616</v>
      </c>
    </row>
    <row r="4303" spans="1:2" x14ac:dyDescent="0.35">
      <c r="A4303" s="34">
        <v>31101803</v>
      </c>
      <c r="B4303" s="35" t="s">
        <v>10378</v>
      </c>
    </row>
    <row r="4304" spans="1:2" x14ac:dyDescent="0.35">
      <c r="A4304" s="34">
        <v>31101804</v>
      </c>
      <c r="B4304" s="35" t="s">
        <v>12273</v>
      </c>
    </row>
    <row r="4305" spans="1:2" x14ac:dyDescent="0.35">
      <c r="A4305" s="34">
        <v>31101805</v>
      </c>
      <c r="B4305" s="35" t="s">
        <v>17619</v>
      </c>
    </row>
    <row r="4306" spans="1:2" x14ac:dyDescent="0.35">
      <c r="A4306" s="34">
        <v>31101806</v>
      </c>
      <c r="B4306" s="35" t="s">
        <v>15195</v>
      </c>
    </row>
    <row r="4307" spans="1:2" x14ac:dyDescent="0.35">
      <c r="A4307" s="34">
        <v>31101807</v>
      </c>
      <c r="B4307" s="35" t="s">
        <v>232</v>
      </c>
    </row>
    <row r="4308" spans="1:2" x14ac:dyDescent="0.35">
      <c r="A4308" s="34">
        <v>31101808</v>
      </c>
      <c r="B4308" s="35" t="s">
        <v>4481</v>
      </c>
    </row>
    <row r="4309" spans="1:2" x14ac:dyDescent="0.35">
      <c r="A4309" s="34">
        <v>31101809</v>
      </c>
      <c r="B4309" s="35" t="s">
        <v>15458</v>
      </c>
    </row>
    <row r="4310" spans="1:2" x14ac:dyDescent="0.35">
      <c r="A4310" s="34">
        <v>31101810</v>
      </c>
      <c r="B4310" s="35" t="s">
        <v>8990</v>
      </c>
    </row>
    <row r="4311" spans="1:2" x14ac:dyDescent="0.35">
      <c r="A4311" s="34">
        <v>31101811</v>
      </c>
      <c r="B4311" s="35" t="s">
        <v>13599</v>
      </c>
    </row>
    <row r="4312" spans="1:2" x14ac:dyDescent="0.35">
      <c r="A4312" s="34">
        <v>31101812</v>
      </c>
      <c r="B4312" s="35" t="s">
        <v>9140</v>
      </c>
    </row>
    <row r="4313" spans="1:2" x14ac:dyDescent="0.35">
      <c r="A4313" s="34">
        <v>31101813</v>
      </c>
      <c r="B4313" s="35" t="s">
        <v>7855</v>
      </c>
    </row>
    <row r="4314" spans="1:2" x14ac:dyDescent="0.35">
      <c r="A4314" s="34">
        <v>31101814</v>
      </c>
      <c r="B4314" s="35" t="s">
        <v>18666</v>
      </c>
    </row>
    <row r="4315" spans="1:2" x14ac:dyDescent="0.35">
      <c r="A4315" s="34">
        <v>31101815</v>
      </c>
      <c r="B4315" s="35" t="s">
        <v>14213</v>
      </c>
    </row>
    <row r="4316" spans="1:2" x14ac:dyDescent="0.35">
      <c r="A4316" s="34">
        <v>31101816</v>
      </c>
      <c r="B4316" s="35" t="s">
        <v>11854</v>
      </c>
    </row>
    <row r="4317" spans="1:2" x14ac:dyDescent="0.35">
      <c r="A4317" s="34">
        <v>31101901</v>
      </c>
      <c r="B4317" s="35" t="s">
        <v>356</v>
      </c>
    </row>
    <row r="4318" spans="1:2" x14ac:dyDescent="0.35">
      <c r="A4318" s="34">
        <v>31101902</v>
      </c>
      <c r="B4318" s="35" t="s">
        <v>3489</v>
      </c>
    </row>
    <row r="4319" spans="1:2" x14ac:dyDescent="0.35">
      <c r="A4319" s="34">
        <v>31101903</v>
      </c>
      <c r="B4319" s="35" t="s">
        <v>10480</v>
      </c>
    </row>
    <row r="4320" spans="1:2" x14ac:dyDescent="0.35">
      <c r="A4320" s="34">
        <v>31101904</v>
      </c>
      <c r="B4320" s="35" t="s">
        <v>13896</v>
      </c>
    </row>
    <row r="4321" spans="1:2" x14ac:dyDescent="0.35">
      <c r="A4321" s="34">
        <v>31101905</v>
      </c>
      <c r="B4321" s="35" t="s">
        <v>998</v>
      </c>
    </row>
    <row r="4322" spans="1:2" x14ac:dyDescent="0.35">
      <c r="A4322" s="34">
        <v>31101906</v>
      </c>
      <c r="B4322" s="35" t="s">
        <v>9088</v>
      </c>
    </row>
    <row r="4323" spans="1:2" x14ac:dyDescent="0.35">
      <c r="A4323" s="34">
        <v>31101907</v>
      </c>
      <c r="B4323" s="35" t="s">
        <v>18210</v>
      </c>
    </row>
    <row r="4324" spans="1:2" x14ac:dyDescent="0.35">
      <c r="A4324" s="34">
        <v>31101908</v>
      </c>
      <c r="B4324" s="35" t="s">
        <v>946</v>
      </c>
    </row>
    <row r="4325" spans="1:2" x14ac:dyDescent="0.35">
      <c r="A4325" s="34">
        <v>31101909</v>
      </c>
      <c r="B4325" s="35" t="s">
        <v>16871</v>
      </c>
    </row>
    <row r="4326" spans="1:2" x14ac:dyDescent="0.35">
      <c r="A4326" s="34">
        <v>31101910</v>
      </c>
      <c r="B4326" s="35" t="s">
        <v>13858</v>
      </c>
    </row>
    <row r="4327" spans="1:2" x14ac:dyDescent="0.35">
      <c r="A4327" s="34">
        <v>31101911</v>
      </c>
      <c r="B4327" s="35" t="s">
        <v>10881</v>
      </c>
    </row>
    <row r="4328" spans="1:2" x14ac:dyDescent="0.35">
      <c r="A4328" s="34">
        <v>31101912</v>
      </c>
      <c r="B4328" s="35" t="s">
        <v>11589</v>
      </c>
    </row>
    <row r="4329" spans="1:2" x14ac:dyDescent="0.35">
      <c r="A4329" s="34">
        <v>31102001</v>
      </c>
      <c r="B4329" s="35" t="s">
        <v>5668</v>
      </c>
    </row>
    <row r="4330" spans="1:2" x14ac:dyDescent="0.35">
      <c r="A4330" s="34">
        <v>31102002</v>
      </c>
      <c r="B4330" s="35" t="s">
        <v>8541</v>
      </c>
    </row>
    <row r="4331" spans="1:2" x14ac:dyDescent="0.35">
      <c r="A4331" s="34">
        <v>31102003</v>
      </c>
      <c r="B4331" s="35" t="s">
        <v>16869</v>
      </c>
    </row>
    <row r="4332" spans="1:2" x14ac:dyDescent="0.35">
      <c r="A4332" s="34">
        <v>31102004</v>
      </c>
      <c r="B4332" s="35" t="s">
        <v>10091</v>
      </c>
    </row>
    <row r="4333" spans="1:2" x14ac:dyDescent="0.35">
      <c r="A4333" s="34">
        <v>31102005</v>
      </c>
      <c r="B4333" s="35" t="s">
        <v>2340</v>
      </c>
    </row>
    <row r="4334" spans="1:2" x14ac:dyDescent="0.35">
      <c r="A4334" s="34">
        <v>31102006</v>
      </c>
      <c r="B4334" s="35" t="s">
        <v>1252</v>
      </c>
    </row>
    <row r="4335" spans="1:2" x14ac:dyDescent="0.35">
      <c r="A4335" s="34">
        <v>31102007</v>
      </c>
      <c r="B4335" s="35" t="s">
        <v>14851</v>
      </c>
    </row>
    <row r="4336" spans="1:2" x14ac:dyDescent="0.35">
      <c r="A4336" s="34">
        <v>31102008</v>
      </c>
      <c r="B4336" s="35" t="s">
        <v>17359</v>
      </c>
    </row>
    <row r="4337" spans="1:2" x14ac:dyDescent="0.35">
      <c r="A4337" s="34">
        <v>31102009</v>
      </c>
      <c r="B4337" s="35" t="s">
        <v>13758</v>
      </c>
    </row>
    <row r="4338" spans="1:2" x14ac:dyDescent="0.35">
      <c r="A4338" s="34">
        <v>31102010</v>
      </c>
      <c r="B4338" s="35" t="s">
        <v>1668</v>
      </c>
    </row>
    <row r="4339" spans="1:2" x14ac:dyDescent="0.35">
      <c r="A4339" s="34">
        <v>31102011</v>
      </c>
      <c r="B4339" s="35" t="s">
        <v>15180</v>
      </c>
    </row>
    <row r="4340" spans="1:2" x14ac:dyDescent="0.35">
      <c r="A4340" s="34">
        <v>31102012</v>
      </c>
      <c r="B4340" s="35" t="s">
        <v>13649</v>
      </c>
    </row>
    <row r="4341" spans="1:2" x14ac:dyDescent="0.35">
      <c r="A4341" s="34">
        <v>31102013</v>
      </c>
      <c r="B4341" s="35" t="s">
        <v>5587</v>
      </c>
    </row>
    <row r="4342" spans="1:2" x14ac:dyDescent="0.35">
      <c r="A4342" s="34">
        <v>31102014</v>
      </c>
      <c r="B4342" s="35" t="s">
        <v>8054</v>
      </c>
    </row>
    <row r="4343" spans="1:2" x14ac:dyDescent="0.35">
      <c r="A4343" s="34">
        <v>31102015</v>
      </c>
      <c r="B4343" s="35" t="s">
        <v>19414</v>
      </c>
    </row>
    <row r="4344" spans="1:2" x14ac:dyDescent="0.35">
      <c r="A4344" s="34">
        <v>31102016</v>
      </c>
      <c r="B4344" s="35" t="s">
        <v>3746</v>
      </c>
    </row>
    <row r="4345" spans="1:2" x14ac:dyDescent="0.35">
      <c r="A4345" s="34">
        <v>31102101</v>
      </c>
      <c r="B4345" s="35" t="s">
        <v>5314</v>
      </c>
    </row>
    <row r="4346" spans="1:2" x14ac:dyDescent="0.35">
      <c r="A4346" s="34">
        <v>31102102</v>
      </c>
      <c r="B4346" s="35" t="s">
        <v>15687</v>
      </c>
    </row>
    <row r="4347" spans="1:2" x14ac:dyDescent="0.35">
      <c r="A4347" s="34">
        <v>31102103</v>
      </c>
      <c r="B4347" s="35" t="s">
        <v>82</v>
      </c>
    </row>
    <row r="4348" spans="1:2" x14ac:dyDescent="0.35">
      <c r="A4348" s="34">
        <v>31102104</v>
      </c>
      <c r="B4348" s="35" t="s">
        <v>15816</v>
      </c>
    </row>
    <row r="4349" spans="1:2" x14ac:dyDescent="0.35">
      <c r="A4349" s="34">
        <v>31102105</v>
      </c>
      <c r="B4349" s="35" t="s">
        <v>6097</v>
      </c>
    </row>
    <row r="4350" spans="1:2" x14ac:dyDescent="0.35">
      <c r="A4350" s="34">
        <v>31102106</v>
      </c>
      <c r="B4350" s="35" t="s">
        <v>23</v>
      </c>
    </row>
    <row r="4351" spans="1:2" x14ac:dyDescent="0.35">
      <c r="A4351" s="34">
        <v>31102107</v>
      </c>
      <c r="B4351" s="35" t="s">
        <v>8026</v>
      </c>
    </row>
    <row r="4352" spans="1:2" x14ac:dyDescent="0.35">
      <c r="A4352" s="34">
        <v>31102108</v>
      </c>
      <c r="B4352" s="35" t="s">
        <v>14762</v>
      </c>
    </row>
    <row r="4353" spans="1:2" x14ac:dyDescent="0.35">
      <c r="A4353" s="34">
        <v>31102109</v>
      </c>
      <c r="B4353" s="35" t="s">
        <v>450</v>
      </c>
    </row>
    <row r="4354" spans="1:2" x14ac:dyDescent="0.35">
      <c r="A4354" s="34">
        <v>31102110</v>
      </c>
      <c r="B4354" s="35" t="s">
        <v>17889</v>
      </c>
    </row>
    <row r="4355" spans="1:2" x14ac:dyDescent="0.35">
      <c r="A4355" s="34">
        <v>31102111</v>
      </c>
      <c r="B4355" s="35" t="s">
        <v>12486</v>
      </c>
    </row>
    <row r="4356" spans="1:2" x14ac:dyDescent="0.35">
      <c r="A4356" s="34">
        <v>31102112</v>
      </c>
      <c r="B4356" s="35" t="s">
        <v>8934</v>
      </c>
    </row>
    <row r="4357" spans="1:2" x14ac:dyDescent="0.35">
      <c r="A4357" s="34">
        <v>31102113</v>
      </c>
      <c r="B4357" s="35" t="s">
        <v>18592</v>
      </c>
    </row>
    <row r="4358" spans="1:2" x14ac:dyDescent="0.35">
      <c r="A4358" s="34">
        <v>31102114</v>
      </c>
      <c r="B4358" s="35" t="s">
        <v>12701</v>
      </c>
    </row>
    <row r="4359" spans="1:2" x14ac:dyDescent="0.35">
      <c r="A4359" s="34">
        <v>31102115</v>
      </c>
      <c r="B4359" s="35" t="s">
        <v>10207</v>
      </c>
    </row>
    <row r="4360" spans="1:2" x14ac:dyDescent="0.35">
      <c r="A4360" s="34">
        <v>31102116</v>
      </c>
      <c r="B4360" s="35" t="s">
        <v>16012</v>
      </c>
    </row>
    <row r="4361" spans="1:2" x14ac:dyDescent="0.35">
      <c r="A4361" s="34">
        <v>31102201</v>
      </c>
      <c r="B4361" s="35" t="s">
        <v>12736</v>
      </c>
    </row>
    <row r="4362" spans="1:2" x14ac:dyDescent="0.35">
      <c r="A4362" s="34">
        <v>31102202</v>
      </c>
      <c r="B4362" s="35" t="s">
        <v>12657</v>
      </c>
    </row>
    <row r="4363" spans="1:2" x14ac:dyDescent="0.35">
      <c r="A4363" s="34">
        <v>31102203</v>
      </c>
      <c r="B4363" s="35" t="s">
        <v>6398</v>
      </c>
    </row>
    <row r="4364" spans="1:2" x14ac:dyDescent="0.35">
      <c r="A4364" s="34">
        <v>31102204</v>
      </c>
      <c r="B4364" s="35" t="s">
        <v>19389</v>
      </c>
    </row>
    <row r="4365" spans="1:2" x14ac:dyDescent="0.35">
      <c r="A4365" s="34">
        <v>31102205</v>
      </c>
      <c r="B4365" s="35" t="s">
        <v>17455</v>
      </c>
    </row>
    <row r="4366" spans="1:2" x14ac:dyDescent="0.35">
      <c r="A4366" s="34">
        <v>31102206</v>
      </c>
      <c r="B4366" s="35" t="s">
        <v>2014</v>
      </c>
    </row>
    <row r="4367" spans="1:2" x14ac:dyDescent="0.35">
      <c r="A4367" s="34">
        <v>31102207</v>
      </c>
      <c r="B4367" s="35" t="s">
        <v>6413</v>
      </c>
    </row>
    <row r="4368" spans="1:2" x14ac:dyDescent="0.35">
      <c r="A4368" s="34">
        <v>31102208</v>
      </c>
      <c r="B4368" s="35" t="s">
        <v>9978</v>
      </c>
    </row>
    <row r="4369" spans="1:2" x14ac:dyDescent="0.35">
      <c r="A4369" s="34">
        <v>31102209</v>
      </c>
      <c r="B4369" s="35" t="s">
        <v>18001</v>
      </c>
    </row>
    <row r="4370" spans="1:2" x14ac:dyDescent="0.35">
      <c r="A4370" s="34">
        <v>31102210</v>
      </c>
      <c r="B4370" s="35" t="s">
        <v>19025</v>
      </c>
    </row>
    <row r="4371" spans="1:2" x14ac:dyDescent="0.35">
      <c r="A4371" s="34">
        <v>31102211</v>
      </c>
      <c r="B4371" s="35" t="s">
        <v>18525</v>
      </c>
    </row>
    <row r="4372" spans="1:2" x14ac:dyDescent="0.35">
      <c r="A4372" s="34">
        <v>31102212</v>
      </c>
      <c r="B4372" s="35" t="s">
        <v>1307</v>
      </c>
    </row>
    <row r="4373" spans="1:2" x14ac:dyDescent="0.35">
      <c r="A4373" s="34">
        <v>31102213</v>
      </c>
      <c r="B4373" s="35" t="s">
        <v>6865</v>
      </c>
    </row>
    <row r="4374" spans="1:2" x14ac:dyDescent="0.35">
      <c r="A4374" s="34">
        <v>31102214</v>
      </c>
      <c r="B4374" s="35" t="s">
        <v>18449</v>
      </c>
    </row>
    <row r="4375" spans="1:2" x14ac:dyDescent="0.35">
      <c r="A4375" s="34">
        <v>31102215</v>
      </c>
      <c r="B4375" s="35" t="s">
        <v>1279</v>
      </c>
    </row>
    <row r="4376" spans="1:2" x14ac:dyDescent="0.35">
      <c r="A4376" s="34">
        <v>31102216</v>
      </c>
      <c r="B4376" s="35" t="s">
        <v>6365</v>
      </c>
    </row>
    <row r="4377" spans="1:2" x14ac:dyDescent="0.35">
      <c r="A4377" s="34">
        <v>31102301</v>
      </c>
      <c r="B4377" s="35" t="s">
        <v>2316</v>
      </c>
    </row>
    <row r="4378" spans="1:2" x14ac:dyDescent="0.35">
      <c r="A4378" s="34">
        <v>31102302</v>
      </c>
      <c r="B4378" s="35" t="s">
        <v>6069</v>
      </c>
    </row>
    <row r="4379" spans="1:2" x14ac:dyDescent="0.35">
      <c r="A4379" s="34">
        <v>31102303</v>
      </c>
      <c r="B4379" s="35" t="s">
        <v>16193</v>
      </c>
    </row>
    <row r="4380" spans="1:2" x14ac:dyDescent="0.35">
      <c r="A4380" s="34">
        <v>31102304</v>
      </c>
      <c r="B4380" s="35" t="s">
        <v>15542</v>
      </c>
    </row>
    <row r="4381" spans="1:2" x14ac:dyDescent="0.35">
      <c r="A4381" s="34">
        <v>31102305</v>
      </c>
      <c r="B4381" s="35" t="s">
        <v>8190</v>
      </c>
    </row>
    <row r="4382" spans="1:2" x14ac:dyDescent="0.35">
      <c r="A4382" s="34">
        <v>31102306</v>
      </c>
      <c r="B4382" s="35" t="s">
        <v>1526</v>
      </c>
    </row>
    <row r="4383" spans="1:2" x14ac:dyDescent="0.35">
      <c r="A4383" s="34">
        <v>31102307</v>
      </c>
      <c r="B4383" s="35" t="s">
        <v>5111</v>
      </c>
    </row>
    <row r="4384" spans="1:2" x14ac:dyDescent="0.35">
      <c r="A4384" s="34">
        <v>31102308</v>
      </c>
      <c r="B4384" s="35" t="s">
        <v>8280</v>
      </c>
    </row>
    <row r="4385" spans="1:2" x14ac:dyDescent="0.35">
      <c r="A4385" s="34">
        <v>31102309</v>
      </c>
      <c r="B4385" s="35" t="s">
        <v>10137</v>
      </c>
    </row>
    <row r="4386" spans="1:2" x14ac:dyDescent="0.35">
      <c r="A4386" s="34">
        <v>31102310</v>
      </c>
      <c r="B4386" s="35" t="s">
        <v>2199</v>
      </c>
    </row>
    <row r="4387" spans="1:2" x14ac:dyDescent="0.35">
      <c r="A4387" s="34">
        <v>31102311</v>
      </c>
      <c r="B4387" s="35" t="s">
        <v>5009</v>
      </c>
    </row>
    <row r="4388" spans="1:2" x14ac:dyDescent="0.35">
      <c r="A4388" s="34">
        <v>31102312</v>
      </c>
      <c r="B4388" s="35" t="s">
        <v>5012</v>
      </c>
    </row>
    <row r="4389" spans="1:2" x14ac:dyDescent="0.35">
      <c r="A4389" s="34">
        <v>31102313</v>
      </c>
      <c r="B4389" s="35" t="s">
        <v>14838</v>
      </c>
    </row>
    <row r="4390" spans="1:2" x14ac:dyDescent="0.35">
      <c r="A4390" s="34">
        <v>31102314</v>
      </c>
      <c r="B4390" s="35" t="s">
        <v>733</v>
      </c>
    </row>
    <row r="4391" spans="1:2" x14ac:dyDescent="0.35">
      <c r="A4391" s="34">
        <v>31102315</v>
      </c>
      <c r="B4391" s="35" t="s">
        <v>4750</v>
      </c>
    </row>
    <row r="4392" spans="1:2" x14ac:dyDescent="0.35">
      <c r="A4392" s="34">
        <v>31102316</v>
      </c>
      <c r="B4392" s="35" t="s">
        <v>4462</v>
      </c>
    </row>
    <row r="4393" spans="1:2" x14ac:dyDescent="0.35">
      <c r="A4393" s="34">
        <v>31102401</v>
      </c>
      <c r="B4393" s="35" t="s">
        <v>17686</v>
      </c>
    </row>
    <row r="4394" spans="1:2" x14ac:dyDescent="0.35">
      <c r="A4394" s="34">
        <v>31102402</v>
      </c>
      <c r="B4394" s="35" t="s">
        <v>6088</v>
      </c>
    </row>
    <row r="4395" spans="1:2" x14ac:dyDescent="0.35">
      <c r="A4395" s="34">
        <v>31102403</v>
      </c>
      <c r="B4395" s="35" t="s">
        <v>3081</v>
      </c>
    </row>
    <row r="4396" spans="1:2" x14ac:dyDescent="0.35">
      <c r="A4396" s="34">
        <v>31102404</v>
      </c>
      <c r="B4396" s="35" t="s">
        <v>9129</v>
      </c>
    </row>
    <row r="4397" spans="1:2" x14ac:dyDescent="0.35">
      <c r="A4397" s="34">
        <v>31102405</v>
      </c>
      <c r="B4397" s="35" t="s">
        <v>17787</v>
      </c>
    </row>
    <row r="4398" spans="1:2" x14ac:dyDescent="0.35">
      <c r="A4398" s="34">
        <v>31102406</v>
      </c>
      <c r="B4398" s="35" t="s">
        <v>14715</v>
      </c>
    </row>
    <row r="4399" spans="1:2" x14ac:dyDescent="0.35">
      <c r="A4399" s="34">
        <v>31102407</v>
      </c>
      <c r="B4399" s="35" t="s">
        <v>8696</v>
      </c>
    </row>
    <row r="4400" spans="1:2" x14ac:dyDescent="0.35">
      <c r="A4400" s="34">
        <v>31102408</v>
      </c>
      <c r="B4400" s="35" t="s">
        <v>17953</v>
      </c>
    </row>
    <row r="4401" spans="1:2" x14ac:dyDescent="0.35">
      <c r="A4401" s="34">
        <v>31102409</v>
      </c>
      <c r="B4401" s="35" t="s">
        <v>810</v>
      </c>
    </row>
    <row r="4402" spans="1:2" x14ac:dyDescent="0.35">
      <c r="A4402" s="34">
        <v>31102410</v>
      </c>
      <c r="B4402" s="35" t="s">
        <v>12487</v>
      </c>
    </row>
    <row r="4403" spans="1:2" x14ac:dyDescent="0.35">
      <c r="A4403" s="34">
        <v>31102411</v>
      </c>
      <c r="B4403" s="35" t="s">
        <v>6925</v>
      </c>
    </row>
    <row r="4404" spans="1:2" x14ac:dyDescent="0.35">
      <c r="A4404" s="34">
        <v>31102412</v>
      </c>
      <c r="B4404" s="35" t="s">
        <v>11258</v>
      </c>
    </row>
    <row r="4405" spans="1:2" x14ac:dyDescent="0.35">
      <c r="A4405" s="34">
        <v>31102413</v>
      </c>
      <c r="B4405" s="35" t="s">
        <v>19214</v>
      </c>
    </row>
    <row r="4406" spans="1:2" x14ac:dyDescent="0.35">
      <c r="A4406" s="34">
        <v>31102414</v>
      </c>
      <c r="B4406" s="35" t="s">
        <v>15822</v>
      </c>
    </row>
    <row r="4407" spans="1:2" x14ac:dyDescent="0.35">
      <c r="A4407" s="34">
        <v>31102415</v>
      </c>
      <c r="B4407" s="35" t="s">
        <v>9549</v>
      </c>
    </row>
    <row r="4408" spans="1:2" x14ac:dyDescent="0.35">
      <c r="A4408" s="34">
        <v>31102416</v>
      </c>
      <c r="B4408" s="35" t="s">
        <v>11156</v>
      </c>
    </row>
    <row r="4409" spans="1:2" x14ac:dyDescent="0.35">
      <c r="A4409" s="34">
        <v>31111501</v>
      </c>
      <c r="B4409" s="35" t="s">
        <v>13249</v>
      </c>
    </row>
    <row r="4410" spans="1:2" x14ac:dyDescent="0.35">
      <c r="A4410" s="34">
        <v>31111502</v>
      </c>
      <c r="B4410" s="35" t="s">
        <v>13708</v>
      </c>
    </row>
    <row r="4411" spans="1:2" x14ac:dyDescent="0.35">
      <c r="A4411" s="34">
        <v>31111503</v>
      </c>
      <c r="B4411" s="35" t="s">
        <v>18720</v>
      </c>
    </row>
    <row r="4412" spans="1:2" x14ac:dyDescent="0.35">
      <c r="A4412" s="34">
        <v>31111504</v>
      </c>
      <c r="B4412" s="35" t="s">
        <v>17412</v>
      </c>
    </row>
    <row r="4413" spans="1:2" x14ac:dyDescent="0.35">
      <c r="A4413" s="34">
        <v>31111505</v>
      </c>
      <c r="B4413" s="35" t="s">
        <v>12541</v>
      </c>
    </row>
    <row r="4414" spans="1:2" x14ac:dyDescent="0.35">
      <c r="A4414" s="34">
        <v>31111506</v>
      </c>
      <c r="B4414" s="35" t="s">
        <v>2205</v>
      </c>
    </row>
    <row r="4415" spans="1:2" x14ac:dyDescent="0.35">
      <c r="A4415" s="34">
        <v>31111507</v>
      </c>
      <c r="B4415" s="35" t="s">
        <v>19295</v>
      </c>
    </row>
    <row r="4416" spans="1:2" x14ac:dyDescent="0.35">
      <c r="A4416" s="34">
        <v>31111508</v>
      </c>
      <c r="B4416" s="35" t="s">
        <v>1860</v>
      </c>
    </row>
    <row r="4417" spans="1:2" x14ac:dyDescent="0.35">
      <c r="A4417" s="34">
        <v>31111509</v>
      </c>
      <c r="B4417" s="35" t="s">
        <v>4629</v>
      </c>
    </row>
    <row r="4418" spans="1:2" x14ac:dyDescent="0.35">
      <c r="A4418" s="34">
        <v>31111510</v>
      </c>
      <c r="B4418" s="35" t="s">
        <v>5194</v>
      </c>
    </row>
    <row r="4419" spans="1:2" x14ac:dyDescent="0.35">
      <c r="A4419" s="34">
        <v>31111511</v>
      </c>
      <c r="B4419" s="35" t="s">
        <v>7589</v>
      </c>
    </row>
    <row r="4420" spans="1:2" x14ac:dyDescent="0.35">
      <c r="A4420" s="34">
        <v>31111512</v>
      </c>
      <c r="B4420" s="35" t="s">
        <v>7820</v>
      </c>
    </row>
    <row r="4421" spans="1:2" x14ac:dyDescent="0.35">
      <c r="A4421" s="34">
        <v>31111513</v>
      </c>
      <c r="B4421" s="35" t="s">
        <v>6040</v>
      </c>
    </row>
    <row r="4422" spans="1:2" x14ac:dyDescent="0.35">
      <c r="A4422" s="34">
        <v>31111514</v>
      </c>
      <c r="B4422" s="35" t="s">
        <v>14436</v>
      </c>
    </row>
    <row r="4423" spans="1:2" x14ac:dyDescent="0.35">
      <c r="A4423" s="34">
        <v>31111515</v>
      </c>
      <c r="B4423" s="35" t="s">
        <v>14893</v>
      </c>
    </row>
    <row r="4424" spans="1:2" x14ac:dyDescent="0.35">
      <c r="A4424" s="34">
        <v>31111516</v>
      </c>
      <c r="B4424" s="35" t="s">
        <v>18202</v>
      </c>
    </row>
    <row r="4425" spans="1:2" x14ac:dyDescent="0.35">
      <c r="A4425" s="34">
        <v>31111517</v>
      </c>
      <c r="B4425" s="35" t="s">
        <v>8242</v>
      </c>
    </row>
    <row r="4426" spans="1:2" x14ac:dyDescent="0.35">
      <c r="A4426" s="34">
        <v>31111601</v>
      </c>
      <c r="B4426" s="35" t="s">
        <v>16664</v>
      </c>
    </row>
    <row r="4427" spans="1:2" x14ac:dyDescent="0.35">
      <c r="A4427" s="34">
        <v>31111602</v>
      </c>
      <c r="B4427" s="35" t="s">
        <v>6550</v>
      </c>
    </row>
    <row r="4428" spans="1:2" x14ac:dyDescent="0.35">
      <c r="A4428" s="34">
        <v>31111603</v>
      </c>
      <c r="B4428" s="35" t="s">
        <v>13466</v>
      </c>
    </row>
    <row r="4429" spans="1:2" x14ac:dyDescent="0.35">
      <c r="A4429" s="34">
        <v>31111604</v>
      </c>
      <c r="B4429" s="35" t="s">
        <v>3696</v>
      </c>
    </row>
    <row r="4430" spans="1:2" x14ac:dyDescent="0.35">
      <c r="A4430" s="34">
        <v>31111605</v>
      </c>
      <c r="B4430" s="35" t="s">
        <v>11133</v>
      </c>
    </row>
    <row r="4431" spans="1:2" x14ac:dyDescent="0.35">
      <c r="A4431" s="34">
        <v>31111606</v>
      </c>
      <c r="B4431" s="35" t="s">
        <v>18463</v>
      </c>
    </row>
    <row r="4432" spans="1:2" x14ac:dyDescent="0.35">
      <c r="A4432" s="34">
        <v>31111607</v>
      </c>
      <c r="B4432" s="35" t="s">
        <v>11058</v>
      </c>
    </row>
    <row r="4433" spans="1:2" x14ac:dyDescent="0.35">
      <c r="A4433" s="34">
        <v>31111608</v>
      </c>
      <c r="B4433" s="35" t="s">
        <v>19080</v>
      </c>
    </row>
    <row r="4434" spans="1:2" x14ac:dyDescent="0.35">
      <c r="A4434" s="34">
        <v>31111609</v>
      </c>
      <c r="B4434" s="35" t="s">
        <v>17272</v>
      </c>
    </row>
    <row r="4435" spans="1:2" x14ac:dyDescent="0.35">
      <c r="A4435" s="34">
        <v>31111610</v>
      </c>
      <c r="B4435" s="35" t="s">
        <v>2593</v>
      </c>
    </row>
    <row r="4436" spans="1:2" x14ac:dyDescent="0.35">
      <c r="A4436" s="34">
        <v>31111611</v>
      </c>
      <c r="B4436" s="35" t="s">
        <v>13662</v>
      </c>
    </row>
    <row r="4437" spans="1:2" x14ac:dyDescent="0.35">
      <c r="A4437" s="34">
        <v>31111612</v>
      </c>
      <c r="B4437" s="35" t="s">
        <v>11937</v>
      </c>
    </row>
    <row r="4438" spans="1:2" x14ac:dyDescent="0.35">
      <c r="A4438" s="34">
        <v>31111613</v>
      </c>
      <c r="B4438" s="35" t="s">
        <v>10767</v>
      </c>
    </row>
    <row r="4439" spans="1:2" x14ac:dyDescent="0.35">
      <c r="A4439" s="34">
        <v>31111614</v>
      </c>
      <c r="B4439" s="35" t="s">
        <v>5457</v>
      </c>
    </row>
    <row r="4440" spans="1:2" x14ac:dyDescent="0.35">
      <c r="A4440" s="34">
        <v>31111615</v>
      </c>
      <c r="B4440" s="35" t="s">
        <v>7062</v>
      </c>
    </row>
    <row r="4441" spans="1:2" x14ac:dyDescent="0.35">
      <c r="A4441" s="34">
        <v>31111616</v>
      </c>
      <c r="B4441" s="35" t="s">
        <v>3125</v>
      </c>
    </row>
    <row r="4442" spans="1:2" x14ac:dyDescent="0.35">
      <c r="A4442" s="34">
        <v>31111617</v>
      </c>
      <c r="B4442" s="35" t="s">
        <v>13823</v>
      </c>
    </row>
    <row r="4443" spans="1:2" x14ac:dyDescent="0.35">
      <c r="A4443" s="34">
        <v>31111701</v>
      </c>
      <c r="B4443" s="35" t="s">
        <v>15689</v>
      </c>
    </row>
    <row r="4444" spans="1:2" x14ac:dyDescent="0.35">
      <c r="A4444" s="34">
        <v>31111702</v>
      </c>
      <c r="B4444" s="35" t="s">
        <v>5023</v>
      </c>
    </row>
    <row r="4445" spans="1:2" x14ac:dyDescent="0.35">
      <c r="A4445" s="34">
        <v>31111703</v>
      </c>
      <c r="B4445" s="35" t="s">
        <v>11510</v>
      </c>
    </row>
    <row r="4446" spans="1:2" x14ac:dyDescent="0.35">
      <c r="A4446" s="34">
        <v>31111704</v>
      </c>
      <c r="B4446" s="35" t="s">
        <v>1412</v>
      </c>
    </row>
    <row r="4447" spans="1:2" x14ac:dyDescent="0.35">
      <c r="A4447" s="34">
        <v>31111705</v>
      </c>
      <c r="B4447" s="35" t="s">
        <v>14163</v>
      </c>
    </row>
    <row r="4448" spans="1:2" x14ac:dyDescent="0.35">
      <c r="A4448" s="34">
        <v>31111706</v>
      </c>
      <c r="B4448" s="35" t="s">
        <v>12879</v>
      </c>
    </row>
    <row r="4449" spans="1:2" x14ac:dyDescent="0.35">
      <c r="A4449" s="34">
        <v>31111707</v>
      </c>
      <c r="B4449" s="35" t="s">
        <v>15714</v>
      </c>
    </row>
    <row r="4450" spans="1:2" x14ac:dyDescent="0.35">
      <c r="A4450" s="34">
        <v>31111708</v>
      </c>
      <c r="B4450" s="35" t="s">
        <v>4435</v>
      </c>
    </row>
    <row r="4451" spans="1:2" x14ac:dyDescent="0.35">
      <c r="A4451" s="34">
        <v>31111709</v>
      </c>
      <c r="B4451" s="35" t="s">
        <v>5099</v>
      </c>
    </row>
    <row r="4452" spans="1:2" x14ac:dyDescent="0.35">
      <c r="A4452" s="34">
        <v>31111710</v>
      </c>
      <c r="B4452" s="35" t="s">
        <v>16130</v>
      </c>
    </row>
    <row r="4453" spans="1:2" x14ac:dyDescent="0.35">
      <c r="A4453" s="34">
        <v>31111711</v>
      </c>
      <c r="B4453" s="35" t="s">
        <v>14799</v>
      </c>
    </row>
    <row r="4454" spans="1:2" x14ac:dyDescent="0.35">
      <c r="A4454" s="34">
        <v>31111712</v>
      </c>
      <c r="B4454" s="35" t="s">
        <v>7132</v>
      </c>
    </row>
    <row r="4455" spans="1:2" x14ac:dyDescent="0.35">
      <c r="A4455" s="34">
        <v>31111713</v>
      </c>
      <c r="B4455" s="35" t="s">
        <v>1487</v>
      </c>
    </row>
    <row r="4456" spans="1:2" x14ac:dyDescent="0.35">
      <c r="A4456" s="34">
        <v>31111714</v>
      </c>
      <c r="B4456" s="35" t="s">
        <v>4850</v>
      </c>
    </row>
    <row r="4457" spans="1:2" x14ac:dyDescent="0.35">
      <c r="A4457" s="34">
        <v>31111715</v>
      </c>
      <c r="B4457" s="35" t="s">
        <v>204</v>
      </c>
    </row>
    <row r="4458" spans="1:2" x14ac:dyDescent="0.35">
      <c r="A4458" s="34">
        <v>31111716</v>
      </c>
      <c r="B4458" s="35" t="s">
        <v>5859</v>
      </c>
    </row>
    <row r="4459" spans="1:2" x14ac:dyDescent="0.35">
      <c r="A4459" s="34">
        <v>31111717</v>
      </c>
      <c r="B4459" s="35" t="s">
        <v>18030</v>
      </c>
    </row>
    <row r="4460" spans="1:2" x14ac:dyDescent="0.35">
      <c r="A4460" s="34">
        <v>31121001</v>
      </c>
      <c r="B4460" s="35" t="s">
        <v>7121</v>
      </c>
    </row>
    <row r="4461" spans="1:2" x14ac:dyDescent="0.35">
      <c r="A4461" s="34">
        <v>31121002</v>
      </c>
      <c r="B4461" s="35" t="s">
        <v>5889</v>
      </c>
    </row>
    <row r="4462" spans="1:2" x14ac:dyDescent="0.35">
      <c r="A4462" s="34">
        <v>31121003</v>
      </c>
      <c r="B4462" s="35" t="s">
        <v>9650</v>
      </c>
    </row>
    <row r="4463" spans="1:2" x14ac:dyDescent="0.35">
      <c r="A4463" s="34">
        <v>31121004</v>
      </c>
      <c r="B4463" s="35" t="s">
        <v>12567</v>
      </c>
    </row>
    <row r="4464" spans="1:2" x14ac:dyDescent="0.35">
      <c r="A4464" s="34">
        <v>31121005</v>
      </c>
      <c r="B4464" s="35" t="s">
        <v>1615</v>
      </c>
    </row>
    <row r="4465" spans="1:2" x14ac:dyDescent="0.35">
      <c r="A4465" s="34">
        <v>31121006</v>
      </c>
      <c r="B4465" s="35" t="s">
        <v>7411</v>
      </c>
    </row>
    <row r="4466" spans="1:2" x14ac:dyDescent="0.35">
      <c r="A4466" s="34">
        <v>31121007</v>
      </c>
      <c r="B4466" s="35" t="s">
        <v>6631</v>
      </c>
    </row>
    <row r="4467" spans="1:2" x14ac:dyDescent="0.35">
      <c r="A4467" s="34">
        <v>31121008</v>
      </c>
      <c r="B4467" s="35" t="s">
        <v>12181</v>
      </c>
    </row>
    <row r="4468" spans="1:2" x14ac:dyDescent="0.35">
      <c r="A4468" s="34">
        <v>31121009</v>
      </c>
      <c r="B4468" s="35" t="s">
        <v>17428</v>
      </c>
    </row>
    <row r="4469" spans="1:2" x14ac:dyDescent="0.35">
      <c r="A4469" s="34">
        <v>31121010</v>
      </c>
      <c r="B4469" s="35" t="s">
        <v>8358</v>
      </c>
    </row>
    <row r="4470" spans="1:2" x14ac:dyDescent="0.35">
      <c r="A4470" s="34">
        <v>31121011</v>
      </c>
      <c r="B4470" s="35" t="s">
        <v>14403</v>
      </c>
    </row>
    <row r="4471" spans="1:2" x14ac:dyDescent="0.35">
      <c r="A4471" s="34">
        <v>31121012</v>
      </c>
      <c r="B4471" s="35" t="s">
        <v>16184</v>
      </c>
    </row>
    <row r="4472" spans="1:2" x14ac:dyDescent="0.35">
      <c r="A4472" s="34">
        <v>31121013</v>
      </c>
      <c r="B4472" s="35" t="s">
        <v>8019</v>
      </c>
    </row>
    <row r="4473" spans="1:2" x14ac:dyDescent="0.35">
      <c r="A4473" s="34">
        <v>31121014</v>
      </c>
      <c r="B4473" s="35" t="s">
        <v>13092</v>
      </c>
    </row>
    <row r="4474" spans="1:2" x14ac:dyDescent="0.35">
      <c r="A4474" s="34">
        <v>31121015</v>
      </c>
      <c r="B4474" s="35" t="s">
        <v>14291</v>
      </c>
    </row>
    <row r="4475" spans="1:2" x14ac:dyDescent="0.35">
      <c r="A4475" s="34">
        <v>31121016</v>
      </c>
      <c r="B4475" s="35" t="s">
        <v>14088</v>
      </c>
    </row>
    <row r="4476" spans="1:2" x14ac:dyDescent="0.35">
      <c r="A4476" s="34">
        <v>31121017</v>
      </c>
      <c r="B4476" s="35" t="s">
        <v>18347</v>
      </c>
    </row>
    <row r="4477" spans="1:2" x14ac:dyDescent="0.35">
      <c r="A4477" s="34">
        <v>31121018</v>
      </c>
      <c r="B4477" s="35" t="s">
        <v>17585</v>
      </c>
    </row>
    <row r="4478" spans="1:2" x14ac:dyDescent="0.35">
      <c r="A4478" s="34">
        <v>31121019</v>
      </c>
      <c r="B4478" s="35" t="s">
        <v>12910</v>
      </c>
    </row>
    <row r="4479" spans="1:2" x14ac:dyDescent="0.35">
      <c r="A4479" s="34">
        <v>31121101</v>
      </c>
      <c r="B4479" s="35" t="s">
        <v>18363</v>
      </c>
    </row>
    <row r="4480" spans="1:2" x14ac:dyDescent="0.35">
      <c r="A4480" s="34">
        <v>31121102</v>
      </c>
      <c r="B4480" s="35" t="s">
        <v>9806</v>
      </c>
    </row>
    <row r="4481" spans="1:2" x14ac:dyDescent="0.35">
      <c r="A4481" s="34">
        <v>31121103</v>
      </c>
      <c r="B4481" s="35" t="s">
        <v>17919</v>
      </c>
    </row>
    <row r="4482" spans="1:2" x14ac:dyDescent="0.35">
      <c r="A4482" s="34">
        <v>31121104</v>
      </c>
      <c r="B4482" s="35" t="s">
        <v>10323</v>
      </c>
    </row>
    <row r="4483" spans="1:2" x14ac:dyDescent="0.35">
      <c r="A4483" s="34">
        <v>31121105</v>
      </c>
      <c r="B4483" s="35" t="s">
        <v>7442</v>
      </c>
    </row>
    <row r="4484" spans="1:2" x14ac:dyDescent="0.35">
      <c r="A4484" s="34">
        <v>31121106</v>
      </c>
      <c r="B4484" s="35" t="s">
        <v>8432</v>
      </c>
    </row>
    <row r="4485" spans="1:2" x14ac:dyDescent="0.35">
      <c r="A4485" s="34">
        <v>31121107</v>
      </c>
      <c r="B4485" s="35" t="s">
        <v>11829</v>
      </c>
    </row>
    <row r="4486" spans="1:2" x14ac:dyDescent="0.35">
      <c r="A4486" s="34">
        <v>31121108</v>
      </c>
      <c r="B4486" s="35" t="s">
        <v>13457</v>
      </c>
    </row>
    <row r="4487" spans="1:2" x14ac:dyDescent="0.35">
      <c r="A4487" s="34">
        <v>31121109</v>
      </c>
      <c r="B4487" s="35" t="s">
        <v>2164</v>
      </c>
    </row>
    <row r="4488" spans="1:2" x14ac:dyDescent="0.35">
      <c r="A4488" s="34">
        <v>31121110</v>
      </c>
      <c r="B4488" s="35" t="s">
        <v>13887</v>
      </c>
    </row>
    <row r="4489" spans="1:2" x14ac:dyDescent="0.35">
      <c r="A4489" s="34">
        <v>31121111</v>
      </c>
      <c r="B4489" s="35" t="s">
        <v>8212</v>
      </c>
    </row>
    <row r="4490" spans="1:2" x14ac:dyDescent="0.35">
      <c r="A4490" s="34">
        <v>31121112</v>
      </c>
      <c r="B4490" s="35" t="s">
        <v>15217</v>
      </c>
    </row>
    <row r="4491" spans="1:2" x14ac:dyDescent="0.35">
      <c r="A4491" s="34">
        <v>31121113</v>
      </c>
      <c r="B4491" s="35" t="s">
        <v>18123</v>
      </c>
    </row>
    <row r="4492" spans="1:2" x14ac:dyDescent="0.35">
      <c r="A4492" s="34">
        <v>31121114</v>
      </c>
      <c r="B4492" s="35" t="s">
        <v>16149</v>
      </c>
    </row>
    <row r="4493" spans="1:2" x14ac:dyDescent="0.35">
      <c r="A4493" s="34">
        <v>31121115</v>
      </c>
      <c r="B4493" s="35" t="s">
        <v>8868</v>
      </c>
    </row>
    <row r="4494" spans="1:2" x14ac:dyDescent="0.35">
      <c r="A4494" s="34">
        <v>31121116</v>
      </c>
      <c r="B4494" s="35" t="s">
        <v>11397</v>
      </c>
    </row>
    <row r="4495" spans="1:2" x14ac:dyDescent="0.35">
      <c r="A4495" s="34">
        <v>31121117</v>
      </c>
      <c r="B4495" s="35" t="s">
        <v>5131</v>
      </c>
    </row>
    <row r="4496" spans="1:2" x14ac:dyDescent="0.35">
      <c r="A4496" s="34">
        <v>31121118</v>
      </c>
      <c r="B4496" s="35" t="s">
        <v>11221</v>
      </c>
    </row>
    <row r="4497" spans="1:2" x14ac:dyDescent="0.35">
      <c r="A4497" s="34">
        <v>31121119</v>
      </c>
      <c r="B4497" s="35" t="s">
        <v>17981</v>
      </c>
    </row>
    <row r="4498" spans="1:2" x14ac:dyDescent="0.35">
      <c r="A4498" s="34">
        <v>31121201</v>
      </c>
      <c r="B4498" s="35" t="s">
        <v>14523</v>
      </c>
    </row>
    <row r="4499" spans="1:2" x14ac:dyDescent="0.35">
      <c r="A4499" s="34">
        <v>31121202</v>
      </c>
      <c r="B4499" s="35" t="s">
        <v>12696</v>
      </c>
    </row>
    <row r="4500" spans="1:2" x14ac:dyDescent="0.35">
      <c r="A4500" s="34">
        <v>31121203</v>
      </c>
      <c r="B4500" s="35" t="s">
        <v>17840</v>
      </c>
    </row>
    <row r="4501" spans="1:2" x14ac:dyDescent="0.35">
      <c r="A4501" s="34">
        <v>31121204</v>
      </c>
      <c r="B4501" s="35" t="s">
        <v>17605</v>
      </c>
    </row>
    <row r="4502" spans="1:2" x14ac:dyDescent="0.35">
      <c r="A4502" s="34">
        <v>31121205</v>
      </c>
      <c r="B4502" s="35" t="s">
        <v>18563</v>
      </c>
    </row>
    <row r="4503" spans="1:2" x14ac:dyDescent="0.35">
      <c r="A4503" s="34">
        <v>31121206</v>
      </c>
      <c r="B4503" s="35" t="s">
        <v>19583</v>
      </c>
    </row>
    <row r="4504" spans="1:2" x14ac:dyDescent="0.35">
      <c r="A4504" s="34">
        <v>31121207</v>
      </c>
      <c r="B4504" s="35" t="s">
        <v>7857</v>
      </c>
    </row>
    <row r="4505" spans="1:2" x14ac:dyDescent="0.35">
      <c r="A4505" s="34">
        <v>31121208</v>
      </c>
      <c r="B4505" s="35" t="s">
        <v>2326</v>
      </c>
    </row>
    <row r="4506" spans="1:2" x14ac:dyDescent="0.35">
      <c r="A4506" s="34">
        <v>31121209</v>
      </c>
      <c r="B4506" s="35" t="s">
        <v>15368</v>
      </c>
    </row>
    <row r="4507" spans="1:2" x14ac:dyDescent="0.35">
      <c r="A4507" s="34">
        <v>31121210</v>
      </c>
      <c r="B4507" s="35" t="s">
        <v>7783</v>
      </c>
    </row>
    <row r="4508" spans="1:2" x14ac:dyDescent="0.35">
      <c r="A4508" s="34">
        <v>31121211</v>
      </c>
      <c r="B4508" s="35" t="s">
        <v>5528</v>
      </c>
    </row>
    <row r="4509" spans="1:2" x14ac:dyDescent="0.35">
      <c r="A4509" s="34">
        <v>31121212</v>
      </c>
      <c r="B4509" s="35" t="s">
        <v>1486</v>
      </c>
    </row>
    <row r="4510" spans="1:2" x14ac:dyDescent="0.35">
      <c r="A4510" s="34">
        <v>31121213</v>
      </c>
      <c r="B4510" s="35" t="s">
        <v>12051</v>
      </c>
    </row>
    <row r="4511" spans="1:2" x14ac:dyDescent="0.35">
      <c r="A4511" s="34">
        <v>31121214</v>
      </c>
      <c r="B4511" s="35" t="s">
        <v>19142</v>
      </c>
    </row>
    <row r="4512" spans="1:2" x14ac:dyDescent="0.35">
      <c r="A4512" s="34">
        <v>31121215</v>
      </c>
      <c r="B4512" s="35" t="s">
        <v>6547</v>
      </c>
    </row>
    <row r="4513" spans="1:2" x14ac:dyDescent="0.35">
      <c r="A4513" s="34">
        <v>31121216</v>
      </c>
      <c r="B4513" s="35" t="s">
        <v>2396</v>
      </c>
    </row>
    <row r="4514" spans="1:2" x14ac:dyDescent="0.35">
      <c r="A4514" s="34">
        <v>31121217</v>
      </c>
      <c r="B4514" s="35" t="s">
        <v>8453</v>
      </c>
    </row>
    <row r="4515" spans="1:2" x14ac:dyDescent="0.35">
      <c r="A4515" s="34">
        <v>31121218</v>
      </c>
      <c r="B4515" s="35" t="s">
        <v>7125</v>
      </c>
    </row>
    <row r="4516" spans="1:2" x14ac:dyDescent="0.35">
      <c r="A4516" s="34">
        <v>31121219</v>
      </c>
      <c r="B4516" s="35" t="s">
        <v>8973</v>
      </c>
    </row>
    <row r="4517" spans="1:2" x14ac:dyDescent="0.35">
      <c r="A4517" s="34">
        <v>31121301</v>
      </c>
      <c r="B4517" s="35" t="s">
        <v>5973</v>
      </c>
    </row>
    <row r="4518" spans="1:2" x14ac:dyDescent="0.35">
      <c r="A4518" s="34">
        <v>31121302</v>
      </c>
      <c r="B4518" s="35" t="s">
        <v>7349</v>
      </c>
    </row>
    <row r="4519" spans="1:2" x14ac:dyDescent="0.35">
      <c r="A4519" s="34">
        <v>31121303</v>
      </c>
      <c r="B4519" s="35" t="s">
        <v>5726</v>
      </c>
    </row>
    <row r="4520" spans="1:2" x14ac:dyDescent="0.35">
      <c r="A4520" s="34">
        <v>31121304</v>
      </c>
      <c r="B4520" s="35" t="s">
        <v>4998</v>
      </c>
    </row>
    <row r="4521" spans="1:2" x14ac:dyDescent="0.35">
      <c r="A4521" s="34">
        <v>31121305</v>
      </c>
      <c r="B4521" s="35" t="s">
        <v>19270</v>
      </c>
    </row>
    <row r="4522" spans="1:2" x14ac:dyDescent="0.35">
      <c r="A4522" s="34">
        <v>31121306</v>
      </c>
      <c r="B4522" s="35" t="s">
        <v>11918</v>
      </c>
    </row>
    <row r="4523" spans="1:2" x14ac:dyDescent="0.35">
      <c r="A4523" s="34">
        <v>31121307</v>
      </c>
      <c r="B4523" s="35" t="s">
        <v>9363</v>
      </c>
    </row>
    <row r="4524" spans="1:2" x14ac:dyDescent="0.35">
      <c r="A4524" s="34">
        <v>31121308</v>
      </c>
      <c r="B4524" s="35" t="s">
        <v>9850</v>
      </c>
    </row>
    <row r="4525" spans="1:2" x14ac:dyDescent="0.35">
      <c r="A4525" s="34">
        <v>31121309</v>
      </c>
      <c r="B4525" s="35" t="s">
        <v>15136</v>
      </c>
    </row>
    <row r="4526" spans="1:2" x14ac:dyDescent="0.35">
      <c r="A4526" s="34">
        <v>31121310</v>
      </c>
      <c r="B4526" s="35" t="s">
        <v>757</v>
      </c>
    </row>
    <row r="4527" spans="1:2" x14ac:dyDescent="0.35">
      <c r="A4527" s="34">
        <v>31121311</v>
      </c>
      <c r="B4527" s="35" t="s">
        <v>1430</v>
      </c>
    </row>
    <row r="4528" spans="1:2" x14ac:dyDescent="0.35">
      <c r="A4528" s="34">
        <v>31121312</v>
      </c>
      <c r="B4528" s="35" t="s">
        <v>6143</v>
      </c>
    </row>
    <row r="4529" spans="1:2" x14ac:dyDescent="0.35">
      <c r="A4529" s="34">
        <v>31121313</v>
      </c>
      <c r="B4529" s="35" t="s">
        <v>13714</v>
      </c>
    </row>
    <row r="4530" spans="1:2" x14ac:dyDescent="0.35">
      <c r="A4530" s="34">
        <v>31121314</v>
      </c>
      <c r="B4530" s="35" t="s">
        <v>3484</v>
      </c>
    </row>
    <row r="4531" spans="1:2" x14ac:dyDescent="0.35">
      <c r="A4531" s="34">
        <v>31121315</v>
      </c>
      <c r="B4531" s="35" t="s">
        <v>17849</v>
      </c>
    </row>
    <row r="4532" spans="1:2" x14ac:dyDescent="0.35">
      <c r="A4532" s="34">
        <v>31121316</v>
      </c>
      <c r="B4532" s="35" t="s">
        <v>11165</v>
      </c>
    </row>
    <row r="4533" spans="1:2" x14ac:dyDescent="0.35">
      <c r="A4533" s="34">
        <v>31121317</v>
      </c>
      <c r="B4533" s="35" t="s">
        <v>5050</v>
      </c>
    </row>
    <row r="4534" spans="1:2" x14ac:dyDescent="0.35">
      <c r="A4534" s="34">
        <v>31121318</v>
      </c>
      <c r="B4534" s="35" t="s">
        <v>13734</v>
      </c>
    </row>
    <row r="4535" spans="1:2" x14ac:dyDescent="0.35">
      <c r="A4535" s="34">
        <v>31121319</v>
      </c>
      <c r="B4535" s="35" t="s">
        <v>8398</v>
      </c>
    </row>
    <row r="4536" spans="1:2" x14ac:dyDescent="0.35">
      <c r="A4536" s="34">
        <v>31121401</v>
      </c>
      <c r="B4536" s="35" t="s">
        <v>1267</v>
      </c>
    </row>
    <row r="4537" spans="1:2" x14ac:dyDescent="0.35">
      <c r="A4537" s="34">
        <v>31121402</v>
      </c>
      <c r="B4537" s="35" t="s">
        <v>4814</v>
      </c>
    </row>
    <row r="4538" spans="1:2" x14ac:dyDescent="0.35">
      <c r="A4538" s="34">
        <v>31121403</v>
      </c>
      <c r="B4538" s="35" t="s">
        <v>3813</v>
      </c>
    </row>
    <row r="4539" spans="1:2" x14ac:dyDescent="0.35">
      <c r="A4539" s="34">
        <v>31121404</v>
      </c>
      <c r="B4539" s="35" t="s">
        <v>4990</v>
      </c>
    </row>
    <row r="4540" spans="1:2" x14ac:dyDescent="0.35">
      <c r="A4540" s="34">
        <v>31121405</v>
      </c>
      <c r="B4540" s="35" t="s">
        <v>1589</v>
      </c>
    </row>
    <row r="4541" spans="1:2" x14ac:dyDescent="0.35">
      <c r="A4541" s="34">
        <v>31121406</v>
      </c>
      <c r="B4541" s="35" t="s">
        <v>8196</v>
      </c>
    </row>
    <row r="4542" spans="1:2" x14ac:dyDescent="0.35">
      <c r="A4542" s="34">
        <v>31121407</v>
      </c>
      <c r="B4542" s="35" t="s">
        <v>2027</v>
      </c>
    </row>
    <row r="4543" spans="1:2" x14ac:dyDescent="0.35">
      <c r="A4543" s="34">
        <v>31121408</v>
      </c>
      <c r="B4543" s="35" t="s">
        <v>7688</v>
      </c>
    </row>
    <row r="4544" spans="1:2" x14ac:dyDescent="0.35">
      <c r="A4544" s="34">
        <v>31121409</v>
      </c>
      <c r="B4544" s="35" t="s">
        <v>17896</v>
      </c>
    </row>
    <row r="4545" spans="1:2" x14ac:dyDescent="0.35">
      <c r="A4545" s="34">
        <v>31121410</v>
      </c>
      <c r="B4545" s="35" t="s">
        <v>10232</v>
      </c>
    </row>
    <row r="4546" spans="1:2" x14ac:dyDescent="0.35">
      <c r="A4546" s="34">
        <v>31121411</v>
      </c>
      <c r="B4546" s="35" t="s">
        <v>3714</v>
      </c>
    </row>
    <row r="4547" spans="1:2" x14ac:dyDescent="0.35">
      <c r="A4547" s="34">
        <v>31121412</v>
      </c>
      <c r="B4547" s="35" t="s">
        <v>283</v>
      </c>
    </row>
    <row r="4548" spans="1:2" x14ac:dyDescent="0.35">
      <c r="A4548" s="34">
        <v>31121413</v>
      </c>
      <c r="B4548" s="35" t="s">
        <v>9426</v>
      </c>
    </row>
    <row r="4549" spans="1:2" x14ac:dyDescent="0.35">
      <c r="A4549" s="34">
        <v>31121414</v>
      </c>
      <c r="B4549" s="35" t="s">
        <v>11053</v>
      </c>
    </row>
    <row r="4550" spans="1:2" x14ac:dyDescent="0.35">
      <c r="A4550" s="34">
        <v>31121415</v>
      </c>
      <c r="B4550" s="35" t="s">
        <v>17377</v>
      </c>
    </row>
    <row r="4551" spans="1:2" x14ac:dyDescent="0.35">
      <c r="A4551" s="34">
        <v>31121416</v>
      </c>
      <c r="B4551" s="35" t="s">
        <v>554</v>
      </c>
    </row>
    <row r="4552" spans="1:2" x14ac:dyDescent="0.35">
      <c r="A4552" s="34">
        <v>31121417</v>
      </c>
      <c r="B4552" s="35" t="s">
        <v>2470</v>
      </c>
    </row>
    <row r="4553" spans="1:2" x14ac:dyDescent="0.35">
      <c r="A4553" s="34">
        <v>31121418</v>
      </c>
      <c r="B4553" s="35" t="s">
        <v>19014</v>
      </c>
    </row>
    <row r="4554" spans="1:2" x14ac:dyDescent="0.35">
      <c r="A4554" s="34">
        <v>31121419</v>
      </c>
      <c r="B4554" s="35" t="s">
        <v>19539</v>
      </c>
    </row>
    <row r="4555" spans="1:2" x14ac:dyDescent="0.35">
      <c r="A4555" s="34">
        <v>31121501</v>
      </c>
      <c r="B4555" s="35" t="s">
        <v>1689</v>
      </c>
    </row>
    <row r="4556" spans="1:2" x14ac:dyDescent="0.35">
      <c r="A4556" s="34">
        <v>31121502</v>
      </c>
      <c r="B4556" s="35" t="s">
        <v>16021</v>
      </c>
    </row>
    <row r="4557" spans="1:2" x14ac:dyDescent="0.35">
      <c r="A4557" s="34">
        <v>31121503</v>
      </c>
      <c r="B4557" s="35" t="s">
        <v>17440</v>
      </c>
    </row>
    <row r="4558" spans="1:2" x14ac:dyDescent="0.35">
      <c r="A4558" s="34">
        <v>31121504</v>
      </c>
      <c r="B4558" s="35" t="s">
        <v>800</v>
      </c>
    </row>
    <row r="4559" spans="1:2" x14ac:dyDescent="0.35">
      <c r="A4559" s="34">
        <v>31121505</v>
      </c>
      <c r="B4559" s="35" t="s">
        <v>6112</v>
      </c>
    </row>
    <row r="4560" spans="1:2" x14ac:dyDescent="0.35">
      <c r="A4560" s="34">
        <v>31121506</v>
      </c>
      <c r="B4560" s="35" t="s">
        <v>15261</v>
      </c>
    </row>
    <row r="4561" spans="1:2" x14ac:dyDescent="0.35">
      <c r="A4561" s="34">
        <v>31121507</v>
      </c>
      <c r="B4561" s="35" t="s">
        <v>18716</v>
      </c>
    </row>
    <row r="4562" spans="1:2" x14ac:dyDescent="0.35">
      <c r="A4562" s="34">
        <v>31121508</v>
      </c>
      <c r="B4562" s="35" t="s">
        <v>5395</v>
      </c>
    </row>
    <row r="4563" spans="1:2" x14ac:dyDescent="0.35">
      <c r="A4563" s="34">
        <v>31121509</v>
      </c>
      <c r="B4563" s="35" t="s">
        <v>17747</v>
      </c>
    </row>
    <row r="4564" spans="1:2" x14ac:dyDescent="0.35">
      <c r="A4564" s="34">
        <v>31121510</v>
      </c>
      <c r="B4564" s="35" t="s">
        <v>9749</v>
      </c>
    </row>
    <row r="4565" spans="1:2" x14ac:dyDescent="0.35">
      <c r="A4565" s="34">
        <v>31121511</v>
      </c>
      <c r="B4565" s="35" t="s">
        <v>12004</v>
      </c>
    </row>
    <row r="4566" spans="1:2" x14ac:dyDescent="0.35">
      <c r="A4566" s="34">
        <v>31121512</v>
      </c>
      <c r="B4566" s="35" t="s">
        <v>14173</v>
      </c>
    </row>
    <row r="4567" spans="1:2" x14ac:dyDescent="0.35">
      <c r="A4567" s="34">
        <v>31121513</v>
      </c>
      <c r="B4567" s="35" t="s">
        <v>4631</v>
      </c>
    </row>
    <row r="4568" spans="1:2" x14ac:dyDescent="0.35">
      <c r="A4568" s="34">
        <v>31121514</v>
      </c>
      <c r="B4568" s="35" t="s">
        <v>17992</v>
      </c>
    </row>
    <row r="4569" spans="1:2" x14ac:dyDescent="0.35">
      <c r="A4569" s="34">
        <v>31121515</v>
      </c>
      <c r="B4569" s="35" t="s">
        <v>14826</v>
      </c>
    </row>
    <row r="4570" spans="1:2" x14ac:dyDescent="0.35">
      <c r="A4570" s="34">
        <v>31121516</v>
      </c>
      <c r="B4570" s="35" t="s">
        <v>11310</v>
      </c>
    </row>
    <row r="4571" spans="1:2" x14ac:dyDescent="0.35">
      <c r="A4571" s="34">
        <v>31121517</v>
      </c>
      <c r="B4571" s="35" t="s">
        <v>16981</v>
      </c>
    </row>
    <row r="4572" spans="1:2" x14ac:dyDescent="0.35">
      <c r="A4572" s="34">
        <v>31121518</v>
      </c>
      <c r="B4572" s="35" t="s">
        <v>16971</v>
      </c>
    </row>
    <row r="4573" spans="1:2" x14ac:dyDescent="0.35">
      <c r="A4573" s="34">
        <v>31121519</v>
      </c>
      <c r="B4573" s="35" t="s">
        <v>9565</v>
      </c>
    </row>
    <row r="4574" spans="1:2" x14ac:dyDescent="0.35">
      <c r="A4574" s="34">
        <v>31121601</v>
      </c>
      <c r="B4574" s="35" t="s">
        <v>11206</v>
      </c>
    </row>
    <row r="4575" spans="1:2" x14ac:dyDescent="0.35">
      <c r="A4575" s="34">
        <v>31121602</v>
      </c>
      <c r="B4575" s="35" t="s">
        <v>888</v>
      </c>
    </row>
    <row r="4576" spans="1:2" x14ac:dyDescent="0.35">
      <c r="A4576" s="34">
        <v>31121603</v>
      </c>
      <c r="B4576" s="35" t="s">
        <v>1854</v>
      </c>
    </row>
    <row r="4577" spans="1:2" x14ac:dyDescent="0.35">
      <c r="A4577" s="34">
        <v>31121604</v>
      </c>
      <c r="B4577" s="35" t="s">
        <v>14837</v>
      </c>
    </row>
    <row r="4578" spans="1:2" x14ac:dyDescent="0.35">
      <c r="A4578" s="34">
        <v>31121605</v>
      </c>
      <c r="B4578" s="35" t="s">
        <v>13689</v>
      </c>
    </row>
    <row r="4579" spans="1:2" x14ac:dyDescent="0.35">
      <c r="A4579" s="34">
        <v>31121606</v>
      </c>
      <c r="B4579" s="35" t="s">
        <v>2109</v>
      </c>
    </row>
    <row r="4580" spans="1:2" x14ac:dyDescent="0.35">
      <c r="A4580" s="34">
        <v>31121607</v>
      </c>
      <c r="B4580" s="35" t="s">
        <v>6364</v>
      </c>
    </row>
    <row r="4581" spans="1:2" x14ac:dyDescent="0.35">
      <c r="A4581" s="34">
        <v>31121608</v>
      </c>
      <c r="B4581" s="35" t="s">
        <v>10125</v>
      </c>
    </row>
    <row r="4582" spans="1:2" x14ac:dyDescent="0.35">
      <c r="A4582" s="34">
        <v>31121609</v>
      </c>
      <c r="B4582" s="35" t="s">
        <v>3965</v>
      </c>
    </row>
    <row r="4583" spans="1:2" x14ac:dyDescent="0.35">
      <c r="A4583" s="34">
        <v>31121610</v>
      </c>
      <c r="B4583" s="35" t="s">
        <v>15616</v>
      </c>
    </row>
    <row r="4584" spans="1:2" x14ac:dyDescent="0.35">
      <c r="A4584" s="34">
        <v>31121611</v>
      </c>
      <c r="B4584" s="35" t="s">
        <v>13660</v>
      </c>
    </row>
    <row r="4585" spans="1:2" x14ac:dyDescent="0.35">
      <c r="A4585" s="34">
        <v>31121612</v>
      </c>
      <c r="B4585" s="35" t="s">
        <v>10384</v>
      </c>
    </row>
    <row r="4586" spans="1:2" x14ac:dyDescent="0.35">
      <c r="A4586" s="34">
        <v>31121613</v>
      </c>
      <c r="B4586" s="35" t="s">
        <v>10364</v>
      </c>
    </row>
    <row r="4587" spans="1:2" x14ac:dyDescent="0.35">
      <c r="A4587" s="34">
        <v>31121614</v>
      </c>
      <c r="B4587" s="35" t="s">
        <v>775</v>
      </c>
    </row>
    <row r="4588" spans="1:2" x14ac:dyDescent="0.35">
      <c r="A4588" s="34">
        <v>31121615</v>
      </c>
      <c r="B4588" s="35" t="s">
        <v>11139</v>
      </c>
    </row>
    <row r="4589" spans="1:2" x14ac:dyDescent="0.35">
      <c r="A4589" s="34">
        <v>31121701</v>
      </c>
      <c r="B4589" s="35" t="s">
        <v>17389</v>
      </c>
    </row>
    <row r="4590" spans="1:2" x14ac:dyDescent="0.35">
      <c r="A4590" s="34">
        <v>31121702</v>
      </c>
      <c r="B4590" s="35" t="s">
        <v>6195</v>
      </c>
    </row>
    <row r="4591" spans="1:2" x14ac:dyDescent="0.35">
      <c r="A4591" s="34">
        <v>31121703</v>
      </c>
      <c r="B4591" s="35" t="s">
        <v>13976</v>
      </c>
    </row>
    <row r="4592" spans="1:2" x14ac:dyDescent="0.35">
      <c r="A4592" s="34">
        <v>31121704</v>
      </c>
      <c r="B4592" s="35" t="s">
        <v>14903</v>
      </c>
    </row>
    <row r="4593" spans="1:2" x14ac:dyDescent="0.35">
      <c r="A4593" s="34">
        <v>31121705</v>
      </c>
      <c r="B4593" s="35" t="s">
        <v>13716</v>
      </c>
    </row>
    <row r="4594" spans="1:2" x14ac:dyDescent="0.35">
      <c r="A4594" s="34">
        <v>31121706</v>
      </c>
      <c r="B4594" s="35" t="s">
        <v>14832</v>
      </c>
    </row>
    <row r="4595" spans="1:2" x14ac:dyDescent="0.35">
      <c r="A4595" s="34">
        <v>31121707</v>
      </c>
      <c r="B4595" s="35" t="s">
        <v>17332</v>
      </c>
    </row>
    <row r="4596" spans="1:2" x14ac:dyDescent="0.35">
      <c r="A4596" s="34">
        <v>31121708</v>
      </c>
      <c r="B4596" s="35" t="s">
        <v>17659</v>
      </c>
    </row>
    <row r="4597" spans="1:2" x14ac:dyDescent="0.35">
      <c r="A4597" s="34">
        <v>31121709</v>
      </c>
      <c r="B4597" s="35" t="s">
        <v>17240</v>
      </c>
    </row>
    <row r="4598" spans="1:2" x14ac:dyDescent="0.35">
      <c r="A4598" s="34">
        <v>31121710</v>
      </c>
      <c r="B4598" s="35" t="s">
        <v>223</v>
      </c>
    </row>
    <row r="4599" spans="1:2" x14ac:dyDescent="0.35">
      <c r="A4599" s="34">
        <v>31121711</v>
      </c>
      <c r="B4599" s="35" t="s">
        <v>13504</v>
      </c>
    </row>
    <row r="4600" spans="1:2" x14ac:dyDescent="0.35">
      <c r="A4600" s="34">
        <v>31121712</v>
      </c>
      <c r="B4600" s="35" t="s">
        <v>11930</v>
      </c>
    </row>
    <row r="4601" spans="1:2" x14ac:dyDescent="0.35">
      <c r="A4601" s="34">
        <v>31121713</v>
      </c>
      <c r="B4601" s="35" t="s">
        <v>1635</v>
      </c>
    </row>
    <row r="4602" spans="1:2" x14ac:dyDescent="0.35">
      <c r="A4602" s="34">
        <v>31121714</v>
      </c>
      <c r="B4602" s="35" t="s">
        <v>6338</v>
      </c>
    </row>
    <row r="4603" spans="1:2" x14ac:dyDescent="0.35">
      <c r="A4603" s="34">
        <v>31121715</v>
      </c>
      <c r="B4603" s="35" t="s">
        <v>1323</v>
      </c>
    </row>
    <row r="4604" spans="1:2" x14ac:dyDescent="0.35">
      <c r="A4604" s="34">
        <v>31121716</v>
      </c>
      <c r="B4604" s="35" t="s">
        <v>18628</v>
      </c>
    </row>
    <row r="4605" spans="1:2" x14ac:dyDescent="0.35">
      <c r="A4605" s="34">
        <v>31121717</v>
      </c>
      <c r="B4605" s="35" t="s">
        <v>10122</v>
      </c>
    </row>
    <row r="4606" spans="1:2" x14ac:dyDescent="0.35">
      <c r="A4606" s="34">
        <v>31121718</v>
      </c>
      <c r="B4606" s="35" t="s">
        <v>5885</v>
      </c>
    </row>
    <row r="4607" spans="1:2" x14ac:dyDescent="0.35">
      <c r="A4607" s="34">
        <v>31121719</v>
      </c>
      <c r="B4607" s="35" t="s">
        <v>3168</v>
      </c>
    </row>
    <row r="4608" spans="1:2" x14ac:dyDescent="0.35">
      <c r="A4608" s="34">
        <v>31121801</v>
      </c>
      <c r="B4608" s="35" t="s">
        <v>4760</v>
      </c>
    </row>
    <row r="4609" spans="1:2" x14ac:dyDescent="0.35">
      <c r="A4609" s="34">
        <v>31121802</v>
      </c>
      <c r="B4609" s="35" t="s">
        <v>9584</v>
      </c>
    </row>
    <row r="4610" spans="1:2" x14ac:dyDescent="0.35">
      <c r="A4610" s="34">
        <v>31121803</v>
      </c>
      <c r="B4610" s="35" t="s">
        <v>10525</v>
      </c>
    </row>
    <row r="4611" spans="1:2" x14ac:dyDescent="0.35">
      <c r="A4611" s="34">
        <v>31121804</v>
      </c>
      <c r="B4611" s="35" t="s">
        <v>13572</v>
      </c>
    </row>
    <row r="4612" spans="1:2" x14ac:dyDescent="0.35">
      <c r="A4612" s="34">
        <v>31121805</v>
      </c>
      <c r="B4612" s="35" t="s">
        <v>11135</v>
      </c>
    </row>
    <row r="4613" spans="1:2" x14ac:dyDescent="0.35">
      <c r="A4613" s="34">
        <v>31121806</v>
      </c>
      <c r="B4613" s="35" t="s">
        <v>6849</v>
      </c>
    </row>
    <row r="4614" spans="1:2" x14ac:dyDescent="0.35">
      <c r="A4614" s="34">
        <v>31121807</v>
      </c>
      <c r="B4614" s="35" t="s">
        <v>3122</v>
      </c>
    </row>
    <row r="4615" spans="1:2" x14ac:dyDescent="0.35">
      <c r="A4615" s="34">
        <v>31121808</v>
      </c>
      <c r="B4615" s="35" t="s">
        <v>5351</v>
      </c>
    </row>
    <row r="4616" spans="1:2" x14ac:dyDescent="0.35">
      <c r="A4616" s="34">
        <v>31121809</v>
      </c>
      <c r="B4616" s="35" t="s">
        <v>9876</v>
      </c>
    </row>
    <row r="4617" spans="1:2" x14ac:dyDescent="0.35">
      <c r="A4617" s="34">
        <v>31121810</v>
      </c>
      <c r="B4617" s="35" t="s">
        <v>17587</v>
      </c>
    </row>
    <row r="4618" spans="1:2" x14ac:dyDescent="0.35">
      <c r="A4618" s="34">
        <v>31121811</v>
      </c>
      <c r="B4618" s="35" t="s">
        <v>14850</v>
      </c>
    </row>
    <row r="4619" spans="1:2" x14ac:dyDescent="0.35">
      <c r="A4619" s="34">
        <v>31121812</v>
      </c>
      <c r="B4619" s="35" t="s">
        <v>390</v>
      </c>
    </row>
    <row r="4620" spans="1:2" x14ac:dyDescent="0.35">
      <c r="A4620" s="34">
        <v>31121813</v>
      </c>
      <c r="B4620" s="35" t="s">
        <v>18995</v>
      </c>
    </row>
    <row r="4621" spans="1:2" x14ac:dyDescent="0.35">
      <c r="A4621" s="34">
        <v>31121814</v>
      </c>
      <c r="B4621" s="35" t="s">
        <v>6262</v>
      </c>
    </row>
    <row r="4622" spans="1:2" x14ac:dyDescent="0.35">
      <c r="A4622" s="34">
        <v>31121815</v>
      </c>
      <c r="B4622" s="35" t="s">
        <v>696</v>
      </c>
    </row>
    <row r="4623" spans="1:2" x14ac:dyDescent="0.35">
      <c r="A4623" s="34">
        <v>31121816</v>
      </c>
      <c r="B4623" s="35" t="s">
        <v>11168</v>
      </c>
    </row>
    <row r="4624" spans="1:2" x14ac:dyDescent="0.35">
      <c r="A4624" s="34">
        <v>31121817</v>
      </c>
      <c r="B4624" s="35" t="s">
        <v>1730</v>
      </c>
    </row>
    <row r="4625" spans="1:2" x14ac:dyDescent="0.35">
      <c r="A4625" s="34">
        <v>31121818</v>
      </c>
      <c r="B4625" s="35" t="s">
        <v>3638</v>
      </c>
    </row>
    <row r="4626" spans="1:2" x14ac:dyDescent="0.35">
      <c r="A4626" s="34">
        <v>31121819</v>
      </c>
      <c r="B4626" s="35" t="s">
        <v>8360</v>
      </c>
    </row>
    <row r="4627" spans="1:2" x14ac:dyDescent="0.35">
      <c r="A4627" s="34">
        <v>31121901</v>
      </c>
      <c r="B4627" s="35" t="s">
        <v>9610</v>
      </c>
    </row>
    <row r="4628" spans="1:2" x14ac:dyDescent="0.35">
      <c r="A4628" s="34">
        <v>31121902</v>
      </c>
      <c r="B4628" s="35" t="s">
        <v>10049</v>
      </c>
    </row>
    <row r="4629" spans="1:2" x14ac:dyDescent="0.35">
      <c r="A4629" s="34">
        <v>31121903</v>
      </c>
      <c r="B4629" s="35" t="s">
        <v>1910</v>
      </c>
    </row>
    <row r="4630" spans="1:2" x14ac:dyDescent="0.35">
      <c r="A4630" s="34">
        <v>31121904</v>
      </c>
      <c r="B4630" s="35" t="s">
        <v>3065</v>
      </c>
    </row>
    <row r="4631" spans="1:2" x14ac:dyDescent="0.35">
      <c r="A4631" s="34">
        <v>31121905</v>
      </c>
      <c r="B4631" s="35" t="s">
        <v>11758</v>
      </c>
    </row>
    <row r="4632" spans="1:2" x14ac:dyDescent="0.35">
      <c r="A4632" s="34">
        <v>31121906</v>
      </c>
      <c r="B4632" s="35" t="s">
        <v>11648</v>
      </c>
    </row>
    <row r="4633" spans="1:2" x14ac:dyDescent="0.35">
      <c r="A4633" s="34">
        <v>31121907</v>
      </c>
      <c r="B4633" s="35" t="s">
        <v>11526</v>
      </c>
    </row>
    <row r="4634" spans="1:2" x14ac:dyDescent="0.35">
      <c r="A4634" s="34">
        <v>31121908</v>
      </c>
      <c r="B4634" s="35" t="s">
        <v>5088</v>
      </c>
    </row>
    <row r="4635" spans="1:2" x14ac:dyDescent="0.35">
      <c r="A4635" s="34">
        <v>31121909</v>
      </c>
      <c r="B4635" s="35" t="s">
        <v>16473</v>
      </c>
    </row>
    <row r="4636" spans="1:2" x14ac:dyDescent="0.35">
      <c r="A4636" s="34">
        <v>31121910</v>
      </c>
      <c r="B4636" s="35" t="s">
        <v>18680</v>
      </c>
    </row>
    <row r="4637" spans="1:2" x14ac:dyDescent="0.35">
      <c r="A4637" s="34">
        <v>31121911</v>
      </c>
      <c r="B4637" s="35" t="s">
        <v>13505</v>
      </c>
    </row>
    <row r="4638" spans="1:2" x14ac:dyDescent="0.35">
      <c r="A4638" s="34">
        <v>31121912</v>
      </c>
      <c r="B4638" s="35" t="s">
        <v>13875</v>
      </c>
    </row>
    <row r="4639" spans="1:2" x14ac:dyDescent="0.35">
      <c r="A4639" s="34">
        <v>31121913</v>
      </c>
      <c r="B4639" s="35" t="s">
        <v>17285</v>
      </c>
    </row>
    <row r="4640" spans="1:2" x14ac:dyDescent="0.35">
      <c r="A4640" s="34">
        <v>31121914</v>
      </c>
      <c r="B4640" s="35" t="s">
        <v>9072</v>
      </c>
    </row>
    <row r="4641" spans="1:2" x14ac:dyDescent="0.35">
      <c r="A4641" s="34">
        <v>31121915</v>
      </c>
      <c r="B4641" s="35" t="s">
        <v>7786</v>
      </c>
    </row>
    <row r="4642" spans="1:2" x14ac:dyDescent="0.35">
      <c r="A4642" s="34">
        <v>31121916</v>
      </c>
      <c r="B4642" s="35" t="s">
        <v>10485</v>
      </c>
    </row>
    <row r="4643" spans="1:2" x14ac:dyDescent="0.35">
      <c r="A4643" s="34">
        <v>31121917</v>
      </c>
      <c r="B4643" s="35" t="s">
        <v>2682</v>
      </c>
    </row>
    <row r="4644" spans="1:2" x14ac:dyDescent="0.35">
      <c r="A4644" s="34">
        <v>31121918</v>
      </c>
      <c r="B4644" s="35" t="s">
        <v>1919</v>
      </c>
    </row>
    <row r="4645" spans="1:2" x14ac:dyDescent="0.35">
      <c r="A4645" s="34">
        <v>31121919</v>
      </c>
      <c r="B4645" s="35" t="s">
        <v>6893</v>
      </c>
    </row>
    <row r="4646" spans="1:2" x14ac:dyDescent="0.35">
      <c r="A4646" s="34">
        <v>31131501</v>
      </c>
      <c r="B4646" s="35" t="s">
        <v>7544</v>
      </c>
    </row>
    <row r="4647" spans="1:2" x14ac:dyDescent="0.35">
      <c r="A4647" s="34">
        <v>31131502</v>
      </c>
      <c r="B4647" s="35" t="s">
        <v>759</v>
      </c>
    </row>
    <row r="4648" spans="1:2" x14ac:dyDescent="0.35">
      <c r="A4648" s="34">
        <v>31131503</v>
      </c>
      <c r="B4648" s="35" t="s">
        <v>12672</v>
      </c>
    </row>
    <row r="4649" spans="1:2" x14ac:dyDescent="0.35">
      <c r="A4649" s="34">
        <v>31131504</v>
      </c>
      <c r="B4649" s="35" t="s">
        <v>6458</v>
      </c>
    </row>
    <row r="4650" spans="1:2" x14ac:dyDescent="0.35">
      <c r="A4650" s="34">
        <v>31131505</v>
      </c>
      <c r="B4650" s="35" t="s">
        <v>15495</v>
      </c>
    </row>
    <row r="4651" spans="1:2" x14ac:dyDescent="0.35">
      <c r="A4651" s="34">
        <v>31131506</v>
      </c>
      <c r="B4651" s="35" t="s">
        <v>14831</v>
      </c>
    </row>
    <row r="4652" spans="1:2" x14ac:dyDescent="0.35">
      <c r="A4652" s="34">
        <v>31131507</v>
      </c>
      <c r="B4652" s="35" t="s">
        <v>13492</v>
      </c>
    </row>
    <row r="4653" spans="1:2" x14ac:dyDescent="0.35">
      <c r="A4653" s="34">
        <v>31131508</v>
      </c>
      <c r="B4653" s="35" t="s">
        <v>3074</v>
      </c>
    </row>
    <row r="4654" spans="1:2" x14ac:dyDescent="0.35">
      <c r="A4654" s="34">
        <v>31131509</v>
      </c>
      <c r="B4654" s="35" t="s">
        <v>6707</v>
      </c>
    </row>
    <row r="4655" spans="1:2" x14ac:dyDescent="0.35">
      <c r="A4655" s="34">
        <v>31131510</v>
      </c>
      <c r="B4655" s="35" t="s">
        <v>11814</v>
      </c>
    </row>
    <row r="4656" spans="1:2" x14ac:dyDescent="0.35">
      <c r="A4656" s="34">
        <v>31131511</v>
      </c>
      <c r="B4656" s="35" t="s">
        <v>7427</v>
      </c>
    </row>
    <row r="4657" spans="1:2" x14ac:dyDescent="0.35">
      <c r="A4657" s="34">
        <v>31131512</v>
      </c>
      <c r="B4657" s="35" t="s">
        <v>2742</v>
      </c>
    </row>
    <row r="4658" spans="1:2" x14ac:dyDescent="0.35">
      <c r="A4658" s="34">
        <v>31131513</v>
      </c>
      <c r="B4658" s="35" t="s">
        <v>6639</v>
      </c>
    </row>
    <row r="4659" spans="1:2" x14ac:dyDescent="0.35">
      <c r="A4659" s="34">
        <v>31131514</v>
      </c>
      <c r="B4659" s="35" t="s">
        <v>5026</v>
      </c>
    </row>
    <row r="4660" spans="1:2" x14ac:dyDescent="0.35">
      <c r="A4660" s="34">
        <v>31131515</v>
      </c>
      <c r="B4660" s="35" t="s">
        <v>11242</v>
      </c>
    </row>
    <row r="4661" spans="1:2" x14ac:dyDescent="0.35">
      <c r="A4661" s="34">
        <v>31131516</v>
      </c>
      <c r="B4661" s="35" t="s">
        <v>2243</v>
      </c>
    </row>
    <row r="4662" spans="1:2" x14ac:dyDescent="0.35">
      <c r="A4662" s="34">
        <v>31131601</v>
      </c>
      <c r="B4662" s="35" t="s">
        <v>3269</v>
      </c>
    </row>
    <row r="4663" spans="1:2" x14ac:dyDescent="0.35">
      <c r="A4663" s="34">
        <v>31131602</v>
      </c>
      <c r="B4663" s="35" t="s">
        <v>7288</v>
      </c>
    </row>
    <row r="4664" spans="1:2" x14ac:dyDescent="0.35">
      <c r="A4664" s="34">
        <v>31131603</v>
      </c>
      <c r="B4664" s="35" t="s">
        <v>2578</v>
      </c>
    </row>
    <row r="4665" spans="1:2" x14ac:dyDescent="0.35">
      <c r="A4665" s="34">
        <v>31131604</v>
      </c>
      <c r="B4665" s="35" t="s">
        <v>14680</v>
      </c>
    </row>
    <row r="4666" spans="1:2" x14ac:dyDescent="0.35">
      <c r="A4666" s="34">
        <v>31131605</v>
      </c>
      <c r="B4666" s="35" t="s">
        <v>12535</v>
      </c>
    </row>
    <row r="4667" spans="1:2" x14ac:dyDescent="0.35">
      <c r="A4667" s="34">
        <v>31131606</v>
      </c>
      <c r="B4667" s="35" t="s">
        <v>16272</v>
      </c>
    </row>
    <row r="4668" spans="1:2" x14ac:dyDescent="0.35">
      <c r="A4668" s="34">
        <v>31131607</v>
      </c>
      <c r="B4668" s="35" t="s">
        <v>5846</v>
      </c>
    </row>
    <row r="4669" spans="1:2" x14ac:dyDescent="0.35">
      <c r="A4669" s="34">
        <v>31131608</v>
      </c>
      <c r="B4669" s="35" t="s">
        <v>4272</v>
      </c>
    </row>
    <row r="4670" spans="1:2" x14ac:dyDescent="0.35">
      <c r="A4670" s="34">
        <v>31131609</v>
      </c>
      <c r="B4670" s="35" t="s">
        <v>13905</v>
      </c>
    </row>
    <row r="4671" spans="1:2" x14ac:dyDescent="0.35">
      <c r="A4671" s="34">
        <v>31131610</v>
      </c>
      <c r="B4671" s="35" t="s">
        <v>5414</v>
      </c>
    </row>
    <row r="4672" spans="1:2" x14ac:dyDescent="0.35">
      <c r="A4672" s="34">
        <v>31131611</v>
      </c>
      <c r="B4672" s="35" t="s">
        <v>12381</v>
      </c>
    </row>
    <row r="4673" spans="1:2" x14ac:dyDescent="0.35">
      <c r="A4673" s="34">
        <v>31131612</v>
      </c>
      <c r="B4673" s="35" t="s">
        <v>2707</v>
      </c>
    </row>
    <row r="4674" spans="1:2" x14ac:dyDescent="0.35">
      <c r="A4674" s="34">
        <v>31131613</v>
      </c>
      <c r="B4674" s="35" t="s">
        <v>6038</v>
      </c>
    </row>
    <row r="4675" spans="1:2" x14ac:dyDescent="0.35">
      <c r="A4675" s="34">
        <v>31131614</v>
      </c>
      <c r="B4675" s="35" t="s">
        <v>9219</v>
      </c>
    </row>
    <row r="4676" spans="1:2" x14ac:dyDescent="0.35">
      <c r="A4676" s="34">
        <v>31131615</v>
      </c>
      <c r="B4676" s="35" t="s">
        <v>5725</v>
      </c>
    </row>
    <row r="4677" spans="1:2" x14ac:dyDescent="0.35">
      <c r="A4677" s="34">
        <v>31131616</v>
      </c>
      <c r="B4677" s="35" t="s">
        <v>2044</v>
      </c>
    </row>
    <row r="4678" spans="1:2" x14ac:dyDescent="0.35">
      <c r="A4678" s="34">
        <v>31131701</v>
      </c>
      <c r="B4678" s="35" t="s">
        <v>5581</v>
      </c>
    </row>
    <row r="4679" spans="1:2" x14ac:dyDescent="0.35">
      <c r="A4679" s="34">
        <v>31131702</v>
      </c>
      <c r="B4679" s="35" t="s">
        <v>6516</v>
      </c>
    </row>
    <row r="4680" spans="1:2" x14ac:dyDescent="0.35">
      <c r="A4680" s="34">
        <v>31131703</v>
      </c>
      <c r="B4680" s="35" t="s">
        <v>837</v>
      </c>
    </row>
    <row r="4681" spans="1:2" x14ac:dyDescent="0.35">
      <c r="A4681" s="34">
        <v>31131704</v>
      </c>
      <c r="B4681" s="35" t="s">
        <v>19275</v>
      </c>
    </row>
    <row r="4682" spans="1:2" x14ac:dyDescent="0.35">
      <c r="A4682" s="34">
        <v>31131705</v>
      </c>
      <c r="B4682" s="35" t="s">
        <v>14387</v>
      </c>
    </row>
    <row r="4683" spans="1:2" x14ac:dyDescent="0.35">
      <c r="A4683" s="34">
        <v>31131706</v>
      </c>
      <c r="B4683" s="35" t="s">
        <v>11280</v>
      </c>
    </row>
    <row r="4684" spans="1:2" x14ac:dyDescent="0.35">
      <c r="A4684" s="34">
        <v>31131707</v>
      </c>
      <c r="B4684" s="35" t="s">
        <v>5939</v>
      </c>
    </row>
    <row r="4685" spans="1:2" x14ac:dyDescent="0.35">
      <c r="A4685" s="34">
        <v>31131708</v>
      </c>
      <c r="B4685" s="35" t="s">
        <v>18231</v>
      </c>
    </row>
    <row r="4686" spans="1:2" x14ac:dyDescent="0.35">
      <c r="A4686" s="34">
        <v>31131709</v>
      </c>
      <c r="B4686" s="35" t="s">
        <v>9187</v>
      </c>
    </row>
    <row r="4687" spans="1:2" x14ac:dyDescent="0.35">
      <c r="A4687" s="34">
        <v>31131710</v>
      </c>
      <c r="B4687" s="35" t="s">
        <v>17520</v>
      </c>
    </row>
    <row r="4688" spans="1:2" x14ac:dyDescent="0.35">
      <c r="A4688" s="34">
        <v>31131711</v>
      </c>
      <c r="B4688" s="35" t="s">
        <v>7493</v>
      </c>
    </row>
    <row r="4689" spans="1:2" x14ac:dyDescent="0.35">
      <c r="A4689" s="34">
        <v>31131712</v>
      </c>
      <c r="B4689" s="35" t="s">
        <v>17622</v>
      </c>
    </row>
    <row r="4690" spans="1:2" x14ac:dyDescent="0.35">
      <c r="A4690" s="34">
        <v>31131713</v>
      </c>
      <c r="B4690" s="35" t="s">
        <v>9087</v>
      </c>
    </row>
    <row r="4691" spans="1:2" x14ac:dyDescent="0.35">
      <c r="A4691" s="34">
        <v>31131714</v>
      </c>
      <c r="B4691" s="35" t="s">
        <v>15114</v>
      </c>
    </row>
    <row r="4692" spans="1:2" x14ac:dyDescent="0.35">
      <c r="A4692" s="34">
        <v>31131715</v>
      </c>
      <c r="B4692" s="35" t="s">
        <v>1569</v>
      </c>
    </row>
    <row r="4693" spans="1:2" x14ac:dyDescent="0.35">
      <c r="A4693" s="34">
        <v>31131716</v>
      </c>
      <c r="B4693" s="35" t="s">
        <v>11663</v>
      </c>
    </row>
    <row r="4694" spans="1:2" x14ac:dyDescent="0.35">
      <c r="A4694" s="34">
        <v>31131801</v>
      </c>
      <c r="B4694" s="35" t="s">
        <v>8463</v>
      </c>
    </row>
    <row r="4695" spans="1:2" x14ac:dyDescent="0.35">
      <c r="A4695" s="34">
        <v>31131802</v>
      </c>
      <c r="B4695" s="35" t="s">
        <v>839</v>
      </c>
    </row>
    <row r="4696" spans="1:2" x14ac:dyDescent="0.35">
      <c r="A4696" s="34">
        <v>31131803</v>
      </c>
      <c r="B4696" s="35" t="s">
        <v>6612</v>
      </c>
    </row>
    <row r="4697" spans="1:2" x14ac:dyDescent="0.35">
      <c r="A4697" s="34">
        <v>31131804</v>
      </c>
      <c r="B4697" s="35" t="s">
        <v>1172</v>
      </c>
    </row>
    <row r="4698" spans="1:2" x14ac:dyDescent="0.35">
      <c r="A4698" s="34">
        <v>31131805</v>
      </c>
      <c r="B4698" s="35" t="s">
        <v>11545</v>
      </c>
    </row>
    <row r="4699" spans="1:2" x14ac:dyDescent="0.35">
      <c r="A4699" s="34">
        <v>31131806</v>
      </c>
      <c r="B4699" s="35" t="s">
        <v>7979</v>
      </c>
    </row>
    <row r="4700" spans="1:2" x14ac:dyDescent="0.35">
      <c r="A4700" s="34">
        <v>31131807</v>
      </c>
      <c r="B4700" s="35" t="s">
        <v>17657</v>
      </c>
    </row>
    <row r="4701" spans="1:2" x14ac:dyDescent="0.35">
      <c r="A4701" s="34">
        <v>31131808</v>
      </c>
      <c r="B4701" s="35" t="s">
        <v>1987</v>
      </c>
    </row>
    <row r="4702" spans="1:2" x14ac:dyDescent="0.35">
      <c r="A4702" s="34">
        <v>31131809</v>
      </c>
      <c r="B4702" s="35" t="s">
        <v>7064</v>
      </c>
    </row>
    <row r="4703" spans="1:2" x14ac:dyDescent="0.35">
      <c r="A4703" s="34">
        <v>31131810</v>
      </c>
      <c r="B4703" s="35" t="s">
        <v>4203</v>
      </c>
    </row>
    <row r="4704" spans="1:2" x14ac:dyDescent="0.35">
      <c r="A4704" s="34">
        <v>31131811</v>
      </c>
      <c r="B4704" s="35" t="s">
        <v>13010</v>
      </c>
    </row>
    <row r="4705" spans="1:2" x14ac:dyDescent="0.35">
      <c r="A4705" s="34">
        <v>31131812</v>
      </c>
      <c r="B4705" s="35" t="s">
        <v>8582</v>
      </c>
    </row>
    <row r="4706" spans="1:2" x14ac:dyDescent="0.35">
      <c r="A4706" s="34">
        <v>31131813</v>
      </c>
      <c r="B4706" s="35" t="s">
        <v>13620</v>
      </c>
    </row>
    <row r="4707" spans="1:2" x14ac:dyDescent="0.35">
      <c r="A4707" s="34">
        <v>31131814</v>
      </c>
      <c r="B4707" s="35" t="s">
        <v>1349</v>
      </c>
    </row>
    <row r="4708" spans="1:2" x14ac:dyDescent="0.35">
      <c r="A4708" s="34">
        <v>31131815</v>
      </c>
      <c r="B4708" s="35" t="s">
        <v>1085</v>
      </c>
    </row>
    <row r="4709" spans="1:2" x14ac:dyDescent="0.35">
      <c r="A4709" s="34">
        <v>31131816</v>
      </c>
      <c r="B4709" s="35" t="s">
        <v>14731</v>
      </c>
    </row>
    <row r="4710" spans="1:2" x14ac:dyDescent="0.35">
      <c r="A4710" s="34">
        <v>31131817</v>
      </c>
      <c r="B4710" s="35" t="s">
        <v>14255</v>
      </c>
    </row>
    <row r="4711" spans="1:2" x14ac:dyDescent="0.35">
      <c r="A4711" s="34">
        <v>31131818</v>
      </c>
      <c r="B4711" s="35" t="s">
        <v>4028</v>
      </c>
    </row>
    <row r="4712" spans="1:2" x14ac:dyDescent="0.35">
      <c r="A4712" s="34">
        <v>31131901</v>
      </c>
      <c r="B4712" s="35" t="s">
        <v>1391</v>
      </c>
    </row>
    <row r="4713" spans="1:2" x14ac:dyDescent="0.35">
      <c r="A4713" s="34">
        <v>31131902</v>
      </c>
      <c r="B4713" s="35" t="s">
        <v>8031</v>
      </c>
    </row>
    <row r="4714" spans="1:2" x14ac:dyDescent="0.35">
      <c r="A4714" s="34">
        <v>31131903</v>
      </c>
      <c r="B4714" s="35" t="s">
        <v>5888</v>
      </c>
    </row>
    <row r="4715" spans="1:2" x14ac:dyDescent="0.35">
      <c r="A4715" s="34">
        <v>31131904</v>
      </c>
      <c r="B4715" s="35" t="s">
        <v>13320</v>
      </c>
    </row>
    <row r="4716" spans="1:2" x14ac:dyDescent="0.35">
      <c r="A4716" s="34">
        <v>31131905</v>
      </c>
      <c r="B4716" s="35" t="s">
        <v>10585</v>
      </c>
    </row>
    <row r="4717" spans="1:2" x14ac:dyDescent="0.35">
      <c r="A4717" s="34">
        <v>31131906</v>
      </c>
      <c r="B4717" s="35" t="s">
        <v>18189</v>
      </c>
    </row>
    <row r="4718" spans="1:2" x14ac:dyDescent="0.35">
      <c r="A4718" s="34">
        <v>31131907</v>
      </c>
      <c r="B4718" s="35" t="s">
        <v>5231</v>
      </c>
    </row>
    <row r="4719" spans="1:2" x14ac:dyDescent="0.35">
      <c r="A4719" s="34">
        <v>31131908</v>
      </c>
      <c r="B4719" s="35" t="s">
        <v>16980</v>
      </c>
    </row>
    <row r="4720" spans="1:2" x14ac:dyDescent="0.35">
      <c r="A4720" s="34">
        <v>31131909</v>
      </c>
      <c r="B4720" s="35" t="s">
        <v>9096</v>
      </c>
    </row>
    <row r="4721" spans="1:2" x14ac:dyDescent="0.35">
      <c r="A4721" s="34">
        <v>31131910</v>
      </c>
      <c r="B4721" s="35" t="s">
        <v>17274</v>
      </c>
    </row>
    <row r="4722" spans="1:2" x14ac:dyDescent="0.35">
      <c r="A4722" s="34">
        <v>31131911</v>
      </c>
      <c r="B4722" s="35" t="s">
        <v>10100</v>
      </c>
    </row>
    <row r="4723" spans="1:2" x14ac:dyDescent="0.35">
      <c r="A4723" s="34">
        <v>31131912</v>
      </c>
      <c r="B4723" s="35" t="s">
        <v>15609</v>
      </c>
    </row>
    <row r="4724" spans="1:2" x14ac:dyDescent="0.35">
      <c r="A4724" s="34">
        <v>31131913</v>
      </c>
      <c r="B4724" s="35" t="s">
        <v>12323</v>
      </c>
    </row>
    <row r="4725" spans="1:2" x14ac:dyDescent="0.35">
      <c r="A4725" s="34">
        <v>31131914</v>
      </c>
      <c r="B4725" s="35" t="s">
        <v>13630</v>
      </c>
    </row>
    <row r="4726" spans="1:2" x14ac:dyDescent="0.35">
      <c r="A4726" s="34">
        <v>31131915</v>
      </c>
      <c r="B4726" s="35" t="s">
        <v>10804</v>
      </c>
    </row>
    <row r="4727" spans="1:2" x14ac:dyDescent="0.35">
      <c r="A4727" s="34">
        <v>31131916</v>
      </c>
      <c r="B4727" s="35" t="s">
        <v>11649</v>
      </c>
    </row>
    <row r="4728" spans="1:2" x14ac:dyDescent="0.35">
      <c r="A4728" s="34">
        <v>31132001</v>
      </c>
      <c r="B4728" s="35" t="s">
        <v>15704</v>
      </c>
    </row>
    <row r="4729" spans="1:2" x14ac:dyDescent="0.35">
      <c r="A4729" s="34">
        <v>31132002</v>
      </c>
      <c r="B4729" s="35" t="s">
        <v>12875</v>
      </c>
    </row>
    <row r="4730" spans="1:2" x14ac:dyDescent="0.35">
      <c r="A4730" s="34">
        <v>31141501</v>
      </c>
      <c r="B4730" s="35" t="s">
        <v>14349</v>
      </c>
    </row>
    <row r="4731" spans="1:2" x14ac:dyDescent="0.35">
      <c r="A4731" s="34">
        <v>31141502</v>
      </c>
      <c r="B4731" s="35" t="s">
        <v>19587</v>
      </c>
    </row>
    <row r="4732" spans="1:2" x14ac:dyDescent="0.35">
      <c r="A4732" s="34">
        <v>31141503</v>
      </c>
      <c r="B4732" s="35" t="s">
        <v>12029</v>
      </c>
    </row>
    <row r="4733" spans="1:2" x14ac:dyDescent="0.35">
      <c r="A4733" s="34">
        <v>31141601</v>
      </c>
      <c r="B4733" s="35" t="s">
        <v>1870</v>
      </c>
    </row>
    <row r="4734" spans="1:2" x14ac:dyDescent="0.35">
      <c r="A4734" s="34">
        <v>31141602</v>
      </c>
      <c r="B4734" s="35" t="s">
        <v>11714</v>
      </c>
    </row>
    <row r="4735" spans="1:2" x14ac:dyDescent="0.35">
      <c r="A4735" s="34">
        <v>31141603</v>
      </c>
      <c r="B4735" s="35" t="s">
        <v>18535</v>
      </c>
    </row>
    <row r="4736" spans="1:2" x14ac:dyDescent="0.35">
      <c r="A4736" s="34">
        <v>31141701</v>
      </c>
      <c r="B4736" s="35" t="s">
        <v>1256</v>
      </c>
    </row>
    <row r="4737" spans="1:2" x14ac:dyDescent="0.35">
      <c r="A4737" s="34">
        <v>31141702</v>
      </c>
      <c r="B4737" s="35" t="s">
        <v>14909</v>
      </c>
    </row>
    <row r="4738" spans="1:2" x14ac:dyDescent="0.35">
      <c r="A4738" s="34">
        <v>31141801</v>
      </c>
      <c r="B4738" s="35" t="s">
        <v>12420</v>
      </c>
    </row>
    <row r="4739" spans="1:2" x14ac:dyDescent="0.35">
      <c r="A4739" s="34">
        <v>31141802</v>
      </c>
      <c r="B4739" s="35" t="s">
        <v>4908</v>
      </c>
    </row>
    <row r="4740" spans="1:2" x14ac:dyDescent="0.35">
      <c r="A4740" s="34">
        <v>31151501</v>
      </c>
      <c r="B4740" s="35" t="s">
        <v>17025</v>
      </c>
    </row>
    <row r="4741" spans="1:2" x14ac:dyDescent="0.35">
      <c r="A4741" s="34">
        <v>31151502</v>
      </c>
      <c r="B4741" s="35" t="s">
        <v>8795</v>
      </c>
    </row>
    <row r="4742" spans="1:2" x14ac:dyDescent="0.35">
      <c r="A4742" s="34">
        <v>31151503</v>
      </c>
      <c r="B4742" s="35" t="s">
        <v>7969</v>
      </c>
    </row>
    <row r="4743" spans="1:2" x14ac:dyDescent="0.35">
      <c r="A4743" s="34">
        <v>31151504</v>
      </c>
      <c r="B4743" s="35" t="s">
        <v>6497</v>
      </c>
    </row>
    <row r="4744" spans="1:2" x14ac:dyDescent="0.35">
      <c r="A4744" s="34">
        <v>31151505</v>
      </c>
      <c r="B4744" s="35" t="s">
        <v>7941</v>
      </c>
    </row>
    <row r="4745" spans="1:2" x14ac:dyDescent="0.35">
      <c r="A4745" s="34">
        <v>31151506</v>
      </c>
      <c r="B4745" s="35" t="s">
        <v>1247</v>
      </c>
    </row>
    <row r="4746" spans="1:2" x14ac:dyDescent="0.35">
      <c r="A4746" s="34">
        <v>31151507</v>
      </c>
      <c r="B4746" s="35" t="s">
        <v>16289</v>
      </c>
    </row>
    <row r="4747" spans="1:2" x14ac:dyDescent="0.35">
      <c r="A4747" s="34">
        <v>31151508</v>
      </c>
      <c r="B4747" s="35" t="s">
        <v>11413</v>
      </c>
    </row>
    <row r="4748" spans="1:2" x14ac:dyDescent="0.35">
      <c r="A4748" s="34">
        <v>31151509</v>
      </c>
      <c r="B4748" s="35" t="s">
        <v>19534</v>
      </c>
    </row>
    <row r="4749" spans="1:2" x14ac:dyDescent="0.35">
      <c r="A4749" s="34">
        <v>31151601</v>
      </c>
      <c r="B4749" s="35" t="s">
        <v>5184</v>
      </c>
    </row>
    <row r="4750" spans="1:2" x14ac:dyDescent="0.35">
      <c r="A4750" s="34">
        <v>31151603</v>
      </c>
      <c r="B4750" s="35" t="s">
        <v>19146</v>
      </c>
    </row>
    <row r="4751" spans="1:2" x14ac:dyDescent="0.35">
      <c r="A4751" s="34">
        <v>31151604</v>
      </c>
      <c r="B4751" s="35" t="s">
        <v>6961</v>
      </c>
    </row>
    <row r="4752" spans="1:2" x14ac:dyDescent="0.35">
      <c r="A4752" s="34">
        <v>31151605</v>
      </c>
      <c r="B4752" s="35" t="s">
        <v>15917</v>
      </c>
    </row>
    <row r="4753" spans="1:2" x14ac:dyDescent="0.35">
      <c r="A4753" s="34">
        <v>31151606</v>
      </c>
      <c r="B4753" s="35" t="s">
        <v>3246</v>
      </c>
    </row>
    <row r="4754" spans="1:2" x14ac:dyDescent="0.35">
      <c r="A4754" s="34">
        <v>31151607</v>
      </c>
      <c r="B4754" s="35" t="s">
        <v>12071</v>
      </c>
    </row>
    <row r="4755" spans="1:2" x14ac:dyDescent="0.35">
      <c r="A4755" s="34">
        <v>31151608</v>
      </c>
      <c r="B4755" s="35" t="s">
        <v>17593</v>
      </c>
    </row>
    <row r="4756" spans="1:2" x14ac:dyDescent="0.35">
      <c r="A4756" s="34">
        <v>31151609</v>
      </c>
      <c r="B4756" s="35" t="s">
        <v>15167</v>
      </c>
    </row>
    <row r="4757" spans="1:2" x14ac:dyDescent="0.35">
      <c r="A4757" s="34">
        <v>31151702</v>
      </c>
      <c r="B4757" s="35" t="s">
        <v>3943</v>
      </c>
    </row>
    <row r="4758" spans="1:2" x14ac:dyDescent="0.35">
      <c r="A4758" s="34">
        <v>31151703</v>
      </c>
      <c r="B4758" s="35" t="s">
        <v>5589</v>
      </c>
    </row>
    <row r="4759" spans="1:2" x14ac:dyDescent="0.35">
      <c r="A4759" s="34">
        <v>31151704</v>
      </c>
      <c r="B4759" s="35" t="s">
        <v>3934</v>
      </c>
    </row>
    <row r="4760" spans="1:2" x14ac:dyDescent="0.35">
      <c r="A4760" s="34">
        <v>31151705</v>
      </c>
      <c r="B4760" s="35" t="s">
        <v>268</v>
      </c>
    </row>
    <row r="4761" spans="1:2" x14ac:dyDescent="0.35">
      <c r="A4761" s="34">
        <v>31151706</v>
      </c>
      <c r="B4761" s="35" t="s">
        <v>13125</v>
      </c>
    </row>
    <row r="4762" spans="1:2" x14ac:dyDescent="0.35">
      <c r="A4762" s="34">
        <v>31151707</v>
      </c>
      <c r="B4762" s="35" t="s">
        <v>10058</v>
      </c>
    </row>
    <row r="4763" spans="1:2" x14ac:dyDescent="0.35">
      <c r="A4763" s="34">
        <v>31151803</v>
      </c>
      <c r="B4763" s="35" t="s">
        <v>3137</v>
      </c>
    </row>
    <row r="4764" spans="1:2" x14ac:dyDescent="0.35">
      <c r="A4764" s="34">
        <v>31151804</v>
      </c>
      <c r="B4764" s="35" t="s">
        <v>17847</v>
      </c>
    </row>
    <row r="4765" spans="1:2" x14ac:dyDescent="0.35">
      <c r="A4765" s="34">
        <v>31151901</v>
      </c>
      <c r="B4765" s="35" t="s">
        <v>9021</v>
      </c>
    </row>
    <row r="4766" spans="1:2" x14ac:dyDescent="0.35">
      <c r="A4766" s="34">
        <v>31151902</v>
      </c>
      <c r="B4766" s="35" t="s">
        <v>5027</v>
      </c>
    </row>
    <row r="4767" spans="1:2" x14ac:dyDescent="0.35">
      <c r="A4767" s="34">
        <v>31151903</v>
      </c>
      <c r="B4767" s="35" t="s">
        <v>16701</v>
      </c>
    </row>
    <row r="4768" spans="1:2" x14ac:dyDescent="0.35">
      <c r="A4768" s="34">
        <v>31151904</v>
      </c>
      <c r="B4768" s="35" t="s">
        <v>17601</v>
      </c>
    </row>
    <row r="4769" spans="1:2" x14ac:dyDescent="0.35">
      <c r="A4769" s="34">
        <v>31151905</v>
      </c>
      <c r="B4769" s="35" t="s">
        <v>19271</v>
      </c>
    </row>
    <row r="4770" spans="1:2" x14ac:dyDescent="0.35">
      <c r="A4770" s="34">
        <v>31152001</v>
      </c>
      <c r="B4770" s="35" t="s">
        <v>11427</v>
      </c>
    </row>
    <row r="4771" spans="1:2" x14ac:dyDescent="0.35">
      <c r="A4771" s="34">
        <v>31152002</v>
      </c>
      <c r="B4771" s="35" t="s">
        <v>45</v>
      </c>
    </row>
    <row r="4772" spans="1:2" x14ac:dyDescent="0.35">
      <c r="A4772" s="34">
        <v>31161501</v>
      </c>
      <c r="B4772" s="35" t="s">
        <v>2071</v>
      </c>
    </row>
    <row r="4773" spans="1:2" x14ac:dyDescent="0.35">
      <c r="A4773" s="34">
        <v>31161502</v>
      </c>
      <c r="B4773" s="35" t="s">
        <v>6698</v>
      </c>
    </row>
    <row r="4774" spans="1:2" x14ac:dyDescent="0.35">
      <c r="A4774" s="34">
        <v>31161503</v>
      </c>
      <c r="B4774" s="35" t="s">
        <v>1272</v>
      </c>
    </row>
    <row r="4775" spans="1:2" x14ac:dyDescent="0.35">
      <c r="A4775" s="34">
        <v>31161504</v>
      </c>
      <c r="B4775" s="35" t="s">
        <v>3827</v>
      </c>
    </row>
    <row r="4776" spans="1:2" x14ac:dyDescent="0.35">
      <c r="A4776" s="34">
        <v>31161505</v>
      </c>
      <c r="B4776" s="35" t="s">
        <v>336</v>
      </c>
    </row>
    <row r="4777" spans="1:2" x14ac:dyDescent="0.35">
      <c r="A4777" s="34">
        <v>31161506</v>
      </c>
      <c r="B4777" s="35" t="s">
        <v>18858</v>
      </c>
    </row>
    <row r="4778" spans="1:2" x14ac:dyDescent="0.35">
      <c r="A4778" s="34">
        <v>31161507</v>
      </c>
      <c r="B4778" s="35" t="s">
        <v>105</v>
      </c>
    </row>
    <row r="4779" spans="1:2" x14ac:dyDescent="0.35">
      <c r="A4779" s="34">
        <v>31161508</v>
      </c>
      <c r="B4779" s="35" t="s">
        <v>954</v>
      </c>
    </row>
    <row r="4780" spans="1:2" x14ac:dyDescent="0.35">
      <c r="A4780" s="34">
        <v>31161509</v>
      </c>
      <c r="B4780" s="35" t="s">
        <v>16995</v>
      </c>
    </row>
    <row r="4781" spans="1:2" x14ac:dyDescent="0.35">
      <c r="A4781" s="34">
        <v>31161510</v>
      </c>
      <c r="B4781" s="35" t="s">
        <v>19022</v>
      </c>
    </row>
    <row r="4782" spans="1:2" x14ac:dyDescent="0.35">
      <c r="A4782" s="34">
        <v>31161511</v>
      </c>
      <c r="B4782" s="35" t="s">
        <v>12060</v>
      </c>
    </row>
    <row r="4783" spans="1:2" x14ac:dyDescent="0.35">
      <c r="A4783" s="34">
        <v>31161512</v>
      </c>
      <c r="B4783" s="35" t="s">
        <v>12546</v>
      </c>
    </row>
    <row r="4784" spans="1:2" x14ac:dyDescent="0.35">
      <c r="A4784" s="34">
        <v>31161513</v>
      </c>
      <c r="B4784" s="35" t="s">
        <v>3461</v>
      </c>
    </row>
    <row r="4785" spans="1:2" x14ac:dyDescent="0.35">
      <c r="A4785" s="34">
        <v>31161514</v>
      </c>
      <c r="B4785" s="35" t="s">
        <v>13633</v>
      </c>
    </row>
    <row r="4786" spans="1:2" x14ac:dyDescent="0.35">
      <c r="A4786" s="34">
        <v>31161516</v>
      </c>
      <c r="B4786" s="35" t="s">
        <v>8065</v>
      </c>
    </row>
    <row r="4787" spans="1:2" x14ac:dyDescent="0.35">
      <c r="A4787" s="34">
        <v>31161517</v>
      </c>
      <c r="B4787" s="35" t="s">
        <v>15271</v>
      </c>
    </row>
    <row r="4788" spans="1:2" x14ac:dyDescent="0.35">
      <c r="A4788" s="34">
        <v>31161518</v>
      </c>
      <c r="B4788" s="35" t="s">
        <v>18068</v>
      </c>
    </row>
    <row r="4789" spans="1:2" x14ac:dyDescent="0.35">
      <c r="A4789" s="34">
        <v>31161601</v>
      </c>
      <c r="B4789" s="35" t="s">
        <v>18458</v>
      </c>
    </row>
    <row r="4790" spans="1:2" x14ac:dyDescent="0.35">
      <c r="A4790" s="34">
        <v>31161602</v>
      </c>
      <c r="B4790" s="35" t="s">
        <v>300</v>
      </c>
    </row>
    <row r="4791" spans="1:2" x14ac:dyDescent="0.35">
      <c r="A4791" s="34">
        <v>31161603</v>
      </c>
      <c r="B4791" s="35" t="s">
        <v>16107</v>
      </c>
    </row>
    <row r="4792" spans="1:2" x14ac:dyDescent="0.35">
      <c r="A4792" s="34">
        <v>31161604</v>
      </c>
      <c r="B4792" s="35" t="s">
        <v>14877</v>
      </c>
    </row>
    <row r="4793" spans="1:2" x14ac:dyDescent="0.35">
      <c r="A4793" s="34">
        <v>31161605</v>
      </c>
      <c r="B4793" s="35" t="s">
        <v>11504</v>
      </c>
    </row>
    <row r="4794" spans="1:2" x14ac:dyDescent="0.35">
      <c r="A4794" s="34">
        <v>31161606</v>
      </c>
      <c r="B4794" s="35" t="s">
        <v>15602</v>
      </c>
    </row>
    <row r="4795" spans="1:2" x14ac:dyDescent="0.35">
      <c r="A4795" s="34">
        <v>31161607</v>
      </c>
      <c r="B4795" s="35" t="s">
        <v>2492</v>
      </c>
    </row>
    <row r="4796" spans="1:2" x14ac:dyDescent="0.35">
      <c r="A4796" s="34">
        <v>31161608</v>
      </c>
      <c r="B4796" s="35" t="s">
        <v>14273</v>
      </c>
    </row>
    <row r="4797" spans="1:2" x14ac:dyDescent="0.35">
      <c r="A4797" s="34">
        <v>31161609</v>
      </c>
      <c r="B4797" s="35" t="s">
        <v>10291</v>
      </c>
    </row>
    <row r="4798" spans="1:2" x14ac:dyDescent="0.35">
      <c r="A4798" s="34">
        <v>31161610</v>
      </c>
      <c r="B4798" s="35" t="s">
        <v>2748</v>
      </c>
    </row>
    <row r="4799" spans="1:2" x14ac:dyDescent="0.35">
      <c r="A4799" s="34">
        <v>31161611</v>
      </c>
      <c r="B4799" s="35" t="s">
        <v>11172</v>
      </c>
    </row>
    <row r="4800" spans="1:2" x14ac:dyDescent="0.35">
      <c r="A4800" s="34">
        <v>31161612</v>
      </c>
      <c r="B4800" s="35" t="s">
        <v>17584</v>
      </c>
    </row>
    <row r="4801" spans="1:2" x14ac:dyDescent="0.35">
      <c r="A4801" s="34">
        <v>31161613</v>
      </c>
      <c r="B4801" s="35" t="s">
        <v>5201</v>
      </c>
    </row>
    <row r="4802" spans="1:2" x14ac:dyDescent="0.35">
      <c r="A4802" s="34">
        <v>31161614</v>
      </c>
      <c r="B4802" s="35" t="s">
        <v>51</v>
      </c>
    </row>
    <row r="4803" spans="1:2" x14ac:dyDescent="0.35">
      <c r="A4803" s="34">
        <v>31161616</v>
      </c>
      <c r="B4803" s="35" t="s">
        <v>8948</v>
      </c>
    </row>
    <row r="4804" spans="1:2" x14ac:dyDescent="0.35">
      <c r="A4804" s="34">
        <v>31161617</v>
      </c>
      <c r="B4804" s="35" t="s">
        <v>7736</v>
      </c>
    </row>
    <row r="4805" spans="1:2" x14ac:dyDescent="0.35">
      <c r="A4805" s="34">
        <v>31161618</v>
      </c>
      <c r="B4805" s="35" t="s">
        <v>14364</v>
      </c>
    </row>
    <row r="4806" spans="1:2" x14ac:dyDescent="0.35">
      <c r="A4806" s="34">
        <v>31161619</v>
      </c>
      <c r="B4806" s="35" t="s">
        <v>17216</v>
      </c>
    </row>
    <row r="4807" spans="1:2" x14ac:dyDescent="0.35">
      <c r="A4807" s="34">
        <v>31161620</v>
      </c>
      <c r="B4807" s="35" t="s">
        <v>3598</v>
      </c>
    </row>
    <row r="4808" spans="1:2" x14ac:dyDescent="0.35">
      <c r="A4808" s="34">
        <v>31161621</v>
      </c>
      <c r="B4808" s="35" t="s">
        <v>5642</v>
      </c>
    </row>
    <row r="4809" spans="1:2" x14ac:dyDescent="0.35">
      <c r="A4809" s="34">
        <v>31161701</v>
      </c>
      <c r="B4809" s="35" t="s">
        <v>16853</v>
      </c>
    </row>
    <row r="4810" spans="1:2" x14ac:dyDescent="0.35">
      <c r="A4810" s="34">
        <v>31161702</v>
      </c>
      <c r="B4810" s="35" t="s">
        <v>8668</v>
      </c>
    </row>
    <row r="4811" spans="1:2" x14ac:dyDescent="0.35">
      <c r="A4811" s="34">
        <v>31161703</v>
      </c>
      <c r="B4811" s="35" t="s">
        <v>8247</v>
      </c>
    </row>
    <row r="4812" spans="1:2" x14ac:dyDescent="0.35">
      <c r="A4812" s="34">
        <v>31161704</v>
      </c>
      <c r="B4812" s="35" t="s">
        <v>14353</v>
      </c>
    </row>
    <row r="4813" spans="1:2" x14ac:dyDescent="0.35">
      <c r="A4813" s="34">
        <v>31161705</v>
      </c>
      <c r="B4813" s="35" t="s">
        <v>17029</v>
      </c>
    </row>
    <row r="4814" spans="1:2" x14ac:dyDescent="0.35">
      <c r="A4814" s="34">
        <v>31161706</v>
      </c>
      <c r="B4814" s="35" t="s">
        <v>15792</v>
      </c>
    </row>
    <row r="4815" spans="1:2" x14ac:dyDescent="0.35">
      <c r="A4815" s="34">
        <v>31161707</v>
      </c>
      <c r="B4815" s="35" t="s">
        <v>15872</v>
      </c>
    </row>
    <row r="4816" spans="1:2" x14ac:dyDescent="0.35">
      <c r="A4816" s="34">
        <v>31161708</v>
      </c>
      <c r="B4816" s="35" t="s">
        <v>8086</v>
      </c>
    </row>
    <row r="4817" spans="1:2" x14ac:dyDescent="0.35">
      <c r="A4817" s="34">
        <v>31161709</v>
      </c>
      <c r="B4817" s="35" t="s">
        <v>2285</v>
      </c>
    </row>
    <row r="4818" spans="1:2" x14ac:dyDescent="0.35">
      <c r="A4818" s="34">
        <v>31161710</v>
      </c>
      <c r="B4818" s="35" t="s">
        <v>7992</v>
      </c>
    </row>
    <row r="4819" spans="1:2" x14ac:dyDescent="0.35">
      <c r="A4819" s="34">
        <v>31161711</v>
      </c>
      <c r="B4819" s="35" t="s">
        <v>15539</v>
      </c>
    </row>
    <row r="4820" spans="1:2" x14ac:dyDescent="0.35">
      <c r="A4820" s="34">
        <v>31161712</v>
      </c>
      <c r="B4820" s="35" t="s">
        <v>7617</v>
      </c>
    </row>
    <row r="4821" spans="1:2" x14ac:dyDescent="0.35">
      <c r="A4821" s="34">
        <v>31161713</v>
      </c>
      <c r="B4821" s="35" t="s">
        <v>7602</v>
      </c>
    </row>
    <row r="4822" spans="1:2" x14ac:dyDescent="0.35">
      <c r="A4822" s="34">
        <v>31161714</v>
      </c>
      <c r="B4822" s="35" t="s">
        <v>6021</v>
      </c>
    </row>
    <row r="4823" spans="1:2" x14ac:dyDescent="0.35">
      <c r="A4823" s="34">
        <v>31161716</v>
      </c>
      <c r="B4823" s="35" t="s">
        <v>205</v>
      </c>
    </row>
    <row r="4824" spans="1:2" x14ac:dyDescent="0.35">
      <c r="A4824" s="34">
        <v>31161717</v>
      </c>
      <c r="B4824" s="35" t="s">
        <v>11976</v>
      </c>
    </row>
    <row r="4825" spans="1:2" x14ac:dyDescent="0.35">
      <c r="A4825" s="34">
        <v>31161718</v>
      </c>
      <c r="B4825" s="35" t="s">
        <v>5271</v>
      </c>
    </row>
    <row r="4826" spans="1:2" x14ac:dyDescent="0.35">
      <c r="A4826" s="34">
        <v>31161719</v>
      </c>
      <c r="B4826" s="35" t="s">
        <v>15524</v>
      </c>
    </row>
    <row r="4827" spans="1:2" x14ac:dyDescent="0.35">
      <c r="A4827" s="34">
        <v>31161720</v>
      </c>
      <c r="B4827" s="35" t="s">
        <v>7959</v>
      </c>
    </row>
    <row r="4828" spans="1:2" x14ac:dyDescent="0.35">
      <c r="A4828" s="34">
        <v>31161721</v>
      </c>
      <c r="B4828" s="35" t="s">
        <v>5335</v>
      </c>
    </row>
    <row r="4829" spans="1:2" x14ac:dyDescent="0.35">
      <c r="A4829" s="34">
        <v>31161722</v>
      </c>
      <c r="B4829" s="35" t="s">
        <v>9883</v>
      </c>
    </row>
    <row r="4830" spans="1:2" x14ac:dyDescent="0.35">
      <c r="A4830" s="34">
        <v>31161723</v>
      </c>
      <c r="B4830" s="35" t="s">
        <v>17771</v>
      </c>
    </row>
    <row r="4831" spans="1:2" x14ac:dyDescent="0.35">
      <c r="A4831" s="34">
        <v>31161724</v>
      </c>
      <c r="B4831" s="35" t="s">
        <v>15323</v>
      </c>
    </row>
    <row r="4832" spans="1:2" x14ac:dyDescent="0.35">
      <c r="A4832" s="34">
        <v>31161725</v>
      </c>
      <c r="B4832" s="35" t="s">
        <v>18431</v>
      </c>
    </row>
    <row r="4833" spans="1:2" x14ac:dyDescent="0.35">
      <c r="A4833" s="34">
        <v>31161726</v>
      </c>
      <c r="B4833" s="35" t="s">
        <v>10808</v>
      </c>
    </row>
    <row r="4834" spans="1:2" x14ac:dyDescent="0.35">
      <c r="A4834" s="34">
        <v>31161727</v>
      </c>
      <c r="B4834" s="35" t="s">
        <v>3104</v>
      </c>
    </row>
    <row r="4835" spans="1:2" x14ac:dyDescent="0.35">
      <c r="A4835" s="34">
        <v>31161728</v>
      </c>
      <c r="B4835" s="35" t="s">
        <v>9888</v>
      </c>
    </row>
    <row r="4836" spans="1:2" x14ac:dyDescent="0.35">
      <c r="A4836" s="34">
        <v>31161729</v>
      </c>
      <c r="B4836" s="35" t="s">
        <v>5680</v>
      </c>
    </row>
    <row r="4837" spans="1:2" x14ac:dyDescent="0.35">
      <c r="A4837" s="34">
        <v>31161730</v>
      </c>
      <c r="B4837" s="35" t="s">
        <v>18737</v>
      </c>
    </row>
    <row r="4838" spans="1:2" x14ac:dyDescent="0.35">
      <c r="A4838" s="34">
        <v>31161731</v>
      </c>
      <c r="B4838" s="35" t="s">
        <v>14546</v>
      </c>
    </row>
    <row r="4839" spans="1:2" x14ac:dyDescent="0.35">
      <c r="A4839" s="34">
        <v>31161801</v>
      </c>
      <c r="B4839" s="35" t="s">
        <v>9329</v>
      </c>
    </row>
    <row r="4840" spans="1:2" x14ac:dyDescent="0.35">
      <c r="A4840" s="34">
        <v>31161802</v>
      </c>
      <c r="B4840" s="35" t="s">
        <v>18070</v>
      </c>
    </row>
    <row r="4841" spans="1:2" x14ac:dyDescent="0.35">
      <c r="A4841" s="34">
        <v>31161803</v>
      </c>
      <c r="B4841" s="35" t="s">
        <v>319</v>
      </c>
    </row>
    <row r="4842" spans="1:2" x14ac:dyDescent="0.35">
      <c r="A4842" s="34">
        <v>31161804</v>
      </c>
      <c r="B4842" s="35" t="s">
        <v>8203</v>
      </c>
    </row>
    <row r="4843" spans="1:2" x14ac:dyDescent="0.35">
      <c r="A4843" s="34">
        <v>31161805</v>
      </c>
      <c r="B4843" s="35" t="s">
        <v>370</v>
      </c>
    </row>
    <row r="4844" spans="1:2" x14ac:dyDescent="0.35">
      <c r="A4844" s="34">
        <v>31161806</v>
      </c>
      <c r="B4844" s="35" t="s">
        <v>12349</v>
      </c>
    </row>
    <row r="4845" spans="1:2" x14ac:dyDescent="0.35">
      <c r="A4845" s="34">
        <v>31161807</v>
      </c>
      <c r="B4845" s="35" t="s">
        <v>4459</v>
      </c>
    </row>
    <row r="4846" spans="1:2" x14ac:dyDescent="0.35">
      <c r="A4846" s="34">
        <v>31161808</v>
      </c>
      <c r="B4846" s="35" t="s">
        <v>6798</v>
      </c>
    </row>
    <row r="4847" spans="1:2" x14ac:dyDescent="0.35">
      <c r="A4847" s="34">
        <v>31161809</v>
      </c>
      <c r="B4847" s="35" t="s">
        <v>7954</v>
      </c>
    </row>
    <row r="4848" spans="1:2" x14ac:dyDescent="0.35">
      <c r="A4848" s="34">
        <v>31161810</v>
      </c>
      <c r="B4848" s="35" t="s">
        <v>8568</v>
      </c>
    </row>
    <row r="4849" spans="1:2" x14ac:dyDescent="0.35">
      <c r="A4849" s="34">
        <v>31161811</v>
      </c>
      <c r="B4849" s="35" t="s">
        <v>19508</v>
      </c>
    </row>
    <row r="4850" spans="1:2" x14ac:dyDescent="0.35">
      <c r="A4850" s="34">
        <v>31161812</v>
      </c>
      <c r="B4850" s="35" t="s">
        <v>4406</v>
      </c>
    </row>
    <row r="4851" spans="1:2" x14ac:dyDescent="0.35">
      <c r="A4851" s="34">
        <v>31161813</v>
      </c>
      <c r="B4851" s="35" t="s">
        <v>19386</v>
      </c>
    </row>
    <row r="4852" spans="1:2" x14ac:dyDescent="0.35">
      <c r="A4852" s="34">
        <v>31161814</v>
      </c>
      <c r="B4852" s="35" t="s">
        <v>4105</v>
      </c>
    </row>
    <row r="4853" spans="1:2" x14ac:dyDescent="0.35">
      <c r="A4853" s="34">
        <v>31161815</v>
      </c>
      <c r="B4853" s="35" t="s">
        <v>15290</v>
      </c>
    </row>
    <row r="4854" spans="1:2" x14ac:dyDescent="0.35">
      <c r="A4854" s="34">
        <v>31161816</v>
      </c>
      <c r="B4854" s="35" t="s">
        <v>8687</v>
      </c>
    </row>
    <row r="4855" spans="1:2" x14ac:dyDescent="0.35">
      <c r="A4855" s="34">
        <v>31161817</v>
      </c>
      <c r="B4855" s="35" t="s">
        <v>9763</v>
      </c>
    </row>
    <row r="4856" spans="1:2" x14ac:dyDescent="0.35">
      <c r="A4856" s="34">
        <v>31161818</v>
      </c>
      <c r="B4856" s="35" t="s">
        <v>19628</v>
      </c>
    </row>
    <row r="4857" spans="1:2" x14ac:dyDescent="0.35">
      <c r="A4857" s="34">
        <v>31161819</v>
      </c>
      <c r="B4857" s="35" t="s">
        <v>11251</v>
      </c>
    </row>
    <row r="4858" spans="1:2" x14ac:dyDescent="0.35">
      <c r="A4858" s="34">
        <v>31161820</v>
      </c>
      <c r="B4858" s="35" t="s">
        <v>4408</v>
      </c>
    </row>
    <row r="4859" spans="1:2" x14ac:dyDescent="0.35">
      <c r="A4859" s="34">
        <v>31161901</v>
      </c>
      <c r="B4859" s="35" t="s">
        <v>3033</v>
      </c>
    </row>
    <row r="4860" spans="1:2" x14ac:dyDescent="0.35">
      <c r="A4860" s="34">
        <v>31161902</v>
      </c>
      <c r="B4860" s="35" t="s">
        <v>12947</v>
      </c>
    </row>
    <row r="4861" spans="1:2" x14ac:dyDescent="0.35">
      <c r="A4861" s="34">
        <v>31161903</v>
      </c>
      <c r="B4861" s="35" t="s">
        <v>8970</v>
      </c>
    </row>
    <row r="4862" spans="1:2" x14ac:dyDescent="0.35">
      <c r="A4862" s="34">
        <v>31161904</v>
      </c>
      <c r="B4862" s="35" t="s">
        <v>9402</v>
      </c>
    </row>
    <row r="4863" spans="1:2" x14ac:dyDescent="0.35">
      <c r="A4863" s="34">
        <v>31161905</v>
      </c>
      <c r="B4863" s="35" t="s">
        <v>19410</v>
      </c>
    </row>
    <row r="4864" spans="1:2" x14ac:dyDescent="0.35">
      <c r="A4864" s="34">
        <v>31161906</v>
      </c>
      <c r="B4864" s="35" t="s">
        <v>2344</v>
      </c>
    </row>
    <row r="4865" spans="1:2" x14ac:dyDescent="0.35">
      <c r="A4865" s="34">
        <v>31161907</v>
      </c>
      <c r="B4865" s="35" t="s">
        <v>3362</v>
      </c>
    </row>
    <row r="4866" spans="1:2" x14ac:dyDescent="0.35">
      <c r="A4866" s="34">
        <v>31161908</v>
      </c>
      <c r="B4866" s="35" t="s">
        <v>14381</v>
      </c>
    </row>
    <row r="4867" spans="1:2" x14ac:dyDescent="0.35">
      <c r="A4867" s="34">
        <v>31162001</v>
      </c>
      <c r="B4867" s="35" t="s">
        <v>17703</v>
      </c>
    </row>
    <row r="4868" spans="1:2" x14ac:dyDescent="0.35">
      <c r="A4868" s="34">
        <v>31162002</v>
      </c>
      <c r="B4868" s="35" t="s">
        <v>2125</v>
      </c>
    </row>
    <row r="4869" spans="1:2" x14ac:dyDescent="0.35">
      <c r="A4869" s="34">
        <v>31162003</v>
      </c>
      <c r="B4869" s="35" t="s">
        <v>14458</v>
      </c>
    </row>
    <row r="4870" spans="1:2" x14ac:dyDescent="0.35">
      <c r="A4870" s="34">
        <v>31162004</v>
      </c>
      <c r="B4870" s="35" t="s">
        <v>6425</v>
      </c>
    </row>
    <row r="4871" spans="1:2" x14ac:dyDescent="0.35">
      <c r="A4871" s="34">
        <v>31162005</v>
      </c>
      <c r="B4871" s="35" t="s">
        <v>13684</v>
      </c>
    </row>
    <row r="4872" spans="1:2" x14ac:dyDescent="0.35">
      <c r="A4872" s="34">
        <v>31162006</v>
      </c>
      <c r="B4872" s="35" t="s">
        <v>17630</v>
      </c>
    </row>
    <row r="4873" spans="1:2" x14ac:dyDescent="0.35">
      <c r="A4873" s="34">
        <v>31162007</v>
      </c>
      <c r="B4873" s="35" t="s">
        <v>12300</v>
      </c>
    </row>
    <row r="4874" spans="1:2" x14ac:dyDescent="0.35">
      <c r="A4874" s="34">
        <v>31162008</v>
      </c>
      <c r="B4874" s="35" t="s">
        <v>10490</v>
      </c>
    </row>
    <row r="4875" spans="1:2" x14ac:dyDescent="0.35">
      <c r="A4875" s="34">
        <v>31162101</v>
      </c>
      <c r="B4875" s="35" t="s">
        <v>2860</v>
      </c>
    </row>
    <row r="4876" spans="1:2" x14ac:dyDescent="0.35">
      <c r="A4876" s="34">
        <v>31162102</v>
      </c>
      <c r="B4876" s="35" t="s">
        <v>6918</v>
      </c>
    </row>
    <row r="4877" spans="1:2" x14ac:dyDescent="0.35">
      <c r="A4877" s="34">
        <v>31162103</v>
      </c>
      <c r="B4877" s="35" t="s">
        <v>6352</v>
      </c>
    </row>
    <row r="4878" spans="1:2" x14ac:dyDescent="0.35">
      <c r="A4878" s="34">
        <v>31162104</v>
      </c>
      <c r="B4878" s="35" t="s">
        <v>16156</v>
      </c>
    </row>
    <row r="4879" spans="1:2" x14ac:dyDescent="0.35">
      <c r="A4879" s="34">
        <v>31162105</v>
      </c>
      <c r="B4879" s="35" t="s">
        <v>6096</v>
      </c>
    </row>
    <row r="4880" spans="1:2" x14ac:dyDescent="0.35">
      <c r="A4880" s="34">
        <v>31162106</v>
      </c>
      <c r="B4880" s="35" t="s">
        <v>1510</v>
      </c>
    </row>
    <row r="4881" spans="1:2" x14ac:dyDescent="0.35">
      <c r="A4881" s="34">
        <v>31162107</v>
      </c>
      <c r="B4881" s="35" t="s">
        <v>18753</v>
      </c>
    </row>
    <row r="4882" spans="1:2" x14ac:dyDescent="0.35">
      <c r="A4882" s="34">
        <v>31162108</v>
      </c>
      <c r="B4882" s="35" t="s">
        <v>8357</v>
      </c>
    </row>
    <row r="4883" spans="1:2" x14ac:dyDescent="0.35">
      <c r="A4883" s="34">
        <v>31162201</v>
      </c>
      <c r="B4883" s="35" t="s">
        <v>18587</v>
      </c>
    </row>
    <row r="4884" spans="1:2" x14ac:dyDescent="0.35">
      <c r="A4884" s="34">
        <v>31162202</v>
      </c>
      <c r="B4884" s="35" t="s">
        <v>10661</v>
      </c>
    </row>
    <row r="4885" spans="1:2" x14ac:dyDescent="0.35">
      <c r="A4885" s="34">
        <v>31162203</v>
      </c>
      <c r="B4885" s="35" t="s">
        <v>14079</v>
      </c>
    </row>
    <row r="4886" spans="1:2" x14ac:dyDescent="0.35">
      <c r="A4886" s="34">
        <v>31162204</v>
      </c>
      <c r="B4886" s="35" t="s">
        <v>14732</v>
      </c>
    </row>
    <row r="4887" spans="1:2" x14ac:dyDescent="0.35">
      <c r="A4887" s="34">
        <v>31162205</v>
      </c>
      <c r="B4887" s="35" t="s">
        <v>7540</v>
      </c>
    </row>
    <row r="4888" spans="1:2" x14ac:dyDescent="0.35">
      <c r="A4888" s="34">
        <v>31162206</v>
      </c>
      <c r="B4888" s="35" t="s">
        <v>16864</v>
      </c>
    </row>
    <row r="4889" spans="1:2" x14ac:dyDescent="0.35">
      <c r="A4889" s="34">
        <v>31162207</v>
      </c>
      <c r="B4889" s="35" t="s">
        <v>1646</v>
      </c>
    </row>
    <row r="4890" spans="1:2" x14ac:dyDescent="0.35">
      <c r="A4890" s="34">
        <v>31162208</v>
      </c>
      <c r="B4890" s="35" t="s">
        <v>18899</v>
      </c>
    </row>
    <row r="4891" spans="1:2" x14ac:dyDescent="0.35">
      <c r="A4891" s="34">
        <v>31162209</v>
      </c>
      <c r="B4891" s="35" t="s">
        <v>2987</v>
      </c>
    </row>
    <row r="4892" spans="1:2" x14ac:dyDescent="0.35">
      <c r="A4892" s="34">
        <v>31162210</v>
      </c>
      <c r="B4892" s="35" t="s">
        <v>19569</v>
      </c>
    </row>
    <row r="4893" spans="1:2" x14ac:dyDescent="0.35">
      <c r="A4893" s="34">
        <v>31162301</v>
      </c>
      <c r="B4893" s="35" t="s">
        <v>1217</v>
      </c>
    </row>
    <row r="4894" spans="1:2" x14ac:dyDescent="0.35">
      <c r="A4894" s="34">
        <v>31162303</v>
      </c>
      <c r="B4894" s="35" t="s">
        <v>1559</v>
      </c>
    </row>
    <row r="4895" spans="1:2" x14ac:dyDescent="0.35">
      <c r="A4895" s="34">
        <v>31162304</v>
      </c>
      <c r="B4895" s="35" t="s">
        <v>8349</v>
      </c>
    </row>
    <row r="4896" spans="1:2" x14ac:dyDescent="0.35">
      <c r="A4896" s="34">
        <v>31162305</v>
      </c>
      <c r="B4896" s="35" t="s">
        <v>8912</v>
      </c>
    </row>
    <row r="4897" spans="1:2" x14ac:dyDescent="0.35">
      <c r="A4897" s="34">
        <v>31162306</v>
      </c>
      <c r="B4897" s="35" t="s">
        <v>10984</v>
      </c>
    </row>
    <row r="4898" spans="1:2" x14ac:dyDescent="0.35">
      <c r="A4898" s="34">
        <v>31162307</v>
      </c>
      <c r="B4898" s="35" t="s">
        <v>10714</v>
      </c>
    </row>
    <row r="4899" spans="1:2" x14ac:dyDescent="0.35">
      <c r="A4899" s="34">
        <v>31162308</v>
      </c>
      <c r="B4899" s="35" t="s">
        <v>4255</v>
      </c>
    </row>
    <row r="4900" spans="1:2" x14ac:dyDescent="0.35">
      <c r="A4900" s="34">
        <v>31162309</v>
      </c>
      <c r="B4900" s="35" t="s">
        <v>8329</v>
      </c>
    </row>
    <row r="4901" spans="1:2" x14ac:dyDescent="0.35">
      <c r="A4901" s="34">
        <v>31162310</v>
      </c>
      <c r="B4901" s="35" t="s">
        <v>18824</v>
      </c>
    </row>
    <row r="4902" spans="1:2" x14ac:dyDescent="0.35">
      <c r="A4902" s="34">
        <v>31162311</v>
      </c>
      <c r="B4902" s="35" t="s">
        <v>13559</v>
      </c>
    </row>
    <row r="4903" spans="1:2" x14ac:dyDescent="0.35">
      <c r="A4903" s="34">
        <v>31162312</v>
      </c>
      <c r="B4903" s="35" t="s">
        <v>18542</v>
      </c>
    </row>
    <row r="4904" spans="1:2" x14ac:dyDescent="0.35">
      <c r="A4904" s="34">
        <v>31162313</v>
      </c>
      <c r="B4904" s="35" t="s">
        <v>16022</v>
      </c>
    </row>
    <row r="4905" spans="1:2" x14ac:dyDescent="0.35">
      <c r="A4905" s="34">
        <v>31162401</v>
      </c>
      <c r="B4905" s="35" t="s">
        <v>16978</v>
      </c>
    </row>
    <row r="4906" spans="1:2" x14ac:dyDescent="0.35">
      <c r="A4906" s="34">
        <v>31162402</v>
      </c>
      <c r="B4906" s="35" t="s">
        <v>11416</v>
      </c>
    </row>
    <row r="4907" spans="1:2" x14ac:dyDescent="0.35">
      <c r="A4907" s="34">
        <v>31162403</v>
      </c>
      <c r="B4907" s="35" t="s">
        <v>529</v>
      </c>
    </row>
    <row r="4908" spans="1:2" x14ac:dyDescent="0.35">
      <c r="A4908" s="34">
        <v>31162404</v>
      </c>
      <c r="B4908" s="35" t="s">
        <v>10553</v>
      </c>
    </row>
    <row r="4909" spans="1:2" x14ac:dyDescent="0.35">
      <c r="A4909" s="34">
        <v>31162405</v>
      </c>
      <c r="B4909" s="35" t="s">
        <v>14492</v>
      </c>
    </row>
    <row r="4910" spans="1:2" x14ac:dyDescent="0.35">
      <c r="A4910" s="34">
        <v>31162406</v>
      </c>
      <c r="B4910" s="35" t="s">
        <v>13099</v>
      </c>
    </row>
    <row r="4911" spans="1:2" x14ac:dyDescent="0.35">
      <c r="A4911" s="34">
        <v>31162407</v>
      </c>
      <c r="B4911" s="35" t="s">
        <v>15518</v>
      </c>
    </row>
    <row r="4912" spans="1:2" x14ac:dyDescent="0.35">
      <c r="A4912" s="34">
        <v>31162409</v>
      </c>
      <c r="B4912" s="35" t="s">
        <v>10334</v>
      </c>
    </row>
    <row r="4913" spans="1:2" x14ac:dyDescent="0.35">
      <c r="A4913" s="34">
        <v>31162410</v>
      </c>
      <c r="B4913" s="35" t="s">
        <v>5263</v>
      </c>
    </row>
    <row r="4914" spans="1:2" x14ac:dyDescent="0.35">
      <c r="A4914" s="34">
        <v>31162411</v>
      </c>
      <c r="B4914" s="35" t="s">
        <v>5688</v>
      </c>
    </row>
    <row r="4915" spans="1:2" x14ac:dyDescent="0.35">
      <c r="A4915" s="34">
        <v>31162412</v>
      </c>
      <c r="B4915" s="35" t="s">
        <v>812</v>
      </c>
    </row>
    <row r="4916" spans="1:2" x14ac:dyDescent="0.35">
      <c r="A4916" s="34">
        <v>31162413</v>
      </c>
      <c r="B4916" s="35" t="s">
        <v>3921</v>
      </c>
    </row>
    <row r="4917" spans="1:2" x14ac:dyDescent="0.35">
      <c r="A4917" s="34">
        <v>31162414</v>
      </c>
      <c r="B4917" s="35" t="s">
        <v>4448</v>
      </c>
    </row>
    <row r="4918" spans="1:2" x14ac:dyDescent="0.35">
      <c r="A4918" s="34">
        <v>31162415</v>
      </c>
      <c r="B4918" s="35" t="s">
        <v>377</v>
      </c>
    </row>
    <row r="4919" spans="1:2" x14ac:dyDescent="0.35">
      <c r="A4919" s="34">
        <v>31162416</v>
      </c>
      <c r="B4919" s="35" t="s">
        <v>4494</v>
      </c>
    </row>
    <row r="4920" spans="1:2" x14ac:dyDescent="0.35">
      <c r="A4920" s="34">
        <v>31162417</v>
      </c>
      <c r="B4920" s="35" t="s">
        <v>12132</v>
      </c>
    </row>
    <row r="4921" spans="1:2" x14ac:dyDescent="0.35">
      <c r="A4921" s="34">
        <v>31162418</v>
      </c>
      <c r="B4921" s="35" t="s">
        <v>15351</v>
      </c>
    </row>
    <row r="4922" spans="1:2" x14ac:dyDescent="0.35">
      <c r="A4922" s="34">
        <v>31162501</v>
      </c>
      <c r="B4922" s="35" t="s">
        <v>4921</v>
      </c>
    </row>
    <row r="4923" spans="1:2" x14ac:dyDescent="0.35">
      <c r="A4923" s="34">
        <v>31162502</v>
      </c>
      <c r="B4923" s="35" t="s">
        <v>5504</v>
      </c>
    </row>
    <row r="4924" spans="1:2" x14ac:dyDescent="0.35">
      <c r="A4924" s="34">
        <v>31162503</v>
      </c>
      <c r="B4924" s="35" t="s">
        <v>11639</v>
      </c>
    </row>
    <row r="4925" spans="1:2" x14ac:dyDescent="0.35">
      <c r="A4925" s="34">
        <v>31162504</v>
      </c>
      <c r="B4925" s="35" t="s">
        <v>16160</v>
      </c>
    </row>
    <row r="4926" spans="1:2" x14ac:dyDescent="0.35">
      <c r="A4926" s="34">
        <v>31162505</v>
      </c>
      <c r="B4926" s="35" t="s">
        <v>13140</v>
      </c>
    </row>
    <row r="4927" spans="1:2" x14ac:dyDescent="0.35">
      <c r="A4927" s="34">
        <v>31162506</v>
      </c>
      <c r="B4927" s="35" t="s">
        <v>9160</v>
      </c>
    </row>
    <row r="4928" spans="1:2" x14ac:dyDescent="0.35">
      <c r="A4928" s="34">
        <v>31162507</v>
      </c>
      <c r="B4928" s="35" t="s">
        <v>4026</v>
      </c>
    </row>
    <row r="4929" spans="1:2" x14ac:dyDescent="0.35">
      <c r="A4929" s="34">
        <v>31162601</v>
      </c>
      <c r="B4929" s="35" t="s">
        <v>6333</v>
      </c>
    </row>
    <row r="4930" spans="1:2" x14ac:dyDescent="0.35">
      <c r="A4930" s="34">
        <v>31162602</v>
      </c>
      <c r="B4930" s="35" t="s">
        <v>378</v>
      </c>
    </row>
    <row r="4931" spans="1:2" x14ac:dyDescent="0.35">
      <c r="A4931" s="34">
        <v>31162603</v>
      </c>
      <c r="B4931" s="35" t="s">
        <v>13799</v>
      </c>
    </row>
    <row r="4932" spans="1:2" x14ac:dyDescent="0.35">
      <c r="A4932" s="34">
        <v>31162604</v>
      </c>
      <c r="B4932" s="35" t="s">
        <v>2561</v>
      </c>
    </row>
    <row r="4933" spans="1:2" x14ac:dyDescent="0.35">
      <c r="A4933" s="34">
        <v>31162605</v>
      </c>
      <c r="B4933" s="35" t="s">
        <v>13468</v>
      </c>
    </row>
    <row r="4934" spans="1:2" x14ac:dyDescent="0.35">
      <c r="A4934" s="34">
        <v>31162606</v>
      </c>
      <c r="B4934" s="35" t="s">
        <v>19449</v>
      </c>
    </row>
    <row r="4935" spans="1:2" x14ac:dyDescent="0.35">
      <c r="A4935" s="34">
        <v>31162607</v>
      </c>
      <c r="B4935" s="35" t="s">
        <v>10285</v>
      </c>
    </row>
    <row r="4936" spans="1:2" x14ac:dyDescent="0.35">
      <c r="A4936" s="34">
        <v>31162608</v>
      </c>
      <c r="B4936" s="35" t="s">
        <v>11044</v>
      </c>
    </row>
    <row r="4937" spans="1:2" x14ac:dyDescent="0.35">
      <c r="A4937" s="34">
        <v>31162609</v>
      </c>
      <c r="B4937" s="35" t="s">
        <v>14002</v>
      </c>
    </row>
    <row r="4938" spans="1:2" x14ac:dyDescent="0.35">
      <c r="A4938" s="34">
        <v>31162610</v>
      </c>
      <c r="B4938" s="35" t="s">
        <v>13800</v>
      </c>
    </row>
    <row r="4939" spans="1:2" x14ac:dyDescent="0.35">
      <c r="A4939" s="34">
        <v>31162611</v>
      </c>
      <c r="B4939" s="35" t="s">
        <v>18480</v>
      </c>
    </row>
    <row r="4940" spans="1:2" x14ac:dyDescent="0.35">
      <c r="A4940" s="34">
        <v>31162701</v>
      </c>
      <c r="B4940" s="35" t="s">
        <v>9105</v>
      </c>
    </row>
    <row r="4941" spans="1:2" x14ac:dyDescent="0.35">
      <c r="A4941" s="34">
        <v>31162702</v>
      </c>
      <c r="B4941" s="35" t="s">
        <v>7378</v>
      </c>
    </row>
    <row r="4942" spans="1:2" x14ac:dyDescent="0.35">
      <c r="A4942" s="34">
        <v>31162703</v>
      </c>
      <c r="B4942" s="35" t="s">
        <v>12186</v>
      </c>
    </row>
    <row r="4943" spans="1:2" x14ac:dyDescent="0.35">
      <c r="A4943" s="34">
        <v>31162704</v>
      </c>
      <c r="B4943" s="35" t="s">
        <v>15977</v>
      </c>
    </row>
    <row r="4944" spans="1:2" x14ac:dyDescent="0.35">
      <c r="A4944" s="34">
        <v>31162801</v>
      </c>
      <c r="B4944" s="35" t="s">
        <v>19528</v>
      </c>
    </row>
    <row r="4945" spans="1:2" x14ac:dyDescent="0.35">
      <c r="A4945" s="34">
        <v>31162802</v>
      </c>
      <c r="B4945" s="35" t="s">
        <v>17990</v>
      </c>
    </row>
    <row r="4946" spans="1:2" x14ac:dyDescent="0.35">
      <c r="A4946" s="34">
        <v>31162803</v>
      </c>
      <c r="B4946" s="35" t="s">
        <v>13944</v>
      </c>
    </row>
    <row r="4947" spans="1:2" x14ac:dyDescent="0.35">
      <c r="A4947" s="34">
        <v>31162804</v>
      </c>
      <c r="B4947" s="35" t="s">
        <v>347</v>
      </c>
    </row>
    <row r="4948" spans="1:2" x14ac:dyDescent="0.35">
      <c r="A4948" s="34">
        <v>31162805</v>
      </c>
      <c r="B4948" s="35" t="s">
        <v>14265</v>
      </c>
    </row>
    <row r="4949" spans="1:2" x14ac:dyDescent="0.35">
      <c r="A4949" s="34">
        <v>31162806</v>
      </c>
      <c r="B4949" s="35" t="s">
        <v>3685</v>
      </c>
    </row>
    <row r="4950" spans="1:2" x14ac:dyDescent="0.35">
      <c r="A4950" s="34">
        <v>31162807</v>
      </c>
      <c r="B4950" s="35" t="s">
        <v>4593</v>
      </c>
    </row>
    <row r="4951" spans="1:2" x14ac:dyDescent="0.35">
      <c r="A4951" s="34">
        <v>31162808</v>
      </c>
      <c r="B4951" s="35" t="s">
        <v>7921</v>
      </c>
    </row>
    <row r="4952" spans="1:2" x14ac:dyDescent="0.35">
      <c r="A4952" s="34">
        <v>31162809</v>
      </c>
      <c r="B4952" s="35" t="s">
        <v>2095</v>
      </c>
    </row>
    <row r="4953" spans="1:2" x14ac:dyDescent="0.35">
      <c r="A4953" s="34">
        <v>31162810</v>
      </c>
      <c r="B4953" s="35" t="s">
        <v>1076</v>
      </c>
    </row>
    <row r="4954" spans="1:2" x14ac:dyDescent="0.35">
      <c r="A4954" s="34">
        <v>31162811</v>
      </c>
      <c r="B4954" s="35" t="s">
        <v>4033</v>
      </c>
    </row>
    <row r="4955" spans="1:2" x14ac:dyDescent="0.35">
      <c r="A4955" s="34">
        <v>31162901</v>
      </c>
      <c r="B4955" s="35" t="s">
        <v>8654</v>
      </c>
    </row>
    <row r="4956" spans="1:2" x14ac:dyDescent="0.35">
      <c r="A4956" s="34">
        <v>31162902</v>
      </c>
      <c r="B4956" s="35" t="s">
        <v>10392</v>
      </c>
    </row>
    <row r="4957" spans="1:2" x14ac:dyDescent="0.35">
      <c r="A4957" s="34">
        <v>31162903</v>
      </c>
      <c r="B4957" s="35" t="s">
        <v>15663</v>
      </c>
    </row>
    <row r="4958" spans="1:2" x14ac:dyDescent="0.35">
      <c r="A4958" s="34">
        <v>31162904</v>
      </c>
      <c r="B4958" s="35" t="s">
        <v>4808</v>
      </c>
    </row>
    <row r="4959" spans="1:2" x14ac:dyDescent="0.35">
      <c r="A4959" s="34">
        <v>31162905</v>
      </c>
      <c r="B4959" s="35" t="s">
        <v>18687</v>
      </c>
    </row>
    <row r="4960" spans="1:2" x14ac:dyDescent="0.35">
      <c r="A4960" s="34">
        <v>31162906</v>
      </c>
      <c r="B4960" s="35" t="s">
        <v>16355</v>
      </c>
    </row>
    <row r="4961" spans="1:2" x14ac:dyDescent="0.35">
      <c r="A4961" s="34">
        <v>31163001</v>
      </c>
      <c r="B4961" s="35" t="s">
        <v>12437</v>
      </c>
    </row>
    <row r="4962" spans="1:2" x14ac:dyDescent="0.35">
      <c r="A4962" s="34">
        <v>31163002</v>
      </c>
      <c r="B4962" s="35" t="s">
        <v>10505</v>
      </c>
    </row>
    <row r="4963" spans="1:2" x14ac:dyDescent="0.35">
      <c r="A4963" s="34">
        <v>31163003</v>
      </c>
      <c r="B4963" s="35" t="s">
        <v>732</v>
      </c>
    </row>
    <row r="4964" spans="1:2" x14ac:dyDescent="0.35">
      <c r="A4964" s="34">
        <v>31163004</v>
      </c>
      <c r="B4964" s="35" t="s">
        <v>9178</v>
      </c>
    </row>
    <row r="4965" spans="1:2" x14ac:dyDescent="0.35">
      <c r="A4965" s="34">
        <v>31163005</v>
      </c>
      <c r="B4965" s="35" t="s">
        <v>1334</v>
      </c>
    </row>
    <row r="4966" spans="1:2" x14ac:dyDescent="0.35">
      <c r="A4966" s="34">
        <v>31163101</v>
      </c>
      <c r="B4966" s="35" t="s">
        <v>3970</v>
      </c>
    </row>
    <row r="4967" spans="1:2" x14ac:dyDescent="0.35">
      <c r="A4967" s="34">
        <v>31163102</v>
      </c>
      <c r="B4967" s="35" t="s">
        <v>5570</v>
      </c>
    </row>
    <row r="4968" spans="1:2" x14ac:dyDescent="0.35">
      <c r="A4968" s="34">
        <v>31163103</v>
      </c>
      <c r="B4968" s="35" t="s">
        <v>6897</v>
      </c>
    </row>
    <row r="4969" spans="1:2" x14ac:dyDescent="0.35">
      <c r="A4969" s="34">
        <v>31163201</v>
      </c>
      <c r="B4969" s="35" t="s">
        <v>16907</v>
      </c>
    </row>
    <row r="4970" spans="1:2" x14ac:dyDescent="0.35">
      <c r="A4970" s="34">
        <v>31163202</v>
      </c>
      <c r="B4970" s="35" t="s">
        <v>16747</v>
      </c>
    </row>
    <row r="4971" spans="1:2" x14ac:dyDescent="0.35">
      <c r="A4971" s="34">
        <v>31163203</v>
      </c>
      <c r="B4971" s="35" t="s">
        <v>2950</v>
      </c>
    </row>
    <row r="4972" spans="1:2" x14ac:dyDescent="0.35">
      <c r="A4972" s="34">
        <v>31163204</v>
      </c>
      <c r="B4972" s="35" t="s">
        <v>10334</v>
      </c>
    </row>
    <row r="4973" spans="1:2" x14ac:dyDescent="0.35">
      <c r="A4973" s="34">
        <v>31163205</v>
      </c>
      <c r="B4973" s="35" t="s">
        <v>1184</v>
      </c>
    </row>
    <row r="4974" spans="1:2" x14ac:dyDescent="0.35">
      <c r="A4974" s="34">
        <v>31163207</v>
      </c>
      <c r="B4974" s="35" t="s">
        <v>6242</v>
      </c>
    </row>
    <row r="4975" spans="1:2" x14ac:dyDescent="0.35">
      <c r="A4975" s="34">
        <v>31163208</v>
      </c>
      <c r="B4975" s="35" t="s">
        <v>8230</v>
      </c>
    </row>
    <row r="4976" spans="1:2" x14ac:dyDescent="0.35">
      <c r="A4976" s="34">
        <v>31163209</v>
      </c>
      <c r="B4976" s="35" t="s">
        <v>13428</v>
      </c>
    </row>
    <row r="4977" spans="1:2" x14ac:dyDescent="0.35">
      <c r="A4977" s="34">
        <v>31163210</v>
      </c>
      <c r="B4977" s="35" t="s">
        <v>9228</v>
      </c>
    </row>
    <row r="4978" spans="1:2" x14ac:dyDescent="0.35">
      <c r="A4978" s="34">
        <v>31163211</v>
      </c>
      <c r="B4978" s="35" t="s">
        <v>6251</v>
      </c>
    </row>
    <row r="4979" spans="1:2" x14ac:dyDescent="0.35">
      <c r="A4979" s="34">
        <v>31163212</v>
      </c>
      <c r="B4979" s="35" t="s">
        <v>17088</v>
      </c>
    </row>
    <row r="4980" spans="1:2" x14ac:dyDescent="0.35">
      <c r="A4980" s="34">
        <v>31163213</v>
      </c>
      <c r="B4980" s="35" t="s">
        <v>12441</v>
      </c>
    </row>
    <row r="4981" spans="1:2" x14ac:dyDescent="0.35">
      <c r="A4981" s="34">
        <v>31163214</v>
      </c>
      <c r="B4981" s="35" t="s">
        <v>13774</v>
      </c>
    </row>
    <row r="4982" spans="1:2" x14ac:dyDescent="0.35">
      <c r="A4982" s="34">
        <v>31163215</v>
      </c>
      <c r="B4982" s="35" t="s">
        <v>5263</v>
      </c>
    </row>
    <row r="4983" spans="1:2" x14ac:dyDescent="0.35">
      <c r="A4983" s="34">
        <v>31163301</v>
      </c>
      <c r="B4983" s="35" t="s">
        <v>15336</v>
      </c>
    </row>
    <row r="4984" spans="1:2" x14ac:dyDescent="0.35">
      <c r="A4984" s="34">
        <v>31171501</v>
      </c>
      <c r="B4984" s="35" t="s">
        <v>18308</v>
      </c>
    </row>
    <row r="4985" spans="1:2" x14ac:dyDescent="0.35">
      <c r="A4985" s="34">
        <v>31171502</v>
      </c>
      <c r="B4985" s="35" t="s">
        <v>1678</v>
      </c>
    </row>
    <row r="4986" spans="1:2" x14ac:dyDescent="0.35">
      <c r="A4986" s="34">
        <v>31171503</v>
      </c>
      <c r="B4986" s="35" t="s">
        <v>7970</v>
      </c>
    </row>
    <row r="4987" spans="1:2" x14ac:dyDescent="0.35">
      <c r="A4987" s="34">
        <v>31171504</v>
      </c>
      <c r="B4987" s="35" t="s">
        <v>11277</v>
      </c>
    </row>
    <row r="4988" spans="1:2" x14ac:dyDescent="0.35">
      <c r="A4988" s="34">
        <v>31171505</v>
      </c>
      <c r="B4988" s="35" t="s">
        <v>6839</v>
      </c>
    </row>
    <row r="4989" spans="1:2" x14ac:dyDescent="0.35">
      <c r="A4989" s="34">
        <v>31171506</v>
      </c>
      <c r="B4989" s="35" t="s">
        <v>2881</v>
      </c>
    </row>
    <row r="4990" spans="1:2" x14ac:dyDescent="0.35">
      <c r="A4990" s="34">
        <v>31171507</v>
      </c>
      <c r="B4990" s="35" t="s">
        <v>7087</v>
      </c>
    </row>
    <row r="4991" spans="1:2" x14ac:dyDescent="0.35">
      <c r="A4991" s="34">
        <v>31171508</v>
      </c>
      <c r="B4991" s="35" t="s">
        <v>2140</v>
      </c>
    </row>
    <row r="4992" spans="1:2" x14ac:dyDescent="0.35">
      <c r="A4992" s="34">
        <v>31171509</v>
      </c>
      <c r="B4992" s="35" t="s">
        <v>11040</v>
      </c>
    </row>
    <row r="4993" spans="1:2" x14ac:dyDescent="0.35">
      <c r="A4993" s="34">
        <v>31171510</v>
      </c>
      <c r="B4993" s="35" t="s">
        <v>7768</v>
      </c>
    </row>
    <row r="4994" spans="1:2" x14ac:dyDescent="0.35">
      <c r="A4994" s="34">
        <v>31171511</v>
      </c>
      <c r="B4994" s="35" t="s">
        <v>12811</v>
      </c>
    </row>
    <row r="4995" spans="1:2" x14ac:dyDescent="0.35">
      <c r="A4995" s="34">
        <v>31171512</v>
      </c>
      <c r="B4995" s="35" t="s">
        <v>16558</v>
      </c>
    </row>
    <row r="4996" spans="1:2" x14ac:dyDescent="0.35">
      <c r="A4996" s="34">
        <v>31171513</v>
      </c>
      <c r="B4996" s="35" t="s">
        <v>14632</v>
      </c>
    </row>
    <row r="4997" spans="1:2" x14ac:dyDescent="0.35">
      <c r="A4997" s="34">
        <v>31171515</v>
      </c>
      <c r="B4997" s="35" t="s">
        <v>9854</v>
      </c>
    </row>
    <row r="4998" spans="1:2" x14ac:dyDescent="0.35">
      <c r="A4998" s="34">
        <v>31171516</v>
      </c>
      <c r="B4998" s="35" t="s">
        <v>9512</v>
      </c>
    </row>
    <row r="4999" spans="1:2" x14ac:dyDescent="0.35">
      <c r="A4999" s="34">
        <v>31171518</v>
      </c>
      <c r="B4999" s="35" t="s">
        <v>6635</v>
      </c>
    </row>
    <row r="5000" spans="1:2" x14ac:dyDescent="0.35">
      <c r="A5000" s="34">
        <v>31171519</v>
      </c>
      <c r="B5000" s="35" t="s">
        <v>2354</v>
      </c>
    </row>
    <row r="5001" spans="1:2" x14ac:dyDescent="0.35">
      <c r="A5001" s="34">
        <v>31171520</v>
      </c>
      <c r="B5001" s="35" t="s">
        <v>1953</v>
      </c>
    </row>
    <row r="5002" spans="1:2" x14ac:dyDescent="0.35">
      <c r="A5002" s="34">
        <v>31171521</v>
      </c>
      <c r="B5002" s="35" t="s">
        <v>10195</v>
      </c>
    </row>
    <row r="5003" spans="1:2" x14ac:dyDescent="0.35">
      <c r="A5003" s="34">
        <v>31171522</v>
      </c>
      <c r="B5003" s="35" t="s">
        <v>2339</v>
      </c>
    </row>
    <row r="5004" spans="1:2" x14ac:dyDescent="0.35">
      <c r="A5004" s="34">
        <v>31171523</v>
      </c>
      <c r="B5004" s="35" t="s">
        <v>14043</v>
      </c>
    </row>
    <row r="5005" spans="1:2" x14ac:dyDescent="0.35">
      <c r="A5005" s="34">
        <v>31171524</v>
      </c>
      <c r="B5005" s="35" t="s">
        <v>15942</v>
      </c>
    </row>
    <row r="5006" spans="1:2" x14ac:dyDescent="0.35">
      <c r="A5006" s="34">
        <v>31171525</v>
      </c>
      <c r="B5006" s="35" t="s">
        <v>17324</v>
      </c>
    </row>
    <row r="5007" spans="1:2" x14ac:dyDescent="0.35">
      <c r="A5007" s="34">
        <v>31171526</v>
      </c>
      <c r="B5007" s="35" t="s">
        <v>10355</v>
      </c>
    </row>
    <row r="5008" spans="1:2" x14ac:dyDescent="0.35">
      <c r="A5008" s="34">
        <v>31171527</v>
      </c>
      <c r="B5008" s="35" t="s">
        <v>2079</v>
      </c>
    </row>
    <row r="5009" spans="1:2" x14ac:dyDescent="0.35">
      <c r="A5009" s="34">
        <v>31171528</v>
      </c>
      <c r="B5009" s="35" t="s">
        <v>2913</v>
      </c>
    </row>
    <row r="5010" spans="1:2" x14ac:dyDescent="0.35">
      <c r="A5010" s="34">
        <v>31171529</v>
      </c>
      <c r="B5010" s="35" t="s">
        <v>13790</v>
      </c>
    </row>
    <row r="5011" spans="1:2" x14ac:dyDescent="0.35">
      <c r="A5011" s="34">
        <v>31171603</v>
      </c>
      <c r="B5011" s="35" t="s">
        <v>14628</v>
      </c>
    </row>
    <row r="5012" spans="1:2" x14ac:dyDescent="0.35">
      <c r="A5012" s="34">
        <v>31171604</v>
      </c>
      <c r="B5012" s="35" t="s">
        <v>840</v>
      </c>
    </row>
    <row r="5013" spans="1:2" x14ac:dyDescent="0.35">
      <c r="A5013" s="34">
        <v>31171605</v>
      </c>
      <c r="B5013" s="35" t="s">
        <v>11415</v>
      </c>
    </row>
    <row r="5014" spans="1:2" x14ac:dyDescent="0.35">
      <c r="A5014" s="34">
        <v>31171606</v>
      </c>
      <c r="B5014" s="35" t="s">
        <v>910</v>
      </c>
    </row>
    <row r="5015" spans="1:2" x14ac:dyDescent="0.35">
      <c r="A5015" s="34">
        <v>31171704</v>
      </c>
      <c r="B5015" s="35" t="s">
        <v>16534</v>
      </c>
    </row>
    <row r="5016" spans="1:2" x14ac:dyDescent="0.35">
      <c r="A5016" s="34">
        <v>31171706</v>
      </c>
      <c r="B5016" s="35" t="s">
        <v>16487</v>
      </c>
    </row>
    <row r="5017" spans="1:2" x14ac:dyDescent="0.35">
      <c r="A5017" s="34">
        <v>31171707</v>
      </c>
      <c r="B5017" s="35" t="s">
        <v>12311</v>
      </c>
    </row>
    <row r="5018" spans="1:2" x14ac:dyDescent="0.35">
      <c r="A5018" s="34">
        <v>31171708</v>
      </c>
      <c r="B5018" s="35" t="s">
        <v>3716</v>
      </c>
    </row>
    <row r="5019" spans="1:2" x14ac:dyDescent="0.35">
      <c r="A5019" s="34">
        <v>31171709</v>
      </c>
      <c r="B5019" s="35" t="s">
        <v>12082</v>
      </c>
    </row>
    <row r="5020" spans="1:2" x14ac:dyDescent="0.35">
      <c r="A5020" s="34">
        <v>31171710</v>
      </c>
      <c r="B5020" s="35" t="s">
        <v>11342</v>
      </c>
    </row>
    <row r="5021" spans="1:2" x14ac:dyDescent="0.35">
      <c r="A5021" s="34">
        <v>31171711</v>
      </c>
      <c r="B5021" s="35" t="s">
        <v>17193</v>
      </c>
    </row>
    <row r="5022" spans="1:2" x14ac:dyDescent="0.35">
      <c r="A5022" s="34">
        <v>31171712</v>
      </c>
      <c r="B5022" s="35" t="s">
        <v>18853</v>
      </c>
    </row>
    <row r="5023" spans="1:2" x14ac:dyDescent="0.35">
      <c r="A5023" s="34">
        <v>31171713</v>
      </c>
      <c r="B5023" s="35" t="s">
        <v>10631</v>
      </c>
    </row>
    <row r="5024" spans="1:2" x14ac:dyDescent="0.35">
      <c r="A5024" s="34">
        <v>31171714</v>
      </c>
      <c r="B5024" s="35" t="s">
        <v>8618</v>
      </c>
    </row>
    <row r="5025" spans="1:2" x14ac:dyDescent="0.35">
      <c r="A5025" s="34">
        <v>31171801</v>
      </c>
      <c r="B5025" s="35" t="s">
        <v>18578</v>
      </c>
    </row>
    <row r="5026" spans="1:2" x14ac:dyDescent="0.35">
      <c r="A5026" s="34">
        <v>31171802</v>
      </c>
      <c r="B5026" s="35" t="s">
        <v>7569</v>
      </c>
    </row>
    <row r="5027" spans="1:2" x14ac:dyDescent="0.35">
      <c r="A5027" s="34">
        <v>31171803</v>
      </c>
      <c r="B5027" s="35" t="s">
        <v>1067</v>
      </c>
    </row>
    <row r="5028" spans="1:2" x14ac:dyDescent="0.35">
      <c r="A5028" s="34">
        <v>31171804</v>
      </c>
      <c r="B5028" s="35" t="s">
        <v>10444</v>
      </c>
    </row>
    <row r="5029" spans="1:2" x14ac:dyDescent="0.35">
      <c r="A5029" s="34">
        <v>31171805</v>
      </c>
      <c r="B5029" s="35" t="s">
        <v>14238</v>
      </c>
    </row>
    <row r="5030" spans="1:2" x14ac:dyDescent="0.35">
      <c r="A5030" s="34">
        <v>31171806</v>
      </c>
      <c r="B5030" s="35" t="s">
        <v>4381</v>
      </c>
    </row>
    <row r="5031" spans="1:2" x14ac:dyDescent="0.35">
      <c r="A5031" s="34">
        <v>31171901</v>
      </c>
      <c r="B5031" s="35" t="s">
        <v>6113</v>
      </c>
    </row>
    <row r="5032" spans="1:2" x14ac:dyDescent="0.35">
      <c r="A5032" s="34">
        <v>31181501</v>
      </c>
      <c r="B5032" s="35" t="s">
        <v>9693</v>
      </c>
    </row>
    <row r="5033" spans="1:2" x14ac:dyDescent="0.35">
      <c r="A5033" s="34">
        <v>31181502</v>
      </c>
      <c r="B5033" s="35" t="s">
        <v>13112</v>
      </c>
    </row>
    <row r="5034" spans="1:2" x14ac:dyDescent="0.35">
      <c r="A5034" s="34">
        <v>31181503</v>
      </c>
      <c r="B5034" s="35" t="s">
        <v>7505</v>
      </c>
    </row>
    <row r="5035" spans="1:2" x14ac:dyDescent="0.35">
      <c r="A5035" s="34">
        <v>31181504</v>
      </c>
      <c r="B5035" s="35" t="s">
        <v>2528</v>
      </c>
    </row>
    <row r="5036" spans="1:2" x14ac:dyDescent="0.35">
      <c r="A5036" s="34">
        <v>31181505</v>
      </c>
      <c r="B5036" s="35" t="s">
        <v>7017</v>
      </c>
    </row>
    <row r="5037" spans="1:2" x14ac:dyDescent="0.35">
      <c r="A5037" s="34">
        <v>31181506</v>
      </c>
      <c r="B5037" s="35" t="s">
        <v>12902</v>
      </c>
    </row>
    <row r="5038" spans="1:2" x14ac:dyDescent="0.35">
      <c r="A5038" s="34">
        <v>31181507</v>
      </c>
      <c r="B5038" s="35" t="s">
        <v>6223</v>
      </c>
    </row>
    <row r="5039" spans="1:2" x14ac:dyDescent="0.35">
      <c r="A5039" s="34">
        <v>31181508</v>
      </c>
      <c r="B5039" s="35" t="s">
        <v>18270</v>
      </c>
    </row>
    <row r="5040" spans="1:2" x14ac:dyDescent="0.35">
      <c r="A5040" s="34">
        <v>31181509</v>
      </c>
      <c r="B5040" s="35" t="s">
        <v>1403</v>
      </c>
    </row>
    <row r="5041" spans="1:2" x14ac:dyDescent="0.35">
      <c r="A5041" s="34">
        <v>31181510</v>
      </c>
      <c r="B5041" s="35" t="s">
        <v>4096</v>
      </c>
    </row>
    <row r="5042" spans="1:2" x14ac:dyDescent="0.35">
      <c r="A5042" s="34">
        <v>31181511</v>
      </c>
      <c r="B5042" s="35" t="s">
        <v>12408</v>
      </c>
    </row>
    <row r="5043" spans="1:2" x14ac:dyDescent="0.35">
      <c r="A5043" s="34">
        <v>31181512</v>
      </c>
      <c r="B5043" s="35" t="s">
        <v>2271</v>
      </c>
    </row>
    <row r="5044" spans="1:2" x14ac:dyDescent="0.35">
      <c r="A5044" s="34">
        <v>31181601</v>
      </c>
      <c r="B5044" s="35" t="s">
        <v>9036</v>
      </c>
    </row>
    <row r="5045" spans="1:2" x14ac:dyDescent="0.35">
      <c r="A5045" s="34">
        <v>31181602</v>
      </c>
      <c r="B5045" s="35" t="s">
        <v>13230</v>
      </c>
    </row>
    <row r="5046" spans="1:2" x14ac:dyDescent="0.35">
      <c r="A5046" s="34">
        <v>31181603</v>
      </c>
      <c r="B5046" s="35" t="s">
        <v>7513</v>
      </c>
    </row>
    <row r="5047" spans="1:2" x14ac:dyDescent="0.35">
      <c r="A5047" s="34">
        <v>31181604</v>
      </c>
      <c r="B5047" s="35" t="s">
        <v>12185</v>
      </c>
    </row>
    <row r="5048" spans="1:2" x14ac:dyDescent="0.35">
      <c r="A5048" s="34">
        <v>31181605</v>
      </c>
      <c r="B5048" s="35" t="s">
        <v>16265</v>
      </c>
    </row>
    <row r="5049" spans="1:2" x14ac:dyDescent="0.35">
      <c r="A5049" s="34">
        <v>31181606</v>
      </c>
      <c r="B5049" s="35" t="s">
        <v>4194</v>
      </c>
    </row>
    <row r="5050" spans="1:2" x14ac:dyDescent="0.35">
      <c r="A5050" s="34">
        <v>31181607</v>
      </c>
      <c r="B5050" s="35" t="s">
        <v>15151</v>
      </c>
    </row>
    <row r="5051" spans="1:2" x14ac:dyDescent="0.35">
      <c r="A5051" s="34">
        <v>31181701</v>
      </c>
      <c r="B5051" s="35" t="s">
        <v>8420</v>
      </c>
    </row>
    <row r="5052" spans="1:2" x14ac:dyDescent="0.35">
      <c r="A5052" s="34">
        <v>31181702</v>
      </c>
      <c r="B5052" s="35" t="s">
        <v>6874</v>
      </c>
    </row>
    <row r="5053" spans="1:2" x14ac:dyDescent="0.35">
      <c r="A5053" s="34">
        <v>31181703</v>
      </c>
      <c r="B5053" s="35" t="s">
        <v>2153</v>
      </c>
    </row>
    <row r="5054" spans="1:2" x14ac:dyDescent="0.35">
      <c r="A5054" s="34">
        <v>31191501</v>
      </c>
      <c r="B5054" s="35" t="s">
        <v>2131</v>
      </c>
    </row>
    <row r="5055" spans="1:2" x14ac:dyDescent="0.35">
      <c r="A5055" s="34">
        <v>31191502</v>
      </c>
      <c r="B5055" s="35" t="s">
        <v>15569</v>
      </c>
    </row>
    <row r="5056" spans="1:2" x14ac:dyDescent="0.35">
      <c r="A5056" s="34">
        <v>31191504</v>
      </c>
      <c r="B5056" s="35" t="s">
        <v>11967</v>
      </c>
    </row>
    <row r="5057" spans="1:2" x14ac:dyDescent="0.35">
      <c r="A5057" s="34">
        <v>31191505</v>
      </c>
      <c r="B5057" s="35" t="s">
        <v>1188</v>
      </c>
    </row>
    <row r="5058" spans="1:2" x14ac:dyDescent="0.35">
      <c r="A5058" s="34">
        <v>31191506</v>
      </c>
      <c r="B5058" s="35" t="s">
        <v>1449</v>
      </c>
    </row>
    <row r="5059" spans="1:2" x14ac:dyDescent="0.35">
      <c r="A5059" s="34">
        <v>31191507</v>
      </c>
      <c r="B5059" s="35" t="s">
        <v>16469</v>
      </c>
    </row>
    <row r="5060" spans="1:2" x14ac:dyDescent="0.35">
      <c r="A5060" s="34">
        <v>31191508</v>
      </c>
      <c r="B5060" s="35" t="s">
        <v>7414</v>
      </c>
    </row>
    <row r="5061" spans="1:2" x14ac:dyDescent="0.35">
      <c r="A5061" s="34">
        <v>31191509</v>
      </c>
      <c r="B5061" s="35" t="s">
        <v>2062</v>
      </c>
    </row>
    <row r="5062" spans="1:2" x14ac:dyDescent="0.35">
      <c r="A5062" s="34">
        <v>31191510</v>
      </c>
      <c r="B5062" s="35" t="s">
        <v>19522</v>
      </c>
    </row>
    <row r="5063" spans="1:2" x14ac:dyDescent="0.35">
      <c r="A5063" s="34">
        <v>31191511</v>
      </c>
      <c r="B5063" s="35" t="s">
        <v>4786</v>
      </c>
    </row>
    <row r="5064" spans="1:2" x14ac:dyDescent="0.35">
      <c r="A5064" s="34">
        <v>31191512</v>
      </c>
      <c r="B5064" s="35" t="s">
        <v>11993</v>
      </c>
    </row>
    <row r="5065" spans="1:2" x14ac:dyDescent="0.35">
      <c r="A5065" s="34">
        <v>31191513</v>
      </c>
      <c r="B5065" s="35" t="s">
        <v>13865</v>
      </c>
    </row>
    <row r="5066" spans="1:2" x14ac:dyDescent="0.35">
      <c r="A5066" s="34">
        <v>31191514</v>
      </c>
      <c r="B5066" s="35" t="s">
        <v>13184</v>
      </c>
    </row>
    <row r="5067" spans="1:2" x14ac:dyDescent="0.35">
      <c r="A5067" s="34">
        <v>31191515</v>
      </c>
      <c r="B5067" s="35" t="s">
        <v>13289</v>
      </c>
    </row>
    <row r="5068" spans="1:2" x14ac:dyDescent="0.35">
      <c r="A5068" s="34">
        <v>31191516</v>
      </c>
      <c r="B5068" s="35" t="s">
        <v>2513</v>
      </c>
    </row>
    <row r="5069" spans="1:2" x14ac:dyDescent="0.35">
      <c r="A5069" s="34">
        <v>31191517</v>
      </c>
      <c r="B5069" s="35" t="s">
        <v>3196</v>
      </c>
    </row>
    <row r="5070" spans="1:2" x14ac:dyDescent="0.35">
      <c r="A5070" s="34">
        <v>31191518</v>
      </c>
      <c r="B5070" s="35" t="s">
        <v>9031</v>
      </c>
    </row>
    <row r="5071" spans="1:2" x14ac:dyDescent="0.35">
      <c r="A5071" s="34">
        <v>31191519</v>
      </c>
      <c r="B5071" s="35" t="s">
        <v>12309</v>
      </c>
    </row>
    <row r="5072" spans="1:2" x14ac:dyDescent="0.35">
      <c r="A5072" s="34">
        <v>31191601</v>
      </c>
      <c r="B5072" s="35" t="s">
        <v>6848</v>
      </c>
    </row>
    <row r="5073" spans="1:2" x14ac:dyDescent="0.35">
      <c r="A5073" s="34">
        <v>31191602</v>
      </c>
      <c r="B5073" s="35" t="s">
        <v>8816</v>
      </c>
    </row>
    <row r="5074" spans="1:2" x14ac:dyDescent="0.35">
      <c r="A5074" s="34">
        <v>31191603</v>
      </c>
      <c r="B5074" s="35" t="s">
        <v>2592</v>
      </c>
    </row>
    <row r="5075" spans="1:2" x14ac:dyDescent="0.35">
      <c r="A5075" s="34">
        <v>31201501</v>
      </c>
      <c r="B5075" s="35" t="s">
        <v>18291</v>
      </c>
    </row>
    <row r="5076" spans="1:2" x14ac:dyDescent="0.35">
      <c r="A5076" s="34">
        <v>31201502</v>
      </c>
      <c r="B5076" s="35" t="s">
        <v>12810</v>
      </c>
    </row>
    <row r="5077" spans="1:2" x14ac:dyDescent="0.35">
      <c r="A5077" s="34">
        <v>31201503</v>
      </c>
      <c r="B5077" s="35" t="s">
        <v>15656</v>
      </c>
    </row>
    <row r="5078" spans="1:2" x14ac:dyDescent="0.35">
      <c r="A5078" s="34">
        <v>31201504</v>
      </c>
      <c r="B5078" s="35" t="s">
        <v>4352</v>
      </c>
    </row>
    <row r="5079" spans="1:2" x14ac:dyDescent="0.35">
      <c r="A5079" s="34">
        <v>31201505</v>
      </c>
      <c r="B5079" s="35" t="s">
        <v>19335</v>
      </c>
    </row>
    <row r="5080" spans="1:2" x14ac:dyDescent="0.35">
      <c r="A5080" s="34">
        <v>31201506</v>
      </c>
      <c r="B5080" s="35" t="s">
        <v>19359</v>
      </c>
    </row>
    <row r="5081" spans="1:2" x14ac:dyDescent="0.35">
      <c r="A5081" s="34">
        <v>31201507</v>
      </c>
      <c r="B5081" s="35" t="s">
        <v>8274</v>
      </c>
    </row>
    <row r="5082" spans="1:2" x14ac:dyDescent="0.35">
      <c r="A5082" s="34">
        <v>31201508</v>
      </c>
      <c r="B5082" s="35" t="s">
        <v>14978</v>
      </c>
    </row>
    <row r="5083" spans="1:2" x14ac:dyDescent="0.35">
      <c r="A5083" s="34">
        <v>31201509</v>
      </c>
      <c r="B5083" s="35" t="s">
        <v>6296</v>
      </c>
    </row>
    <row r="5084" spans="1:2" x14ac:dyDescent="0.35">
      <c r="A5084" s="34">
        <v>31201510</v>
      </c>
      <c r="B5084" s="35" t="s">
        <v>14853</v>
      </c>
    </row>
    <row r="5085" spans="1:2" x14ac:dyDescent="0.35">
      <c r="A5085" s="34">
        <v>31201511</v>
      </c>
      <c r="B5085" s="35" t="s">
        <v>3726</v>
      </c>
    </row>
    <row r="5086" spans="1:2" x14ac:dyDescent="0.35">
      <c r="A5086" s="34">
        <v>31201512</v>
      </c>
      <c r="B5086" s="35" t="s">
        <v>2708</v>
      </c>
    </row>
    <row r="5087" spans="1:2" x14ac:dyDescent="0.35">
      <c r="A5087" s="34">
        <v>31201513</v>
      </c>
      <c r="B5087" s="35" t="s">
        <v>11919</v>
      </c>
    </row>
    <row r="5088" spans="1:2" x14ac:dyDescent="0.35">
      <c r="A5088" s="34">
        <v>31201514</v>
      </c>
      <c r="B5088" s="35" t="s">
        <v>7110</v>
      </c>
    </row>
    <row r="5089" spans="1:2" x14ac:dyDescent="0.35">
      <c r="A5089" s="34">
        <v>31201515</v>
      </c>
      <c r="B5089" s="35" t="s">
        <v>13987</v>
      </c>
    </row>
    <row r="5090" spans="1:2" x14ac:dyDescent="0.35">
      <c r="A5090" s="34">
        <v>31201516</v>
      </c>
      <c r="B5090" s="35" t="s">
        <v>11437</v>
      </c>
    </row>
    <row r="5091" spans="1:2" x14ac:dyDescent="0.35">
      <c r="A5091" s="34">
        <v>31201517</v>
      </c>
      <c r="B5091" s="35" t="s">
        <v>11218</v>
      </c>
    </row>
    <row r="5092" spans="1:2" x14ac:dyDescent="0.35">
      <c r="A5092" s="34">
        <v>31201518</v>
      </c>
      <c r="B5092" s="35" t="s">
        <v>7986</v>
      </c>
    </row>
    <row r="5093" spans="1:2" x14ac:dyDescent="0.35">
      <c r="A5093" s="34">
        <v>31201519</v>
      </c>
      <c r="B5093" s="35" t="s">
        <v>3232</v>
      </c>
    </row>
    <row r="5094" spans="1:2" x14ac:dyDescent="0.35">
      <c r="A5094" s="34">
        <v>31201520</v>
      </c>
      <c r="B5094" s="35" t="s">
        <v>17089</v>
      </c>
    </row>
    <row r="5095" spans="1:2" x14ac:dyDescent="0.35">
      <c r="A5095" s="34">
        <v>31201521</v>
      </c>
      <c r="B5095" s="35" t="s">
        <v>12009</v>
      </c>
    </row>
    <row r="5096" spans="1:2" x14ac:dyDescent="0.35">
      <c r="A5096" s="34">
        <v>31201522</v>
      </c>
      <c r="B5096" s="35" t="s">
        <v>10840</v>
      </c>
    </row>
    <row r="5097" spans="1:2" x14ac:dyDescent="0.35">
      <c r="A5097" s="34">
        <v>31201523</v>
      </c>
      <c r="B5097" s="35" t="s">
        <v>15936</v>
      </c>
    </row>
    <row r="5098" spans="1:2" x14ac:dyDescent="0.35">
      <c r="A5098" s="34">
        <v>31201524</v>
      </c>
      <c r="B5098" s="35" t="s">
        <v>4295</v>
      </c>
    </row>
    <row r="5099" spans="1:2" x14ac:dyDescent="0.35">
      <c r="A5099" s="34">
        <v>31201525</v>
      </c>
      <c r="B5099" s="35" t="s">
        <v>12297</v>
      </c>
    </row>
    <row r="5100" spans="1:2" x14ac:dyDescent="0.35">
      <c r="A5100" s="34">
        <v>31201526</v>
      </c>
      <c r="B5100" s="35" t="s">
        <v>3133</v>
      </c>
    </row>
    <row r="5101" spans="1:2" x14ac:dyDescent="0.35">
      <c r="A5101" s="34">
        <v>31201527</v>
      </c>
      <c r="B5101" s="35" t="s">
        <v>6828</v>
      </c>
    </row>
    <row r="5102" spans="1:2" x14ac:dyDescent="0.35">
      <c r="A5102" s="34">
        <v>31201528</v>
      </c>
      <c r="B5102" s="35" t="s">
        <v>17437</v>
      </c>
    </row>
    <row r="5103" spans="1:2" x14ac:dyDescent="0.35">
      <c r="A5103" s="34">
        <v>31201601</v>
      </c>
      <c r="B5103" s="35" t="s">
        <v>14726</v>
      </c>
    </row>
    <row r="5104" spans="1:2" x14ac:dyDescent="0.35">
      <c r="A5104" s="34">
        <v>31201602</v>
      </c>
      <c r="B5104" s="35" t="s">
        <v>17987</v>
      </c>
    </row>
    <row r="5105" spans="1:2" x14ac:dyDescent="0.35">
      <c r="A5105" s="34">
        <v>31201603</v>
      </c>
      <c r="B5105" s="35" t="s">
        <v>5715</v>
      </c>
    </row>
    <row r="5106" spans="1:2" x14ac:dyDescent="0.35">
      <c r="A5106" s="34">
        <v>31201604</v>
      </c>
      <c r="B5106" s="35" t="s">
        <v>13495</v>
      </c>
    </row>
    <row r="5107" spans="1:2" x14ac:dyDescent="0.35">
      <c r="A5107" s="34">
        <v>31201605</v>
      </c>
      <c r="B5107" s="35" t="s">
        <v>5511</v>
      </c>
    </row>
    <row r="5108" spans="1:2" x14ac:dyDescent="0.35">
      <c r="A5108" s="34">
        <v>31201606</v>
      </c>
      <c r="B5108" s="35" t="s">
        <v>9887</v>
      </c>
    </row>
    <row r="5109" spans="1:2" x14ac:dyDescent="0.35">
      <c r="A5109" s="34">
        <v>31201607</v>
      </c>
      <c r="B5109" s="35" t="s">
        <v>1464</v>
      </c>
    </row>
    <row r="5110" spans="1:2" x14ac:dyDescent="0.35">
      <c r="A5110" s="34">
        <v>31201608</v>
      </c>
      <c r="B5110" s="35" t="s">
        <v>7765</v>
      </c>
    </row>
    <row r="5111" spans="1:2" x14ac:dyDescent="0.35">
      <c r="A5111" s="34">
        <v>31201609</v>
      </c>
      <c r="B5111" s="35" t="s">
        <v>6711</v>
      </c>
    </row>
    <row r="5112" spans="1:2" x14ac:dyDescent="0.35">
      <c r="A5112" s="34">
        <v>31201610</v>
      </c>
      <c r="B5112" s="35" t="s">
        <v>7321</v>
      </c>
    </row>
    <row r="5113" spans="1:2" x14ac:dyDescent="0.35">
      <c r="A5113" s="34">
        <v>31201611</v>
      </c>
      <c r="B5113" s="35" t="s">
        <v>14096</v>
      </c>
    </row>
    <row r="5114" spans="1:2" x14ac:dyDescent="0.35">
      <c r="A5114" s="34">
        <v>31201612</v>
      </c>
      <c r="B5114" s="35" t="s">
        <v>11250</v>
      </c>
    </row>
    <row r="5115" spans="1:2" x14ac:dyDescent="0.35">
      <c r="A5115" s="34">
        <v>31201613</v>
      </c>
      <c r="B5115" s="35" t="s">
        <v>15805</v>
      </c>
    </row>
    <row r="5116" spans="1:2" x14ac:dyDescent="0.35">
      <c r="A5116" s="34">
        <v>31201614</v>
      </c>
      <c r="B5116" s="35" t="s">
        <v>1989</v>
      </c>
    </row>
    <row r="5117" spans="1:2" x14ac:dyDescent="0.35">
      <c r="A5117" s="34">
        <v>31201615</v>
      </c>
      <c r="B5117" s="35" t="s">
        <v>3893</v>
      </c>
    </row>
    <row r="5118" spans="1:2" x14ac:dyDescent="0.35">
      <c r="A5118" s="34">
        <v>31201616</v>
      </c>
      <c r="B5118" s="35" t="s">
        <v>10786</v>
      </c>
    </row>
    <row r="5119" spans="1:2" x14ac:dyDescent="0.35">
      <c r="A5119" s="34">
        <v>31201617</v>
      </c>
      <c r="B5119" s="35" t="s">
        <v>17107</v>
      </c>
    </row>
    <row r="5120" spans="1:2" x14ac:dyDescent="0.35">
      <c r="A5120" s="34">
        <v>31211501</v>
      </c>
      <c r="B5120" s="35" t="s">
        <v>12128</v>
      </c>
    </row>
    <row r="5121" spans="1:2" x14ac:dyDescent="0.35">
      <c r="A5121" s="34">
        <v>31211502</v>
      </c>
      <c r="B5121" s="35" t="s">
        <v>2334</v>
      </c>
    </row>
    <row r="5122" spans="1:2" x14ac:dyDescent="0.35">
      <c r="A5122" s="34">
        <v>31211503</v>
      </c>
      <c r="B5122" s="35" t="s">
        <v>11533</v>
      </c>
    </row>
    <row r="5123" spans="1:2" x14ac:dyDescent="0.35">
      <c r="A5123" s="34">
        <v>31211504</v>
      </c>
      <c r="B5123" s="35" t="s">
        <v>14879</v>
      </c>
    </row>
    <row r="5124" spans="1:2" x14ac:dyDescent="0.35">
      <c r="A5124" s="34">
        <v>31211505</v>
      </c>
      <c r="B5124" s="35" t="s">
        <v>4480</v>
      </c>
    </row>
    <row r="5125" spans="1:2" x14ac:dyDescent="0.35">
      <c r="A5125" s="34">
        <v>31211506</v>
      </c>
      <c r="B5125" s="35" t="s">
        <v>9260</v>
      </c>
    </row>
    <row r="5126" spans="1:2" x14ac:dyDescent="0.35">
      <c r="A5126" s="34">
        <v>31211507</v>
      </c>
      <c r="B5126" s="35" t="s">
        <v>4920</v>
      </c>
    </row>
    <row r="5127" spans="1:2" x14ac:dyDescent="0.35">
      <c r="A5127" s="34">
        <v>31211508</v>
      </c>
      <c r="B5127" s="35" t="s">
        <v>11671</v>
      </c>
    </row>
    <row r="5128" spans="1:2" x14ac:dyDescent="0.35">
      <c r="A5128" s="34">
        <v>31211509</v>
      </c>
      <c r="B5128" s="35" t="s">
        <v>19482</v>
      </c>
    </row>
    <row r="5129" spans="1:2" x14ac:dyDescent="0.35">
      <c r="A5129" s="34">
        <v>31211510</v>
      </c>
      <c r="B5129" s="35" t="s">
        <v>4342</v>
      </c>
    </row>
    <row r="5130" spans="1:2" x14ac:dyDescent="0.35">
      <c r="A5130" s="34">
        <v>31211511</v>
      </c>
      <c r="B5130" s="35" t="s">
        <v>2475</v>
      </c>
    </row>
    <row r="5131" spans="1:2" x14ac:dyDescent="0.35">
      <c r="A5131" s="34">
        <v>31211512</v>
      </c>
      <c r="B5131" s="35" t="s">
        <v>19135</v>
      </c>
    </row>
    <row r="5132" spans="1:2" x14ac:dyDescent="0.35">
      <c r="A5132" s="34">
        <v>31211601</v>
      </c>
      <c r="B5132" s="35" t="s">
        <v>7571</v>
      </c>
    </row>
    <row r="5133" spans="1:2" x14ac:dyDescent="0.35">
      <c r="A5133" s="34">
        <v>31211602</v>
      </c>
      <c r="B5133" s="35" t="s">
        <v>7571</v>
      </c>
    </row>
    <row r="5134" spans="1:2" x14ac:dyDescent="0.35">
      <c r="A5134" s="34">
        <v>31211603</v>
      </c>
      <c r="B5134" s="35" t="s">
        <v>7</v>
      </c>
    </row>
    <row r="5135" spans="1:2" x14ac:dyDescent="0.35">
      <c r="A5135" s="34">
        <v>31211604</v>
      </c>
      <c r="B5135" s="35" t="s">
        <v>2932</v>
      </c>
    </row>
    <row r="5136" spans="1:2" x14ac:dyDescent="0.35">
      <c r="A5136" s="34">
        <v>31211605</v>
      </c>
      <c r="B5136" s="35" t="s">
        <v>5827</v>
      </c>
    </row>
    <row r="5137" spans="1:2" x14ac:dyDescent="0.35">
      <c r="A5137" s="34">
        <v>31211606</v>
      </c>
      <c r="B5137" s="35" t="s">
        <v>15215</v>
      </c>
    </row>
    <row r="5138" spans="1:2" x14ac:dyDescent="0.35">
      <c r="A5138" s="34">
        <v>31211701</v>
      </c>
      <c r="B5138" s="35" t="s">
        <v>12249</v>
      </c>
    </row>
    <row r="5139" spans="1:2" x14ac:dyDescent="0.35">
      <c r="A5139" s="34">
        <v>31211702</v>
      </c>
      <c r="B5139" s="35" t="s">
        <v>19496</v>
      </c>
    </row>
    <row r="5140" spans="1:2" x14ac:dyDescent="0.35">
      <c r="A5140" s="34">
        <v>31211703</v>
      </c>
      <c r="B5140" s="35" t="s">
        <v>11955</v>
      </c>
    </row>
    <row r="5141" spans="1:2" x14ac:dyDescent="0.35">
      <c r="A5141" s="34">
        <v>31211704</v>
      </c>
      <c r="B5141" s="35" t="s">
        <v>9983</v>
      </c>
    </row>
    <row r="5142" spans="1:2" x14ac:dyDescent="0.35">
      <c r="A5142" s="34">
        <v>31211705</v>
      </c>
      <c r="B5142" s="35" t="s">
        <v>16287</v>
      </c>
    </row>
    <row r="5143" spans="1:2" x14ac:dyDescent="0.35">
      <c r="A5143" s="34">
        <v>31211706</v>
      </c>
      <c r="B5143" s="35" t="s">
        <v>12597</v>
      </c>
    </row>
    <row r="5144" spans="1:2" x14ac:dyDescent="0.35">
      <c r="A5144" s="34">
        <v>31211707</v>
      </c>
      <c r="B5144" s="35" t="s">
        <v>12347</v>
      </c>
    </row>
    <row r="5145" spans="1:2" x14ac:dyDescent="0.35">
      <c r="A5145" s="34">
        <v>31211708</v>
      </c>
      <c r="B5145" s="35" t="s">
        <v>2004</v>
      </c>
    </row>
    <row r="5146" spans="1:2" x14ac:dyDescent="0.35">
      <c r="A5146" s="34">
        <v>31211801</v>
      </c>
      <c r="B5146" s="35" t="s">
        <v>5735</v>
      </c>
    </row>
    <row r="5147" spans="1:2" x14ac:dyDescent="0.35">
      <c r="A5147" s="34">
        <v>31211802</v>
      </c>
      <c r="B5147" s="35" t="s">
        <v>14944</v>
      </c>
    </row>
    <row r="5148" spans="1:2" x14ac:dyDescent="0.35">
      <c r="A5148" s="34">
        <v>31211803</v>
      </c>
      <c r="B5148" s="35" t="s">
        <v>14568</v>
      </c>
    </row>
    <row r="5149" spans="1:2" x14ac:dyDescent="0.35">
      <c r="A5149" s="34">
        <v>31211901</v>
      </c>
      <c r="B5149" s="35" t="s">
        <v>11912</v>
      </c>
    </row>
    <row r="5150" spans="1:2" x14ac:dyDescent="0.35">
      <c r="A5150" s="34">
        <v>31211902</v>
      </c>
      <c r="B5150" s="35" t="s">
        <v>9604</v>
      </c>
    </row>
    <row r="5151" spans="1:2" x14ac:dyDescent="0.35">
      <c r="A5151" s="34">
        <v>31211903</v>
      </c>
      <c r="B5151" s="35" t="s">
        <v>14641</v>
      </c>
    </row>
    <row r="5152" spans="1:2" x14ac:dyDescent="0.35">
      <c r="A5152" s="34">
        <v>31211904</v>
      </c>
      <c r="B5152" s="35" t="s">
        <v>17076</v>
      </c>
    </row>
    <row r="5153" spans="1:2" x14ac:dyDescent="0.35">
      <c r="A5153" s="34">
        <v>31211905</v>
      </c>
      <c r="B5153" s="35" t="s">
        <v>4466</v>
      </c>
    </row>
    <row r="5154" spans="1:2" x14ac:dyDescent="0.35">
      <c r="A5154" s="34">
        <v>31211906</v>
      </c>
      <c r="B5154" s="35" t="s">
        <v>11005</v>
      </c>
    </row>
    <row r="5155" spans="1:2" x14ac:dyDescent="0.35">
      <c r="A5155" s="34">
        <v>31211908</v>
      </c>
      <c r="B5155" s="35" t="s">
        <v>11216</v>
      </c>
    </row>
    <row r="5156" spans="1:2" x14ac:dyDescent="0.35">
      <c r="A5156" s="34">
        <v>31211909</v>
      </c>
      <c r="B5156" s="35" t="s">
        <v>7239</v>
      </c>
    </row>
    <row r="5157" spans="1:2" x14ac:dyDescent="0.35">
      <c r="A5157" s="34">
        <v>31211910</v>
      </c>
      <c r="B5157" s="35" t="s">
        <v>9669</v>
      </c>
    </row>
    <row r="5158" spans="1:2" x14ac:dyDescent="0.35">
      <c r="A5158" s="34">
        <v>31211912</v>
      </c>
      <c r="B5158" s="35" t="s">
        <v>15900</v>
      </c>
    </row>
    <row r="5159" spans="1:2" x14ac:dyDescent="0.35">
      <c r="A5159" s="34">
        <v>31211913</v>
      </c>
      <c r="B5159" s="35" t="s">
        <v>15571</v>
      </c>
    </row>
    <row r="5160" spans="1:2" x14ac:dyDescent="0.35">
      <c r="A5160" s="34">
        <v>31211914</v>
      </c>
      <c r="B5160" s="35" t="s">
        <v>1892</v>
      </c>
    </row>
    <row r="5161" spans="1:2" x14ac:dyDescent="0.35">
      <c r="A5161" s="34">
        <v>31211915</v>
      </c>
      <c r="B5161" s="35" t="s">
        <v>12551</v>
      </c>
    </row>
    <row r="5162" spans="1:2" x14ac:dyDescent="0.35">
      <c r="A5162" s="34">
        <v>31211916</v>
      </c>
      <c r="B5162" s="35" t="s">
        <v>15821</v>
      </c>
    </row>
    <row r="5163" spans="1:2" x14ac:dyDescent="0.35">
      <c r="A5163" s="34">
        <v>31211917</v>
      </c>
      <c r="B5163" s="35" t="s">
        <v>7844</v>
      </c>
    </row>
    <row r="5164" spans="1:2" x14ac:dyDescent="0.35">
      <c r="A5164" s="34">
        <v>31221601</v>
      </c>
      <c r="B5164" s="35" t="s">
        <v>18818</v>
      </c>
    </row>
    <row r="5165" spans="1:2" x14ac:dyDescent="0.35">
      <c r="A5165" s="34">
        <v>31221602</v>
      </c>
      <c r="B5165" s="35" t="s">
        <v>14346</v>
      </c>
    </row>
    <row r="5166" spans="1:2" x14ac:dyDescent="0.35">
      <c r="A5166" s="34">
        <v>31221603</v>
      </c>
      <c r="B5166" s="35" t="s">
        <v>6823</v>
      </c>
    </row>
    <row r="5167" spans="1:2" x14ac:dyDescent="0.35">
      <c r="A5167" s="34">
        <v>31231101</v>
      </c>
      <c r="B5167" s="35" t="s">
        <v>2443</v>
      </c>
    </row>
    <row r="5168" spans="1:2" x14ac:dyDescent="0.35">
      <c r="A5168" s="34">
        <v>31231102</v>
      </c>
      <c r="B5168" s="35" t="s">
        <v>999</v>
      </c>
    </row>
    <row r="5169" spans="1:2" x14ac:dyDescent="0.35">
      <c r="A5169" s="34">
        <v>31231103</v>
      </c>
      <c r="B5169" s="35" t="s">
        <v>2409</v>
      </c>
    </row>
    <row r="5170" spans="1:2" x14ac:dyDescent="0.35">
      <c r="A5170" s="34">
        <v>31231104</v>
      </c>
      <c r="B5170" s="35" t="s">
        <v>2630</v>
      </c>
    </row>
    <row r="5171" spans="1:2" x14ac:dyDescent="0.35">
      <c r="A5171" s="34">
        <v>31231105</v>
      </c>
      <c r="B5171" s="35" t="s">
        <v>15967</v>
      </c>
    </row>
    <row r="5172" spans="1:2" x14ac:dyDescent="0.35">
      <c r="A5172" s="34">
        <v>31231106</v>
      </c>
      <c r="B5172" s="35" t="s">
        <v>4768</v>
      </c>
    </row>
    <row r="5173" spans="1:2" x14ac:dyDescent="0.35">
      <c r="A5173" s="34">
        <v>31231107</v>
      </c>
      <c r="B5173" s="35" t="s">
        <v>1397</v>
      </c>
    </row>
    <row r="5174" spans="1:2" x14ac:dyDescent="0.35">
      <c r="A5174" s="34">
        <v>31231108</v>
      </c>
      <c r="B5174" s="35" t="s">
        <v>16901</v>
      </c>
    </row>
    <row r="5175" spans="1:2" x14ac:dyDescent="0.35">
      <c r="A5175" s="34">
        <v>31231109</v>
      </c>
      <c r="B5175" s="35" t="s">
        <v>13301</v>
      </c>
    </row>
    <row r="5176" spans="1:2" x14ac:dyDescent="0.35">
      <c r="A5176" s="34">
        <v>31231110</v>
      </c>
      <c r="B5176" s="35" t="s">
        <v>19497</v>
      </c>
    </row>
    <row r="5177" spans="1:2" x14ac:dyDescent="0.35">
      <c r="A5177" s="34">
        <v>31231111</v>
      </c>
      <c r="B5177" s="35" t="s">
        <v>5731</v>
      </c>
    </row>
    <row r="5178" spans="1:2" x14ac:dyDescent="0.35">
      <c r="A5178" s="34">
        <v>31231112</v>
      </c>
      <c r="B5178" s="35" t="s">
        <v>13116</v>
      </c>
    </row>
    <row r="5179" spans="1:2" x14ac:dyDescent="0.35">
      <c r="A5179" s="34">
        <v>31231113</v>
      </c>
      <c r="B5179" s="35" t="s">
        <v>12413</v>
      </c>
    </row>
    <row r="5180" spans="1:2" x14ac:dyDescent="0.35">
      <c r="A5180" s="34">
        <v>31231114</v>
      </c>
      <c r="B5180" s="35" t="s">
        <v>7693</v>
      </c>
    </row>
    <row r="5181" spans="1:2" x14ac:dyDescent="0.35">
      <c r="A5181" s="34">
        <v>31231115</v>
      </c>
      <c r="B5181" s="35" t="s">
        <v>3688</v>
      </c>
    </row>
    <row r="5182" spans="1:2" x14ac:dyDescent="0.35">
      <c r="A5182" s="34">
        <v>31231116</v>
      </c>
      <c r="B5182" s="35" t="s">
        <v>1287</v>
      </c>
    </row>
    <row r="5183" spans="1:2" x14ac:dyDescent="0.35">
      <c r="A5183" s="34">
        <v>31231117</v>
      </c>
      <c r="B5183" s="35" t="s">
        <v>14848</v>
      </c>
    </row>
    <row r="5184" spans="1:2" x14ac:dyDescent="0.35">
      <c r="A5184" s="34">
        <v>31231118</v>
      </c>
      <c r="B5184" s="35" t="s">
        <v>12571</v>
      </c>
    </row>
    <row r="5185" spans="1:2" x14ac:dyDescent="0.35">
      <c r="A5185" s="34">
        <v>31231119</v>
      </c>
      <c r="B5185" s="35" t="s">
        <v>12264</v>
      </c>
    </row>
    <row r="5186" spans="1:2" x14ac:dyDescent="0.35">
      <c r="A5186" s="34">
        <v>31231201</v>
      </c>
      <c r="B5186" s="35" t="s">
        <v>3542</v>
      </c>
    </row>
    <row r="5187" spans="1:2" x14ac:dyDescent="0.35">
      <c r="A5187" s="34">
        <v>31231202</v>
      </c>
      <c r="B5187" s="35" t="s">
        <v>6760</v>
      </c>
    </row>
    <row r="5188" spans="1:2" x14ac:dyDescent="0.35">
      <c r="A5188" s="34">
        <v>31231203</v>
      </c>
      <c r="B5188" s="35" t="s">
        <v>3792</v>
      </c>
    </row>
    <row r="5189" spans="1:2" x14ac:dyDescent="0.35">
      <c r="A5189" s="34">
        <v>31231204</v>
      </c>
      <c r="B5189" s="35" t="s">
        <v>13105</v>
      </c>
    </row>
    <row r="5190" spans="1:2" x14ac:dyDescent="0.35">
      <c r="A5190" s="34">
        <v>31231205</v>
      </c>
      <c r="B5190" s="35" t="s">
        <v>350</v>
      </c>
    </row>
    <row r="5191" spans="1:2" x14ac:dyDescent="0.35">
      <c r="A5191" s="34">
        <v>31231206</v>
      </c>
      <c r="B5191" s="35" t="s">
        <v>14974</v>
      </c>
    </row>
    <row r="5192" spans="1:2" x14ac:dyDescent="0.35">
      <c r="A5192" s="34">
        <v>31231207</v>
      </c>
      <c r="B5192" s="35" t="s">
        <v>18298</v>
      </c>
    </row>
    <row r="5193" spans="1:2" x14ac:dyDescent="0.35">
      <c r="A5193" s="34">
        <v>31231208</v>
      </c>
      <c r="B5193" s="35" t="s">
        <v>5762</v>
      </c>
    </row>
    <row r="5194" spans="1:2" x14ac:dyDescent="0.35">
      <c r="A5194" s="34">
        <v>31231209</v>
      </c>
      <c r="B5194" s="35" t="s">
        <v>19073</v>
      </c>
    </row>
    <row r="5195" spans="1:2" x14ac:dyDescent="0.35">
      <c r="A5195" s="34">
        <v>31231210</v>
      </c>
      <c r="B5195" s="35" t="s">
        <v>15355</v>
      </c>
    </row>
    <row r="5196" spans="1:2" x14ac:dyDescent="0.35">
      <c r="A5196" s="34">
        <v>31231211</v>
      </c>
      <c r="B5196" s="35" t="s">
        <v>17058</v>
      </c>
    </row>
    <row r="5197" spans="1:2" x14ac:dyDescent="0.35">
      <c r="A5197" s="34">
        <v>31231212</v>
      </c>
      <c r="B5197" s="35" t="s">
        <v>13822</v>
      </c>
    </row>
    <row r="5198" spans="1:2" x14ac:dyDescent="0.35">
      <c r="A5198" s="34">
        <v>31231213</v>
      </c>
      <c r="B5198" s="35" t="s">
        <v>596</v>
      </c>
    </row>
    <row r="5199" spans="1:2" x14ac:dyDescent="0.35">
      <c r="A5199" s="34">
        <v>31231214</v>
      </c>
      <c r="B5199" s="35" t="s">
        <v>16401</v>
      </c>
    </row>
    <row r="5200" spans="1:2" x14ac:dyDescent="0.35">
      <c r="A5200" s="34">
        <v>31231215</v>
      </c>
      <c r="B5200" s="35" t="s">
        <v>17294</v>
      </c>
    </row>
    <row r="5201" spans="1:2" x14ac:dyDescent="0.35">
      <c r="A5201" s="34">
        <v>31231216</v>
      </c>
      <c r="B5201" s="35" t="s">
        <v>12453</v>
      </c>
    </row>
    <row r="5202" spans="1:2" x14ac:dyDescent="0.35">
      <c r="A5202" s="34">
        <v>31231217</v>
      </c>
      <c r="B5202" s="35" t="s">
        <v>13989</v>
      </c>
    </row>
    <row r="5203" spans="1:2" x14ac:dyDescent="0.35">
      <c r="A5203" s="34">
        <v>31231218</v>
      </c>
      <c r="B5203" s="35" t="s">
        <v>9616</v>
      </c>
    </row>
    <row r="5204" spans="1:2" x14ac:dyDescent="0.35">
      <c r="A5204" s="34">
        <v>31231219</v>
      </c>
      <c r="B5204" s="35" t="s">
        <v>3352</v>
      </c>
    </row>
    <row r="5205" spans="1:2" x14ac:dyDescent="0.35">
      <c r="A5205" s="34">
        <v>31231301</v>
      </c>
      <c r="B5205" s="35" t="s">
        <v>18095</v>
      </c>
    </row>
    <row r="5206" spans="1:2" x14ac:dyDescent="0.35">
      <c r="A5206" s="34">
        <v>31231302</v>
      </c>
      <c r="B5206" s="35" t="s">
        <v>11998</v>
      </c>
    </row>
    <row r="5207" spans="1:2" x14ac:dyDescent="0.35">
      <c r="A5207" s="34">
        <v>31231303</v>
      </c>
      <c r="B5207" s="35" t="s">
        <v>143</v>
      </c>
    </row>
    <row r="5208" spans="1:2" x14ac:dyDescent="0.35">
      <c r="A5208" s="34">
        <v>31231304</v>
      </c>
      <c r="B5208" s="35" t="s">
        <v>5652</v>
      </c>
    </row>
    <row r="5209" spans="1:2" x14ac:dyDescent="0.35">
      <c r="A5209" s="34">
        <v>31231305</v>
      </c>
      <c r="B5209" s="35" t="s">
        <v>14371</v>
      </c>
    </row>
    <row r="5210" spans="1:2" x14ac:dyDescent="0.35">
      <c r="A5210" s="34">
        <v>31231306</v>
      </c>
      <c r="B5210" s="35" t="s">
        <v>8007</v>
      </c>
    </row>
    <row r="5211" spans="1:2" x14ac:dyDescent="0.35">
      <c r="A5211" s="34">
        <v>31231307</v>
      </c>
      <c r="B5211" s="35" t="s">
        <v>8167</v>
      </c>
    </row>
    <row r="5212" spans="1:2" x14ac:dyDescent="0.35">
      <c r="A5212" s="34">
        <v>31231308</v>
      </c>
      <c r="B5212" s="35" t="s">
        <v>8215</v>
      </c>
    </row>
    <row r="5213" spans="1:2" x14ac:dyDescent="0.35">
      <c r="A5213" s="34">
        <v>31231309</v>
      </c>
      <c r="B5213" s="35" t="s">
        <v>14993</v>
      </c>
    </row>
    <row r="5214" spans="1:2" x14ac:dyDescent="0.35">
      <c r="A5214" s="34">
        <v>31231310</v>
      </c>
      <c r="B5214" s="35" t="s">
        <v>14054</v>
      </c>
    </row>
    <row r="5215" spans="1:2" x14ac:dyDescent="0.35">
      <c r="A5215" s="34">
        <v>31231311</v>
      </c>
      <c r="B5215" s="35" t="s">
        <v>3796</v>
      </c>
    </row>
    <row r="5216" spans="1:2" x14ac:dyDescent="0.35">
      <c r="A5216" s="34">
        <v>31231312</v>
      </c>
      <c r="B5216" s="35" t="s">
        <v>1963</v>
      </c>
    </row>
    <row r="5217" spans="1:2" x14ac:dyDescent="0.35">
      <c r="A5217" s="34">
        <v>31231313</v>
      </c>
      <c r="B5217" s="35" t="s">
        <v>9361</v>
      </c>
    </row>
    <row r="5218" spans="1:2" x14ac:dyDescent="0.35">
      <c r="A5218" s="34">
        <v>31231314</v>
      </c>
      <c r="B5218" s="35" t="s">
        <v>10474</v>
      </c>
    </row>
    <row r="5219" spans="1:2" x14ac:dyDescent="0.35">
      <c r="A5219" s="34">
        <v>31231315</v>
      </c>
      <c r="B5219" s="35" t="s">
        <v>16674</v>
      </c>
    </row>
    <row r="5220" spans="1:2" x14ac:dyDescent="0.35">
      <c r="A5220" s="34">
        <v>31231316</v>
      </c>
      <c r="B5220" s="35" t="s">
        <v>4045</v>
      </c>
    </row>
    <row r="5221" spans="1:2" x14ac:dyDescent="0.35">
      <c r="A5221" s="34">
        <v>31231317</v>
      </c>
      <c r="B5221" s="35" t="s">
        <v>16229</v>
      </c>
    </row>
    <row r="5222" spans="1:2" x14ac:dyDescent="0.35">
      <c r="A5222" s="34">
        <v>31231318</v>
      </c>
      <c r="B5222" s="35" t="s">
        <v>15924</v>
      </c>
    </row>
    <row r="5223" spans="1:2" x14ac:dyDescent="0.35">
      <c r="A5223" s="34">
        <v>31231319</v>
      </c>
      <c r="B5223" s="35" t="s">
        <v>18096</v>
      </c>
    </row>
    <row r="5224" spans="1:2" x14ac:dyDescent="0.35">
      <c r="A5224" s="34">
        <v>31231320</v>
      </c>
      <c r="B5224" s="35" t="s">
        <v>16909</v>
      </c>
    </row>
    <row r="5225" spans="1:2" x14ac:dyDescent="0.35">
      <c r="A5225" s="34">
        <v>31231321</v>
      </c>
      <c r="B5225" s="35" t="s">
        <v>7332</v>
      </c>
    </row>
    <row r="5226" spans="1:2" x14ac:dyDescent="0.35">
      <c r="A5226" s="34">
        <v>31231401</v>
      </c>
      <c r="B5226" s="35" t="s">
        <v>9335</v>
      </c>
    </row>
    <row r="5227" spans="1:2" x14ac:dyDescent="0.35">
      <c r="A5227" s="34">
        <v>31231402</v>
      </c>
      <c r="B5227" s="35" t="s">
        <v>15591</v>
      </c>
    </row>
    <row r="5228" spans="1:2" x14ac:dyDescent="0.35">
      <c r="A5228" s="34">
        <v>31231403</v>
      </c>
      <c r="B5228" s="35" t="s">
        <v>16886</v>
      </c>
    </row>
    <row r="5229" spans="1:2" x14ac:dyDescent="0.35">
      <c r="A5229" s="34">
        <v>31231404</v>
      </c>
      <c r="B5229" s="35" t="s">
        <v>2892</v>
      </c>
    </row>
    <row r="5230" spans="1:2" x14ac:dyDescent="0.35">
      <c r="A5230" s="34">
        <v>31231405</v>
      </c>
      <c r="B5230" s="35" t="s">
        <v>8904</v>
      </c>
    </row>
    <row r="5231" spans="1:2" x14ac:dyDescent="0.35">
      <c r="A5231" s="34">
        <v>31241501</v>
      </c>
      <c r="B5231" s="35" t="s">
        <v>11802</v>
      </c>
    </row>
    <row r="5232" spans="1:2" x14ac:dyDescent="0.35">
      <c r="A5232" s="34">
        <v>31241502</v>
      </c>
      <c r="B5232" s="35" t="s">
        <v>10296</v>
      </c>
    </row>
    <row r="5233" spans="1:2" x14ac:dyDescent="0.35">
      <c r="A5233" s="34">
        <v>31241601</v>
      </c>
      <c r="B5233" s="35" t="s">
        <v>6705</v>
      </c>
    </row>
    <row r="5234" spans="1:2" x14ac:dyDescent="0.35">
      <c r="A5234" s="34">
        <v>31241602</v>
      </c>
      <c r="B5234" s="35" t="s">
        <v>3391</v>
      </c>
    </row>
    <row r="5235" spans="1:2" x14ac:dyDescent="0.35">
      <c r="A5235" s="34">
        <v>31241603</v>
      </c>
      <c r="B5235" s="35" t="s">
        <v>9317</v>
      </c>
    </row>
    <row r="5236" spans="1:2" x14ac:dyDescent="0.35">
      <c r="A5236" s="34">
        <v>31241604</v>
      </c>
      <c r="B5236" s="35" t="s">
        <v>6453</v>
      </c>
    </row>
    <row r="5237" spans="1:2" x14ac:dyDescent="0.35">
      <c r="A5237" s="34">
        <v>31241605</v>
      </c>
      <c r="B5237" s="35" t="s">
        <v>4956</v>
      </c>
    </row>
    <row r="5238" spans="1:2" x14ac:dyDescent="0.35">
      <c r="A5238" s="34">
        <v>31241606</v>
      </c>
      <c r="B5238" s="35" t="s">
        <v>4307</v>
      </c>
    </row>
    <row r="5239" spans="1:2" x14ac:dyDescent="0.35">
      <c r="A5239" s="34">
        <v>31241607</v>
      </c>
      <c r="B5239" s="35" t="s">
        <v>12227</v>
      </c>
    </row>
    <row r="5240" spans="1:2" x14ac:dyDescent="0.35">
      <c r="A5240" s="34">
        <v>31241608</v>
      </c>
      <c r="B5240" s="35" t="s">
        <v>4209</v>
      </c>
    </row>
    <row r="5241" spans="1:2" x14ac:dyDescent="0.35">
      <c r="A5241" s="34">
        <v>31241609</v>
      </c>
      <c r="B5241" s="35" t="s">
        <v>13168</v>
      </c>
    </row>
    <row r="5242" spans="1:2" x14ac:dyDescent="0.35">
      <c r="A5242" s="34">
        <v>31241610</v>
      </c>
      <c r="B5242" s="35" t="s">
        <v>3849</v>
      </c>
    </row>
    <row r="5243" spans="1:2" x14ac:dyDescent="0.35">
      <c r="A5243" s="34">
        <v>31241701</v>
      </c>
      <c r="B5243" s="35" t="s">
        <v>19006</v>
      </c>
    </row>
    <row r="5244" spans="1:2" x14ac:dyDescent="0.35">
      <c r="A5244" s="34">
        <v>31241702</v>
      </c>
      <c r="B5244" s="35" t="s">
        <v>17904</v>
      </c>
    </row>
    <row r="5245" spans="1:2" x14ac:dyDescent="0.35">
      <c r="A5245" s="34">
        <v>31241703</v>
      </c>
      <c r="B5245" s="35" t="s">
        <v>13993</v>
      </c>
    </row>
    <row r="5246" spans="1:2" x14ac:dyDescent="0.35">
      <c r="A5246" s="34">
        <v>31241704</v>
      </c>
      <c r="B5246" s="35" t="s">
        <v>12628</v>
      </c>
    </row>
    <row r="5247" spans="1:2" x14ac:dyDescent="0.35">
      <c r="A5247" s="34">
        <v>31241705</v>
      </c>
      <c r="B5247" s="35" t="s">
        <v>19342</v>
      </c>
    </row>
    <row r="5248" spans="1:2" x14ac:dyDescent="0.35">
      <c r="A5248" s="34">
        <v>31241801</v>
      </c>
      <c r="B5248" s="35" t="s">
        <v>3307</v>
      </c>
    </row>
    <row r="5249" spans="1:2" x14ac:dyDescent="0.35">
      <c r="A5249" s="34">
        <v>31241802</v>
      </c>
      <c r="B5249" s="35" t="s">
        <v>14072</v>
      </c>
    </row>
    <row r="5250" spans="1:2" x14ac:dyDescent="0.35">
      <c r="A5250" s="34">
        <v>31241803</v>
      </c>
      <c r="B5250" s="35" t="s">
        <v>3656</v>
      </c>
    </row>
    <row r="5251" spans="1:2" x14ac:dyDescent="0.35">
      <c r="A5251" s="34">
        <v>31241804</v>
      </c>
      <c r="B5251" s="35" t="s">
        <v>5618</v>
      </c>
    </row>
    <row r="5252" spans="1:2" x14ac:dyDescent="0.35">
      <c r="A5252" s="34">
        <v>31241805</v>
      </c>
      <c r="B5252" s="35" t="s">
        <v>1979</v>
      </c>
    </row>
    <row r="5253" spans="1:2" x14ac:dyDescent="0.35">
      <c r="A5253" s="34">
        <v>31241806</v>
      </c>
      <c r="B5253" s="35" t="s">
        <v>7137</v>
      </c>
    </row>
    <row r="5254" spans="1:2" x14ac:dyDescent="0.35">
      <c r="A5254" s="34">
        <v>31241807</v>
      </c>
      <c r="B5254" s="35" t="s">
        <v>6010</v>
      </c>
    </row>
    <row r="5255" spans="1:2" x14ac:dyDescent="0.35">
      <c r="A5255" s="34">
        <v>31241901</v>
      </c>
      <c r="B5255" s="35" t="s">
        <v>69</v>
      </c>
    </row>
    <row r="5256" spans="1:2" x14ac:dyDescent="0.35">
      <c r="A5256" s="34">
        <v>31241902</v>
      </c>
      <c r="B5256" s="35" t="s">
        <v>14984</v>
      </c>
    </row>
    <row r="5257" spans="1:2" x14ac:dyDescent="0.35">
      <c r="A5257" s="34">
        <v>31241903</v>
      </c>
      <c r="B5257" s="35" t="s">
        <v>5829</v>
      </c>
    </row>
    <row r="5258" spans="1:2" x14ac:dyDescent="0.35">
      <c r="A5258" s="34">
        <v>31241904</v>
      </c>
      <c r="B5258" s="35" t="s">
        <v>14797</v>
      </c>
    </row>
    <row r="5259" spans="1:2" x14ac:dyDescent="0.35">
      <c r="A5259" s="34">
        <v>31241905</v>
      </c>
      <c r="B5259" s="35" t="s">
        <v>5995</v>
      </c>
    </row>
    <row r="5260" spans="1:2" x14ac:dyDescent="0.35">
      <c r="A5260" s="34">
        <v>31241906</v>
      </c>
      <c r="B5260" s="35" t="s">
        <v>17052</v>
      </c>
    </row>
    <row r="5261" spans="1:2" x14ac:dyDescent="0.35">
      <c r="A5261" s="34">
        <v>31241907</v>
      </c>
      <c r="B5261" s="35" t="s">
        <v>9091</v>
      </c>
    </row>
    <row r="5262" spans="1:2" x14ac:dyDescent="0.35">
      <c r="A5262" s="34">
        <v>31241908</v>
      </c>
      <c r="B5262" s="35" t="s">
        <v>2698</v>
      </c>
    </row>
    <row r="5263" spans="1:2" x14ac:dyDescent="0.35">
      <c r="A5263" s="34">
        <v>31242001</v>
      </c>
      <c r="B5263" s="35" t="s">
        <v>18736</v>
      </c>
    </row>
    <row r="5264" spans="1:2" x14ac:dyDescent="0.35">
      <c r="A5264" s="34">
        <v>31242002</v>
      </c>
      <c r="B5264" s="35" t="s">
        <v>8412</v>
      </c>
    </row>
    <row r="5265" spans="1:2" x14ac:dyDescent="0.35">
      <c r="A5265" s="34">
        <v>31242003</v>
      </c>
      <c r="B5265" s="35" t="s">
        <v>12663</v>
      </c>
    </row>
    <row r="5266" spans="1:2" x14ac:dyDescent="0.35">
      <c r="A5266" s="34">
        <v>31242101</v>
      </c>
      <c r="B5266" s="35" t="s">
        <v>18608</v>
      </c>
    </row>
    <row r="5267" spans="1:2" x14ac:dyDescent="0.35">
      <c r="A5267" s="34">
        <v>31242103</v>
      </c>
      <c r="B5267" s="35" t="s">
        <v>10511</v>
      </c>
    </row>
    <row r="5268" spans="1:2" x14ac:dyDescent="0.35">
      <c r="A5268" s="34">
        <v>31242104</v>
      </c>
      <c r="B5268" s="35" t="s">
        <v>9358</v>
      </c>
    </row>
    <row r="5269" spans="1:2" x14ac:dyDescent="0.35">
      <c r="A5269" s="34">
        <v>31242105</v>
      </c>
      <c r="B5269" s="35" t="s">
        <v>9249</v>
      </c>
    </row>
    <row r="5270" spans="1:2" x14ac:dyDescent="0.35">
      <c r="A5270" s="34">
        <v>31242106</v>
      </c>
      <c r="B5270" s="35" t="s">
        <v>13239</v>
      </c>
    </row>
    <row r="5271" spans="1:2" x14ac:dyDescent="0.35">
      <c r="A5271" s="34">
        <v>31242201</v>
      </c>
      <c r="B5271" s="35" t="s">
        <v>1760</v>
      </c>
    </row>
    <row r="5272" spans="1:2" x14ac:dyDescent="0.35">
      <c r="A5272" s="34">
        <v>31242202</v>
      </c>
      <c r="B5272" s="35" t="s">
        <v>10629</v>
      </c>
    </row>
    <row r="5273" spans="1:2" x14ac:dyDescent="0.35">
      <c r="A5273" s="34">
        <v>31242203</v>
      </c>
      <c r="B5273" s="35" t="s">
        <v>19452</v>
      </c>
    </row>
    <row r="5274" spans="1:2" x14ac:dyDescent="0.35">
      <c r="A5274" s="34">
        <v>31242204</v>
      </c>
      <c r="B5274" s="35" t="s">
        <v>19048</v>
      </c>
    </row>
    <row r="5275" spans="1:2" x14ac:dyDescent="0.35">
      <c r="A5275" s="34">
        <v>31242205</v>
      </c>
      <c r="B5275" s="35" t="s">
        <v>10192</v>
      </c>
    </row>
    <row r="5276" spans="1:2" x14ac:dyDescent="0.35">
      <c r="A5276" s="34">
        <v>31242206</v>
      </c>
      <c r="B5276" s="35" t="s">
        <v>18388</v>
      </c>
    </row>
    <row r="5277" spans="1:2" x14ac:dyDescent="0.35">
      <c r="A5277" s="34">
        <v>31242207</v>
      </c>
      <c r="B5277" s="35" t="s">
        <v>15257</v>
      </c>
    </row>
    <row r="5278" spans="1:2" x14ac:dyDescent="0.35">
      <c r="A5278" s="34">
        <v>31242208</v>
      </c>
      <c r="B5278" s="35" t="s">
        <v>18803</v>
      </c>
    </row>
    <row r="5279" spans="1:2" x14ac:dyDescent="0.35">
      <c r="A5279" s="34">
        <v>31251501</v>
      </c>
      <c r="B5279" s="35" t="s">
        <v>6618</v>
      </c>
    </row>
    <row r="5280" spans="1:2" x14ac:dyDescent="0.35">
      <c r="A5280" s="34">
        <v>31251502</v>
      </c>
      <c r="B5280" s="35" t="s">
        <v>543</v>
      </c>
    </row>
    <row r="5281" spans="1:2" x14ac:dyDescent="0.35">
      <c r="A5281" s="34">
        <v>31251503</v>
      </c>
      <c r="B5281" s="35" t="s">
        <v>13232</v>
      </c>
    </row>
    <row r="5282" spans="1:2" x14ac:dyDescent="0.35">
      <c r="A5282" s="34">
        <v>31251504</v>
      </c>
      <c r="B5282" s="35" t="s">
        <v>15984</v>
      </c>
    </row>
    <row r="5283" spans="1:2" x14ac:dyDescent="0.35">
      <c r="A5283" s="34">
        <v>31251505</v>
      </c>
      <c r="B5283" s="35" t="s">
        <v>19491</v>
      </c>
    </row>
    <row r="5284" spans="1:2" x14ac:dyDescent="0.35">
      <c r="A5284" s="34">
        <v>31251506</v>
      </c>
      <c r="B5284" s="35" t="s">
        <v>5196</v>
      </c>
    </row>
    <row r="5285" spans="1:2" x14ac:dyDescent="0.35">
      <c r="A5285" s="34">
        <v>31251507</v>
      </c>
      <c r="B5285" s="35" t="s">
        <v>14399</v>
      </c>
    </row>
    <row r="5286" spans="1:2" x14ac:dyDescent="0.35">
      <c r="A5286" s="34">
        <v>31251508</v>
      </c>
      <c r="B5286" s="35" t="s">
        <v>13046</v>
      </c>
    </row>
    <row r="5287" spans="1:2" x14ac:dyDescent="0.35">
      <c r="A5287" s="34">
        <v>31251509</v>
      </c>
      <c r="B5287" s="35" t="s">
        <v>3366</v>
      </c>
    </row>
    <row r="5288" spans="1:2" x14ac:dyDescent="0.35">
      <c r="A5288" s="34">
        <v>31251510</v>
      </c>
      <c r="B5288" s="35" t="s">
        <v>10676</v>
      </c>
    </row>
    <row r="5289" spans="1:2" x14ac:dyDescent="0.35">
      <c r="A5289" s="34">
        <v>31251511</v>
      </c>
      <c r="B5289" s="35" t="s">
        <v>9719</v>
      </c>
    </row>
    <row r="5290" spans="1:2" x14ac:dyDescent="0.35">
      <c r="A5290" s="34">
        <v>31251601</v>
      </c>
      <c r="B5290" s="35" t="s">
        <v>8755</v>
      </c>
    </row>
    <row r="5291" spans="1:2" x14ac:dyDescent="0.35">
      <c r="A5291" s="34">
        <v>31261501</v>
      </c>
      <c r="B5291" s="35" t="s">
        <v>6905</v>
      </c>
    </row>
    <row r="5292" spans="1:2" x14ac:dyDescent="0.35">
      <c r="A5292" s="34">
        <v>31261502</v>
      </c>
      <c r="B5292" s="35" t="s">
        <v>8718</v>
      </c>
    </row>
    <row r="5293" spans="1:2" x14ac:dyDescent="0.35">
      <c r="A5293" s="34">
        <v>31261503</v>
      </c>
      <c r="B5293" s="35" t="s">
        <v>2451</v>
      </c>
    </row>
    <row r="5294" spans="1:2" x14ac:dyDescent="0.35">
      <c r="A5294" s="34">
        <v>31261504</v>
      </c>
      <c r="B5294" s="35" t="s">
        <v>9419</v>
      </c>
    </row>
    <row r="5295" spans="1:2" x14ac:dyDescent="0.35">
      <c r="A5295" s="34">
        <v>31261505</v>
      </c>
      <c r="B5295" s="35" t="s">
        <v>259</v>
      </c>
    </row>
    <row r="5296" spans="1:2" x14ac:dyDescent="0.35">
      <c r="A5296" s="34">
        <v>31261601</v>
      </c>
      <c r="B5296" s="35" t="s">
        <v>15456</v>
      </c>
    </row>
    <row r="5297" spans="1:2" x14ac:dyDescent="0.35">
      <c r="A5297" s="34">
        <v>31261602</v>
      </c>
      <c r="B5297" s="35" t="s">
        <v>4402</v>
      </c>
    </row>
    <row r="5298" spans="1:2" x14ac:dyDescent="0.35">
      <c r="A5298" s="34">
        <v>31261603</v>
      </c>
      <c r="B5298" s="35" t="s">
        <v>5137</v>
      </c>
    </row>
    <row r="5299" spans="1:2" x14ac:dyDescent="0.35">
      <c r="A5299" s="34">
        <v>31261701</v>
      </c>
      <c r="B5299" s="35" t="s">
        <v>346</v>
      </c>
    </row>
    <row r="5300" spans="1:2" x14ac:dyDescent="0.35">
      <c r="A5300" s="34">
        <v>31261702</v>
      </c>
      <c r="B5300" s="35" t="s">
        <v>8202</v>
      </c>
    </row>
    <row r="5301" spans="1:2" x14ac:dyDescent="0.35">
      <c r="A5301" s="34">
        <v>31261703</v>
      </c>
      <c r="B5301" s="35" t="s">
        <v>9416</v>
      </c>
    </row>
    <row r="5302" spans="1:2" x14ac:dyDescent="0.35">
      <c r="A5302" s="34">
        <v>31261704</v>
      </c>
      <c r="B5302" s="35" t="s">
        <v>1354</v>
      </c>
    </row>
    <row r="5303" spans="1:2" x14ac:dyDescent="0.35">
      <c r="A5303" s="34">
        <v>31271601</v>
      </c>
      <c r="B5303" s="35" t="s">
        <v>5653</v>
      </c>
    </row>
    <row r="5304" spans="1:2" x14ac:dyDescent="0.35">
      <c r="A5304" s="34">
        <v>31271602</v>
      </c>
      <c r="B5304" s="35" t="s">
        <v>4563</v>
      </c>
    </row>
    <row r="5305" spans="1:2" x14ac:dyDescent="0.35">
      <c r="A5305" s="34">
        <v>31281502</v>
      </c>
      <c r="B5305" s="35" t="s">
        <v>11201</v>
      </c>
    </row>
    <row r="5306" spans="1:2" x14ac:dyDescent="0.35">
      <c r="A5306" s="34">
        <v>31281503</v>
      </c>
      <c r="B5306" s="35" t="s">
        <v>3060</v>
      </c>
    </row>
    <row r="5307" spans="1:2" x14ac:dyDescent="0.35">
      <c r="A5307" s="34">
        <v>31281504</v>
      </c>
      <c r="B5307" s="35" t="s">
        <v>12899</v>
      </c>
    </row>
    <row r="5308" spans="1:2" x14ac:dyDescent="0.35">
      <c r="A5308" s="34">
        <v>31281505</v>
      </c>
      <c r="B5308" s="35" t="s">
        <v>7958</v>
      </c>
    </row>
    <row r="5309" spans="1:2" x14ac:dyDescent="0.35">
      <c r="A5309" s="34">
        <v>31281506</v>
      </c>
      <c r="B5309" s="35" t="s">
        <v>120</v>
      </c>
    </row>
    <row r="5310" spans="1:2" x14ac:dyDescent="0.35">
      <c r="A5310" s="34">
        <v>31281507</v>
      </c>
      <c r="B5310" s="35" t="s">
        <v>7391</v>
      </c>
    </row>
    <row r="5311" spans="1:2" x14ac:dyDescent="0.35">
      <c r="A5311" s="34">
        <v>31281508</v>
      </c>
      <c r="B5311" s="35" t="s">
        <v>7375</v>
      </c>
    </row>
    <row r="5312" spans="1:2" x14ac:dyDescent="0.35">
      <c r="A5312" s="34">
        <v>31281509</v>
      </c>
      <c r="B5312" s="35" t="s">
        <v>14112</v>
      </c>
    </row>
    <row r="5313" spans="1:2" x14ac:dyDescent="0.35">
      <c r="A5313" s="34">
        <v>31281510</v>
      </c>
      <c r="B5313" s="35" t="s">
        <v>11355</v>
      </c>
    </row>
    <row r="5314" spans="1:2" x14ac:dyDescent="0.35">
      <c r="A5314" s="34">
        <v>31281511</v>
      </c>
      <c r="B5314" s="35" t="s">
        <v>13439</v>
      </c>
    </row>
    <row r="5315" spans="1:2" x14ac:dyDescent="0.35">
      <c r="A5315" s="34">
        <v>31281512</v>
      </c>
      <c r="B5315" s="35" t="s">
        <v>8542</v>
      </c>
    </row>
    <row r="5316" spans="1:2" x14ac:dyDescent="0.35">
      <c r="A5316" s="34">
        <v>31281513</v>
      </c>
      <c r="B5316" s="35" t="s">
        <v>16097</v>
      </c>
    </row>
    <row r="5317" spans="1:2" x14ac:dyDescent="0.35">
      <c r="A5317" s="34">
        <v>31281514</v>
      </c>
      <c r="B5317" s="35" t="s">
        <v>19052</v>
      </c>
    </row>
    <row r="5318" spans="1:2" x14ac:dyDescent="0.35">
      <c r="A5318" s="34">
        <v>31281515</v>
      </c>
      <c r="B5318" s="35" t="s">
        <v>12064</v>
      </c>
    </row>
    <row r="5319" spans="1:2" x14ac:dyDescent="0.35">
      <c r="A5319" s="34">
        <v>31281516</v>
      </c>
      <c r="B5319" s="35" t="s">
        <v>13533</v>
      </c>
    </row>
    <row r="5320" spans="1:2" x14ac:dyDescent="0.35">
      <c r="A5320" s="34">
        <v>31281517</v>
      </c>
      <c r="B5320" s="35" t="s">
        <v>6078</v>
      </c>
    </row>
    <row r="5321" spans="1:2" x14ac:dyDescent="0.35">
      <c r="A5321" s="34">
        <v>31281518</v>
      </c>
      <c r="B5321" s="35" t="s">
        <v>777</v>
      </c>
    </row>
    <row r="5322" spans="1:2" x14ac:dyDescent="0.35">
      <c r="A5322" s="34">
        <v>31281519</v>
      </c>
      <c r="B5322" s="35" t="s">
        <v>4952</v>
      </c>
    </row>
    <row r="5323" spans="1:2" x14ac:dyDescent="0.35">
      <c r="A5323" s="34">
        <v>31281520</v>
      </c>
      <c r="B5323" s="35" t="s">
        <v>10488</v>
      </c>
    </row>
    <row r="5324" spans="1:2" x14ac:dyDescent="0.35">
      <c r="A5324" s="34">
        <v>31281521</v>
      </c>
      <c r="B5324" s="35" t="s">
        <v>15577</v>
      </c>
    </row>
    <row r="5325" spans="1:2" x14ac:dyDescent="0.35">
      <c r="A5325" s="34">
        <v>31281701</v>
      </c>
      <c r="B5325" s="35" t="s">
        <v>19457</v>
      </c>
    </row>
    <row r="5326" spans="1:2" x14ac:dyDescent="0.35">
      <c r="A5326" s="34">
        <v>31281801</v>
      </c>
      <c r="B5326" s="35" t="s">
        <v>1439</v>
      </c>
    </row>
    <row r="5327" spans="1:2" x14ac:dyDescent="0.35">
      <c r="A5327" s="34">
        <v>31281802</v>
      </c>
      <c r="B5327" s="35" t="s">
        <v>16953</v>
      </c>
    </row>
    <row r="5328" spans="1:2" x14ac:dyDescent="0.35">
      <c r="A5328" s="34">
        <v>31281803</v>
      </c>
      <c r="B5328" s="35" t="s">
        <v>11004</v>
      </c>
    </row>
    <row r="5329" spans="1:2" x14ac:dyDescent="0.35">
      <c r="A5329" s="34">
        <v>31281804</v>
      </c>
      <c r="B5329" s="35" t="s">
        <v>9054</v>
      </c>
    </row>
    <row r="5330" spans="1:2" x14ac:dyDescent="0.35">
      <c r="A5330" s="34">
        <v>31281805</v>
      </c>
      <c r="B5330" s="35" t="s">
        <v>1816</v>
      </c>
    </row>
    <row r="5331" spans="1:2" x14ac:dyDescent="0.35">
      <c r="A5331" s="34">
        <v>31281806</v>
      </c>
      <c r="B5331" s="35" t="s">
        <v>9123</v>
      </c>
    </row>
    <row r="5332" spans="1:2" x14ac:dyDescent="0.35">
      <c r="A5332" s="34">
        <v>31281807</v>
      </c>
      <c r="B5332" s="35" t="s">
        <v>19041</v>
      </c>
    </row>
    <row r="5333" spans="1:2" x14ac:dyDescent="0.35">
      <c r="A5333" s="34">
        <v>31281808</v>
      </c>
      <c r="B5333" s="35" t="s">
        <v>3314</v>
      </c>
    </row>
    <row r="5334" spans="1:2" x14ac:dyDescent="0.35">
      <c r="A5334" s="34">
        <v>31281809</v>
      </c>
      <c r="B5334" s="35" t="s">
        <v>1230</v>
      </c>
    </row>
    <row r="5335" spans="1:2" x14ac:dyDescent="0.35">
      <c r="A5335" s="34">
        <v>31281810</v>
      </c>
      <c r="B5335" s="35" t="s">
        <v>16315</v>
      </c>
    </row>
    <row r="5336" spans="1:2" x14ac:dyDescent="0.35">
      <c r="A5336" s="34">
        <v>31281811</v>
      </c>
      <c r="B5336" s="35" t="s">
        <v>9153</v>
      </c>
    </row>
    <row r="5337" spans="1:2" x14ac:dyDescent="0.35">
      <c r="A5337" s="34">
        <v>31281812</v>
      </c>
      <c r="B5337" s="35" t="s">
        <v>2363</v>
      </c>
    </row>
    <row r="5338" spans="1:2" x14ac:dyDescent="0.35">
      <c r="A5338" s="34">
        <v>31281813</v>
      </c>
      <c r="B5338" s="35" t="s">
        <v>18130</v>
      </c>
    </row>
    <row r="5339" spans="1:2" x14ac:dyDescent="0.35">
      <c r="A5339" s="34">
        <v>31281814</v>
      </c>
      <c r="B5339" s="35" t="s">
        <v>5917</v>
      </c>
    </row>
    <row r="5340" spans="1:2" x14ac:dyDescent="0.35">
      <c r="A5340" s="34">
        <v>31281815</v>
      </c>
      <c r="B5340" s="35" t="s">
        <v>5738</v>
      </c>
    </row>
    <row r="5341" spans="1:2" x14ac:dyDescent="0.35">
      <c r="A5341" s="34">
        <v>31281816</v>
      </c>
      <c r="B5341" s="35" t="s">
        <v>11749</v>
      </c>
    </row>
    <row r="5342" spans="1:2" x14ac:dyDescent="0.35">
      <c r="A5342" s="34">
        <v>31281817</v>
      </c>
      <c r="B5342" s="35" t="s">
        <v>982</v>
      </c>
    </row>
    <row r="5343" spans="1:2" x14ac:dyDescent="0.35">
      <c r="A5343" s="34">
        <v>31281818</v>
      </c>
      <c r="B5343" s="35" t="s">
        <v>3449</v>
      </c>
    </row>
    <row r="5344" spans="1:2" x14ac:dyDescent="0.35">
      <c r="A5344" s="34">
        <v>31281819</v>
      </c>
      <c r="B5344" s="35" t="s">
        <v>6476</v>
      </c>
    </row>
    <row r="5345" spans="1:2" x14ac:dyDescent="0.35">
      <c r="A5345" s="34">
        <v>31281901</v>
      </c>
      <c r="B5345" s="35" t="s">
        <v>11263</v>
      </c>
    </row>
    <row r="5346" spans="1:2" x14ac:dyDescent="0.35">
      <c r="A5346" s="34">
        <v>31281902</v>
      </c>
      <c r="B5346" s="35" t="s">
        <v>6152</v>
      </c>
    </row>
    <row r="5347" spans="1:2" x14ac:dyDescent="0.35">
      <c r="A5347" s="34">
        <v>31281903</v>
      </c>
      <c r="B5347" s="35" t="s">
        <v>15870</v>
      </c>
    </row>
    <row r="5348" spans="1:2" x14ac:dyDescent="0.35">
      <c r="A5348" s="34">
        <v>31281904</v>
      </c>
      <c r="B5348" s="35" t="s">
        <v>3497</v>
      </c>
    </row>
    <row r="5349" spans="1:2" x14ac:dyDescent="0.35">
      <c r="A5349" s="34">
        <v>31281905</v>
      </c>
      <c r="B5349" s="35" t="s">
        <v>11296</v>
      </c>
    </row>
    <row r="5350" spans="1:2" x14ac:dyDescent="0.35">
      <c r="A5350" s="34">
        <v>31281906</v>
      </c>
      <c r="B5350" s="35" t="s">
        <v>16524</v>
      </c>
    </row>
    <row r="5351" spans="1:2" x14ac:dyDescent="0.35">
      <c r="A5351" s="34">
        <v>31281907</v>
      </c>
      <c r="B5351" s="35" t="s">
        <v>18618</v>
      </c>
    </row>
    <row r="5352" spans="1:2" x14ac:dyDescent="0.35">
      <c r="A5352" s="34">
        <v>31281908</v>
      </c>
      <c r="B5352" s="35" t="s">
        <v>2185</v>
      </c>
    </row>
    <row r="5353" spans="1:2" x14ac:dyDescent="0.35">
      <c r="A5353" s="34">
        <v>31281909</v>
      </c>
      <c r="B5353" s="35" t="s">
        <v>14918</v>
      </c>
    </row>
    <row r="5354" spans="1:2" x14ac:dyDescent="0.35">
      <c r="A5354" s="34">
        <v>31281910</v>
      </c>
      <c r="B5354" s="35" t="s">
        <v>13703</v>
      </c>
    </row>
    <row r="5355" spans="1:2" x14ac:dyDescent="0.35">
      <c r="A5355" s="34">
        <v>31281911</v>
      </c>
      <c r="B5355" s="35" t="s">
        <v>8471</v>
      </c>
    </row>
    <row r="5356" spans="1:2" x14ac:dyDescent="0.35">
      <c r="A5356" s="34">
        <v>31281912</v>
      </c>
      <c r="B5356" s="35" t="s">
        <v>7547</v>
      </c>
    </row>
    <row r="5357" spans="1:2" x14ac:dyDescent="0.35">
      <c r="A5357" s="34">
        <v>31281913</v>
      </c>
      <c r="B5357" s="35" t="s">
        <v>3079</v>
      </c>
    </row>
    <row r="5358" spans="1:2" x14ac:dyDescent="0.35">
      <c r="A5358" s="34">
        <v>31281914</v>
      </c>
      <c r="B5358" s="35" t="s">
        <v>7640</v>
      </c>
    </row>
    <row r="5359" spans="1:2" x14ac:dyDescent="0.35">
      <c r="A5359" s="34">
        <v>31281915</v>
      </c>
      <c r="B5359" s="35" t="s">
        <v>1975</v>
      </c>
    </row>
    <row r="5360" spans="1:2" x14ac:dyDescent="0.35">
      <c r="A5360" s="34">
        <v>31281916</v>
      </c>
      <c r="B5360" s="35" t="s">
        <v>9709</v>
      </c>
    </row>
    <row r="5361" spans="1:2" x14ac:dyDescent="0.35">
      <c r="A5361" s="34">
        <v>31281917</v>
      </c>
      <c r="B5361" s="35" t="s">
        <v>8549</v>
      </c>
    </row>
    <row r="5362" spans="1:2" x14ac:dyDescent="0.35">
      <c r="A5362" s="34">
        <v>31281918</v>
      </c>
      <c r="B5362" s="35" t="s">
        <v>9311</v>
      </c>
    </row>
    <row r="5363" spans="1:2" x14ac:dyDescent="0.35">
      <c r="A5363" s="34">
        <v>31281919</v>
      </c>
      <c r="B5363" s="35" t="s">
        <v>3626</v>
      </c>
    </row>
    <row r="5364" spans="1:2" x14ac:dyDescent="0.35">
      <c r="A5364" s="34">
        <v>31282001</v>
      </c>
      <c r="B5364" s="35" t="s">
        <v>952</v>
      </c>
    </row>
    <row r="5365" spans="1:2" x14ac:dyDescent="0.35">
      <c r="A5365" s="34">
        <v>31282002</v>
      </c>
      <c r="B5365" s="35" t="s">
        <v>1158</v>
      </c>
    </row>
    <row r="5366" spans="1:2" x14ac:dyDescent="0.35">
      <c r="A5366" s="34">
        <v>31282003</v>
      </c>
      <c r="B5366" s="35" t="s">
        <v>13730</v>
      </c>
    </row>
    <row r="5367" spans="1:2" x14ac:dyDescent="0.35">
      <c r="A5367" s="34">
        <v>31282004</v>
      </c>
      <c r="B5367" s="35" t="s">
        <v>9803</v>
      </c>
    </row>
    <row r="5368" spans="1:2" x14ac:dyDescent="0.35">
      <c r="A5368" s="34">
        <v>31282005</v>
      </c>
      <c r="B5368" s="35" t="s">
        <v>8228</v>
      </c>
    </row>
    <row r="5369" spans="1:2" x14ac:dyDescent="0.35">
      <c r="A5369" s="34">
        <v>31282006</v>
      </c>
      <c r="B5369" s="35" t="s">
        <v>17699</v>
      </c>
    </row>
    <row r="5370" spans="1:2" x14ac:dyDescent="0.35">
      <c r="A5370" s="34">
        <v>31282007</v>
      </c>
      <c r="B5370" s="35" t="s">
        <v>9136</v>
      </c>
    </row>
    <row r="5371" spans="1:2" x14ac:dyDescent="0.35">
      <c r="A5371" s="34">
        <v>31282008</v>
      </c>
      <c r="B5371" s="35" t="s">
        <v>18371</v>
      </c>
    </row>
    <row r="5372" spans="1:2" x14ac:dyDescent="0.35">
      <c r="A5372" s="34">
        <v>31282009</v>
      </c>
      <c r="B5372" s="35" t="s">
        <v>5851</v>
      </c>
    </row>
    <row r="5373" spans="1:2" x14ac:dyDescent="0.35">
      <c r="A5373" s="34">
        <v>31282010</v>
      </c>
      <c r="B5373" s="35" t="s">
        <v>9456</v>
      </c>
    </row>
    <row r="5374" spans="1:2" x14ac:dyDescent="0.35">
      <c r="A5374" s="34">
        <v>31282011</v>
      </c>
      <c r="B5374" s="35" t="s">
        <v>10053</v>
      </c>
    </row>
    <row r="5375" spans="1:2" x14ac:dyDescent="0.35">
      <c r="A5375" s="34">
        <v>31282012</v>
      </c>
      <c r="B5375" s="35" t="s">
        <v>13936</v>
      </c>
    </row>
    <row r="5376" spans="1:2" x14ac:dyDescent="0.35">
      <c r="A5376" s="34">
        <v>31282013</v>
      </c>
      <c r="B5376" s="35" t="s">
        <v>8779</v>
      </c>
    </row>
    <row r="5377" spans="1:2" x14ac:dyDescent="0.35">
      <c r="A5377" s="34">
        <v>31282014</v>
      </c>
      <c r="B5377" s="35" t="s">
        <v>14771</v>
      </c>
    </row>
    <row r="5378" spans="1:2" x14ac:dyDescent="0.35">
      <c r="A5378" s="34">
        <v>31282015</v>
      </c>
      <c r="B5378" s="35" t="s">
        <v>10019</v>
      </c>
    </row>
    <row r="5379" spans="1:2" x14ac:dyDescent="0.35">
      <c r="A5379" s="34">
        <v>31282016</v>
      </c>
      <c r="B5379" s="35" t="s">
        <v>14461</v>
      </c>
    </row>
    <row r="5380" spans="1:2" x14ac:dyDescent="0.35">
      <c r="A5380" s="34">
        <v>31282017</v>
      </c>
      <c r="B5380" s="35" t="s">
        <v>9851</v>
      </c>
    </row>
    <row r="5381" spans="1:2" x14ac:dyDescent="0.35">
      <c r="A5381" s="34">
        <v>31282018</v>
      </c>
      <c r="B5381" s="35" t="s">
        <v>11078</v>
      </c>
    </row>
    <row r="5382" spans="1:2" x14ac:dyDescent="0.35">
      <c r="A5382" s="34">
        <v>31282019</v>
      </c>
      <c r="B5382" s="35" t="s">
        <v>14855</v>
      </c>
    </row>
    <row r="5383" spans="1:2" x14ac:dyDescent="0.35">
      <c r="A5383" s="34">
        <v>31282101</v>
      </c>
      <c r="B5383" s="35" t="s">
        <v>5243</v>
      </c>
    </row>
    <row r="5384" spans="1:2" x14ac:dyDescent="0.35">
      <c r="A5384" s="34">
        <v>31282102</v>
      </c>
      <c r="B5384" s="35" t="s">
        <v>14637</v>
      </c>
    </row>
    <row r="5385" spans="1:2" x14ac:dyDescent="0.35">
      <c r="A5385" s="34">
        <v>31282103</v>
      </c>
      <c r="B5385" s="35" t="s">
        <v>9236</v>
      </c>
    </row>
    <row r="5386" spans="1:2" x14ac:dyDescent="0.35">
      <c r="A5386" s="34">
        <v>31282104</v>
      </c>
      <c r="B5386" s="35" t="s">
        <v>13568</v>
      </c>
    </row>
    <row r="5387" spans="1:2" x14ac:dyDescent="0.35">
      <c r="A5387" s="34">
        <v>31282105</v>
      </c>
      <c r="B5387" s="35" t="s">
        <v>12431</v>
      </c>
    </row>
    <row r="5388" spans="1:2" x14ac:dyDescent="0.35">
      <c r="A5388" s="34">
        <v>31282106</v>
      </c>
      <c r="B5388" s="35" t="s">
        <v>8131</v>
      </c>
    </row>
    <row r="5389" spans="1:2" x14ac:dyDescent="0.35">
      <c r="A5389" s="34">
        <v>31282107</v>
      </c>
      <c r="B5389" s="35" t="s">
        <v>10240</v>
      </c>
    </row>
    <row r="5390" spans="1:2" x14ac:dyDescent="0.35">
      <c r="A5390" s="34">
        <v>31282108</v>
      </c>
      <c r="B5390" s="35" t="s">
        <v>12911</v>
      </c>
    </row>
    <row r="5391" spans="1:2" x14ac:dyDescent="0.35">
      <c r="A5391" s="34">
        <v>31282109</v>
      </c>
      <c r="B5391" s="35" t="s">
        <v>3553</v>
      </c>
    </row>
    <row r="5392" spans="1:2" x14ac:dyDescent="0.35">
      <c r="A5392" s="34">
        <v>31282110</v>
      </c>
      <c r="B5392" s="35" t="s">
        <v>14634</v>
      </c>
    </row>
    <row r="5393" spans="1:2" x14ac:dyDescent="0.35">
      <c r="A5393" s="34">
        <v>31282111</v>
      </c>
      <c r="B5393" s="35" t="s">
        <v>9369</v>
      </c>
    </row>
    <row r="5394" spans="1:2" x14ac:dyDescent="0.35">
      <c r="A5394" s="34">
        <v>31282112</v>
      </c>
      <c r="B5394" s="35" t="s">
        <v>14482</v>
      </c>
    </row>
    <row r="5395" spans="1:2" x14ac:dyDescent="0.35">
      <c r="A5395" s="34">
        <v>31282113</v>
      </c>
      <c r="B5395" s="35" t="s">
        <v>12432</v>
      </c>
    </row>
    <row r="5396" spans="1:2" x14ac:dyDescent="0.35">
      <c r="A5396" s="34">
        <v>31282114</v>
      </c>
      <c r="B5396" s="35" t="s">
        <v>15165</v>
      </c>
    </row>
    <row r="5397" spans="1:2" x14ac:dyDescent="0.35">
      <c r="A5397" s="34">
        <v>31282115</v>
      </c>
      <c r="B5397" s="35" t="s">
        <v>12116</v>
      </c>
    </row>
    <row r="5398" spans="1:2" x14ac:dyDescent="0.35">
      <c r="A5398" s="34">
        <v>31282116</v>
      </c>
      <c r="B5398" s="35" t="s">
        <v>2977</v>
      </c>
    </row>
    <row r="5399" spans="1:2" x14ac:dyDescent="0.35">
      <c r="A5399" s="34">
        <v>31282117</v>
      </c>
      <c r="B5399" s="35" t="s">
        <v>1405</v>
      </c>
    </row>
    <row r="5400" spans="1:2" x14ac:dyDescent="0.35">
      <c r="A5400" s="34">
        <v>31282118</v>
      </c>
      <c r="B5400" s="35" t="s">
        <v>11891</v>
      </c>
    </row>
    <row r="5401" spans="1:2" x14ac:dyDescent="0.35">
      <c r="A5401" s="34">
        <v>31282119</v>
      </c>
      <c r="B5401" s="35" t="s">
        <v>6927</v>
      </c>
    </row>
    <row r="5402" spans="1:2" x14ac:dyDescent="0.35">
      <c r="A5402" s="34">
        <v>31282201</v>
      </c>
      <c r="B5402" s="35" t="s">
        <v>11324</v>
      </c>
    </row>
    <row r="5403" spans="1:2" x14ac:dyDescent="0.35">
      <c r="A5403" s="34">
        <v>31282202</v>
      </c>
      <c r="B5403" s="35" t="s">
        <v>15944</v>
      </c>
    </row>
    <row r="5404" spans="1:2" x14ac:dyDescent="0.35">
      <c r="A5404" s="34">
        <v>31282203</v>
      </c>
      <c r="B5404" s="35" t="s">
        <v>13330</v>
      </c>
    </row>
    <row r="5405" spans="1:2" x14ac:dyDescent="0.35">
      <c r="A5405" s="34">
        <v>31282204</v>
      </c>
      <c r="B5405" s="35" t="s">
        <v>6621</v>
      </c>
    </row>
    <row r="5406" spans="1:2" x14ac:dyDescent="0.35">
      <c r="A5406" s="34">
        <v>31282205</v>
      </c>
      <c r="B5406" s="35" t="s">
        <v>2330</v>
      </c>
    </row>
    <row r="5407" spans="1:2" x14ac:dyDescent="0.35">
      <c r="A5407" s="34">
        <v>31282206</v>
      </c>
      <c r="B5407" s="35" t="s">
        <v>2390</v>
      </c>
    </row>
    <row r="5408" spans="1:2" x14ac:dyDescent="0.35">
      <c r="A5408" s="34">
        <v>31282207</v>
      </c>
      <c r="B5408" s="35" t="s">
        <v>1097</v>
      </c>
    </row>
    <row r="5409" spans="1:2" x14ac:dyDescent="0.35">
      <c r="A5409" s="34">
        <v>31282208</v>
      </c>
      <c r="B5409" s="35" t="s">
        <v>10733</v>
      </c>
    </row>
    <row r="5410" spans="1:2" x14ac:dyDescent="0.35">
      <c r="A5410" s="34">
        <v>31282209</v>
      </c>
      <c r="B5410" s="35" t="s">
        <v>19415</v>
      </c>
    </row>
    <row r="5411" spans="1:2" x14ac:dyDescent="0.35">
      <c r="A5411" s="34">
        <v>31282210</v>
      </c>
      <c r="B5411" s="35" t="s">
        <v>3222</v>
      </c>
    </row>
    <row r="5412" spans="1:2" x14ac:dyDescent="0.35">
      <c r="A5412" s="34">
        <v>31282211</v>
      </c>
      <c r="B5412" s="35" t="s">
        <v>3528</v>
      </c>
    </row>
    <row r="5413" spans="1:2" x14ac:dyDescent="0.35">
      <c r="A5413" s="34">
        <v>31282212</v>
      </c>
      <c r="B5413" s="35" t="s">
        <v>7626</v>
      </c>
    </row>
    <row r="5414" spans="1:2" x14ac:dyDescent="0.35">
      <c r="A5414" s="34">
        <v>31282213</v>
      </c>
      <c r="B5414" s="35" t="s">
        <v>17321</v>
      </c>
    </row>
    <row r="5415" spans="1:2" x14ac:dyDescent="0.35">
      <c r="A5415" s="34">
        <v>31282214</v>
      </c>
      <c r="B5415" s="35" t="s">
        <v>8495</v>
      </c>
    </row>
    <row r="5416" spans="1:2" x14ac:dyDescent="0.35">
      <c r="A5416" s="34">
        <v>31282215</v>
      </c>
      <c r="B5416" s="35" t="s">
        <v>10875</v>
      </c>
    </row>
    <row r="5417" spans="1:2" x14ac:dyDescent="0.35">
      <c r="A5417" s="34">
        <v>31282216</v>
      </c>
      <c r="B5417" s="35" t="s">
        <v>7174</v>
      </c>
    </row>
    <row r="5418" spans="1:2" x14ac:dyDescent="0.35">
      <c r="A5418" s="34">
        <v>31282217</v>
      </c>
      <c r="B5418" s="35" t="s">
        <v>9865</v>
      </c>
    </row>
    <row r="5419" spans="1:2" x14ac:dyDescent="0.35">
      <c r="A5419" s="34">
        <v>31282218</v>
      </c>
      <c r="B5419" s="35" t="s">
        <v>6033</v>
      </c>
    </row>
    <row r="5420" spans="1:2" x14ac:dyDescent="0.35">
      <c r="A5420" s="34">
        <v>31282219</v>
      </c>
      <c r="B5420" s="35" t="s">
        <v>3162</v>
      </c>
    </row>
    <row r="5421" spans="1:2" x14ac:dyDescent="0.35">
      <c r="A5421" s="34">
        <v>31282301</v>
      </c>
      <c r="B5421" s="35" t="s">
        <v>18287</v>
      </c>
    </row>
    <row r="5422" spans="1:2" x14ac:dyDescent="0.35">
      <c r="A5422" s="34">
        <v>31282302</v>
      </c>
      <c r="B5422" s="35" t="s">
        <v>8721</v>
      </c>
    </row>
    <row r="5423" spans="1:2" x14ac:dyDescent="0.35">
      <c r="A5423" s="34">
        <v>31282303</v>
      </c>
      <c r="B5423" s="35" t="s">
        <v>3306</v>
      </c>
    </row>
    <row r="5424" spans="1:2" x14ac:dyDescent="0.35">
      <c r="A5424" s="34">
        <v>31282304</v>
      </c>
      <c r="B5424" s="35" t="s">
        <v>258</v>
      </c>
    </row>
    <row r="5425" spans="1:2" x14ac:dyDescent="0.35">
      <c r="A5425" s="34">
        <v>31282305</v>
      </c>
      <c r="B5425" s="35" t="s">
        <v>6470</v>
      </c>
    </row>
    <row r="5426" spans="1:2" x14ac:dyDescent="0.35">
      <c r="A5426" s="34">
        <v>31282306</v>
      </c>
      <c r="B5426" s="35" t="s">
        <v>14631</v>
      </c>
    </row>
    <row r="5427" spans="1:2" x14ac:dyDescent="0.35">
      <c r="A5427" s="34">
        <v>31282307</v>
      </c>
      <c r="B5427" s="35" t="s">
        <v>15432</v>
      </c>
    </row>
    <row r="5428" spans="1:2" x14ac:dyDescent="0.35">
      <c r="A5428" s="34">
        <v>31282308</v>
      </c>
      <c r="B5428" s="35" t="s">
        <v>9137</v>
      </c>
    </row>
    <row r="5429" spans="1:2" x14ac:dyDescent="0.35">
      <c r="A5429" s="34">
        <v>31282309</v>
      </c>
      <c r="B5429" s="35" t="s">
        <v>10239</v>
      </c>
    </row>
    <row r="5430" spans="1:2" x14ac:dyDescent="0.35">
      <c r="A5430" s="34">
        <v>31282310</v>
      </c>
      <c r="B5430" s="35" t="s">
        <v>13558</v>
      </c>
    </row>
    <row r="5431" spans="1:2" x14ac:dyDescent="0.35">
      <c r="A5431" s="34">
        <v>31282311</v>
      </c>
      <c r="B5431" s="35" t="s">
        <v>4752</v>
      </c>
    </row>
    <row r="5432" spans="1:2" x14ac:dyDescent="0.35">
      <c r="A5432" s="34">
        <v>31282312</v>
      </c>
      <c r="B5432" s="35" t="s">
        <v>8849</v>
      </c>
    </row>
    <row r="5433" spans="1:2" x14ac:dyDescent="0.35">
      <c r="A5433" s="34">
        <v>31282313</v>
      </c>
      <c r="B5433" s="35" t="s">
        <v>9216</v>
      </c>
    </row>
    <row r="5434" spans="1:2" x14ac:dyDescent="0.35">
      <c r="A5434" s="34">
        <v>31282314</v>
      </c>
      <c r="B5434" s="35" t="s">
        <v>14201</v>
      </c>
    </row>
    <row r="5435" spans="1:2" x14ac:dyDescent="0.35">
      <c r="A5435" s="34">
        <v>31282315</v>
      </c>
      <c r="B5435" s="35" t="s">
        <v>17170</v>
      </c>
    </row>
    <row r="5436" spans="1:2" x14ac:dyDescent="0.35">
      <c r="A5436" s="34">
        <v>31282316</v>
      </c>
      <c r="B5436" s="35" t="s">
        <v>5255</v>
      </c>
    </row>
    <row r="5437" spans="1:2" x14ac:dyDescent="0.35">
      <c r="A5437" s="34">
        <v>31282317</v>
      </c>
      <c r="B5437" s="35" t="s">
        <v>14037</v>
      </c>
    </row>
    <row r="5438" spans="1:2" x14ac:dyDescent="0.35">
      <c r="A5438" s="34">
        <v>31282318</v>
      </c>
      <c r="B5438" s="35" t="s">
        <v>11079</v>
      </c>
    </row>
    <row r="5439" spans="1:2" x14ac:dyDescent="0.35">
      <c r="A5439" s="34">
        <v>31282319</v>
      </c>
      <c r="B5439" s="35" t="s">
        <v>9684</v>
      </c>
    </row>
    <row r="5440" spans="1:2" x14ac:dyDescent="0.35">
      <c r="A5440" s="34">
        <v>31282401</v>
      </c>
      <c r="B5440" s="35" t="s">
        <v>14373</v>
      </c>
    </row>
    <row r="5441" spans="1:2" x14ac:dyDescent="0.35">
      <c r="A5441" s="34">
        <v>31282402</v>
      </c>
      <c r="B5441" s="35" t="s">
        <v>10501</v>
      </c>
    </row>
    <row r="5442" spans="1:2" x14ac:dyDescent="0.35">
      <c r="A5442" s="34">
        <v>31282403</v>
      </c>
      <c r="B5442" s="35" t="s">
        <v>16206</v>
      </c>
    </row>
    <row r="5443" spans="1:2" x14ac:dyDescent="0.35">
      <c r="A5443" s="34">
        <v>31282404</v>
      </c>
      <c r="B5443" s="35" t="s">
        <v>6879</v>
      </c>
    </row>
    <row r="5444" spans="1:2" x14ac:dyDescent="0.35">
      <c r="A5444" s="34">
        <v>31282405</v>
      </c>
      <c r="B5444" s="35" t="s">
        <v>14225</v>
      </c>
    </row>
    <row r="5445" spans="1:2" x14ac:dyDescent="0.35">
      <c r="A5445" s="34">
        <v>31282406</v>
      </c>
      <c r="B5445" s="35" t="s">
        <v>11857</v>
      </c>
    </row>
    <row r="5446" spans="1:2" x14ac:dyDescent="0.35">
      <c r="A5446" s="34">
        <v>31282407</v>
      </c>
      <c r="B5446" s="35" t="s">
        <v>15494</v>
      </c>
    </row>
    <row r="5447" spans="1:2" x14ac:dyDescent="0.35">
      <c r="A5447" s="34">
        <v>31282408</v>
      </c>
      <c r="B5447" s="35" t="s">
        <v>5607</v>
      </c>
    </row>
    <row r="5448" spans="1:2" x14ac:dyDescent="0.35">
      <c r="A5448" s="34">
        <v>31282409</v>
      </c>
      <c r="B5448" s="35" t="s">
        <v>2623</v>
      </c>
    </row>
    <row r="5449" spans="1:2" x14ac:dyDescent="0.35">
      <c r="A5449" s="34">
        <v>31282410</v>
      </c>
      <c r="B5449" s="35" t="s">
        <v>12089</v>
      </c>
    </row>
    <row r="5450" spans="1:2" x14ac:dyDescent="0.35">
      <c r="A5450" s="34">
        <v>31282411</v>
      </c>
      <c r="B5450" s="35" t="s">
        <v>16322</v>
      </c>
    </row>
    <row r="5451" spans="1:2" x14ac:dyDescent="0.35">
      <c r="A5451" s="34">
        <v>31282412</v>
      </c>
      <c r="B5451" s="35" t="s">
        <v>2652</v>
      </c>
    </row>
    <row r="5452" spans="1:2" x14ac:dyDescent="0.35">
      <c r="A5452" s="34">
        <v>31282413</v>
      </c>
      <c r="B5452" s="35" t="s">
        <v>12502</v>
      </c>
    </row>
    <row r="5453" spans="1:2" x14ac:dyDescent="0.35">
      <c r="A5453" s="34">
        <v>31282414</v>
      </c>
      <c r="B5453" s="35" t="s">
        <v>7914</v>
      </c>
    </row>
    <row r="5454" spans="1:2" x14ac:dyDescent="0.35">
      <c r="A5454" s="34">
        <v>31282415</v>
      </c>
      <c r="B5454" s="35" t="s">
        <v>3411</v>
      </c>
    </row>
    <row r="5455" spans="1:2" x14ac:dyDescent="0.35">
      <c r="A5455" s="34">
        <v>31282416</v>
      </c>
      <c r="B5455" s="35" t="s">
        <v>4677</v>
      </c>
    </row>
    <row r="5456" spans="1:2" x14ac:dyDescent="0.35">
      <c r="A5456" s="34">
        <v>31282417</v>
      </c>
      <c r="B5456" s="35" t="s">
        <v>5623</v>
      </c>
    </row>
    <row r="5457" spans="1:2" x14ac:dyDescent="0.35">
      <c r="A5457" s="34">
        <v>31282418</v>
      </c>
      <c r="B5457" s="35" t="s">
        <v>19072</v>
      </c>
    </row>
    <row r="5458" spans="1:2" x14ac:dyDescent="0.35">
      <c r="A5458" s="34">
        <v>31282419</v>
      </c>
      <c r="B5458" s="35" t="s">
        <v>4357</v>
      </c>
    </row>
    <row r="5459" spans="1:2" x14ac:dyDescent="0.35">
      <c r="A5459" s="34">
        <v>31291101</v>
      </c>
      <c r="B5459" s="35" t="s">
        <v>4868</v>
      </c>
    </row>
    <row r="5460" spans="1:2" x14ac:dyDescent="0.35">
      <c r="A5460" s="34">
        <v>31291102</v>
      </c>
      <c r="B5460" s="35" t="s">
        <v>19495</v>
      </c>
    </row>
    <row r="5461" spans="1:2" x14ac:dyDescent="0.35">
      <c r="A5461" s="34">
        <v>31291103</v>
      </c>
      <c r="B5461" s="35" t="s">
        <v>898</v>
      </c>
    </row>
    <row r="5462" spans="1:2" x14ac:dyDescent="0.35">
      <c r="A5462" s="34">
        <v>31291104</v>
      </c>
      <c r="B5462" s="35" t="s">
        <v>12857</v>
      </c>
    </row>
    <row r="5463" spans="1:2" x14ac:dyDescent="0.35">
      <c r="A5463" s="34">
        <v>31291105</v>
      </c>
      <c r="B5463" s="35" t="s">
        <v>14367</v>
      </c>
    </row>
    <row r="5464" spans="1:2" x14ac:dyDescent="0.35">
      <c r="A5464" s="34">
        <v>31291106</v>
      </c>
      <c r="B5464" s="35" t="s">
        <v>18862</v>
      </c>
    </row>
    <row r="5465" spans="1:2" x14ac:dyDescent="0.35">
      <c r="A5465" s="34">
        <v>31291107</v>
      </c>
      <c r="B5465" s="35" t="s">
        <v>16416</v>
      </c>
    </row>
    <row r="5466" spans="1:2" x14ac:dyDescent="0.35">
      <c r="A5466" s="34">
        <v>31291108</v>
      </c>
      <c r="B5466" s="35" t="s">
        <v>8780</v>
      </c>
    </row>
    <row r="5467" spans="1:2" x14ac:dyDescent="0.35">
      <c r="A5467" s="34">
        <v>31291109</v>
      </c>
      <c r="B5467" s="35" t="s">
        <v>2485</v>
      </c>
    </row>
    <row r="5468" spans="1:2" x14ac:dyDescent="0.35">
      <c r="A5468" s="34">
        <v>31291110</v>
      </c>
      <c r="B5468" s="35" t="s">
        <v>2096</v>
      </c>
    </row>
    <row r="5469" spans="1:2" x14ac:dyDescent="0.35">
      <c r="A5469" s="34">
        <v>31291111</v>
      </c>
      <c r="B5469" s="35" t="s">
        <v>11631</v>
      </c>
    </row>
    <row r="5470" spans="1:2" x14ac:dyDescent="0.35">
      <c r="A5470" s="34">
        <v>31291112</v>
      </c>
      <c r="B5470" s="35" t="s">
        <v>19372</v>
      </c>
    </row>
    <row r="5471" spans="1:2" x14ac:dyDescent="0.35">
      <c r="A5471" s="34">
        <v>31291113</v>
      </c>
      <c r="B5471" s="35" t="s">
        <v>13133</v>
      </c>
    </row>
    <row r="5472" spans="1:2" x14ac:dyDescent="0.35">
      <c r="A5472" s="34">
        <v>31291114</v>
      </c>
      <c r="B5472" s="35" t="s">
        <v>12785</v>
      </c>
    </row>
    <row r="5473" spans="1:2" x14ac:dyDescent="0.35">
      <c r="A5473" s="34">
        <v>31291115</v>
      </c>
      <c r="B5473" s="35" t="s">
        <v>16423</v>
      </c>
    </row>
    <row r="5474" spans="1:2" x14ac:dyDescent="0.35">
      <c r="A5474" s="34">
        <v>31291116</v>
      </c>
      <c r="B5474" s="35" t="s">
        <v>484</v>
      </c>
    </row>
    <row r="5475" spans="1:2" x14ac:dyDescent="0.35">
      <c r="A5475" s="34">
        <v>31291117</v>
      </c>
      <c r="B5475" s="35" t="s">
        <v>12011</v>
      </c>
    </row>
    <row r="5476" spans="1:2" x14ac:dyDescent="0.35">
      <c r="A5476" s="34">
        <v>31291118</v>
      </c>
      <c r="B5476" s="35" t="s">
        <v>15800</v>
      </c>
    </row>
    <row r="5477" spans="1:2" x14ac:dyDescent="0.35">
      <c r="A5477" s="34">
        <v>31291119</v>
      </c>
      <c r="B5477" s="35" t="s">
        <v>3009</v>
      </c>
    </row>
    <row r="5478" spans="1:2" x14ac:dyDescent="0.35">
      <c r="A5478" s="34">
        <v>31291120</v>
      </c>
      <c r="B5478" s="35" t="s">
        <v>14339</v>
      </c>
    </row>
    <row r="5479" spans="1:2" x14ac:dyDescent="0.35">
      <c r="A5479" s="34">
        <v>31291201</v>
      </c>
      <c r="B5479" s="35" t="s">
        <v>6270</v>
      </c>
    </row>
    <row r="5480" spans="1:2" x14ac:dyDescent="0.35">
      <c r="A5480" s="34">
        <v>31291202</v>
      </c>
      <c r="B5480" s="35" t="s">
        <v>19037</v>
      </c>
    </row>
    <row r="5481" spans="1:2" x14ac:dyDescent="0.35">
      <c r="A5481" s="34">
        <v>31291203</v>
      </c>
      <c r="B5481" s="35" t="s">
        <v>7964</v>
      </c>
    </row>
    <row r="5482" spans="1:2" x14ac:dyDescent="0.35">
      <c r="A5482" s="34">
        <v>31291204</v>
      </c>
      <c r="B5482" s="35" t="s">
        <v>12796</v>
      </c>
    </row>
    <row r="5483" spans="1:2" x14ac:dyDescent="0.35">
      <c r="A5483" s="34">
        <v>31291205</v>
      </c>
      <c r="B5483" s="35" t="s">
        <v>2614</v>
      </c>
    </row>
    <row r="5484" spans="1:2" x14ac:dyDescent="0.35">
      <c r="A5484" s="34">
        <v>31291206</v>
      </c>
      <c r="B5484" s="35" t="s">
        <v>10337</v>
      </c>
    </row>
    <row r="5485" spans="1:2" x14ac:dyDescent="0.35">
      <c r="A5485" s="34">
        <v>31291207</v>
      </c>
      <c r="B5485" s="35" t="s">
        <v>17582</v>
      </c>
    </row>
    <row r="5486" spans="1:2" x14ac:dyDescent="0.35">
      <c r="A5486" s="34">
        <v>31291208</v>
      </c>
      <c r="B5486" s="35" t="s">
        <v>14959</v>
      </c>
    </row>
    <row r="5487" spans="1:2" x14ac:dyDescent="0.35">
      <c r="A5487" s="34">
        <v>31291209</v>
      </c>
      <c r="B5487" s="35" t="s">
        <v>8713</v>
      </c>
    </row>
    <row r="5488" spans="1:2" x14ac:dyDescent="0.35">
      <c r="A5488" s="34">
        <v>31291210</v>
      </c>
      <c r="B5488" s="35" t="s">
        <v>18401</v>
      </c>
    </row>
    <row r="5489" spans="1:2" x14ac:dyDescent="0.35">
      <c r="A5489" s="34">
        <v>31291211</v>
      </c>
      <c r="B5489" s="35" t="s">
        <v>5371</v>
      </c>
    </row>
    <row r="5490" spans="1:2" x14ac:dyDescent="0.35">
      <c r="A5490" s="34">
        <v>31291212</v>
      </c>
      <c r="B5490" s="35" t="s">
        <v>7956</v>
      </c>
    </row>
    <row r="5491" spans="1:2" x14ac:dyDescent="0.35">
      <c r="A5491" s="34">
        <v>31291213</v>
      </c>
      <c r="B5491" s="35" t="s">
        <v>12355</v>
      </c>
    </row>
    <row r="5492" spans="1:2" x14ac:dyDescent="0.35">
      <c r="A5492" s="34">
        <v>31291214</v>
      </c>
      <c r="B5492" s="35" t="s">
        <v>106</v>
      </c>
    </row>
    <row r="5493" spans="1:2" x14ac:dyDescent="0.35">
      <c r="A5493" s="34">
        <v>31291215</v>
      </c>
      <c r="B5493" s="35" t="s">
        <v>10109</v>
      </c>
    </row>
    <row r="5494" spans="1:2" x14ac:dyDescent="0.35">
      <c r="A5494" s="34">
        <v>31291216</v>
      </c>
      <c r="B5494" s="35" t="s">
        <v>4429</v>
      </c>
    </row>
    <row r="5495" spans="1:2" x14ac:dyDescent="0.35">
      <c r="A5495" s="34">
        <v>31291217</v>
      </c>
      <c r="B5495" s="35" t="s">
        <v>6976</v>
      </c>
    </row>
    <row r="5496" spans="1:2" x14ac:dyDescent="0.35">
      <c r="A5496" s="34">
        <v>31291218</v>
      </c>
      <c r="B5496" s="35" t="s">
        <v>15354</v>
      </c>
    </row>
    <row r="5497" spans="1:2" x14ac:dyDescent="0.35">
      <c r="A5497" s="34">
        <v>31291219</v>
      </c>
      <c r="B5497" s="35" t="s">
        <v>13437</v>
      </c>
    </row>
    <row r="5498" spans="1:2" x14ac:dyDescent="0.35">
      <c r="A5498" s="34">
        <v>31291220</v>
      </c>
      <c r="B5498" s="35" t="s">
        <v>4005</v>
      </c>
    </row>
    <row r="5499" spans="1:2" x14ac:dyDescent="0.35">
      <c r="A5499" s="34">
        <v>31291301</v>
      </c>
      <c r="B5499" s="35" t="s">
        <v>16872</v>
      </c>
    </row>
    <row r="5500" spans="1:2" x14ac:dyDescent="0.35">
      <c r="A5500" s="34">
        <v>31291302</v>
      </c>
      <c r="B5500" s="35" t="s">
        <v>11462</v>
      </c>
    </row>
    <row r="5501" spans="1:2" x14ac:dyDescent="0.35">
      <c r="A5501" s="34">
        <v>31291303</v>
      </c>
      <c r="B5501" s="35" t="s">
        <v>6808</v>
      </c>
    </row>
    <row r="5502" spans="1:2" x14ac:dyDescent="0.35">
      <c r="A5502" s="34">
        <v>31291304</v>
      </c>
      <c r="B5502" s="35" t="s">
        <v>17361</v>
      </c>
    </row>
    <row r="5503" spans="1:2" x14ac:dyDescent="0.35">
      <c r="A5503" s="34">
        <v>31291305</v>
      </c>
      <c r="B5503" s="35" t="s">
        <v>2667</v>
      </c>
    </row>
    <row r="5504" spans="1:2" x14ac:dyDescent="0.35">
      <c r="A5504" s="34">
        <v>31291306</v>
      </c>
      <c r="B5504" s="35" t="s">
        <v>5193</v>
      </c>
    </row>
    <row r="5505" spans="1:2" x14ac:dyDescent="0.35">
      <c r="A5505" s="34">
        <v>31291307</v>
      </c>
      <c r="B5505" s="35" t="s">
        <v>13927</v>
      </c>
    </row>
    <row r="5506" spans="1:2" x14ac:dyDescent="0.35">
      <c r="A5506" s="34">
        <v>31291308</v>
      </c>
      <c r="B5506" s="35" t="s">
        <v>19431</v>
      </c>
    </row>
    <row r="5507" spans="1:2" x14ac:dyDescent="0.35">
      <c r="A5507" s="34">
        <v>31291309</v>
      </c>
      <c r="B5507" s="35" t="s">
        <v>2924</v>
      </c>
    </row>
    <row r="5508" spans="1:2" x14ac:dyDescent="0.35">
      <c r="A5508" s="34">
        <v>31291310</v>
      </c>
      <c r="B5508" s="35" t="s">
        <v>7677</v>
      </c>
    </row>
    <row r="5509" spans="1:2" x14ac:dyDescent="0.35">
      <c r="A5509" s="34">
        <v>31291311</v>
      </c>
      <c r="B5509" s="35" t="s">
        <v>5998</v>
      </c>
    </row>
    <row r="5510" spans="1:2" x14ac:dyDescent="0.35">
      <c r="A5510" s="34">
        <v>31291312</v>
      </c>
      <c r="B5510" s="35" t="s">
        <v>10730</v>
      </c>
    </row>
    <row r="5511" spans="1:2" x14ac:dyDescent="0.35">
      <c r="A5511" s="34">
        <v>31291313</v>
      </c>
      <c r="B5511" s="35" t="s">
        <v>4116</v>
      </c>
    </row>
    <row r="5512" spans="1:2" x14ac:dyDescent="0.35">
      <c r="A5512" s="34">
        <v>31291314</v>
      </c>
      <c r="B5512" s="35" t="s">
        <v>17477</v>
      </c>
    </row>
    <row r="5513" spans="1:2" x14ac:dyDescent="0.35">
      <c r="A5513" s="34">
        <v>31291315</v>
      </c>
      <c r="B5513" s="35" t="s">
        <v>10582</v>
      </c>
    </row>
    <row r="5514" spans="1:2" x14ac:dyDescent="0.35">
      <c r="A5514" s="34">
        <v>31291316</v>
      </c>
      <c r="B5514" s="35" t="s">
        <v>5067</v>
      </c>
    </row>
    <row r="5515" spans="1:2" x14ac:dyDescent="0.35">
      <c r="A5515" s="34">
        <v>31291317</v>
      </c>
      <c r="B5515" s="35" t="s">
        <v>17611</v>
      </c>
    </row>
    <row r="5516" spans="1:2" x14ac:dyDescent="0.35">
      <c r="A5516" s="34">
        <v>31291318</v>
      </c>
      <c r="B5516" s="35" t="s">
        <v>15695</v>
      </c>
    </row>
    <row r="5517" spans="1:2" x14ac:dyDescent="0.35">
      <c r="A5517" s="34">
        <v>31291319</v>
      </c>
      <c r="B5517" s="35" t="s">
        <v>4804</v>
      </c>
    </row>
    <row r="5518" spans="1:2" x14ac:dyDescent="0.35">
      <c r="A5518" s="34">
        <v>31291320</v>
      </c>
      <c r="B5518" s="35" t="s">
        <v>1787</v>
      </c>
    </row>
    <row r="5519" spans="1:2" x14ac:dyDescent="0.35">
      <c r="A5519" s="34">
        <v>31291401</v>
      </c>
      <c r="B5519" s="35" t="s">
        <v>10076</v>
      </c>
    </row>
    <row r="5520" spans="1:2" x14ac:dyDescent="0.35">
      <c r="A5520" s="34">
        <v>31291402</v>
      </c>
      <c r="B5520" s="35" t="s">
        <v>15360</v>
      </c>
    </row>
    <row r="5521" spans="1:2" x14ac:dyDescent="0.35">
      <c r="A5521" s="34">
        <v>31291403</v>
      </c>
      <c r="B5521" s="35" t="s">
        <v>9993</v>
      </c>
    </row>
    <row r="5522" spans="1:2" x14ac:dyDescent="0.35">
      <c r="A5522" s="34">
        <v>31291404</v>
      </c>
      <c r="B5522" s="35" t="s">
        <v>3249</v>
      </c>
    </row>
    <row r="5523" spans="1:2" x14ac:dyDescent="0.35">
      <c r="A5523" s="34">
        <v>31291405</v>
      </c>
      <c r="B5523" s="35" t="s">
        <v>8974</v>
      </c>
    </row>
    <row r="5524" spans="1:2" x14ac:dyDescent="0.35">
      <c r="A5524" s="34">
        <v>31291406</v>
      </c>
      <c r="B5524" s="35" t="s">
        <v>617</v>
      </c>
    </row>
    <row r="5525" spans="1:2" x14ac:dyDescent="0.35">
      <c r="A5525" s="34">
        <v>31291407</v>
      </c>
      <c r="B5525" s="35" t="s">
        <v>16337</v>
      </c>
    </row>
    <row r="5526" spans="1:2" x14ac:dyDescent="0.35">
      <c r="A5526" s="34">
        <v>31291408</v>
      </c>
      <c r="B5526" s="35" t="s">
        <v>13642</v>
      </c>
    </row>
    <row r="5527" spans="1:2" x14ac:dyDescent="0.35">
      <c r="A5527" s="34">
        <v>31291409</v>
      </c>
      <c r="B5527" s="35" t="s">
        <v>3333</v>
      </c>
    </row>
    <row r="5528" spans="1:2" x14ac:dyDescent="0.35">
      <c r="A5528" s="34">
        <v>31291410</v>
      </c>
      <c r="B5528" s="35" t="s">
        <v>18770</v>
      </c>
    </row>
    <row r="5529" spans="1:2" x14ac:dyDescent="0.35">
      <c r="A5529" s="34">
        <v>31291411</v>
      </c>
      <c r="B5529" s="35" t="s">
        <v>14377</v>
      </c>
    </row>
    <row r="5530" spans="1:2" x14ac:dyDescent="0.35">
      <c r="A5530" s="34">
        <v>31291412</v>
      </c>
      <c r="B5530" s="35" t="s">
        <v>15425</v>
      </c>
    </row>
    <row r="5531" spans="1:2" x14ac:dyDescent="0.35">
      <c r="A5531" s="34">
        <v>31291413</v>
      </c>
      <c r="B5531" s="35" t="s">
        <v>12480</v>
      </c>
    </row>
    <row r="5532" spans="1:2" x14ac:dyDescent="0.35">
      <c r="A5532" s="34">
        <v>31291414</v>
      </c>
      <c r="B5532" s="35" t="s">
        <v>14982</v>
      </c>
    </row>
    <row r="5533" spans="1:2" x14ac:dyDescent="0.35">
      <c r="A5533" s="34">
        <v>31291415</v>
      </c>
      <c r="B5533" s="35" t="s">
        <v>18208</v>
      </c>
    </row>
    <row r="5534" spans="1:2" x14ac:dyDescent="0.35">
      <c r="A5534" s="34">
        <v>31291416</v>
      </c>
      <c r="B5534" s="35" t="s">
        <v>15439</v>
      </c>
    </row>
    <row r="5535" spans="1:2" x14ac:dyDescent="0.35">
      <c r="A5535" s="34">
        <v>31291417</v>
      </c>
      <c r="B5535" s="35" t="s">
        <v>7200</v>
      </c>
    </row>
    <row r="5536" spans="1:2" x14ac:dyDescent="0.35">
      <c r="A5536" s="34">
        <v>31291418</v>
      </c>
      <c r="B5536" s="35" t="s">
        <v>9958</v>
      </c>
    </row>
    <row r="5537" spans="1:2" x14ac:dyDescent="0.35">
      <c r="A5537" s="34">
        <v>31291419</v>
      </c>
      <c r="B5537" s="35" t="s">
        <v>3493</v>
      </c>
    </row>
    <row r="5538" spans="1:2" x14ac:dyDescent="0.35">
      <c r="A5538" s="34">
        <v>31291420</v>
      </c>
      <c r="B5538" s="35" t="s">
        <v>15027</v>
      </c>
    </row>
    <row r="5539" spans="1:2" x14ac:dyDescent="0.35">
      <c r="A5539" s="34">
        <v>31301101</v>
      </c>
      <c r="B5539" s="35" t="s">
        <v>11265</v>
      </c>
    </row>
    <row r="5540" spans="1:2" x14ac:dyDescent="0.35">
      <c r="A5540" s="34">
        <v>31301102</v>
      </c>
      <c r="B5540" s="35" t="s">
        <v>11100</v>
      </c>
    </row>
    <row r="5541" spans="1:2" x14ac:dyDescent="0.35">
      <c r="A5541" s="34">
        <v>31301103</v>
      </c>
      <c r="B5541" s="35" t="s">
        <v>5714</v>
      </c>
    </row>
    <row r="5542" spans="1:2" x14ac:dyDescent="0.35">
      <c r="A5542" s="34">
        <v>31301104</v>
      </c>
      <c r="B5542" s="35" t="s">
        <v>320</v>
      </c>
    </row>
    <row r="5543" spans="1:2" x14ac:dyDescent="0.35">
      <c r="A5543" s="34">
        <v>31301105</v>
      </c>
      <c r="B5543" s="35" t="s">
        <v>12416</v>
      </c>
    </row>
    <row r="5544" spans="1:2" x14ac:dyDescent="0.35">
      <c r="A5544" s="34">
        <v>31301106</v>
      </c>
      <c r="B5544" s="35" t="s">
        <v>13247</v>
      </c>
    </row>
    <row r="5545" spans="1:2" x14ac:dyDescent="0.35">
      <c r="A5545" s="34">
        <v>31301107</v>
      </c>
      <c r="B5545" s="35" t="s">
        <v>8564</v>
      </c>
    </row>
    <row r="5546" spans="1:2" x14ac:dyDescent="0.35">
      <c r="A5546" s="34">
        <v>31301108</v>
      </c>
      <c r="B5546" s="35" t="s">
        <v>820</v>
      </c>
    </row>
    <row r="5547" spans="1:2" x14ac:dyDescent="0.35">
      <c r="A5547" s="34">
        <v>31301109</v>
      </c>
      <c r="B5547" s="35" t="s">
        <v>10055</v>
      </c>
    </row>
    <row r="5548" spans="1:2" x14ac:dyDescent="0.35">
      <c r="A5548" s="34">
        <v>31301110</v>
      </c>
      <c r="B5548" s="35" t="s">
        <v>7712</v>
      </c>
    </row>
    <row r="5549" spans="1:2" x14ac:dyDescent="0.35">
      <c r="A5549" s="34">
        <v>31301111</v>
      </c>
      <c r="B5549" s="35" t="s">
        <v>10174</v>
      </c>
    </row>
    <row r="5550" spans="1:2" x14ac:dyDescent="0.35">
      <c r="A5550" s="34">
        <v>31301112</v>
      </c>
      <c r="B5550" s="35" t="s">
        <v>6643</v>
      </c>
    </row>
    <row r="5551" spans="1:2" x14ac:dyDescent="0.35">
      <c r="A5551" s="34">
        <v>31301113</v>
      </c>
      <c r="B5551" s="35" t="s">
        <v>4047</v>
      </c>
    </row>
    <row r="5552" spans="1:2" x14ac:dyDescent="0.35">
      <c r="A5552" s="34">
        <v>31301114</v>
      </c>
      <c r="B5552" s="35" t="s">
        <v>926</v>
      </c>
    </row>
    <row r="5553" spans="1:2" x14ac:dyDescent="0.35">
      <c r="A5553" s="34">
        <v>31301115</v>
      </c>
      <c r="B5553" s="35" t="s">
        <v>11071</v>
      </c>
    </row>
    <row r="5554" spans="1:2" x14ac:dyDescent="0.35">
      <c r="A5554" s="34">
        <v>31301116</v>
      </c>
      <c r="B5554" s="35" t="s">
        <v>2329</v>
      </c>
    </row>
    <row r="5555" spans="1:2" x14ac:dyDescent="0.35">
      <c r="A5555" s="34">
        <v>31301117</v>
      </c>
      <c r="B5555" s="35" t="s">
        <v>14442</v>
      </c>
    </row>
    <row r="5556" spans="1:2" x14ac:dyDescent="0.35">
      <c r="A5556" s="34">
        <v>31301118</v>
      </c>
      <c r="B5556" s="35" t="s">
        <v>4655</v>
      </c>
    </row>
    <row r="5557" spans="1:2" x14ac:dyDescent="0.35">
      <c r="A5557" s="34">
        <v>31301119</v>
      </c>
      <c r="B5557" s="35" t="s">
        <v>13894</v>
      </c>
    </row>
    <row r="5558" spans="1:2" x14ac:dyDescent="0.35">
      <c r="A5558" s="34">
        <v>31301201</v>
      </c>
      <c r="B5558" s="35" t="s">
        <v>15929</v>
      </c>
    </row>
    <row r="5559" spans="1:2" x14ac:dyDescent="0.35">
      <c r="A5559" s="34">
        <v>31301202</v>
      </c>
      <c r="B5559" s="35" t="s">
        <v>9429</v>
      </c>
    </row>
    <row r="5560" spans="1:2" x14ac:dyDescent="0.35">
      <c r="A5560" s="34">
        <v>31301203</v>
      </c>
      <c r="B5560" s="35" t="s">
        <v>7852</v>
      </c>
    </row>
    <row r="5561" spans="1:2" x14ac:dyDescent="0.35">
      <c r="A5561" s="34">
        <v>31301204</v>
      </c>
      <c r="B5561" s="35" t="s">
        <v>1747</v>
      </c>
    </row>
    <row r="5562" spans="1:2" x14ac:dyDescent="0.35">
      <c r="A5562" s="34">
        <v>31301205</v>
      </c>
      <c r="B5562" s="35" t="s">
        <v>14077</v>
      </c>
    </row>
    <row r="5563" spans="1:2" x14ac:dyDescent="0.35">
      <c r="A5563" s="34">
        <v>31301206</v>
      </c>
      <c r="B5563" s="35" t="s">
        <v>5073</v>
      </c>
    </row>
    <row r="5564" spans="1:2" x14ac:dyDescent="0.35">
      <c r="A5564" s="34">
        <v>31301207</v>
      </c>
      <c r="B5564" s="35" t="s">
        <v>270</v>
      </c>
    </row>
    <row r="5565" spans="1:2" x14ac:dyDescent="0.35">
      <c r="A5565" s="34">
        <v>31301208</v>
      </c>
      <c r="B5565" s="35" t="s">
        <v>1629</v>
      </c>
    </row>
    <row r="5566" spans="1:2" x14ac:dyDescent="0.35">
      <c r="A5566" s="34">
        <v>31301209</v>
      </c>
      <c r="B5566" s="35" t="s">
        <v>19646</v>
      </c>
    </row>
    <row r="5567" spans="1:2" x14ac:dyDescent="0.35">
      <c r="A5567" s="34">
        <v>31301210</v>
      </c>
      <c r="B5567" s="35" t="s">
        <v>4222</v>
      </c>
    </row>
    <row r="5568" spans="1:2" x14ac:dyDescent="0.35">
      <c r="A5568" s="34">
        <v>31301211</v>
      </c>
      <c r="B5568" s="35" t="s">
        <v>11999</v>
      </c>
    </row>
    <row r="5569" spans="1:2" x14ac:dyDescent="0.35">
      <c r="A5569" s="34">
        <v>31301212</v>
      </c>
      <c r="B5569" s="35" t="s">
        <v>3555</v>
      </c>
    </row>
    <row r="5570" spans="1:2" x14ac:dyDescent="0.35">
      <c r="A5570" s="34">
        <v>31301213</v>
      </c>
      <c r="B5570" s="35" t="s">
        <v>2209</v>
      </c>
    </row>
    <row r="5571" spans="1:2" x14ac:dyDescent="0.35">
      <c r="A5571" s="34">
        <v>31301214</v>
      </c>
      <c r="B5571" s="35" t="s">
        <v>4009</v>
      </c>
    </row>
    <row r="5572" spans="1:2" x14ac:dyDescent="0.35">
      <c r="A5572" s="34">
        <v>31301215</v>
      </c>
      <c r="B5572" s="35" t="s">
        <v>4428</v>
      </c>
    </row>
    <row r="5573" spans="1:2" x14ac:dyDescent="0.35">
      <c r="A5573" s="34">
        <v>31301216</v>
      </c>
      <c r="B5573" s="35" t="s">
        <v>168</v>
      </c>
    </row>
    <row r="5574" spans="1:2" x14ac:dyDescent="0.35">
      <c r="A5574" s="34">
        <v>31301217</v>
      </c>
      <c r="B5574" s="35" t="s">
        <v>9097</v>
      </c>
    </row>
    <row r="5575" spans="1:2" x14ac:dyDescent="0.35">
      <c r="A5575" s="34">
        <v>31301218</v>
      </c>
      <c r="B5575" s="35" t="s">
        <v>2171</v>
      </c>
    </row>
    <row r="5576" spans="1:2" x14ac:dyDescent="0.35">
      <c r="A5576" s="34">
        <v>31301219</v>
      </c>
      <c r="B5576" s="35" t="s">
        <v>2136</v>
      </c>
    </row>
    <row r="5577" spans="1:2" x14ac:dyDescent="0.35">
      <c r="A5577" s="34">
        <v>31301301</v>
      </c>
      <c r="B5577" s="35" t="s">
        <v>1482</v>
      </c>
    </row>
    <row r="5578" spans="1:2" x14ac:dyDescent="0.35">
      <c r="A5578" s="34">
        <v>31301302</v>
      </c>
      <c r="B5578" s="35" t="s">
        <v>1961</v>
      </c>
    </row>
    <row r="5579" spans="1:2" x14ac:dyDescent="0.35">
      <c r="A5579" s="34">
        <v>31301303</v>
      </c>
      <c r="B5579" s="35" t="s">
        <v>10816</v>
      </c>
    </row>
    <row r="5580" spans="1:2" x14ac:dyDescent="0.35">
      <c r="A5580" s="34">
        <v>31301304</v>
      </c>
      <c r="B5580" s="35" t="s">
        <v>17976</v>
      </c>
    </row>
    <row r="5581" spans="1:2" x14ac:dyDescent="0.35">
      <c r="A5581" s="34">
        <v>31301305</v>
      </c>
      <c r="B5581" s="35" t="s">
        <v>1536</v>
      </c>
    </row>
    <row r="5582" spans="1:2" x14ac:dyDescent="0.35">
      <c r="A5582" s="34">
        <v>31301306</v>
      </c>
      <c r="B5582" s="35" t="s">
        <v>15255</v>
      </c>
    </row>
    <row r="5583" spans="1:2" x14ac:dyDescent="0.35">
      <c r="A5583" s="34">
        <v>31301307</v>
      </c>
      <c r="B5583" s="35" t="s">
        <v>9620</v>
      </c>
    </row>
    <row r="5584" spans="1:2" x14ac:dyDescent="0.35">
      <c r="A5584" s="34">
        <v>31301308</v>
      </c>
      <c r="B5584" s="35" t="s">
        <v>19616</v>
      </c>
    </row>
    <row r="5585" spans="1:2" x14ac:dyDescent="0.35">
      <c r="A5585" s="34">
        <v>31301309</v>
      </c>
      <c r="B5585" s="35" t="s">
        <v>10672</v>
      </c>
    </row>
    <row r="5586" spans="1:2" x14ac:dyDescent="0.35">
      <c r="A5586" s="34">
        <v>31301310</v>
      </c>
      <c r="B5586" s="35" t="s">
        <v>14582</v>
      </c>
    </row>
    <row r="5587" spans="1:2" x14ac:dyDescent="0.35">
      <c r="A5587" s="34">
        <v>31301311</v>
      </c>
      <c r="B5587" s="35" t="s">
        <v>18019</v>
      </c>
    </row>
    <row r="5588" spans="1:2" x14ac:dyDescent="0.35">
      <c r="A5588" s="34">
        <v>31301312</v>
      </c>
      <c r="B5588" s="35" t="s">
        <v>19543</v>
      </c>
    </row>
    <row r="5589" spans="1:2" x14ac:dyDescent="0.35">
      <c r="A5589" s="34">
        <v>31301313</v>
      </c>
      <c r="B5589" s="35" t="s">
        <v>10654</v>
      </c>
    </row>
    <row r="5590" spans="1:2" x14ac:dyDescent="0.35">
      <c r="A5590" s="34">
        <v>31301314</v>
      </c>
      <c r="B5590" s="35" t="s">
        <v>1906</v>
      </c>
    </row>
    <row r="5591" spans="1:2" x14ac:dyDescent="0.35">
      <c r="A5591" s="34">
        <v>31301315</v>
      </c>
      <c r="B5591" s="35" t="s">
        <v>11688</v>
      </c>
    </row>
    <row r="5592" spans="1:2" x14ac:dyDescent="0.35">
      <c r="A5592" s="34">
        <v>31301316</v>
      </c>
      <c r="B5592" s="35" t="s">
        <v>729</v>
      </c>
    </row>
    <row r="5593" spans="1:2" x14ac:dyDescent="0.35">
      <c r="A5593" s="34">
        <v>31301317</v>
      </c>
      <c r="B5593" s="35" t="s">
        <v>13417</v>
      </c>
    </row>
    <row r="5594" spans="1:2" x14ac:dyDescent="0.35">
      <c r="A5594" s="34">
        <v>31301318</v>
      </c>
      <c r="B5594" s="35" t="s">
        <v>17948</v>
      </c>
    </row>
    <row r="5595" spans="1:2" x14ac:dyDescent="0.35">
      <c r="A5595" s="34">
        <v>31301319</v>
      </c>
      <c r="B5595" s="35" t="s">
        <v>12588</v>
      </c>
    </row>
    <row r="5596" spans="1:2" x14ac:dyDescent="0.35">
      <c r="A5596" s="34">
        <v>31301401</v>
      </c>
      <c r="B5596" s="35" t="s">
        <v>8917</v>
      </c>
    </row>
    <row r="5597" spans="1:2" x14ac:dyDescent="0.35">
      <c r="A5597" s="34">
        <v>31301402</v>
      </c>
      <c r="B5597" s="35" t="s">
        <v>132</v>
      </c>
    </row>
    <row r="5598" spans="1:2" x14ac:dyDescent="0.35">
      <c r="A5598" s="34">
        <v>31301403</v>
      </c>
      <c r="B5598" s="35" t="s">
        <v>16986</v>
      </c>
    </row>
    <row r="5599" spans="1:2" x14ac:dyDescent="0.35">
      <c r="A5599" s="34">
        <v>31301404</v>
      </c>
      <c r="B5599" s="35" t="s">
        <v>9350</v>
      </c>
    </row>
    <row r="5600" spans="1:2" x14ac:dyDescent="0.35">
      <c r="A5600" s="34">
        <v>31301405</v>
      </c>
      <c r="B5600" s="35" t="s">
        <v>11965</v>
      </c>
    </row>
    <row r="5601" spans="1:2" x14ac:dyDescent="0.35">
      <c r="A5601" s="34">
        <v>31301406</v>
      </c>
      <c r="B5601" s="35" t="s">
        <v>13348</v>
      </c>
    </row>
    <row r="5602" spans="1:2" x14ac:dyDescent="0.35">
      <c r="A5602" s="34">
        <v>31301407</v>
      </c>
      <c r="B5602" s="35" t="s">
        <v>2938</v>
      </c>
    </row>
    <row r="5603" spans="1:2" x14ac:dyDescent="0.35">
      <c r="A5603" s="34">
        <v>31301408</v>
      </c>
      <c r="B5603" s="35" t="s">
        <v>4972</v>
      </c>
    </row>
    <row r="5604" spans="1:2" x14ac:dyDescent="0.35">
      <c r="A5604" s="34">
        <v>31301409</v>
      </c>
      <c r="B5604" s="35" t="s">
        <v>18007</v>
      </c>
    </row>
    <row r="5605" spans="1:2" x14ac:dyDescent="0.35">
      <c r="A5605" s="34">
        <v>31301410</v>
      </c>
      <c r="B5605" s="35" t="s">
        <v>11729</v>
      </c>
    </row>
    <row r="5606" spans="1:2" x14ac:dyDescent="0.35">
      <c r="A5606" s="34">
        <v>31301411</v>
      </c>
      <c r="B5606" s="35" t="s">
        <v>7318</v>
      </c>
    </row>
    <row r="5607" spans="1:2" x14ac:dyDescent="0.35">
      <c r="A5607" s="34">
        <v>31301412</v>
      </c>
      <c r="B5607" s="35" t="s">
        <v>14612</v>
      </c>
    </row>
    <row r="5608" spans="1:2" x14ac:dyDescent="0.35">
      <c r="A5608" s="34">
        <v>31301413</v>
      </c>
      <c r="B5608" s="35" t="s">
        <v>1189</v>
      </c>
    </row>
    <row r="5609" spans="1:2" x14ac:dyDescent="0.35">
      <c r="A5609" s="34">
        <v>31301414</v>
      </c>
      <c r="B5609" s="35" t="s">
        <v>19139</v>
      </c>
    </row>
    <row r="5610" spans="1:2" x14ac:dyDescent="0.35">
      <c r="A5610" s="34">
        <v>31301415</v>
      </c>
      <c r="B5610" s="35" t="s">
        <v>7147</v>
      </c>
    </row>
    <row r="5611" spans="1:2" x14ac:dyDescent="0.35">
      <c r="A5611" s="34">
        <v>31301416</v>
      </c>
      <c r="B5611" s="35" t="s">
        <v>18834</v>
      </c>
    </row>
    <row r="5612" spans="1:2" x14ac:dyDescent="0.35">
      <c r="A5612" s="34">
        <v>31301417</v>
      </c>
      <c r="B5612" s="35" t="s">
        <v>9008</v>
      </c>
    </row>
    <row r="5613" spans="1:2" x14ac:dyDescent="0.35">
      <c r="A5613" s="34">
        <v>31301418</v>
      </c>
      <c r="B5613" s="35" t="s">
        <v>2474</v>
      </c>
    </row>
    <row r="5614" spans="1:2" x14ac:dyDescent="0.35">
      <c r="A5614" s="34">
        <v>31301419</v>
      </c>
      <c r="B5614" s="35" t="s">
        <v>11515</v>
      </c>
    </row>
    <row r="5615" spans="1:2" x14ac:dyDescent="0.35">
      <c r="A5615" s="34">
        <v>31301501</v>
      </c>
      <c r="B5615" s="35" t="s">
        <v>14841</v>
      </c>
    </row>
    <row r="5616" spans="1:2" x14ac:dyDescent="0.35">
      <c r="A5616" s="34">
        <v>31301502</v>
      </c>
      <c r="B5616" s="35" t="s">
        <v>14830</v>
      </c>
    </row>
    <row r="5617" spans="1:2" x14ac:dyDescent="0.35">
      <c r="A5617" s="34">
        <v>31301503</v>
      </c>
      <c r="B5617" s="35" t="s">
        <v>12684</v>
      </c>
    </row>
    <row r="5618" spans="1:2" x14ac:dyDescent="0.35">
      <c r="A5618" s="34">
        <v>31301504</v>
      </c>
      <c r="B5618" s="35" t="s">
        <v>10360</v>
      </c>
    </row>
    <row r="5619" spans="1:2" x14ac:dyDescent="0.35">
      <c r="A5619" s="34">
        <v>31301505</v>
      </c>
      <c r="B5619" s="35" t="s">
        <v>5166</v>
      </c>
    </row>
    <row r="5620" spans="1:2" x14ac:dyDescent="0.35">
      <c r="A5620" s="34">
        <v>31301506</v>
      </c>
      <c r="B5620" s="35" t="s">
        <v>3603</v>
      </c>
    </row>
    <row r="5621" spans="1:2" x14ac:dyDescent="0.35">
      <c r="A5621" s="34">
        <v>31301507</v>
      </c>
      <c r="B5621" s="35" t="s">
        <v>13901</v>
      </c>
    </row>
    <row r="5622" spans="1:2" x14ac:dyDescent="0.35">
      <c r="A5622" s="34">
        <v>31301508</v>
      </c>
      <c r="B5622" s="35" t="s">
        <v>9189</v>
      </c>
    </row>
    <row r="5623" spans="1:2" x14ac:dyDescent="0.35">
      <c r="A5623" s="34">
        <v>31301509</v>
      </c>
      <c r="B5623" s="35" t="s">
        <v>4525</v>
      </c>
    </row>
    <row r="5624" spans="1:2" x14ac:dyDescent="0.35">
      <c r="A5624" s="34">
        <v>31301510</v>
      </c>
      <c r="B5624" s="35" t="s">
        <v>4665</v>
      </c>
    </row>
    <row r="5625" spans="1:2" x14ac:dyDescent="0.35">
      <c r="A5625" s="34">
        <v>31301511</v>
      </c>
      <c r="B5625" s="35" t="s">
        <v>7246</v>
      </c>
    </row>
    <row r="5626" spans="1:2" x14ac:dyDescent="0.35">
      <c r="A5626" s="34">
        <v>31301512</v>
      </c>
      <c r="B5626" s="35" t="s">
        <v>513</v>
      </c>
    </row>
    <row r="5627" spans="1:2" x14ac:dyDescent="0.35">
      <c r="A5627" s="34">
        <v>31301513</v>
      </c>
      <c r="B5627" s="35" t="s">
        <v>10061</v>
      </c>
    </row>
    <row r="5628" spans="1:2" x14ac:dyDescent="0.35">
      <c r="A5628" s="34">
        <v>31301514</v>
      </c>
      <c r="B5628" s="35" t="s">
        <v>3680</v>
      </c>
    </row>
    <row r="5629" spans="1:2" x14ac:dyDescent="0.35">
      <c r="A5629" s="34">
        <v>31301515</v>
      </c>
      <c r="B5629" s="35" t="s">
        <v>13547</v>
      </c>
    </row>
    <row r="5630" spans="1:2" x14ac:dyDescent="0.35">
      <c r="A5630" s="34">
        <v>31301516</v>
      </c>
      <c r="B5630" s="35" t="s">
        <v>16491</v>
      </c>
    </row>
    <row r="5631" spans="1:2" x14ac:dyDescent="0.35">
      <c r="A5631" s="34">
        <v>31301517</v>
      </c>
      <c r="B5631" s="35" t="s">
        <v>1911</v>
      </c>
    </row>
    <row r="5632" spans="1:2" x14ac:dyDescent="0.35">
      <c r="A5632" s="34">
        <v>31301518</v>
      </c>
      <c r="B5632" s="35" t="s">
        <v>16552</v>
      </c>
    </row>
    <row r="5633" spans="1:2" x14ac:dyDescent="0.35">
      <c r="A5633" s="34">
        <v>31301519</v>
      </c>
      <c r="B5633" s="35" t="s">
        <v>9558</v>
      </c>
    </row>
    <row r="5634" spans="1:2" x14ac:dyDescent="0.35">
      <c r="A5634" s="34">
        <v>31311101</v>
      </c>
      <c r="B5634" s="35" t="s">
        <v>247</v>
      </c>
    </row>
    <row r="5635" spans="1:2" x14ac:dyDescent="0.35">
      <c r="A5635" s="34">
        <v>31311102</v>
      </c>
      <c r="B5635" s="35" t="s">
        <v>15933</v>
      </c>
    </row>
    <row r="5636" spans="1:2" x14ac:dyDescent="0.35">
      <c r="A5636" s="34">
        <v>31311103</v>
      </c>
      <c r="B5636" s="35" t="s">
        <v>539</v>
      </c>
    </row>
    <row r="5637" spans="1:2" x14ac:dyDescent="0.35">
      <c r="A5637" s="34">
        <v>31311104</v>
      </c>
      <c r="B5637" s="35" t="s">
        <v>15378</v>
      </c>
    </row>
    <row r="5638" spans="1:2" x14ac:dyDescent="0.35">
      <c r="A5638" s="34">
        <v>31311105</v>
      </c>
      <c r="B5638" s="35" t="s">
        <v>13448</v>
      </c>
    </row>
    <row r="5639" spans="1:2" x14ac:dyDescent="0.35">
      <c r="A5639" s="34">
        <v>31311106</v>
      </c>
      <c r="B5639" s="35" t="s">
        <v>8154</v>
      </c>
    </row>
    <row r="5640" spans="1:2" x14ac:dyDescent="0.35">
      <c r="A5640" s="34">
        <v>31311109</v>
      </c>
      <c r="B5640" s="35" t="s">
        <v>10154</v>
      </c>
    </row>
    <row r="5641" spans="1:2" x14ac:dyDescent="0.35">
      <c r="A5641" s="34">
        <v>31311110</v>
      </c>
      <c r="B5641" s="35" t="s">
        <v>7158</v>
      </c>
    </row>
    <row r="5642" spans="1:2" x14ac:dyDescent="0.35">
      <c r="A5642" s="34">
        <v>31311111</v>
      </c>
      <c r="B5642" s="35" t="s">
        <v>15438</v>
      </c>
    </row>
    <row r="5643" spans="1:2" x14ac:dyDescent="0.35">
      <c r="A5643" s="34">
        <v>31311112</v>
      </c>
      <c r="B5643" s="35" t="s">
        <v>865</v>
      </c>
    </row>
    <row r="5644" spans="1:2" x14ac:dyDescent="0.35">
      <c r="A5644" s="34">
        <v>31311113</v>
      </c>
      <c r="B5644" s="35" t="s">
        <v>18990</v>
      </c>
    </row>
    <row r="5645" spans="1:2" x14ac:dyDescent="0.35">
      <c r="A5645" s="34">
        <v>31311201</v>
      </c>
      <c r="B5645" s="35" t="s">
        <v>8256</v>
      </c>
    </row>
    <row r="5646" spans="1:2" x14ac:dyDescent="0.35">
      <c r="A5646" s="34">
        <v>31311202</v>
      </c>
      <c r="B5646" s="35" t="s">
        <v>11750</v>
      </c>
    </row>
    <row r="5647" spans="1:2" x14ac:dyDescent="0.35">
      <c r="A5647" s="34">
        <v>31311203</v>
      </c>
      <c r="B5647" s="35" t="s">
        <v>11572</v>
      </c>
    </row>
    <row r="5648" spans="1:2" x14ac:dyDescent="0.35">
      <c r="A5648" s="34">
        <v>31311204</v>
      </c>
      <c r="B5648" s="35" t="s">
        <v>17815</v>
      </c>
    </row>
    <row r="5649" spans="1:2" x14ac:dyDescent="0.35">
      <c r="A5649" s="34">
        <v>31311205</v>
      </c>
      <c r="B5649" s="35" t="s">
        <v>16617</v>
      </c>
    </row>
    <row r="5650" spans="1:2" x14ac:dyDescent="0.35">
      <c r="A5650" s="34">
        <v>31311206</v>
      </c>
      <c r="B5650" s="35" t="s">
        <v>10552</v>
      </c>
    </row>
    <row r="5651" spans="1:2" x14ac:dyDescent="0.35">
      <c r="A5651" s="34">
        <v>31311209</v>
      </c>
      <c r="B5651" s="35" t="s">
        <v>10345</v>
      </c>
    </row>
    <row r="5652" spans="1:2" x14ac:dyDescent="0.35">
      <c r="A5652" s="34">
        <v>31311210</v>
      </c>
      <c r="B5652" s="35" t="s">
        <v>2070</v>
      </c>
    </row>
    <row r="5653" spans="1:2" x14ac:dyDescent="0.35">
      <c r="A5653" s="34">
        <v>31311211</v>
      </c>
      <c r="B5653" s="35" t="s">
        <v>13149</v>
      </c>
    </row>
    <row r="5654" spans="1:2" x14ac:dyDescent="0.35">
      <c r="A5654" s="34">
        <v>31311212</v>
      </c>
      <c r="B5654" s="35" t="s">
        <v>11318</v>
      </c>
    </row>
    <row r="5655" spans="1:2" x14ac:dyDescent="0.35">
      <c r="A5655" s="34">
        <v>31311213</v>
      </c>
      <c r="B5655" s="35" t="s">
        <v>6840</v>
      </c>
    </row>
    <row r="5656" spans="1:2" x14ac:dyDescent="0.35">
      <c r="A5656" s="34">
        <v>31311301</v>
      </c>
      <c r="B5656" s="35" t="s">
        <v>12586</v>
      </c>
    </row>
    <row r="5657" spans="1:2" x14ac:dyDescent="0.35">
      <c r="A5657" s="34">
        <v>31311302</v>
      </c>
      <c r="B5657" s="35" t="s">
        <v>18321</v>
      </c>
    </row>
    <row r="5658" spans="1:2" x14ac:dyDescent="0.35">
      <c r="A5658" s="34">
        <v>31311303</v>
      </c>
      <c r="B5658" s="35" t="s">
        <v>10748</v>
      </c>
    </row>
    <row r="5659" spans="1:2" x14ac:dyDescent="0.35">
      <c r="A5659" s="34">
        <v>31311304</v>
      </c>
      <c r="B5659" s="35" t="s">
        <v>1361</v>
      </c>
    </row>
    <row r="5660" spans="1:2" x14ac:dyDescent="0.35">
      <c r="A5660" s="34">
        <v>31311305</v>
      </c>
      <c r="B5660" s="35" t="s">
        <v>4879</v>
      </c>
    </row>
    <row r="5661" spans="1:2" x14ac:dyDescent="0.35">
      <c r="A5661" s="34">
        <v>31311306</v>
      </c>
      <c r="B5661" s="35" t="s">
        <v>658</v>
      </c>
    </row>
    <row r="5662" spans="1:2" x14ac:dyDescent="0.35">
      <c r="A5662" s="34">
        <v>31311309</v>
      </c>
      <c r="B5662" s="35" t="s">
        <v>3280</v>
      </c>
    </row>
    <row r="5663" spans="1:2" x14ac:dyDescent="0.35">
      <c r="A5663" s="34">
        <v>31311310</v>
      </c>
      <c r="B5663" s="35" t="s">
        <v>15622</v>
      </c>
    </row>
    <row r="5664" spans="1:2" x14ac:dyDescent="0.35">
      <c r="A5664" s="34">
        <v>31311311</v>
      </c>
      <c r="B5664" s="35" t="s">
        <v>13169</v>
      </c>
    </row>
    <row r="5665" spans="1:2" x14ac:dyDescent="0.35">
      <c r="A5665" s="34">
        <v>31311312</v>
      </c>
      <c r="B5665" s="35" t="s">
        <v>6732</v>
      </c>
    </row>
    <row r="5666" spans="1:2" x14ac:dyDescent="0.35">
      <c r="A5666" s="34">
        <v>31311313</v>
      </c>
      <c r="B5666" s="35" t="s">
        <v>17118</v>
      </c>
    </row>
    <row r="5667" spans="1:2" x14ac:dyDescent="0.35">
      <c r="A5667" s="34">
        <v>31311401</v>
      </c>
      <c r="B5667" s="35" t="s">
        <v>747</v>
      </c>
    </row>
    <row r="5668" spans="1:2" x14ac:dyDescent="0.35">
      <c r="A5668" s="34">
        <v>31311402</v>
      </c>
      <c r="B5668" s="35" t="s">
        <v>10256</v>
      </c>
    </row>
    <row r="5669" spans="1:2" x14ac:dyDescent="0.35">
      <c r="A5669" s="34">
        <v>31311403</v>
      </c>
      <c r="B5669" s="35" t="s">
        <v>10382</v>
      </c>
    </row>
    <row r="5670" spans="1:2" x14ac:dyDescent="0.35">
      <c r="A5670" s="34">
        <v>31311404</v>
      </c>
      <c r="B5670" s="35" t="s">
        <v>13268</v>
      </c>
    </row>
    <row r="5671" spans="1:2" x14ac:dyDescent="0.35">
      <c r="A5671" s="34">
        <v>31311405</v>
      </c>
      <c r="B5671" s="35" t="s">
        <v>13318</v>
      </c>
    </row>
    <row r="5672" spans="1:2" x14ac:dyDescent="0.35">
      <c r="A5672" s="34">
        <v>31311406</v>
      </c>
      <c r="B5672" s="35" t="s">
        <v>16838</v>
      </c>
    </row>
    <row r="5673" spans="1:2" x14ac:dyDescent="0.35">
      <c r="A5673" s="34">
        <v>31311409</v>
      </c>
      <c r="B5673" s="35" t="s">
        <v>3948</v>
      </c>
    </row>
    <row r="5674" spans="1:2" x14ac:dyDescent="0.35">
      <c r="A5674" s="34">
        <v>31311410</v>
      </c>
      <c r="B5674" s="35" t="s">
        <v>13516</v>
      </c>
    </row>
    <row r="5675" spans="1:2" x14ac:dyDescent="0.35">
      <c r="A5675" s="34">
        <v>31311411</v>
      </c>
      <c r="B5675" s="35" t="s">
        <v>4540</v>
      </c>
    </row>
    <row r="5676" spans="1:2" x14ac:dyDescent="0.35">
      <c r="A5676" s="34">
        <v>31311412</v>
      </c>
      <c r="B5676" s="35" t="s">
        <v>10168</v>
      </c>
    </row>
    <row r="5677" spans="1:2" x14ac:dyDescent="0.35">
      <c r="A5677" s="34">
        <v>31311413</v>
      </c>
      <c r="B5677" s="35" t="s">
        <v>18710</v>
      </c>
    </row>
    <row r="5678" spans="1:2" x14ac:dyDescent="0.35">
      <c r="A5678" s="34">
        <v>31311501</v>
      </c>
      <c r="B5678" s="35" t="s">
        <v>12103</v>
      </c>
    </row>
    <row r="5679" spans="1:2" x14ac:dyDescent="0.35">
      <c r="A5679" s="34">
        <v>31311502</v>
      </c>
      <c r="B5679" s="35" t="s">
        <v>9981</v>
      </c>
    </row>
    <row r="5680" spans="1:2" x14ac:dyDescent="0.35">
      <c r="A5680" s="34">
        <v>31311503</v>
      </c>
      <c r="B5680" s="35" t="s">
        <v>1501</v>
      </c>
    </row>
    <row r="5681" spans="1:2" x14ac:dyDescent="0.35">
      <c r="A5681" s="34">
        <v>31311504</v>
      </c>
      <c r="B5681" s="35" t="s">
        <v>6159</v>
      </c>
    </row>
    <row r="5682" spans="1:2" x14ac:dyDescent="0.35">
      <c r="A5682" s="34">
        <v>31311505</v>
      </c>
      <c r="B5682" s="35" t="s">
        <v>17390</v>
      </c>
    </row>
    <row r="5683" spans="1:2" x14ac:dyDescent="0.35">
      <c r="A5683" s="34">
        <v>31311506</v>
      </c>
      <c r="B5683" s="35" t="s">
        <v>13000</v>
      </c>
    </row>
    <row r="5684" spans="1:2" x14ac:dyDescent="0.35">
      <c r="A5684" s="34">
        <v>31311509</v>
      </c>
      <c r="B5684" s="35" t="s">
        <v>6881</v>
      </c>
    </row>
    <row r="5685" spans="1:2" x14ac:dyDescent="0.35">
      <c r="A5685" s="34">
        <v>31311510</v>
      </c>
      <c r="B5685" s="35" t="s">
        <v>17736</v>
      </c>
    </row>
    <row r="5686" spans="1:2" x14ac:dyDescent="0.35">
      <c r="A5686" s="34">
        <v>31311511</v>
      </c>
      <c r="B5686" s="35" t="s">
        <v>18016</v>
      </c>
    </row>
    <row r="5687" spans="1:2" x14ac:dyDescent="0.35">
      <c r="A5687" s="34">
        <v>31311512</v>
      </c>
      <c r="B5687" s="35" t="s">
        <v>11419</v>
      </c>
    </row>
    <row r="5688" spans="1:2" x14ac:dyDescent="0.35">
      <c r="A5688" s="34">
        <v>31311513</v>
      </c>
      <c r="B5688" s="35" t="s">
        <v>5213</v>
      </c>
    </row>
    <row r="5689" spans="1:2" x14ac:dyDescent="0.35">
      <c r="A5689" s="34">
        <v>31311601</v>
      </c>
      <c r="B5689" s="35" t="s">
        <v>14104</v>
      </c>
    </row>
    <row r="5690" spans="1:2" x14ac:dyDescent="0.35">
      <c r="A5690" s="34">
        <v>31311602</v>
      </c>
      <c r="B5690" s="35" t="s">
        <v>9263</v>
      </c>
    </row>
    <row r="5691" spans="1:2" x14ac:dyDescent="0.35">
      <c r="A5691" s="34">
        <v>31311603</v>
      </c>
      <c r="B5691" s="35" t="s">
        <v>13830</v>
      </c>
    </row>
    <row r="5692" spans="1:2" x14ac:dyDescent="0.35">
      <c r="A5692" s="34">
        <v>31311604</v>
      </c>
      <c r="B5692" s="35" t="s">
        <v>2567</v>
      </c>
    </row>
    <row r="5693" spans="1:2" x14ac:dyDescent="0.35">
      <c r="A5693" s="34">
        <v>31311605</v>
      </c>
      <c r="B5693" s="35" t="s">
        <v>14414</v>
      </c>
    </row>
    <row r="5694" spans="1:2" x14ac:dyDescent="0.35">
      <c r="A5694" s="34">
        <v>31311606</v>
      </c>
      <c r="B5694" s="35" t="s">
        <v>16420</v>
      </c>
    </row>
    <row r="5695" spans="1:2" x14ac:dyDescent="0.35">
      <c r="A5695" s="34">
        <v>31311609</v>
      </c>
      <c r="B5695" s="35" t="s">
        <v>7706</v>
      </c>
    </row>
    <row r="5696" spans="1:2" x14ac:dyDescent="0.35">
      <c r="A5696" s="34">
        <v>31311610</v>
      </c>
      <c r="B5696" s="35" t="s">
        <v>16185</v>
      </c>
    </row>
    <row r="5697" spans="1:2" x14ac:dyDescent="0.35">
      <c r="A5697" s="34">
        <v>31311611</v>
      </c>
      <c r="B5697" s="35" t="s">
        <v>10533</v>
      </c>
    </row>
    <row r="5698" spans="1:2" x14ac:dyDescent="0.35">
      <c r="A5698" s="34">
        <v>31311612</v>
      </c>
      <c r="B5698" s="35" t="s">
        <v>16262</v>
      </c>
    </row>
    <row r="5699" spans="1:2" x14ac:dyDescent="0.35">
      <c r="A5699" s="34">
        <v>31311613</v>
      </c>
      <c r="B5699" s="35" t="s">
        <v>12178</v>
      </c>
    </row>
    <row r="5700" spans="1:2" x14ac:dyDescent="0.35">
      <c r="A5700" s="34">
        <v>31311701</v>
      </c>
      <c r="B5700" s="35" t="s">
        <v>13146</v>
      </c>
    </row>
    <row r="5701" spans="1:2" x14ac:dyDescent="0.35">
      <c r="A5701" s="34">
        <v>31311702</v>
      </c>
      <c r="B5701" s="35" t="s">
        <v>16023</v>
      </c>
    </row>
    <row r="5702" spans="1:2" x14ac:dyDescent="0.35">
      <c r="A5702" s="34">
        <v>31311703</v>
      </c>
      <c r="B5702" s="35" t="s">
        <v>9856</v>
      </c>
    </row>
    <row r="5703" spans="1:2" x14ac:dyDescent="0.35">
      <c r="A5703" s="34">
        <v>31311704</v>
      </c>
      <c r="B5703" s="35" t="s">
        <v>6794</v>
      </c>
    </row>
    <row r="5704" spans="1:2" x14ac:dyDescent="0.35">
      <c r="A5704" s="34">
        <v>31311705</v>
      </c>
      <c r="B5704" s="35" t="s">
        <v>18859</v>
      </c>
    </row>
    <row r="5705" spans="1:2" x14ac:dyDescent="0.35">
      <c r="A5705" s="34">
        <v>31311706</v>
      </c>
      <c r="B5705" s="35" t="s">
        <v>6264</v>
      </c>
    </row>
    <row r="5706" spans="1:2" x14ac:dyDescent="0.35">
      <c r="A5706" s="34">
        <v>31311709</v>
      </c>
      <c r="B5706" s="35" t="s">
        <v>14187</v>
      </c>
    </row>
    <row r="5707" spans="1:2" x14ac:dyDescent="0.35">
      <c r="A5707" s="34">
        <v>31311710</v>
      </c>
      <c r="B5707" s="35" t="s">
        <v>6677</v>
      </c>
    </row>
    <row r="5708" spans="1:2" x14ac:dyDescent="0.35">
      <c r="A5708" s="34">
        <v>31311711</v>
      </c>
      <c r="B5708" s="35" t="s">
        <v>6382</v>
      </c>
    </row>
    <row r="5709" spans="1:2" x14ac:dyDescent="0.35">
      <c r="A5709" s="34">
        <v>31311712</v>
      </c>
      <c r="B5709" s="35" t="s">
        <v>5801</v>
      </c>
    </row>
    <row r="5710" spans="1:2" x14ac:dyDescent="0.35">
      <c r="A5710" s="34">
        <v>31311713</v>
      </c>
      <c r="B5710" s="35" t="s">
        <v>2780</v>
      </c>
    </row>
    <row r="5711" spans="1:2" x14ac:dyDescent="0.35">
      <c r="A5711" s="34">
        <v>31321101</v>
      </c>
      <c r="B5711" s="35" t="s">
        <v>9715</v>
      </c>
    </row>
    <row r="5712" spans="1:2" x14ac:dyDescent="0.35">
      <c r="A5712" s="34">
        <v>31321102</v>
      </c>
      <c r="B5712" s="35" t="s">
        <v>10641</v>
      </c>
    </row>
    <row r="5713" spans="1:2" x14ac:dyDescent="0.35">
      <c r="A5713" s="34">
        <v>31321103</v>
      </c>
      <c r="B5713" s="35" t="s">
        <v>7946</v>
      </c>
    </row>
    <row r="5714" spans="1:2" x14ac:dyDescent="0.35">
      <c r="A5714" s="34">
        <v>31321104</v>
      </c>
      <c r="B5714" s="35" t="s">
        <v>7122</v>
      </c>
    </row>
    <row r="5715" spans="1:2" x14ac:dyDescent="0.35">
      <c r="A5715" s="34">
        <v>31321105</v>
      </c>
      <c r="B5715" s="35" t="s">
        <v>14956</v>
      </c>
    </row>
    <row r="5716" spans="1:2" x14ac:dyDescent="0.35">
      <c r="A5716" s="34">
        <v>31321106</v>
      </c>
      <c r="B5716" s="35" t="s">
        <v>11450</v>
      </c>
    </row>
    <row r="5717" spans="1:2" x14ac:dyDescent="0.35">
      <c r="A5717" s="34">
        <v>31321109</v>
      </c>
      <c r="B5717" s="35" t="s">
        <v>18954</v>
      </c>
    </row>
    <row r="5718" spans="1:2" x14ac:dyDescent="0.35">
      <c r="A5718" s="34">
        <v>31321110</v>
      </c>
      <c r="B5718" s="35" t="s">
        <v>11471</v>
      </c>
    </row>
    <row r="5719" spans="1:2" x14ac:dyDescent="0.35">
      <c r="A5719" s="34">
        <v>31321111</v>
      </c>
      <c r="B5719" s="35" t="s">
        <v>10783</v>
      </c>
    </row>
    <row r="5720" spans="1:2" x14ac:dyDescent="0.35">
      <c r="A5720" s="34">
        <v>31321112</v>
      </c>
      <c r="B5720" s="35" t="s">
        <v>9967</v>
      </c>
    </row>
    <row r="5721" spans="1:2" x14ac:dyDescent="0.35">
      <c r="A5721" s="34">
        <v>31321113</v>
      </c>
      <c r="B5721" s="35" t="s">
        <v>14344</v>
      </c>
    </row>
    <row r="5722" spans="1:2" x14ac:dyDescent="0.35">
      <c r="A5722" s="34">
        <v>31321201</v>
      </c>
      <c r="B5722" s="35" t="s">
        <v>1954</v>
      </c>
    </row>
    <row r="5723" spans="1:2" x14ac:dyDescent="0.35">
      <c r="A5723" s="34">
        <v>31321202</v>
      </c>
      <c r="B5723" s="35" t="s">
        <v>4668</v>
      </c>
    </row>
    <row r="5724" spans="1:2" x14ac:dyDescent="0.35">
      <c r="A5724" s="34">
        <v>31321203</v>
      </c>
      <c r="B5724" s="35" t="s">
        <v>10575</v>
      </c>
    </row>
    <row r="5725" spans="1:2" x14ac:dyDescent="0.35">
      <c r="A5725" s="34">
        <v>31321204</v>
      </c>
      <c r="B5725" s="35" t="s">
        <v>6035</v>
      </c>
    </row>
    <row r="5726" spans="1:2" x14ac:dyDescent="0.35">
      <c r="A5726" s="34">
        <v>31321205</v>
      </c>
      <c r="B5726" s="35" t="s">
        <v>18032</v>
      </c>
    </row>
    <row r="5727" spans="1:2" x14ac:dyDescent="0.35">
      <c r="A5727" s="34">
        <v>31321206</v>
      </c>
      <c r="B5727" s="35" t="s">
        <v>18375</v>
      </c>
    </row>
    <row r="5728" spans="1:2" x14ac:dyDescent="0.35">
      <c r="A5728" s="34">
        <v>31321209</v>
      </c>
      <c r="B5728" s="35" t="s">
        <v>4633</v>
      </c>
    </row>
    <row r="5729" spans="1:2" x14ac:dyDescent="0.35">
      <c r="A5729" s="34">
        <v>31321210</v>
      </c>
      <c r="B5729" s="35" t="s">
        <v>15834</v>
      </c>
    </row>
    <row r="5730" spans="1:2" x14ac:dyDescent="0.35">
      <c r="A5730" s="34">
        <v>31321211</v>
      </c>
      <c r="B5730" s="35" t="s">
        <v>8642</v>
      </c>
    </row>
    <row r="5731" spans="1:2" x14ac:dyDescent="0.35">
      <c r="A5731" s="34">
        <v>31321212</v>
      </c>
      <c r="B5731" s="35" t="s">
        <v>7410</v>
      </c>
    </row>
    <row r="5732" spans="1:2" x14ac:dyDescent="0.35">
      <c r="A5732" s="34">
        <v>31321213</v>
      </c>
      <c r="B5732" s="35" t="s">
        <v>3842</v>
      </c>
    </row>
    <row r="5733" spans="1:2" x14ac:dyDescent="0.35">
      <c r="A5733" s="34">
        <v>31321301</v>
      </c>
      <c r="B5733" s="35" t="s">
        <v>4034</v>
      </c>
    </row>
    <row r="5734" spans="1:2" x14ac:dyDescent="0.35">
      <c r="A5734" s="34">
        <v>31321302</v>
      </c>
      <c r="B5734" s="35" t="s">
        <v>16839</v>
      </c>
    </row>
    <row r="5735" spans="1:2" x14ac:dyDescent="0.35">
      <c r="A5735" s="34">
        <v>31321303</v>
      </c>
      <c r="B5735" s="35" t="s">
        <v>2391</v>
      </c>
    </row>
    <row r="5736" spans="1:2" x14ac:dyDescent="0.35">
      <c r="A5736" s="34">
        <v>31321304</v>
      </c>
      <c r="B5736" s="35" t="s">
        <v>16976</v>
      </c>
    </row>
    <row r="5737" spans="1:2" x14ac:dyDescent="0.35">
      <c r="A5737" s="34">
        <v>31321305</v>
      </c>
      <c r="B5737" s="35" t="s">
        <v>5239</v>
      </c>
    </row>
    <row r="5738" spans="1:2" x14ac:dyDescent="0.35">
      <c r="A5738" s="34">
        <v>31321306</v>
      </c>
      <c r="B5738" s="35" t="s">
        <v>5283</v>
      </c>
    </row>
    <row r="5739" spans="1:2" x14ac:dyDescent="0.35">
      <c r="A5739" s="34">
        <v>31321309</v>
      </c>
      <c r="B5739" s="35" t="s">
        <v>18330</v>
      </c>
    </row>
    <row r="5740" spans="1:2" x14ac:dyDescent="0.35">
      <c r="A5740" s="34">
        <v>31321310</v>
      </c>
      <c r="B5740" s="35" t="s">
        <v>4757</v>
      </c>
    </row>
    <row r="5741" spans="1:2" x14ac:dyDescent="0.35">
      <c r="A5741" s="34">
        <v>31321311</v>
      </c>
      <c r="B5741" s="35" t="s">
        <v>12826</v>
      </c>
    </row>
    <row r="5742" spans="1:2" x14ac:dyDescent="0.35">
      <c r="A5742" s="34">
        <v>31321312</v>
      </c>
      <c r="B5742" s="35" t="s">
        <v>8656</v>
      </c>
    </row>
    <row r="5743" spans="1:2" x14ac:dyDescent="0.35">
      <c r="A5743" s="34">
        <v>31321313</v>
      </c>
      <c r="B5743" s="35" t="s">
        <v>7713</v>
      </c>
    </row>
    <row r="5744" spans="1:2" x14ac:dyDescent="0.35">
      <c r="A5744" s="34">
        <v>31321401</v>
      </c>
      <c r="B5744" s="35" t="s">
        <v>13839</v>
      </c>
    </row>
    <row r="5745" spans="1:2" x14ac:dyDescent="0.35">
      <c r="A5745" s="34">
        <v>31321402</v>
      </c>
      <c r="B5745" s="35" t="s">
        <v>2824</v>
      </c>
    </row>
    <row r="5746" spans="1:2" x14ac:dyDescent="0.35">
      <c r="A5746" s="34">
        <v>31321403</v>
      </c>
      <c r="B5746" s="35" t="s">
        <v>1936</v>
      </c>
    </row>
    <row r="5747" spans="1:2" x14ac:dyDescent="0.35">
      <c r="A5747" s="34">
        <v>31321404</v>
      </c>
      <c r="B5747" s="35" t="s">
        <v>11015</v>
      </c>
    </row>
    <row r="5748" spans="1:2" x14ac:dyDescent="0.35">
      <c r="A5748" s="34">
        <v>31321405</v>
      </c>
      <c r="B5748" s="35" t="s">
        <v>11542</v>
      </c>
    </row>
    <row r="5749" spans="1:2" x14ac:dyDescent="0.35">
      <c r="A5749" s="34">
        <v>31321406</v>
      </c>
      <c r="B5749" s="35" t="s">
        <v>12724</v>
      </c>
    </row>
    <row r="5750" spans="1:2" x14ac:dyDescent="0.35">
      <c r="A5750" s="34">
        <v>31321409</v>
      </c>
      <c r="B5750" s="35" t="s">
        <v>5247</v>
      </c>
    </row>
    <row r="5751" spans="1:2" x14ac:dyDescent="0.35">
      <c r="A5751" s="34">
        <v>31321410</v>
      </c>
      <c r="B5751" s="35" t="s">
        <v>8447</v>
      </c>
    </row>
    <row r="5752" spans="1:2" x14ac:dyDescent="0.35">
      <c r="A5752" s="34">
        <v>31321411</v>
      </c>
      <c r="B5752" s="35" t="s">
        <v>6825</v>
      </c>
    </row>
    <row r="5753" spans="1:2" x14ac:dyDescent="0.35">
      <c r="A5753" s="34">
        <v>31321412</v>
      </c>
      <c r="B5753" s="35" t="s">
        <v>13109</v>
      </c>
    </row>
    <row r="5754" spans="1:2" x14ac:dyDescent="0.35">
      <c r="A5754" s="34">
        <v>31321413</v>
      </c>
      <c r="B5754" s="35" t="s">
        <v>9721</v>
      </c>
    </row>
    <row r="5755" spans="1:2" x14ac:dyDescent="0.35">
      <c r="A5755" s="34">
        <v>31321501</v>
      </c>
      <c r="B5755" s="35" t="s">
        <v>2427</v>
      </c>
    </row>
    <row r="5756" spans="1:2" x14ac:dyDescent="0.35">
      <c r="A5756" s="34">
        <v>31321502</v>
      </c>
      <c r="B5756" s="35" t="s">
        <v>10169</v>
      </c>
    </row>
    <row r="5757" spans="1:2" x14ac:dyDescent="0.35">
      <c r="A5757" s="34">
        <v>31321503</v>
      </c>
      <c r="B5757" s="35" t="s">
        <v>2359</v>
      </c>
    </row>
    <row r="5758" spans="1:2" x14ac:dyDescent="0.35">
      <c r="A5758" s="34">
        <v>31321504</v>
      </c>
      <c r="B5758" s="35" t="s">
        <v>4079</v>
      </c>
    </row>
    <row r="5759" spans="1:2" x14ac:dyDescent="0.35">
      <c r="A5759" s="34">
        <v>31321505</v>
      </c>
      <c r="B5759" s="35" t="s">
        <v>8813</v>
      </c>
    </row>
    <row r="5760" spans="1:2" x14ac:dyDescent="0.35">
      <c r="A5760" s="34">
        <v>31321506</v>
      </c>
      <c r="B5760" s="35" t="s">
        <v>8957</v>
      </c>
    </row>
    <row r="5761" spans="1:2" x14ac:dyDescent="0.35">
      <c r="A5761" s="34">
        <v>31321509</v>
      </c>
      <c r="B5761" s="35" t="s">
        <v>17997</v>
      </c>
    </row>
    <row r="5762" spans="1:2" x14ac:dyDescent="0.35">
      <c r="A5762" s="34">
        <v>31321510</v>
      </c>
      <c r="B5762" s="35" t="s">
        <v>8988</v>
      </c>
    </row>
    <row r="5763" spans="1:2" x14ac:dyDescent="0.35">
      <c r="A5763" s="34">
        <v>31321511</v>
      </c>
      <c r="B5763" s="35" t="s">
        <v>652</v>
      </c>
    </row>
    <row r="5764" spans="1:2" x14ac:dyDescent="0.35">
      <c r="A5764" s="34">
        <v>31321512</v>
      </c>
      <c r="B5764" s="35" t="s">
        <v>17386</v>
      </c>
    </row>
    <row r="5765" spans="1:2" x14ac:dyDescent="0.35">
      <c r="A5765" s="34">
        <v>31321513</v>
      </c>
      <c r="B5765" s="35" t="s">
        <v>10402</v>
      </c>
    </row>
    <row r="5766" spans="1:2" x14ac:dyDescent="0.35">
      <c r="A5766" s="34">
        <v>31321601</v>
      </c>
      <c r="B5766" s="35" t="s">
        <v>5466</v>
      </c>
    </row>
    <row r="5767" spans="1:2" x14ac:dyDescent="0.35">
      <c r="A5767" s="34">
        <v>31321602</v>
      </c>
      <c r="B5767" s="35" t="s">
        <v>4234</v>
      </c>
    </row>
    <row r="5768" spans="1:2" x14ac:dyDescent="0.35">
      <c r="A5768" s="34">
        <v>31321603</v>
      </c>
      <c r="B5768" s="35" t="s">
        <v>16825</v>
      </c>
    </row>
    <row r="5769" spans="1:2" x14ac:dyDescent="0.35">
      <c r="A5769" s="34">
        <v>31321604</v>
      </c>
      <c r="B5769" s="35" t="s">
        <v>18475</v>
      </c>
    </row>
    <row r="5770" spans="1:2" x14ac:dyDescent="0.35">
      <c r="A5770" s="34">
        <v>31321605</v>
      </c>
      <c r="B5770" s="35" t="s">
        <v>9149</v>
      </c>
    </row>
    <row r="5771" spans="1:2" x14ac:dyDescent="0.35">
      <c r="A5771" s="34">
        <v>31321606</v>
      </c>
      <c r="B5771" s="35" t="s">
        <v>18996</v>
      </c>
    </row>
    <row r="5772" spans="1:2" x14ac:dyDescent="0.35">
      <c r="A5772" s="34">
        <v>31321609</v>
      </c>
      <c r="B5772" s="35" t="s">
        <v>1964</v>
      </c>
    </row>
    <row r="5773" spans="1:2" x14ac:dyDescent="0.35">
      <c r="A5773" s="34">
        <v>31321610</v>
      </c>
      <c r="B5773" s="35" t="s">
        <v>12981</v>
      </c>
    </row>
    <row r="5774" spans="1:2" x14ac:dyDescent="0.35">
      <c r="A5774" s="34">
        <v>31321611</v>
      </c>
      <c r="B5774" s="35" t="s">
        <v>4371</v>
      </c>
    </row>
    <row r="5775" spans="1:2" x14ac:dyDescent="0.35">
      <c r="A5775" s="34">
        <v>31321612</v>
      </c>
      <c r="B5775" s="35" t="s">
        <v>15435</v>
      </c>
    </row>
    <row r="5776" spans="1:2" x14ac:dyDescent="0.35">
      <c r="A5776" s="34">
        <v>31321613</v>
      </c>
      <c r="B5776" s="35" t="s">
        <v>11014</v>
      </c>
    </row>
    <row r="5777" spans="1:2" x14ac:dyDescent="0.35">
      <c r="A5777" s="34">
        <v>31321701</v>
      </c>
      <c r="B5777" s="35" t="s">
        <v>8472</v>
      </c>
    </row>
    <row r="5778" spans="1:2" x14ac:dyDescent="0.35">
      <c r="A5778" s="34">
        <v>31321702</v>
      </c>
      <c r="B5778" s="35" t="s">
        <v>18429</v>
      </c>
    </row>
    <row r="5779" spans="1:2" x14ac:dyDescent="0.35">
      <c r="A5779" s="34">
        <v>31321703</v>
      </c>
      <c r="B5779" s="35" t="s">
        <v>5852</v>
      </c>
    </row>
    <row r="5780" spans="1:2" x14ac:dyDescent="0.35">
      <c r="A5780" s="34">
        <v>31321704</v>
      </c>
      <c r="B5780" s="35" t="s">
        <v>11951</v>
      </c>
    </row>
    <row r="5781" spans="1:2" x14ac:dyDescent="0.35">
      <c r="A5781" s="34">
        <v>31321705</v>
      </c>
      <c r="B5781" s="35" t="s">
        <v>12726</v>
      </c>
    </row>
    <row r="5782" spans="1:2" x14ac:dyDescent="0.35">
      <c r="A5782" s="34">
        <v>31321706</v>
      </c>
      <c r="B5782" s="35" t="s">
        <v>13436</v>
      </c>
    </row>
    <row r="5783" spans="1:2" x14ac:dyDescent="0.35">
      <c r="A5783" s="34">
        <v>31321709</v>
      </c>
      <c r="B5783" s="35" t="s">
        <v>7215</v>
      </c>
    </row>
    <row r="5784" spans="1:2" x14ac:dyDescent="0.35">
      <c r="A5784" s="34">
        <v>31321710</v>
      </c>
      <c r="B5784" s="35" t="s">
        <v>8141</v>
      </c>
    </row>
    <row r="5785" spans="1:2" x14ac:dyDescent="0.35">
      <c r="A5785" s="34">
        <v>31321711</v>
      </c>
      <c r="B5785" s="35" t="s">
        <v>19586</v>
      </c>
    </row>
    <row r="5786" spans="1:2" x14ac:dyDescent="0.35">
      <c r="A5786" s="34">
        <v>31321712</v>
      </c>
      <c r="B5786" s="35" t="s">
        <v>1771</v>
      </c>
    </row>
    <row r="5787" spans="1:2" x14ac:dyDescent="0.35">
      <c r="A5787" s="34">
        <v>31321713</v>
      </c>
      <c r="B5787" s="35" t="s">
        <v>7587</v>
      </c>
    </row>
    <row r="5788" spans="1:2" x14ac:dyDescent="0.35">
      <c r="A5788" s="34">
        <v>31331101</v>
      </c>
      <c r="B5788" s="35" t="s">
        <v>2198</v>
      </c>
    </row>
    <row r="5789" spans="1:2" x14ac:dyDescent="0.35">
      <c r="A5789" s="34">
        <v>31331102</v>
      </c>
      <c r="B5789" s="35" t="s">
        <v>6418</v>
      </c>
    </row>
    <row r="5790" spans="1:2" x14ac:dyDescent="0.35">
      <c r="A5790" s="34">
        <v>31331103</v>
      </c>
      <c r="B5790" s="35" t="s">
        <v>14366</v>
      </c>
    </row>
    <row r="5791" spans="1:2" x14ac:dyDescent="0.35">
      <c r="A5791" s="34">
        <v>31331104</v>
      </c>
      <c r="B5791" s="35" t="s">
        <v>14483</v>
      </c>
    </row>
    <row r="5792" spans="1:2" x14ac:dyDescent="0.35">
      <c r="A5792" s="34">
        <v>31331105</v>
      </c>
      <c r="B5792" s="35" t="s">
        <v>12425</v>
      </c>
    </row>
    <row r="5793" spans="1:2" x14ac:dyDescent="0.35">
      <c r="A5793" s="34">
        <v>31331106</v>
      </c>
      <c r="B5793" s="35" t="s">
        <v>4340</v>
      </c>
    </row>
    <row r="5794" spans="1:2" x14ac:dyDescent="0.35">
      <c r="A5794" s="34">
        <v>31331109</v>
      </c>
      <c r="B5794" s="35" t="s">
        <v>9281</v>
      </c>
    </row>
    <row r="5795" spans="1:2" x14ac:dyDescent="0.35">
      <c r="A5795" s="34">
        <v>31331110</v>
      </c>
      <c r="B5795" s="35" t="s">
        <v>15375</v>
      </c>
    </row>
    <row r="5796" spans="1:2" x14ac:dyDescent="0.35">
      <c r="A5796" s="34">
        <v>31331111</v>
      </c>
      <c r="B5796" s="35" t="s">
        <v>2973</v>
      </c>
    </row>
    <row r="5797" spans="1:2" x14ac:dyDescent="0.35">
      <c r="A5797" s="34">
        <v>31331112</v>
      </c>
      <c r="B5797" s="35" t="s">
        <v>7874</v>
      </c>
    </row>
    <row r="5798" spans="1:2" x14ac:dyDescent="0.35">
      <c r="A5798" s="34">
        <v>31331113</v>
      </c>
      <c r="B5798" s="35" t="s">
        <v>4454</v>
      </c>
    </row>
    <row r="5799" spans="1:2" x14ac:dyDescent="0.35">
      <c r="A5799" s="34">
        <v>31331201</v>
      </c>
      <c r="B5799" s="35" t="s">
        <v>9799</v>
      </c>
    </row>
    <row r="5800" spans="1:2" x14ac:dyDescent="0.35">
      <c r="A5800" s="34">
        <v>31331202</v>
      </c>
      <c r="B5800" s="35" t="s">
        <v>9533</v>
      </c>
    </row>
    <row r="5801" spans="1:2" x14ac:dyDescent="0.35">
      <c r="A5801" s="34">
        <v>31331203</v>
      </c>
      <c r="B5801" s="35" t="s">
        <v>10547</v>
      </c>
    </row>
    <row r="5802" spans="1:2" x14ac:dyDescent="0.35">
      <c r="A5802" s="34">
        <v>31331204</v>
      </c>
      <c r="B5802" s="35" t="s">
        <v>4605</v>
      </c>
    </row>
    <row r="5803" spans="1:2" x14ac:dyDescent="0.35">
      <c r="A5803" s="34">
        <v>31331205</v>
      </c>
      <c r="B5803" s="35" t="s">
        <v>12813</v>
      </c>
    </row>
    <row r="5804" spans="1:2" x14ac:dyDescent="0.35">
      <c r="A5804" s="34">
        <v>31331206</v>
      </c>
      <c r="B5804" s="35" t="s">
        <v>11358</v>
      </c>
    </row>
    <row r="5805" spans="1:2" x14ac:dyDescent="0.35">
      <c r="A5805" s="34">
        <v>31331209</v>
      </c>
      <c r="B5805" s="35" t="s">
        <v>12317</v>
      </c>
    </row>
    <row r="5806" spans="1:2" x14ac:dyDescent="0.35">
      <c r="A5806" s="34">
        <v>31331210</v>
      </c>
      <c r="B5806" s="35" t="s">
        <v>16294</v>
      </c>
    </row>
    <row r="5807" spans="1:2" x14ac:dyDescent="0.35">
      <c r="A5807" s="34">
        <v>31331211</v>
      </c>
      <c r="B5807" s="35" t="s">
        <v>17985</v>
      </c>
    </row>
    <row r="5808" spans="1:2" x14ac:dyDescent="0.35">
      <c r="A5808" s="34">
        <v>31331212</v>
      </c>
      <c r="B5808" s="35" t="s">
        <v>17241</v>
      </c>
    </row>
    <row r="5809" spans="1:2" x14ac:dyDescent="0.35">
      <c r="A5809" s="34">
        <v>31331213</v>
      </c>
      <c r="B5809" s="35" t="s">
        <v>518</v>
      </c>
    </row>
    <row r="5810" spans="1:2" x14ac:dyDescent="0.35">
      <c r="A5810" s="34">
        <v>31331301</v>
      </c>
      <c r="B5810" s="35" t="s">
        <v>15868</v>
      </c>
    </row>
    <row r="5811" spans="1:2" x14ac:dyDescent="0.35">
      <c r="A5811" s="34">
        <v>31331302</v>
      </c>
      <c r="B5811" s="35" t="s">
        <v>10917</v>
      </c>
    </row>
    <row r="5812" spans="1:2" x14ac:dyDescent="0.35">
      <c r="A5812" s="34">
        <v>31331303</v>
      </c>
      <c r="B5812" s="35" t="s">
        <v>15545</v>
      </c>
    </row>
    <row r="5813" spans="1:2" x14ac:dyDescent="0.35">
      <c r="A5813" s="34">
        <v>31331304</v>
      </c>
      <c r="B5813" s="35" t="s">
        <v>12331</v>
      </c>
    </row>
    <row r="5814" spans="1:2" x14ac:dyDescent="0.35">
      <c r="A5814" s="34">
        <v>31331305</v>
      </c>
      <c r="B5814" s="35" t="s">
        <v>2747</v>
      </c>
    </row>
    <row r="5815" spans="1:2" x14ac:dyDescent="0.35">
      <c r="A5815" s="34">
        <v>31331306</v>
      </c>
      <c r="B5815" s="35" t="s">
        <v>18581</v>
      </c>
    </row>
    <row r="5816" spans="1:2" x14ac:dyDescent="0.35">
      <c r="A5816" s="34">
        <v>31331309</v>
      </c>
      <c r="B5816" s="35" t="s">
        <v>1215</v>
      </c>
    </row>
    <row r="5817" spans="1:2" x14ac:dyDescent="0.35">
      <c r="A5817" s="34">
        <v>31331310</v>
      </c>
      <c r="B5817" s="35" t="s">
        <v>19504</v>
      </c>
    </row>
    <row r="5818" spans="1:2" x14ac:dyDescent="0.35">
      <c r="A5818" s="34">
        <v>31331311</v>
      </c>
      <c r="B5818" s="35" t="s">
        <v>13808</v>
      </c>
    </row>
    <row r="5819" spans="1:2" x14ac:dyDescent="0.35">
      <c r="A5819" s="34">
        <v>31331312</v>
      </c>
      <c r="B5819" s="35" t="s">
        <v>2519</v>
      </c>
    </row>
    <row r="5820" spans="1:2" x14ac:dyDescent="0.35">
      <c r="A5820" s="34">
        <v>31331313</v>
      </c>
      <c r="B5820" s="35" t="s">
        <v>19629</v>
      </c>
    </row>
    <row r="5821" spans="1:2" x14ac:dyDescent="0.35">
      <c r="A5821" s="34">
        <v>31331401</v>
      </c>
      <c r="B5821" s="35" t="s">
        <v>12922</v>
      </c>
    </row>
    <row r="5822" spans="1:2" x14ac:dyDescent="0.35">
      <c r="A5822" s="34">
        <v>31331402</v>
      </c>
      <c r="B5822" s="35" t="s">
        <v>11835</v>
      </c>
    </row>
    <row r="5823" spans="1:2" x14ac:dyDescent="0.35">
      <c r="A5823" s="34">
        <v>31331403</v>
      </c>
      <c r="B5823" s="35" t="s">
        <v>11862</v>
      </c>
    </row>
    <row r="5824" spans="1:2" x14ac:dyDescent="0.35">
      <c r="A5824" s="34">
        <v>31331404</v>
      </c>
      <c r="B5824" s="35" t="s">
        <v>19639</v>
      </c>
    </row>
    <row r="5825" spans="1:2" x14ac:dyDescent="0.35">
      <c r="A5825" s="34">
        <v>31331405</v>
      </c>
      <c r="B5825" s="35" t="s">
        <v>2818</v>
      </c>
    </row>
    <row r="5826" spans="1:2" x14ac:dyDescent="0.35">
      <c r="A5826" s="34">
        <v>31331406</v>
      </c>
      <c r="B5826" s="35" t="s">
        <v>10301</v>
      </c>
    </row>
    <row r="5827" spans="1:2" x14ac:dyDescent="0.35">
      <c r="A5827" s="34">
        <v>31331409</v>
      </c>
      <c r="B5827" s="35" t="s">
        <v>12790</v>
      </c>
    </row>
    <row r="5828" spans="1:2" x14ac:dyDescent="0.35">
      <c r="A5828" s="34">
        <v>31331410</v>
      </c>
      <c r="B5828" s="35" t="s">
        <v>7235</v>
      </c>
    </row>
    <row r="5829" spans="1:2" x14ac:dyDescent="0.35">
      <c r="A5829" s="34">
        <v>31331411</v>
      </c>
      <c r="B5829" s="35" t="s">
        <v>16634</v>
      </c>
    </row>
    <row r="5830" spans="1:2" x14ac:dyDescent="0.35">
      <c r="A5830" s="34">
        <v>31331412</v>
      </c>
      <c r="B5830" s="35" t="s">
        <v>12030</v>
      </c>
    </row>
    <row r="5831" spans="1:2" x14ac:dyDescent="0.35">
      <c r="A5831" s="34">
        <v>31331413</v>
      </c>
      <c r="B5831" s="35" t="s">
        <v>3829</v>
      </c>
    </row>
    <row r="5832" spans="1:2" x14ac:dyDescent="0.35">
      <c r="A5832" s="34">
        <v>31331501</v>
      </c>
      <c r="B5832" s="35" t="s">
        <v>1847</v>
      </c>
    </row>
    <row r="5833" spans="1:2" x14ac:dyDescent="0.35">
      <c r="A5833" s="34">
        <v>31331502</v>
      </c>
      <c r="B5833" s="35" t="s">
        <v>14686</v>
      </c>
    </row>
    <row r="5834" spans="1:2" x14ac:dyDescent="0.35">
      <c r="A5834" s="34">
        <v>31331503</v>
      </c>
      <c r="B5834" s="35" t="s">
        <v>8089</v>
      </c>
    </row>
    <row r="5835" spans="1:2" x14ac:dyDescent="0.35">
      <c r="A5835" s="34">
        <v>31331504</v>
      </c>
      <c r="B5835" s="35" t="s">
        <v>18383</v>
      </c>
    </row>
    <row r="5836" spans="1:2" x14ac:dyDescent="0.35">
      <c r="A5836" s="34">
        <v>31331505</v>
      </c>
      <c r="B5836" s="35" t="s">
        <v>8188</v>
      </c>
    </row>
    <row r="5837" spans="1:2" x14ac:dyDescent="0.35">
      <c r="A5837" s="34">
        <v>31331506</v>
      </c>
      <c r="B5837" s="35" t="s">
        <v>7186</v>
      </c>
    </row>
    <row r="5838" spans="1:2" x14ac:dyDescent="0.35">
      <c r="A5838" s="34">
        <v>31331509</v>
      </c>
      <c r="B5838" s="35" t="s">
        <v>3758</v>
      </c>
    </row>
    <row r="5839" spans="1:2" x14ac:dyDescent="0.35">
      <c r="A5839" s="34">
        <v>31331510</v>
      </c>
      <c r="B5839" s="35" t="s">
        <v>4691</v>
      </c>
    </row>
    <row r="5840" spans="1:2" x14ac:dyDescent="0.35">
      <c r="A5840" s="34">
        <v>31331511</v>
      </c>
      <c r="B5840" s="35" t="s">
        <v>15832</v>
      </c>
    </row>
    <row r="5841" spans="1:2" x14ac:dyDescent="0.35">
      <c r="A5841" s="34">
        <v>31331512</v>
      </c>
      <c r="B5841" s="35" t="s">
        <v>18089</v>
      </c>
    </row>
    <row r="5842" spans="1:2" x14ac:dyDescent="0.35">
      <c r="A5842" s="34">
        <v>31331513</v>
      </c>
      <c r="B5842" s="35" t="s">
        <v>6472</v>
      </c>
    </row>
    <row r="5843" spans="1:2" x14ac:dyDescent="0.35">
      <c r="A5843" s="34">
        <v>31331601</v>
      </c>
      <c r="B5843" s="35" t="s">
        <v>2322</v>
      </c>
    </row>
    <row r="5844" spans="1:2" x14ac:dyDescent="0.35">
      <c r="A5844" s="34">
        <v>31331602</v>
      </c>
      <c r="B5844" s="35" t="s">
        <v>8448</v>
      </c>
    </row>
    <row r="5845" spans="1:2" x14ac:dyDescent="0.35">
      <c r="A5845" s="34">
        <v>31331603</v>
      </c>
      <c r="B5845" s="35" t="s">
        <v>13778</v>
      </c>
    </row>
    <row r="5846" spans="1:2" x14ac:dyDescent="0.35">
      <c r="A5846" s="34">
        <v>31331604</v>
      </c>
      <c r="B5846" s="35" t="s">
        <v>937</v>
      </c>
    </row>
    <row r="5847" spans="1:2" x14ac:dyDescent="0.35">
      <c r="A5847" s="34">
        <v>31331605</v>
      </c>
      <c r="B5847" s="35" t="s">
        <v>13031</v>
      </c>
    </row>
    <row r="5848" spans="1:2" x14ac:dyDescent="0.35">
      <c r="A5848" s="34">
        <v>31331606</v>
      </c>
      <c r="B5848" s="35" t="s">
        <v>9550</v>
      </c>
    </row>
    <row r="5849" spans="1:2" x14ac:dyDescent="0.35">
      <c r="A5849" s="34">
        <v>31331609</v>
      </c>
      <c r="B5849" s="35" t="s">
        <v>14712</v>
      </c>
    </row>
    <row r="5850" spans="1:2" x14ac:dyDescent="0.35">
      <c r="A5850" s="34">
        <v>31331610</v>
      </c>
      <c r="B5850" s="35" t="s">
        <v>7936</v>
      </c>
    </row>
    <row r="5851" spans="1:2" x14ac:dyDescent="0.35">
      <c r="A5851" s="34">
        <v>31331611</v>
      </c>
      <c r="B5851" s="35" t="s">
        <v>12120</v>
      </c>
    </row>
    <row r="5852" spans="1:2" x14ac:dyDescent="0.35">
      <c r="A5852" s="34">
        <v>31331612</v>
      </c>
      <c r="B5852" s="35" t="s">
        <v>14081</v>
      </c>
    </row>
    <row r="5853" spans="1:2" x14ac:dyDescent="0.35">
      <c r="A5853" s="34">
        <v>31331613</v>
      </c>
      <c r="B5853" s="35" t="s">
        <v>19156</v>
      </c>
    </row>
    <row r="5854" spans="1:2" x14ac:dyDescent="0.35">
      <c r="A5854" s="34">
        <v>31331701</v>
      </c>
      <c r="B5854" s="35" t="s">
        <v>15573</v>
      </c>
    </row>
    <row r="5855" spans="1:2" x14ac:dyDescent="0.35">
      <c r="A5855" s="34">
        <v>31331702</v>
      </c>
      <c r="B5855" s="35" t="s">
        <v>1477</v>
      </c>
    </row>
    <row r="5856" spans="1:2" x14ac:dyDescent="0.35">
      <c r="A5856" s="34">
        <v>31331703</v>
      </c>
      <c r="B5856" s="35" t="s">
        <v>16849</v>
      </c>
    </row>
    <row r="5857" spans="1:2" x14ac:dyDescent="0.35">
      <c r="A5857" s="34">
        <v>31331704</v>
      </c>
      <c r="B5857" s="35" t="s">
        <v>18435</v>
      </c>
    </row>
    <row r="5858" spans="1:2" x14ac:dyDescent="0.35">
      <c r="A5858" s="34">
        <v>31331705</v>
      </c>
      <c r="B5858" s="35" t="s">
        <v>19123</v>
      </c>
    </row>
    <row r="5859" spans="1:2" x14ac:dyDescent="0.35">
      <c r="A5859" s="34">
        <v>31331706</v>
      </c>
      <c r="B5859" s="35" t="s">
        <v>17710</v>
      </c>
    </row>
    <row r="5860" spans="1:2" x14ac:dyDescent="0.35">
      <c r="A5860" s="34">
        <v>31331709</v>
      </c>
      <c r="B5860" s="35" t="s">
        <v>9758</v>
      </c>
    </row>
    <row r="5861" spans="1:2" x14ac:dyDescent="0.35">
      <c r="A5861" s="34">
        <v>31331710</v>
      </c>
      <c r="B5861" s="35" t="s">
        <v>5674</v>
      </c>
    </row>
    <row r="5862" spans="1:2" x14ac:dyDescent="0.35">
      <c r="A5862" s="34">
        <v>31331711</v>
      </c>
      <c r="B5862" s="35" t="s">
        <v>2558</v>
      </c>
    </row>
    <row r="5863" spans="1:2" x14ac:dyDescent="0.35">
      <c r="A5863" s="34">
        <v>31331712</v>
      </c>
      <c r="B5863" s="35" t="s">
        <v>11646</v>
      </c>
    </row>
    <row r="5864" spans="1:2" x14ac:dyDescent="0.35">
      <c r="A5864" s="34">
        <v>31331713</v>
      </c>
      <c r="B5864" s="35" t="s">
        <v>13070</v>
      </c>
    </row>
    <row r="5865" spans="1:2" x14ac:dyDescent="0.35">
      <c r="A5865" s="34">
        <v>31341101</v>
      </c>
      <c r="B5865" s="35" t="s">
        <v>18120</v>
      </c>
    </row>
    <row r="5866" spans="1:2" x14ac:dyDescent="0.35">
      <c r="A5866" s="34">
        <v>31341102</v>
      </c>
      <c r="B5866" s="35" t="s">
        <v>3531</v>
      </c>
    </row>
    <row r="5867" spans="1:2" x14ac:dyDescent="0.35">
      <c r="A5867" s="34">
        <v>31341103</v>
      </c>
      <c r="B5867" s="35" t="s">
        <v>1505</v>
      </c>
    </row>
    <row r="5868" spans="1:2" x14ac:dyDescent="0.35">
      <c r="A5868" s="34">
        <v>31341104</v>
      </c>
      <c r="B5868" s="35" t="s">
        <v>1542</v>
      </c>
    </row>
    <row r="5869" spans="1:2" x14ac:dyDescent="0.35">
      <c r="A5869" s="34">
        <v>31341105</v>
      </c>
      <c r="B5869" s="35" t="s">
        <v>1857</v>
      </c>
    </row>
    <row r="5870" spans="1:2" x14ac:dyDescent="0.35">
      <c r="A5870" s="34">
        <v>31341106</v>
      </c>
      <c r="B5870" s="35" t="s">
        <v>11245</v>
      </c>
    </row>
    <row r="5871" spans="1:2" x14ac:dyDescent="0.35">
      <c r="A5871" s="34">
        <v>31341109</v>
      </c>
      <c r="B5871" s="35" t="s">
        <v>6284</v>
      </c>
    </row>
    <row r="5872" spans="1:2" x14ac:dyDescent="0.35">
      <c r="A5872" s="34">
        <v>31341110</v>
      </c>
      <c r="B5872" s="35" t="s">
        <v>18815</v>
      </c>
    </row>
    <row r="5873" spans="1:2" x14ac:dyDescent="0.35">
      <c r="A5873" s="34">
        <v>31341111</v>
      </c>
      <c r="B5873" s="35" t="s">
        <v>4347</v>
      </c>
    </row>
    <row r="5874" spans="1:2" x14ac:dyDescent="0.35">
      <c r="A5874" s="34">
        <v>31341112</v>
      </c>
      <c r="B5874" s="35" t="s">
        <v>5058</v>
      </c>
    </row>
    <row r="5875" spans="1:2" x14ac:dyDescent="0.35">
      <c r="A5875" s="34">
        <v>31341113</v>
      </c>
      <c r="B5875" s="35" t="s">
        <v>13483</v>
      </c>
    </row>
    <row r="5876" spans="1:2" x14ac:dyDescent="0.35">
      <c r="A5876" s="34">
        <v>31341201</v>
      </c>
      <c r="B5876" s="35" t="s">
        <v>8528</v>
      </c>
    </row>
    <row r="5877" spans="1:2" x14ac:dyDescent="0.35">
      <c r="A5877" s="34">
        <v>31341202</v>
      </c>
      <c r="B5877" s="35" t="s">
        <v>1914</v>
      </c>
    </row>
    <row r="5878" spans="1:2" x14ac:dyDescent="0.35">
      <c r="A5878" s="34">
        <v>31341203</v>
      </c>
      <c r="B5878" s="35" t="s">
        <v>13284</v>
      </c>
    </row>
    <row r="5879" spans="1:2" x14ac:dyDescent="0.35">
      <c r="A5879" s="34">
        <v>31341204</v>
      </c>
      <c r="B5879" s="35" t="s">
        <v>9161</v>
      </c>
    </row>
    <row r="5880" spans="1:2" x14ac:dyDescent="0.35">
      <c r="A5880" s="34">
        <v>31341205</v>
      </c>
      <c r="B5880" s="35" t="s">
        <v>9470</v>
      </c>
    </row>
    <row r="5881" spans="1:2" x14ac:dyDescent="0.35">
      <c r="A5881" s="34">
        <v>31341206</v>
      </c>
      <c r="B5881" s="35" t="s">
        <v>7395</v>
      </c>
    </row>
    <row r="5882" spans="1:2" x14ac:dyDescent="0.35">
      <c r="A5882" s="34">
        <v>31341209</v>
      </c>
      <c r="B5882" s="35" t="s">
        <v>15176</v>
      </c>
    </row>
    <row r="5883" spans="1:2" x14ac:dyDescent="0.35">
      <c r="A5883" s="34">
        <v>31341210</v>
      </c>
      <c r="B5883" s="35" t="s">
        <v>15637</v>
      </c>
    </row>
    <row r="5884" spans="1:2" x14ac:dyDescent="0.35">
      <c r="A5884" s="34">
        <v>31341211</v>
      </c>
      <c r="B5884" s="35" t="s">
        <v>2246</v>
      </c>
    </row>
    <row r="5885" spans="1:2" x14ac:dyDescent="0.35">
      <c r="A5885" s="34">
        <v>31341212</v>
      </c>
      <c r="B5885" s="35" t="s">
        <v>5840</v>
      </c>
    </row>
    <row r="5886" spans="1:2" x14ac:dyDescent="0.35">
      <c r="A5886" s="34">
        <v>31341213</v>
      </c>
      <c r="B5886" s="35" t="s">
        <v>3740</v>
      </c>
    </row>
    <row r="5887" spans="1:2" x14ac:dyDescent="0.35">
      <c r="A5887" s="34">
        <v>31341301</v>
      </c>
      <c r="B5887" s="35" t="s">
        <v>13577</v>
      </c>
    </row>
    <row r="5888" spans="1:2" x14ac:dyDescent="0.35">
      <c r="A5888" s="34">
        <v>31341302</v>
      </c>
      <c r="B5888" s="35" t="s">
        <v>17874</v>
      </c>
    </row>
    <row r="5889" spans="1:2" x14ac:dyDescent="0.35">
      <c r="A5889" s="34">
        <v>31341303</v>
      </c>
      <c r="B5889" s="35" t="s">
        <v>11929</v>
      </c>
    </row>
    <row r="5890" spans="1:2" x14ac:dyDescent="0.35">
      <c r="A5890" s="34">
        <v>31341304</v>
      </c>
      <c r="B5890" s="35" t="s">
        <v>427</v>
      </c>
    </row>
    <row r="5891" spans="1:2" x14ac:dyDescent="0.35">
      <c r="A5891" s="34">
        <v>31341305</v>
      </c>
      <c r="B5891" s="35" t="s">
        <v>12054</v>
      </c>
    </row>
    <row r="5892" spans="1:2" x14ac:dyDescent="0.35">
      <c r="A5892" s="34">
        <v>31341306</v>
      </c>
      <c r="B5892" s="35" t="s">
        <v>15941</v>
      </c>
    </row>
    <row r="5893" spans="1:2" x14ac:dyDescent="0.35">
      <c r="A5893" s="34">
        <v>31341309</v>
      </c>
      <c r="B5893" s="35" t="s">
        <v>8454</v>
      </c>
    </row>
    <row r="5894" spans="1:2" x14ac:dyDescent="0.35">
      <c r="A5894" s="34">
        <v>31341310</v>
      </c>
      <c r="B5894" s="35" t="s">
        <v>16395</v>
      </c>
    </row>
    <row r="5895" spans="1:2" x14ac:dyDescent="0.35">
      <c r="A5895" s="34">
        <v>31341311</v>
      </c>
      <c r="B5895" s="35" t="s">
        <v>7335</v>
      </c>
    </row>
    <row r="5896" spans="1:2" x14ac:dyDescent="0.35">
      <c r="A5896" s="34">
        <v>31341312</v>
      </c>
      <c r="B5896" s="35" t="s">
        <v>7810</v>
      </c>
    </row>
    <row r="5897" spans="1:2" x14ac:dyDescent="0.35">
      <c r="A5897" s="34">
        <v>31341313</v>
      </c>
      <c r="B5897" s="35" t="s">
        <v>8175</v>
      </c>
    </row>
    <row r="5898" spans="1:2" x14ac:dyDescent="0.35">
      <c r="A5898" s="34">
        <v>31341401</v>
      </c>
      <c r="B5898" s="35" t="s">
        <v>13933</v>
      </c>
    </row>
    <row r="5899" spans="1:2" x14ac:dyDescent="0.35">
      <c r="A5899" s="34">
        <v>31341402</v>
      </c>
      <c r="B5899" s="35" t="s">
        <v>11269</v>
      </c>
    </row>
    <row r="5900" spans="1:2" x14ac:dyDescent="0.35">
      <c r="A5900" s="34">
        <v>31341403</v>
      </c>
      <c r="B5900" s="35" t="s">
        <v>16430</v>
      </c>
    </row>
    <row r="5901" spans="1:2" x14ac:dyDescent="0.35">
      <c r="A5901" s="34">
        <v>31341404</v>
      </c>
      <c r="B5901" s="35" t="s">
        <v>12205</v>
      </c>
    </row>
    <row r="5902" spans="1:2" x14ac:dyDescent="0.35">
      <c r="A5902" s="34">
        <v>31341405</v>
      </c>
      <c r="B5902" s="35" t="s">
        <v>11031</v>
      </c>
    </row>
    <row r="5903" spans="1:2" x14ac:dyDescent="0.35">
      <c r="A5903" s="34">
        <v>31341406</v>
      </c>
      <c r="B5903" s="35" t="s">
        <v>11106</v>
      </c>
    </row>
    <row r="5904" spans="1:2" x14ac:dyDescent="0.35">
      <c r="A5904" s="34">
        <v>31341409</v>
      </c>
      <c r="B5904" s="35" t="s">
        <v>13870</v>
      </c>
    </row>
    <row r="5905" spans="1:2" x14ac:dyDescent="0.35">
      <c r="A5905" s="34">
        <v>31341410</v>
      </c>
      <c r="B5905" s="35" t="s">
        <v>10108</v>
      </c>
    </row>
    <row r="5906" spans="1:2" x14ac:dyDescent="0.35">
      <c r="A5906" s="34">
        <v>31341411</v>
      </c>
      <c r="B5906" s="35" t="s">
        <v>7974</v>
      </c>
    </row>
    <row r="5907" spans="1:2" x14ac:dyDescent="0.35">
      <c r="A5907" s="34">
        <v>31341412</v>
      </c>
      <c r="B5907" s="35" t="s">
        <v>2821</v>
      </c>
    </row>
    <row r="5908" spans="1:2" x14ac:dyDescent="0.35">
      <c r="A5908" s="34">
        <v>31341413</v>
      </c>
      <c r="B5908" s="35" t="s">
        <v>18405</v>
      </c>
    </row>
    <row r="5909" spans="1:2" x14ac:dyDescent="0.35">
      <c r="A5909" s="34">
        <v>31341501</v>
      </c>
      <c r="B5909" s="35" t="s">
        <v>1471</v>
      </c>
    </row>
    <row r="5910" spans="1:2" x14ac:dyDescent="0.35">
      <c r="A5910" s="34">
        <v>31341502</v>
      </c>
      <c r="B5910" s="35" t="s">
        <v>6050</v>
      </c>
    </row>
    <row r="5911" spans="1:2" x14ac:dyDescent="0.35">
      <c r="A5911" s="34">
        <v>31341503</v>
      </c>
      <c r="B5911" s="35" t="s">
        <v>312</v>
      </c>
    </row>
    <row r="5912" spans="1:2" x14ac:dyDescent="0.35">
      <c r="A5912" s="34">
        <v>31341504</v>
      </c>
      <c r="B5912" s="35" t="s">
        <v>12490</v>
      </c>
    </row>
    <row r="5913" spans="1:2" x14ac:dyDescent="0.35">
      <c r="A5913" s="34">
        <v>31341505</v>
      </c>
      <c r="B5913" s="35" t="s">
        <v>18617</v>
      </c>
    </row>
    <row r="5914" spans="1:2" x14ac:dyDescent="0.35">
      <c r="A5914" s="34">
        <v>31341506</v>
      </c>
      <c r="B5914" s="35" t="s">
        <v>9937</v>
      </c>
    </row>
    <row r="5915" spans="1:2" x14ac:dyDescent="0.35">
      <c r="A5915" s="34">
        <v>31341509</v>
      </c>
      <c r="B5915" s="35" t="s">
        <v>12509</v>
      </c>
    </row>
    <row r="5916" spans="1:2" x14ac:dyDescent="0.35">
      <c r="A5916" s="34">
        <v>31341510</v>
      </c>
      <c r="B5916" s="35" t="s">
        <v>15951</v>
      </c>
    </row>
    <row r="5917" spans="1:2" x14ac:dyDescent="0.35">
      <c r="A5917" s="34">
        <v>31341511</v>
      </c>
      <c r="B5917" s="35" t="s">
        <v>13693</v>
      </c>
    </row>
    <row r="5918" spans="1:2" x14ac:dyDescent="0.35">
      <c r="A5918" s="34">
        <v>31341512</v>
      </c>
      <c r="B5918" s="35" t="s">
        <v>11138</v>
      </c>
    </row>
    <row r="5919" spans="1:2" x14ac:dyDescent="0.35">
      <c r="A5919" s="34">
        <v>31341513</v>
      </c>
      <c r="B5919" s="35" t="s">
        <v>688</v>
      </c>
    </row>
    <row r="5920" spans="1:2" x14ac:dyDescent="0.35">
      <c r="A5920" s="34">
        <v>31341601</v>
      </c>
      <c r="B5920" s="35" t="s">
        <v>19498</v>
      </c>
    </row>
    <row r="5921" spans="1:2" x14ac:dyDescent="0.35">
      <c r="A5921" s="34">
        <v>31341602</v>
      </c>
      <c r="B5921" s="35" t="s">
        <v>6996</v>
      </c>
    </row>
    <row r="5922" spans="1:2" x14ac:dyDescent="0.35">
      <c r="A5922" s="34">
        <v>31341603</v>
      </c>
      <c r="B5922" s="35" t="s">
        <v>14140</v>
      </c>
    </row>
    <row r="5923" spans="1:2" x14ac:dyDescent="0.35">
      <c r="A5923" s="34">
        <v>31341604</v>
      </c>
      <c r="B5923" s="35" t="s">
        <v>4963</v>
      </c>
    </row>
    <row r="5924" spans="1:2" x14ac:dyDescent="0.35">
      <c r="A5924" s="34">
        <v>31341605</v>
      </c>
      <c r="B5924" s="35" t="s">
        <v>3637</v>
      </c>
    </row>
    <row r="5925" spans="1:2" x14ac:dyDescent="0.35">
      <c r="A5925" s="34">
        <v>31341606</v>
      </c>
      <c r="B5925" s="35" t="s">
        <v>4339</v>
      </c>
    </row>
    <row r="5926" spans="1:2" x14ac:dyDescent="0.35">
      <c r="A5926" s="34">
        <v>31341609</v>
      </c>
      <c r="B5926" s="35" t="s">
        <v>7792</v>
      </c>
    </row>
    <row r="5927" spans="1:2" x14ac:dyDescent="0.35">
      <c r="A5927" s="34">
        <v>31341610</v>
      </c>
      <c r="B5927" s="35" t="s">
        <v>17576</v>
      </c>
    </row>
    <row r="5928" spans="1:2" x14ac:dyDescent="0.35">
      <c r="A5928" s="34">
        <v>31341611</v>
      </c>
      <c r="B5928" s="35" t="s">
        <v>5082</v>
      </c>
    </row>
    <row r="5929" spans="1:2" x14ac:dyDescent="0.35">
      <c r="A5929" s="34">
        <v>31341612</v>
      </c>
      <c r="B5929" s="35" t="s">
        <v>10920</v>
      </c>
    </row>
    <row r="5930" spans="1:2" x14ac:dyDescent="0.35">
      <c r="A5930" s="34">
        <v>31341613</v>
      </c>
      <c r="B5930" s="35" t="s">
        <v>9494</v>
      </c>
    </row>
    <row r="5931" spans="1:2" x14ac:dyDescent="0.35">
      <c r="A5931" s="34">
        <v>31341701</v>
      </c>
      <c r="B5931" s="35" t="s">
        <v>7190</v>
      </c>
    </row>
    <row r="5932" spans="1:2" x14ac:dyDescent="0.35">
      <c r="A5932" s="34">
        <v>31341702</v>
      </c>
      <c r="B5932" s="35" t="s">
        <v>6876</v>
      </c>
    </row>
    <row r="5933" spans="1:2" x14ac:dyDescent="0.35">
      <c r="A5933" s="34">
        <v>31341703</v>
      </c>
      <c r="B5933" s="35" t="s">
        <v>19599</v>
      </c>
    </row>
    <row r="5934" spans="1:2" x14ac:dyDescent="0.35">
      <c r="A5934" s="34">
        <v>31341704</v>
      </c>
      <c r="B5934" s="35" t="s">
        <v>14751</v>
      </c>
    </row>
    <row r="5935" spans="1:2" x14ac:dyDescent="0.35">
      <c r="A5935" s="34">
        <v>31341705</v>
      </c>
      <c r="B5935" s="35" t="s">
        <v>18233</v>
      </c>
    </row>
    <row r="5936" spans="1:2" x14ac:dyDescent="0.35">
      <c r="A5936" s="34">
        <v>31341706</v>
      </c>
      <c r="B5936" s="35" t="s">
        <v>2161</v>
      </c>
    </row>
    <row r="5937" spans="1:2" x14ac:dyDescent="0.35">
      <c r="A5937" s="34">
        <v>31341709</v>
      </c>
      <c r="B5937" s="35" t="s">
        <v>14663</v>
      </c>
    </row>
    <row r="5938" spans="1:2" x14ac:dyDescent="0.35">
      <c r="A5938" s="34">
        <v>31341710</v>
      </c>
      <c r="B5938" s="35" t="s">
        <v>4844</v>
      </c>
    </row>
    <row r="5939" spans="1:2" x14ac:dyDescent="0.35">
      <c r="A5939" s="34">
        <v>31341711</v>
      </c>
      <c r="B5939" s="35" t="s">
        <v>17612</v>
      </c>
    </row>
    <row r="5940" spans="1:2" x14ac:dyDescent="0.35">
      <c r="A5940" s="34">
        <v>31341712</v>
      </c>
      <c r="B5940" s="35" t="s">
        <v>6553</v>
      </c>
    </row>
    <row r="5941" spans="1:2" x14ac:dyDescent="0.35">
      <c r="A5941" s="34">
        <v>31341713</v>
      </c>
      <c r="B5941" s="35" t="s">
        <v>18579</v>
      </c>
    </row>
    <row r="5942" spans="1:2" x14ac:dyDescent="0.35">
      <c r="A5942" s="34">
        <v>31351101</v>
      </c>
      <c r="B5942" s="35" t="s">
        <v>2693</v>
      </c>
    </row>
    <row r="5943" spans="1:2" x14ac:dyDescent="0.35">
      <c r="A5943" s="34">
        <v>31351102</v>
      </c>
      <c r="B5943" s="35" t="s">
        <v>2941</v>
      </c>
    </row>
    <row r="5944" spans="1:2" x14ac:dyDescent="0.35">
      <c r="A5944" s="34">
        <v>31351103</v>
      </c>
      <c r="B5944" s="35" t="s">
        <v>1330</v>
      </c>
    </row>
    <row r="5945" spans="1:2" x14ac:dyDescent="0.35">
      <c r="A5945" s="34">
        <v>31351104</v>
      </c>
      <c r="B5945" s="35" t="s">
        <v>7238</v>
      </c>
    </row>
    <row r="5946" spans="1:2" x14ac:dyDescent="0.35">
      <c r="A5946" s="34">
        <v>31351105</v>
      </c>
      <c r="B5946" s="35" t="s">
        <v>602</v>
      </c>
    </row>
    <row r="5947" spans="1:2" x14ac:dyDescent="0.35">
      <c r="A5947" s="34">
        <v>31351106</v>
      </c>
      <c r="B5947" s="35" t="s">
        <v>15250</v>
      </c>
    </row>
    <row r="5948" spans="1:2" x14ac:dyDescent="0.35">
      <c r="A5948" s="34">
        <v>31351109</v>
      </c>
      <c r="B5948" s="35" t="s">
        <v>9543</v>
      </c>
    </row>
    <row r="5949" spans="1:2" x14ac:dyDescent="0.35">
      <c r="A5949" s="34">
        <v>31351110</v>
      </c>
      <c r="B5949" s="35" t="s">
        <v>14883</v>
      </c>
    </row>
    <row r="5950" spans="1:2" x14ac:dyDescent="0.35">
      <c r="A5950" s="34">
        <v>31351111</v>
      </c>
      <c r="B5950" s="35" t="s">
        <v>15546</v>
      </c>
    </row>
    <row r="5951" spans="1:2" x14ac:dyDescent="0.35">
      <c r="A5951" s="34">
        <v>31351112</v>
      </c>
      <c r="B5951" s="35" t="s">
        <v>5793</v>
      </c>
    </row>
    <row r="5952" spans="1:2" x14ac:dyDescent="0.35">
      <c r="A5952" s="34">
        <v>31351113</v>
      </c>
      <c r="B5952" s="35" t="s">
        <v>8428</v>
      </c>
    </row>
    <row r="5953" spans="1:2" x14ac:dyDescent="0.35">
      <c r="A5953" s="34">
        <v>31351201</v>
      </c>
      <c r="B5953" s="35" t="s">
        <v>2073</v>
      </c>
    </row>
    <row r="5954" spans="1:2" x14ac:dyDescent="0.35">
      <c r="A5954" s="34">
        <v>31351202</v>
      </c>
      <c r="B5954" s="35" t="s">
        <v>11902</v>
      </c>
    </row>
    <row r="5955" spans="1:2" x14ac:dyDescent="0.35">
      <c r="A5955" s="34">
        <v>31351203</v>
      </c>
      <c r="B5955" s="35" t="s">
        <v>14285</v>
      </c>
    </row>
    <row r="5956" spans="1:2" x14ac:dyDescent="0.35">
      <c r="A5956" s="34">
        <v>31351204</v>
      </c>
      <c r="B5956" s="35" t="s">
        <v>7451</v>
      </c>
    </row>
    <row r="5957" spans="1:2" x14ac:dyDescent="0.35">
      <c r="A5957" s="34">
        <v>31351205</v>
      </c>
      <c r="B5957" s="35" t="s">
        <v>17610</v>
      </c>
    </row>
    <row r="5958" spans="1:2" x14ac:dyDescent="0.35">
      <c r="A5958" s="34">
        <v>31351206</v>
      </c>
      <c r="B5958" s="35" t="s">
        <v>8273</v>
      </c>
    </row>
    <row r="5959" spans="1:2" x14ac:dyDescent="0.35">
      <c r="A5959" s="34">
        <v>31351209</v>
      </c>
      <c r="B5959" s="35" t="s">
        <v>11893</v>
      </c>
    </row>
    <row r="5960" spans="1:2" x14ac:dyDescent="0.35">
      <c r="A5960" s="34">
        <v>31351210</v>
      </c>
      <c r="B5960" s="35" t="s">
        <v>13354</v>
      </c>
    </row>
    <row r="5961" spans="1:2" x14ac:dyDescent="0.35">
      <c r="A5961" s="34">
        <v>31351211</v>
      </c>
      <c r="B5961" s="35" t="s">
        <v>16822</v>
      </c>
    </row>
    <row r="5962" spans="1:2" x14ac:dyDescent="0.35">
      <c r="A5962" s="34">
        <v>31351212</v>
      </c>
      <c r="B5962" s="35" t="s">
        <v>6853</v>
      </c>
    </row>
    <row r="5963" spans="1:2" x14ac:dyDescent="0.35">
      <c r="A5963" s="34">
        <v>31351213</v>
      </c>
      <c r="B5963" s="35" t="s">
        <v>15440</v>
      </c>
    </row>
    <row r="5964" spans="1:2" x14ac:dyDescent="0.35">
      <c r="A5964" s="34">
        <v>31351301</v>
      </c>
      <c r="B5964" s="35" t="s">
        <v>705</v>
      </c>
    </row>
    <row r="5965" spans="1:2" x14ac:dyDescent="0.35">
      <c r="A5965" s="34">
        <v>31351302</v>
      </c>
      <c r="B5965" s="35" t="s">
        <v>19100</v>
      </c>
    </row>
    <row r="5966" spans="1:2" x14ac:dyDescent="0.35">
      <c r="A5966" s="34">
        <v>31351303</v>
      </c>
      <c r="B5966" s="35" t="s">
        <v>6713</v>
      </c>
    </row>
    <row r="5967" spans="1:2" x14ac:dyDescent="0.35">
      <c r="A5967" s="34">
        <v>31351304</v>
      </c>
      <c r="B5967" s="35" t="s">
        <v>6536</v>
      </c>
    </row>
    <row r="5968" spans="1:2" x14ac:dyDescent="0.35">
      <c r="A5968" s="34">
        <v>31351305</v>
      </c>
      <c r="B5968" s="35" t="s">
        <v>8249</v>
      </c>
    </row>
    <row r="5969" spans="1:2" x14ac:dyDescent="0.35">
      <c r="A5969" s="34">
        <v>31351306</v>
      </c>
      <c r="B5969" s="35" t="s">
        <v>11501</v>
      </c>
    </row>
    <row r="5970" spans="1:2" x14ac:dyDescent="0.35">
      <c r="A5970" s="34">
        <v>31351309</v>
      </c>
      <c r="B5970" s="35" t="s">
        <v>15454</v>
      </c>
    </row>
    <row r="5971" spans="1:2" x14ac:dyDescent="0.35">
      <c r="A5971" s="34">
        <v>31351310</v>
      </c>
      <c r="B5971" s="35" t="s">
        <v>4169</v>
      </c>
    </row>
    <row r="5972" spans="1:2" x14ac:dyDescent="0.35">
      <c r="A5972" s="34">
        <v>31351311</v>
      </c>
      <c r="B5972" s="35" t="s">
        <v>6095</v>
      </c>
    </row>
    <row r="5973" spans="1:2" x14ac:dyDescent="0.35">
      <c r="A5973" s="34">
        <v>31351312</v>
      </c>
      <c r="B5973" s="35" t="s">
        <v>14016</v>
      </c>
    </row>
    <row r="5974" spans="1:2" x14ac:dyDescent="0.35">
      <c r="A5974" s="34">
        <v>31351313</v>
      </c>
      <c r="B5974" s="35" t="s">
        <v>14819</v>
      </c>
    </row>
    <row r="5975" spans="1:2" x14ac:dyDescent="0.35">
      <c r="A5975" s="34">
        <v>31351401</v>
      </c>
      <c r="B5975" s="35" t="s">
        <v>5638</v>
      </c>
    </row>
    <row r="5976" spans="1:2" x14ac:dyDescent="0.35">
      <c r="A5976" s="34">
        <v>31351402</v>
      </c>
      <c r="B5976" s="35" t="s">
        <v>7790</v>
      </c>
    </row>
    <row r="5977" spans="1:2" x14ac:dyDescent="0.35">
      <c r="A5977" s="34">
        <v>31351403</v>
      </c>
      <c r="B5977" s="35" t="s">
        <v>632</v>
      </c>
    </row>
    <row r="5978" spans="1:2" x14ac:dyDescent="0.35">
      <c r="A5978" s="34">
        <v>31351404</v>
      </c>
      <c r="B5978" s="35" t="s">
        <v>5165</v>
      </c>
    </row>
    <row r="5979" spans="1:2" x14ac:dyDescent="0.35">
      <c r="A5979" s="34">
        <v>31351405</v>
      </c>
      <c r="B5979" s="35" t="s">
        <v>7897</v>
      </c>
    </row>
    <row r="5980" spans="1:2" x14ac:dyDescent="0.35">
      <c r="A5980" s="34">
        <v>31351406</v>
      </c>
      <c r="B5980" s="35" t="s">
        <v>553</v>
      </c>
    </row>
    <row r="5981" spans="1:2" x14ac:dyDescent="0.35">
      <c r="A5981" s="34">
        <v>31351409</v>
      </c>
      <c r="B5981" s="35" t="s">
        <v>13868</v>
      </c>
    </row>
    <row r="5982" spans="1:2" x14ac:dyDescent="0.35">
      <c r="A5982" s="34">
        <v>31351410</v>
      </c>
      <c r="B5982" s="35" t="s">
        <v>6762</v>
      </c>
    </row>
    <row r="5983" spans="1:2" x14ac:dyDescent="0.35">
      <c r="A5983" s="34">
        <v>31351411</v>
      </c>
      <c r="B5983" s="35" t="s">
        <v>3953</v>
      </c>
    </row>
    <row r="5984" spans="1:2" x14ac:dyDescent="0.35">
      <c r="A5984" s="34">
        <v>31351412</v>
      </c>
      <c r="B5984" s="35" t="s">
        <v>804</v>
      </c>
    </row>
    <row r="5985" spans="1:2" x14ac:dyDescent="0.35">
      <c r="A5985" s="34">
        <v>31351413</v>
      </c>
      <c r="B5985" s="35" t="s">
        <v>5514</v>
      </c>
    </row>
    <row r="5986" spans="1:2" x14ac:dyDescent="0.35">
      <c r="A5986" s="34">
        <v>31351501</v>
      </c>
      <c r="B5986" s="35" t="s">
        <v>16170</v>
      </c>
    </row>
    <row r="5987" spans="1:2" x14ac:dyDescent="0.35">
      <c r="A5987" s="34">
        <v>31351502</v>
      </c>
      <c r="B5987" s="35" t="s">
        <v>4706</v>
      </c>
    </row>
    <row r="5988" spans="1:2" x14ac:dyDescent="0.35">
      <c r="A5988" s="34">
        <v>31351503</v>
      </c>
      <c r="B5988" s="35" t="s">
        <v>11570</v>
      </c>
    </row>
    <row r="5989" spans="1:2" x14ac:dyDescent="0.35">
      <c r="A5989" s="34">
        <v>31351504</v>
      </c>
      <c r="B5989" s="35" t="s">
        <v>1685</v>
      </c>
    </row>
    <row r="5990" spans="1:2" x14ac:dyDescent="0.35">
      <c r="A5990" s="34">
        <v>31351505</v>
      </c>
      <c r="B5990" s="35" t="s">
        <v>14036</v>
      </c>
    </row>
    <row r="5991" spans="1:2" x14ac:dyDescent="0.35">
      <c r="A5991" s="34">
        <v>31351506</v>
      </c>
      <c r="B5991" s="35" t="s">
        <v>17146</v>
      </c>
    </row>
    <row r="5992" spans="1:2" x14ac:dyDescent="0.35">
      <c r="A5992" s="34">
        <v>31351509</v>
      </c>
      <c r="B5992" s="35" t="s">
        <v>14003</v>
      </c>
    </row>
    <row r="5993" spans="1:2" x14ac:dyDescent="0.35">
      <c r="A5993" s="34">
        <v>31351510</v>
      </c>
      <c r="B5993" s="35" t="s">
        <v>339</v>
      </c>
    </row>
    <row r="5994" spans="1:2" x14ac:dyDescent="0.35">
      <c r="A5994" s="34">
        <v>31351511</v>
      </c>
      <c r="B5994" s="35" t="s">
        <v>11706</v>
      </c>
    </row>
    <row r="5995" spans="1:2" x14ac:dyDescent="0.35">
      <c r="A5995" s="34">
        <v>31351512</v>
      </c>
      <c r="B5995" s="35" t="s">
        <v>8070</v>
      </c>
    </row>
    <row r="5996" spans="1:2" x14ac:dyDescent="0.35">
      <c r="A5996" s="34">
        <v>31351513</v>
      </c>
      <c r="B5996" s="35" t="s">
        <v>6344</v>
      </c>
    </row>
    <row r="5997" spans="1:2" x14ac:dyDescent="0.35">
      <c r="A5997" s="34">
        <v>31351601</v>
      </c>
      <c r="B5997" s="35" t="s">
        <v>1679</v>
      </c>
    </row>
    <row r="5998" spans="1:2" x14ac:dyDescent="0.35">
      <c r="A5998" s="34">
        <v>31351602</v>
      </c>
      <c r="B5998" s="35" t="s">
        <v>5771</v>
      </c>
    </row>
    <row r="5999" spans="1:2" x14ac:dyDescent="0.35">
      <c r="A5999" s="34">
        <v>31351603</v>
      </c>
      <c r="B5999" s="35" t="s">
        <v>18597</v>
      </c>
    </row>
    <row r="6000" spans="1:2" x14ac:dyDescent="0.35">
      <c r="A6000" s="34">
        <v>31351604</v>
      </c>
      <c r="B6000" s="35" t="s">
        <v>12855</v>
      </c>
    </row>
    <row r="6001" spans="1:2" x14ac:dyDescent="0.35">
      <c r="A6001" s="34">
        <v>31351605</v>
      </c>
      <c r="B6001" s="35" t="s">
        <v>15869</v>
      </c>
    </row>
    <row r="6002" spans="1:2" x14ac:dyDescent="0.35">
      <c r="A6002" s="34">
        <v>31351606</v>
      </c>
      <c r="B6002" s="35" t="s">
        <v>10586</v>
      </c>
    </row>
    <row r="6003" spans="1:2" x14ac:dyDescent="0.35">
      <c r="A6003" s="34">
        <v>31351609</v>
      </c>
      <c r="B6003" s="35" t="s">
        <v>9653</v>
      </c>
    </row>
    <row r="6004" spans="1:2" x14ac:dyDescent="0.35">
      <c r="A6004" s="34">
        <v>31351610</v>
      </c>
      <c r="B6004" s="35" t="s">
        <v>2046</v>
      </c>
    </row>
    <row r="6005" spans="1:2" x14ac:dyDescent="0.35">
      <c r="A6005" s="34">
        <v>31351611</v>
      </c>
      <c r="B6005" s="35" t="s">
        <v>11069</v>
      </c>
    </row>
    <row r="6006" spans="1:2" x14ac:dyDescent="0.35">
      <c r="A6006" s="34">
        <v>31351612</v>
      </c>
      <c r="B6006" s="35" t="s">
        <v>8475</v>
      </c>
    </row>
    <row r="6007" spans="1:2" x14ac:dyDescent="0.35">
      <c r="A6007" s="34">
        <v>31351613</v>
      </c>
      <c r="B6007" s="35" t="s">
        <v>14233</v>
      </c>
    </row>
    <row r="6008" spans="1:2" x14ac:dyDescent="0.35">
      <c r="A6008" s="34">
        <v>31351701</v>
      </c>
      <c r="B6008" s="35" t="s">
        <v>1939</v>
      </c>
    </row>
    <row r="6009" spans="1:2" x14ac:dyDescent="0.35">
      <c r="A6009" s="34">
        <v>31351702</v>
      </c>
      <c r="B6009" s="35" t="s">
        <v>2507</v>
      </c>
    </row>
    <row r="6010" spans="1:2" x14ac:dyDescent="0.35">
      <c r="A6010" s="34">
        <v>31351703</v>
      </c>
      <c r="B6010" s="35" t="s">
        <v>3212</v>
      </c>
    </row>
    <row r="6011" spans="1:2" x14ac:dyDescent="0.35">
      <c r="A6011" s="34">
        <v>31351704</v>
      </c>
      <c r="B6011" s="35" t="s">
        <v>13338</v>
      </c>
    </row>
    <row r="6012" spans="1:2" x14ac:dyDescent="0.35">
      <c r="A6012" s="34">
        <v>31351705</v>
      </c>
      <c r="B6012" s="35" t="s">
        <v>8313</v>
      </c>
    </row>
    <row r="6013" spans="1:2" x14ac:dyDescent="0.35">
      <c r="A6013" s="34">
        <v>31351706</v>
      </c>
      <c r="B6013" s="35" t="s">
        <v>14934</v>
      </c>
    </row>
    <row r="6014" spans="1:2" x14ac:dyDescent="0.35">
      <c r="A6014" s="34">
        <v>31351709</v>
      </c>
      <c r="B6014" s="35" t="s">
        <v>8906</v>
      </c>
    </row>
    <row r="6015" spans="1:2" x14ac:dyDescent="0.35">
      <c r="A6015" s="34">
        <v>31351710</v>
      </c>
      <c r="B6015" s="35" t="s">
        <v>10445</v>
      </c>
    </row>
    <row r="6016" spans="1:2" x14ac:dyDescent="0.35">
      <c r="A6016" s="34">
        <v>31351711</v>
      </c>
      <c r="B6016" s="35" t="s">
        <v>19191</v>
      </c>
    </row>
    <row r="6017" spans="1:2" x14ac:dyDescent="0.35">
      <c r="A6017" s="34">
        <v>31351712</v>
      </c>
      <c r="B6017" s="35" t="s">
        <v>95</v>
      </c>
    </row>
    <row r="6018" spans="1:2" x14ac:dyDescent="0.35">
      <c r="A6018" s="34">
        <v>31351713</v>
      </c>
      <c r="B6018" s="35" t="s">
        <v>12491</v>
      </c>
    </row>
    <row r="6019" spans="1:2" x14ac:dyDescent="0.35">
      <c r="A6019" s="34">
        <v>31361101</v>
      </c>
      <c r="B6019" s="35" t="s">
        <v>7805</v>
      </c>
    </row>
    <row r="6020" spans="1:2" x14ac:dyDescent="0.35">
      <c r="A6020" s="34">
        <v>31361102</v>
      </c>
      <c r="B6020" s="35" t="s">
        <v>2968</v>
      </c>
    </row>
    <row r="6021" spans="1:2" x14ac:dyDescent="0.35">
      <c r="A6021" s="34">
        <v>31361103</v>
      </c>
      <c r="B6021" s="35" t="s">
        <v>157</v>
      </c>
    </row>
    <row r="6022" spans="1:2" x14ac:dyDescent="0.35">
      <c r="A6022" s="34">
        <v>31361104</v>
      </c>
      <c r="B6022" s="35" t="s">
        <v>10818</v>
      </c>
    </row>
    <row r="6023" spans="1:2" x14ac:dyDescent="0.35">
      <c r="A6023" s="34">
        <v>31361105</v>
      </c>
      <c r="B6023" s="35" t="s">
        <v>15183</v>
      </c>
    </row>
    <row r="6024" spans="1:2" x14ac:dyDescent="0.35">
      <c r="A6024" s="34">
        <v>31361106</v>
      </c>
      <c r="B6024" s="35" t="s">
        <v>6695</v>
      </c>
    </row>
    <row r="6025" spans="1:2" x14ac:dyDescent="0.35">
      <c r="A6025" s="34">
        <v>31361109</v>
      </c>
      <c r="B6025" s="35" t="s">
        <v>3868</v>
      </c>
    </row>
    <row r="6026" spans="1:2" x14ac:dyDescent="0.35">
      <c r="A6026" s="34">
        <v>31361110</v>
      </c>
      <c r="B6026" s="35" t="s">
        <v>1132</v>
      </c>
    </row>
    <row r="6027" spans="1:2" x14ac:dyDescent="0.35">
      <c r="A6027" s="34">
        <v>31361111</v>
      </c>
      <c r="B6027" s="35" t="s">
        <v>17594</v>
      </c>
    </row>
    <row r="6028" spans="1:2" x14ac:dyDescent="0.35">
      <c r="A6028" s="34">
        <v>31361112</v>
      </c>
      <c r="B6028" s="35" t="s">
        <v>3332</v>
      </c>
    </row>
    <row r="6029" spans="1:2" x14ac:dyDescent="0.35">
      <c r="A6029" s="34">
        <v>31361113</v>
      </c>
      <c r="B6029" s="35" t="s">
        <v>10072</v>
      </c>
    </row>
    <row r="6030" spans="1:2" x14ac:dyDescent="0.35">
      <c r="A6030" s="34">
        <v>31361201</v>
      </c>
      <c r="B6030" s="35" t="s">
        <v>12550</v>
      </c>
    </row>
    <row r="6031" spans="1:2" x14ac:dyDescent="0.35">
      <c r="A6031" s="34">
        <v>31361202</v>
      </c>
      <c r="B6031" s="35" t="s">
        <v>18656</v>
      </c>
    </row>
    <row r="6032" spans="1:2" x14ac:dyDescent="0.35">
      <c r="A6032" s="34">
        <v>31361203</v>
      </c>
      <c r="B6032" s="35" t="s">
        <v>18373</v>
      </c>
    </row>
    <row r="6033" spans="1:2" x14ac:dyDescent="0.35">
      <c r="A6033" s="34">
        <v>31361204</v>
      </c>
      <c r="B6033" s="35" t="s">
        <v>1309</v>
      </c>
    </row>
    <row r="6034" spans="1:2" x14ac:dyDescent="0.35">
      <c r="A6034" s="34">
        <v>31361205</v>
      </c>
      <c r="B6034" s="35" t="s">
        <v>16898</v>
      </c>
    </row>
    <row r="6035" spans="1:2" x14ac:dyDescent="0.35">
      <c r="A6035" s="34">
        <v>31361206</v>
      </c>
      <c r="B6035" s="35" t="s">
        <v>16565</v>
      </c>
    </row>
    <row r="6036" spans="1:2" x14ac:dyDescent="0.35">
      <c r="A6036" s="34">
        <v>31361209</v>
      </c>
      <c r="B6036" s="35" t="s">
        <v>12419</v>
      </c>
    </row>
    <row r="6037" spans="1:2" x14ac:dyDescent="0.35">
      <c r="A6037" s="34">
        <v>31361210</v>
      </c>
      <c r="B6037" s="35" t="s">
        <v>18488</v>
      </c>
    </row>
    <row r="6038" spans="1:2" x14ac:dyDescent="0.35">
      <c r="A6038" s="34">
        <v>31361211</v>
      </c>
      <c r="B6038" s="35" t="s">
        <v>3427</v>
      </c>
    </row>
    <row r="6039" spans="1:2" x14ac:dyDescent="0.35">
      <c r="A6039" s="34">
        <v>31361212</v>
      </c>
      <c r="B6039" s="35" t="s">
        <v>1083</v>
      </c>
    </row>
    <row r="6040" spans="1:2" x14ac:dyDescent="0.35">
      <c r="A6040" s="34">
        <v>31361213</v>
      </c>
      <c r="B6040" s="35" t="s">
        <v>14200</v>
      </c>
    </row>
    <row r="6041" spans="1:2" x14ac:dyDescent="0.35">
      <c r="A6041" s="34">
        <v>31361301</v>
      </c>
      <c r="B6041" s="35" t="s">
        <v>13836</v>
      </c>
    </row>
    <row r="6042" spans="1:2" x14ac:dyDescent="0.35">
      <c r="A6042" s="34">
        <v>31361302</v>
      </c>
      <c r="B6042" s="35" t="s">
        <v>16961</v>
      </c>
    </row>
    <row r="6043" spans="1:2" x14ac:dyDescent="0.35">
      <c r="A6043" s="34">
        <v>31361303</v>
      </c>
      <c r="B6043" s="35" t="s">
        <v>7019</v>
      </c>
    </row>
    <row r="6044" spans="1:2" x14ac:dyDescent="0.35">
      <c r="A6044" s="34">
        <v>31361304</v>
      </c>
      <c r="B6044" s="35" t="s">
        <v>5429</v>
      </c>
    </row>
    <row r="6045" spans="1:2" x14ac:dyDescent="0.35">
      <c r="A6045" s="34">
        <v>31361305</v>
      </c>
      <c r="B6045" s="35" t="s">
        <v>2237</v>
      </c>
    </row>
    <row r="6046" spans="1:2" x14ac:dyDescent="0.35">
      <c r="A6046" s="34">
        <v>31361306</v>
      </c>
      <c r="B6046" s="35" t="s">
        <v>8730</v>
      </c>
    </row>
    <row r="6047" spans="1:2" x14ac:dyDescent="0.35">
      <c r="A6047" s="34">
        <v>31361309</v>
      </c>
      <c r="B6047" s="35" t="s">
        <v>15052</v>
      </c>
    </row>
    <row r="6048" spans="1:2" x14ac:dyDescent="0.35">
      <c r="A6048" s="34">
        <v>31361310</v>
      </c>
      <c r="B6048" s="35" t="s">
        <v>11039</v>
      </c>
    </row>
    <row r="6049" spans="1:2" x14ac:dyDescent="0.35">
      <c r="A6049" s="34">
        <v>31361311</v>
      </c>
      <c r="B6049" s="35" t="s">
        <v>14674</v>
      </c>
    </row>
    <row r="6050" spans="1:2" x14ac:dyDescent="0.35">
      <c r="A6050" s="34">
        <v>31361312</v>
      </c>
      <c r="B6050" s="35" t="s">
        <v>18379</v>
      </c>
    </row>
    <row r="6051" spans="1:2" x14ac:dyDescent="0.35">
      <c r="A6051" s="34">
        <v>31361313</v>
      </c>
      <c r="B6051" s="35" t="s">
        <v>17149</v>
      </c>
    </row>
    <row r="6052" spans="1:2" x14ac:dyDescent="0.35">
      <c r="A6052" s="34">
        <v>31361401</v>
      </c>
      <c r="B6052" s="35" t="s">
        <v>7917</v>
      </c>
    </row>
    <row r="6053" spans="1:2" x14ac:dyDescent="0.35">
      <c r="A6053" s="34">
        <v>31361402</v>
      </c>
      <c r="B6053" s="35" t="s">
        <v>774</v>
      </c>
    </row>
    <row r="6054" spans="1:2" x14ac:dyDescent="0.35">
      <c r="A6054" s="34">
        <v>31361403</v>
      </c>
      <c r="B6054" s="35" t="s">
        <v>17958</v>
      </c>
    </row>
    <row r="6055" spans="1:2" x14ac:dyDescent="0.35">
      <c r="A6055" s="34">
        <v>31361404</v>
      </c>
      <c r="B6055" s="35" t="s">
        <v>2305</v>
      </c>
    </row>
    <row r="6056" spans="1:2" x14ac:dyDescent="0.35">
      <c r="A6056" s="34">
        <v>31361405</v>
      </c>
      <c r="B6056" s="35" t="s">
        <v>12976</v>
      </c>
    </row>
    <row r="6057" spans="1:2" x14ac:dyDescent="0.35">
      <c r="A6057" s="34">
        <v>31361406</v>
      </c>
      <c r="B6057" s="35" t="s">
        <v>8598</v>
      </c>
    </row>
    <row r="6058" spans="1:2" x14ac:dyDescent="0.35">
      <c r="A6058" s="34">
        <v>31361409</v>
      </c>
      <c r="B6058" s="35" t="s">
        <v>14778</v>
      </c>
    </row>
    <row r="6059" spans="1:2" x14ac:dyDescent="0.35">
      <c r="A6059" s="34">
        <v>31361410</v>
      </c>
      <c r="B6059" s="35" t="s">
        <v>13666</v>
      </c>
    </row>
    <row r="6060" spans="1:2" x14ac:dyDescent="0.35">
      <c r="A6060" s="34">
        <v>31361411</v>
      </c>
      <c r="B6060" s="35" t="s">
        <v>7511</v>
      </c>
    </row>
    <row r="6061" spans="1:2" x14ac:dyDescent="0.35">
      <c r="A6061" s="34">
        <v>31361412</v>
      </c>
      <c r="B6061" s="35" t="s">
        <v>10773</v>
      </c>
    </row>
    <row r="6062" spans="1:2" x14ac:dyDescent="0.35">
      <c r="A6062" s="34">
        <v>31361413</v>
      </c>
      <c r="B6062" s="35" t="s">
        <v>10731</v>
      </c>
    </row>
    <row r="6063" spans="1:2" x14ac:dyDescent="0.35">
      <c r="A6063" s="34">
        <v>31361501</v>
      </c>
      <c r="B6063" s="35" t="s">
        <v>6649</v>
      </c>
    </row>
    <row r="6064" spans="1:2" x14ac:dyDescent="0.35">
      <c r="A6064" s="34">
        <v>31361502</v>
      </c>
      <c r="B6064" s="35" t="s">
        <v>12291</v>
      </c>
    </row>
    <row r="6065" spans="1:2" x14ac:dyDescent="0.35">
      <c r="A6065" s="34">
        <v>31361503</v>
      </c>
      <c r="B6065" s="35" t="s">
        <v>11448</v>
      </c>
    </row>
    <row r="6066" spans="1:2" x14ac:dyDescent="0.35">
      <c r="A6066" s="34">
        <v>31361504</v>
      </c>
      <c r="B6066" s="35" t="s">
        <v>5569</v>
      </c>
    </row>
    <row r="6067" spans="1:2" x14ac:dyDescent="0.35">
      <c r="A6067" s="34">
        <v>31361505</v>
      </c>
      <c r="B6067" s="35" t="s">
        <v>10724</v>
      </c>
    </row>
    <row r="6068" spans="1:2" x14ac:dyDescent="0.35">
      <c r="A6068" s="34">
        <v>31361506</v>
      </c>
      <c r="B6068" s="35" t="s">
        <v>11299</v>
      </c>
    </row>
    <row r="6069" spans="1:2" x14ac:dyDescent="0.35">
      <c r="A6069" s="34">
        <v>31361509</v>
      </c>
      <c r="B6069" s="35" t="s">
        <v>19549</v>
      </c>
    </row>
    <row r="6070" spans="1:2" x14ac:dyDescent="0.35">
      <c r="A6070" s="34">
        <v>31361510</v>
      </c>
      <c r="B6070" s="35" t="s">
        <v>6524</v>
      </c>
    </row>
    <row r="6071" spans="1:2" x14ac:dyDescent="0.35">
      <c r="A6071" s="34">
        <v>31361511</v>
      </c>
      <c r="B6071" s="35" t="s">
        <v>19363</v>
      </c>
    </row>
    <row r="6072" spans="1:2" x14ac:dyDescent="0.35">
      <c r="A6072" s="34">
        <v>31361512</v>
      </c>
      <c r="B6072" s="35" t="s">
        <v>5486</v>
      </c>
    </row>
    <row r="6073" spans="1:2" x14ac:dyDescent="0.35">
      <c r="A6073" s="34">
        <v>31361513</v>
      </c>
      <c r="B6073" s="35" t="s">
        <v>7133</v>
      </c>
    </row>
    <row r="6074" spans="1:2" x14ac:dyDescent="0.35">
      <c r="A6074" s="34">
        <v>31361601</v>
      </c>
      <c r="B6074" s="35" t="s">
        <v>6768</v>
      </c>
    </row>
    <row r="6075" spans="1:2" x14ac:dyDescent="0.35">
      <c r="A6075" s="34">
        <v>31361602</v>
      </c>
      <c r="B6075" s="35" t="s">
        <v>15189</v>
      </c>
    </row>
    <row r="6076" spans="1:2" x14ac:dyDescent="0.35">
      <c r="A6076" s="34">
        <v>31361603</v>
      </c>
      <c r="B6076" s="35" t="s">
        <v>9904</v>
      </c>
    </row>
    <row r="6077" spans="1:2" x14ac:dyDescent="0.35">
      <c r="A6077" s="34">
        <v>31361604</v>
      </c>
      <c r="B6077" s="35" t="s">
        <v>6929</v>
      </c>
    </row>
    <row r="6078" spans="1:2" x14ac:dyDescent="0.35">
      <c r="A6078" s="34">
        <v>31361605</v>
      </c>
      <c r="B6078" s="35" t="s">
        <v>11654</v>
      </c>
    </row>
    <row r="6079" spans="1:2" x14ac:dyDescent="0.35">
      <c r="A6079" s="34">
        <v>31361606</v>
      </c>
      <c r="B6079" s="35" t="s">
        <v>294</v>
      </c>
    </row>
    <row r="6080" spans="1:2" x14ac:dyDescent="0.35">
      <c r="A6080" s="34">
        <v>31361609</v>
      </c>
      <c r="B6080" s="35" t="s">
        <v>3585</v>
      </c>
    </row>
    <row r="6081" spans="1:2" x14ac:dyDescent="0.35">
      <c r="A6081" s="34">
        <v>31361610</v>
      </c>
      <c r="B6081" s="35" t="s">
        <v>17623</v>
      </c>
    </row>
    <row r="6082" spans="1:2" x14ac:dyDescent="0.35">
      <c r="A6082" s="34">
        <v>31361611</v>
      </c>
      <c r="B6082" s="35" t="s">
        <v>7212</v>
      </c>
    </row>
    <row r="6083" spans="1:2" x14ac:dyDescent="0.35">
      <c r="A6083" s="34">
        <v>31361612</v>
      </c>
      <c r="B6083" s="35" t="s">
        <v>14953</v>
      </c>
    </row>
    <row r="6084" spans="1:2" x14ac:dyDescent="0.35">
      <c r="A6084" s="34">
        <v>31361613</v>
      </c>
      <c r="B6084" s="35" t="s">
        <v>10200</v>
      </c>
    </row>
    <row r="6085" spans="1:2" x14ac:dyDescent="0.35">
      <c r="A6085" s="34">
        <v>31361701</v>
      </c>
      <c r="B6085" s="35" t="s">
        <v>16227</v>
      </c>
    </row>
    <row r="6086" spans="1:2" x14ac:dyDescent="0.35">
      <c r="A6086" s="34">
        <v>31361702</v>
      </c>
      <c r="B6086" s="35" t="s">
        <v>11306</v>
      </c>
    </row>
    <row r="6087" spans="1:2" x14ac:dyDescent="0.35">
      <c r="A6087" s="34">
        <v>31361703</v>
      </c>
      <c r="B6087" s="35" t="s">
        <v>17825</v>
      </c>
    </row>
    <row r="6088" spans="1:2" x14ac:dyDescent="0.35">
      <c r="A6088" s="34">
        <v>31361704</v>
      </c>
      <c r="B6088" s="35" t="s">
        <v>8285</v>
      </c>
    </row>
    <row r="6089" spans="1:2" x14ac:dyDescent="0.35">
      <c r="A6089" s="34">
        <v>31361705</v>
      </c>
      <c r="B6089" s="35" t="s">
        <v>420</v>
      </c>
    </row>
    <row r="6090" spans="1:2" x14ac:dyDescent="0.35">
      <c r="A6090" s="34">
        <v>31361706</v>
      </c>
      <c r="B6090" s="35" t="s">
        <v>440</v>
      </c>
    </row>
    <row r="6091" spans="1:2" x14ac:dyDescent="0.35">
      <c r="A6091" s="34">
        <v>31361709</v>
      </c>
      <c r="B6091" s="35" t="s">
        <v>17349</v>
      </c>
    </row>
    <row r="6092" spans="1:2" x14ac:dyDescent="0.35">
      <c r="A6092" s="34">
        <v>31361710</v>
      </c>
      <c r="B6092" s="35" t="s">
        <v>2479</v>
      </c>
    </row>
    <row r="6093" spans="1:2" x14ac:dyDescent="0.35">
      <c r="A6093" s="34">
        <v>31361711</v>
      </c>
      <c r="B6093" s="35" t="s">
        <v>8068</v>
      </c>
    </row>
    <row r="6094" spans="1:2" x14ac:dyDescent="0.35">
      <c r="A6094" s="34">
        <v>31361712</v>
      </c>
      <c r="B6094" s="35" t="s">
        <v>19015</v>
      </c>
    </row>
    <row r="6095" spans="1:2" x14ac:dyDescent="0.35">
      <c r="A6095" s="34">
        <v>31361713</v>
      </c>
      <c r="B6095" s="35" t="s">
        <v>4247</v>
      </c>
    </row>
    <row r="6096" spans="1:2" x14ac:dyDescent="0.35">
      <c r="A6096" s="34">
        <v>31371001</v>
      </c>
      <c r="B6096" s="35" t="s">
        <v>18940</v>
      </c>
    </row>
    <row r="6097" spans="1:2" x14ac:dyDescent="0.35">
      <c r="A6097" s="34">
        <v>31371002</v>
      </c>
      <c r="B6097" s="35" t="s">
        <v>12412</v>
      </c>
    </row>
    <row r="6098" spans="1:2" x14ac:dyDescent="0.35">
      <c r="A6098" s="34">
        <v>31371003</v>
      </c>
      <c r="B6098" s="35" t="s">
        <v>9591</v>
      </c>
    </row>
    <row r="6099" spans="1:2" x14ac:dyDescent="0.35">
      <c r="A6099" s="34">
        <v>31371101</v>
      </c>
      <c r="B6099" s="35" t="s">
        <v>7546</v>
      </c>
    </row>
    <row r="6100" spans="1:2" x14ac:dyDescent="0.35">
      <c r="A6100" s="34">
        <v>31371102</v>
      </c>
      <c r="B6100" s="35" t="s">
        <v>6179</v>
      </c>
    </row>
    <row r="6101" spans="1:2" x14ac:dyDescent="0.35">
      <c r="A6101" s="34">
        <v>31371103</v>
      </c>
      <c r="B6101" s="35" t="s">
        <v>10434</v>
      </c>
    </row>
    <row r="6102" spans="1:2" x14ac:dyDescent="0.35">
      <c r="A6102" s="34">
        <v>31371104</v>
      </c>
      <c r="B6102" s="35" t="s">
        <v>19008</v>
      </c>
    </row>
    <row r="6103" spans="1:2" x14ac:dyDescent="0.35">
      <c r="A6103" s="34">
        <v>31371105</v>
      </c>
      <c r="B6103" s="35" t="s">
        <v>15540</v>
      </c>
    </row>
    <row r="6104" spans="1:2" x14ac:dyDescent="0.35">
      <c r="A6104" s="34">
        <v>31371106</v>
      </c>
      <c r="B6104" s="35" t="s">
        <v>917</v>
      </c>
    </row>
    <row r="6105" spans="1:2" x14ac:dyDescent="0.35">
      <c r="A6105" s="34">
        <v>31371107</v>
      </c>
      <c r="B6105" s="35" t="s">
        <v>14004</v>
      </c>
    </row>
    <row r="6106" spans="1:2" x14ac:dyDescent="0.35">
      <c r="A6106" s="34">
        <v>31371201</v>
      </c>
      <c r="B6106" s="35" t="s">
        <v>10686</v>
      </c>
    </row>
    <row r="6107" spans="1:2" x14ac:dyDescent="0.35">
      <c r="A6107" s="34">
        <v>31371202</v>
      </c>
      <c r="B6107" s="35" t="s">
        <v>19407</v>
      </c>
    </row>
    <row r="6108" spans="1:2" x14ac:dyDescent="0.35">
      <c r="A6108" s="34">
        <v>31371203</v>
      </c>
      <c r="B6108" s="35" t="s">
        <v>18887</v>
      </c>
    </row>
    <row r="6109" spans="1:2" x14ac:dyDescent="0.35">
      <c r="A6109" s="34">
        <v>31371204</v>
      </c>
      <c r="B6109" s="35" t="s">
        <v>8232</v>
      </c>
    </row>
    <row r="6110" spans="1:2" x14ac:dyDescent="0.35">
      <c r="A6110" s="34">
        <v>31371205</v>
      </c>
      <c r="B6110" s="35" t="s">
        <v>13601</v>
      </c>
    </row>
    <row r="6111" spans="1:2" x14ac:dyDescent="0.35">
      <c r="A6111" s="34">
        <v>31371206</v>
      </c>
      <c r="B6111" s="35" t="s">
        <v>6634</v>
      </c>
    </row>
    <row r="6112" spans="1:2" x14ac:dyDescent="0.35">
      <c r="A6112" s="34">
        <v>31371207</v>
      </c>
      <c r="B6112" s="35" t="s">
        <v>684</v>
      </c>
    </row>
    <row r="6113" spans="1:2" x14ac:dyDescent="0.35">
      <c r="A6113" s="34">
        <v>31371208</v>
      </c>
      <c r="B6113" s="35" t="s">
        <v>5728</v>
      </c>
    </row>
    <row r="6114" spans="1:2" x14ac:dyDescent="0.35">
      <c r="A6114" s="34">
        <v>31371209</v>
      </c>
      <c r="B6114" s="35" t="s">
        <v>16320</v>
      </c>
    </row>
    <row r="6115" spans="1:2" x14ac:dyDescent="0.35">
      <c r="A6115" s="34">
        <v>31371301</v>
      </c>
      <c r="B6115" s="35" t="s">
        <v>5808</v>
      </c>
    </row>
    <row r="6116" spans="1:2" x14ac:dyDescent="0.35">
      <c r="A6116" s="34">
        <v>31371302</v>
      </c>
      <c r="B6116" s="35" t="s">
        <v>4573</v>
      </c>
    </row>
    <row r="6117" spans="1:2" x14ac:dyDescent="0.35">
      <c r="A6117" s="34">
        <v>31371401</v>
      </c>
      <c r="B6117" s="35" t="s">
        <v>6830</v>
      </c>
    </row>
    <row r="6118" spans="1:2" x14ac:dyDescent="0.35">
      <c r="A6118" s="34">
        <v>31381001</v>
      </c>
      <c r="B6118" s="35" t="s">
        <v>11349</v>
      </c>
    </row>
    <row r="6119" spans="1:2" x14ac:dyDescent="0.35">
      <c r="A6119" s="34">
        <v>31381002</v>
      </c>
      <c r="B6119" s="35" t="s">
        <v>1515</v>
      </c>
    </row>
    <row r="6120" spans="1:2" x14ac:dyDescent="0.35">
      <c r="A6120" s="34">
        <v>31381003</v>
      </c>
      <c r="B6120" s="35" t="s">
        <v>19559</v>
      </c>
    </row>
    <row r="6121" spans="1:2" x14ac:dyDescent="0.35">
      <c r="A6121" s="34">
        <v>31381004</v>
      </c>
      <c r="B6121" s="35" t="s">
        <v>79</v>
      </c>
    </row>
    <row r="6122" spans="1:2" x14ac:dyDescent="0.35">
      <c r="A6122" s="34">
        <v>31381005</v>
      </c>
      <c r="B6122" s="35" t="s">
        <v>2293</v>
      </c>
    </row>
    <row r="6123" spans="1:2" x14ac:dyDescent="0.35">
      <c r="A6123" s="34">
        <v>32101502</v>
      </c>
      <c r="B6123" s="35" t="s">
        <v>17625</v>
      </c>
    </row>
    <row r="6124" spans="1:2" x14ac:dyDescent="0.35">
      <c r="A6124" s="34">
        <v>32101503</v>
      </c>
      <c r="B6124" s="35" t="s">
        <v>19262</v>
      </c>
    </row>
    <row r="6125" spans="1:2" x14ac:dyDescent="0.35">
      <c r="A6125" s="34">
        <v>32101504</v>
      </c>
      <c r="B6125" s="35" t="s">
        <v>4575</v>
      </c>
    </row>
    <row r="6126" spans="1:2" x14ac:dyDescent="0.35">
      <c r="A6126" s="34">
        <v>32101505</v>
      </c>
      <c r="B6126" s="35" t="s">
        <v>10201</v>
      </c>
    </row>
    <row r="6127" spans="1:2" x14ac:dyDescent="0.35">
      <c r="A6127" s="34">
        <v>32101506</v>
      </c>
      <c r="B6127" s="35" t="s">
        <v>15684</v>
      </c>
    </row>
    <row r="6128" spans="1:2" x14ac:dyDescent="0.35">
      <c r="A6128" s="34">
        <v>32101507</v>
      </c>
      <c r="B6128" s="35" t="s">
        <v>7707</v>
      </c>
    </row>
    <row r="6129" spans="1:2" x14ac:dyDescent="0.35">
      <c r="A6129" s="34">
        <v>32101508</v>
      </c>
      <c r="B6129" s="35" t="s">
        <v>5237</v>
      </c>
    </row>
    <row r="6130" spans="1:2" x14ac:dyDescent="0.35">
      <c r="A6130" s="34">
        <v>32101509</v>
      </c>
      <c r="B6130" s="35" t="s">
        <v>8479</v>
      </c>
    </row>
    <row r="6131" spans="1:2" x14ac:dyDescent="0.35">
      <c r="A6131" s="34">
        <v>32101510</v>
      </c>
      <c r="B6131" s="35" t="s">
        <v>380</v>
      </c>
    </row>
    <row r="6132" spans="1:2" x14ac:dyDescent="0.35">
      <c r="A6132" s="34">
        <v>32101512</v>
      </c>
      <c r="B6132" s="35" t="s">
        <v>16771</v>
      </c>
    </row>
    <row r="6133" spans="1:2" x14ac:dyDescent="0.35">
      <c r="A6133" s="34">
        <v>32101513</v>
      </c>
      <c r="B6133" s="35" t="s">
        <v>12040</v>
      </c>
    </row>
    <row r="6134" spans="1:2" x14ac:dyDescent="0.35">
      <c r="A6134" s="34">
        <v>32101514</v>
      </c>
      <c r="B6134" s="35" t="s">
        <v>19318</v>
      </c>
    </row>
    <row r="6135" spans="1:2" x14ac:dyDescent="0.35">
      <c r="A6135" s="34">
        <v>32101515</v>
      </c>
      <c r="B6135" s="35" t="s">
        <v>6172</v>
      </c>
    </row>
    <row r="6136" spans="1:2" x14ac:dyDescent="0.35">
      <c r="A6136" s="34">
        <v>32101516</v>
      </c>
      <c r="B6136" s="35" t="s">
        <v>6645</v>
      </c>
    </row>
    <row r="6137" spans="1:2" x14ac:dyDescent="0.35">
      <c r="A6137" s="34">
        <v>32101517</v>
      </c>
      <c r="B6137" s="35" t="s">
        <v>10579</v>
      </c>
    </row>
    <row r="6138" spans="1:2" x14ac:dyDescent="0.35">
      <c r="A6138" s="34">
        <v>32101518</v>
      </c>
      <c r="B6138" s="35" t="s">
        <v>16042</v>
      </c>
    </row>
    <row r="6139" spans="1:2" x14ac:dyDescent="0.35">
      <c r="A6139" s="34">
        <v>32101519</v>
      </c>
      <c r="B6139" s="35" t="s">
        <v>19026</v>
      </c>
    </row>
    <row r="6140" spans="1:2" x14ac:dyDescent="0.35">
      <c r="A6140" s="34">
        <v>32101520</v>
      </c>
      <c r="B6140" s="35" t="s">
        <v>11953</v>
      </c>
    </row>
    <row r="6141" spans="1:2" x14ac:dyDescent="0.35">
      <c r="A6141" s="34">
        <v>32101521</v>
      </c>
      <c r="B6141" s="35" t="s">
        <v>6465</v>
      </c>
    </row>
    <row r="6142" spans="1:2" x14ac:dyDescent="0.35">
      <c r="A6142" s="34">
        <v>32101522</v>
      </c>
      <c r="B6142" s="35" t="s">
        <v>16632</v>
      </c>
    </row>
    <row r="6143" spans="1:2" x14ac:dyDescent="0.35">
      <c r="A6143" s="34">
        <v>32101523</v>
      </c>
      <c r="B6143" s="35" t="s">
        <v>16031</v>
      </c>
    </row>
    <row r="6144" spans="1:2" x14ac:dyDescent="0.35">
      <c r="A6144" s="34">
        <v>32101524</v>
      </c>
      <c r="B6144" s="35" t="s">
        <v>19429</v>
      </c>
    </row>
    <row r="6145" spans="1:2" x14ac:dyDescent="0.35">
      <c r="A6145" s="34">
        <v>32101525</v>
      </c>
      <c r="B6145" s="35" t="s">
        <v>2936</v>
      </c>
    </row>
    <row r="6146" spans="1:2" x14ac:dyDescent="0.35">
      <c r="A6146" s="34">
        <v>32101526</v>
      </c>
      <c r="B6146" s="35" t="s">
        <v>15258</v>
      </c>
    </row>
    <row r="6147" spans="1:2" x14ac:dyDescent="0.35">
      <c r="A6147" s="34">
        <v>32101527</v>
      </c>
      <c r="B6147" s="35" t="s">
        <v>6601</v>
      </c>
    </row>
    <row r="6148" spans="1:2" x14ac:dyDescent="0.35">
      <c r="A6148" s="34">
        <v>32101528</v>
      </c>
      <c r="B6148" s="35" t="s">
        <v>17397</v>
      </c>
    </row>
    <row r="6149" spans="1:2" x14ac:dyDescent="0.35">
      <c r="A6149" s="34">
        <v>32101601</v>
      </c>
      <c r="B6149" s="35" t="s">
        <v>8494</v>
      </c>
    </row>
    <row r="6150" spans="1:2" x14ac:dyDescent="0.35">
      <c r="A6150" s="34">
        <v>32101602</v>
      </c>
      <c r="B6150" s="35" t="s">
        <v>10121</v>
      </c>
    </row>
    <row r="6151" spans="1:2" x14ac:dyDescent="0.35">
      <c r="A6151" s="34">
        <v>32101603</v>
      </c>
      <c r="B6151" s="35" t="s">
        <v>15581</v>
      </c>
    </row>
    <row r="6152" spans="1:2" x14ac:dyDescent="0.35">
      <c r="A6152" s="34">
        <v>32101604</v>
      </c>
      <c r="B6152" s="35" t="s">
        <v>10621</v>
      </c>
    </row>
    <row r="6153" spans="1:2" x14ac:dyDescent="0.35">
      <c r="A6153" s="34">
        <v>32101605</v>
      </c>
      <c r="B6153" s="35" t="s">
        <v>1664</v>
      </c>
    </row>
    <row r="6154" spans="1:2" x14ac:dyDescent="0.35">
      <c r="A6154" s="34">
        <v>32101606</v>
      </c>
      <c r="B6154" s="35" t="s">
        <v>19428</v>
      </c>
    </row>
    <row r="6155" spans="1:2" x14ac:dyDescent="0.35">
      <c r="A6155" s="34">
        <v>32101607</v>
      </c>
      <c r="B6155" s="35" t="s">
        <v>2596</v>
      </c>
    </row>
    <row r="6156" spans="1:2" x14ac:dyDescent="0.35">
      <c r="A6156" s="34">
        <v>32101608</v>
      </c>
      <c r="B6156" s="35" t="s">
        <v>11583</v>
      </c>
    </row>
    <row r="6157" spans="1:2" x14ac:dyDescent="0.35">
      <c r="A6157" s="34">
        <v>32101609</v>
      </c>
      <c r="B6157" s="35" t="s">
        <v>4661</v>
      </c>
    </row>
    <row r="6158" spans="1:2" x14ac:dyDescent="0.35">
      <c r="A6158" s="34">
        <v>32101611</v>
      </c>
      <c r="B6158" s="35" t="s">
        <v>8640</v>
      </c>
    </row>
    <row r="6159" spans="1:2" x14ac:dyDescent="0.35">
      <c r="A6159" s="34">
        <v>32101612</v>
      </c>
      <c r="B6159" s="35" t="s">
        <v>9813</v>
      </c>
    </row>
    <row r="6160" spans="1:2" x14ac:dyDescent="0.35">
      <c r="A6160" s="34">
        <v>32101613</v>
      </c>
      <c r="B6160" s="35" t="s">
        <v>1628</v>
      </c>
    </row>
    <row r="6161" spans="1:2" x14ac:dyDescent="0.35">
      <c r="A6161" s="34">
        <v>32101614</v>
      </c>
      <c r="B6161" s="35" t="s">
        <v>5076</v>
      </c>
    </row>
    <row r="6162" spans="1:2" x14ac:dyDescent="0.35">
      <c r="A6162" s="34">
        <v>32101615</v>
      </c>
      <c r="B6162" s="35" t="s">
        <v>2432</v>
      </c>
    </row>
    <row r="6163" spans="1:2" x14ac:dyDescent="0.35">
      <c r="A6163" s="34">
        <v>32101616</v>
      </c>
      <c r="B6163" s="35" t="s">
        <v>9372</v>
      </c>
    </row>
    <row r="6164" spans="1:2" x14ac:dyDescent="0.35">
      <c r="A6164" s="34">
        <v>32101617</v>
      </c>
      <c r="B6164" s="35" t="s">
        <v>8778</v>
      </c>
    </row>
    <row r="6165" spans="1:2" x14ac:dyDescent="0.35">
      <c r="A6165" s="34">
        <v>32101618</v>
      </c>
      <c r="B6165" s="35" t="s">
        <v>12872</v>
      </c>
    </row>
    <row r="6166" spans="1:2" x14ac:dyDescent="0.35">
      <c r="A6166" s="34">
        <v>32101619</v>
      </c>
      <c r="B6166" s="35" t="s">
        <v>18226</v>
      </c>
    </row>
    <row r="6167" spans="1:2" x14ac:dyDescent="0.35">
      <c r="A6167" s="34">
        <v>32101620</v>
      </c>
      <c r="B6167" s="35" t="s">
        <v>6521</v>
      </c>
    </row>
    <row r="6168" spans="1:2" x14ac:dyDescent="0.35">
      <c r="A6168" s="34">
        <v>32101621</v>
      </c>
      <c r="B6168" s="35" t="s">
        <v>713</v>
      </c>
    </row>
    <row r="6169" spans="1:2" x14ac:dyDescent="0.35">
      <c r="A6169" s="34">
        <v>32101622</v>
      </c>
      <c r="B6169" s="35" t="s">
        <v>4770</v>
      </c>
    </row>
    <row r="6170" spans="1:2" x14ac:dyDescent="0.35">
      <c r="A6170" s="34">
        <v>32101623</v>
      </c>
      <c r="B6170" s="35" t="s">
        <v>2573</v>
      </c>
    </row>
    <row r="6171" spans="1:2" x14ac:dyDescent="0.35">
      <c r="A6171" s="34">
        <v>32101624</v>
      </c>
      <c r="B6171" s="35" t="s">
        <v>13487</v>
      </c>
    </row>
    <row r="6172" spans="1:2" x14ac:dyDescent="0.35">
      <c r="A6172" s="34">
        <v>32101625</v>
      </c>
      <c r="B6172" s="35" t="s">
        <v>16477</v>
      </c>
    </row>
    <row r="6173" spans="1:2" x14ac:dyDescent="0.35">
      <c r="A6173" s="34">
        <v>32101626</v>
      </c>
      <c r="B6173" s="35" t="s">
        <v>1123</v>
      </c>
    </row>
    <row r="6174" spans="1:2" x14ac:dyDescent="0.35">
      <c r="A6174" s="34">
        <v>32101627</v>
      </c>
      <c r="B6174" s="35" t="s">
        <v>4136</v>
      </c>
    </row>
    <row r="6175" spans="1:2" x14ac:dyDescent="0.35">
      <c r="A6175" s="34">
        <v>32101628</v>
      </c>
      <c r="B6175" s="35" t="s">
        <v>19550</v>
      </c>
    </row>
    <row r="6176" spans="1:2" x14ac:dyDescent="0.35">
      <c r="A6176" s="34">
        <v>32101629</v>
      </c>
      <c r="B6176" s="35" t="s">
        <v>14773</v>
      </c>
    </row>
    <row r="6177" spans="1:2" x14ac:dyDescent="0.35">
      <c r="A6177" s="34">
        <v>32101630</v>
      </c>
      <c r="B6177" s="35" t="s">
        <v>16533</v>
      </c>
    </row>
    <row r="6178" spans="1:2" x14ac:dyDescent="0.35">
      <c r="A6178" s="34">
        <v>32101631</v>
      </c>
      <c r="B6178" s="35" t="s">
        <v>15016</v>
      </c>
    </row>
    <row r="6179" spans="1:2" x14ac:dyDescent="0.35">
      <c r="A6179" s="34">
        <v>32101632</v>
      </c>
      <c r="B6179" s="35" t="s">
        <v>18762</v>
      </c>
    </row>
    <row r="6180" spans="1:2" x14ac:dyDescent="0.35">
      <c r="A6180" s="34">
        <v>32101633</v>
      </c>
      <c r="B6180" s="35" t="s">
        <v>18639</v>
      </c>
    </row>
    <row r="6181" spans="1:2" x14ac:dyDescent="0.35">
      <c r="A6181" s="34">
        <v>32101634</v>
      </c>
      <c r="B6181" s="35" t="s">
        <v>9877</v>
      </c>
    </row>
    <row r="6182" spans="1:2" x14ac:dyDescent="0.35">
      <c r="A6182" s="34">
        <v>32101635</v>
      </c>
      <c r="B6182" s="35" t="s">
        <v>16076</v>
      </c>
    </row>
    <row r="6183" spans="1:2" x14ac:dyDescent="0.35">
      <c r="A6183" s="34">
        <v>32101636</v>
      </c>
      <c r="B6183" s="35" t="s">
        <v>3540</v>
      </c>
    </row>
    <row r="6184" spans="1:2" x14ac:dyDescent="0.35">
      <c r="A6184" s="34">
        <v>32101637</v>
      </c>
      <c r="B6184" s="35" t="s">
        <v>5797</v>
      </c>
    </row>
    <row r="6185" spans="1:2" x14ac:dyDescent="0.35">
      <c r="A6185" s="34">
        <v>32111501</v>
      </c>
      <c r="B6185" s="35" t="s">
        <v>15034</v>
      </c>
    </row>
    <row r="6186" spans="1:2" x14ac:dyDescent="0.35">
      <c r="A6186" s="34">
        <v>32111502</v>
      </c>
      <c r="B6186" s="35" t="s">
        <v>7173</v>
      </c>
    </row>
    <row r="6187" spans="1:2" x14ac:dyDescent="0.35">
      <c r="A6187" s="34">
        <v>32111503</v>
      </c>
      <c r="B6187" s="35" t="s">
        <v>9417</v>
      </c>
    </row>
    <row r="6188" spans="1:2" x14ac:dyDescent="0.35">
      <c r="A6188" s="34">
        <v>32111504</v>
      </c>
      <c r="B6188" s="35" t="s">
        <v>7013</v>
      </c>
    </row>
    <row r="6189" spans="1:2" x14ac:dyDescent="0.35">
      <c r="A6189" s="34">
        <v>32111505</v>
      </c>
      <c r="B6189" s="35" t="s">
        <v>12209</v>
      </c>
    </row>
    <row r="6190" spans="1:2" x14ac:dyDescent="0.35">
      <c r="A6190" s="34">
        <v>32111506</v>
      </c>
      <c r="B6190" s="35" t="s">
        <v>2113</v>
      </c>
    </row>
    <row r="6191" spans="1:2" x14ac:dyDescent="0.35">
      <c r="A6191" s="34">
        <v>32111507</v>
      </c>
      <c r="B6191" s="35" t="s">
        <v>3894</v>
      </c>
    </row>
    <row r="6192" spans="1:2" x14ac:dyDescent="0.35">
      <c r="A6192" s="34">
        <v>32111508</v>
      </c>
      <c r="B6192" s="35" t="s">
        <v>18705</v>
      </c>
    </row>
    <row r="6193" spans="1:2" x14ac:dyDescent="0.35">
      <c r="A6193" s="34">
        <v>32111509</v>
      </c>
      <c r="B6193" s="35" t="s">
        <v>463</v>
      </c>
    </row>
    <row r="6194" spans="1:2" x14ac:dyDescent="0.35">
      <c r="A6194" s="34">
        <v>32111510</v>
      </c>
      <c r="B6194" s="35" t="s">
        <v>5017</v>
      </c>
    </row>
    <row r="6195" spans="1:2" x14ac:dyDescent="0.35">
      <c r="A6195" s="34">
        <v>32111511</v>
      </c>
      <c r="B6195" s="35" t="s">
        <v>1871</v>
      </c>
    </row>
    <row r="6196" spans="1:2" x14ac:dyDescent="0.35">
      <c r="A6196" s="34">
        <v>32111512</v>
      </c>
      <c r="B6196" s="35" t="s">
        <v>3998</v>
      </c>
    </row>
    <row r="6197" spans="1:2" x14ac:dyDescent="0.35">
      <c r="A6197" s="34">
        <v>32111601</v>
      </c>
      <c r="B6197" s="35" t="s">
        <v>6592</v>
      </c>
    </row>
    <row r="6198" spans="1:2" x14ac:dyDescent="0.35">
      <c r="A6198" s="34">
        <v>32111602</v>
      </c>
      <c r="B6198" s="35" t="s">
        <v>14873</v>
      </c>
    </row>
    <row r="6199" spans="1:2" x14ac:dyDescent="0.35">
      <c r="A6199" s="34">
        <v>32111603</v>
      </c>
      <c r="B6199" s="35" t="s">
        <v>10171</v>
      </c>
    </row>
    <row r="6200" spans="1:2" x14ac:dyDescent="0.35">
      <c r="A6200" s="34">
        <v>32111604</v>
      </c>
      <c r="B6200" s="35" t="s">
        <v>5831</v>
      </c>
    </row>
    <row r="6201" spans="1:2" x14ac:dyDescent="0.35">
      <c r="A6201" s="34">
        <v>32111607</v>
      </c>
      <c r="B6201" s="35" t="s">
        <v>5839</v>
      </c>
    </row>
    <row r="6202" spans="1:2" x14ac:dyDescent="0.35">
      <c r="A6202" s="34">
        <v>32111608</v>
      </c>
      <c r="B6202" s="35" t="s">
        <v>4080</v>
      </c>
    </row>
    <row r="6203" spans="1:2" x14ac:dyDescent="0.35">
      <c r="A6203" s="34">
        <v>32111609</v>
      </c>
      <c r="B6203" s="35" t="s">
        <v>1116</v>
      </c>
    </row>
    <row r="6204" spans="1:2" x14ac:dyDescent="0.35">
      <c r="A6204" s="34">
        <v>32111610</v>
      </c>
      <c r="B6204" s="35" t="s">
        <v>7651</v>
      </c>
    </row>
    <row r="6205" spans="1:2" x14ac:dyDescent="0.35">
      <c r="A6205" s="34">
        <v>32111611</v>
      </c>
      <c r="B6205" s="35" t="s">
        <v>3005</v>
      </c>
    </row>
    <row r="6206" spans="1:2" x14ac:dyDescent="0.35">
      <c r="A6206" s="34">
        <v>32111701</v>
      </c>
      <c r="B6206" s="35" t="s">
        <v>2679</v>
      </c>
    </row>
    <row r="6207" spans="1:2" x14ac:dyDescent="0.35">
      <c r="A6207" s="34">
        <v>32111702</v>
      </c>
      <c r="B6207" s="35" t="s">
        <v>16283</v>
      </c>
    </row>
    <row r="6208" spans="1:2" x14ac:dyDescent="0.35">
      <c r="A6208" s="34">
        <v>32111703</v>
      </c>
      <c r="B6208" s="35" t="s">
        <v>7023</v>
      </c>
    </row>
    <row r="6209" spans="1:2" x14ac:dyDescent="0.35">
      <c r="A6209" s="34">
        <v>32111704</v>
      </c>
      <c r="B6209" s="35" t="s">
        <v>10307</v>
      </c>
    </row>
    <row r="6210" spans="1:2" x14ac:dyDescent="0.35">
      <c r="A6210" s="34">
        <v>32111705</v>
      </c>
      <c r="B6210" s="35" t="s">
        <v>542</v>
      </c>
    </row>
    <row r="6211" spans="1:2" x14ac:dyDescent="0.35">
      <c r="A6211" s="34">
        <v>32111706</v>
      </c>
      <c r="B6211" s="35" t="s">
        <v>15457</v>
      </c>
    </row>
    <row r="6212" spans="1:2" x14ac:dyDescent="0.35">
      <c r="A6212" s="34">
        <v>32121501</v>
      </c>
      <c r="B6212" s="35" t="s">
        <v>4450</v>
      </c>
    </row>
    <row r="6213" spans="1:2" x14ac:dyDescent="0.35">
      <c r="A6213" s="34">
        <v>32121502</v>
      </c>
      <c r="B6213" s="35" t="s">
        <v>8984</v>
      </c>
    </row>
    <row r="6214" spans="1:2" x14ac:dyDescent="0.35">
      <c r="A6214" s="34">
        <v>32121503</v>
      </c>
      <c r="B6214" s="35" t="s">
        <v>13997</v>
      </c>
    </row>
    <row r="6215" spans="1:2" x14ac:dyDescent="0.35">
      <c r="A6215" s="34">
        <v>32121504</v>
      </c>
      <c r="B6215" s="35" t="s">
        <v>13658</v>
      </c>
    </row>
    <row r="6216" spans="1:2" x14ac:dyDescent="0.35">
      <c r="A6216" s="34">
        <v>32121602</v>
      </c>
      <c r="B6216" s="35" t="s">
        <v>18830</v>
      </c>
    </row>
    <row r="6217" spans="1:2" x14ac:dyDescent="0.35">
      <c r="A6217" s="34">
        <v>32121603</v>
      </c>
      <c r="B6217" s="35" t="s">
        <v>563</v>
      </c>
    </row>
    <row r="6218" spans="1:2" x14ac:dyDescent="0.35">
      <c r="A6218" s="34">
        <v>32121607</v>
      </c>
      <c r="B6218" s="35" t="s">
        <v>10572</v>
      </c>
    </row>
    <row r="6219" spans="1:2" x14ac:dyDescent="0.35">
      <c r="A6219" s="34">
        <v>32121609</v>
      </c>
      <c r="B6219" s="35" t="s">
        <v>8556</v>
      </c>
    </row>
    <row r="6220" spans="1:2" x14ac:dyDescent="0.35">
      <c r="A6220" s="34">
        <v>32121701</v>
      </c>
      <c r="B6220" s="35" t="s">
        <v>5038</v>
      </c>
    </row>
    <row r="6221" spans="1:2" x14ac:dyDescent="0.35">
      <c r="A6221" s="34">
        <v>32121702</v>
      </c>
      <c r="B6221" s="35" t="s">
        <v>14388</v>
      </c>
    </row>
    <row r="6222" spans="1:2" x14ac:dyDescent="0.35">
      <c r="A6222" s="34">
        <v>32121703</v>
      </c>
      <c r="B6222" s="35" t="s">
        <v>16997</v>
      </c>
    </row>
    <row r="6223" spans="1:2" x14ac:dyDescent="0.35">
      <c r="A6223" s="34">
        <v>32121704</v>
      </c>
      <c r="B6223" s="35" t="s">
        <v>14242</v>
      </c>
    </row>
    <row r="6224" spans="1:2" x14ac:dyDescent="0.35">
      <c r="A6224" s="34">
        <v>32121705</v>
      </c>
      <c r="B6224" s="35" t="s">
        <v>8601</v>
      </c>
    </row>
    <row r="6225" spans="1:2" x14ac:dyDescent="0.35">
      <c r="A6225" s="34">
        <v>32121706</v>
      </c>
      <c r="B6225" s="35" t="s">
        <v>8020</v>
      </c>
    </row>
    <row r="6226" spans="1:2" x14ac:dyDescent="0.35">
      <c r="A6226" s="34">
        <v>32131001</v>
      </c>
      <c r="B6226" s="35" t="s">
        <v>4557</v>
      </c>
    </row>
    <row r="6227" spans="1:2" x14ac:dyDescent="0.35">
      <c r="A6227" s="34">
        <v>32131002</v>
      </c>
      <c r="B6227" s="35" t="s">
        <v>14785</v>
      </c>
    </row>
    <row r="6228" spans="1:2" x14ac:dyDescent="0.35">
      <c r="A6228" s="34">
        <v>32131003</v>
      </c>
      <c r="B6228" s="35" t="s">
        <v>15783</v>
      </c>
    </row>
    <row r="6229" spans="1:2" x14ac:dyDescent="0.35">
      <c r="A6229" s="34">
        <v>32131005</v>
      </c>
      <c r="B6229" s="35" t="s">
        <v>7387</v>
      </c>
    </row>
    <row r="6230" spans="1:2" x14ac:dyDescent="0.35">
      <c r="A6230" s="34">
        <v>32131006</v>
      </c>
      <c r="B6230" s="35" t="s">
        <v>19357</v>
      </c>
    </row>
    <row r="6231" spans="1:2" x14ac:dyDescent="0.35">
      <c r="A6231" s="34">
        <v>32131007</v>
      </c>
      <c r="B6231" s="35" t="s">
        <v>4513</v>
      </c>
    </row>
    <row r="6232" spans="1:2" x14ac:dyDescent="0.35">
      <c r="A6232" s="34">
        <v>32131008</v>
      </c>
      <c r="B6232" s="35" t="s">
        <v>17668</v>
      </c>
    </row>
    <row r="6233" spans="1:2" x14ac:dyDescent="0.35">
      <c r="A6233" s="34">
        <v>32131009</v>
      </c>
      <c r="B6233" s="35" t="s">
        <v>1721</v>
      </c>
    </row>
    <row r="6234" spans="1:2" x14ac:dyDescent="0.35">
      <c r="A6234" s="34">
        <v>32131010</v>
      </c>
      <c r="B6234" s="35" t="s">
        <v>10126</v>
      </c>
    </row>
    <row r="6235" spans="1:2" x14ac:dyDescent="0.35">
      <c r="A6235" s="34">
        <v>32131011</v>
      </c>
      <c r="B6235" s="35" t="s">
        <v>11762</v>
      </c>
    </row>
    <row r="6236" spans="1:2" x14ac:dyDescent="0.35">
      <c r="A6236" s="34">
        <v>32131012</v>
      </c>
      <c r="B6236" s="35" t="s">
        <v>9677</v>
      </c>
    </row>
    <row r="6237" spans="1:2" x14ac:dyDescent="0.35">
      <c r="A6237" s="34">
        <v>32141001</v>
      </c>
      <c r="B6237" s="35" t="s">
        <v>16803</v>
      </c>
    </row>
    <row r="6238" spans="1:2" x14ac:dyDescent="0.35">
      <c r="A6238" s="34">
        <v>32141002</v>
      </c>
      <c r="B6238" s="35" t="s">
        <v>9658</v>
      </c>
    </row>
    <row r="6239" spans="1:2" x14ac:dyDescent="0.35">
      <c r="A6239" s="34">
        <v>32141003</v>
      </c>
      <c r="B6239" s="35" t="s">
        <v>9488</v>
      </c>
    </row>
    <row r="6240" spans="1:2" x14ac:dyDescent="0.35">
      <c r="A6240" s="34">
        <v>32141004</v>
      </c>
      <c r="B6240" s="35" t="s">
        <v>9794</v>
      </c>
    </row>
    <row r="6241" spans="1:2" x14ac:dyDescent="0.35">
      <c r="A6241" s="34">
        <v>32141005</v>
      </c>
      <c r="B6241" s="35" t="s">
        <v>16777</v>
      </c>
    </row>
    <row r="6242" spans="1:2" x14ac:dyDescent="0.35">
      <c r="A6242" s="34">
        <v>32141006</v>
      </c>
      <c r="B6242" s="35" t="s">
        <v>7674</v>
      </c>
    </row>
    <row r="6243" spans="1:2" x14ac:dyDescent="0.35">
      <c r="A6243" s="34">
        <v>32141007</v>
      </c>
      <c r="B6243" s="35" t="s">
        <v>4936</v>
      </c>
    </row>
    <row r="6244" spans="1:2" x14ac:dyDescent="0.35">
      <c r="A6244" s="34">
        <v>32141008</v>
      </c>
      <c r="B6244" s="35" t="s">
        <v>18829</v>
      </c>
    </row>
    <row r="6245" spans="1:2" x14ac:dyDescent="0.35">
      <c r="A6245" s="34">
        <v>32141009</v>
      </c>
      <c r="B6245" s="35" t="s">
        <v>13783</v>
      </c>
    </row>
    <row r="6246" spans="1:2" x14ac:dyDescent="0.35">
      <c r="A6246" s="34">
        <v>32141010</v>
      </c>
      <c r="B6246" s="35" t="s">
        <v>12039</v>
      </c>
    </row>
    <row r="6247" spans="1:2" x14ac:dyDescent="0.35">
      <c r="A6247" s="34">
        <v>32141011</v>
      </c>
      <c r="B6247" s="35" t="s">
        <v>831</v>
      </c>
    </row>
    <row r="6248" spans="1:2" x14ac:dyDescent="0.35">
      <c r="A6248" s="34">
        <v>32141012</v>
      </c>
      <c r="B6248" s="35" t="s">
        <v>15767</v>
      </c>
    </row>
    <row r="6249" spans="1:2" x14ac:dyDescent="0.35">
      <c r="A6249" s="34">
        <v>32141013</v>
      </c>
      <c r="B6249" s="35" t="s">
        <v>10590</v>
      </c>
    </row>
    <row r="6250" spans="1:2" x14ac:dyDescent="0.35">
      <c r="A6250" s="34">
        <v>32141014</v>
      </c>
      <c r="B6250" s="35" t="s">
        <v>11672</v>
      </c>
    </row>
    <row r="6251" spans="1:2" x14ac:dyDescent="0.35">
      <c r="A6251" s="34">
        <v>32141015</v>
      </c>
      <c r="B6251" s="35" t="s">
        <v>6532</v>
      </c>
    </row>
    <row r="6252" spans="1:2" x14ac:dyDescent="0.35">
      <c r="A6252" s="34">
        <v>32141016</v>
      </c>
      <c r="B6252" s="35" t="s">
        <v>12542</v>
      </c>
    </row>
    <row r="6253" spans="1:2" x14ac:dyDescent="0.35">
      <c r="A6253" s="34">
        <v>32141101</v>
      </c>
      <c r="B6253" s="35" t="s">
        <v>3224</v>
      </c>
    </row>
    <row r="6254" spans="1:2" x14ac:dyDescent="0.35">
      <c r="A6254" s="34">
        <v>32141102</v>
      </c>
      <c r="B6254" s="35" t="s">
        <v>2214</v>
      </c>
    </row>
    <row r="6255" spans="1:2" x14ac:dyDescent="0.35">
      <c r="A6255" s="34">
        <v>32141103</v>
      </c>
      <c r="B6255" s="35" t="s">
        <v>10751</v>
      </c>
    </row>
    <row r="6256" spans="1:2" x14ac:dyDescent="0.35">
      <c r="A6256" s="34">
        <v>32141104</v>
      </c>
      <c r="B6256" s="35" t="s">
        <v>17994</v>
      </c>
    </row>
    <row r="6257" spans="1:2" x14ac:dyDescent="0.35">
      <c r="A6257" s="34">
        <v>32141105</v>
      </c>
      <c r="B6257" s="35" t="s">
        <v>17471</v>
      </c>
    </row>
    <row r="6258" spans="1:2" x14ac:dyDescent="0.35">
      <c r="A6258" s="34">
        <v>32141106</v>
      </c>
      <c r="B6258" s="35" t="s">
        <v>9595</v>
      </c>
    </row>
    <row r="6259" spans="1:2" x14ac:dyDescent="0.35">
      <c r="A6259" s="34">
        <v>32141107</v>
      </c>
      <c r="B6259" s="35" t="s">
        <v>18698</v>
      </c>
    </row>
    <row r="6260" spans="1:2" x14ac:dyDescent="0.35">
      <c r="A6260" s="34">
        <v>32141108</v>
      </c>
      <c r="B6260" s="35" t="s">
        <v>3835</v>
      </c>
    </row>
    <row r="6261" spans="1:2" x14ac:dyDescent="0.35">
      <c r="A6261" s="34">
        <v>32141109</v>
      </c>
      <c r="B6261" s="35" t="s">
        <v>16474</v>
      </c>
    </row>
    <row r="6262" spans="1:2" x14ac:dyDescent="0.35">
      <c r="A6262" s="34">
        <v>39101601</v>
      </c>
      <c r="B6262" s="35" t="s">
        <v>2794</v>
      </c>
    </row>
    <row r="6263" spans="1:2" x14ac:dyDescent="0.35">
      <c r="A6263" s="34">
        <v>39101602</v>
      </c>
      <c r="B6263" s="35" t="s">
        <v>8312</v>
      </c>
    </row>
    <row r="6264" spans="1:2" x14ac:dyDescent="0.35">
      <c r="A6264" s="34">
        <v>39101603</v>
      </c>
      <c r="B6264" s="35" t="s">
        <v>236</v>
      </c>
    </row>
    <row r="6265" spans="1:2" x14ac:dyDescent="0.35">
      <c r="A6265" s="34">
        <v>39101604</v>
      </c>
      <c r="B6265" s="35" t="s">
        <v>9060</v>
      </c>
    </row>
    <row r="6266" spans="1:2" x14ac:dyDescent="0.35">
      <c r="A6266" s="34">
        <v>39101605</v>
      </c>
      <c r="B6266" s="35" t="s">
        <v>6098</v>
      </c>
    </row>
    <row r="6267" spans="1:2" x14ac:dyDescent="0.35">
      <c r="A6267" s="34">
        <v>39101606</v>
      </c>
      <c r="B6267" s="35" t="s">
        <v>1657</v>
      </c>
    </row>
    <row r="6268" spans="1:2" x14ac:dyDescent="0.35">
      <c r="A6268" s="34">
        <v>39101608</v>
      </c>
      <c r="B6268" s="35" t="s">
        <v>7095</v>
      </c>
    </row>
    <row r="6269" spans="1:2" x14ac:dyDescent="0.35">
      <c r="A6269" s="34">
        <v>39101609</v>
      </c>
      <c r="B6269" s="35" t="s">
        <v>4027</v>
      </c>
    </row>
    <row r="6270" spans="1:2" x14ac:dyDescent="0.35">
      <c r="A6270" s="34">
        <v>39101610</v>
      </c>
      <c r="B6270" s="35" t="s">
        <v>19546</v>
      </c>
    </row>
    <row r="6271" spans="1:2" x14ac:dyDescent="0.35">
      <c r="A6271" s="34">
        <v>39101612</v>
      </c>
      <c r="B6271" s="35" t="s">
        <v>306</v>
      </c>
    </row>
    <row r="6272" spans="1:2" x14ac:dyDescent="0.35">
      <c r="A6272" s="34">
        <v>39101613</v>
      </c>
      <c r="B6272" s="35" t="s">
        <v>3933</v>
      </c>
    </row>
    <row r="6273" spans="1:2" x14ac:dyDescent="0.35">
      <c r="A6273" s="34">
        <v>39101614</v>
      </c>
      <c r="B6273" s="35" t="s">
        <v>13206</v>
      </c>
    </row>
    <row r="6274" spans="1:2" x14ac:dyDescent="0.35">
      <c r="A6274" s="34">
        <v>39101615</v>
      </c>
      <c r="B6274" s="35" t="s">
        <v>17522</v>
      </c>
    </row>
    <row r="6275" spans="1:2" x14ac:dyDescent="0.35">
      <c r="A6275" s="34">
        <v>39101616</v>
      </c>
      <c r="B6275" s="35" t="s">
        <v>11991</v>
      </c>
    </row>
    <row r="6276" spans="1:2" x14ac:dyDescent="0.35">
      <c r="A6276" s="34">
        <v>39101617</v>
      </c>
      <c r="B6276" s="35" t="s">
        <v>11555</v>
      </c>
    </row>
    <row r="6277" spans="1:2" x14ac:dyDescent="0.35">
      <c r="A6277" s="34">
        <v>39101618</v>
      </c>
      <c r="B6277" s="35" t="s">
        <v>8002</v>
      </c>
    </row>
    <row r="6278" spans="1:2" x14ac:dyDescent="0.35">
      <c r="A6278" s="34">
        <v>39101619</v>
      </c>
      <c r="B6278" s="35" t="s">
        <v>13640</v>
      </c>
    </row>
    <row r="6279" spans="1:2" x14ac:dyDescent="0.35">
      <c r="A6279" s="34">
        <v>39101620</v>
      </c>
      <c r="B6279" s="35" t="s">
        <v>1136</v>
      </c>
    </row>
    <row r="6280" spans="1:2" x14ac:dyDescent="0.35">
      <c r="A6280" s="34">
        <v>39101621</v>
      </c>
      <c r="B6280" s="35" t="s">
        <v>14690</v>
      </c>
    </row>
    <row r="6281" spans="1:2" x14ac:dyDescent="0.35">
      <c r="A6281" s="34">
        <v>39101622</v>
      </c>
      <c r="B6281" s="35" t="s">
        <v>93</v>
      </c>
    </row>
    <row r="6282" spans="1:2" x14ac:dyDescent="0.35">
      <c r="A6282" s="34">
        <v>39101623</v>
      </c>
      <c r="B6282" s="35" t="s">
        <v>14150</v>
      </c>
    </row>
    <row r="6283" spans="1:2" x14ac:dyDescent="0.35">
      <c r="A6283" s="34">
        <v>39101624</v>
      </c>
      <c r="B6283" s="35" t="s">
        <v>14220</v>
      </c>
    </row>
    <row r="6284" spans="1:2" x14ac:dyDescent="0.35">
      <c r="A6284" s="34">
        <v>39101625</v>
      </c>
      <c r="B6284" s="35" t="s">
        <v>9122</v>
      </c>
    </row>
    <row r="6285" spans="1:2" x14ac:dyDescent="0.35">
      <c r="A6285" s="34">
        <v>39101626</v>
      </c>
      <c r="B6285" s="35" t="s">
        <v>2045</v>
      </c>
    </row>
    <row r="6286" spans="1:2" x14ac:dyDescent="0.35">
      <c r="A6286" s="34">
        <v>39101627</v>
      </c>
      <c r="B6286" s="35" t="s">
        <v>5911</v>
      </c>
    </row>
    <row r="6287" spans="1:2" x14ac:dyDescent="0.35">
      <c r="A6287" s="34">
        <v>39101628</v>
      </c>
      <c r="B6287" s="35" t="s">
        <v>11895</v>
      </c>
    </row>
    <row r="6288" spans="1:2" x14ac:dyDescent="0.35">
      <c r="A6288" s="34">
        <v>39101701</v>
      </c>
      <c r="B6288" s="35" t="s">
        <v>3345</v>
      </c>
    </row>
    <row r="6289" spans="1:2" x14ac:dyDescent="0.35">
      <c r="A6289" s="34">
        <v>39101801</v>
      </c>
      <c r="B6289" s="35" t="s">
        <v>18930</v>
      </c>
    </row>
    <row r="6290" spans="1:2" x14ac:dyDescent="0.35">
      <c r="A6290" s="34">
        <v>39111501</v>
      </c>
      <c r="B6290" s="35" t="s">
        <v>1604</v>
      </c>
    </row>
    <row r="6291" spans="1:2" x14ac:dyDescent="0.35">
      <c r="A6291" s="34">
        <v>39111503</v>
      </c>
      <c r="B6291" s="35" t="s">
        <v>9278</v>
      </c>
    </row>
    <row r="6292" spans="1:2" x14ac:dyDescent="0.35">
      <c r="A6292" s="34">
        <v>39111504</v>
      </c>
      <c r="B6292" s="35" t="s">
        <v>8233</v>
      </c>
    </row>
    <row r="6293" spans="1:2" x14ac:dyDescent="0.35">
      <c r="A6293" s="34">
        <v>39111505</v>
      </c>
      <c r="B6293" s="35" t="s">
        <v>16447</v>
      </c>
    </row>
    <row r="6294" spans="1:2" x14ac:dyDescent="0.35">
      <c r="A6294" s="34">
        <v>39111506</v>
      </c>
      <c r="B6294" s="35" t="s">
        <v>5440</v>
      </c>
    </row>
    <row r="6295" spans="1:2" x14ac:dyDescent="0.35">
      <c r="A6295" s="34">
        <v>39111507</v>
      </c>
      <c r="B6295" s="35" t="s">
        <v>18076</v>
      </c>
    </row>
    <row r="6296" spans="1:2" x14ac:dyDescent="0.35">
      <c r="A6296" s="34">
        <v>39111508</v>
      </c>
      <c r="B6296" s="35" t="s">
        <v>2471</v>
      </c>
    </row>
    <row r="6297" spans="1:2" x14ac:dyDescent="0.35">
      <c r="A6297" s="34">
        <v>39111509</v>
      </c>
      <c r="B6297" s="35" t="s">
        <v>16129</v>
      </c>
    </row>
    <row r="6298" spans="1:2" x14ac:dyDescent="0.35">
      <c r="A6298" s="34">
        <v>39111510</v>
      </c>
      <c r="B6298" s="35" t="s">
        <v>8611</v>
      </c>
    </row>
    <row r="6299" spans="1:2" x14ac:dyDescent="0.35">
      <c r="A6299" s="34">
        <v>39111512</v>
      </c>
      <c r="B6299" s="35" t="s">
        <v>14122</v>
      </c>
    </row>
    <row r="6300" spans="1:2" x14ac:dyDescent="0.35">
      <c r="A6300" s="34">
        <v>39111513</v>
      </c>
      <c r="B6300" s="35" t="s">
        <v>9773</v>
      </c>
    </row>
    <row r="6301" spans="1:2" x14ac:dyDescent="0.35">
      <c r="A6301" s="34">
        <v>39111514</v>
      </c>
      <c r="B6301" s="35" t="s">
        <v>15414</v>
      </c>
    </row>
    <row r="6302" spans="1:2" x14ac:dyDescent="0.35">
      <c r="A6302" s="34">
        <v>39111515</v>
      </c>
      <c r="B6302" s="35" t="s">
        <v>7767</v>
      </c>
    </row>
    <row r="6303" spans="1:2" x14ac:dyDescent="0.35">
      <c r="A6303" s="34">
        <v>39111516</v>
      </c>
      <c r="B6303" s="35" t="s">
        <v>9626</v>
      </c>
    </row>
    <row r="6304" spans="1:2" x14ac:dyDescent="0.35">
      <c r="A6304" s="34">
        <v>39111517</v>
      </c>
      <c r="B6304" s="35" t="s">
        <v>1896</v>
      </c>
    </row>
    <row r="6305" spans="1:2" x14ac:dyDescent="0.35">
      <c r="A6305" s="34">
        <v>39111518</v>
      </c>
      <c r="B6305" s="35" t="s">
        <v>1134</v>
      </c>
    </row>
    <row r="6306" spans="1:2" x14ac:dyDescent="0.35">
      <c r="A6306" s="34">
        <v>39111519</v>
      </c>
      <c r="B6306" s="35" t="s">
        <v>17319</v>
      </c>
    </row>
    <row r="6307" spans="1:2" x14ac:dyDescent="0.35">
      <c r="A6307" s="34">
        <v>39111520</v>
      </c>
      <c r="B6307" s="35" t="s">
        <v>1043</v>
      </c>
    </row>
    <row r="6308" spans="1:2" x14ac:dyDescent="0.35">
      <c r="A6308" s="34">
        <v>39111521</v>
      </c>
      <c r="B6308" s="35" t="s">
        <v>18459</v>
      </c>
    </row>
    <row r="6309" spans="1:2" x14ac:dyDescent="0.35">
      <c r="A6309" s="34">
        <v>39111603</v>
      </c>
      <c r="B6309" s="35" t="s">
        <v>14303</v>
      </c>
    </row>
    <row r="6310" spans="1:2" x14ac:dyDescent="0.35">
      <c r="A6310" s="34">
        <v>39111605</v>
      </c>
      <c r="B6310" s="35" t="s">
        <v>19618</v>
      </c>
    </row>
    <row r="6311" spans="1:2" x14ac:dyDescent="0.35">
      <c r="A6311" s="34">
        <v>39111606</v>
      </c>
      <c r="B6311" s="35" t="s">
        <v>3131</v>
      </c>
    </row>
    <row r="6312" spans="1:2" x14ac:dyDescent="0.35">
      <c r="A6312" s="34">
        <v>39111608</v>
      </c>
      <c r="B6312" s="35" t="s">
        <v>9475</v>
      </c>
    </row>
    <row r="6313" spans="1:2" x14ac:dyDescent="0.35">
      <c r="A6313" s="34">
        <v>39111609</v>
      </c>
      <c r="B6313" s="35" t="s">
        <v>4072</v>
      </c>
    </row>
    <row r="6314" spans="1:2" x14ac:dyDescent="0.35">
      <c r="A6314" s="34">
        <v>39111702</v>
      </c>
      <c r="B6314" s="35" t="s">
        <v>19183</v>
      </c>
    </row>
    <row r="6315" spans="1:2" x14ac:dyDescent="0.35">
      <c r="A6315" s="34">
        <v>39111703</v>
      </c>
      <c r="B6315" s="35" t="s">
        <v>19296</v>
      </c>
    </row>
    <row r="6316" spans="1:2" x14ac:dyDescent="0.35">
      <c r="A6316" s="34">
        <v>39111704</v>
      </c>
      <c r="B6316" s="35" t="s">
        <v>13809</v>
      </c>
    </row>
    <row r="6317" spans="1:2" x14ac:dyDescent="0.35">
      <c r="A6317" s="34">
        <v>39111705</v>
      </c>
      <c r="B6317" s="35" t="s">
        <v>18570</v>
      </c>
    </row>
    <row r="6318" spans="1:2" x14ac:dyDescent="0.35">
      <c r="A6318" s="34">
        <v>39111706</v>
      </c>
      <c r="B6318" s="35" t="s">
        <v>6268</v>
      </c>
    </row>
    <row r="6319" spans="1:2" x14ac:dyDescent="0.35">
      <c r="A6319" s="34">
        <v>39111801</v>
      </c>
      <c r="B6319" s="35" t="s">
        <v>13757</v>
      </c>
    </row>
    <row r="6320" spans="1:2" x14ac:dyDescent="0.35">
      <c r="A6320" s="34">
        <v>39111802</v>
      </c>
      <c r="B6320" s="35" t="s">
        <v>15734</v>
      </c>
    </row>
    <row r="6321" spans="1:2" x14ac:dyDescent="0.35">
      <c r="A6321" s="34">
        <v>39111803</v>
      </c>
      <c r="B6321" s="35" t="s">
        <v>14516</v>
      </c>
    </row>
    <row r="6322" spans="1:2" x14ac:dyDescent="0.35">
      <c r="A6322" s="34">
        <v>39111804</v>
      </c>
      <c r="B6322" s="35" t="s">
        <v>18511</v>
      </c>
    </row>
    <row r="6323" spans="1:2" x14ac:dyDescent="0.35">
      <c r="A6323" s="34">
        <v>39111806</v>
      </c>
      <c r="B6323" s="35" t="s">
        <v>8865</v>
      </c>
    </row>
    <row r="6324" spans="1:2" x14ac:dyDescent="0.35">
      <c r="A6324" s="34">
        <v>39111808</v>
      </c>
      <c r="B6324" s="35" t="s">
        <v>9370</v>
      </c>
    </row>
    <row r="6325" spans="1:2" x14ac:dyDescent="0.35">
      <c r="A6325" s="34">
        <v>39111809</v>
      </c>
      <c r="B6325" s="35" t="s">
        <v>3977</v>
      </c>
    </row>
    <row r="6326" spans="1:2" x14ac:dyDescent="0.35">
      <c r="A6326" s="34">
        <v>39111810</v>
      </c>
      <c r="B6326" s="35" t="s">
        <v>5503</v>
      </c>
    </row>
    <row r="6327" spans="1:2" x14ac:dyDescent="0.35">
      <c r="A6327" s="34">
        <v>39111811</v>
      </c>
      <c r="B6327" s="35" t="s">
        <v>3566</v>
      </c>
    </row>
    <row r="6328" spans="1:2" x14ac:dyDescent="0.35">
      <c r="A6328" s="34">
        <v>39111812</v>
      </c>
      <c r="B6328" s="35" t="s">
        <v>519</v>
      </c>
    </row>
    <row r="6329" spans="1:2" x14ac:dyDescent="0.35">
      <c r="A6329" s="34">
        <v>39111813</v>
      </c>
      <c r="B6329" s="35" t="s">
        <v>2916</v>
      </c>
    </row>
    <row r="6330" spans="1:2" x14ac:dyDescent="0.35">
      <c r="A6330" s="34">
        <v>39111901</v>
      </c>
      <c r="B6330" s="35" t="s">
        <v>5875</v>
      </c>
    </row>
    <row r="6331" spans="1:2" x14ac:dyDescent="0.35">
      <c r="A6331" s="34">
        <v>39111902</v>
      </c>
      <c r="B6331" s="35" t="s">
        <v>5008</v>
      </c>
    </row>
    <row r="6332" spans="1:2" x14ac:dyDescent="0.35">
      <c r="A6332" s="34">
        <v>39112001</v>
      </c>
      <c r="B6332" s="35" t="s">
        <v>14849</v>
      </c>
    </row>
    <row r="6333" spans="1:2" x14ac:dyDescent="0.35">
      <c r="A6333" s="34">
        <v>39112002</v>
      </c>
      <c r="B6333" s="35" t="s">
        <v>9844</v>
      </c>
    </row>
    <row r="6334" spans="1:2" x14ac:dyDescent="0.35">
      <c r="A6334" s="34">
        <v>39112003</v>
      </c>
      <c r="B6334" s="35" t="s">
        <v>12213</v>
      </c>
    </row>
    <row r="6335" spans="1:2" x14ac:dyDescent="0.35">
      <c r="A6335" s="34">
        <v>39121001</v>
      </c>
      <c r="B6335" s="35" t="s">
        <v>5398</v>
      </c>
    </row>
    <row r="6336" spans="1:2" x14ac:dyDescent="0.35">
      <c r="A6336" s="34">
        <v>39121002</v>
      </c>
      <c r="B6336" s="35" t="s">
        <v>17643</v>
      </c>
    </row>
    <row r="6337" spans="1:2" x14ac:dyDescent="0.35">
      <c r="A6337" s="34">
        <v>39121003</v>
      </c>
      <c r="B6337" s="35" t="s">
        <v>15156</v>
      </c>
    </row>
    <row r="6338" spans="1:2" x14ac:dyDescent="0.35">
      <c r="A6338" s="34">
        <v>39121004</v>
      </c>
      <c r="B6338" s="35" t="s">
        <v>1674</v>
      </c>
    </row>
    <row r="6339" spans="1:2" x14ac:dyDescent="0.35">
      <c r="A6339" s="34">
        <v>39121006</v>
      </c>
      <c r="B6339" s="35" t="s">
        <v>18857</v>
      </c>
    </row>
    <row r="6340" spans="1:2" x14ac:dyDescent="0.35">
      <c r="A6340" s="34">
        <v>39121007</v>
      </c>
      <c r="B6340" s="35" t="s">
        <v>2632</v>
      </c>
    </row>
    <row r="6341" spans="1:2" x14ac:dyDescent="0.35">
      <c r="A6341" s="34">
        <v>39121008</v>
      </c>
      <c r="B6341" s="35" t="s">
        <v>16191</v>
      </c>
    </row>
    <row r="6342" spans="1:2" x14ac:dyDescent="0.35">
      <c r="A6342" s="34">
        <v>39121009</v>
      </c>
      <c r="B6342" s="35" t="s">
        <v>5957</v>
      </c>
    </row>
    <row r="6343" spans="1:2" x14ac:dyDescent="0.35">
      <c r="A6343" s="34">
        <v>39121010</v>
      </c>
      <c r="B6343" s="35" t="s">
        <v>14337</v>
      </c>
    </row>
    <row r="6344" spans="1:2" x14ac:dyDescent="0.35">
      <c r="A6344" s="34">
        <v>39121011</v>
      </c>
      <c r="B6344" s="35" t="s">
        <v>10559</v>
      </c>
    </row>
    <row r="6345" spans="1:2" x14ac:dyDescent="0.35">
      <c r="A6345" s="34">
        <v>39121012</v>
      </c>
      <c r="B6345" s="35" t="s">
        <v>10909</v>
      </c>
    </row>
    <row r="6346" spans="1:2" x14ac:dyDescent="0.35">
      <c r="A6346" s="34">
        <v>39121013</v>
      </c>
      <c r="B6346" s="35" t="s">
        <v>9126</v>
      </c>
    </row>
    <row r="6347" spans="1:2" x14ac:dyDescent="0.35">
      <c r="A6347" s="34">
        <v>39121014</v>
      </c>
      <c r="B6347" s="35" t="s">
        <v>18976</v>
      </c>
    </row>
    <row r="6348" spans="1:2" x14ac:dyDescent="0.35">
      <c r="A6348" s="34">
        <v>39121015</v>
      </c>
      <c r="B6348" s="35" t="s">
        <v>255</v>
      </c>
    </row>
    <row r="6349" spans="1:2" x14ac:dyDescent="0.35">
      <c r="A6349" s="34">
        <v>39121016</v>
      </c>
      <c r="B6349" s="35" t="s">
        <v>4560</v>
      </c>
    </row>
    <row r="6350" spans="1:2" x14ac:dyDescent="0.35">
      <c r="A6350" s="34">
        <v>39121017</v>
      </c>
      <c r="B6350" s="35" t="s">
        <v>11482</v>
      </c>
    </row>
    <row r="6351" spans="1:2" x14ac:dyDescent="0.35">
      <c r="A6351" s="34">
        <v>39121018</v>
      </c>
      <c r="B6351" s="35" t="s">
        <v>9267</v>
      </c>
    </row>
    <row r="6352" spans="1:2" x14ac:dyDescent="0.35">
      <c r="A6352" s="34">
        <v>39121019</v>
      </c>
      <c r="B6352" s="35" t="s">
        <v>12471</v>
      </c>
    </row>
    <row r="6353" spans="1:2" x14ac:dyDescent="0.35">
      <c r="A6353" s="34">
        <v>39121020</v>
      </c>
      <c r="B6353" s="35" t="s">
        <v>16327</v>
      </c>
    </row>
    <row r="6354" spans="1:2" x14ac:dyDescent="0.35">
      <c r="A6354" s="34">
        <v>39121101</v>
      </c>
      <c r="B6354" s="35" t="s">
        <v>14086</v>
      </c>
    </row>
    <row r="6355" spans="1:2" x14ac:dyDescent="0.35">
      <c r="A6355" s="34">
        <v>39121102</v>
      </c>
      <c r="B6355" s="35" t="s">
        <v>15920</v>
      </c>
    </row>
    <row r="6356" spans="1:2" x14ac:dyDescent="0.35">
      <c r="A6356" s="34">
        <v>39121103</v>
      </c>
      <c r="B6356" s="35" t="s">
        <v>6501</v>
      </c>
    </row>
    <row r="6357" spans="1:2" x14ac:dyDescent="0.35">
      <c r="A6357" s="34">
        <v>39121104</v>
      </c>
      <c r="B6357" s="35" t="s">
        <v>6106</v>
      </c>
    </row>
    <row r="6358" spans="1:2" x14ac:dyDescent="0.35">
      <c r="A6358" s="34">
        <v>39121105</v>
      </c>
      <c r="B6358" s="35" t="s">
        <v>626</v>
      </c>
    </row>
    <row r="6359" spans="1:2" x14ac:dyDescent="0.35">
      <c r="A6359" s="34">
        <v>39121106</v>
      </c>
      <c r="B6359" s="35" t="s">
        <v>10024</v>
      </c>
    </row>
    <row r="6360" spans="1:2" x14ac:dyDescent="0.35">
      <c r="A6360" s="34">
        <v>39121107</v>
      </c>
      <c r="B6360" s="35" t="s">
        <v>17237</v>
      </c>
    </row>
    <row r="6361" spans="1:2" x14ac:dyDescent="0.35">
      <c r="A6361" s="34">
        <v>39121108</v>
      </c>
      <c r="B6361" s="35" t="s">
        <v>12791</v>
      </c>
    </row>
    <row r="6362" spans="1:2" x14ac:dyDescent="0.35">
      <c r="A6362" s="34">
        <v>39121109</v>
      </c>
      <c r="B6362" s="35" t="s">
        <v>14494</v>
      </c>
    </row>
    <row r="6363" spans="1:2" x14ac:dyDescent="0.35">
      <c r="A6363" s="34">
        <v>39121201</v>
      </c>
      <c r="B6363" s="35" t="s">
        <v>14240</v>
      </c>
    </row>
    <row r="6364" spans="1:2" x14ac:dyDescent="0.35">
      <c r="A6364" s="34">
        <v>39121202</v>
      </c>
      <c r="B6364" s="35" t="s">
        <v>11287</v>
      </c>
    </row>
    <row r="6365" spans="1:2" x14ac:dyDescent="0.35">
      <c r="A6365" s="34">
        <v>39121203</v>
      </c>
      <c r="B6365" s="35" t="s">
        <v>2673</v>
      </c>
    </row>
    <row r="6366" spans="1:2" x14ac:dyDescent="0.35">
      <c r="A6366" s="34">
        <v>39121204</v>
      </c>
      <c r="B6366" s="35" t="s">
        <v>18434</v>
      </c>
    </row>
    <row r="6367" spans="1:2" x14ac:dyDescent="0.35">
      <c r="A6367" s="34">
        <v>39121205</v>
      </c>
      <c r="B6367" s="35" t="s">
        <v>1677</v>
      </c>
    </row>
    <row r="6368" spans="1:2" x14ac:dyDescent="0.35">
      <c r="A6368" s="34">
        <v>39121206</v>
      </c>
      <c r="B6368" s="35" t="s">
        <v>15966</v>
      </c>
    </row>
    <row r="6369" spans="1:2" x14ac:dyDescent="0.35">
      <c r="A6369" s="34">
        <v>39121207</v>
      </c>
      <c r="B6369" s="35" t="s">
        <v>12251</v>
      </c>
    </row>
    <row r="6370" spans="1:2" x14ac:dyDescent="0.35">
      <c r="A6370" s="34">
        <v>39121301</v>
      </c>
      <c r="B6370" s="35" t="s">
        <v>9743</v>
      </c>
    </row>
    <row r="6371" spans="1:2" x14ac:dyDescent="0.35">
      <c r="A6371" s="34">
        <v>39121302</v>
      </c>
      <c r="B6371" s="35" t="s">
        <v>1145</v>
      </c>
    </row>
    <row r="6372" spans="1:2" x14ac:dyDescent="0.35">
      <c r="A6372" s="34">
        <v>39121303</v>
      </c>
      <c r="B6372" s="35" t="s">
        <v>19039</v>
      </c>
    </row>
    <row r="6373" spans="1:2" x14ac:dyDescent="0.35">
      <c r="A6373" s="34">
        <v>39121304</v>
      </c>
      <c r="B6373" s="35" t="s">
        <v>10514</v>
      </c>
    </row>
    <row r="6374" spans="1:2" x14ac:dyDescent="0.35">
      <c r="A6374" s="34">
        <v>39121305</v>
      </c>
      <c r="B6374" s="35" t="s">
        <v>7646</v>
      </c>
    </row>
    <row r="6375" spans="1:2" x14ac:dyDescent="0.35">
      <c r="A6375" s="34">
        <v>39121306</v>
      </c>
      <c r="B6375" s="35" t="s">
        <v>2297</v>
      </c>
    </row>
    <row r="6376" spans="1:2" x14ac:dyDescent="0.35">
      <c r="A6376" s="34">
        <v>39121307</v>
      </c>
      <c r="B6376" s="35" t="s">
        <v>13218</v>
      </c>
    </row>
    <row r="6377" spans="1:2" x14ac:dyDescent="0.35">
      <c r="A6377" s="34">
        <v>39121308</v>
      </c>
      <c r="B6377" s="35" t="s">
        <v>2301</v>
      </c>
    </row>
    <row r="6378" spans="1:2" x14ac:dyDescent="0.35">
      <c r="A6378" s="34">
        <v>39121309</v>
      </c>
      <c r="B6378" s="35" t="s">
        <v>15388</v>
      </c>
    </row>
    <row r="6379" spans="1:2" x14ac:dyDescent="0.35">
      <c r="A6379" s="34">
        <v>39121310</v>
      </c>
      <c r="B6379" s="35" t="s">
        <v>17749</v>
      </c>
    </row>
    <row r="6380" spans="1:2" x14ac:dyDescent="0.35">
      <c r="A6380" s="34">
        <v>39121311</v>
      </c>
      <c r="B6380" s="35" t="s">
        <v>12823</v>
      </c>
    </row>
    <row r="6381" spans="1:2" x14ac:dyDescent="0.35">
      <c r="A6381" s="34">
        <v>39121312</v>
      </c>
      <c r="B6381" s="35" t="s">
        <v>16449</v>
      </c>
    </row>
    <row r="6382" spans="1:2" x14ac:dyDescent="0.35">
      <c r="A6382" s="34">
        <v>39121313</v>
      </c>
      <c r="B6382" s="35" t="s">
        <v>14995</v>
      </c>
    </row>
    <row r="6383" spans="1:2" x14ac:dyDescent="0.35">
      <c r="A6383" s="34">
        <v>39121402</v>
      </c>
      <c r="B6383" s="35" t="s">
        <v>1630</v>
      </c>
    </row>
    <row r="6384" spans="1:2" x14ac:dyDescent="0.35">
      <c r="A6384" s="34">
        <v>39121403</v>
      </c>
      <c r="B6384" s="35" t="s">
        <v>8871</v>
      </c>
    </row>
    <row r="6385" spans="1:2" x14ac:dyDescent="0.35">
      <c r="A6385" s="34">
        <v>39121404</v>
      </c>
      <c r="B6385" s="35" t="s">
        <v>12285</v>
      </c>
    </row>
    <row r="6386" spans="1:2" x14ac:dyDescent="0.35">
      <c r="A6386" s="34">
        <v>39121405</v>
      </c>
      <c r="B6386" s="35" t="s">
        <v>18554</v>
      </c>
    </row>
    <row r="6387" spans="1:2" x14ac:dyDescent="0.35">
      <c r="A6387" s="34">
        <v>39121406</v>
      </c>
      <c r="B6387" s="35" t="s">
        <v>4877</v>
      </c>
    </row>
    <row r="6388" spans="1:2" x14ac:dyDescent="0.35">
      <c r="A6388" s="34">
        <v>39121407</v>
      </c>
      <c r="B6388" s="35" t="s">
        <v>8674</v>
      </c>
    </row>
    <row r="6389" spans="1:2" x14ac:dyDescent="0.35">
      <c r="A6389" s="34">
        <v>39121408</v>
      </c>
      <c r="B6389" s="35" t="s">
        <v>9005</v>
      </c>
    </row>
    <row r="6390" spans="1:2" x14ac:dyDescent="0.35">
      <c r="A6390" s="34">
        <v>39121409</v>
      </c>
      <c r="B6390" s="35" t="s">
        <v>9686</v>
      </c>
    </row>
    <row r="6391" spans="1:2" x14ac:dyDescent="0.35">
      <c r="A6391" s="34">
        <v>39121410</v>
      </c>
      <c r="B6391" s="35" t="s">
        <v>476</v>
      </c>
    </row>
    <row r="6392" spans="1:2" x14ac:dyDescent="0.35">
      <c r="A6392" s="34">
        <v>39121411</v>
      </c>
      <c r="B6392" s="35" t="s">
        <v>7143</v>
      </c>
    </row>
    <row r="6393" spans="1:2" x14ac:dyDescent="0.35">
      <c r="A6393" s="34">
        <v>39121412</v>
      </c>
      <c r="B6393" s="35" t="s">
        <v>1042</v>
      </c>
    </row>
    <row r="6394" spans="1:2" x14ac:dyDescent="0.35">
      <c r="A6394" s="34">
        <v>39121413</v>
      </c>
      <c r="B6394" s="35" t="s">
        <v>2838</v>
      </c>
    </row>
    <row r="6395" spans="1:2" x14ac:dyDescent="0.35">
      <c r="A6395" s="34">
        <v>39121414</v>
      </c>
      <c r="B6395" s="35" t="s">
        <v>2760</v>
      </c>
    </row>
    <row r="6396" spans="1:2" x14ac:dyDescent="0.35">
      <c r="A6396" s="34">
        <v>39121415</v>
      </c>
      <c r="B6396" s="35" t="s">
        <v>6660</v>
      </c>
    </row>
    <row r="6397" spans="1:2" x14ac:dyDescent="0.35">
      <c r="A6397" s="34">
        <v>39121416</v>
      </c>
      <c r="B6397" s="35" t="s">
        <v>6180</v>
      </c>
    </row>
    <row r="6398" spans="1:2" x14ac:dyDescent="0.35">
      <c r="A6398" s="34">
        <v>39121419</v>
      </c>
      <c r="B6398" s="35" t="s">
        <v>12305</v>
      </c>
    </row>
    <row r="6399" spans="1:2" x14ac:dyDescent="0.35">
      <c r="A6399" s="34">
        <v>39121420</v>
      </c>
      <c r="B6399" s="35" t="s">
        <v>3096</v>
      </c>
    </row>
    <row r="6400" spans="1:2" x14ac:dyDescent="0.35">
      <c r="A6400" s="34">
        <v>39121421</v>
      </c>
      <c r="B6400" s="35" t="s">
        <v>8952</v>
      </c>
    </row>
    <row r="6401" spans="1:2" x14ac:dyDescent="0.35">
      <c r="A6401" s="34">
        <v>39121422</v>
      </c>
      <c r="B6401" s="35" t="s">
        <v>16962</v>
      </c>
    </row>
    <row r="6402" spans="1:2" x14ac:dyDescent="0.35">
      <c r="A6402" s="34">
        <v>39121423</v>
      </c>
      <c r="B6402" s="35" t="s">
        <v>18254</v>
      </c>
    </row>
    <row r="6403" spans="1:2" x14ac:dyDescent="0.35">
      <c r="A6403" s="34">
        <v>39121424</v>
      </c>
      <c r="B6403" s="35" t="s">
        <v>10270</v>
      </c>
    </row>
    <row r="6404" spans="1:2" x14ac:dyDescent="0.35">
      <c r="A6404" s="34">
        <v>39121425</v>
      </c>
      <c r="B6404" s="35" t="s">
        <v>2129</v>
      </c>
    </row>
    <row r="6405" spans="1:2" x14ac:dyDescent="0.35">
      <c r="A6405" s="34">
        <v>39121426</v>
      </c>
      <c r="B6405" s="35" t="s">
        <v>16818</v>
      </c>
    </row>
    <row r="6406" spans="1:2" x14ac:dyDescent="0.35">
      <c r="A6406" s="34">
        <v>39121427</v>
      </c>
      <c r="B6406" s="35" t="s">
        <v>5580</v>
      </c>
    </row>
    <row r="6407" spans="1:2" x14ac:dyDescent="0.35">
      <c r="A6407" s="34">
        <v>39121428</v>
      </c>
      <c r="B6407" s="35" t="s">
        <v>3167</v>
      </c>
    </row>
    <row r="6408" spans="1:2" x14ac:dyDescent="0.35">
      <c r="A6408" s="34">
        <v>39121429</v>
      </c>
      <c r="B6408" s="35" t="s">
        <v>4875</v>
      </c>
    </row>
    <row r="6409" spans="1:2" x14ac:dyDescent="0.35">
      <c r="A6409" s="34">
        <v>39121430</v>
      </c>
      <c r="B6409" s="35" t="s">
        <v>2770</v>
      </c>
    </row>
    <row r="6410" spans="1:2" x14ac:dyDescent="0.35">
      <c r="A6410" s="34">
        <v>39121431</v>
      </c>
      <c r="B6410" s="35" t="s">
        <v>6984</v>
      </c>
    </row>
    <row r="6411" spans="1:2" x14ac:dyDescent="0.35">
      <c r="A6411" s="34">
        <v>39121432</v>
      </c>
      <c r="B6411" s="35" t="s">
        <v>14653</v>
      </c>
    </row>
    <row r="6412" spans="1:2" x14ac:dyDescent="0.35">
      <c r="A6412" s="34">
        <v>39121433</v>
      </c>
      <c r="B6412" s="35" t="s">
        <v>13002</v>
      </c>
    </row>
    <row r="6413" spans="1:2" x14ac:dyDescent="0.35">
      <c r="A6413" s="34">
        <v>39121434</v>
      </c>
      <c r="B6413" s="35" t="s">
        <v>6721</v>
      </c>
    </row>
    <row r="6414" spans="1:2" x14ac:dyDescent="0.35">
      <c r="A6414" s="34">
        <v>39121435</v>
      </c>
      <c r="B6414" s="35" t="s">
        <v>2569</v>
      </c>
    </row>
    <row r="6415" spans="1:2" x14ac:dyDescent="0.35">
      <c r="A6415" s="34">
        <v>39121436</v>
      </c>
      <c r="B6415" s="35" t="s">
        <v>17669</v>
      </c>
    </row>
    <row r="6416" spans="1:2" x14ac:dyDescent="0.35">
      <c r="A6416" s="34">
        <v>39121437</v>
      </c>
      <c r="B6416" s="35" t="s">
        <v>17119</v>
      </c>
    </row>
    <row r="6417" spans="1:2" x14ac:dyDescent="0.35">
      <c r="A6417" s="34">
        <v>39121438</v>
      </c>
      <c r="B6417" s="35" t="s">
        <v>2538</v>
      </c>
    </row>
    <row r="6418" spans="1:2" x14ac:dyDescent="0.35">
      <c r="A6418" s="34">
        <v>39121439</v>
      </c>
      <c r="B6418" s="35" t="s">
        <v>16437</v>
      </c>
    </row>
    <row r="6419" spans="1:2" x14ac:dyDescent="0.35">
      <c r="A6419" s="34">
        <v>39121440</v>
      </c>
      <c r="B6419" s="35" t="s">
        <v>18961</v>
      </c>
    </row>
    <row r="6420" spans="1:2" x14ac:dyDescent="0.35">
      <c r="A6420" s="34">
        <v>39121441</v>
      </c>
      <c r="B6420" s="35" t="s">
        <v>13435</v>
      </c>
    </row>
    <row r="6421" spans="1:2" x14ac:dyDescent="0.35">
      <c r="A6421" s="34">
        <v>39121501</v>
      </c>
      <c r="B6421" s="35" t="s">
        <v>17843</v>
      </c>
    </row>
    <row r="6422" spans="1:2" x14ac:dyDescent="0.35">
      <c r="A6422" s="34">
        <v>39121502</v>
      </c>
      <c r="B6422" s="35" t="s">
        <v>5225</v>
      </c>
    </row>
    <row r="6423" spans="1:2" x14ac:dyDescent="0.35">
      <c r="A6423" s="34">
        <v>39121503</v>
      </c>
      <c r="B6423" s="35" t="s">
        <v>18230</v>
      </c>
    </row>
    <row r="6424" spans="1:2" x14ac:dyDescent="0.35">
      <c r="A6424" s="34">
        <v>39121504</v>
      </c>
      <c r="B6424" s="35" t="s">
        <v>16158</v>
      </c>
    </row>
    <row r="6425" spans="1:2" x14ac:dyDescent="0.35">
      <c r="A6425" s="34">
        <v>39121505</v>
      </c>
      <c r="B6425" s="35" t="s">
        <v>18289</v>
      </c>
    </row>
    <row r="6426" spans="1:2" x14ac:dyDescent="0.35">
      <c r="A6426" s="34">
        <v>39121506</v>
      </c>
      <c r="B6426" s="35" t="s">
        <v>9462</v>
      </c>
    </row>
    <row r="6427" spans="1:2" x14ac:dyDescent="0.35">
      <c r="A6427" s="34">
        <v>39121507</v>
      </c>
      <c r="B6427" s="35" t="s">
        <v>6693</v>
      </c>
    </row>
    <row r="6428" spans="1:2" x14ac:dyDescent="0.35">
      <c r="A6428" s="34">
        <v>39121508</v>
      </c>
      <c r="B6428" s="35" t="s">
        <v>9664</v>
      </c>
    </row>
    <row r="6429" spans="1:2" x14ac:dyDescent="0.35">
      <c r="A6429" s="34">
        <v>39121509</v>
      </c>
      <c r="B6429" s="35" t="s">
        <v>14420</v>
      </c>
    </row>
    <row r="6430" spans="1:2" x14ac:dyDescent="0.35">
      <c r="A6430" s="34">
        <v>39121510</v>
      </c>
      <c r="B6430" s="35" t="s">
        <v>16118</v>
      </c>
    </row>
    <row r="6431" spans="1:2" x14ac:dyDescent="0.35">
      <c r="A6431" s="34">
        <v>39121511</v>
      </c>
      <c r="B6431" s="35" t="s">
        <v>16061</v>
      </c>
    </row>
    <row r="6432" spans="1:2" x14ac:dyDescent="0.35">
      <c r="A6432" s="34">
        <v>39121512</v>
      </c>
      <c r="B6432" s="35" t="s">
        <v>6684</v>
      </c>
    </row>
    <row r="6433" spans="1:2" x14ac:dyDescent="0.35">
      <c r="A6433" s="34">
        <v>39121513</v>
      </c>
      <c r="B6433" s="35" t="s">
        <v>5563</v>
      </c>
    </row>
    <row r="6434" spans="1:2" x14ac:dyDescent="0.35">
      <c r="A6434" s="34">
        <v>39121514</v>
      </c>
      <c r="B6434" s="35" t="s">
        <v>4931</v>
      </c>
    </row>
    <row r="6435" spans="1:2" x14ac:dyDescent="0.35">
      <c r="A6435" s="34">
        <v>39121515</v>
      </c>
      <c r="B6435" s="35" t="s">
        <v>11581</v>
      </c>
    </row>
    <row r="6436" spans="1:2" x14ac:dyDescent="0.35">
      <c r="A6436" s="34">
        <v>39121516</v>
      </c>
      <c r="B6436" s="35" t="s">
        <v>14001</v>
      </c>
    </row>
    <row r="6437" spans="1:2" x14ac:dyDescent="0.35">
      <c r="A6437" s="34">
        <v>39121517</v>
      </c>
      <c r="B6437" s="35" t="s">
        <v>9639</v>
      </c>
    </row>
    <row r="6438" spans="1:2" x14ac:dyDescent="0.35">
      <c r="A6438" s="34">
        <v>39121518</v>
      </c>
      <c r="B6438" s="35" t="s">
        <v>3069</v>
      </c>
    </row>
    <row r="6439" spans="1:2" x14ac:dyDescent="0.35">
      <c r="A6439" s="34">
        <v>39121519</v>
      </c>
      <c r="B6439" s="35" t="s">
        <v>11176</v>
      </c>
    </row>
    <row r="6440" spans="1:2" x14ac:dyDescent="0.35">
      <c r="A6440" s="34">
        <v>39121520</v>
      </c>
      <c r="B6440" s="35" t="s">
        <v>16217</v>
      </c>
    </row>
    <row r="6441" spans="1:2" x14ac:dyDescent="0.35">
      <c r="A6441" s="34">
        <v>39121521</v>
      </c>
      <c r="B6441" s="35" t="s">
        <v>9953</v>
      </c>
    </row>
    <row r="6442" spans="1:2" x14ac:dyDescent="0.35">
      <c r="A6442" s="34">
        <v>39121522</v>
      </c>
      <c r="B6442" s="35" t="s">
        <v>14615</v>
      </c>
    </row>
    <row r="6443" spans="1:2" x14ac:dyDescent="0.35">
      <c r="A6443" s="34">
        <v>39121523</v>
      </c>
      <c r="B6443" s="35" t="s">
        <v>11549</v>
      </c>
    </row>
    <row r="6444" spans="1:2" x14ac:dyDescent="0.35">
      <c r="A6444" s="34">
        <v>39121524</v>
      </c>
      <c r="B6444" s="35" t="s">
        <v>19566</v>
      </c>
    </row>
    <row r="6445" spans="1:2" x14ac:dyDescent="0.35">
      <c r="A6445" s="34">
        <v>39121525</v>
      </c>
      <c r="B6445" s="35" t="s">
        <v>3743</v>
      </c>
    </row>
    <row r="6446" spans="1:2" x14ac:dyDescent="0.35">
      <c r="A6446" s="34">
        <v>39121527</v>
      </c>
      <c r="B6446" s="35" t="s">
        <v>8502</v>
      </c>
    </row>
    <row r="6447" spans="1:2" x14ac:dyDescent="0.35">
      <c r="A6447" s="34">
        <v>39121528</v>
      </c>
      <c r="B6447" s="35" t="s">
        <v>7450</v>
      </c>
    </row>
    <row r="6448" spans="1:2" x14ac:dyDescent="0.35">
      <c r="A6448" s="34">
        <v>39121529</v>
      </c>
      <c r="B6448" s="35" t="s">
        <v>17649</v>
      </c>
    </row>
    <row r="6449" spans="1:2" x14ac:dyDescent="0.35">
      <c r="A6449" s="34">
        <v>39121531</v>
      </c>
      <c r="B6449" s="35" t="s">
        <v>12620</v>
      </c>
    </row>
    <row r="6450" spans="1:2" x14ac:dyDescent="0.35">
      <c r="A6450" s="34">
        <v>39121532</v>
      </c>
      <c r="B6450" s="35" t="s">
        <v>7837</v>
      </c>
    </row>
    <row r="6451" spans="1:2" x14ac:dyDescent="0.35">
      <c r="A6451" s="34">
        <v>39121533</v>
      </c>
      <c r="B6451" s="35" t="s">
        <v>9881</v>
      </c>
    </row>
    <row r="6452" spans="1:2" x14ac:dyDescent="0.35">
      <c r="A6452" s="34">
        <v>39121534</v>
      </c>
      <c r="B6452" s="35" t="s">
        <v>15765</v>
      </c>
    </row>
    <row r="6453" spans="1:2" x14ac:dyDescent="0.35">
      <c r="A6453" s="34">
        <v>39121535</v>
      </c>
      <c r="B6453" s="35" t="s">
        <v>274</v>
      </c>
    </row>
    <row r="6454" spans="1:2" x14ac:dyDescent="0.35">
      <c r="A6454" s="34">
        <v>39121536</v>
      </c>
      <c r="B6454" s="35" t="s">
        <v>17927</v>
      </c>
    </row>
    <row r="6455" spans="1:2" x14ac:dyDescent="0.35">
      <c r="A6455" s="34">
        <v>39121537</v>
      </c>
      <c r="B6455" s="35" t="s">
        <v>9220</v>
      </c>
    </row>
    <row r="6456" spans="1:2" x14ac:dyDescent="0.35">
      <c r="A6456" s="34">
        <v>39121538</v>
      </c>
      <c r="B6456" s="35" t="s">
        <v>3860</v>
      </c>
    </row>
    <row r="6457" spans="1:2" x14ac:dyDescent="0.35">
      <c r="A6457" s="34">
        <v>39121539</v>
      </c>
      <c r="B6457" s="35" t="s">
        <v>5605</v>
      </c>
    </row>
    <row r="6458" spans="1:2" x14ac:dyDescent="0.35">
      <c r="A6458" s="34">
        <v>39121540</v>
      </c>
      <c r="B6458" s="35" t="s">
        <v>12066</v>
      </c>
    </row>
    <row r="6459" spans="1:2" x14ac:dyDescent="0.35">
      <c r="A6459" s="34">
        <v>39121541</v>
      </c>
      <c r="B6459" s="35" t="s">
        <v>16371</v>
      </c>
    </row>
    <row r="6460" spans="1:2" x14ac:dyDescent="0.35">
      <c r="A6460" s="34">
        <v>39121542</v>
      </c>
      <c r="B6460" s="35" t="s">
        <v>13529</v>
      </c>
    </row>
    <row r="6461" spans="1:2" x14ac:dyDescent="0.35">
      <c r="A6461" s="34">
        <v>39121543</v>
      </c>
      <c r="B6461" s="35" t="s">
        <v>16893</v>
      </c>
    </row>
    <row r="6462" spans="1:2" x14ac:dyDescent="0.35">
      <c r="A6462" s="34">
        <v>39121544</v>
      </c>
      <c r="B6462" s="35" t="s">
        <v>15240</v>
      </c>
    </row>
    <row r="6463" spans="1:2" x14ac:dyDescent="0.35">
      <c r="A6463" s="34">
        <v>39121545</v>
      </c>
      <c r="B6463" s="35" t="s">
        <v>2944</v>
      </c>
    </row>
    <row r="6464" spans="1:2" x14ac:dyDescent="0.35">
      <c r="A6464" s="34">
        <v>39121546</v>
      </c>
      <c r="B6464" s="35" t="s">
        <v>10390</v>
      </c>
    </row>
    <row r="6465" spans="1:2" x14ac:dyDescent="0.35">
      <c r="A6465" s="34">
        <v>39121547</v>
      </c>
      <c r="B6465" s="35" t="s">
        <v>8573</v>
      </c>
    </row>
    <row r="6466" spans="1:2" x14ac:dyDescent="0.35">
      <c r="A6466" s="34">
        <v>39121548</v>
      </c>
      <c r="B6466" s="35" t="s">
        <v>794</v>
      </c>
    </row>
    <row r="6467" spans="1:2" x14ac:dyDescent="0.35">
      <c r="A6467" s="34">
        <v>39121549</v>
      </c>
      <c r="B6467" s="35" t="s">
        <v>1302</v>
      </c>
    </row>
    <row r="6468" spans="1:2" x14ac:dyDescent="0.35">
      <c r="A6468" s="34">
        <v>39121550</v>
      </c>
      <c r="B6468" s="35" t="s">
        <v>8076</v>
      </c>
    </row>
    <row r="6469" spans="1:2" x14ac:dyDescent="0.35">
      <c r="A6469" s="34">
        <v>39121551</v>
      </c>
      <c r="B6469" s="35" t="s">
        <v>11173</v>
      </c>
    </row>
    <row r="6470" spans="1:2" x14ac:dyDescent="0.35">
      <c r="A6470" s="34">
        <v>39121601</v>
      </c>
      <c r="B6470" s="35" t="s">
        <v>1032</v>
      </c>
    </row>
    <row r="6471" spans="1:2" x14ac:dyDescent="0.35">
      <c r="A6471" s="34">
        <v>39121602</v>
      </c>
      <c r="B6471" s="35" t="s">
        <v>17296</v>
      </c>
    </row>
    <row r="6472" spans="1:2" x14ac:dyDescent="0.35">
      <c r="A6472" s="34">
        <v>39121603</v>
      </c>
      <c r="B6472" s="35" t="s">
        <v>9897</v>
      </c>
    </row>
    <row r="6473" spans="1:2" x14ac:dyDescent="0.35">
      <c r="A6473" s="34">
        <v>39121604</v>
      </c>
      <c r="B6473" s="35" t="s">
        <v>13034</v>
      </c>
    </row>
    <row r="6474" spans="1:2" x14ac:dyDescent="0.35">
      <c r="A6474" s="34">
        <v>39121605</v>
      </c>
      <c r="B6474" s="35" t="s">
        <v>12489</v>
      </c>
    </row>
    <row r="6475" spans="1:2" x14ac:dyDescent="0.35">
      <c r="A6475" s="34">
        <v>39121606</v>
      </c>
      <c r="B6475" s="35" t="s">
        <v>8193</v>
      </c>
    </row>
    <row r="6476" spans="1:2" x14ac:dyDescent="0.35">
      <c r="A6476" s="34">
        <v>39121607</v>
      </c>
      <c r="B6476" s="35" t="s">
        <v>451</v>
      </c>
    </row>
    <row r="6477" spans="1:2" x14ac:dyDescent="0.35">
      <c r="A6477" s="34">
        <v>39121608</v>
      </c>
      <c r="B6477" s="35" t="s">
        <v>18901</v>
      </c>
    </row>
    <row r="6478" spans="1:2" x14ac:dyDescent="0.35">
      <c r="A6478" s="34">
        <v>39121609</v>
      </c>
      <c r="B6478" s="35" t="s">
        <v>4236</v>
      </c>
    </row>
    <row r="6479" spans="1:2" x14ac:dyDescent="0.35">
      <c r="A6479" s="34">
        <v>39121610</v>
      </c>
      <c r="B6479" s="35" t="s">
        <v>5421</v>
      </c>
    </row>
    <row r="6480" spans="1:2" x14ac:dyDescent="0.35">
      <c r="A6480" s="34">
        <v>39121611</v>
      </c>
      <c r="B6480" s="35" t="s">
        <v>5982</v>
      </c>
    </row>
    <row r="6481" spans="1:2" x14ac:dyDescent="0.35">
      <c r="A6481" s="34">
        <v>39121612</v>
      </c>
      <c r="B6481" s="35" t="s">
        <v>18137</v>
      </c>
    </row>
    <row r="6482" spans="1:2" x14ac:dyDescent="0.35">
      <c r="A6482" s="34">
        <v>39121613</v>
      </c>
      <c r="B6482" s="35" t="s">
        <v>17060</v>
      </c>
    </row>
    <row r="6483" spans="1:2" x14ac:dyDescent="0.35">
      <c r="A6483" s="34">
        <v>39121614</v>
      </c>
      <c r="B6483" s="35" t="s">
        <v>17302</v>
      </c>
    </row>
    <row r="6484" spans="1:2" x14ac:dyDescent="0.35">
      <c r="A6484" s="34">
        <v>39121615</v>
      </c>
      <c r="B6484" s="35" t="s">
        <v>677</v>
      </c>
    </row>
    <row r="6485" spans="1:2" x14ac:dyDescent="0.35">
      <c r="A6485" s="34">
        <v>39121616</v>
      </c>
      <c r="B6485" s="35" t="s">
        <v>18750</v>
      </c>
    </row>
    <row r="6486" spans="1:2" x14ac:dyDescent="0.35">
      <c r="A6486" s="34">
        <v>39121617</v>
      </c>
      <c r="B6486" s="35" t="s">
        <v>7952</v>
      </c>
    </row>
    <row r="6487" spans="1:2" x14ac:dyDescent="0.35">
      <c r="A6487" s="34">
        <v>39121618</v>
      </c>
      <c r="B6487" s="35" t="s">
        <v>19442</v>
      </c>
    </row>
    <row r="6488" spans="1:2" x14ac:dyDescent="0.35">
      <c r="A6488" s="34">
        <v>39121619</v>
      </c>
      <c r="B6488" s="35" t="s">
        <v>18888</v>
      </c>
    </row>
    <row r="6489" spans="1:2" x14ac:dyDescent="0.35">
      <c r="A6489" s="34">
        <v>39121701</v>
      </c>
      <c r="B6489" s="35" t="s">
        <v>1601</v>
      </c>
    </row>
    <row r="6490" spans="1:2" x14ac:dyDescent="0.35">
      <c r="A6490" s="34">
        <v>39121702</v>
      </c>
      <c r="B6490" s="35" t="s">
        <v>4432</v>
      </c>
    </row>
    <row r="6491" spans="1:2" x14ac:dyDescent="0.35">
      <c r="A6491" s="34">
        <v>39121703</v>
      </c>
      <c r="B6491" s="35" t="s">
        <v>12912</v>
      </c>
    </row>
    <row r="6492" spans="1:2" x14ac:dyDescent="0.35">
      <c r="A6492" s="34">
        <v>39121704</v>
      </c>
      <c r="B6492" s="35" t="s">
        <v>13380</v>
      </c>
    </row>
    <row r="6493" spans="1:2" x14ac:dyDescent="0.35">
      <c r="A6493" s="34">
        <v>39121705</v>
      </c>
      <c r="B6493" s="35" t="s">
        <v>10898</v>
      </c>
    </row>
    <row r="6494" spans="1:2" x14ac:dyDescent="0.35">
      <c r="A6494" s="34">
        <v>39121706</v>
      </c>
      <c r="B6494" s="35" t="s">
        <v>9000</v>
      </c>
    </row>
    <row r="6495" spans="1:2" x14ac:dyDescent="0.35">
      <c r="A6495" s="34">
        <v>39121707</v>
      </c>
      <c r="B6495" s="35" t="s">
        <v>1591</v>
      </c>
    </row>
    <row r="6496" spans="1:2" x14ac:dyDescent="0.35">
      <c r="A6496" s="34">
        <v>39121708</v>
      </c>
      <c r="B6496" s="35" t="s">
        <v>10566</v>
      </c>
    </row>
    <row r="6497" spans="1:2" x14ac:dyDescent="0.35">
      <c r="A6497" s="34">
        <v>39121709</v>
      </c>
      <c r="B6497" s="35" t="s">
        <v>3443</v>
      </c>
    </row>
    <row r="6498" spans="1:2" x14ac:dyDescent="0.35">
      <c r="A6498" s="34">
        <v>39121710</v>
      </c>
      <c r="B6498" s="35" t="s">
        <v>3265</v>
      </c>
    </row>
    <row r="6499" spans="1:2" x14ac:dyDescent="0.35">
      <c r="A6499" s="34">
        <v>39121711</v>
      </c>
      <c r="B6499" s="35" t="s">
        <v>13866</v>
      </c>
    </row>
    <row r="6500" spans="1:2" x14ac:dyDescent="0.35">
      <c r="A6500" s="34">
        <v>39121712</v>
      </c>
      <c r="B6500" s="35" t="s">
        <v>13344</v>
      </c>
    </row>
    <row r="6501" spans="1:2" x14ac:dyDescent="0.35">
      <c r="A6501" s="34">
        <v>39121713</v>
      </c>
      <c r="B6501" s="35" t="s">
        <v>13345</v>
      </c>
    </row>
    <row r="6502" spans="1:2" x14ac:dyDescent="0.35">
      <c r="A6502" s="34">
        <v>39121714</v>
      </c>
      <c r="B6502" s="35" t="s">
        <v>18028</v>
      </c>
    </row>
    <row r="6503" spans="1:2" x14ac:dyDescent="0.35">
      <c r="A6503" s="34">
        <v>39121715</v>
      </c>
      <c r="B6503" s="35" t="s">
        <v>8311</v>
      </c>
    </row>
    <row r="6504" spans="1:2" x14ac:dyDescent="0.35">
      <c r="A6504" s="34">
        <v>39121716</v>
      </c>
      <c r="B6504" s="35" t="s">
        <v>727</v>
      </c>
    </row>
    <row r="6505" spans="1:2" x14ac:dyDescent="0.35">
      <c r="A6505" s="34">
        <v>39121717</v>
      </c>
      <c r="B6505" s="35" t="s">
        <v>603</v>
      </c>
    </row>
    <row r="6506" spans="1:2" x14ac:dyDescent="0.35">
      <c r="A6506" s="34">
        <v>39121718</v>
      </c>
      <c r="B6506" s="35" t="s">
        <v>17883</v>
      </c>
    </row>
    <row r="6507" spans="1:2" x14ac:dyDescent="0.35">
      <c r="A6507" s="34">
        <v>39121719</v>
      </c>
      <c r="B6507" s="35" t="s">
        <v>5920</v>
      </c>
    </row>
    <row r="6508" spans="1:2" x14ac:dyDescent="0.35">
      <c r="A6508" s="34">
        <v>39121720</v>
      </c>
      <c r="B6508" s="35" t="s">
        <v>16878</v>
      </c>
    </row>
    <row r="6509" spans="1:2" x14ac:dyDescent="0.35">
      <c r="A6509" s="34">
        <v>39121721</v>
      </c>
      <c r="B6509" s="35" t="s">
        <v>16960</v>
      </c>
    </row>
    <row r="6510" spans="1:2" x14ac:dyDescent="0.35">
      <c r="A6510" s="34">
        <v>40101501</v>
      </c>
      <c r="B6510" s="35" t="s">
        <v>18992</v>
      </c>
    </row>
    <row r="6511" spans="1:2" x14ac:dyDescent="0.35">
      <c r="A6511" s="34">
        <v>40101502</v>
      </c>
      <c r="B6511" s="35" t="s">
        <v>11400</v>
      </c>
    </row>
    <row r="6512" spans="1:2" x14ac:dyDescent="0.35">
      <c r="A6512" s="34">
        <v>40101503</v>
      </c>
      <c r="B6512" s="35" t="s">
        <v>15903</v>
      </c>
    </row>
    <row r="6513" spans="1:2" x14ac:dyDescent="0.35">
      <c r="A6513" s="34">
        <v>40101504</v>
      </c>
      <c r="B6513" s="35" t="s">
        <v>18483</v>
      </c>
    </row>
    <row r="6514" spans="1:2" x14ac:dyDescent="0.35">
      <c r="A6514" s="34">
        <v>40101505</v>
      </c>
      <c r="B6514" s="35" t="s">
        <v>11629</v>
      </c>
    </row>
    <row r="6515" spans="1:2" x14ac:dyDescent="0.35">
      <c r="A6515" s="34">
        <v>40101506</v>
      </c>
      <c r="B6515" s="35" t="s">
        <v>9810</v>
      </c>
    </row>
    <row r="6516" spans="1:2" x14ac:dyDescent="0.35">
      <c r="A6516" s="34">
        <v>40101601</v>
      </c>
      <c r="B6516" s="35" t="s">
        <v>13745</v>
      </c>
    </row>
    <row r="6517" spans="1:2" x14ac:dyDescent="0.35">
      <c r="A6517" s="34">
        <v>40101602</v>
      </c>
      <c r="B6517" s="35" t="s">
        <v>4478</v>
      </c>
    </row>
    <row r="6518" spans="1:2" x14ac:dyDescent="0.35">
      <c r="A6518" s="34">
        <v>40101603</v>
      </c>
      <c r="B6518" s="35" t="s">
        <v>12941</v>
      </c>
    </row>
    <row r="6519" spans="1:2" x14ac:dyDescent="0.35">
      <c r="A6519" s="34">
        <v>40101604</v>
      </c>
      <c r="B6519" s="35" t="s">
        <v>6161</v>
      </c>
    </row>
    <row r="6520" spans="1:2" x14ac:dyDescent="0.35">
      <c r="A6520" s="34">
        <v>40101605</v>
      </c>
      <c r="B6520" s="35" t="s">
        <v>73</v>
      </c>
    </row>
    <row r="6521" spans="1:2" x14ac:dyDescent="0.35">
      <c r="A6521" s="34">
        <v>40101701</v>
      </c>
      <c r="B6521" s="35" t="s">
        <v>14569</v>
      </c>
    </row>
    <row r="6522" spans="1:2" x14ac:dyDescent="0.35">
      <c r="A6522" s="34">
        <v>40101702</v>
      </c>
      <c r="B6522" s="35" t="s">
        <v>2047</v>
      </c>
    </row>
    <row r="6523" spans="1:2" x14ac:dyDescent="0.35">
      <c r="A6523" s="34">
        <v>40101703</v>
      </c>
      <c r="B6523" s="35" t="s">
        <v>17775</v>
      </c>
    </row>
    <row r="6524" spans="1:2" x14ac:dyDescent="0.35">
      <c r="A6524" s="34">
        <v>40101704</v>
      </c>
      <c r="B6524" s="35" t="s">
        <v>11215</v>
      </c>
    </row>
    <row r="6525" spans="1:2" x14ac:dyDescent="0.35">
      <c r="A6525" s="34">
        <v>40101705</v>
      </c>
      <c r="B6525" s="35" t="s">
        <v>10949</v>
      </c>
    </row>
    <row r="6526" spans="1:2" x14ac:dyDescent="0.35">
      <c r="A6526" s="34">
        <v>40101706</v>
      </c>
      <c r="B6526" s="35" t="s">
        <v>6294</v>
      </c>
    </row>
    <row r="6527" spans="1:2" x14ac:dyDescent="0.35">
      <c r="A6527" s="34">
        <v>40101707</v>
      </c>
      <c r="B6527" s="35" t="s">
        <v>13189</v>
      </c>
    </row>
    <row r="6528" spans="1:2" x14ac:dyDescent="0.35">
      <c r="A6528" s="34">
        <v>40101801</v>
      </c>
      <c r="B6528" s="35" t="s">
        <v>10842</v>
      </c>
    </row>
    <row r="6529" spans="1:2" x14ac:dyDescent="0.35">
      <c r="A6529" s="34">
        <v>40101802</v>
      </c>
      <c r="B6529" s="35" t="s">
        <v>3451</v>
      </c>
    </row>
    <row r="6530" spans="1:2" x14ac:dyDescent="0.35">
      <c r="A6530" s="34">
        <v>40101803</v>
      </c>
      <c r="B6530" s="35" t="s">
        <v>14434</v>
      </c>
    </row>
    <row r="6531" spans="1:2" x14ac:dyDescent="0.35">
      <c r="A6531" s="34">
        <v>40101805</v>
      </c>
      <c r="B6531" s="35" t="s">
        <v>8900</v>
      </c>
    </row>
    <row r="6532" spans="1:2" x14ac:dyDescent="0.35">
      <c r="A6532" s="34">
        <v>40101806</v>
      </c>
      <c r="B6532" s="35" t="s">
        <v>17821</v>
      </c>
    </row>
    <row r="6533" spans="1:2" x14ac:dyDescent="0.35">
      <c r="A6533" s="34">
        <v>40101807</v>
      </c>
      <c r="B6533" s="35" t="s">
        <v>7988</v>
      </c>
    </row>
    <row r="6534" spans="1:2" x14ac:dyDescent="0.35">
      <c r="A6534" s="34">
        <v>40101808</v>
      </c>
      <c r="B6534" s="35" t="s">
        <v>5479</v>
      </c>
    </row>
    <row r="6535" spans="1:2" x14ac:dyDescent="0.35">
      <c r="A6535" s="34">
        <v>40101809</v>
      </c>
      <c r="B6535" s="35" t="s">
        <v>5610</v>
      </c>
    </row>
    <row r="6536" spans="1:2" x14ac:dyDescent="0.35">
      <c r="A6536" s="34">
        <v>40101810</v>
      </c>
      <c r="B6536" s="35" t="s">
        <v>4257</v>
      </c>
    </row>
    <row r="6537" spans="1:2" x14ac:dyDescent="0.35">
      <c r="A6537" s="34">
        <v>40101811</v>
      </c>
      <c r="B6537" s="35" t="s">
        <v>14038</v>
      </c>
    </row>
    <row r="6538" spans="1:2" x14ac:dyDescent="0.35">
      <c r="A6538" s="34">
        <v>40101812</v>
      </c>
      <c r="B6538" s="35" t="s">
        <v>4541</v>
      </c>
    </row>
    <row r="6539" spans="1:2" x14ac:dyDescent="0.35">
      <c r="A6539" s="34">
        <v>40101813</v>
      </c>
      <c r="B6539" s="35" t="s">
        <v>492</v>
      </c>
    </row>
    <row r="6540" spans="1:2" x14ac:dyDescent="0.35">
      <c r="A6540" s="34">
        <v>40101814</v>
      </c>
      <c r="B6540" s="35" t="s">
        <v>5963</v>
      </c>
    </row>
    <row r="6541" spans="1:2" x14ac:dyDescent="0.35">
      <c r="A6541" s="34">
        <v>40101815</v>
      </c>
      <c r="B6541" s="35" t="s">
        <v>5938</v>
      </c>
    </row>
    <row r="6542" spans="1:2" x14ac:dyDescent="0.35">
      <c r="A6542" s="34">
        <v>40101816</v>
      </c>
      <c r="B6542" s="35" t="s">
        <v>7530</v>
      </c>
    </row>
    <row r="6543" spans="1:2" x14ac:dyDescent="0.35">
      <c r="A6543" s="34">
        <v>40101817</v>
      </c>
      <c r="B6543" s="35" t="s">
        <v>7377</v>
      </c>
    </row>
    <row r="6544" spans="1:2" x14ac:dyDescent="0.35">
      <c r="A6544" s="34">
        <v>40101818</v>
      </c>
      <c r="B6544" s="35" t="s">
        <v>7716</v>
      </c>
    </row>
    <row r="6545" spans="1:2" x14ac:dyDescent="0.35">
      <c r="A6545" s="34">
        <v>40101819</v>
      </c>
      <c r="B6545" s="35" t="s">
        <v>3242</v>
      </c>
    </row>
    <row r="6546" spans="1:2" x14ac:dyDescent="0.35">
      <c r="A6546" s="34">
        <v>40101820</v>
      </c>
      <c r="B6546" s="35" t="s">
        <v>4541</v>
      </c>
    </row>
    <row r="6547" spans="1:2" x14ac:dyDescent="0.35">
      <c r="A6547" s="34">
        <v>40101821</v>
      </c>
      <c r="B6547" s="35" t="s">
        <v>382</v>
      </c>
    </row>
    <row r="6548" spans="1:2" x14ac:dyDescent="0.35">
      <c r="A6548" s="34">
        <v>40101822</v>
      </c>
      <c r="B6548" s="35" t="s">
        <v>4745</v>
      </c>
    </row>
    <row r="6549" spans="1:2" x14ac:dyDescent="0.35">
      <c r="A6549" s="34">
        <v>40101823</v>
      </c>
      <c r="B6549" s="35" t="s">
        <v>13820</v>
      </c>
    </row>
    <row r="6550" spans="1:2" x14ac:dyDescent="0.35">
      <c r="A6550" s="34">
        <v>40101824</v>
      </c>
      <c r="B6550" s="35" t="s">
        <v>17868</v>
      </c>
    </row>
    <row r="6551" spans="1:2" x14ac:dyDescent="0.35">
      <c r="A6551" s="34">
        <v>40101825</v>
      </c>
      <c r="B6551" s="35" t="s">
        <v>4378</v>
      </c>
    </row>
    <row r="6552" spans="1:2" x14ac:dyDescent="0.35">
      <c r="A6552" s="34">
        <v>40101826</v>
      </c>
      <c r="B6552" s="35" t="s">
        <v>14668</v>
      </c>
    </row>
    <row r="6553" spans="1:2" x14ac:dyDescent="0.35">
      <c r="A6553" s="34">
        <v>40101827</v>
      </c>
      <c r="B6553" s="35" t="s">
        <v>400</v>
      </c>
    </row>
    <row r="6554" spans="1:2" x14ac:dyDescent="0.35">
      <c r="A6554" s="34">
        <v>40101828</v>
      </c>
      <c r="B6554" s="35" t="s">
        <v>6094</v>
      </c>
    </row>
    <row r="6555" spans="1:2" x14ac:dyDescent="0.35">
      <c r="A6555" s="34">
        <v>40101829</v>
      </c>
      <c r="B6555" s="35" t="s">
        <v>4321</v>
      </c>
    </row>
    <row r="6556" spans="1:2" x14ac:dyDescent="0.35">
      <c r="A6556" s="34">
        <v>40101830</v>
      </c>
      <c r="B6556" s="35" t="s">
        <v>16970</v>
      </c>
    </row>
    <row r="6557" spans="1:2" x14ac:dyDescent="0.35">
      <c r="A6557" s="34">
        <v>40101831</v>
      </c>
      <c r="B6557" s="35" t="s">
        <v>7205</v>
      </c>
    </row>
    <row r="6558" spans="1:2" x14ac:dyDescent="0.35">
      <c r="A6558" s="34">
        <v>40101832</v>
      </c>
      <c r="B6558" s="35" t="s">
        <v>1758</v>
      </c>
    </row>
    <row r="6559" spans="1:2" x14ac:dyDescent="0.35">
      <c r="A6559" s="34">
        <v>40101833</v>
      </c>
      <c r="B6559" s="35" t="s">
        <v>5409</v>
      </c>
    </row>
    <row r="6560" spans="1:2" x14ac:dyDescent="0.35">
      <c r="A6560" s="34">
        <v>40101834</v>
      </c>
      <c r="B6560" s="35" t="s">
        <v>8748</v>
      </c>
    </row>
    <row r="6561" spans="1:2" x14ac:dyDescent="0.35">
      <c r="A6561" s="34">
        <v>40101901</v>
      </c>
      <c r="B6561" s="35" t="s">
        <v>2658</v>
      </c>
    </row>
    <row r="6562" spans="1:2" x14ac:dyDescent="0.35">
      <c r="A6562" s="34">
        <v>40101902</v>
      </c>
      <c r="B6562" s="35" t="s">
        <v>12148</v>
      </c>
    </row>
    <row r="6563" spans="1:2" x14ac:dyDescent="0.35">
      <c r="A6563" s="34">
        <v>40101903</v>
      </c>
      <c r="B6563" s="35" t="s">
        <v>17422</v>
      </c>
    </row>
    <row r="6564" spans="1:2" x14ac:dyDescent="0.35">
      <c r="A6564" s="34">
        <v>40102001</v>
      </c>
      <c r="B6564" s="35" t="s">
        <v>876</v>
      </c>
    </row>
    <row r="6565" spans="1:2" x14ac:dyDescent="0.35">
      <c r="A6565" s="34">
        <v>40102002</v>
      </c>
      <c r="B6565" s="35" t="s">
        <v>4638</v>
      </c>
    </row>
    <row r="6566" spans="1:2" x14ac:dyDescent="0.35">
      <c r="A6566" s="34">
        <v>40102003</v>
      </c>
      <c r="B6566" s="35" t="s">
        <v>3015</v>
      </c>
    </row>
    <row r="6567" spans="1:2" x14ac:dyDescent="0.35">
      <c r="A6567" s="34">
        <v>40102004</v>
      </c>
      <c r="B6567" s="35" t="s">
        <v>14607</v>
      </c>
    </row>
    <row r="6568" spans="1:2" x14ac:dyDescent="0.35">
      <c r="A6568" s="34">
        <v>40102005</v>
      </c>
      <c r="B6568" s="35" t="s">
        <v>1380</v>
      </c>
    </row>
    <row r="6569" spans="1:2" x14ac:dyDescent="0.35">
      <c r="A6569" s="34">
        <v>40141602</v>
      </c>
      <c r="B6569" s="35" t="s">
        <v>13054</v>
      </c>
    </row>
    <row r="6570" spans="1:2" x14ac:dyDescent="0.35">
      <c r="A6570" s="34">
        <v>40141603</v>
      </c>
      <c r="B6570" s="35" t="s">
        <v>7069</v>
      </c>
    </row>
    <row r="6571" spans="1:2" x14ac:dyDescent="0.35">
      <c r="A6571" s="34">
        <v>40141604</v>
      </c>
      <c r="B6571" s="35" t="s">
        <v>13128</v>
      </c>
    </row>
    <row r="6572" spans="1:2" x14ac:dyDescent="0.35">
      <c r="A6572" s="34">
        <v>40141605</v>
      </c>
      <c r="B6572" s="35" t="s">
        <v>1382</v>
      </c>
    </row>
    <row r="6573" spans="1:2" x14ac:dyDescent="0.35">
      <c r="A6573" s="34">
        <v>40141606</v>
      </c>
      <c r="B6573" s="35" t="s">
        <v>16801</v>
      </c>
    </row>
    <row r="6574" spans="1:2" x14ac:dyDescent="0.35">
      <c r="A6574" s="34">
        <v>40141607</v>
      </c>
      <c r="B6574" s="35" t="s">
        <v>790</v>
      </c>
    </row>
    <row r="6575" spans="1:2" x14ac:dyDescent="0.35">
      <c r="A6575" s="34">
        <v>40141608</v>
      </c>
      <c r="B6575" s="35" t="s">
        <v>7633</v>
      </c>
    </row>
    <row r="6576" spans="1:2" x14ac:dyDescent="0.35">
      <c r="A6576" s="34">
        <v>40141609</v>
      </c>
      <c r="B6576" s="35" t="s">
        <v>18436</v>
      </c>
    </row>
    <row r="6577" spans="1:2" x14ac:dyDescent="0.35">
      <c r="A6577" s="34">
        <v>40141610</v>
      </c>
      <c r="B6577" s="35" t="s">
        <v>15928</v>
      </c>
    </row>
    <row r="6578" spans="1:2" x14ac:dyDescent="0.35">
      <c r="A6578" s="34">
        <v>40141611</v>
      </c>
      <c r="B6578" s="35" t="s">
        <v>3376</v>
      </c>
    </row>
    <row r="6579" spans="1:2" x14ac:dyDescent="0.35">
      <c r="A6579" s="34">
        <v>40141612</v>
      </c>
      <c r="B6579" s="35" t="s">
        <v>17401</v>
      </c>
    </row>
    <row r="6580" spans="1:2" x14ac:dyDescent="0.35">
      <c r="A6580" s="34">
        <v>40141613</v>
      </c>
      <c r="B6580" s="35" t="s">
        <v>3830</v>
      </c>
    </row>
    <row r="6581" spans="1:2" x14ac:dyDescent="0.35">
      <c r="A6581" s="34">
        <v>40141615</v>
      </c>
      <c r="B6581" s="35" t="s">
        <v>11910</v>
      </c>
    </row>
    <row r="6582" spans="1:2" x14ac:dyDescent="0.35">
      <c r="A6582" s="34">
        <v>40141616</v>
      </c>
      <c r="B6582" s="35" t="s">
        <v>1512</v>
      </c>
    </row>
    <row r="6583" spans="1:2" x14ac:dyDescent="0.35">
      <c r="A6583" s="34">
        <v>40141617</v>
      </c>
      <c r="B6583" s="35" t="s">
        <v>10637</v>
      </c>
    </row>
    <row r="6584" spans="1:2" x14ac:dyDescent="0.35">
      <c r="A6584" s="34">
        <v>40141618</v>
      </c>
      <c r="B6584" s="35" t="s">
        <v>1229</v>
      </c>
    </row>
    <row r="6585" spans="1:2" x14ac:dyDescent="0.35">
      <c r="A6585" s="34">
        <v>40141619</v>
      </c>
      <c r="B6585" s="35" t="s">
        <v>8750</v>
      </c>
    </row>
    <row r="6586" spans="1:2" x14ac:dyDescent="0.35">
      <c r="A6586" s="34">
        <v>40141620</v>
      </c>
      <c r="B6586" s="35" t="s">
        <v>3986</v>
      </c>
    </row>
    <row r="6587" spans="1:2" x14ac:dyDescent="0.35">
      <c r="A6587" s="34">
        <v>40141621</v>
      </c>
      <c r="B6587" s="35" t="s">
        <v>4326</v>
      </c>
    </row>
    <row r="6588" spans="1:2" x14ac:dyDescent="0.35">
      <c r="A6588" s="34">
        <v>40141622</v>
      </c>
      <c r="B6588" s="35" t="s">
        <v>18854</v>
      </c>
    </row>
    <row r="6589" spans="1:2" x14ac:dyDescent="0.35">
      <c r="A6589" s="34">
        <v>40141623</v>
      </c>
      <c r="B6589" s="35" t="s">
        <v>2685</v>
      </c>
    </row>
    <row r="6590" spans="1:2" x14ac:dyDescent="0.35">
      <c r="A6590" s="34">
        <v>40141624</v>
      </c>
      <c r="B6590" s="35" t="s">
        <v>17323</v>
      </c>
    </row>
    <row r="6591" spans="1:2" x14ac:dyDescent="0.35">
      <c r="A6591" s="34">
        <v>40141625</v>
      </c>
      <c r="B6591" s="35" t="s">
        <v>6148</v>
      </c>
    </row>
    <row r="6592" spans="1:2" x14ac:dyDescent="0.35">
      <c r="A6592" s="34">
        <v>40141626</v>
      </c>
      <c r="B6592" s="35" t="s">
        <v>11709</v>
      </c>
    </row>
    <row r="6593" spans="1:2" x14ac:dyDescent="0.35">
      <c r="A6593" s="34">
        <v>40141627</v>
      </c>
      <c r="B6593" s="35" t="s">
        <v>1672</v>
      </c>
    </row>
    <row r="6594" spans="1:2" x14ac:dyDescent="0.35">
      <c r="A6594" s="34">
        <v>40141628</v>
      </c>
      <c r="B6594" s="35" t="s">
        <v>14897</v>
      </c>
    </row>
    <row r="6595" spans="1:2" x14ac:dyDescent="0.35">
      <c r="A6595" s="34">
        <v>40141629</v>
      </c>
      <c r="B6595" s="35" t="s">
        <v>16436</v>
      </c>
    </row>
    <row r="6596" spans="1:2" x14ac:dyDescent="0.35">
      <c r="A6596" s="34">
        <v>40141630</v>
      </c>
      <c r="B6596" s="35" t="s">
        <v>10974</v>
      </c>
    </row>
    <row r="6597" spans="1:2" x14ac:dyDescent="0.35">
      <c r="A6597" s="34">
        <v>40141631</v>
      </c>
      <c r="B6597" s="35" t="s">
        <v>1253</v>
      </c>
    </row>
    <row r="6598" spans="1:2" x14ac:dyDescent="0.35">
      <c r="A6598" s="34">
        <v>40141632</v>
      </c>
      <c r="B6598" s="35" t="s">
        <v>128</v>
      </c>
    </row>
    <row r="6599" spans="1:2" x14ac:dyDescent="0.35">
      <c r="A6599" s="34">
        <v>40141633</v>
      </c>
      <c r="B6599" s="35" t="s">
        <v>12868</v>
      </c>
    </row>
    <row r="6600" spans="1:2" x14ac:dyDescent="0.35">
      <c r="A6600" s="34">
        <v>40141634</v>
      </c>
      <c r="B6600" s="35" t="s">
        <v>361</v>
      </c>
    </row>
    <row r="6601" spans="1:2" x14ac:dyDescent="0.35">
      <c r="A6601" s="34">
        <v>40141635</v>
      </c>
      <c r="B6601" s="35" t="s">
        <v>2008</v>
      </c>
    </row>
    <row r="6602" spans="1:2" x14ac:dyDescent="0.35">
      <c r="A6602" s="34">
        <v>40141636</v>
      </c>
      <c r="B6602" s="35" t="s">
        <v>9701</v>
      </c>
    </row>
    <row r="6603" spans="1:2" x14ac:dyDescent="0.35">
      <c r="A6603" s="34">
        <v>40141637</v>
      </c>
      <c r="B6603" s="35" t="s">
        <v>19323</v>
      </c>
    </row>
    <row r="6604" spans="1:2" x14ac:dyDescent="0.35">
      <c r="A6604" s="34">
        <v>40141638</v>
      </c>
      <c r="B6604" s="35" t="s">
        <v>19597</v>
      </c>
    </row>
    <row r="6605" spans="1:2" x14ac:dyDescent="0.35">
      <c r="A6605" s="34">
        <v>40141701</v>
      </c>
      <c r="B6605" s="35" t="s">
        <v>11341</v>
      </c>
    </row>
    <row r="6606" spans="1:2" x14ac:dyDescent="0.35">
      <c r="A6606" s="34">
        <v>40141702</v>
      </c>
      <c r="B6606" s="35" t="s">
        <v>7449</v>
      </c>
    </row>
    <row r="6607" spans="1:2" x14ac:dyDescent="0.35">
      <c r="A6607" s="34">
        <v>40141703</v>
      </c>
      <c r="B6607" s="35" t="s">
        <v>2605</v>
      </c>
    </row>
    <row r="6608" spans="1:2" x14ac:dyDescent="0.35">
      <c r="A6608" s="34">
        <v>40141704</v>
      </c>
      <c r="B6608" s="35" t="s">
        <v>16758</v>
      </c>
    </row>
    <row r="6609" spans="1:2" x14ac:dyDescent="0.35">
      <c r="A6609" s="34">
        <v>40141705</v>
      </c>
      <c r="B6609" s="35" t="s">
        <v>14588</v>
      </c>
    </row>
    <row r="6610" spans="1:2" x14ac:dyDescent="0.35">
      <c r="A6610" s="34">
        <v>40141716</v>
      </c>
      <c r="B6610" s="35" t="s">
        <v>8209</v>
      </c>
    </row>
    <row r="6611" spans="1:2" x14ac:dyDescent="0.35">
      <c r="A6611" s="34">
        <v>40141719</v>
      </c>
      <c r="B6611" s="35" t="s">
        <v>1026</v>
      </c>
    </row>
    <row r="6612" spans="1:2" x14ac:dyDescent="0.35">
      <c r="A6612" s="34">
        <v>40141720</v>
      </c>
      <c r="B6612" s="35" t="s">
        <v>17254</v>
      </c>
    </row>
    <row r="6613" spans="1:2" x14ac:dyDescent="0.35">
      <c r="A6613" s="34">
        <v>40141725</v>
      </c>
      <c r="B6613" s="35" t="s">
        <v>5182</v>
      </c>
    </row>
    <row r="6614" spans="1:2" x14ac:dyDescent="0.35">
      <c r="A6614" s="34">
        <v>40141726</v>
      </c>
      <c r="B6614" s="35" t="s">
        <v>10992</v>
      </c>
    </row>
    <row r="6615" spans="1:2" x14ac:dyDescent="0.35">
      <c r="A6615" s="34">
        <v>40141727</v>
      </c>
      <c r="B6615" s="35" t="s">
        <v>7168</v>
      </c>
    </row>
    <row r="6616" spans="1:2" x14ac:dyDescent="0.35">
      <c r="A6616" s="34">
        <v>40141731</v>
      </c>
      <c r="B6616" s="35" t="s">
        <v>17977</v>
      </c>
    </row>
    <row r="6617" spans="1:2" x14ac:dyDescent="0.35">
      <c r="A6617" s="34">
        <v>40141732</v>
      </c>
      <c r="B6617" s="35" t="s">
        <v>13023</v>
      </c>
    </row>
    <row r="6618" spans="1:2" x14ac:dyDescent="0.35">
      <c r="A6618" s="34">
        <v>40141734</v>
      </c>
      <c r="B6618" s="35" t="s">
        <v>1707</v>
      </c>
    </row>
    <row r="6619" spans="1:2" x14ac:dyDescent="0.35">
      <c r="A6619" s="34">
        <v>40141735</v>
      </c>
      <c r="B6619" s="35" t="s">
        <v>17438</v>
      </c>
    </row>
    <row r="6620" spans="1:2" x14ac:dyDescent="0.35">
      <c r="A6620" s="34">
        <v>40141736</v>
      </c>
      <c r="B6620" s="35" t="s">
        <v>176</v>
      </c>
    </row>
    <row r="6621" spans="1:2" x14ac:dyDescent="0.35">
      <c r="A6621" s="34">
        <v>40141737</v>
      </c>
      <c r="B6621" s="35" t="s">
        <v>7695</v>
      </c>
    </row>
    <row r="6622" spans="1:2" x14ac:dyDescent="0.35">
      <c r="A6622" s="34">
        <v>40141738</v>
      </c>
      <c r="B6622" s="35" t="s">
        <v>6679</v>
      </c>
    </row>
    <row r="6623" spans="1:2" x14ac:dyDescent="0.35">
      <c r="A6623" s="34">
        <v>40141739</v>
      </c>
      <c r="B6623" s="35" t="s">
        <v>692</v>
      </c>
    </row>
    <row r="6624" spans="1:2" x14ac:dyDescent="0.35">
      <c r="A6624" s="34">
        <v>40141740</v>
      </c>
      <c r="B6624" s="35" t="s">
        <v>14471</v>
      </c>
    </row>
    <row r="6625" spans="1:2" x14ac:dyDescent="0.35">
      <c r="A6625" s="34">
        <v>40141741</v>
      </c>
      <c r="B6625" s="35" t="s">
        <v>1012</v>
      </c>
    </row>
    <row r="6626" spans="1:2" x14ac:dyDescent="0.35">
      <c r="A6626" s="34">
        <v>40141742</v>
      </c>
      <c r="B6626" s="35" t="s">
        <v>6681</v>
      </c>
    </row>
    <row r="6627" spans="1:2" x14ac:dyDescent="0.35">
      <c r="A6627" s="34">
        <v>40141743</v>
      </c>
      <c r="B6627" s="35" t="s">
        <v>2611</v>
      </c>
    </row>
    <row r="6628" spans="1:2" x14ac:dyDescent="0.35">
      <c r="A6628" s="34">
        <v>40141744</v>
      </c>
      <c r="B6628" s="35" t="s">
        <v>1340</v>
      </c>
    </row>
    <row r="6629" spans="1:2" x14ac:dyDescent="0.35">
      <c r="A6629" s="34">
        <v>40141745</v>
      </c>
      <c r="B6629" s="35" t="s">
        <v>15206</v>
      </c>
    </row>
    <row r="6630" spans="1:2" x14ac:dyDescent="0.35">
      <c r="A6630" s="34">
        <v>40141746</v>
      </c>
      <c r="B6630" s="35" t="s">
        <v>5916</v>
      </c>
    </row>
    <row r="6631" spans="1:2" x14ac:dyDescent="0.35">
      <c r="A6631" s="34">
        <v>40141901</v>
      </c>
      <c r="B6631" s="35" t="s">
        <v>15987</v>
      </c>
    </row>
    <row r="6632" spans="1:2" x14ac:dyDescent="0.35">
      <c r="A6632" s="34">
        <v>40141902</v>
      </c>
      <c r="B6632" s="35" t="s">
        <v>9979</v>
      </c>
    </row>
    <row r="6633" spans="1:2" x14ac:dyDescent="0.35">
      <c r="A6633" s="34">
        <v>40141903</v>
      </c>
      <c r="B6633" s="35" t="s">
        <v>10531</v>
      </c>
    </row>
    <row r="6634" spans="1:2" x14ac:dyDescent="0.35">
      <c r="A6634" s="34">
        <v>40141904</v>
      </c>
      <c r="B6634" s="35" t="s">
        <v>13704</v>
      </c>
    </row>
    <row r="6635" spans="1:2" x14ac:dyDescent="0.35">
      <c r="A6635" s="34">
        <v>40141905</v>
      </c>
      <c r="B6635" s="35" t="s">
        <v>5077</v>
      </c>
    </row>
    <row r="6636" spans="1:2" x14ac:dyDescent="0.35">
      <c r="A6636" s="34">
        <v>40141906</v>
      </c>
      <c r="B6636" s="35" t="s">
        <v>10713</v>
      </c>
    </row>
    <row r="6637" spans="1:2" x14ac:dyDescent="0.35">
      <c r="A6637" s="34">
        <v>40141907</v>
      </c>
      <c r="B6637" s="35" t="s">
        <v>10713</v>
      </c>
    </row>
    <row r="6638" spans="1:2" x14ac:dyDescent="0.35">
      <c r="A6638" s="34">
        <v>40141908</v>
      </c>
      <c r="B6638" s="35" t="s">
        <v>17528</v>
      </c>
    </row>
    <row r="6639" spans="1:2" x14ac:dyDescent="0.35">
      <c r="A6639" s="34">
        <v>40141909</v>
      </c>
      <c r="B6639" s="35" t="s">
        <v>13410</v>
      </c>
    </row>
    <row r="6640" spans="1:2" x14ac:dyDescent="0.35">
      <c r="A6640" s="34">
        <v>40141910</v>
      </c>
      <c r="B6640" s="35" t="s">
        <v>18057</v>
      </c>
    </row>
    <row r="6641" spans="1:2" x14ac:dyDescent="0.35">
      <c r="A6641" s="34">
        <v>40141911</v>
      </c>
      <c r="B6641" s="35" t="s">
        <v>17865</v>
      </c>
    </row>
    <row r="6642" spans="1:2" x14ac:dyDescent="0.35">
      <c r="A6642" s="34">
        <v>40141912</v>
      </c>
      <c r="B6642" s="35" t="s">
        <v>2348</v>
      </c>
    </row>
    <row r="6643" spans="1:2" x14ac:dyDescent="0.35">
      <c r="A6643" s="34">
        <v>40141913</v>
      </c>
      <c r="B6643" s="35" t="s">
        <v>13042</v>
      </c>
    </row>
    <row r="6644" spans="1:2" x14ac:dyDescent="0.35">
      <c r="A6644" s="34">
        <v>40141914</v>
      </c>
      <c r="B6644" s="35" t="s">
        <v>6502</v>
      </c>
    </row>
    <row r="6645" spans="1:2" x14ac:dyDescent="0.35">
      <c r="A6645" s="34">
        <v>40141915</v>
      </c>
      <c r="B6645" s="35" t="s">
        <v>4184</v>
      </c>
    </row>
    <row r="6646" spans="1:2" x14ac:dyDescent="0.35">
      <c r="A6646" s="34">
        <v>40141916</v>
      </c>
      <c r="B6646" s="35" t="s">
        <v>918</v>
      </c>
    </row>
    <row r="6647" spans="1:2" x14ac:dyDescent="0.35">
      <c r="A6647" s="34">
        <v>40141917</v>
      </c>
      <c r="B6647" s="35" t="s">
        <v>6075</v>
      </c>
    </row>
    <row r="6648" spans="1:2" x14ac:dyDescent="0.35">
      <c r="A6648" s="34">
        <v>40141918</v>
      </c>
      <c r="B6648" s="35" t="s">
        <v>15731</v>
      </c>
    </row>
    <row r="6649" spans="1:2" x14ac:dyDescent="0.35">
      <c r="A6649" s="34">
        <v>40141919</v>
      </c>
      <c r="B6649" s="35" t="s">
        <v>14741</v>
      </c>
    </row>
    <row r="6650" spans="1:2" x14ac:dyDescent="0.35">
      <c r="A6650" s="34">
        <v>40141920</v>
      </c>
      <c r="B6650" s="35" t="s">
        <v>17866</v>
      </c>
    </row>
    <row r="6651" spans="1:2" x14ac:dyDescent="0.35">
      <c r="A6651" s="34">
        <v>40141921</v>
      </c>
      <c r="B6651" s="35" t="s">
        <v>13341</v>
      </c>
    </row>
    <row r="6652" spans="1:2" x14ac:dyDescent="0.35">
      <c r="A6652" s="34">
        <v>40141922</v>
      </c>
      <c r="B6652" s="35" t="s">
        <v>3197</v>
      </c>
    </row>
    <row r="6653" spans="1:2" x14ac:dyDescent="0.35">
      <c r="A6653" s="34">
        <v>40142001</v>
      </c>
      <c r="B6653" s="35" t="s">
        <v>9163</v>
      </c>
    </row>
    <row r="6654" spans="1:2" x14ac:dyDescent="0.35">
      <c r="A6654" s="34">
        <v>40142002</v>
      </c>
      <c r="B6654" s="35" t="s">
        <v>12786</v>
      </c>
    </row>
    <row r="6655" spans="1:2" x14ac:dyDescent="0.35">
      <c r="A6655" s="34">
        <v>40142003</v>
      </c>
      <c r="B6655" s="35" t="s">
        <v>8743</v>
      </c>
    </row>
    <row r="6656" spans="1:2" x14ac:dyDescent="0.35">
      <c r="A6656" s="34">
        <v>40142004</v>
      </c>
      <c r="B6656" s="35" t="s">
        <v>14422</v>
      </c>
    </row>
    <row r="6657" spans="1:2" x14ac:dyDescent="0.35">
      <c r="A6657" s="34">
        <v>40142005</v>
      </c>
      <c r="B6657" s="35" t="s">
        <v>3380</v>
      </c>
    </row>
    <row r="6658" spans="1:2" x14ac:dyDescent="0.35">
      <c r="A6658" s="34">
        <v>40142006</v>
      </c>
      <c r="B6658" s="35" t="s">
        <v>11018</v>
      </c>
    </row>
    <row r="6659" spans="1:2" x14ac:dyDescent="0.35">
      <c r="A6659" s="34">
        <v>40142007</v>
      </c>
      <c r="B6659" s="35" t="s">
        <v>9477</v>
      </c>
    </row>
    <row r="6660" spans="1:2" x14ac:dyDescent="0.35">
      <c r="A6660" s="34">
        <v>40142008</v>
      </c>
      <c r="B6660" s="35" t="s">
        <v>13661</v>
      </c>
    </row>
    <row r="6661" spans="1:2" x14ac:dyDescent="0.35">
      <c r="A6661" s="34">
        <v>40142009</v>
      </c>
      <c r="B6661" s="35" t="s">
        <v>18971</v>
      </c>
    </row>
    <row r="6662" spans="1:2" x14ac:dyDescent="0.35">
      <c r="A6662" s="34">
        <v>40142010</v>
      </c>
      <c r="B6662" s="35" t="s">
        <v>15515</v>
      </c>
    </row>
    <row r="6663" spans="1:2" x14ac:dyDescent="0.35">
      <c r="A6663" s="34">
        <v>40142101</v>
      </c>
      <c r="B6663" s="35" t="s">
        <v>7889</v>
      </c>
    </row>
    <row r="6664" spans="1:2" x14ac:dyDescent="0.35">
      <c r="A6664" s="34">
        <v>40142102</v>
      </c>
      <c r="B6664" s="35" t="s">
        <v>1175</v>
      </c>
    </row>
    <row r="6665" spans="1:2" x14ac:dyDescent="0.35">
      <c r="A6665" s="34">
        <v>40142103</v>
      </c>
      <c r="B6665" s="35" t="s">
        <v>18747</v>
      </c>
    </row>
    <row r="6666" spans="1:2" x14ac:dyDescent="0.35">
      <c r="A6666" s="34">
        <v>40142104</v>
      </c>
      <c r="B6666" s="35" t="s">
        <v>7748</v>
      </c>
    </row>
    <row r="6667" spans="1:2" x14ac:dyDescent="0.35">
      <c r="A6667" s="34">
        <v>40142105</v>
      </c>
      <c r="B6667" s="35" t="s">
        <v>18095</v>
      </c>
    </row>
    <row r="6668" spans="1:2" x14ac:dyDescent="0.35">
      <c r="A6668" s="34">
        <v>40142106</v>
      </c>
      <c r="B6668" s="35" t="s">
        <v>15924</v>
      </c>
    </row>
    <row r="6669" spans="1:2" x14ac:dyDescent="0.35">
      <c r="A6669" s="34">
        <v>40142107</v>
      </c>
      <c r="B6669" s="35" t="s">
        <v>8007</v>
      </c>
    </row>
    <row r="6670" spans="1:2" x14ac:dyDescent="0.35">
      <c r="A6670" s="34">
        <v>40142108</v>
      </c>
      <c r="B6670" s="35" t="s">
        <v>8215</v>
      </c>
    </row>
    <row r="6671" spans="1:2" x14ac:dyDescent="0.35">
      <c r="A6671" s="34">
        <v>40142109</v>
      </c>
      <c r="B6671" s="35" t="s">
        <v>19525</v>
      </c>
    </row>
    <row r="6672" spans="1:2" x14ac:dyDescent="0.35">
      <c r="A6672" s="34">
        <v>40142110</v>
      </c>
      <c r="B6672" s="35" t="s">
        <v>11998</v>
      </c>
    </row>
    <row r="6673" spans="1:2" x14ac:dyDescent="0.35">
      <c r="A6673" s="34">
        <v>40142111</v>
      </c>
      <c r="B6673" s="35" t="s">
        <v>9607</v>
      </c>
    </row>
    <row r="6674" spans="1:2" x14ac:dyDescent="0.35">
      <c r="A6674" s="34">
        <v>40142112</v>
      </c>
      <c r="B6674" s="35" t="s">
        <v>8167</v>
      </c>
    </row>
    <row r="6675" spans="1:2" x14ac:dyDescent="0.35">
      <c r="A6675" s="34">
        <v>40142113</v>
      </c>
      <c r="B6675" s="35" t="s">
        <v>5652</v>
      </c>
    </row>
    <row r="6676" spans="1:2" x14ac:dyDescent="0.35">
      <c r="A6676" s="34">
        <v>40142114</v>
      </c>
      <c r="B6676" s="35" t="s">
        <v>13873</v>
      </c>
    </row>
    <row r="6677" spans="1:2" x14ac:dyDescent="0.35">
      <c r="A6677" s="34">
        <v>40142115</v>
      </c>
      <c r="B6677" s="35" t="s">
        <v>9361</v>
      </c>
    </row>
    <row r="6678" spans="1:2" x14ac:dyDescent="0.35">
      <c r="A6678" s="34">
        <v>40142116</v>
      </c>
      <c r="B6678" s="35" t="s">
        <v>10474</v>
      </c>
    </row>
    <row r="6679" spans="1:2" x14ac:dyDescent="0.35">
      <c r="A6679" s="34">
        <v>40142117</v>
      </c>
      <c r="B6679" s="35" t="s">
        <v>18096</v>
      </c>
    </row>
    <row r="6680" spans="1:2" x14ac:dyDescent="0.35">
      <c r="A6680" s="34">
        <v>40142118</v>
      </c>
      <c r="B6680" s="35" t="s">
        <v>8</v>
      </c>
    </row>
    <row r="6681" spans="1:2" x14ac:dyDescent="0.35">
      <c r="A6681" s="34">
        <v>40142119</v>
      </c>
      <c r="B6681" s="35" t="s">
        <v>143</v>
      </c>
    </row>
    <row r="6682" spans="1:2" x14ac:dyDescent="0.35">
      <c r="A6682" s="34">
        <v>40142120</v>
      </c>
      <c r="B6682" s="35" t="s">
        <v>18868</v>
      </c>
    </row>
    <row r="6683" spans="1:2" x14ac:dyDescent="0.35">
      <c r="A6683" s="34">
        <v>40142121</v>
      </c>
      <c r="B6683" s="35" t="s">
        <v>9868</v>
      </c>
    </row>
    <row r="6684" spans="1:2" x14ac:dyDescent="0.35">
      <c r="A6684" s="34">
        <v>40142122</v>
      </c>
      <c r="B6684" s="35" t="s">
        <v>7128</v>
      </c>
    </row>
    <row r="6685" spans="1:2" x14ac:dyDescent="0.35">
      <c r="A6685" s="34">
        <v>40142201</v>
      </c>
      <c r="B6685" s="35" t="s">
        <v>3496</v>
      </c>
    </row>
    <row r="6686" spans="1:2" x14ac:dyDescent="0.35">
      <c r="A6686" s="34">
        <v>40142202</v>
      </c>
      <c r="B6686" s="35" t="s">
        <v>7065</v>
      </c>
    </row>
    <row r="6687" spans="1:2" x14ac:dyDescent="0.35">
      <c r="A6687" s="34">
        <v>40142203</v>
      </c>
      <c r="B6687" s="35" t="s">
        <v>6144</v>
      </c>
    </row>
    <row r="6688" spans="1:2" x14ac:dyDescent="0.35">
      <c r="A6688" s="34">
        <v>40142301</v>
      </c>
      <c r="B6688" s="35" t="s">
        <v>2976</v>
      </c>
    </row>
    <row r="6689" spans="1:2" x14ac:dyDescent="0.35">
      <c r="A6689" s="34">
        <v>40142302</v>
      </c>
      <c r="B6689" s="35" t="s">
        <v>15750</v>
      </c>
    </row>
    <row r="6690" spans="1:2" x14ac:dyDescent="0.35">
      <c r="A6690" s="34">
        <v>40142303</v>
      </c>
      <c r="B6690" s="35" t="s">
        <v>13196</v>
      </c>
    </row>
    <row r="6691" spans="1:2" x14ac:dyDescent="0.35">
      <c r="A6691" s="34">
        <v>40142304</v>
      </c>
      <c r="B6691" s="35" t="s">
        <v>2429</v>
      </c>
    </row>
    <row r="6692" spans="1:2" x14ac:dyDescent="0.35">
      <c r="A6692" s="34">
        <v>40142305</v>
      </c>
      <c r="B6692" s="35" t="s">
        <v>8622</v>
      </c>
    </row>
    <row r="6693" spans="1:2" x14ac:dyDescent="0.35">
      <c r="A6693" s="34">
        <v>40142306</v>
      </c>
      <c r="B6693" s="35" t="s">
        <v>9638</v>
      </c>
    </row>
    <row r="6694" spans="1:2" x14ac:dyDescent="0.35">
      <c r="A6694" s="34">
        <v>40142307</v>
      </c>
      <c r="B6694" s="35" t="s">
        <v>4586</v>
      </c>
    </row>
    <row r="6695" spans="1:2" x14ac:dyDescent="0.35">
      <c r="A6695" s="34">
        <v>40142308</v>
      </c>
      <c r="B6695" s="35" t="s">
        <v>14716</v>
      </c>
    </row>
    <row r="6696" spans="1:2" x14ac:dyDescent="0.35">
      <c r="A6696" s="34">
        <v>40142309</v>
      </c>
      <c r="B6696" s="35" t="s">
        <v>9124</v>
      </c>
    </row>
    <row r="6697" spans="1:2" x14ac:dyDescent="0.35">
      <c r="A6697" s="34">
        <v>40142310</v>
      </c>
      <c r="B6697" s="35" t="s">
        <v>10276</v>
      </c>
    </row>
    <row r="6698" spans="1:2" x14ac:dyDescent="0.35">
      <c r="A6698" s="34">
        <v>40142311</v>
      </c>
      <c r="B6698" s="35" t="s">
        <v>9703</v>
      </c>
    </row>
    <row r="6699" spans="1:2" x14ac:dyDescent="0.35">
      <c r="A6699" s="34">
        <v>40142312</v>
      </c>
      <c r="B6699" s="35" t="s">
        <v>13890</v>
      </c>
    </row>
    <row r="6700" spans="1:2" x14ac:dyDescent="0.35">
      <c r="A6700" s="34">
        <v>40142313</v>
      </c>
      <c r="B6700" s="35" t="s">
        <v>6567</v>
      </c>
    </row>
    <row r="6701" spans="1:2" x14ac:dyDescent="0.35">
      <c r="A6701" s="34">
        <v>40142314</v>
      </c>
      <c r="B6701" s="35" t="s">
        <v>1563</v>
      </c>
    </row>
    <row r="6702" spans="1:2" x14ac:dyDescent="0.35">
      <c r="A6702" s="34">
        <v>40142315</v>
      </c>
      <c r="B6702" s="35" t="s">
        <v>13132</v>
      </c>
    </row>
    <row r="6703" spans="1:2" x14ac:dyDescent="0.35">
      <c r="A6703" s="34">
        <v>40142316</v>
      </c>
      <c r="B6703" s="35" t="s">
        <v>9566</v>
      </c>
    </row>
    <row r="6704" spans="1:2" x14ac:dyDescent="0.35">
      <c r="A6704" s="34">
        <v>40142317</v>
      </c>
      <c r="B6704" s="35" t="s">
        <v>9171</v>
      </c>
    </row>
    <row r="6705" spans="1:2" x14ac:dyDescent="0.35">
      <c r="A6705" s="34">
        <v>40142318</v>
      </c>
      <c r="B6705" s="35" t="s">
        <v>3591</v>
      </c>
    </row>
    <row r="6706" spans="1:2" x14ac:dyDescent="0.35">
      <c r="A6706" s="34">
        <v>40142319</v>
      </c>
      <c r="B6706" s="35" t="s">
        <v>2429</v>
      </c>
    </row>
    <row r="6707" spans="1:2" x14ac:dyDescent="0.35">
      <c r="A6707" s="34">
        <v>40142320</v>
      </c>
      <c r="B6707" s="35" t="s">
        <v>19166</v>
      </c>
    </row>
    <row r="6708" spans="1:2" x14ac:dyDescent="0.35">
      <c r="A6708" s="34">
        <v>40142321</v>
      </c>
      <c r="B6708" s="35" t="s">
        <v>3128</v>
      </c>
    </row>
    <row r="6709" spans="1:2" x14ac:dyDescent="0.35">
      <c r="A6709" s="34">
        <v>40142322</v>
      </c>
      <c r="B6709" s="35" t="s">
        <v>10298</v>
      </c>
    </row>
    <row r="6710" spans="1:2" x14ac:dyDescent="0.35">
      <c r="A6710" s="34">
        <v>40142323</v>
      </c>
      <c r="B6710" s="35" t="s">
        <v>8963</v>
      </c>
    </row>
    <row r="6711" spans="1:2" x14ac:dyDescent="0.35">
      <c r="A6711" s="34">
        <v>40142324</v>
      </c>
      <c r="B6711" s="35" t="s">
        <v>5594</v>
      </c>
    </row>
    <row r="6712" spans="1:2" x14ac:dyDescent="0.35">
      <c r="A6712" s="34">
        <v>40142325</v>
      </c>
      <c r="B6712" s="35" t="s">
        <v>4277</v>
      </c>
    </row>
    <row r="6713" spans="1:2" x14ac:dyDescent="0.35">
      <c r="A6713" s="34">
        <v>40142326</v>
      </c>
      <c r="B6713" s="35" t="s">
        <v>4780</v>
      </c>
    </row>
    <row r="6714" spans="1:2" x14ac:dyDescent="0.35">
      <c r="A6714" s="34">
        <v>40142327</v>
      </c>
      <c r="B6714" s="35" t="s">
        <v>6169</v>
      </c>
    </row>
    <row r="6715" spans="1:2" x14ac:dyDescent="0.35">
      <c r="A6715" s="34">
        <v>40142401</v>
      </c>
      <c r="B6715" s="35" t="s">
        <v>11293</v>
      </c>
    </row>
    <row r="6716" spans="1:2" x14ac:dyDescent="0.35">
      <c r="A6716" s="34">
        <v>40142402</v>
      </c>
      <c r="B6716" s="35" t="s">
        <v>12761</v>
      </c>
    </row>
    <row r="6717" spans="1:2" x14ac:dyDescent="0.35">
      <c r="A6717" s="34">
        <v>40142403</v>
      </c>
      <c r="B6717" s="35" t="s">
        <v>8632</v>
      </c>
    </row>
    <row r="6718" spans="1:2" x14ac:dyDescent="0.35">
      <c r="A6718" s="34">
        <v>40142404</v>
      </c>
      <c r="B6718" s="35" t="s">
        <v>10224</v>
      </c>
    </row>
    <row r="6719" spans="1:2" x14ac:dyDescent="0.35">
      <c r="A6719" s="34">
        <v>40142405</v>
      </c>
      <c r="B6719" s="35" t="s">
        <v>5919</v>
      </c>
    </row>
    <row r="6720" spans="1:2" x14ac:dyDescent="0.35">
      <c r="A6720" s="34">
        <v>40142406</v>
      </c>
      <c r="B6720" s="35" t="s">
        <v>11927</v>
      </c>
    </row>
    <row r="6721" spans="1:2" x14ac:dyDescent="0.35">
      <c r="A6721" s="34">
        <v>40142407</v>
      </c>
      <c r="B6721" s="35" t="s">
        <v>8540</v>
      </c>
    </row>
    <row r="6722" spans="1:2" x14ac:dyDescent="0.35">
      <c r="A6722" s="34">
        <v>40142408</v>
      </c>
      <c r="B6722" s="35" t="s">
        <v>8458</v>
      </c>
    </row>
    <row r="6723" spans="1:2" x14ac:dyDescent="0.35">
      <c r="A6723" s="34">
        <v>40142409</v>
      </c>
      <c r="B6723" s="35" t="s">
        <v>2799</v>
      </c>
    </row>
    <row r="6724" spans="1:2" x14ac:dyDescent="0.35">
      <c r="A6724" s="34">
        <v>40142410</v>
      </c>
      <c r="B6724" s="35" t="s">
        <v>9529</v>
      </c>
    </row>
    <row r="6725" spans="1:2" x14ac:dyDescent="0.35">
      <c r="A6725" s="34">
        <v>40142411</v>
      </c>
      <c r="B6725" s="35" t="s">
        <v>10652</v>
      </c>
    </row>
    <row r="6726" spans="1:2" x14ac:dyDescent="0.35">
      <c r="A6726" s="34">
        <v>40142412</v>
      </c>
      <c r="B6726" s="35" t="s">
        <v>444</v>
      </c>
    </row>
    <row r="6727" spans="1:2" x14ac:dyDescent="0.35">
      <c r="A6727" s="34">
        <v>40142413</v>
      </c>
      <c r="B6727" s="35" t="s">
        <v>12554</v>
      </c>
    </row>
    <row r="6728" spans="1:2" x14ac:dyDescent="0.35">
      <c r="A6728" s="34">
        <v>40142414</v>
      </c>
      <c r="B6728" s="35" t="s">
        <v>18145</v>
      </c>
    </row>
    <row r="6729" spans="1:2" x14ac:dyDescent="0.35">
      <c r="A6729" s="34">
        <v>40142501</v>
      </c>
      <c r="B6729" s="35" t="s">
        <v>6011</v>
      </c>
    </row>
    <row r="6730" spans="1:2" x14ac:dyDescent="0.35">
      <c r="A6730" s="34">
        <v>40142502</v>
      </c>
      <c r="B6730" s="35" t="s">
        <v>13302</v>
      </c>
    </row>
    <row r="6731" spans="1:2" x14ac:dyDescent="0.35">
      <c r="A6731" s="34">
        <v>40142503</v>
      </c>
      <c r="B6731" s="35" t="s">
        <v>6957</v>
      </c>
    </row>
    <row r="6732" spans="1:2" x14ac:dyDescent="0.35">
      <c r="A6732" s="34">
        <v>40142504</v>
      </c>
      <c r="B6732" s="35" t="s">
        <v>13003</v>
      </c>
    </row>
    <row r="6733" spans="1:2" x14ac:dyDescent="0.35">
      <c r="A6733" s="34">
        <v>40142604</v>
      </c>
      <c r="B6733" s="35" t="s">
        <v>5297</v>
      </c>
    </row>
    <row r="6734" spans="1:2" x14ac:dyDescent="0.35">
      <c r="A6734" s="34">
        <v>40142605</v>
      </c>
      <c r="B6734" s="35" t="s">
        <v>13438</v>
      </c>
    </row>
    <row r="6735" spans="1:2" x14ac:dyDescent="0.35">
      <c r="A6735" s="34">
        <v>40142606</v>
      </c>
      <c r="B6735" s="35" t="s">
        <v>8708</v>
      </c>
    </row>
    <row r="6736" spans="1:2" x14ac:dyDescent="0.35">
      <c r="A6736" s="34">
        <v>40142607</v>
      </c>
      <c r="B6736" s="35" t="s">
        <v>14224</v>
      </c>
    </row>
    <row r="6737" spans="1:2" x14ac:dyDescent="0.35">
      <c r="A6737" s="34">
        <v>40142608</v>
      </c>
      <c r="B6737" s="35" t="s">
        <v>10497</v>
      </c>
    </row>
    <row r="6738" spans="1:2" x14ac:dyDescent="0.35">
      <c r="A6738" s="34">
        <v>40142609</v>
      </c>
      <c r="B6738" s="35" t="s">
        <v>8251</v>
      </c>
    </row>
    <row r="6739" spans="1:2" x14ac:dyDescent="0.35">
      <c r="A6739" s="34">
        <v>40142610</v>
      </c>
      <c r="B6739" s="35" t="s">
        <v>15627</v>
      </c>
    </row>
    <row r="6740" spans="1:2" x14ac:dyDescent="0.35">
      <c r="A6740" s="34">
        <v>40142611</v>
      </c>
      <c r="B6740" s="35" t="s">
        <v>16502</v>
      </c>
    </row>
    <row r="6741" spans="1:2" x14ac:dyDescent="0.35">
      <c r="A6741" s="34">
        <v>40142612</v>
      </c>
      <c r="B6741" s="35" t="s">
        <v>14943</v>
      </c>
    </row>
    <row r="6742" spans="1:2" x14ac:dyDescent="0.35">
      <c r="A6742" s="34">
        <v>40142613</v>
      </c>
      <c r="B6742" s="35" t="s">
        <v>12871</v>
      </c>
    </row>
    <row r="6743" spans="1:2" x14ac:dyDescent="0.35">
      <c r="A6743" s="34">
        <v>40142614</v>
      </c>
      <c r="B6743" s="35" t="s">
        <v>4110</v>
      </c>
    </row>
    <row r="6744" spans="1:2" x14ac:dyDescent="0.35">
      <c r="A6744" s="34">
        <v>40142615</v>
      </c>
      <c r="B6744" s="35" t="s">
        <v>11423</v>
      </c>
    </row>
    <row r="6745" spans="1:2" x14ac:dyDescent="0.35">
      <c r="A6745" s="34">
        <v>40151501</v>
      </c>
      <c r="B6745" s="35" t="s">
        <v>13414</v>
      </c>
    </row>
    <row r="6746" spans="1:2" x14ac:dyDescent="0.35">
      <c r="A6746" s="34">
        <v>40151502</v>
      </c>
      <c r="B6746" s="35" t="s">
        <v>4957</v>
      </c>
    </row>
    <row r="6747" spans="1:2" x14ac:dyDescent="0.35">
      <c r="A6747" s="34">
        <v>40151503</v>
      </c>
      <c r="B6747" s="35" t="s">
        <v>16400</v>
      </c>
    </row>
    <row r="6748" spans="1:2" x14ac:dyDescent="0.35">
      <c r="A6748" s="34">
        <v>40151504</v>
      </c>
      <c r="B6748" s="35" t="s">
        <v>16183</v>
      </c>
    </row>
    <row r="6749" spans="1:2" x14ac:dyDescent="0.35">
      <c r="A6749" s="34">
        <v>40151505</v>
      </c>
      <c r="B6749" s="35" t="s">
        <v>4165</v>
      </c>
    </row>
    <row r="6750" spans="1:2" x14ac:dyDescent="0.35">
      <c r="A6750" s="34">
        <v>40151506</v>
      </c>
      <c r="B6750" s="35" t="s">
        <v>4061</v>
      </c>
    </row>
    <row r="6751" spans="1:2" x14ac:dyDescent="0.35">
      <c r="A6751" s="34">
        <v>40151507</v>
      </c>
      <c r="B6751" s="35" t="s">
        <v>15561</v>
      </c>
    </row>
    <row r="6752" spans="1:2" x14ac:dyDescent="0.35">
      <c r="A6752" s="34">
        <v>40151508</v>
      </c>
      <c r="B6752" s="35" t="s">
        <v>10699</v>
      </c>
    </row>
    <row r="6753" spans="1:2" x14ac:dyDescent="0.35">
      <c r="A6753" s="34">
        <v>40151509</v>
      </c>
      <c r="B6753" s="35" t="s">
        <v>17452</v>
      </c>
    </row>
    <row r="6754" spans="1:2" x14ac:dyDescent="0.35">
      <c r="A6754" s="34">
        <v>40151510</v>
      </c>
      <c r="B6754" s="35" t="s">
        <v>1822</v>
      </c>
    </row>
    <row r="6755" spans="1:2" x14ac:dyDescent="0.35">
      <c r="A6755" s="34">
        <v>40151511</v>
      </c>
      <c r="B6755" s="35" t="s">
        <v>944</v>
      </c>
    </row>
    <row r="6756" spans="1:2" x14ac:dyDescent="0.35">
      <c r="A6756" s="34">
        <v>40151512</v>
      </c>
      <c r="B6756" s="35" t="s">
        <v>6289</v>
      </c>
    </row>
    <row r="6757" spans="1:2" x14ac:dyDescent="0.35">
      <c r="A6757" s="34">
        <v>40151513</v>
      </c>
      <c r="B6757" s="35" t="s">
        <v>9934</v>
      </c>
    </row>
    <row r="6758" spans="1:2" x14ac:dyDescent="0.35">
      <c r="A6758" s="34">
        <v>40151514</v>
      </c>
      <c r="B6758" s="35" t="s">
        <v>19282</v>
      </c>
    </row>
    <row r="6759" spans="1:2" x14ac:dyDescent="0.35">
      <c r="A6759" s="34">
        <v>40151515</v>
      </c>
      <c r="B6759" s="35" t="s">
        <v>13545</v>
      </c>
    </row>
    <row r="6760" spans="1:2" x14ac:dyDescent="0.35">
      <c r="A6760" s="34">
        <v>40151516</v>
      </c>
      <c r="B6760" s="35" t="s">
        <v>11903</v>
      </c>
    </row>
    <row r="6761" spans="1:2" x14ac:dyDescent="0.35">
      <c r="A6761" s="34">
        <v>40151517</v>
      </c>
      <c r="B6761" s="35" t="s">
        <v>16738</v>
      </c>
    </row>
    <row r="6762" spans="1:2" x14ac:dyDescent="0.35">
      <c r="A6762" s="34">
        <v>40151518</v>
      </c>
      <c r="B6762" s="35" t="s">
        <v>15934</v>
      </c>
    </row>
    <row r="6763" spans="1:2" x14ac:dyDescent="0.35">
      <c r="A6763" s="34">
        <v>40151519</v>
      </c>
      <c r="B6763" s="35" t="s">
        <v>8546</v>
      </c>
    </row>
    <row r="6764" spans="1:2" x14ac:dyDescent="0.35">
      <c r="A6764" s="34">
        <v>40151520</v>
      </c>
      <c r="B6764" s="35" t="s">
        <v>1457</v>
      </c>
    </row>
    <row r="6765" spans="1:2" x14ac:dyDescent="0.35">
      <c r="A6765" s="34">
        <v>40151521</v>
      </c>
      <c r="B6765" s="35" t="s">
        <v>12383</v>
      </c>
    </row>
    <row r="6766" spans="1:2" x14ac:dyDescent="0.35">
      <c r="A6766" s="34">
        <v>40151522</v>
      </c>
      <c r="B6766" s="35" t="s">
        <v>8101</v>
      </c>
    </row>
    <row r="6767" spans="1:2" x14ac:dyDescent="0.35">
      <c r="A6767" s="34">
        <v>40151523</v>
      </c>
      <c r="B6767" s="35" t="s">
        <v>17021</v>
      </c>
    </row>
    <row r="6768" spans="1:2" x14ac:dyDescent="0.35">
      <c r="A6768" s="34">
        <v>40151524</v>
      </c>
      <c r="B6768" s="35" t="s">
        <v>6959</v>
      </c>
    </row>
    <row r="6769" spans="1:2" x14ac:dyDescent="0.35">
      <c r="A6769" s="34">
        <v>40151525</v>
      </c>
      <c r="B6769" s="35" t="s">
        <v>12623</v>
      </c>
    </row>
    <row r="6770" spans="1:2" x14ac:dyDescent="0.35">
      <c r="A6770" s="34">
        <v>40151526</v>
      </c>
      <c r="B6770" s="35" t="s">
        <v>8742</v>
      </c>
    </row>
    <row r="6771" spans="1:2" x14ac:dyDescent="0.35">
      <c r="A6771" s="34">
        <v>40151527</v>
      </c>
      <c r="B6771" s="35" t="s">
        <v>3313</v>
      </c>
    </row>
    <row r="6772" spans="1:2" x14ac:dyDescent="0.35">
      <c r="A6772" s="34">
        <v>40151528</v>
      </c>
      <c r="B6772" s="35" t="s">
        <v>12352</v>
      </c>
    </row>
    <row r="6773" spans="1:2" x14ac:dyDescent="0.35">
      <c r="A6773" s="34">
        <v>40151529</v>
      </c>
      <c r="B6773" s="35" t="s">
        <v>7010</v>
      </c>
    </row>
    <row r="6774" spans="1:2" x14ac:dyDescent="0.35">
      <c r="A6774" s="34">
        <v>40151530</v>
      </c>
      <c r="B6774" s="35" t="s">
        <v>13361</v>
      </c>
    </row>
    <row r="6775" spans="1:2" x14ac:dyDescent="0.35">
      <c r="A6775" s="34">
        <v>40151531</v>
      </c>
      <c r="B6775" s="35" t="s">
        <v>8793</v>
      </c>
    </row>
    <row r="6776" spans="1:2" x14ac:dyDescent="0.35">
      <c r="A6776" s="34">
        <v>40151532</v>
      </c>
      <c r="B6776" s="35" t="s">
        <v>18721</v>
      </c>
    </row>
    <row r="6777" spans="1:2" x14ac:dyDescent="0.35">
      <c r="A6777" s="34">
        <v>40151533</v>
      </c>
      <c r="B6777" s="35" t="s">
        <v>1335</v>
      </c>
    </row>
    <row r="6778" spans="1:2" x14ac:dyDescent="0.35">
      <c r="A6778" s="34">
        <v>40151534</v>
      </c>
      <c r="B6778" s="35" t="s">
        <v>7291</v>
      </c>
    </row>
    <row r="6779" spans="1:2" x14ac:dyDescent="0.35">
      <c r="A6779" s="34">
        <v>40151546</v>
      </c>
      <c r="B6779" s="35" t="s">
        <v>15879</v>
      </c>
    </row>
    <row r="6780" spans="1:2" x14ac:dyDescent="0.35">
      <c r="A6780" s="34">
        <v>40151547</v>
      </c>
      <c r="B6780" s="35" t="s">
        <v>11211</v>
      </c>
    </row>
    <row r="6781" spans="1:2" x14ac:dyDescent="0.35">
      <c r="A6781" s="34">
        <v>40151548</v>
      </c>
      <c r="B6781" s="35" t="s">
        <v>61</v>
      </c>
    </row>
    <row r="6782" spans="1:2" x14ac:dyDescent="0.35">
      <c r="A6782" s="34">
        <v>40151549</v>
      </c>
      <c r="B6782" s="35" t="s">
        <v>2942</v>
      </c>
    </row>
    <row r="6783" spans="1:2" x14ac:dyDescent="0.35">
      <c r="A6783" s="34">
        <v>40151550</v>
      </c>
      <c r="B6783" s="35" t="s">
        <v>4915</v>
      </c>
    </row>
    <row r="6784" spans="1:2" x14ac:dyDescent="0.35">
      <c r="A6784" s="34">
        <v>40151551</v>
      </c>
      <c r="B6784" s="35" t="s">
        <v>19469</v>
      </c>
    </row>
    <row r="6785" spans="1:2" x14ac:dyDescent="0.35">
      <c r="A6785" s="34">
        <v>40151552</v>
      </c>
      <c r="B6785" s="35" t="s">
        <v>13154</v>
      </c>
    </row>
    <row r="6786" spans="1:2" x14ac:dyDescent="0.35">
      <c r="A6786" s="34">
        <v>40151553</v>
      </c>
      <c r="B6786" s="35" t="s">
        <v>12364</v>
      </c>
    </row>
    <row r="6787" spans="1:2" x14ac:dyDescent="0.35">
      <c r="A6787" s="34">
        <v>40151554</v>
      </c>
      <c r="B6787" s="35" t="s">
        <v>16268</v>
      </c>
    </row>
    <row r="6788" spans="1:2" x14ac:dyDescent="0.35">
      <c r="A6788" s="34">
        <v>40151555</v>
      </c>
      <c r="B6788" s="35" t="s">
        <v>16045</v>
      </c>
    </row>
    <row r="6789" spans="1:2" x14ac:dyDescent="0.35">
      <c r="A6789" s="34">
        <v>40151556</v>
      </c>
      <c r="B6789" s="35" t="s">
        <v>10697</v>
      </c>
    </row>
    <row r="6790" spans="1:2" x14ac:dyDescent="0.35">
      <c r="A6790" s="34">
        <v>40151557</v>
      </c>
      <c r="B6790" s="35" t="s">
        <v>11303</v>
      </c>
    </row>
    <row r="6791" spans="1:2" x14ac:dyDescent="0.35">
      <c r="A6791" s="34">
        <v>40151558</v>
      </c>
      <c r="B6791" s="35" t="s">
        <v>10389</v>
      </c>
    </row>
    <row r="6792" spans="1:2" x14ac:dyDescent="0.35">
      <c r="A6792" s="34">
        <v>40151559</v>
      </c>
      <c r="B6792" s="35" t="s">
        <v>4906</v>
      </c>
    </row>
    <row r="6793" spans="1:2" x14ac:dyDescent="0.35">
      <c r="A6793" s="34">
        <v>40151560</v>
      </c>
      <c r="B6793" s="35" t="s">
        <v>15700</v>
      </c>
    </row>
    <row r="6794" spans="1:2" x14ac:dyDescent="0.35">
      <c r="A6794" s="34">
        <v>40151561</v>
      </c>
      <c r="B6794" s="35" t="s">
        <v>14428</v>
      </c>
    </row>
    <row r="6795" spans="1:2" x14ac:dyDescent="0.35">
      <c r="A6795" s="34">
        <v>40151562</v>
      </c>
      <c r="B6795" s="35" t="s">
        <v>6434</v>
      </c>
    </row>
    <row r="6796" spans="1:2" x14ac:dyDescent="0.35">
      <c r="A6796" s="34">
        <v>40151563</v>
      </c>
      <c r="B6796" s="35" t="s">
        <v>15122</v>
      </c>
    </row>
    <row r="6797" spans="1:2" x14ac:dyDescent="0.35">
      <c r="A6797" s="34">
        <v>40151564</v>
      </c>
      <c r="B6797" s="35" t="s">
        <v>4297</v>
      </c>
    </row>
    <row r="6798" spans="1:2" x14ac:dyDescent="0.35">
      <c r="A6798" s="34">
        <v>40151601</v>
      </c>
      <c r="B6798" s="35" t="s">
        <v>11934</v>
      </c>
    </row>
    <row r="6799" spans="1:2" x14ac:dyDescent="0.35">
      <c r="A6799" s="34">
        <v>40151602</v>
      </c>
      <c r="B6799" s="35" t="s">
        <v>8991</v>
      </c>
    </row>
    <row r="6800" spans="1:2" x14ac:dyDescent="0.35">
      <c r="A6800" s="34">
        <v>40151603</v>
      </c>
      <c r="B6800" s="35" t="s">
        <v>4228</v>
      </c>
    </row>
    <row r="6801" spans="1:2" x14ac:dyDescent="0.35">
      <c r="A6801" s="34">
        <v>40151604</v>
      </c>
      <c r="B6801" s="35" t="s">
        <v>1782</v>
      </c>
    </row>
    <row r="6802" spans="1:2" x14ac:dyDescent="0.35">
      <c r="A6802" s="34">
        <v>40151605</v>
      </c>
      <c r="B6802" s="35" t="s">
        <v>4964</v>
      </c>
    </row>
    <row r="6803" spans="1:2" x14ac:dyDescent="0.35">
      <c r="A6803" s="34">
        <v>40151606</v>
      </c>
      <c r="B6803" s="35" t="s">
        <v>4962</v>
      </c>
    </row>
    <row r="6804" spans="1:2" x14ac:dyDescent="0.35">
      <c r="A6804" s="34">
        <v>40151607</v>
      </c>
      <c r="B6804" s="35" t="s">
        <v>3132</v>
      </c>
    </row>
    <row r="6805" spans="1:2" x14ac:dyDescent="0.35">
      <c r="A6805" s="34">
        <v>40151608</v>
      </c>
      <c r="B6805" s="35" t="s">
        <v>480</v>
      </c>
    </row>
    <row r="6806" spans="1:2" x14ac:dyDescent="0.35">
      <c r="A6806" s="34">
        <v>40151609</v>
      </c>
      <c r="B6806" s="35" t="s">
        <v>1985</v>
      </c>
    </row>
    <row r="6807" spans="1:2" x14ac:dyDescent="0.35">
      <c r="A6807" s="34">
        <v>40151610</v>
      </c>
      <c r="B6807" s="35" t="s">
        <v>15207</v>
      </c>
    </row>
    <row r="6808" spans="1:2" x14ac:dyDescent="0.35">
      <c r="A6808" s="34">
        <v>40151611</v>
      </c>
      <c r="B6808" s="35" t="s">
        <v>9468</v>
      </c>
    </row>
    <row r="6809" spans="1:2" x14ac:dyDescent="0.35">
      <c r="A6809" s="34">
        <v>40151612</v>
      </c>
      <c r="B6809" s="35" t="s">
        <v>8439</v>
      </c>
    </row>
    <row r="6810" spans="1:2" x14ac:dyDescent="0.35">
      <c r="A6810" s="34">
        <v>40151613</v>
      </c>
      <c r="B6810" s="35" t="s">
        <v>2317</v>
      </c>
    </row>
    <row r="6811" spans="1:2" x14ac:dyDescent="0.35">
      <c r="A6811" s="34">
        <v>40151614</v>
      </c>
      <c r="B6811" s="35" t="s">
        <v>16453</v>
      </c>
    </row>
    <row r="6812" spans="1:2" x14ac:dyDescent="0.35">
      <c r="A6812" s="34">
        <v>40151615</v>
      </c>
      <c r="B6812" s="35" t="s">
        <v>10523</v>
      </c>
    </row>
    <row r="6813" spans="1:2" x14ac:dyDescent="0.35">
      <c r="A6813" s="34">
        <v>40151616</v>
      </c>
      <c r="B6813" s="35" t="s">
        <v>16918</v>
      </c>
    </row>
    <row r="6814" spans="1:2" x14ac:dyDescent="0.35">
      <c r="A6814" s="34">
        <v>40151701</v>
      </c>
      <c r="B6814" s="35" t="s">
        <v>2218</v>
      </c>
    </row>
    <row r="6815" spans="1:2" x14ac:dyDescent="0.35">
      <c r="A6815" s="34">
        <v>40151712</v>
      </c>
      <c r="B6815" s="35" t="s">
        <v>5489</v>
      </c>
    </row>
    <row r="6816" spans="1:2" x14ac:dyDescent="0.35">
      <c r="A6816" s="34">
        <v>40151713</v>
      </c>
      <c r="B6816" s="35" t="s">
        <v>7893</v>
      </c>
    </row>
    <row r="6817" spans="1:2" x14ac:dyDescent="0.35">
      <c r="A6817" s="34">
        <v>40151714</v>
      </c>
      <c r="B6817" s="35" t="s">
        <v>10038</v>
      </c>
    </row>
    <row r="6818" spans="1:2" x14ac:dyDescent="0.35">
      <c r="A6818" s="34">
        <v>40151715</v>
      </c>
      <c r="B6818" s="35" t="s">
        <v>7140</v>
      </c>
    </row>
    <row r="6819" spans="1:2" x14ac:dyDescent="0.35">
      <c r="A6819" s="34">
        <v>40151716</v>
      </c>
      <c r="B6819" s="35" t="s">
        <v>15697</v>
      </c>
    </row>
    <row r="6820" spans="1:2" x14ac:dyDescent="0.35">
      <c r="A6820" s="34">
        <v>40151717</v>
      </c>
      <c r="B6820" s="35" t="s">
        <v>1554</v>
      </c>
    </row>
    <row r="6821" spans="1:2" x14ac:dyDescent="0.35">
      <c r="A6821" s="34">
        <v>40151718</v>
      </c>
      <c r="B6821" s="35" t="s">
        <v>18348</v>
      </c>
    </row>
    <row r="6822" spans="1:2" x14ac:dyDescent="0.35">
      <c r="A6822" s="34">
        <v>40151719</v>
      </c>
      <c r="B6822" s="35" t="s">
        <v>12804</v>
      </c>
    </row>
    <row r="6823" spans="1:2" x14ac:dyDescent="0.35">
      <c r="A6823" s="34">
        <v>40151720</v>
      </c>
      <c r="B6823" s="35" t="s">
        <v>12876</v>
      </c>
    </row>
    <row r="6824" spans="1:2" x14ac:dyDescent="0.35">
      <c r="A6824" s="34">
        <v>40151721</v>
      </c>
      <c r="B6824" s="35" t="s">
        <v>9662</v>
      </c>
    </row>
    <row r="6825" spans="1:2" x14ac:dyDescent="0.35">
      <c r="A6825" s="34">
        <v>40151722</v>
      </c>
      <c r="B6825" s="35" t="s">
        <v>18418</v>
      </c>
    </row>
    <row r="6826" spans="1:2" x14ac:dyDescent="0.35">
      <c r="A6826" s="34">
        <v>40151723</v>
      </c>
      <c r="B6826" s="35" t="s">
        <v>10465</v>
      </c>
    </row>
    <row r="6827" spans="1:2" x14ac:dyDescent="0.35">
      <c r="A6827" s="34">
        <v>40151724</v>
      </c>
      <c r="B6827" s="35" t="s">
        <v>2919</v>
      </c>
    </row>
    <row r="6828" spans="1:2" x14ac:dyDescent="0.35">
      <c r="A6828" s="34">
        <v>40151725</v>
      </c>
      <c r="B6828" s="35" t="s">
        <v>803</v>
      </c>
    </row>
    <row r="6829" spans="1:2" x14ac:dyDescent="0.35">
      <c r="A6829" s="34">
        <v>40151726</v>
      </c>
      <c r="B6829" s="35" t="s">
        <v>13267</v>
      </c>
    </row>
    <row r="6830" spans="1:2" x14ac:dyDescent="0.35">
      <c r="A6830" s="34">
        <v>40151727</v>
      </c>
      <c r="B6830" s="35" t="s">
        <v>1879</v>
      </c>
    </row>
    <row r="6831" spans="1:2" x14ac:dyDescent="0.35">
      <c r="A6831" s="34">
        <v>40151728</v>
      </c>
      <c r="B6831" s="35" t="s">
        <v>15201</v>
      </c>
    </row>
    <row r="6832" spans="1:2" x14ac:dyDescent="0.35">
      <c r="A6832" s="34">
        <v>40161501</v>
      </c>
      <c r="B6832" s="35" t="s">
        <v>13597</v>
      </c>
    </row>
    <row r="6833" spans="1:2" x14ac:dyDescent="0.35">
      <c r="A6833" s="34">
        <v>40161502</v>
      </c>
      <c r="B6833" s="35" t="s">
        <v>12919</v>
      </c>
    </row>
    <row r="6834" spans="1:2" x14ac:dyDescent="0.35">
      <c r="A6834" s="34">
        <v>40161503</v>
      </c>
      <c r="B6834" s="35" t="s">
        <v>15248</v>
      </c>
    </row>
    <row r="6835" spans="1:2" x14ac:dyDescent="0.35">
      <c r="A6835" s="34">
        <v>40161504</v>
      </c>
      <c r="B6835" s="35" t="s">
        <v>4356</v>
      </c>
    </row>
    <row r="6836" spans="1:2" x14ac:dyDescent="0.35">
      <c r="A6836" s="34">
        <v>40161505</v>
      </c>
      <c r="B6836" s="35" t="s">
        <v>17662</v>
      </c>
    </row>
    <row r="6837" spans="1:2" x14ac:dyDescent="0.35">
      <c r="A6837" s="34">
        <v>40161506</v>
      </c>
      <c r="B6837" s="35" t="s">
        <v>9502</v>
      </c>
    </row>
    <row r="6838" spans="1:2" x14ac:dyDescent="0.35">
      <c r="A6838" s="34">
        <v>40161507</v>
      </c>
      <c r="B6838" s="35" t="s">
        <v>10016</v>
      </c>
    </row>
    <row r="6839" spans="1:2" x14ac:dyDescent="0.35">
      <c r="A6839" s="34">
        <v>40161508</v>
      </c>
      <c r="B6839" s="35" t="s">
        <v>9073</v>
      </c>
    </row>
    <row r="6840" spans="1:2" x14ac:dyDescent="0.35">
      <c r="A6840" s="34">
        <v>40161509</v>
      </c>
      <c r="B6840" s="35" t="s">
        <v>19108</v>
      </c>
    </row>
    <row r="6841" spans="1:2" x14ac:dyDescent="0.35">
      <c r="A6841" s="34">
        <v>40161511</v>
      </c>
      <c r="B6841" s="35" t="s">
        <v>861</v>
      </c>
    </row>
    <row r="6842" spans="1:2" x14ac:dyDescent="0.35">
      <c r="A6842" s="34">
        <v>40161512</v>
      </c>
      <c r="B6842" s="35" t="s">
        <v>16974</v>
      </c>
    </row>
    <row r="6843" spans="1:2" x14ac:dyDescent="0.35">
      <c r="A6843" s="34">
        <v>40161513</v>
      </c>
      <c r="B6843" s="35" t="s">
        <v>6372</v>
      </c>
    </row>
    <row r="6844" spans="1:2" x14ac:dyDescent="0.35">
      <c r="A6844" s="34">
        <v>40161514</v>
      </c>
      <c r="B6844" s="35" t="s">
        <v>4232</v>
      </c>
    </row>
    <row r="6845" spans="1:2" x14ac:dyDescent="0.35">
      <c r="A6845" s="34">
        <v>40161515</v>
      </c>
      <c r="B6845" s="35" t="s">
        <v>14193</v>
      </c>
    </row>
    <row r="6846" spans="1:2" x14ac:dyDescent="0.35">
      <c r="A6846" s="34">
        <v>40161516</v>
      </c>
      <c r="B6846" s="35" t="s">
        <v>16821</v>
      </c>
    </row>
    <row r="6847" spans="1:2" x14ac:dyDescent="0.35">
      <c r="A6847" s="34">
        <v>40161517</v>
      </c>
      <c r="B6847" s="35" t="s">
        <v>16873</v>
      </c>
    </row>
    <row r="6848" spans="1:2" x14ac:dyDescent="0.35">
      <c r="A6848" s="34">
        <v>40161518</v>
      </c>
      <c r="B6848" s="35" t="s">
        <v>206</v>
      </c>
    </row>
    <row r="6849" spans="1:2" x14ac:dyDescent="0.35">
      <c r="A6849" s="34">
        <v>40161519</v>
      </c>
      <c r="B6849" s="35" t="s">
        <v>5540</v>
      </c>
    </row>
    <row r="6850" spans="1:2" x14ac:dyDescent="0.35">
      <c r="A6850" s="34">
        <v>40161520</v>
      </c>
      <c r="B6850" s="35" t="s">
        <v>7758</v>
      </c>
    </row>
    <row r="6851" spans="1:2" x14ac:dyDescent="0.35">
      <c r="A6851" s="34">
        <v>40161521</v>
      </c>
      <c r="B6851" s="35" t="s">
        <v>18620</v>
      </c>
    </row>
    <row r="6852" spans="1:2" x14ac:dyDescent="0.35">
      <c r="A6852" s="34">
        <v>40161522</v>
      </c>
      <c r="B6852" s="35" t="s">
        <v>14136</v>
      </c>
    </row>
    <row r="6853" spans="1:2" x14ac:dyDescent="0.35">
      <c r="A6853" s="34">
        <v>40161524</v>
      </c>
      <c r="B6853" s="35" t="s">
        <v>10292</v>
      </c>
    </row>
    <row r="6854" spans="1:2" x14ac:dyDescent="0.35">
      <c r="A6854" s="34">
        <v>40161525</v>
      </c>
      <c r="B6854" s="35" t="s">
        <v>761</v>
      </c>
    </row>
    <row r="6855" spans="1:2" x14ac:dyDescent="0.35">
      <c r="A6855" s="34">
        <v>40161526</v>
      </c>
      <c r="B6855" s="35" t="s">
        <v>12086</v>
      </c>
    </row>
    <row r="6856" spans="1:2" x14ac:dyDescent="0.35">
      <c r="A6856" s="34">
        <v>40161527</v>
      </c>
      <c r="B6856" s="35" t="s">
        <v>11319</v>
      </c>
    </row>
    <row r="6857" spans="1:2" x14ac:dyDescent="0.35">
      <c r="A6857" s="34">
        <v>40161601</v>
      </c>
      <c r="B6857" s="35" t="s">
        <v>14899</v>
      </c>
    </row>
    <row r="6858" spans="1:2" x14ac:dyDescent="0.35">
      <c r="A6858" s="34">
        <v>40161602</v>
      </c>
      <c r="B6858" s="35" t="s">
        <v>1699</v>
      </c>
    </row>
    <row r="6859" spans="1:2" x14ac:dyDescent="0.35">
      <c r="A6859" s="34">
        <v>40161701</v>
      </c>
      <c r="B6859" s="35" t="s">
        <v>9130</v>
      </c>
    </row>
    <row r="6860" spans="1:2" x14ac:dyDescent="0.35">
      <c r="A6860" s="34">
        <v>40161702</v>
      </c>
      <c r="B6860" s="35" t="s">
        <v>5592</v>
      </c>
    </row>
    <row r="6861" spans="1:2" x14ac:dyDescent="0.35">
      <c r="A6861" s="34">
        <v>40161703</v>
      </c>
      <c r="B6861" s="35" t="s">
        <v>12570</v>
      </c>
    </row>
    <row r="6862" spans="1:2" x14ac:dyDescent="0.35">
      <c r="A6862" s="34">
        <v>40161704</v>
      </c>
      <c r="B6862" s="35" t="s">
        <v>14169</v>
      </c>
    </row>
    <row r="6863" spans="1:2" x14ac:dyDescent="0.35">
      <c r="A6863" s="34">
        <v>40161801</v>
      </c>
      <c r="B6863" s="35" t="s">
        <v>20</v>
      </c>
    </row>
    <row r="6864" spans="1:2" x14ac:dyDescent="0.35">
      <c r="A6864" s="34">
        <v>40161802</v>
      </c>
      <c r="B6864" s="35" t="s">
        <v>11153</v>
      </c>
    </row>
    <row r="6865" spans="1:2" x14ac:dyDescent="0.35">
      <c r="A6865" s="34">
        <v>40161803</v>
      </c>
      <c r="B6865" s="35" t="s">
        <v>12980</v>
      </c>
    </row>
    <row r="6866" spans="1:2" x14ac:dyDescent="0.35">
      <c r="A6866" s="34">
        <v>40161804</v>
      </c>
      <c r="B6866" s="35" t="s">
        <v>5709</v>
      </c>
    </row>
    <row r="6867" spans="1:2" x14ac:dyDescent="0.35">
      <c r="A6867" s="34">
        <v>40161805</v>
      </c>
      <c r="B6867" s="35" t="s">
        <v>2725</v>
      </c>
    </row>
    <row r="6868" spans="1:2" x14ac:dyDescent="0.35">
      <c r="A6868" s="34">
        <v>40161806</v>
      </c>
      <c r="B6868" s="35" t="s">
        <v>1659</v>
      </c>
    </row>
    <row r="6869" spans="1:2" x14ac:dyDescent="0.35">
      <c r="A6869" s="34">
        <v>41101502</v>
      </c>
      <c r="B6869" s="35" t="s">
        <v>916</v>
      </c>
    </row>
    <row r="6870" spans="1:2" x14ac:dyDescent="0.35">
      <c r="A6870" s="34">
        <v>41101503</v>
      </c>
      <c r="B6870" s="35" t="s">
        <v>3664</v>
      </c>
    </row>
    <row r="6871" spans="1:2" x14ac:dyDescent="0.35">
      <c r="A6871" s="34">
        <v>41101504</v>
      </c>
      <c r="B6871" s="35" t="s">
        <v>14796</v>
      </c>
    </row>
    <row r="6872" spans="1:2" x14ac:dyDescent="0.35">
      <c r="A6872" s="34">
        <v>41101505</v>
      </c>
      <c r="B6872" s="35" t="s">
        <v>7162</v>
      </c>
    </row>
    <row r="6873" spans="1:2" x14ac:dyDescent="0.35">
      <c r="A6873" s="34">
        <v>41101515</v>
      </c>
      <c r="B6873" s="35" t="s">
        <v>9020</v>
      </c>
    </row>
    <row r="6874" spans="1:2" x14ac:dyDescent="0.35">
      <c r="A6874" s="34">
        <v>41101516</v>
      </c>
      <c r="B6874" s="35" t="s">
        <v>14555</v>
      </c>
    </row>
    <row r="6875" spans="1:2" x14ac:dyDescent="0.35">
      <c r="A6875" s="34">
        <v>41101518</v>
      </c>
      <c r="B6875" s="35" t="s">
        <v>18774</v>
      </c>
    </row>
    <row r="6876" spans="1:2" x14ac:dyDescent="0.35">
      <c r="A6876" s="34">
        <v>41101701</v>
      </c>
      <c r="B6876" s="35" t="s">
        <v>14573</v>
      </c>
    </row>
    <row r="6877" spans="1:2" x14ac:dyDescent="0.35">
      <c r="A6877" s="34">
        <v>41101702</v>
      </c>
      <c r="B6877" s="35" t="s">
        <v>8950</v>
      </c>
    </row>
    <row r="6878" spans="1:2" x14ac:dyDescent="0.35">
      <c r="A6878" s="34">
        <v>41101703</v>
      </c>
      <c r="B6878" s="35" t="s">
        <v>1120</v>
      </c>
    </row>
    <row r="6879" spans="1:2" x14ac:dyDescent="0.35">
      <c r="A6879" s="34">
        <v>41101705</v>
      </c>
      <c r="B6879" s="35" t="s">
        <v>18787</v>
      </c>
    </row>
    <row r="6880" spans="1:2" x14ac:dyDescent="0.35">
      <c r="A6880" s="34">
        <v>41101706</v>
      </c>
      <c r="B6880" s="35" t="s">
        <v>1315</v>
      </c>
    </row>
    <row r="6881" spans="1:2" x14ac:dyDescent="0.35">
      <c r="A6881" s="34">
        <v>41101707</v>
      </c>
      <c r="B6881" s="35" t="s">
        <v>15227</v>
      </c>
    </row>
    <row r="6882" spans="1:2" x14ac:dyDescent="0.35">
      <c r="A6882" s="34">
        <v>41101801</v>
      </c>
      <c r="B6882" s="35" t="s">
        <v>7723</v>
      </c>
    </row>
    <row r="6883" spans="1:2" x14ac:dyDescent="0.35">
      <c r="A6883" s="34">
        <v>41101802</v>
      </c>
      <c r="B6883" s="35" t="s">
        <v>1947</v>
      </c>
    </row>
    <row r="6884" spans="1:2" x14ac:dyDescent="0.35">
      <c r="A6884" s="34">
        <v>41101803</v>
      </c>
      <c r="B6884" s="35" t="s">
        <v>18876</v>
      </c>
    </row>
    <row r="6885" spans="1:2" x14ac:dyDescent="0.35">
      <c r="A6885" s="34">
        <v>41101804</v>
      </c>
      <c r="B6885" s="35" t="s">
        <v>17090</v>
      </c>
    </row>
    <row r="6886" spans="1:2" x14ac:dyDescent="0.35">
      <c r="A6886" s="34">
        <v>41101805</v>
      </c>
      <c r="B6886" s="35" t="s">
        <v>6997</v>
      </c>
    </row>
    <row r="6887" spans="1:2" x14ac:dyDescent="0.35">
      <c r="A6887" s="34">
        <v>41101806</v>
      </c>
      <c r="B6887" s="35" t="s">
        <v>4564</v>
      </c>
    </row>
    <row r="6888" spans="1:2" x14ac:dyDescent="0.35">
      <c r="A6888" s="34">
        <v>41101807</v>
      </c>
      <c r="B6888" s="35" t="s">
        <v>1369</v>
      </c>
    </row>
    <row r="6889" spans="1:2" x14ac:dyDescent="0.35">
      <c r="A6889" s="34">
        <v>41101808</v>
      </c>
      <c r="B6889" s="35" t="s">
        <v>13</v>
      </c>
    </row>
    <row r="6890" spans="1:2" x14ac:dyDescent="0.35">
      <c r="A6890" s="34">
        <v>41101809</v>
      </c>
      <c r="B6890" s="35" t="s">
        <v>6891</v>
      </c>
    </row>
    <row r="6891" spans="1:2" x14ac:dyDescent="0.35">
      <c r="A6891" s="34">
        <v>41101810</v>
      </c>
      <c r="B6891" s="35" t="s">
        <v>15233</v>
      </c>
    </row>
    <row r="6892" spans="1:2" x14ac:dyDescent="0.35">
      <c r="A6892" s="34">
        <v>41101901</v>
      </c>
      <c r="B6892" s="35" t="s">
        <v>8417</v>
      </c>
    </row>
    <row r="6893" spans="1:2" x14ac:dyDescent="0.35">
      <c r="A6893" s="34">
        <v>41101902</v>
      </c>
      <c r="B6893" s="35" t="s">
        <v>14075</v>
      </c>
    </row>
    <row r="6894" spans="1:2" x14ac:dyDescent="0.35">
      <c r="A6894" s="34">
        <v>41101903</v>
      </c>
      <c r="B6894" s="35" t="s">
        <v>10277</v>
      </c>
    </row>
    <row r="6895" spans="1:2" x14ac:dyDescent="0.35">
      <c r="A6895" s="34">
        <v>41102401</v>
      </c>
      <c r="B6895" s="35" t="s">
        <v>17331</v>
      </c>
    </row>
    <row r="6896" spans="1:2" x14ac:dyDescent="0.35">
      <c r="A6896" s="34">
        <v>41102402</v>
      </c>
      <c r="B6896" s="35" t="s">
        <v>19422</v>
      </c>
    </row>
    <row r="6897" spans="1:2" x14ac:dyDescent="0.35">
      <c r="A6897" s="34">
        <v>41102403</v>
      </c>
      <c r="B6897" s="35" t="s">
        <v>15149</v>
      </c>
    </row>
    <row r="6898" spans="1:2" x14ac:dyDescent="0.35">
      <c r="A6898" s="34">
        <v>41102404</v>
      </c>
      <c r="B6898" s="35" t="s">
        <v>9811</v>
      </c>
    </row>
    <row r="6899" spans="1:2" x14ac:dyDescent="0.35">
      <c r="A6899" s="34">
        <v>41102405</v>
      </c>
      <c r="B6899" s="35" t="s">
        <v>13860</v>
      </c>
    </row>
    <row r="6900" spans="1:2" x14ac:dyDescent="0.35">
      <c r="A6900" s="34">
        <v>41102406</v>
      </c>
      <c r="B6900" s="35" t="s">
        <v>6232</v>
      </c>
    </row>
    <row r="6901" spans="1:2" x14ac:dyDescent="0.35">
      <c r="A6901" s="34">
        <v>41102407</v>
      </c>
      <c r="B6901" s="35" t="s">
        <v>17523</v>
      </c>
    </row>
    <row r="6902" spans="1:2" x14ac:dyDescent="0.35">
      <c r="A6902" s="34">
        <v>41102410</v>
      </c>
      <c r="B6902" s="35" t="s">
        <v>18284</v>
      </c>
    </row>
    <row r="6903" spans="1:2" x14ac:dyDescent="0.35">
      <c r="A6903" s="34">
        <v>41102412</v>
      </c>
      <c r="B6903" s="35" t="s">
        <v>14696</v>
      </c>
    </row>
    <row r="6904" spans="1:2" x14ac:dyDescent="0.35">
      <c r="A6904" s="34">
        <v>41102421</v>
      </c>
      <c r="B6904" s="35" t="s">
        <v>18295</v>
      </c>
    </row>
    <row r="6905" spans="1:2" x14ac:dyDescent="0.35">
      <c r="A6905" s="34">
        <v>41102422</v>
      </c>
      <c r="B6905" s="35" t="s">
        <v>8159</v>
      </c>
    </row>
    <row r="6906" spans="1:2" x14ac:dyDescent="0.35">
      <c r="A6906" s="34">
        <v>41102423</v>
      </c>
      <c r="B6906" s="35" t="s">
        <v>1951</v>
      </c>
    </row>
    <row r="6907" spans="1:2" x14ac:dyDescent="0.35">
      <c r="A6907" s="34">
        <v>41102424</v>
      </c>
      <c r="B6907" s="35" t="s">
        <v>15031</v>
      </c>
    </row>
    <row r="6908" spans="1:2" x14ac:dyDescent="0.35">
      <c r="A6908" s="34">
        <v>41102425</v>
      </c>
      <c r="B6908" s="35" t="s">
        <v>16281</v>
      </c>
    </row>
    <row r="6909" spans="1:2" x14ac:dyDescent="0.35">
      <c r="A6909" s="34">
        <v>41102426</v>
      </c>
      <c r="B6909" s="35" t="s">
        <v>13761</v>
      </c>
    </row>
    <row r="6910" spans="1:2" x14ac:dyDescent="0.35">
      <c r="A6910" s="34">
        <v>41102501</v>
      </c>
      <c r="B6910" s="35" t="s">
        <v>11699</v>
      </c>
    </row>
    <row r="6911" spans="1:2" x14ac:dyDescent="0.35">
      <c r="A6911" s="34">
        <v>41102502</v>
      </c>
      <c r="B6911" s="35" t="s">
        <v>18061</v>
      </c>
    </row>
    <row r="6912" spans="1:2" x14ac:dyDescent="0.35">
      <c r="A6912" s="34">
        <v>41102503</v>
      </c>
      <c r="B6912" s="35" t="s">
        <v>17487</v>
      </c>
    </row>
    <row r="6913" spans="1:2" x14ac:dyDescent="0.35">
      <c r="A6913" s="34">
        <v>41102504</v>
      </c>
      <c r="B6913" s="35" t="s">
        <v>15349</v>
      </c>
    </row>
    <row r="6914" spans="1:2" x14ac:dyDescent="0.35">
      <c r="A6914" s="34">
        <v>41102505</v>
      </c>
      <c r="B6914" s="35" t="s">
        <v>8271</v>
      </c>
    </row>
    <row r="6915" spans="1:2" x14ac:dyDescent="0.35">
      <c r="A6915" s="34">
        <v>41102506</v>
      </c>
      <c r="B6915" s="35" t="s">
        <v>8434</v>
      </c>
    </row>
    <row r="6916" spans="1:2" x14ac:dyDescent="0.35">
      <c r="A6916" s="34">
        <v>41102507</v>
      </c>
      <c r="B6916" s="35" t="s">
        <v>7729</v>
      </c>
    </row>
    <row r="6917" spans="1:2" x14ac:dyDescent="0.35">
      <c r="A6917" s="34">
        <v>41102508</v>
      </c>
      <c r="B6917" s="35" t="s">
        <v>2978</v>
      </c>
    </row>
    <row r="6918" spans="1:2" x14ac:dyDescent="0.35">
      <c r="A6918" s="34">
        <v>41102509</v>
      </c>
      <c r="B6918" s="35" t="s">
        <v>3725</v>
      </c>
    </row>
    <row r="6919" spans="1:2" x14ac:dyDescent="0.35">
      <c r="A6919" s="34">
        <v>41102510</v>
      </c>
      <c r="B6919" s="35" t="s">
        <v>437</v>
      </c>
    </row>
    <row r="6920" spans="1:2" x14ac:dyDescent="0.35">
      <c r="A6920" s="34">
        <v>41102511</v>
      </c>
      <c r="B6920" s="35" t="s">
        <v>6001</v>
      </c>
    </row>
    <row r="6921" spans="1:2" x14ac:dyDescent="0.35">
      <c r="A6921" s="34">
        <v>41102512</v>
      </c>
      <c r="B6921" s="35" t="s">
        <v>9301</v>
      </c>
    </row>
    <row r="6922" spans="1:2" x14ac:dyDescent="0.35">
      <c r="A6922" s="34">
        <v>41102513</v>
      </c>
      <c r="B6922" s="35" t="s">
        <v>9162</v>
      </c>
    </row>
    <row r="6923" spans="1:2" x14ac:dyDescent="0.35">
      <c r="A6923" s="34">
        <v>41102601</v>
      </c>
      <c r="B6923" s="35" t="s">
        <v>15730</v>
      </c>
    </row>
    <row r="6924" spans="1:2" x14ac:dyDescent="0.35">
      <c r="A6924" s="34">
        <v>41102602</v>
      </c>
      <c r="B6924" s="35" t="s">
        <v>12774</v>
      </c>
    </row>
    <row r="6925" spans="1:2" x14ac:dyDescent="0.35">
      <c r="A6925" s="34">
        <v>41102603</v>
      </c>
      <c r="B6925" s="35" t="s">
        <v>5619</v>
      </c>
    </row>
    <row r="6926" spans="1:2" x14ac:dyDescent="0.35">
      <c r="A6926" s="34">
        <v>41102604</v>
      </c>
      <c r="B6926" s="35" t="s">
        <v>16950</v>
      </c>
    </row>
    <row r="6927" spans="1:2" x14ac:dyDescent="0.35">
      <c r="A6927" s="34">
        <v>41102605</v>
      </c>
      <c r="B6927" s="35" t="s">
        <v>8513</v>
      </c>
    </row>
    <row r="6928" spans="1:2" x14ac:dyDescent="0.35">
      <c r="A6928" s="34">
        <v>41102606</v>
      </c>
      <c r="B6928" s="35" t="s">
        <v>13571</v>
      </c>
    </row>
    <row r="6929" spans="1:2" x14ac:dyDescent="0.35">
      <c r="A6929" s="34">
        <v>41102607</v>
      </c>
      <c r="B6929" s="35" t="s">
        <v>10517</v>
      </c>
    </row>
    <row r="6930" spans="1:2" x14ac:dyDescent="0.35">
      <c r="A6930" s="34">
        <v>41102608</v>
      </c>
      <c r="B6930" s="35" t="s">
        <v>15910</v>
      </c>
    </row>
    <row r="6931" spans="1:2" x14ac:dyDescent="0.35">
      <c r="A6931" s="34">
        <v>41102701</v>
      </c>
      <c r="B6931" s="35" t="s">
        <v>17350</v>
      </c>
    </row>
    <row r="6932" spans="1:2" x14ac:dyDescent="0.35">
      <c r="A6932" s="34">
        <v>41102702</v>
      </c>
      <c r="B6932" s="35" t="s">
        <v>11987</v>
      </c>
    </row>
    <row r="6933" spans="1:2" x14ac:dyDescent="0.35">
      <c r="A6933" s="34">
        <v>41102703</v>
      </c>
      <c r="B6933" s="35" t="s">
        <v>7865</v>
      </c>
    </row>
    <row r="6934" spans="1:2" x14ac:dyDescent="0.35">
      <c r="A6934" s="34">
        <v>41102704</v>
      </c>
      <c r="B6934" s="35" t="s">
        <v>14772</v>
      </c>
    </row>
    <row r="6935" spans="1:2" x14ac:dyDescent="0.35">
      <c r="A6935" s="34">
        <v>41102705</v>
      </c>
      <c r="B6935" s="35" t="s">
        <v>7268</v>
      </c>
    </row>
    <row r="6936" spans="1:2" x14ac:dyDescent="0.35">
      <c r="A6936" s="34">
        <v>41102706</v>
      </c>
      <c r="B6936" s="35" t="s">
        <v>12945</v>
      </c>
    </row>
    <row r="6937" spans="1:2" x14ac:dyDescent="0.35">
      <c r="A6937" s="34">
        <v>41102901</v>
      </c>
      <c r="B6937" s="35" t="s">
        <v>7006</v>
      </c>
    </row>
    <row r="6938" spans="1:2" x14ac:dyDescent="0.35">
      <c r="A6938" s="34">
        <v>41102902</v>
      </c>
      <c r="B6938" s="35" t="s">
        <v>6356</v>
      </c>
    </row>
    <row r="6939" spans="1:2" x14ac:dyDescent="0.35">
      <c r="A6939" s="34">
        <v>41102903</v>
      </c>
      <c r="B6939" s="35" t="s">
        <v>18318</v>
      </c>
    </row>
    <row r="6940" spans="1:2" x14ac:dyDescent="0.35">
      <c r="A6940" s="34">
        <v>41102904</v>
      </c>
      <c r="B6940" s="35" t="s">
        <v>443</v>
      </c>
    </row>
    <row r="6941" spans="1:2" x14ac:dyDescent="0.35">
      <c r="A6941" s="34">
        <v>41102905</v>
      </c>
      <c r="B6941" s="35" t="s">
        <v>8612</v>
      </c>
    </row>
    <row r="6942" spans="1:2" x14ac:dyDescent="0.35">
      <c r="A6942" s="34">
        <v>41102909</v>
      </c>
      <c r="B6942" s="35" t="s">
        <v>9651</v>
      </c>
    </row>
    <row r="6943" spans="1:2" x14ac:dyDescent="0.35">
      <c r="A6943" s="34">
        <v>41102910</v>
      </c>
      <c r="B6943" s="35" t="s">
        <v>10472</v>
      </c>
    </row>
    <row r="6944" spans="1:2" x14ac:dyDescent="0.35">
      <c r="A6944" s="34">
        <v>41102911</v>
      </c>
      <c r="B6944" s="35" t="s">
        <v>10051</v>
      </c>
    </row>
    <row r="6945" spans="1:2" x14ac:dyDescent="0.35">
      <c r="A6945" s="34">
        <v>41102912</v>
      </c>
      <c r="B6945" s="35" t="s">
        <v>13383</v>
      </c>
    </row>
    <row r="6946" spans="1:2" x14ac:dyDescent="0.35">
      <c r="A6946" s="34">
        <v>41102913</v>
      </c>
      <c r="B6946" s="35" t="s">
        <v>15820</v>
      </c>
    </row>
    <row r="6947" spans="1:2" x14ac:dyDescent="0.35">
      <c r="A6947" s="34">
        <v>41102914</v>
      </c>
      <c r="B6947" s="35" t="s">
        <v>3359</v>
      </c>
    </row>
    <row r="6948" spans="1:2" x14ac:dyDescent="0.35">
      <c r="A6948" s="34">
        <v>41102915</v>
      </c>
      <c r="B6948" s="35" t="s">
        <v>17575</v>
      </c>
    </row>
    <row r="6949" spans="1:2" x14ac:dyDescent="0.35">
      <c r="A6949" s="34">
        <v>41102916</v>
      </c>
      <c r="B6949" s="35" t="s">
        <v>5114</v>
      </c>
    </row>
    <row r="6950" spans="1:2" x14ac:dyDescent="0.35">
      <c r="A6950" s="34">
        <v>41102917</v>
      </c>
      <c r="B6950" s="35" t="s">
        <v>9901</v>
      </c>
    </row>
    <row r="6951" spans="1:2" x14ac:dyDescent="0.35">
      <c r="A6951" s="34">
        <v>41102918</v>
      </c>
      <c r="B6951" s="35" t="s">
        <v>9581</v>
      </c>
    </row>
    <row r="6952" spans="1:2" x14ac:dyDescent="0.35">
      <c r="A6952" s="34">
        <v>41102919</v>
      </c>
      <c r="B6952" s="35" t="s">
        <v>16228</v>
      </c>
    </row>
    <row r="6953" spans="1:2" x14ac:dyDescent="0.35">
      <c r="A6953" s="34">
        <v>41102920</v>
      </c>
      <c r="B6953" s="35" t="s">
        <v>16947</v>
      </c>
    </row>
    <row r="6954" spans="1:2" x14ac:dyDescent="0.35">
      <c r="A6954" s="34">
        <v>41102921</v>
      </c>
      <c r="B6954" s="35" t="s">
        <v>10185</v>
      </c>
    </row>
    <row r="6955" spans="1:2" x14ac:dyDescent="0.35">
      <c r="A6955" s="34">
        <v>41102922</v>
      </c>
      <c r="B6955" s="35" t="s">
        <v>3431</v>
      </c>
    </row>
    <row r="6956" spans="1:2" x14ac:dyDescent="0.35">
      <c r="A6956" s="34">
        <v>41103001</v>
      </c>
      <c r="B6956" s="35" t="s">
        <v>4693</v>
      </c>
    </row>
    <row r="6957" spans="1:2" x14ac:dyDescent="0.35">
      <c r="A6957" s="34">
        <v>41103003</v>
      </c>
      <c r="B6957" s="35" t="s">
        <v>11842</v>
      </c>
    </row>
    <row r="6958" spans="1:2" x14ac:dyDescent="0.35">
      <c r="A6958" s="34">
        <v>41103004</v>
      </c>
      <c r="B6958" s="35" t="s">
        <v>4938</v>
      </c>
    </row>
    <row r="6959" spans="1:2" x14ac:dyDescent="0.35">
      <c r="A6959" s="34">
        <v>41103005</v>
      </c>
      <c r="B6959" s="35" t="s">
        <v>3516</v>
      </c>
    </row>
    <row r="6960" spans="1:2" x14ac:dyDescent="0.35">
      <c r="A6960" s="34">
        <v>41103006</v>
      </c>
      <c r="B6960" s="35" t="s">
        <v>15560</v>
      </c>
    </row>
    <row r="6961" spans="1:2" x14ac:dyDescent="0.35">
      <c r="A6961" s="34">
        <v>41103007</v>
      </c>
      <c r="B6961" s="35" t="s">
        <v>4418</v>
      </c>
    </row>
    <row r="6962" spans="1:2" x14ac:dyDescent="0.35">
      <c r="A6962" s="34">
        <v>41103008</v>
      </c>
      <c r="B6962" s="35" t="s">
        <v>10620</v>
      </c>
    </row>
    <row r="6963" spans="1:2" x14ac:dyDescent="0.35">
      <c r="A6963" s="34">
        <v>41103010</v>
      </c>
      <c r="B6963" s="35" t="s">
        <v>12439</v>
      </c>
    </row>
    <row r="6964" spans="1:2" x14ac:dyDescent="0.35">
      <c r="A6964" s="34">
        <v>41103011</v>
      </c>
      <c r="B6964" s="35" t="s">
        <v>10737</v>
      </c>
    </row>
    <row r="6965" spans="1:2" x14ac:dyDescent="0.35">
      <c r="A6965" s="34">
        <v>41103012</v>
      </c>
      <c r="B6965" s="35" t="s">
        <v>3693</v>
      </c>
    </row>
    <row r="6966" spans="1:2" x14ac:dyDescent="0.35">
      <c r="A6966" s="34">
        <v>41103013</v>
      </c>
      <c r="B6966" s="35" t="s">
        <v>5496</v>
      </c>
    </row>
    <row r="6967" spans="1:2" x14ac:dyDescent="0.35">
      <c r="A6967" s="34">
        <v>41103014</v>
      </c>
      <c r="B6967" s="35" t="s">
        <v>3581</v>
      </c>
    </row>
    <row r="6968" spans="1:2" x14ac:dyDescent="0.35">
      <c r="A6968" s="34">
        <v>41103015</v>
      </c>
      <c r="B6968" s="35" t="s">
        <v>9575</v>
      </c>
    </row>
    <row r="6969" spans="1:2" x14ac:dyDescent="0.35">
      <c r="A6969" s="34">
        <v>41103017</v>
      </c>
      <c r="B6969" s="35" t="s">
        <v>5448</v>
      </c>
    </row>
    <row r="6970" spans="1:2" x14ac:dyDescent="0.35">
      <c r="A6970" s="34">
        <v>41103019</v>
      </c>
      <c r="B6970" s="35" t="s">
        <v>17830</v>
      </c>
    </row>
    <row r="6971" spans="1:2" x14ac:dyDescent="0.35">
      <c r="A6971" s="34">
        <v>41103020</v>
      </c>
      <c r="B6971" s="35" t="s">
        <v>4384</v>
      </c>
    </row>
    <row r="6972" spans="1:2" x14ac:dyDescent="0.35">
      <c r="A6972" s="34">
        <v>41103021</v>
      </c>
      <c r="B6972" s="35" t="s">
        <v>11562</v>
      </c>
    </row>
    <row r="6973" spans="1:2" x14ac:dyDescent="0.35">
      <c r="A6973" s="34">
        <v>41103022</v>
      </c>
      <c r="B6973" s="35" t="s">
        <v>14580</v>
      </c>
    </row>
    <row r="6974" spans="1:2" x14ac:dyDescent="0.35">
      <c r="A6974" s="34">
        <v>41103023</v>
      </c>
      <c r="B6974" s="35" t="s">
        <v>1080</v>
      </c>
    </row>
    <row r="6975" spans="1:2" x14ac:dyDescent="0.35">
      <c r="A6975" s="34">
        <v>41103024</v>
      </c>
      <c r="B6975" s="35" t="s">
        <v>19584</v>
      </c>
    </row>
    <row r="6976" spans="1:2" x14ac:dyDescent="0.35">
      <c r="A6976" s="34">
        <v>41103025</v>
      </c>
      <c r="B6976" s="35" t="s">
        <v>6065</v>
      </c>
    </row>
    <row r="6977" spans="1:2" x14ac:dyDescent="0.35">
      <c r="A6977" s="34">
        <v>41103201</v>
      </c>
      <c r="B6977" s="35" t="s">
        <v>16391</v>
      </c>
    </row>
    <row r="6978" spans="1:2" x14ac:dyDescent="0.35">
      <c r="A6978" s="34">
        <v>41103202</v>
      </c>
      <c r="B6978" s="35" t="s">
        <v>6303</v>
      </c>
    </row>
    <row r="6979" spans="1:2" x14ac:dyDescent="0.35">
      <c r="A6979" s="34">
        <v>41103203</v>
      </c>
      <c r="B6979" s="35" t="s">
        <v>17577</v>
      </c>
    </row>
    <row r="6980" spans="1:2" x14ac:dyDescent="0.35">
      <c r="A6980" s="34">
        <v>41103205</v>
      </c>
      <c r="B6980" s="35" t="s">
        <v>6479</v>
      </c>
    </row>
    <row r="6981" spans="1:2" x14ac:dyDescent="0.35">
      <c r="A6981" s="34">
        <v>41103206</v>
      </c>
      <c r="B6981" s="35" t="s">
        <v>17901</v>
      </c>
    </row>
    <row r="6982" spans="1:2" x14ac:dyDescent="0.35">
      <c r="A6982" s="34">
        <v>41103207</v>
      </c>
      <c r="B6982" s="35" t="s">
        <v>13088</v>
      </c>
    </row>
    <row r="6983" spans="1:2" x14ac:dyDescent="0.35">
      <c r="A6983" s="34">
        <v>41103208</v>
      </c>
      <c r="B6983" s="35" t="s">
        <v>6541</v>
      </c>
    </row>
    <row r="6984" spans="1:2" x14ac:dyDescent="0.35">
      <c r="A6984" s="34">
        <v>41103209</v>
      </c>
      <c r="B6984" s="35" t="s">
        <v>2676</v>
      </c>
    </row>
    <row r="6985" spans="1:2" x14ac:dyDescent="0.35">
      <c r="A6985" s="34">
        <v>41103210</v>
      </c>
      <c r="B6985" s="35" t="s">
        <v>6622</v>
      </c>
    </row>
    <row r="6986" spans="1:2" x14ac:dyDescent="0.35">
      <c r="A6986" s="34">
        <v>41103301</v>
      </c>
      <c r="B6986" s="35" t="s">
        <v>1631</v>
      </c>
    </row>
    <row r="6987" spans="1:2" x14ac:dyDescent="0.35">
      <c r="A6987" s="34">
        <v>41103302</v>
      </c>
      <c r="B6987" s="35" t="s">
        <v>4500</v>
      </c>
    </row>
    <row r="6988" spans="1:2" x14ac:dyDescent="0.35">
      <c r="A6988" s="34">
        <v>41103303</v>
      </c>
      <c r="B6988" s="35" t="s">
        <v>10777</v>
      </c>
    </row>
    <row r="6989" spans="1:2" x14ac:dyDescent="0.35">
      <c r="A6989" s="34">
        <v>41103305</v>
      </c>
      <c r="B6989" s="35" t="s">
        <v>4164</v>
      </c>
    </row>
    <row r="6990" spans="1:2" x14ac:dyDescent="0.35">
      <c r="A6990" s="34">
        <v>41103306</v>
      </c>
      <c r="B6990" s="35" t="s">
        <v>14781</v>
      </c>
    </row>
    <row r="6991" spans="1:2" x14ac:dyDescent="0.35">
      <c r="A6991" s="34">
        <v>41103307</v>
      </c>
      <c r="B6991" s="35" t="s">
        <v>12454</v>
      </c>
    </row>
    <row r="6992" spans="1:2" x14ac:dyDescent="0.35">
      <c r="A6992" s="34">
        <v>41103308</v>
      </c>
      <c r="B6992" s="35" t="s">
        <v>12573</v>
      </c>
    </row>
    <row r="6993" spans="1:2" x14ac:dyDescent="0.35">
      <c r="A6993" s="34">
        <v>41103309</v>
      </c>
      <c r="B6993" s="35" t="s">
        <v>16464</v>
      </c>
    </row>
    <row r="6994" spans="1:2" x14ac:dyDescent="0.35">
      <c r="A6994" s="34">
        <v>41103310</v>
      </c>
      <c r="B6994" s="35" t="s">
        <v>18567</v>
      </c>
    </row>
    <row r="6995" spans="1:2" x14ac:dyDescent="0.35">
      <c r="A6995" s="34">
        <v>41103311</v>
      </c>
      <c r="B6995" s="35" t="s">
        <v>470</v>
      </c>
    </row>
    <row r="6996" spans="1:2" x14ac:dyDescent="0.35">
      <c r="A6996" s="34">
        <v>41103312</v>
      </c>
      <c r="B6996" s="35" t="s">
        <v>4660</v>
      </c>
    </row>
    <row r="6997" spans="1:2" x14ac:dyDescent="0.35">
      <c r="A6997" s="34">
        <v>41103313</v>
      </c>
      <c r="B6997" s="35" t="s">
        <v>12332</v>
      </c>
    </row>
    <row r="6998" spans="1:2" x14ac:dyDescent="0.35">
      <c r="A6998" s="34">
        <v>41103314</v>
      </c>
      <c r="B6998" s="35" t="s">
        <v>935</v>
      </c>
    </row>
    <row r="6999" spans="1:2" x14ac:dyDescent="0.35">
      <c r="A6999" s="34">
        <v>41103315</v>
      </c>
      <c r="B6999" s="35" t="s">
        <v>8914</v>
      </c>
    </row>
    <row r="7000" spans="1:2" x14ac:dyDescent="0.35">
      <c r="A7000" s="34">
        <v>41103316</v>
      </c>
      <c r="B7000" s="35" t="s">
        <v>4393</v>
      </c>
    </row>
    <row r="7001" spans="1:2" x14ac:dyDescent="0.35">
      <c r="A7001" s="34">
        <v>41103317</v>
      </c>
      <c r="B7001" s="35" t="s">
        <v>18045</v>
      </c>
    </row>
    <row r="7002" spans="1:2" x14ac:dyDescent="0.35">
      <c r="A7002" s="34">
        <v>41103318</v>
      </c>
      <c r="B7002" s="35" t="s">
        <v>18237</v>
      </c>
    </row>
    <row r="7003" spans="1:2" x14ac:dyDescent="0.35">
      <c r="A7003" s="34">
        <v>41103401</v>
      </c>
      <c r="B7003" s="35" t="s">
        <v>15483</v>
      </c>
    </row>
    <row r="7004" spans="1:2" x14ac:dyDescent="0.35">
      <c r="A7004" s="34">
        <v>41103403</v>
      </c>
      <c r="B7004" s="35" t="s">
        <v>9041</v>
      </c>
    </row>
    <row r="7005" spans="1:2" x14ac:dyDescent="0.35">
      <c r="A7005" s="34">
        <v>41103406</v>
      </c>
      <c r="B7005" s="35" t="s">
        <v>17176</v>
      </c>
    </row>
    <row r="7006" spans="1:2" x14ac:dyDescent="0.35">
      <c r="A7006" s="34">
        <v>41103407</v>
      </c>
      <c r="B7006" s="35" t="s">
        <v>3512</v>
      </c>
    </row>
    <row r="7007" spans="1:2" x14ac:dyDescent="0.35">
      <c r="A7007" s="34">
        <v>41103408</v>
      </c>
      <c r="B7007" s="35" t="s">
        <v>2332</v>
      </c>
    </row>
    <row r="7008" spans="1:2" x14ac:dyDescent="0.35">
      <c r="A7008" s="34">
        <v>41103409</v>
      </c>
      <c r="B7008" s="35" t="s">
        <v>5681</v>
      </c>
    </row>
    <row r="7009" spans="1:2" x14ac:dyDescent="0.35">
      <c r="A7009" s="34">
        <v>41103410</v>
      </c>
      <c r="B7009" s="35" t="s">
        <v>5548</v>
      </c>
    </row>
    <row r="7010" spans="1:2" x14ac:dyDescent="0.35">
      <c r="A7010" s="34">
        <v>41103411</v>
      </c>
      <c r="B7010" s="35" t="s">
        <v>17472</v>
      </c>
    </row>
    <row r="7011" spans="1:2" x14ac:dyDescent="0.35">
      <c r="A7011" s="34">
        <v>41103412</v>
      </c>
      <c r="B7011" s="35" t="s">
        <v>19462</v>
      </c>
    </row>
    <row r="7012" spans="1:2" x14ac:dyDescent="0.35">
      <c r="A7012" s="34">
        <v>41103413</v>
      </c>
      <c r="B7012" s="35" t="s">
        <v>9194</v>
      </c>
    </row>
    <row r="7013" spans="1:2" x14ac:dyDescent="0.35">
      <c r="A7013" s="34">
        <v>41103414</v>
      </c>
      <c r="B7013" s="35" t="s">
        <v>1532</v>
      </c>
    </row>
    <row r="7014" spans="1:2" x14ac:dyDescent="0.35">
      <c r="A7014" s="34">
        <v>41103415</v>
      </c>
      <c r="B7014" s="35" t="s">
        <v>15408</v>
      </c>
    </row>
    <row r="7015" spans="1:2" x14ac:dyDescent="0.35">
      <c r="A7015" s="34">
        <v>41103501</v>
      </c>
      <c r="B7015" s="35" t="s">
        <v>433</v>
      </c>
    </row>
    <row r="7016" spans="1:2" x14ac:dyDescent="0.35">
      <c r="A7016" s="34">
        <v>41103502</v>
      </c>
      <c r="B7016" s="35" t="s">
        <v>6176</v>
      </c>
    </row>
    <row r="7017" spans="1:2" x14ac:dyDescent="0.35">
      <c r="A7017" s="34">
        <v>41103504</v>
      </c>
      <c r="B7017" s="35" t="s">
        <v>3119</v>
      </c>
    </row>
    <row r="7018" spans="1:2" x14ac:dyDescent="0.35">
      <c r="A7018" s="34">
        <v>41103506</v>
      </c>
      <c r="B7018" s="35" t="s">
        <v>2200</v>
      </c>
    </row>
    <row r="7019" spans="1:2" x14ac:dyDescent="0.35">
      <c r="A7019" s="34">
        <v>41103507</v>
      </c>
      <c r="B7019" s="35" t="s">
        <v>17646</v>
      </c>
    </row>
    <row r="7020" spans="1:2" x14ac:dyDescent="0.35">
      <c r="A7020" s="34">
        <v>41103508</v>
      </c>
      <c r="B7020" s="35" t="s">
        <v>7608</v>
      </c>
    </row>
    <row r="7021" spans="1:2" x14ac:dyDescent="0.35">
      <c r="A7021" s="34">
        <v>41103509</v>
      </c>
      <c r="B7021" s="35" t="s">
        <v>6619</v>
      </c>
    </row>
    <row r="7022" spans="1:2" x14ac:dyDescent="0.35">
      <c r="A7022" s="34">
        <v>41103510</v>
      </c>
      <c r="B7022" s="35" t="s">
        <v>18035</v>
      </c>
    </row>
    <row r="7023" spans="1:2" x14ac:dyDescent="0.35">
      <c r="A7023" s="34">
        <v>41103511</v>
      </c>
      <c r="B7023" s="35" t="s">
        <v>18274</v>
      </c>
    </row>
    <row r="7024" spans="1:2" x14ac:dyDescent="0.35">
      <c r="A7024" s="34">
        <v>41103512</v>
      </c>
      <c r="B7024" s="35" t="s">
        <v>1877</v>
      </c>
    </row>
    <row r="7025" spans="1:2" x14ac:dyDescent="0.35">
      <c r="A7025" s="34">
        <v>41103513</v>
      </c>
      <c r="B7025" s="35" t="s">
        <v>6451</v>
      </c>
    </row>
    <row r="7026" spans="1:2" x14ac:dyDescent="0.35">
      <c r="A7026" s="34">
        <v>41103701</v>
      </c>
      <c r="B7026" s="35" t="s">
        <v>2777</v>
      </c>
    </row>
    <row r="7027" spans="1:2" x14ac:dyDescent="0.35">
      <c r="A7027" s="34">
        <v>41103702</v>
      </c>
      <c r="B7027" s="35" t="s">
        <v>11761</v>
      </c>
    </row>
    <row r="7028" spans="1:2" x14ac:dyDescent="0.35">
      <c r="A7028" s="34">
        <v>41103703</v>
      </c>
      <c r="B7028" s="35" t="s">
        <v>5221</v>
      </c>
    </row>
    <row r="7029" spans="1:2" x14ac:dyDescent="0.35">
      <c r="A7029" s="34">
        <v>41103704</v>
      </c>
      <c r="B7029" s="35" t="s">
        <v>16274</v>
      </c>
    </row>
    <row r="7030" spans="1:2" x14ac:dyDescent="0.35">
      <c r="A7030" s="34">
        <v>41103705</v>
      </c>
      <c r="B7030" s="35" t="s">
        <v>17111</v>
      </c>
    </row>
    <row r="7031" spans="1:2" x14ac:dyDescent="0.35">
      <c r="A7031" s="34">
        <v>41103706</v>
      </c>
      <c r="B7031" s="35" t="s">
        <v>7543</v>
      </c>
    </row>
    <row r="7032" spans="1:2" x14ac:dyDescent="0.35">
      <c r="A7032" s="34">
        <v>41103707</v>
      </c>
      <c r="B7032" s="35" t="s">
        <v>13171</v>
      </c>
    </row>
    <row r="7033" spans="1:2" x14ac:dyDescent="0.35">
      <c r="A7033" s="34">
        <v>41103708</v>
      </c>
      <c r="B7033" s="35" t="s">
        <v>7542</v>
      </c>
    </row>
    <row r="7034" spans="1:2" x14ac:dyDescent="0.35">
      <c r="A7034" s="34">
        <v>41103709</v>
      </c>
      <c r="B7034" s="35" t="s">
        <v>1352</v>
      </c>
    </row>
    <row r="7035" spans="1:2" x14ac:dyDescent="0.35">
      <c r="A7035" s="34">
        <v>41103710</v>
      </c>
      <c r="B7035" s="35" t="s">
        <v>7977</v>
      </c>
    </row>
    <row r="7036" spans="1:2" x14ac:dyDescent="0.35">
      <c r="A7036" s="34">
        <v>41103711</v>
      </c>
      <c r="B7036" s="35" t="s">
        <v>13058</v>
      </c>
    </row>
    <row r="7037" spans="1:2" x14ac:dyDescent="0.35">
      <c r="A7037" s="34">
        <v>41103712</v>
      </c>
      <c r="B7037" s="35" t="s">
        <v>8424</v>
      </c>
    </row>
    <row r="7038" spans="1:2" x14ac:dyDescent="0.35">
      <c r="A7038" s="34">
        <v>41103713</v>
      </c>
      <c r="B7038" s="35" t="s">
        <v>14908</v>
      </c>
    </row>
    <row r="7039" spans="1:2" x14ac:dyDescent="0.35">
      <c r="A7039" s="34">
        <v>41103714</v>
      </c>
      <c r="B7039" s="35" t="s">
        <v>11834</v>
      </c>
    </row>
    <row r="7040" spans="1:2" x14ac:dyDescent="0.35">
      <c r="A7040" s="34">
        <v>41103715</v>
      </c>
      <c r="B7040" s="35" t="s">
        <v>10870</v>
      </c>
    </row>
    <row r="7041" spans="1:2" x14ac:dyDescent="0.35">
      <c r="A7041" s="34">
        <v>41103801</v>
      </c>
      <c r="B7041" s="35" t="s">
        <v>7766</v>
      </c>
    </row>
    <row r="7042" spans="1:2" x14ac:dyDescent="0.35">
      <c r="A7042" s="34">
        <v>41103802</v>
      </c>
      <c r="B7042" s="35" t="s">
        <v>3871</v>
      </c>
    </row>
    <row r="7043" spans="1:2" x14ac:dyDescent="0.35">
      <c r="A7043" s="34">
        <v>41103803</v>
      </c>
      <c r="B7043" s="35" t="s">
        <v>9272</v>
      </c>
    </row>
    <row r="7044" spans="1:2" x14ac:dyDescent="0.35">
      <c r="A7044" s="34">
        <v>41103804</v>
      </c>
      <c r="B7044" s="35" t="s">
        <v>17259</v>
      </c>
    </row>
    <row r="7045" spans="1:2" x14ac:dyDescent="0.35">
      <c r="A7045" s="34">
        <v>41103805</v>
      </c>
      <c r="B7045" s="35" t="s">
        <v>3760</v>
      </c>
    </row>
    <row r="7046" spans="1:2" x14ac:dyDescent="0.35">
      <c r="A7046" s="34">
        <v>41103806</v>
      </c>
      <c r="B7046" s="35" t="s">
        <v>8091</v>
      </c>
    </row>
    <row r="7047" spans="1:2" x14ac:dyDescent="0.35">
      <c r="A7047" s="34">
        <v>41103807</v>
      </c>
      <c r="B7047" s="35" t="s">
        <v>3187</v>
      </c>
    </row>
    <row r="7048" spans="1:2" x14ac:dyDescent="0.35">
      <c r="A7048" s="34">
        <v>41103808</v>
      </c>
      <c r="B7048" s="35" t="s">
        <v>13371</v>
      </c>
    </row>
    <row r="7049" spans="1:2" x14ac:dyDescent="0.35">
      <c r="A7049" s="34">
        <v>41103809</v>
      </c>
      <c r="B7049" s="35" t="s">
        <v>16833</v>
      </c>
    </row>
    <row r="7050" spans="1:2" x14ac:dyDescent="0.35">
      <c r="A7050" s="34">
        <v>41103810</v>
      </c>
      <c r="B7050" s="35" t="s">
        <v>11755</v>
      </c>
    </row>
    <row r="7051" spans="1:2" x14ac:dyDescent="0.35">
      <c r="A7051" s="34">
        <v>41103811</v>
      </c>
      <c r="B7051" s="35" t="s">
        <v>4626</v>
      </c>
    </row>
    <row r="7052" spans="1:2" x14ac:dyDescent="0.35">
      <c r="A7052" s="34">
        <v>41103812</v>
      </c>
      <c r="B7052" s="35" t="s">
        <v>1387</v>
      </c>
    </row>
    <row r="7053" spans="1:2" x14ac:dyDescent="0.35">
      <c r="A7053" s="34">
        <v>41103813</v>
      </c>
      <c r="B7053" s="35" t="s">
        <v>3564</v>
      </c>
    </row>
    <row r="7054" spans="1:2" x14ac:dyDescent="0.35">
      <c r="A7054" s="34">
        <v>41103814</v>
      </c>
      <c r="B7054" s="35" t="s">
        <v>19476</v>
      </c>
    </row>
    <row r="7055" spans="1:2" x14ac:dyDescent="0.35">
      <c r="A7055" s="34">
        <v>41103815</v>
      </c>
      <c r="B7055" s="35" t="s">
        <v>19604</v>
      </c>
    </row>
    <row r="7056" spans="1:2" x14ac:dyDescent="0.35">
      <c r="A7056" s="34">
        <v>41103816</v>
      </c>
      <c r="B7056" s="35" t="s">
        <v>19076</v>
      </c>
    </row>
    <row r="7057" spans="1:2" x14ac:dyDescent="0.35">
      <c r="A7057" s="34">
        <v>41103901</v>
      </c>
      <c r="B7057" s="35" t="s">
        <v>12775</v>
      </c>
    </row>
    <row r="7058" spans="1:2" x14ac:dyDescent="0.35">
      <c r="A7058" s="34">
        <v>41103902</v>
      </c>
      <c r="B7058" s="35" t="s">
        <v>7394</v>
      </c>
    </row>
    <row r="7059" spans="1:2" x14ac:dyDescent="0.35">
      <c r="A7059" s="34">
        <v>41103903</v>
      </c>
      <c r="B7059" s="35" t="s">
        <v>3593</v>
      </c>
    </row>
    <row r="7060" spans="1:2" x14ac:dyDescent="0.35">
      <c r="A7060" s="34">
        <v>41103904</v>
      </c>
      <c r="B7060" s="35" t="s">
        <v>16755</v>
      </c>
    </row>
    <row r="7061" spans="1:2" x14ac:dyDescent="0.35">
      <c r="A7061" s="34">
        <v>41103905</v>
      </c>
      <c r="B7061" s="35" t="s">
        <v>6754</v>
      </c>
    </row>
    <row r="7062" spans="1:2" x14ac:dyDescent="0.35">
      <c r="A7062" s="34">
        <v>41103906</v>
      </c>
      <c r="B7062" s="35" t="s">
        <v>11454</v>
      </c>
    </row>
    <row r="7063" spans="1:2" x14ac:dyDescent="0.35">
      <c r="A7063" s="34">
        <v>41103907</v>
      </c>
      <c r="B7063" s="35" t="s">
        <v>6692</v>
      </c>
    </row>
    <row r="7064" spans="1:2" x14ac:dyDescent="0.35">
      <c r="A7064" s="34">
        <v>41103908</v>
      </c>
      <c r="B7064" s="35" t="s">
        <v>10776</v>
      </c>
    </row>
    <row r="7065" spans="1:2" x14ac:dyDescent="0.35">
      <c r="A7065" s="34">
        <v>41103909</v>
      </c>
      <c r="B7065" s="35" t="s">
        <v>8443</v>
      </c>
    </row>
    <row r="7066" spans="1:2" x14ac:dyDescent="0.35">
      <c r="A7066" s="34">
        <v>41103910</v>
      </c>
      <c r="B7066" s="35" t="s">
        <v>8878</v>
      </c>
    </row>
    <row r="7067" spans="1:2" x14ac:dyDescent="0.35">
      <c r="A7067" s="34">
        <v>41103911</v>
      </c>
      <c r="B7067" s="35" t="s">
        <v>4468</v>
      </c>
    </row>
    <row r="7068" spans="1:2" x14ac:dyDescent="0.35">
      <c r="A7068" s="34">
        <v>41103912</v>
      </c>
      <c r="B7068" s="35" t="s">
        <v>19413</v>
      </c>
    </row>
    <row r="7069" spans="1:2" x14ac:dyDescent="0.35">
      <c r="A7069" s="34">
        <v>41103913</v>
      </c>
      <c r="B7069" s="35" t="s">
        <v>7637</v>
      </c>
    </row>
    <row r="7070" spans="1:2" x14ac:dyDescent="0.35">
      <c r="A7070" s="34">
        <v>41104001</v>
      </c>
      <c r="B7070" s="35" t="s">
        <v>11128</v>
      </c>
    </row>
    <row r="7071" spans="1:2" x14ac:dyDescent="0.35">
      <c r="A7071" s="34">
        <v>41104002</v>
      </c>
      <c r="B7071" s="35" t="s">
        <v>15947</v>
      </c>
    </row>
    <row r="7072" spans="1:2" x14ac:dyDescent="0.35">
      <c r="A7072" s="34">
        <v>41104003</v>
      </c>
      <c r="B7072" s="35" t="s">
        <v>6678</v>
      </c>
    </row>
    <row r="7073" spans="1:2" x14ac:dyDescent="0.35">
      <c r="A7073" s="34">
        <v>41104004</v>
      </c>
      <c r="B7073" s="35" t="s">
        <v>11997</v>
      </c>
    </row>
    <row r="7074" spans="1:2" x14ac:dyDescent="0.35">
      <c r="A7074" s="34">
        <v>41104005</v>
      </c>
      <c r="B7074" s="35" t="s">
        <v>4705</v>
      </c>
    </row>
    <row r="7075" spans="1:2" x14ac:dyDescent="0.35">
      <c r="A7075" s="34">
        <v>41104006</v>
      </c>
      <c r="B7075" s="35" t="s">
        <v>9141</v>
      </c>
    </row>
    <row r="7076" spans="1:2" x14ac:dyDescent="0.35">
      <c r="A7076" s="34">
        <v>41104007</v>
      </c>
      <c r="B7076" s="35" t="s">
        <v>14460</v>
      </c>
    </row>
    <row r="7077" spans="1:2" x14ac:dyDescent="0.35">
      <c r="A7077" s="34">
        <v>41104008</v>
      </c>
      <c r="B7077" s="35" t="s">
        <v>4453</v>
      </c>
    </row>
    <row r="7078" spans="1:2" x14ac:dyDescent="0.35">
      <c r="A7078" s="34">
        <v>41104009</v>
      </c>
      <c r="B7078" s="35" t="s">
        <v>983</v>
      </c>
    </row>
    <row r="7079" spans="1:2" x14ac:dyDescent="0.35">
      <c r="A7079" s="34">
        <v>41104010</v>
      </c>
      <c r="B7079" s="35" t="s">
        <v>18610</v>
      </c>
    </row>
    <row r="7080" spans="1:2" x14ac:dyDescent="0.35">
      <c r="A7080" s="34">
        <v>41104011</v>
      </c>
      <c r="B7080" s="35" t="s">
        <v>776</v>
      </c>
    </row>
    <row r="7081" spans="1:2" x14ac:dyDescent="0.35">
      <c r="A7081" s="34">
        <v>41104012</v>
      </c>
      <c r="B7081" s="35" t="s">
        <v>271</v>
      </c>
    </row>
    <row r="7082" spans="1:2" x14ac:dyDescent="0.35">
      <c r="A7082" s="34">
        <v>41104013</v>
      </c>
      <c r="B7082" s="35" t="s">
        <v>9143</v>
      </c>
    </row>
    <row r="7083" spans="1:2" x14ac:dyDescent="0.35">
      <c r="A7083" s="34">
        <v>41104014</v>
      </c>
      <c r="B7083" s="35" t="s">
        <v>16518</v>
      </c>
    </row>
    <row r="7084" spans="1:2" x14ac:dyDescent="0.35">
      <c r="A7084" s="34">
        <v>41104015</v>
      </c>
      <c r="B7084" s="35" t="s">
        <v>14184</v>
      </c>
    </row>
    <row r="7085" spans="1:2" x14ac:dyDescent="0.35">
      <c r="A7085" s="34">
        <v>41104016</v>
      </c>
      <c r="B7085" s="35" t="s">
        <v>9882</v>
      </c>
    </row>
    <row r="7086" spans="1:2" x14ac:dyDescent="0.35">
      <c r="A7086" s="34">
        <v>41104017</v>
      </c>
      <c r="B7086" s="35" t="s">
        <v>3630</v>
      </c>
    </row>
    <row r="7087" spans="1:2" x14ac:dyDescent="0.35">
      <c r="A7087" s="34">
        <v>41104018</v>
      </c>
      <c r="B7087" s="35" t="s">
        <v>4074</v>
      </c>
    </row>
    <row r="7088" spans="1:2" x14ac:dyDescent="0.35">
      <c r="A7088" s="34">
        <v>41104019</v>
      </c>
      <c r="B7088" s="35" t="s">
        <v>4</v>
      </c>
    </row>
    <row r="7089" spans="1:2" x14ac:dyDescent="0.35">
      <c r="A7089" s="34">
        <v>41104020</v>
      </c>
      <c r="B7089" s="35" t="s">
        <v>13797</v>
      </c>
    </row>
    <row r="7090" spans="1:2" x14ac:dyDescent="0.35">
      <c r="A7090" s="34">
        <v>41104101</v>
      </c>
      <c r="B7090" s="35" t="s">
        <v>12479</v>
      </c>
    </row>
    <row r="7091" spans="1:2" x14ac:dyDescent="0.35">
      <c r="A7091" s="34">
        <v>41104102</v>
      </c>
      <c r="B7091" s="35" t="s">
        <v>7046</v>
      </c>
    </row>
    <row r="7092" spans="1:2" x14ac:dyDescent="0.35">
      <c r="A7092" s="34">
        <v>41104103</v>
      </c>
      <c r="B7092" s="35" t="s">
        <v>15331</v>
      </c>
    </row>
    <row r="7093" spans="1:2" x14ac:dyDescent="0.35">
      <c r="A7093" s="34">
        <v>41104104</v>
      </c>
      <c r="B7093" s="35" t="s">
        <v>17184</v>
      </c>
    </row>
    <row r="7094" spans="1:2" x14ac:dyDescent="0.35">
      <c r="A7094" s="34">
        <v>41104105</v>
      </c>
      <c r="B7094" s="35" t="s">
        <v>4851</v>
      </c>
    </row>
    <row r="7095" spans="1:2" x14ac:dyDescent="0.35">
      <c r="A7095" s="34">
        <v>41104106</v>
      </c>
      <c r="B7095" s="35" t="s">
        <v>16599</v>
      </c>
    </row>
    <row r="7096" spans="1:2" x14ac:dyDescent="0.35">
      <c r="A7096" s="34">
        <v>41104107</v>
      </c>
      <c r="B7096" s="35" t="s">
        <v>11544</v>
      </c>
    </row>
    <row r="7097" spans="1:2" x14ac:dyDescent="0.35">
      <c r="A7097" s="34">
        <v>41104108</v>
      </c>
      <c r="B7097" s="35" t="s">
        <v>9846</v>
      </c>
    </row>
    <row r="7098" spans="1:2" x14ac:dyDescent="0.35">
      <c r="A7098" s="34">
        <v>41104109</v>
      </c>
      <c r="B7098" s="35" t="s">
        <v>4217</v>
      </c>
    </row>
    <row r="7099" spans="1:2" x14ac:dyDescent="0.35">
      <c r="A7099" s="34">
        <v>41104110</v>
      </c>
      <c r="B7099" s="35" t="s">
        <v>18034</v>
      </c>
    </row>
    <row r="7100" spans="1:2" x14ac:dyDescent="0.35">
      <c r="A7100" s="34">
        <v>41104111</v>
      </c>
      <c r="B7100" s="35" t="s">
        <v>1295</v>
      </c>
    </row>
    <row r="7101" spans="1:2" x14ac:dyDescent="0.35">
      <c r="A7101" s="34">
        <v>41104112</v>
      </c>
      <c r="B7101" s="35" t="s">
        <v>5037</v>
      </c>
    </row>
    <row r="7102" spans="1:2" x14ac:dyDescent="0.35">
      <c r="A7102" s="34">
        <v>41104114</v>
      </c>
      <c r="B7102" s="35" t="s">
        <v>10738</v>
      </c>
    </row>
    <row r="7103" spans="1:2" x14ac:dyDescent="0.35">
      <c r="A7103" s="34">
        <v>41104115</v>
      </c>
      <c r="B7103" s="35" t="s">
        <v>16943</v>
      </c>
    </row>
    <row r="7104" spans="1:2" x14ac:dyDescent="0.35">
      <c r="A7104" s="34">
        <v>41104116</v>
      </c>
      <c r="B7104" s="35" t="s">
        <v>14737</v>
      </c>
    </row>
    <row r="7105" spans="1:2" x14ac:dyDescent="0.35">
      <c r="A7105" s="34">
        <v>41104117</v>
      </c>
      <c r="B7105" s="35" t="s">
        <v>14270</v>
      </c>
    </row>
    <row r="7106" spans="1:2" x14ac:dyDescent="0.35">
      <c r="A7106" s="34">
        <v>41104118</v>
      </c>
      <c r="B7106" s="35" t="s">
        <v>1165</v>
      </c>
    </row>
    <row r="7107" spans="1:2" x14ac:dyDescent="0.35">
      <c r="A7107" s="34">
        <v>41104119</v>
      </c>
      <c r="B7107" s="35" t="s">
        <v>2392</v>
      </c>
    </row>
    <row r="7108" spans="1:2" x14ac:dyDescent="0.35">
      <c r="A7108" s="34">
        <v>41104120</v>
      </c>
      <c r="B7108" s="35" t="s">
        <v>7842</v>
      </c>
    </row>
    <row r="7109" spans="1:2" x14ac:dyDescent="0.35">
      <c r="A7109" s="34">
        <v>41104121</v>
      </c>
      <c r="B7109" s="35" t="s">
        <v>1649</v>
      </c>
    </row>
    <row r="7110" spans="1:2" x14ac:dyDescent="0.35">
      <c r="A7110" s="34">
        <v>41104122</v>
      </c>
      <c r="B7110" s="35" t="s">
        <v>756</v>
      </c>
    </row>
    <row r="7111" spans="1:2" x14ac:dyDescent="0.35">
      <c r="A7111" s="34">
        <v>41104123</v>
      </c>
      <c r="B7111" s="35" t="s">
        <v>8315</v>
      </c>
    </row>
    <row r="7112" spans="1:2" x14ac:dyDescent="0.35">
      <c r="A7112" s="34">
        <v>41104124</v>
      </c>
      <c r="B7112" s="35" t="s">
        <v>18555</v>
      </c>
    </row>
    <row r="7113" spans="1:2" x14ac:dyDescent="0.35">
      <c r="A7113" s="34">
        <v>41104201</v>
      </c>
      <c r="B7113" s="35" t="s">
        <v>18261</v>
      </c>
    </row>
    <row r="7114" spans="1:2" x14ac:dyDescent="0.35">
      <c r="A7114" s="34">
        <v>41104202</v>
      </c>
      <c r="B7114" s="35" t="s">
        <v>12473</v>
      </c>
    </row>
    <row r="7115" spans="1:2" x14ac:dyDescent="0.35">
      <c r="A7115" s="34">
        <v>41104203</v>
      </c>
      <c r="B7115" s="35" t="s">
        <v>1084</v>
      </c>
    </row>
    <row r="7116" spans="1:2" x14ac:dyDescent="0.35">
      <c r="A7116" s="34">
        <v>41104204</v>
      </c>
      <c r="B7116" s="35" t="s">
        <v>7514</v>
      </c>
    </row>
    <row r="7117" spans="1:2" x14ac:dyDescent="0.35">
      <c r="A7117" s="34">
        <v>41104205</v>
      </c>
      <c r="B7117" s="35" t="s">
        <v>1708</v>
      </c>
    </row>
    <row r="7118" spans="1:2" x14ac:dyDescent="0.35">
      <c r="A7118" s="34">
        <v>41104206</v>
      </c>
      <c r="B7118" s="35" t="s">
        <v>1750</v>
      </c>
    </row>
    <row r="7119" spans="1:2" x14ac:dyDescent="0.35">
      <c r="A7119" s="34">
        <v>41104207</v>
      </c>
      <c r="B7119" s="35" t="s">
        <v>12818</v>
      </c>
    </row>
    <row r="7120" spans="1:2" x14ac:dyDescent="0.35">
      <c r="A7120" s="34">
        <v>41104208</v>
      </c>
      <c r="B7120" s="35" t="s">
        <v>19158</v>
      </c>
    </row>
    <row r="7121" spans="1:2" x14ac:dyDescent="0.35">
      <c r="A7121" s="34">
        <v>41104209</v>
      </c>
      <c r="B7121" s="35" t="s">
        <v>9027</v>
      </c>
    </row>
    <row r="7122" spans="1:2" x14ac:dyDescent="0.35">
      <c r="A7122" s="34">
        <v>41104210</v>
      </c>
      <c r="B7122" s="35" t="s">
        <v>7032</v>
      </c>
    </row>
    <row r="7123" spans="1:2" x14ac:dyDescent="0.35">
      <c r="A7123" s="34">
        <v>41104211</v>
      </c>
      <c r="B7123" s="35" t="s">
        <v>4319</v>
      </c>
    </row>
    <row r="7124" spans="1:2" x14ac:dyDescent="0.35">
      <c r="A7124" s="34">
        <v>41104212</v>
      </c>
      <c r="B7124" s="35" t="s">
        <v>12191</v>
      </c>
    </row>
    <row r="7125" spans="1:2" x14ac:dyDescent="0.35">
      <c r="A7125" s="34">
        <v>41104301</v>
      </c>
      <c r="B7125" s="35" t="s">
        <v>267</v>
      </c>
    </row>
    <row r="7126" spans="1:2" x14ac:dyDescent="0.35">
      <c r="A7126" s="34">
        <v>41104302</v>
      </c>
      <c r="B7126" s="35" t="s">
        <v>16908</v>
      </c>
    </row>
    <row r="7127" spans="1:2" x14ac:dyDescent="0.35">
      <c r="A7127" s="34">
        <v>41104303</v>
      </c>
      <c r="B7127" s="35" t="s">
        <v>7730</v>
      </c>
    </row>
    <row r="7128" spans="1:2" x14ac:dyDescent="0.35">
      <c r="A7128" s="34">
        <v>41104304</v>
      </c>
      <c r="B7128" s="35" t="s">
        <v>575</v>
      </c>
    </row>
    <row r="7129" spans="1:2" x14ac:dyDescent="0.35">
      <c r="A7129" s="34">
        <v>41104305</v>
      </c>
      <c r="B7129" s="35" t="s">
        <v>625</v>
      </c>
    </row>
    <row r="7130" spans="1:2" x14ac:dyDescent="0.35">
      <c r="A7130" s="34">
        <v>41104306</v>
      </c>
      <c r="B7130" s="35" t="s">
        <v>10554</v>
      </c>
    </row>
    <row r="7131" spans="1:2" x14ac:dyDescent="0.35">
      <c r="A7131" s="34">
        <v>41104307</v>
      </c>
      <c r="B7131" s="35" t="s">
        <v>9310</v>
      </c>
    </row>
    <row r="7132" spans="1:2" x14ac:dyDescent="0.35">
      <c r="A7132" s="34">
        <v>41104308</v>
      </c>
      <c r="B7132" s="35" t="s">
        <v>8678</v>
      </c>
    </row>
    <row r="7133" spans="1:2" x14ac:dyDescent="0.35">
      <c r="A7133" s="34">
        <v>41104401</v>
      </c>
      <c r="B7133" s="35" t="s">
        <v>9594</v>
      </c>
    </row>
    <row r="7134" spans="1:2" x14ac:dyDescent="0.35">
      <c r="A7134" s="34">
        <v>41104402</v>
      </c>
      <c r="B7134" s="35" t="s">
        <v>815</v>
      </c>
    </row>
    <row r="7135" spans="1:2" x14ac:dyDescent="0.35">
      <c r="A7135" s="34">
        <v>41104403</v>
      </c>
      <c r="B7135" s="35" t="s">
        <v>12460</v>
      </c>
    </row>
    <row r="7136" spans="1:2" x14ac:dyDescent="0.35">
      <c r="A7136" s="34">
        <v>41104404</v>
      </c>
      <c r="B7136" s="35" t="s">
        <v>2411</v>
      </c>
    </row>
    <row r="7137" spans="1:2" x14ac:dyDescent="0.35">
      <c r="A7137" s="34">
        <v>41104405</v>
      </c>
      <c r="B7137" s="35" t="s">
        <v>1966</v>
      </c>
    </row>
    <row r="7138" spans="1:2" x14ac:dyDescent="0.35">
      <c r="A7138" s="34">
        <v>41104406</v>
      </c>
      <c r="B7138" s="35" t="s">
        <v>6543</v>
      </c>
    </row>
    <row r="7139" spans="1:2" x14ac:dyDescent="0.35">
      <c r="A7139" s="34">
        <v>41104407</v>
      </c>
      <c r="B7139" s="35" t="s">
        <v>13506</v>
      </c>
    </row>
    <row r="7140" spans="1:2" x14ac:dyDescent="0.35">
      <c r="A7140" s="34">
        <v>41104408</v>
      </c>
      <c r="B7140" s="35" t="s">
        <v>18168</v>
      </c>
    </row>
    <row r="7141" spans="1:2" x14ac:dyDescent="0.35">
      <c r="A7141" s="34">
        <v>41104409</v>
      </c>
      <c r="B7141" s="35" t="s">
        <v>18309</v>
      </c>
    </row>
    <row r="7142" spans="1:2" x14ac:dyDescent="0.35">
      <c r="A7142" s="34">
        <v>41104410</v>
      </c>
      <c r="B7142" s="35" t="s">
        <v>16685</v>
      </c>
    </row>
    <row r="7143" spans="1:2" x14ac:dyDescent="0.35">
      <c r="A7143" s="34">
        <v>41104411</v>
      </c>
      <c r="B7143" s="35" t="s">
        <v>19451</v>
      </c>
    </row>
    <row r="7144" spans="1:2" x14ac:dyDescent="0.35">
      <c r="A7144" s="34">
        <v>41104412</v>
      </c>
      <c r="B7144" s="35" t="s">
        <v>8010</v>
      </c>
    </row>
    <row r="7145" spans="1:2" x14ac:dyDescent="0.35">
      <c r="A7145" s="34">
        <v>41104413</v>
      </c>
      <c r="B7145" s="35" t="s">
        <v>4452</v>
      </c>
    </row>
    <row r="7146" spans="1:2" x14ac:dyDescent="0.35">
      <c r="A7146" s="34">
        <v>41104414</v>
      </c>
      <c r="B7146" s="35" t="s">
        <v>5620</v>
      </c>
    </row>
    <row r="7147" spans="1:2" x14ac:dyDescent="0.35">
      <c r="A7147" s="34">
        <v>41104415</v>
      </c>
      <c r="B7147" s="35" t="s">
        <v>14828</v>
      </c>
    </row>
    <row r="7148" spans="1:2" x14ac:dyDescent="0.35">
      <c r="A7148" s="34">
        <v>41104416</v>
      </c>
      <c r="B7148" s="35" t="s">
        <v>4311</v>
      </c>
    </row>
    <row r="7149" spans="1:2" x14ac:dyDescent="0.35">
      <c r="A7149" s="34">
        <v>41104417</v>
      </c>
      <c r="B7149" s="35" t="s">
        <v>9366</v>
      </c>
    </row>
    <row r="7150" spans="1:2" x14ac:dyDescent="0.35">
      <c r="A7150" s="34">
        <v>41104418</v>
      </c>
      <c r="B7150" s="35" t="s">
        <v>6987</v>
      </c>
    </row>
    <row r="7151" spans="1:2" x14ac:dyDescent="0.35">
      <c r="A7151" s="34">
        <v>41104419</v>
      </c>
      <c r="B7151" s="35" t="s">
        <v>2480</v>
      </c>
    </row>
    <row r="7152" spans="1:2" x14ac:dyDescent="0.35">
      <c r="A7152" s="34">
        <v>41104420</v>
      </c>
      <c r="B7152" s="35" t="s">
        <v>13793</v>
      </c>
    </row>
    <row r="7153" spans="1:2" x14ac:dyDescent="0.35">
      <c r="A7153" s="34">
        <v>41104421</v>
      </c>
      <c r="B7153" s="35" t="s">
        <v>11366</v>
      </c>
    </row>
    <row r="7154" spans="1:2" x14ac:dyDescent="0.35">
      <c r="A7154" s="34">
        <v>41104422</v>
      </c>
      <c r="B7154" s="35" t="s">
        <v>16010</v>
      </c>
    </row>
    <row r="7155" spans="1:2" x14ac:dyDescent="0.35">
      <c r="A7155" s="34">
        <v>41104423</v>
      </c>
      <c r="B7155" s="35" t="s">
        <v>12592</v>
      </c>
    </row>
    <row r="7156" spans="1:2" x14ac:dyDescent="0.35">
      <c r="A7156" s="34">
        <v>41104424</v>
      </c>
      <c r="B7156" s="35" t="s">
        <v>8583</v>
      </c>
    </row>
    <row r="7157" spans="1:2" x14ac:dyDescent="0.35">
      <c r="A7157" s="34">
        <v>41104501</v>
      </c>
      <c r="B7157" s="35" t="s">
        <v>18586</v>
      </c>
    </row>
    <row r="7158" spans="1:2" x14ac:dyDescent="0.35">
      <c r="A7158" s="34">
        <v>41104502</v>
      </c>
      <c r="B7158" s="35" t="s">
        <v>31</v>
      </c>
    </row>
    <row r="7159" spans="1:2" x14ac:dyDescent="0.35">
      <c r="A7159" s="34">
        <v>41104503</v>
      </c>
      <c r="B7159" s="35" t="s">
        <v>8789</v>
      </c>
    </row>
    <row r="7160" spans="1:2" x14ac:dyDescent="0.35">
      <c r="A7160" s="34">
        <v>41104504</v>
      </c>
      <c r="B7160" s="35" t="s">
        <v>11989</v>
      </c>
    </row>
    <row r="7161" spans="1:2" x14ac:dyDescent="0.35">
      <c r="A7161" s="34">
        <v>41104505</v>
      </c>
      <c r="B7161" s="35" t="s">
        <v>11695</v>
      </c>
    </row>
    <row r="7162" spans="1:2" x14ac:dyDescent="0.35">
      <c r="A7162" s="34">
        <v>41104506</v>
      </c>
      <c r="B7162" s="35" t="s">
        <v>5929</v>
      </c>
    </row>
    <row r="7163" spans="1:2" x14ac:dyDescent="0.35">
      <c r="A7163" s="34">
        <v>41104507</v>
      </c>
      <c r="B7163" s="35" t="s">
        <v>9542</v>
      </c>
    </row>
    <row r="7164" spans="1:2" x14ac:dyDescent="0.35">
      <c r="A7164" s="34">
        <v>41104508</v>
      </c>
      <c r="B7164" s="35" t="s">
        <v>11466</v>
      </c>
    </row>
    <row r="7165" spans="1:2" x14ac:dyDescent="0.35">
      <c r="A7165" s="34">
        <v>41104509</v>
      </c>
      <c r="B7165" s="35" t="s">
        <v>9435</v>
      </c>
    </row>
    <row r="7166" spans="1:2" x14ac:dyDescent="0.35">
      <c r="A7166" s="34">
        <v>41104510</v>
      </c>
      <c r="B7166" s="35" t="s">
        <v>1819</v>
      </c>
    </row>
    <row r="7167" spans="1:2" x14ac:dyDescent="0.35">
      <c r="A7167" s="34">
        <v>41104511</v>
      </c>
      <c r="B7167" s="35" t="s">
        <v>11447</v>
      </c>
    </row>
    <row r="7168" spans="1:2" x14ac:dyDescent="0.35">
      <c r="A7168" s="34">
        <v>41104512</v>
      </c>
      <c r="B7168" s="35" t="s">
        <v>16214</v>
      </c>
    </row>
    <row r="7169" spans="1:2" x14ac:dyDescent="0.35">
      <c r="A7169" s="34">
        <v>41104601</v>
      </c>
      <c r="B7169" s="35" t="s">
        <v>11971</v>
      </c>
    </row>
    <row r="7170" spans="1:2" x14ac:dyDescent="0.35">
      <c r="A7170" s="34">
        <v>41104602</v>
      </c>
      <c r="B7170" s="35" t="s">
        <v>636</v>
      </c>
    </row>
    <row r="7171" spans="1:2" x14ac:dyDescent="0.35">
      <c r="A7171" s="34">
        <v>41104603</v>
      </c>
      <c r="B7171" s="35" t="s">
        <v>988</v>
      </c>
    </row>
    <row r="7172" spans="1:2" x14ac:dyDescent="0.35">
      <c r="A7172" s="34">
        <v>41104604</v>
      </c>
      <c r="B7172" s="35" t="s">
        <v>9152</v>
      </c>
    </row>
    <row r="7173" spans="1:2" x14ac:dyDescent="0.35">
      <c r="A7173" s="34">
        <v>41104605</v>
      </c>
      <c r="B7173" s="35" t="s">
        <v>10473</v>
      </c>
    </row>
    <row r="7174" spans="1:2" x14ac:dyDescent="0.35">
      <c r="A7174" s="34">
        <v>41104606</v>
      </c>
      <c r="B7174" s="35" t="s">
        <v>5387</v>
      </c>
    </row>
    <row r="7175" spans="1:2" x14ac:dyDescent="0.35">
      <c r="A7175" s="34">
        <v>41104607</v>
      </c>
      <c r="B7175" s="35" t="s">
        <v>6597</v>
      </c>
    </row>
    <row r="7176" spans="1:2" x14ac:dyDescent="0.35">
      <c r="A7176" s="34">
        <v>41104608</v>
      </c>
      <c r="B7176" s="35" t="s">
        <v>12235</v>
      </c>
    </row>
    <row r="7177" spans="1:2" x14ac:dyDescent="0.35">
      <c r="A7177" s="34">
        <v>41104609</v>
      </c>
      <c r="B7177" s="35" t="s">
        <v>17158</v>
      </c>
    </row>
    <row r="7178" spans="1:2" x14ac:dyDescent="0.35">
      <c r="A7178" s="34">
        <v>41104610</v>
      </c>
      <c r="B7178" s="35" t="s">
        <v>17793</v>
      </c>
    </row>
    <row r="7179" spans="1:2" x14ac:dyDescent="0.35">
      <c r="A7179" s="34">
        <v>41104611</v>
      </c>
      <c r="B7179" s="35" t="s">
        <v>3141</v>
      </c>
    </row>
    <row r="7180" spans="1:2" x14ac:dyDescent="0.35">
      <c r="A7180" s="34">
        <v>41104612</v>
      </c>
      <c r="B7180" s="35" t="s">
        <v>10401</v>
      </c>
    </row>
    <row r="7181" spans="1:2" x14ac:dyDescent="0.35">
      <c r="A7181" s="34">
        <v>41104701</v>
      </c>
      <c r="B7181" s="35" t="s">
        <v>13795</v>
      </c>
    </row>
    <row r="7182" spans="1:2" x14ac:dyDescent="0.35">
      <c r="A7182" s="34">
        <v>41104702</v>
      </c>
      <c r="B7182" s="35" t="s">
        <v>10536</v>
      </c>
    </row>
    <row r="7183" spans="1:2" x14ac:dyDescent="0.35">
      <c r="A7183" s="34">
        <v>41104703</v>
      </c>
      <c r="B7183" s="35" t="s">
        <v>14487</v>
      </c>
    </row>
    <row r="7184" spans="1:2" x14ac:dyDescent="0.35">
      <c r="A7184" s="34">
        <v>41104704</v>
      </c>
      <c r="B7184" s="35" t="s">
        <v>8482</v>
      </c>
    </row>
    <row r="7185" spans="1:2" x14ac:dyDescent="0.35">
      <c r="A7185" s="34">
        <v>41104801</v>
      </c>
      <c r="B7185" s="35" t="s">
        <v>6397</v>
      </c>
    </row>
    <row r="7186" spans="1:2" x14ac:dyDescent="0.35">
      <c r="A7186" s="34">
        <v>41104802</v>
      </c>
      <c r="B7186" s="35" t="s">
        <v>486</v>
      </c>
    </row>
    <row r="7187" spans="1:2" x14ac:dyDescent="0.35">
      <c r="A7187" s="34">
        <v>41104803</v>
      </c>
      <c r="B7187" s="35" t="s">
        <v>12545</v>
      </c>
    </row>
    <row r="7188" spans="1:2" x14ac:dyDescent="0.35">
      <c r="A7188" s="34">
        <v>41104804</v>
      </c>
      <c r="B7188" s="35" t="s">
        <v>8883</v>
      </c>
    </row>
    <row r="7189" spans="1:2" x14ac:dyDescent="0.35">
      <c r="A7189" s="34">
        <v>41104805</v>
      </c>
      <c r="B7189" s="35" t="s">
        <v>15557</v>
      </c>
    </row>
    <row r="7190" spans="1:2" x14ac:dyDescent="0.35">
      <c r="A7190" s="34">
        <v>41104806</v>
      </c>
      <c r="B7190" s="35" t="s">
        <v>9827</v>
      </c>
    </row>
    <row r="7191" spans="1:2" x14ac:dyDescent="0.35">
      <c r="A7191" s="34">
        <v>41104807</v>
      </c>
      <c r="B7191" s="35" t="s">
        <v>280</v>
      </c>
    </row>
    <row r="7192" spans="1:2" x14ac:dyDescent="0.35">
      <c r="A7192" s="34">
        <v>41104808</v>
      </c>
      <c r="B7192" s="35" t="s">
        <v>11897</v>
      </c>
    </row>
    <row r="7193" spans="1:2" x14ac:dyDescent="0.35">
      <c r="A7193" s="34">
        <v>41104809</v>
      </c>
      <c r="B7193" s="35" t="s">
        <v>6718</v>
      </c>
    </row>
    <row r="7194" spans="1:2" x14ac:dyDescent="0.35">
      <c r="A7194" s="34">
        <v>41104810</v>
      </c>
      <c r="B7194" s="35" t="s">
        <v>13100</v>
      </c>
    </row>
    <row r="7195" spans="1:2" x14ac:dyDescent="0.35">
      <c r="A7195" s="34">
        <v>41104811</v>
      </c>
      <c r="B7195" s="35" t="s">
        <v>5259</v>
      </c>
    </row>
    <row r="7196" spans="1:2" x14ac:dyDescent="0.35">
      <c r="A7196" s="34">
        <v>41104812</v>
      </c>
      <c r="B7196" s="35" t="s">
        <v>7486</v>
      </c>
    </row>
    <row r="7197" spans="1:2" x14ac:dyDescent="0.35">
      <c r="A7197" s="34">
        <v>41104813</v>
      </c>
      <c r="B7197" s="35" t="s">
        <v>19137</v>
      </c>
    </row>
    <row r="7198" spans="1:2" x14ac:dyDescent="0.35">
      <c r="A7198" s="34">
        <v>41104814</v>
      </c>
      <c r="B7198" s="35" t="s">
        <v>4036</v>
      </c>
    </row>
    <row r="7199" spans="1:2" x14ac:dyDescent="0.35">
      <c r="A7199" s="34">
        <v>41104815</v>
      </c>
      <c r="B7199" s="35" t="s">
        <v>1525</v>
      </c>
    </row>
    <row r="7200" spans="1:2" x14ac:dyDescent="0.35">
      <c r="A7200" s="34">
        <v>41104816</v>
      </c>
      <c r="B7200" s="35" t="s">
        <v>6868</v>
      </c>
    </row>
    <row r="7201" spans="1:2" x14ac:dyDescent="0.35">
      <c r="A7201" s="34">
        <v>41104817</v>
      </c>
      <c r="B7201" s="35" t="s">
        <v>10548</v>
      </c>
    </row>
    <row r="7202" spans="1:2" x14ac:dyDescent="0.35">
      <c r="A7202" s="34">
        <v>41104901</v>
      </c>
      <c r="B7202" s="35" t="s">
        <v>10651</v>
      </c>
    </row>
    <row r="7203" spans="1:2" x14ac:dyDescent="0.35">
      <c r="A7203" s="34">
        <v>41104902</v>
      </c>
      <c r="B7203" s="35" t="s">
        <v>18413</v>
      </c>
    </row>
    <row r="7204" spans="1:2" x14ac:dyDescent="0.35">
      <c r="A7204" s="34">
        <v>41104903</v>
      </c>
      <c r="B7204" s="35" t="s">
        <v>2382</v>
      </c>
    </row>
    <row r="7205" spans="1:2" x14ac:dyDescent="0.35">
      <c r="A7205" s="34">
        <v>41104904</v>
      </c>
      <c r="B7205" s="35" t="s">
        <v>11346</v>
      </c>
    </row>
    <row r="7206" spans="1:2" x14ac:dyDescent="0.35">
      <c r="A7206" s="34">
        <v>41104905</v>
      </c>
      <c r="B7206" s="35" t="s">
        <v>9679</v>
      </c>
    </row>
    <row r="7207" spans="1:2" x14ac:dyDescent="0.35">
      <c r="A7207" s="34">
        <v>41104906</v>
      </c>
      <c r="B7207" s="35" t="s">
        <v>6885</v>
      </c>
    </row>
    <row r="7208" spans="1:2" x14ac:dyDescent="0.35">
      <c r="A7208" s="34">
        <v>41104907</v>
      </c>
      <c r="B7208" s="35" t="s">
        <v>4852</v>
      </c>
    </row>
    <row r="7209" spans="1:2" x14ac:dyDescent="0.35">
      <c r="A7209" s="34">
        <v>41104908</v>
      </c>
      <c r="B7209" s="35" t="s">
        <v>3165</v>
      </c>
    </row>
    <row r="7210" spans="1:2" x14ac:dyDescent="0.35">
      <c r="A7210" s="34">
        <v>41104909</v>
      </c>
      <c r="B7210" s="35" t="s">
        <v>7525</v>
      </c>
    </row>
    <row r="7211" spans="1:2" x14ac:dyDescent="0.35">
      <c r="A7211" s="34">
        <v>41104910</v>
      </c>
      <c r="B7211" s="35" t="s">
        <v>16916</v>
      </c>
    </row>
    <row r="7212" spans="1:2" x14ac:dyDescent="0.35">
      <c r="A7212" s="34">
        <v>41104911</v>
      </c>
      <c r="B7212" s="35" t="s">
        <v>17800</v>
      </c>
    </row>
    <row r="7213" spans="1:2" x14ac:dyDescent="0.35">
      <c r="A7213" s="34">
        <v>41104912</v>
      </c>
      <c r="B7213" s="35" t="s">
        <v>18359</v>
      </c>
    </row>
    <row r="7214" spans="1:2" x14ac:dyDescent="0.35">
      <c r="A7214" s="34">
        <v>41104913</v>
      </c>
      <c r="B7214" s="35" t="s">
        <v>1904</v>
      </c>
    </row>
    <row r="7215" spans="1:2" x14ac:dyDescent="0.35">
      <c r="A7215" s="34">
        <v>41104914</v>
      </c>
      <c r="B7215" s="35" t="s">
        <v>17429</v>
      </c>
    </row>
    <row r="7216" spans="1:2" x14ac:dyDescent="0.35">
      <c r="A7216" s="34">
        <v>41104915</v>
      </c>
      <c r="B7216" s="35" t="s">
        <v>11210</v>
      </c>
    </row>
    <row r="7217" spans="1:2" x14ac:dyDescent="0.35">
      <c r="A7217" s="34">
        <v>41104916</v>
      </c>
      <c r="B7217" s="35" t="s">
        <v>7616</v>
      </c>
    </row>
    <row r="7218" spans="1:2" x14ac:dyDescent="0.35">
      <c r="A7218" s="34">
        <v>41104917</v>
      </c>
      <c r="B7218" s="35" t="s">
        <v>10727</v>
      </c>
    </row>
    <row r="7219" spans="1:2" x14ac:dyDescent="0.35">
      <c r="A7219" s="34">
        <v>41104918</v>
      </c>
      <c r="B7219" s="35" t="s">
        <v>3088</v>
      </c>
    </row>
    <row r="7220" spans="1:2" x14ac:dyDescent="0.35">
      <c r="A7220" s="34">
        <v>41104919</v>
      </c>
      <c r="B7220" s="35" t="s">
        <v>16725</v>
      </c>
    </row>
    <row r="7221" spans="1:2" x14ac:dyDescent="0.35">
      <c r="A7221" s="34">
        <v>41104920</v>
      </c>
      <c r="B7221" s="35" t="s">
        <v>6958</v>
      </c>
    </row>
    <row r="7222" spans="1:2" x14ac:dyDescent="0.35">
      <c r="A7222" s="34">
        <v>41104921</v>
      </c>
      <c r="B7222" s="35" t="s">
        <v>9205</v>
      </c>
    </row>
    <row r="7223" spans="1:2" x14ac:dyDescent="0.35">
      <c r="A7223" s="34">
        <v>41104922</v>
      </c>
      <c r="B7223" s="35" t="s">
        <v>17233</v>
      </c>
    </row>
    <row r="7224" spans="1:2" x14ac:dyDescent="0.35">
      <c r="A7224" s="34">
        <v>41104923</v>
      </c>
      <c r="B7224" s="35" t="s">
        <v>3159</v>
      </c>
    </row>
    <row r="7225" spans="1:2" x14ac:dyDescent="0.35">
      <c r="A7225" s="34">
        <v>41104924</v>
      </c>
      <c r="B7225" s="35" t="s">
        <v>3129</v>
      </c>
    </row>
    <row r="7226" spans="1:2" x14ac:dyDescent="0.35">
      <c r="A7226" s="34">
        <v>41104925</v>
      </c>
      <c r="B7226" s="35" t="s">
        <v>317</v>
      </c>
    </row>
    <row r="7227" spans="1:2" x14ac:dyDescent="0.35">
      <c r="A7227" s="34">
        <v>41104926</v>
      </c>
      <c r="B7227" s="35" t="s">
        <v>14369</v>
      </c>
    </row>
    <row r="7228" spans="1:2" x14ac:dyDescent="0.35">
      <c r="A7228" s="34">
        <v>41104927</v>
      </c>
      <c r="B7228" s="35" t="s">
        <v>16179</v>
      </c>
    </row>
    <row r="7229" spans="1:2" x14ac:dyDescent="0.35">
      <c r="A7229" s="34">
        <v>41104928</v>
      </c>
      <c r="B7229" s="35" t="s">
        <v>18869</v>
      </c>
    </row>
    <row r="7230" spans="1:2" x14ac:dyDescent="0.35">
      <c r="A7230" s="34">
        <v>41104929</v>
      </c>
      <c r="B7230" s="35" t="s">
        <v>16338</v>
      </c>
    </row>
    <row r="7231" spans="1:2" x14ac:dyDescent="0.35">
      <c r="A7231" s="34">
        <v>41105001</v>
      </c>
      <c r="B7231" s="35" t="s">
        <v>2114</v>
      </c>
    </row>
    <row r="7232" spans="1:2" x14ac:dyDescent="0.35">
      <c r="A7232" s="34">
        <v>41105002</v>
      </c>
      <c r="B7232" s="35" t="s">
        <v>7549</v>
      </c>
    </row>
    <row r="7233" spans="1:2" x14ac:dyDescent="0.35">
      <c r="A7233" s="34">
        <v>41105003</v>
      </c>
      <c r="B7233" s="35" t="s">
        <v>15918</v>
      </c>
    </row>
    <row r="7234" spans="1:2" x14ac:dyDescent="0.35">
      <c r="A7234" s="34">
        <v>41105101</v>
      </c>
      <c r="B7234" s="35" t="s">
        <v>12058</v>
      </c>
    </row>
    <row r="7235" spans="1:2" x14ac:dyDescent="0.35">
      <c r="A7235" s="34">
        <v>41105102</v>
      </c>
      <c r="B7235" s="35" t="s">
        <v>967</v>
      </c>
    </row>
    <row r="7236" spans="1:2" x14ac:dyDescent="0.35">
      <c r="A7236" s="34">
        <v>41105103</v>
      </c>
      <c r="B7236" s="35" t="s">
        <v>18424</v>
      </c>
    </row>
    <row r="7237" spans="1:2" x14ac:dyDescent="0.35">
      <c r="A7237" s="34">
        <v>41105104</v>
      </c>
      <c r="B7237" s="35" t="s">
        <v>4004</v>
      </c>
    </row>
    <row r="7238" spans="1:2" x14ac:dyDescent="0.35">
      <c r="A7238" s="34">
        <v>41105105</v>
      </c>
      <c r="B7238" s="35" t="s">
        <v>16085</v>
      </c>
    </row>
    <row r="7239" spans="1:2" x14ac:dyDescent="0.35">
      <c r="A7239" s="34">
        <v>41105106</v>
      </c>
      <c r="B7239" s="35" t="s">
        <v>12692</v>
      </c>
    </row>
    <row r="7240" spans="1:2" x14ac:dyDescent="0.35">
      <c r="A7240" s="34">
        <v>41105107</v>
      </c>
      <c r="B7240" s="35" t="s">
        <v>15723</v>
      </c>
    </row>
    <row r="7241" spans="1:2" x14ac:dyDescent="0.35">
      <c r="A7241" s="34">
        <v>41105108</v>
      </c>
      <c r="B7241" s="35" t="s">
        <v>1339</v>
      </c>
    </row>
    <row r="7242" spans="1:2" x14ac:dyDescent="0.35">
      <c r="A7242" s="34">
        <v>41105109</v>
      </c>
      <c r="B7242" s="35" t="s">
        <v>3208</v>
      </c>
    </row>
    <row r="7243" spans="1:2" x14ac:dyDescent="0.35">
      <c r="A7243" s="34">
        <v>41105201</v>
      </c>
      <c r="B7243" s="35" t="s">
        <v>19511</v>
      </c>
    </row>
    <row r="7244" spans="1:2" x14ac:dyDescent="0.35">
      <c r="A7244" s="34">
        <v>41105202</v>
      </c>
      <c r="B7244" s="35" t="s">
        <v>10404</v>
      </c>
    </row>
    <row r="7245" spans="1:2" x14ac:dyDescent="0.35">
      <c r="A7245" s="34">
        <v>41105203</v>
      </c>
      <c r="B7245" s="35" t="s">
        <v>3245</v>
      </c>
    </row>
    <row r="7246" spans="1:2" x14ac:dyDescent="0.35">
      <c r="A7246" s="34">
        <v>41105204</v>
      </c>
      <c r="B7246" s="35" t="s">
        <v>18292</v>
      </c>
    </row>
    <row r="7247" spans="1:2" x14ac:dyDescent="0.35">
      <c r="A7247" s="34">
        <v>41105205</v>
      </c>
      <c r="B7247" s="35" t="s">
        <v>5152</v>
      </c>
    </row>
    <row r="7248" spans="1:2" x14ac:dyDescent="0.35">
      <c r="A7248" s="34">
        <v>41105301</v>
      </c>
      <c r="B7248" s="35" t="s">
        <v>11643</v>
      </c>
    </row>
    <row r="7249" spans="1:2" x14ac:dyDescent="0.35">
      <c r="A7249" s="34">
        <v>41105302</v>
      </c>
      <c r="B7249" s="35" t="s">
        <v>16859</v>
      </c>
    </row>
    <row r="7250" spans="1:2" x14ac:dyDescent="0.35">
      <c r="A7250" s="34">
        <v>41105303</v>
      </c>
      <c r="B7250" s="35" t="s">
        <v>18784</v>
      </c>
    </row>
    <row r="7251" spans="1:2" x14ac:dyDescent="0.35">
      <c r="A7251" s="34">
        <v>41105304</v>
      </c>
      <c r="B7251" s="35" t="s">
        <v>465</v>
      </c>
    </row>
    <row r="7252" spans="1:2" x14ac:dyDescent="0.35">
      <c r="A7252" s="34">
        <v>41105305</v>
      </c>
      <c r="B7252" s="35" t="s">
        <v>16932</v>
      </c>
    </row>
    <row r="7253" spans="1:2" x14ac:dyDescent="0.35">
      <c r="A7253" s="34">
        <v>41105307</v>
      </c>
      <c r="B7253" s="35" t="s">
        <v>7645</v>
      </c>
    </row>
    <row r="7254" spans="1:2" x14ac:dyDescent="0.35">
      <c r="A7254" s="34">
        <v>41105308</v>
      </c>
      <c r="B7254" s="35" t="s">
        <v>8850</v>
      </c>
    </row>
    <row r="7255" spans="1:2" x14ac:dyDescent="0.35">
      <c r="A7255" s="34">
        <v>41105309</v>
      </c>
      <c r="B7255" s="35" t="s">
        <v>8172</v>
      </c>
    </row>
    <row r="7256" spans="1:2" x14ac:dyDescent="0.35">
      <c r="A7256" s="34">
        <v>41105310</v>
      </c>
      <c r="B7256" s="35" t="s">
        <v>15473</v>
      </c>
    </row>
    <row r="7257" spans="1:2" x14ac:dyDescent="0.35">
      <c r="A7257" s="34">
        <v>41105311</v>
      </c>
      <c r="B7257" s="35" t="s">
        <v>13527</v>
      </c>
    </row>
    <row r="7258" spans="1:2" x14ac:dyDescent="0.35">
      <c r="A7258" s="34">
        <v>41105312</v>
      </c>
      <c r="B7258" s="35" t="s">
        <v>5401</v>
      </c>
    </row>
    <row r="7259" spans="1:2" x14ac:dyDescent="0.35">
      <c r="A7259" s="34">
        <v>41105313</v>
      </c>
      <c r="B7259" s="35" t="s">
        <v>3355</v>
      </c>
    </row>
    <row r="7260" spans="1:2" x14ac:dyDescent="0.35">
      <c r="A7260" s="34">
        <v>41105314</v>
      </c>
      <c r="B7260" s="35" t="s">
        <v>14537</v>
      </c>
    </row>
    <row r="7261" spans="1:2" x14ac:dyDescent="0.35">
      <c r="A7261" s="34">
        <v>41105315</v>
      </c>
      <c r="B7261" s="35" t="s">
        <v>8442</v>
      </c>
    </row>
    <row r="7262" spans="1:2" x14ac:dyDescent="0.35">
      <c r="A7262" s="34">
        <v>41105316</v>
      </c>
      <c r="B7262" s="35" t="s">
        <v>16621</v>
      </c>
    </row>
    <row r="7263" spans="1:2" x14ac:dyDescent="0.35">
      <c r="A7263" s="34">
        <v>41105317</v>
      </c>
      <c r="B7263" s="35" t="s">
        <v>5520</v>
      </c>
    </row>
    <row r="7264" spans="1:2" x14ac:dyDescent="0.35">
      <c r="A7264" s="34">
        <v>41105318</v>
      </c>
      <c r="B7264" s="35" t="s">
        <v>17144</v>
      </c>
    </row>
    <row r="7265" spans="1:2" x14ac:dyDescent="0.35">
      <c r="A7265" s="34">
        <v>41105319</v>
      </c>
      <c r="B7265" s="35" t="s">
        <v>17181</v>
      </c>
    </row>
    <row r="7266" spans="1:2" x14ac:dyDescent="0.35">
      <c r="A7266" s="34">
        <v>41105320</v>
      </c>
      <c r="B7266" s="35" t="s">
        <v>8363</v>
      </c>
    </row>
    <row r="7267" spans="1:2" x14ac:dyDescent="0.35">
      <c r="A7267" s="34">
        <v>41105321</v>
      </c>
      <c r="B7267" s="35" t="s">
        <v>2469</v>
      </c>
    </row>
    <row r="7268" spans="1:2" x14ac:dyDescent="0.35">
      <c r="A7268" s="34">
        <v>41105322</v>
      </c>
      <c r="B7268" s="35" t="s">
        <v>220</v>
      </c>
    </row>
    <row r="7269" spans="1:2" x14ac:dyDescent="0.35">
      <c r="A7269" s="34">
        <v>41105323</v>
      </c>
      <c r="B7269" s="35" t="s">
        <v>16979</v>
      </c>
    </row>
    <row r="7270" spans="1:2" x14ac:dyDescent="0.35">
      <c r="A7270" s="34">
        <v>41105324</v>
      </c>
      <c r="B7270" s="35" t="s">
        <v>3652</v>
      </c>
    </row>
    <row r="7271" spans="1:2" x14ac:dyDescent="0.35">
      <c r="A7271" s="34">
        <v>41105325</v>
      </c>
      <c r="B7271" s="35" t="s">
        <v>298</v>
      </c>
    </row>
    <row r="7272" spans="1:2" x14ac:dyDescent="0.35">
      <c r="A7272" s="34">
        <v>41105326</v>
      </c>
      <c r="B7272" s="35" t="s">
        <v>11670</v>
      </c>
    </row>
    <row r="7273" spans="1:2" x14ac:dyDescent="0.35">
      <c r="A7273" s="34">
        <v>41105327</v>
      </c>
      <c r="B7273" s="35" t="s">
        <v>4618</v>
      </c>
    </row>
    <row r="7274" spans="1:2" x14ac:dyDescent="0.35">
      <c r="A7274" s="34">
        <v>41105328</v>
      </c>
      <c r="B7274" s="35" t="s">
        <v>12731</v>
      </c>
    </row>
    <row r="7275" spans="1:2" x14ac:dyDescent="0.35">
      <c r="A7275" s="34">
        <v>41105329</v>
      </c>
      <c r="B7275" s="35" t="s">
        <v>2420</v>
      </c>
    </row>
    <row r="7276" spans="1:2" x14ac:dyDescent="0.35">
      <c r="A7276" s="34">
        <v>41105330</v>
      </c>
      <c r="B7276" s="35" t="s">
        <v>9320</v>
      </c>
    </row>
    <row r="7277" spans="1:2" x14ac:dyDescent="0.35">
      <c r="A7277" s="34">
        <v>41105331</v>
      </c>
      <c r="B7277" s="35" t="s">
        <v>2357</v>
      </c>
    </row>
    <row r="7278" spans="1:2" x14ac:dyDescent="0.35">
      <c r="A7278" s="34">
        <v>41105332</v>
      </c>
      <c r="B7278" s="35" t="s">
        <v>12154</v>
      </c>
    </row>
    <row r="7279" spans="1:2" x14ac:dyDescent="0.35">
      <c r="A7279" s="34">
        <v>41105333</v>
      </c>
      <c r="B7279" s="35" t="s">
        <v>18410</v>
      </c>
    </row>
    <row r="7280" spans="1:2" x14ac:dyDescent="0.35">
      <c r="A7280" s="34">
        <v>41105334</v>
      </c>
      <c r="B7280" s="35" t="s">
        <v>207</v>
      </c>
    </row>
    <row r="7281" spans="1:2" x14ac:dyDescent="0.35">
      <c r="A7281" s="34">
        <v>41105335</v>
      </c>
      <c r="B7281" s="35" t="s">
        <v>19192</v>
      </c>
    </row>
    <row r="7282" spans="1:2" x14ac:dyDescent="0.35">
      <c r="A7282" s="34">
        <v>41105336</v>
      </c>
      <c r="B7282" s="35" t="s">
        <v>12629</v>
      </c>
    </row>
    <row r="7283" spans="1:2" x14ac:dyDescent="0.35">
      <c r="A7283" s="34">
        <v>41105337</v>
      </c>
      <c r="B7283" s="35" t="s">
        <v>6886</v>
      </c>
    </row>
    <row r="7284" spans="1:2" x14ac:dyDescent="0.35">
      <c r="A7284" s="34">
        <v>41105338</v>
      </c>
      <c r="B7284" s="35" t="s">
        <v>18955</v>
      </c>
    </row>
    <row r="7285" spans="1:2" x14ac:dyDescent="0.35">
      <c r="A7285" s="34">
        <v>41105339</v>
      </c>
      <c r="B7285" s="35" t="s">
        <v>1616</v>
      </c>
    </row>
    <row r="7286" spans="1:2" x14ac:dyDescent="0.35">
      <c r="A7286" s="34">
        <v>41105501</v>
      </c>
      <c r="B7286" s="35" t="s">
        <v>15949</v>
      </c>
    </row>
    <row r="7287" spans="1:2" x14ac:dyDescent="0.35">
      <c r="A7287" s="34">
        <v>41105502</v>
      </c>
      <c r="B7287" s="35" t="s">
        <v>5804</v>
      </c>
    </row>
    <row r="7288" spans="1:2" x14ac:dyDescent="0.35">
      <c r="A7288" s="34">
        <v>41105503</v>
      </c>
      <c r="B7288" s="35" t="s">
        <v>10484</v>
      </c>
    </row>
    <row r="7289" spans="1:2" x14ac:dyDescent="0.35">
      <c r="A7289" s="34">
        <v>41105504</v>
      </c>
      <c r="B7289" s="35" t="s">
        <v>9181</v>
      </c>
    </row>
    <row r="7290" spans="1:2" x14ac:dyDescent="0.35">
      <c r="A7290" s="34">
        <v>41105505</v>
      </c>
      <c r="B7290" s="35" t="s">
        <v>16806</v>
      </c>
    </row>
    <row r="7291" spans="1:2" x14ac:dyDescent="0.35">
      <c r="A7291" s="34">
        <v>41105506</v>
      </c>
      <c r="B7291" s="35" t="s">
        <v>12147</v>
      </c>
    </row>
    <row r="7292" spans="1:2" x14ac:dyDescent="0.35">
      <c r="A7292" s="34">
        <v>41105507</v>
      </c>
      <c r="B7292" s="35" t="s">
        <v>1934</v>
      </c>
    </row>
    <row r="7293" spans="1:2" x14ac:dyDescent="0.35">
      <c r="A7293" s="34">
        <v>41105508</v>
      </c>
      <c r="B7293" s="35" t="s">
        <v>10774</v>
      </c>
    </row>
    <row r="7294" spans="1:2" x14ac:dyDescent="0.35">
      <c r="A7294" s="34">
        <v>41105509</v>
      </c>
      <c r="B7294" s="35" t="s">
        <v>7629</v>
      </c>
    </row>
    <row r="7295" spans="1:2" x14ac:dyDescent="0.35">
      <c r="A7295" s="34">
        <v>41105510</v>
      </c>
      <c r="B7295" s="35" t="s">
        <v>1652</v>
      </c>
    </row>
    <row r="7296" spans="1:2" x14ac:dyDescent="0.35">
      <c r="A7296" s="34">
        <v>41105511</v>
      </c>
      <c r="B7296" s="35" t="s">
        <v>1620</v>
      </c>
    </row>
    <row r="7297" spans="1:2" x14ac:dyDescent="0.35">
      <c r="A7297" s="34">
        <v>41105512</v>
      </c>
      <c r="B7297" s="35" t="s">
        <v>17900</v>
      </c>
    </row>
    <row r="7298" spans="1:2" x14ac:dyDescent="0.35">
      <c r="A7298" s="34">
        <v>41105513</v>
      </c>
      <c r="B7298" s="35" t="s">
        <v>11916</v>
      </c>
    </row>
    <row r="7299" spans="1:2" x14ac:dyDescent="0.35">
      <c r="A7299" s="34">
        <v>41105514</v>
      </c>
      <c r="B7299" s="35" t="s">
        <v>6073</v>
      </c>
    </row>
    <row r="7300" spans="1:2" x14ac:dyDescent="0.35">
      <c r="A7300" s="34">
        <v>41105515</v>
      </c>
      <c r="B7300" s="35" t="s">
        <v>8327</v>
      </c>
    </row>
    <row r="7301" spans="1:2" x14ac:dyDescent="0.35">
      <c r="A7301" s="34">
        <v>41105516</v>
      </c>
      <c r="B7301" s="35" t="s">
        <v>10106</v>
      </c>
    </row>
    <row r="7302" spans="1:2" x14ac:dyDescent="0.35">
      <c r="A7302" s="34">
        <v>41105517</v>
      </c>
      <c r="B7302" s="35" t="s">
        <v>2841</v>
      </c>
    </row>
    <row r="7303" spans="1:2" x14ac:dyDescent="0.35">
      <c r="A7303" s="34">
        <v>41105518</v>
      </c>
      <c r="B7303" s="35" t="s">
        <v>6975</v>
      </c>
    </row>
    <row r="7304" spans="1:2" x14ac:dyDescent="0.35">
      <c r="A7304" s="34">
        <v>41105519</v>
      </c>
      <c r="B7304" s="35" t="s">
        <v>1161</v>
      </c>
    </row>
    <row r="7305" spans="1:2" x14ac:dyDescent="0.35">
      <c r="A7305" s="34">
        <v>41105520</v>
      </c>
      <c r="B7305" s="35" t="s">
        <v>5057</v>
      </c>
    </row>
    <row r="7306" spans="1:2" x14ac:dyDescent="0.35">
      <c r="A7306" s="34">
        <v>41105601</v>
      </c>
      <c r="B7306" s="35" t="s">
        <v>17563</v>
      </c>
    </row>
    <row r="7307" spans="1:2" x14ac:dyDescent="0.35">
      <c r="A7307" s="34">
        <v>41105701</v>
      </c>
      <c r="B7307" s="35" t="s">
        <v>18255</v>
      </c>
    </row>
    <row r="7308" spans="1:2" x14ac:dyDescent="0.35">
      <c r="A7308" s="34">
        <v>41105801</v>
      </c>
      <c r="B7308" s="35" t="s">
        <v>5733</v>
      </c>
    </row>
    <row r="7309" spans="1:2" x14ac:dyDescent="0.35">
      <c r="A7309" s="34">
        <v>41105802</v>
      </c>
      <c r="B7309" s="35" t="s">
        <v>4565</v>
      </c>
    </row>
    <row r="7310" spans="1:2" x14ac:dyDescent="0.35">
      <c r="A7310" s="34">
        <v>41105803</v>
      </c>
      <c r="B7310" s="35" t="s">
        <v>12426</v>
      </c>
    </row>
    <row r="7311" spans="1:2" x14ac:dyDescent="0.35">
      <c r="A7311" s="34">
        <v>41105804</v>
      </c>
      <c r="B7311" s="35" t="s">
        <v>8862</v>
      </c>
    </row>
    <row r="7312" spans="1:2" x14ac:dyDescent="0.35">
      <c r="A7312" s="34">
        <v>41105901</v>
      </c>
      <c r="B7312" s="35" t="s">
        <v>456</v>
      </c>
    </row>
    <row r="7313" spans="1:2" x14ac:dyDescent="0.35">
      <c r="A7313" s="34">
        <v>41105902</v>
      </c>
      <c r="B7313" s="35" t="s">
        <v>13151</v>
      </c>
    </row>
    <row r="7314" spans="1:2" x14ac:dyDescent="0.35">
      <c r="A7314" s="34">
        <v>41105903</v>
      </c>
      <c r="B7314" s="35" t="s">
        <v>8375</v>
      </c>
    </row>
    <row r="7315" spans="1:2" x14ac:dyDescent="0.35">
      <c r="A7315" s="34">
        <v>41105904</v>
      </c>
      <c r="B7315" s="35" t="s">
        <v>16669</v>
      </c>
    </row>
    <row r="7316" spans="1:2" x14ac:dyDescent="0.35">
      <c r="A7316" s="34">
        <v>41105905</v>
      </c>
      <c r="B7316" s="35" t="s">
        <v>15503</v>
      </c>
    </row>
    <row r="7317" spans="1:2" x14ac:dyDescent="0.35">
      <c r="A7317" s="34">
        <v>41105906</v>
      </c>
      <c r="B7317" s="35" t="s">
        <v>9891</v>
      </c>
    </row>
    <row r="7318" spans="1:2" x14ac:dyDescent="0.35">
      <c r="A7318" s="34">
        <v>41105907</v>
      </c>
      <c r="B7318" s="35" t="s">
        <v>16035</v>
      </c>
    </row>
    <row r="7319" spans="1:2" x14ac:dyDescent="0.35">
      <c r="A7319" s="34">
        <v>41105908</v>
      </c>
      <c r="B7319" s="35" t="s">
        <v>991</v>
      </c>
    </row>
    <row r="7320" spans="1:2" x14ac:dyDescent="0.35">
      <c r="A7320" s="34">
        <v>41106001</v>
      </c>
      <c r="B7320" s="35" t="s">
        <v>4743</v>
      </c>
    </row>
    <row r="7321" spans="1:2" x14ac:dyDescent="0.35">
      <c r="A7321" s="34">
        <v>41106002</v>
      </c>
      <c r="B7321" s="35" t="s">
        <v>19059</v>
      </c>
    </row>
    <row r="7322" spans="1:2" x14ac:dyDescent="0.35">
      <c r="A7322" s="34">
        <v>41106003</v>
      </c>
      <c r="B7322" s="35" t="s">
        <v>16585</v>
      </c>
    </row>
    <row r="7323" spans="1:2" x14ac:dyDescent="0.35">
      <c r="A7323" s="34">
        <v>41106004</v>
      </c>
      <c r="B7323" s="35" t="s">
        <v>13316</v>
      </c>
    </row>
    <row r="7324" spans="1:2" x14ac:dyDescent="0.35">
      <c r="A7324" s="34">
        <v>41106005</v>
      </c>
      <c r="B7324" s="35" t="s">
        <v>9080</v>
      </c>
    </row>
    <row r="7325" spans="1:2" x14ac:dyDescent="0.35">
      <c r="A7325" s="34">
        <v>41106006</v>
      </c>
      <c r="B7325" s="35" t="s">
        <v>4126</v>
      </c>
    </row>
    <row r="7326" spans="1:2" x14ac:dyDescent="0.35">
      <c r="A7326" s="34">
        <v>41106101</v>
      </c>
      <c r="B7326" s="35" t="s">
        <v>16209</v>
      </c>
    </row>
    <row r="7327" spans="1:2" x14ac:dyDescent="0.35">
      <c r="A7327" s="34">
        <v>41106102</v>
      </c>
      <c r="B7327" s="35" t="s">
        <v>9737</v>
      </c>
    </row>
    <row r="7328" spans="1:2" x14ac:dyDescent="0.35">
      <c r="A7328" s="34">
        <v>41106103</v>
      </c>
      <c r="B7328" s="35" t="s">
        <v>14938</v>
      </c>
    </row>
    <row r="7329" spans="1:2" x14ac:dyDescent="0.35">
      <c r="A7329" s="34">
        <v>41106104</v>
      </c>
      <c r="B7329" s="35" t="s">
        <v>17245</v>
      </c>
    </row>
    <row r="7330" spans="1:2" x14ac:dyDescent="0.35">
      <c r="A7330" s="34">
        <v>41106201</v>
      </c>
      <c r="B7330" s="35" t="s">
        <v>9304</v>
      </c>
    </row>
    <row r="7331" spans="1:2" x14ac:dyDescent="0.35">
      <c r="A7331" s="34">
        <v>41106202</v>
      </c>
      <c r="B7331" s="35" t="s">
        <v>12389</v>
      </c>
    </row>
    <row r="7332" spans="1:2" x14ac:dyDescent="0.35">
      <c r="A7332" s="34">
        <v>41106203</v>
      </c>
      <c r="B7332" s="35" t="s">
        <v>7117</v>
      </c>
    </row>
    <row r="7333" spans="1:2" x14ac:dyDescent="0.35">
      <c r="A7333" s="34">
        <v>41106204</v>
      </c>
      <c r="B7333" s="35" t="s">
        <v>11804</v>
      </c>
    </row>
    <row r="7334" spans="1:2" x14ac:dyDescent="0.35">
      <c r="A7334" s="34">
        <v>41106205</v>
      </c>
      <c r="B7334" s="35" t="s">
        <v>10720</v>
      </c>
    </row>
    <row r="7335" spans="1:2" x14ac:dyDescent="0.35">
      <c r="A7335" s="34">
        <v>41106206</v>
      </c>
      <c r="B7335" s="35" t="s">
        <v>15895</v>
      </c>
    </row>
    <row r="7336" spans="1:2" x14ac:dyDescent="0.35">
      <c r="A7336" s="34">
        <v>41106207</v>
      </c>
      <c r="B7336" s="35" t="s">
        <v>719</v>
      </c>
    </row>
    <row r="7337" spans="1:2" x14ac:dyDescent="0.35">
      <c r="A7337" s="34">
        <v>41106208</v>
      </c>
      <c r="B7337" s="35" t="s">
        <v>17381</v>
      </c>
    </row>
    <row r="7338" spans="1:2" x14ac:dyDescent="0.35">
      <c r="A7338" s="34">
        <v>41106209</v>
      </c>
      <c r="B7338" s="35" t="s">
        <v>3425</v>
      </c>
    </row>
    <row r="7339" spans="1:2" x14ac:dyDescent="0.35">
      <c r="A7339" s="34">
        <v>41106210</v>
      </c>
      <c r="B7339" s="35" t="s">
        <v>18981</v>
      </c>
    </row>
    <row r="7340" spans="1:2" x14ac:dyDescent="0.35">
      <c r="A7340" s="34">
        <v>41106211</v>
      </c>
      <c r="B7340" s="35" t="s">
        <v>4509</v>
      </c>
    </row>
    <row r="7341" spans="1:2" x14ac:dyDescent="0.35">
      <c r="A7341" s="34">
        <v>41106212</v>
      </c>
      <c r="B7341" s="35" t="s">
        <v>5020</v>
      </c>
    </row>
    <row r="7342" spans="1:2" x14ac:dyDescent="0.35">
      <c r="A7342" s="34">
        <v>41106213</v>
      </c>
      <c r="B7342" s="35" t="s">
        <v>17134</v>
      </c>
    </row>
    <row r="7343" spans="1:2" x14ac:dyDescent="0.35">
      <c r="A7343" s="34">
        <v>41106214</v>
      </c>
      <c r="B7343" s="35" t="s">
        <v>4186</v>
      </c>
    </row>
    <row r="7344" spans="1:2" x14ac:dyDescent="0.35">
      <c r="A7344" s="34">
        <v>41106215</v>
      </c>
      <c r="B7344" s="35" t="s">
        <v>5186</v>
      </c>
    </row>
    <row r="7345" spans="1:2" x14ac:dyDescent="0.35">
      <c r="A7345" s="34">
        <v>41106216</v>
      </c>
      <c r="B7345" s="35" t="s">
        <v>2965</v>
      </c>
    </row>
    <row r="7346" spans="1:2" x14ac:dyDescent="0.35">
      <c r="A7346" s="34">
        <v>41106217</v>
      </c>
      <c r="B7346" s="35" t="s">
        <v>12062</v>
      </c>
    </row>
    <row r="7347" spans="1:2" x14ac:dyDescent="0.35">
      <c r="A7347" s="34">
        <v>41106218</v>
      </c>
      <c r="B7347" s="35" t="s">
        <v>3049</v>
      </c>
    </row>
    <row r="7348" spans="1:2" x14ac:dyDescent="0.35">
      <c r="A7348" s="34">
        <v>41106219</v>
      </c>
      <c r="B7348" s="35" t="s">
        <v>15662</v>
      </c>
    </row>
    <row r="7349" spans="1:2" x14ac:dyDescent="0.35">
      <c r="A7349" s="34">
        <v>41106220</v>
      </c>
      <c r="B7349" s="35" t="s">
        <v>16992</v>
      </c>
    </row>
    <row r="7350" spans="1:2" x14ac:dyDescent="0.35">
      <c r="A7350" s="34">
        <v>41106221</v>
      </c>
      <c r="B7350" s="35" t="s">
        <v>13538</v>
      </c>
    </row>
    <row r="7351" spans="1:2" x14ac:dyDescent="0.35">
      <c r="A7351" s="34">
        <v>41106222</v>
      </c>
      <c r="B7351" s="35" t="s">
        <v>4180</v>
      </c>
    </row>
    <row r="7352" spans="1:2" x14ac:dyDescent="0.35">
      <c r="A7352" s="34">
        <v>41106223</v>
      </c>
      <c r="B7352" s="35" t="s">
        <v>7579</v>
      </c>
    </row>
    <row r="7353" spans="1:2" x14ac:dyDescent="0.35">
      <c r="A7353" s="34">
        <v>41106301</v>
      </c>
      <c r="B7353" s="35" t="s">
        <v>12728</v>
      </c>
    </row>
    <row r="7354" spans="1:2" x14ac:dyDescent="0.35">
      <c r="A7354" s="34">
        <v>41106302</v>
      </c>
      <c r="B7354" s="35" t="s">
        <v>15915</v>
      </c>
    </row>
    <row r="7355" spans="1:2" x14ac:dyDescent="0.35">
      <c r="A7355" s="34">
        <v>41106303</v>
      </c>
      <c r="B7355" s="35" t="s">
        <v>6770</v>
      </c>
    </row>
    <row r="7356" spans="1:2" x14ac:dyDescent="0.35">
      <c r="A7356" s="34">
        <v>41106304</v>
      </c>
      <c r="B7356" s="35" t="s">
        <v>9722</v>
      </c>
    </row>
    <row r="7357" spans="1:2" x14ac:dyDescent="0.35">
      <c r="A7357" s="34">
        <v>41106305</v>
      </c>
      <c r="B7357" s="35" t="s">
        <v>8105</v>
      </c>
    </row>
    <row r="7358" spans="1:2" x14ac:dyDescent="0.35">
      <c r="A7358" s="34">
        <v>41106306</v>
      </c>
      <c r="B7358" s="35" t="s">
        <v>19286</v>
      </c>
    </row>
    <row r="7359" spans="1:2" x14ac:dyDescent="0.35">
      <c r="A7359" s="34">
        <v>41106307</v>
      </c>
      <c r="B7359" s="35" t="s">
        <v>13490</v>
      </c>
    </row>
    <row r="7360" spans="1:2" x14ac:dyDescent="0.35">
      <c r="A7360" s="34">
        <v>41106308</v>
      </c>
      <c r="B7360" s="35" t="s">
        <v>11463</v>
      </c>
    </row>
    <row r="7361" spans="1:2" x14ac:dyDescent="0.35">
      <c r="A7361" s="34">
        <v>41106309</v>
      </c>
      <c r="B7361" s="35" t="s">
        <v>2365</v>
      </c>
    </row>
    <row r="7362" spans="1:2" x14ac:dyDescent="0.35">
      <c r="A7362" s="34">
        <v>41106310</v>
      </c>
      <c r="B7362" s="35" t="s">
        <v>2697</v>
      </c>
    </row>
    <row r="7363" spans="1:2" x14ac:dyDescent="0.35">
      <c r="A7363" s="34">
        <v>41106311</v>
      </c>
      <c r="B7363" s="35" t="s">
        <v>14702</v>
      </c>
    </row>
    <row r="7364" spans="1:2" x14ac:dyDescent="0.35">
      <c r="A7364" s="34">
        <v>41106312</v>
      </c>
      <c r="B7364" s="35" t="s">
        <v>4253</v>
      </c>
    </row>
    <row r="7365" spans="1:2" x14ac:dyDescent="0.35">
      <c r="A7365" s="34">
        <v>41106313</v>
      </c>
      <c r="B7365" s="35" t="s">
        <v>13488</v>
      </c>
    </row>
    <row r="7366" spans="1:2" x14ac:dyDescent="0.35">
      <c r="A7366" s="34">
        <v>41106314</v>
      </c>
      <c r="B7366" s="35" t="s">
        <v>17379</v>
      </c>
    </row>
    <row r="7367" spans="1:2" x14ac:dyDescent="0.35">
      <c r="A7367" s="34">
        <v>41106401</v>
      </c>
      <c r="B7367" s="35" t="s">
        <v>3064</v>
      </c>
    </row>
    <row r="7368" spans="1:2" x14ac:dyDescent="0.35">
      <c r="A7368" s="34">
        <v>41106402</v>
      </c>
      <c r="B7368" s="35" t="s">
        <v>5924</v>
      </c>
    </row>
    <row r="7369" spans="1:2" x14ac:dyDescent="0.35">
      <c r="A7369" s="34">
        <v>41106403</v>
      </c>
      <c r="B7369" s="35" t="s">
        <v>2058</v>
      </c>
    </row>
    <row r="7370" spans="1:2" x14ac:dyDescent="0.35">
      <c r="A7370" s="34">
        <v>41106501</v>
      </c>
      <c r="B7370" s="35" t="s">
        <v>9940</v>
      </c>
    </row>
    <row r="7371" spans="1:2" x14ac:dyDescent="0.35">
      <c r="A7371" s="34">
        <v>41106502</v>
      </c>
      <c r="B7371" s="35" t="s">
        <v>3727</v>
      </c>
    </row>
    <row r="7372" spans="1:2" x14ac:dyDescent="0.35">
      <c r="A7372" s="34">
        <v>41106503</v>
      </c>
      <c r="B7372" s="35" t="s">
        <v>3983</v>
      </c>
    </row>
    <row r="7373" spans="1:2" x14ac:dyDescent="0.35">
      <c r="A7373" s="34">
        <v>41106504</v>
      </c>
      <c r="B7373" s="35" t="s">
        <v>878</v>
      </c>
    </row>
    <row r="7374" spans="1:2" x14ac:dyDescent="0.35">
      <c r="A7374" s="34">
        <v>41106505</v>
      </c>
      <c r="B7374" s="35" t="s">
        <v>15551</v>
      </c>
    </row>
    <row r="7375" spans="1:2" x14ac:dyDescent="0.35">
      <c r="A7375" s="34">
        <v>41106506</v>
      </c>
      <c r="B7375" s="35" t="s">
        <v>9612</v>
      </c>
    </row>
    <row r="7376" spans="1:2" x14ac:dyDescent="0.35">
      <c r="A7376" s="34">
        <v>41106507</v>
      </c>
      <c r="B7376" s="35" t="s">
        <v>17591</v>
      </c>
    </row>
    <row r="7377" spans="1:2" x14ac:dyDescent="0.35">
      <c r="A7377" s="34">
        <v>41106508</v>
      </c>
      <c r="B7377" s="35" t="s">
        <v>8339</v>
      </c>
    </row>
    <row r="7378" spans="1:2" x14ac:dyDescent="0.35">
      <c r="A7378" s="34">
        <v>41106509</v>
      </c>
      <c r="B7378" s="35" t="s">
        <v>5648</v>
      </c>
    </row>
    <row r="7379" spans="1:2" x14ac:dyDescent="0.35">
      <c r="A7379" s="34">
        <v>41106510</v>
      </c>
      <c r="B7379" s="35" t="s">
        <v>8000</v>
      </c>
    </row>
    <row r="7380" spans="1:2" x14ac:dyDescent="0.35">
      <c r="A7380" s="34">
        <v>41106511</v>
      </c>
      <c r="B7380" s="35" t="s">
        <v>12725</v>
      </c>
    </row>
    <row r="7381" spans="1:2" x14ac:dyDescent="0.35">
      <c r="A7381" s="34">
        <v>41106512</v>
      </c>
      <c r="B7381" s="35" t="s">
        <v>7254</v>
      </c>
    </row>
    <row r="7382" spans="1:2" x14ac:dyDescent="0.35">
      <c r="A7382" s="34">
        <v>41106513</v>
      </c>
      <c r="B7382" s="35" t="s">
        <v>9624</v>
      </c>
    </row>
    <row r="7383" spans="1:2" x14ac:dyDescent="0.35">
      <c r="A7383" s="34">
        <v>41106514</v>
      </c>
      <c r="B7383" s="35" t="s">
        <v>8704</v>
      </c>
    </row>
    <row r="7384" spans="1:2" x14ac:dyDescent="0.35">
      <c r="A7384" s="34">
        <v>41106515</v>
      </c>
      <c r="B7384" s="35" t="s">
        <v>19374</v>
      </c>
    </row>
    <row r="7385" spans="1:2" x14ac:dyDescent="0.35">
      <c r="A7385" s="34">
        <v>41106601</v>
      </c>
      <c r="B7385" s="35" t="s">
        <v>9421</v>
      </c>
    </row>
    <row r="7386" spans="1:2" x14ac:dyDescent="0.35">
      <c r="A7386" s="34">
        <v>41106602</v>
      </c>
      <c r="B7386" s="35" t="s">
        <v>9098</v>
      </c>
    </row>
    <row r="7387" spans="1:2" x14ac:dyDescent="0.35">
      <c r="A7387" s="34">
        <v>41106603</v>
      </c>
      <c r="B7387" s="35" t="s">
        <v>11520</v>
      </c>
    </row>
    <row r="7388" spans="1:2" x14ac:dyDescent="0.35">
      <c r="A7388" s="34">
        <v>41106604</v>
      </c>
      <c r="B7388" s="35" t="s">
        <v>12707</v>
      </c>
    </row>
    <row r="7389" spans="1:2" x14ac:dyDescent="0.35">
      <c r="A7389" s="34">
        <v>41106605</v>
      </c>
      <c r="B7389" s="35" t="s">
        <v>13052</v>
      </c>
    </row>
    <row r="7390" spans="1:2" x14ac:dyDescent="0.35">
      <c r="A7390" s="34">
        <v>41106606</v>
      </c>
      <c r="B7390" s="35" t="s">
        <v>13646</v>
      </c>
    </row>
    <row r="7391" spans="1:2" x14ac:dyDescent="0.35">
      <c r="A7391" s="34">
        <v>41106607</v>
      </c>
      <c r="B7391" s="35" t="s">
        <v>16340</v>
      </c>
    </row>
    <row r="7392" spans="1:2" x14ac:dyDescent="0.35">
      <c r="A7392" s="34">
        <v>41106608</v>
      </c>
      <c r="B7392" s="35" t="s">
        <v>17738</v>
      </c>
    </row>
    <row r="7393" spans="1:2" x14ac:dyDescent="0.35">
      <c r="A7393" s="34">
        <v>41106609</v>
      </c>
      <c r="B7393" s="35" t="s">
        <v>18580</v>
      </c>
    </row>
    <row r="7394" spans="1:2" x14ac:dyDescent="0.35">
      <c r="A7394" s="34">
        <v>41106610</v>
      </c>
      <c r="B7394" s="35" t="s">
        <v>2532</v>
      </c>
    </row>
    <row r="7395" spans="1:2" x14ac:dyDescent="0.35">
      <c r="A7395" s="34">
        <v>41106611</v>
      </c>
      <c r="B7395" s="35" t="s">
        <v>18164</v>
      </c>
    </row>
    <row r="7396" spans="1:2" x14ac:dyDescent="0.35">
      <c r="A7396" s="34">
        <v>41106612</v>
      </c>
      <c r="B7396" s="35" t="s">
        <v>17427</v>
      </c>
    </row>
    <row r="7397" spans="1:2" x14ac:dyDescent="0.35">
      <c r="A7397" s="34">
        <v>41106613</v>
      </c>
      <c r="B7397" s="35" t="s">
        <v>5588</v>
      </c>
    </row>
    <row r="7398" spans="1:2" x14ac:dyDescent="0.35">
      <c r="A7398" s="34">
        <v>41106614</v>
      </c>
      <c r="B7398" s="35" t="s">
        <v>9755</v>
      </c>
    </row>
    <row r="7399" spans="1:2" x14ac:dyDescent="0.35">
      <c r="A7399" s="34">
        <v>41106615</v>
      </c>
      <c r="B7399" s="35" t="s">
        <v>7476</v>
      </c>
    </row>
    <row r="7400" spans="1:2" x14ac:dyDescent="0.35">
      <c r="A7400" s="34">
        <v>41106616</v>
      </c>
      <c r="B7400" s="35" t="s">
        <v>7196</v>
      </c>
    </row>
    <row r="7401" spans="1:2" x14ac:dyDescent="0.35">
      <c r="A7401" s="34">
        <v>41106617</v>
      </c>
      <c r="B7401" s="35" t="s">
        <v>645</v>
      </c>
    </row>
    <row r="7402" spans="1:2" x14ac:dyDescent="0.35">
      <c r="A7402" s="34">
        <v>41106618</v>
      </c>
      <c r="B7402" s="35" t="s">
        <v>13372</v>
      </c>
    </row>
    <row r="7403" spans="1:2" x14ac:dyDescent="0.35">
      <c r="A7403" s="34">
        <v>41106619</v>
      </c>
      <c r="B7403" s="35" t="s">
        <v>13366</v>
      </c>
    </row>
    <row r="7404" spans="1:2" x14ac:dyDescent="0.35">
      <c r="A7404" s="34">
        <v>41106620</v>
      </c>
      <c r="B7404" s="35" t="s">
        <v>17271</v>
      </c>
    </row>
    <row r="7405" spans="1:2" x14ac:dyDescent="0.35">
      <c r="A7405" s="34">
        <v>41106621</v>
      </c>
      <c r="B7405" s="35" t="s">
        <v>5277</v>
      </c>
    </row>
    <row r="7406" spans="1:2" x14ac:dyDescent="0.35">
      <c r="A7406" s="34">
        <v>41106622</v>
      </c>
      <c r="B7406" s="35" t="s">
        <v>12668</v>
      </c>
    </row>
    <row r="7407" spans="1:2" x14ac:dyDescent="0.35">
      <c r="A7407" s="34">
        <v>41111501</v>
      </c>
      <c r="B7407" s="35" t="s">
        <v>1144</v>
      </c>
    </row>
    <row r="7408" spans="1:2" x14ac:dyDescent="0.35">
      <c r="A7408" s="34">
        <v>41111502</v>
      </c>
      <c r="B7408" s="35" t="s">
        <v>13834</v>
      </c>
    </row>
    <row r="7409" spans="1:2" x14ac:dyDescent="0.35">
      <c r="A7409" s="34">
        <v>41111503</v>
      </c>
      <c r="B7409" s="35" t="s">
        <v>12265</v>
      </c>
    </row>
    <row r="7410" spans="1:2" x14ac:dyDescent="0.35">
      <c r="A7410" s="34">
        <v>41111504</v>
      </c>
      <c r="B7410" s="35" t="s">
        <v>177</v>
      </c>
    </row>
    <row r="7411" spans="1:2" x14ac:dyDescent="0.35">
      <c r="A7411" s="34">
        <v>41111505</v>
      </c>
      <c r="B7411" s="35" t="s">
        <v>7919</v>
      </c>
    </row>
    <row r="7412" spans="1:2" x14ac:dyDescent="0.35">
      <c r="A7412" s="34">
        <v>41111506</v>
      </c>
      <c r="B7412" s="35" t="s">
        <v>17351</v>
      </c>
    </row>
    <row r="7413" spans="1:2" x14ac:dyDescent="0.35">
      <c r="A7413" s="34">
        <v>41111507</v>
      </c>
      <c r="B7413" s="35" t="s">
        <v>37</v>
      </c>
    </row>
    <row r="7414" spans="1:2" x14ac:dyDescent="0.35">
      <c r="A7414" s="34">
        <v>41111508</v>
      </c>
      <c r="B7414" s="35" t="s">
        <v>16220</v>
      </c>
    </row>
    <row r="7415" spans="1:2" x14ac:dyDescent="0.35">
      <c r="A7415" s="34">
        <v>41111509</v>
      </c>
      <c r="B7415" s="35" t="s">
        <v>2723</v>
      </c>
    </row>
    <row r="7416" spans="1:2" x14ac:dyDescent="0.35">
      <c r="A7416" s="34">
        <v>41111510</v>
      </c>
      <c r="B7416" s="35" t="s">
        <v>8812</v>
      </c>
    </row>
    <row r="7417" spans="1:2" x14ac:dyDescent="0.35">
      <c r="A7417" s="34">
        <v>41111511</v>
      </c>
      <c r="B7417" s="35" t="s">
        <v>5289</v>
      </c>
    </row>
    <row r="7418" spans="1:2" x14ac:dyDescent="0.35">
      <c r="A7418" s="34">
        <v>41111512</v>
      </c>
      <c r="B7418" s="35" t="s">
        <v>18385</v>
      </c>
    </row>
    <row r="7419" spans="1:2" x14ac:dyDescent="0.35">
      <c r="A7419" s="34">
        <v>41111513</v>
      </c>
      <c r="B7419" s="35" t="s">
        <v>16060</v>
      </c>
    </row>
    <row r="7420" spans="1:2" x14ac:dyDescent="0.35">
      <c r="A7420" s="34">
        <v>41111515</v>
      </c>
      <c r="B7420" s="35" t="s">
        <v>7690</v>
      </c>
    </row>
    <row r="7421" spans="1:2" x14ac:dyDescent="0.35">
      <c r="A7421" s="34">
        <v>41111516</v>
      </c>
      <c r="B7421" s="35" t="s">
        <v>18530</v>
      </c>
    </row>
    <row r="7422" spans="1:2" x14ac:dyDescent="0.35">
      <c r="A7422" s="34">
        <v>41111517</v>
      </c>
      <c r="B7422" s="35" t="s">
        <v>3120</v>
      </c>
    </row>
    <row r="7423" spans="1:2" x14ac:dyDescent="0.35">
      <c r="A7423" s="34">
        <v>41111601</v>
      </c>
      <c r="B7423" s="35" t="s">
        <v>19054</v>
      </c>
    </row>
    <row r="7424" spans="1:2" x14ac:dyDescent="0.35">
      <c r="A7424" s="34">
        <v>41111602</v>
      </c>
      <c r="B7424" s="35" t="s">
        <v>7943</v>
      </c>
    </row>
    <row r="7425" spans="1:2" x14ac:dyDescent="0.35">
      <c r="A7425" s="34">
        <v>41111603</v>
      </c>
      <c r="B7425" s="35" t="s">
        <v>8965</v>
      </c>
    </row>
    <row r="7426" spans="1:2" x14ac:dyDescent="0.35">
      <c r="A7426" s="34">
        <v>41111604</v>
      </c>
      <c r="B7426" s="35" t="s">
        <v>16925</v>
      </c>
    </row>
    <row r="7427" spans="1:2" x14ac:dyDescent="0.35">
      <c r="A7427" s="34">
        <v>41111605</v>
      </c>
      <c r="B7427" s="35" t="s">
        <v>9112</v>
      </c>
    </row>
    <row r="7428" spans="1:2" x14ac:dyDescent="0.35">
      <c r="A7428" s="34">
        <v>41111606</v>
      </c>
      <c r="B7428" s="35" t="s">
        <v>2239</v>
      </c>
    </row>
    <row r="7429" spans="1:2" x14ac:dyDescent="0.35">
      <c r="A7429" s="34">
        <v>41111607</v>
      </c>
      <c r="B7429" s="35" t="s">
        <v>14231</v>
      </c>
    </row>
    <row r="7430" spans="1:2" x14ac:dyDescent="0.35">
      <c r="A7430" s="34">
        <v>41111613</v>
      </c>
      <c r="B7430" s="35" t="s">
        <v>14183</v>
      </c>
    </row>
    <row r="7431" spans="1:2" x14ac:dyDescent="0.35">
      <c r="A7431" s="34">
        <v>41111614</v>
      </c>
      <c r="B7431" s="35" t="s">
        <v>4556</v>
      </c>
    </row>
    <row r="7432" spans="1:2" x14ac:dyDescent="0.35">
      <c r="A7432" s="34">
        <v>41111615</v>
      </c>
      <c r="B7432" s="35" t="s">
        <v>2229</v>
      </c>
    </row>
    <row r="7433" spans="1:2" x14ac:dyDescent="0.35">
      <c r="A7433" s="34">
        <v>41111616</v>
      </c>
      <c r="B7433" s="35" t="s">
        <v>710</v>
      </c>
    </row>
    <row r="7434" spans="1:2" x14ac:dyDescent="0.35">
      <c r="A7434" s="34">
        <v>41111617</v>
      </c>
      <c r="B7434" s="35" t="s">
        <v>8415</v>
      </c>
    </row>
    <row r="7435" spans="1:2" x14ac:dyDescent="0.35">
      <c r="A7435" s="34">
        <v>41111618</v>
      </c>
      <c r="B7435" s="35" t="s">
        <v>12616</v>
      </c>
    </row>
    <row r="7436" spans="1:2" x14ac:dyDescent="0.35">
      <c r="A7436" s="34">
        <v>41111619</v>
      </c>
      <c r="B7436" s="35" t="s">
        <v>14234</v>
      </c>
    </row>
    <row r="7437" spans="1:2" x14ac:dyDescent="0.35">
      <c r="A7437" s="34">
        <v>41111620</v>
      </c>
      <c r="B7437" s="35" t="s">
        <v>11356</v>
      </c>
    </row>
    <row r="7438" spans="1:2" x14ac:dyDescent="0.35">
      <c r="A7438" s="34">
        <v>41111621</v>
      </c>
      <c r="B7438" s="35" t="s">
        <v>19058</v>
      </c>
    </row>
    <row r="7439" spans="1:2" x14ac:dyDescent="0.35">
      <c r="A7439" s="34">
        <v>41111622</v>
      </c>
      <c r="B7439" s="35" t="s">
        <v>3462</v>
      </c>
    </row>
    <row r="7440" spans="1:2" x14ac:dyDescent="0.35">
      <c r="A7440" s="34">
        <v>41111623</v>
      </c>
      <c r="B7440" s="35" t="s">
        <v>17092</v>
      </c>
    </row>
    <row r="7441" spans="1:2" x14ac:dyDescent="0.35">
      <c r="A7441" s="34">
        <v>41111701</v>
      </c>
      <c r="B7441" s="35" t="s">
        <v>13929</v>
      </c>
    </row>
    <row r="7442" spans="1:2" x14ac:dyDescent="0.35">
      <c r="A7442" s="34">
        <v>41111702</v>
      </c>
      <c r="B7442" s="35" t="s">
        <v>8949</v>
      </c>
    </row>
    <row r="7443" spans="1:2" x14ac:dyDescent="0.35">
      <c r="A7443" s="34">
        <v>41111703</v>
      </c>
      <c r="B7443" s="35" t="s">
        <v>10975</v>
      </c>
    </row>
    <row r="7444" spans="1:2" x14ac:dyDescent="0.35">
      <c r="A7444" s="34">
        <v>41111704</v>
      </c>
      <c r="B7444" s="35" t="s">
        <v>2232</v>
      </c>
    </row>
    <row r="7445" spans="1:2" x14ac:dyDescent="0.35">
      <c r="A7445" s="34">
        <v>41111705</v>
      </c>
      <c r="B7445" s="35" t="s">
        <v>15960</v>
      </c>
    </row>
    <row r="7446" spans="1:2" x14ac:dyDescent="0.35">
      <c r="A7446" s="34">
        <v>41111706</v>
      </c>
      <c r="B7446" s="35" t="s">
        <v>1739</v>
      </c>
    </row>
    <row r="7447" spans="1:2" x14ac:dyDescent="0.35">
      <c r="A7447" s="34">
        <v>41111707</v>
      </c>
      <c r="B7447" s="35" t="s">
        <v>6014</v>
      </c>
    </row>
    <row r="7448" spans="1:2" x14ac:dyDescent="0.35">
      <c r="A7448" s="34">
        <v>41111708</v>
      </c>
      <c r="B7448" s="35" t="s">
        <v>6780</v>
      </c>
    </row>
    <row r="7449" spans="1:2" x14ac:dyDescent="0.35">
      <c r="A7449" s="34">
        <v>41111709</v>
      </c>
      <c r="B7449" s="35" t="s">
        <v>215</v>
      </c>
    </row>
    <row r="7450" spans="1:2" x14ac:dyDescent="0.35">
      <c r="A7450" s="34">
        <v>41111710</v>
      </c>
      <c r="B7450" s="35" t="s">
        <v>11408</v>
      </c>
    </row>
    <row r="7451" spans="1:2" x14ac:dyDescent="0.35">
      <c r="A7451" s="34">
        <v>41111711</v>
      </c>
      <c r="B7451" s="35" t="s">
        <v>7264</v>
      </c>
    </row>
    <row r="7452" spans="1:2" x14ac:dyDescent="0.35">
      <c r="A7452" s="34">
        <v>41111712</v>
      </c>
      <c r="B7452" s="35" t="s">
        <v>14649</v>
      </c>
    </row>
    <row r="7453" spans="1:2" x14ac:dyDescent="0.35">
      <c r="A7453" s="34">
        <v>41111713</v>
      </c>
      <c r="B7453" s="35" t="s">
        <v>7151</v>
      </c>
    </row>
    <row r="7454" spans="1:2" x14ac:dyDescent="0.35">
      <c r="A7454" s="34">
        <v>41111714</v>
      </c>
      <c r="B7454" s="35" t="s">
        <v>4836</v>
      </c>
    </row>
    <row r="7455" spans="1:2" x14ac:dyDescent="0.35">
      <c r="A7455" s="34">
        <v>41111715</v>
      </c>
      <c r="B7455" s="35" t="s">
        <v>17871</v>
      </c>
    </row>
    <row r="7456" spans="1:2" x14ac:dyDescent="0.35">
      <c r="A7456" s="34">
        <v>41111716</v>
      </c>
      <c r="B7456" s="35" t="s">
        <v>2844</v>
      </c>
    </row>
    <row r="7457" spans="1:2" x14ac:dyDescent="0.35">
      <c r="A7457" s="34">
        <v>41111717</v>
      </c>
      <c r="B7457" s="35" t="s">
        <v>17369</v>
      </c>
    </row>
    <row r="7458" spans="1:2" x14ac:dyDescent="0.35">
      <c r="A7458" s="34">
        <v>41111718</v>
      </c>
      <c r="B7458" s="35" t="s">
        <v>8239</v>
      </c>
    </row>
    <row r="7459" spans="1:2" x14ac:dyDescent="0.35">
      <c r="A7459" s="34">
        <v>41111719</v>
      </c>
      <c r="B7459" s="35" t="s">
        <v>17804</v>
      </c>
    </row>
    <row r="7460" spans="1:2" x14ac:dyDescent="0.35">
      <c r="A7460" s="34">
        <v>41111720</v>
      </c>
      <c r="B7460" s="35" t="s">
        <v>7001</v>
      </c>
    </row>
    <row r="7461" spans="1:2" x14ac:dyDescent="0.35">
      <c r="A7461" s="34">
        <v>41111721</v>
      </c>
      <c r="B7461" s="35" t="s">
        <v>16394</v>
      </c>
    </row>
    <row r="7462" spans="1:2" x14ac:dyDescent="0.35">
      <c r="A7462" s="34">
        <v>41111722</v>
      </c>
      <c r="B7462" s="35" t="s">
        <v>6281</v>
      </c>
    </row>
    <row r="7463" spans="1:2" x14ac:dyDescent="0.35">
      <c r="A7463" s="34">
        <v>41111723</v>
      </c>
      <c r="B7463" s="35" t="s">
        <v>10916</v>
      </c>
    </row>
    <row r="7464" spans="1:2" x14ac:dyDescent="0.35">
      <c r="A7464" s="34">
        <v>41111724</v>
      </c>
      <c r="B7464" s="35" t="s">
        <v>14101</v>
      </c>
    </row>
    <row r="7465" spans="1:2" x14ac:dyDescent="0.35">
      <c r="A7465" s="34">
        <v>41111725</v>
      </c>
      <c r="B7465" s="35" t="s">
        <v>18879</v>
      </c>
    </row>
    <row r="7466" spans="1:2" x14ac:dyDescent="0.35">
      <c r="A7466" s="34">
        <v>41111726</v>
      </c>
      <c r="B7466" s="35" t="s">
        <v>13323</v>
      </c>
    </row>
    <row r="7467" spans="1:2" x14ac:dyDescent="0.35">
      <c r="A7467" s="34">
        <v>41111727</v>
      </c>
      <c r="B7467" s="35" t="s">
        <v>4995</v>
      </c>
    </row>
    <row r="7468" spans="1:2" x14ac:dyDescent="0.35">
      <c r="A7468" s="34">
        <v>41111728</v>
      </c>
      <c r="B7468" s="35" t="s">
        <v>5382</v>
      </c>
    </row>
    <row r="7469" spans="1:2" x14ac:dyDescent="0.35">
      <c r="A7469" s="34">
        <v>41111729</v>
      </c>
      <c r="B7469" s="35" t="s">
        <v>18761</v>
      </c>
    </row>
    <row r="7470" spans="1:2" x14ac:dyDescent="0.35">
      <c r="A7470" s="34">
        <v>41111730</v>
      </c>
      <c r="B7470" s="35" t="s">
        <v>3437</v>
      </c>
    </row>
    <row r="7471" spans="1:2" x14ac:dyDescent="0.35">
      <c r="A7471" s="34">
        <v>41111731</v>
      </c>
      <c r="B7471" s="35" t="s">
        <v>13948</v>
      </c>
    </row>
    <row r="7472" spans="1:2" x14ac:dyDescent="0.35">
      <c r="A7472" s="34">
        <v>41111733</v>
      </c>
      <c r="B7472" s="35" t="s">
        <v>13759</v>
      </c>
    </row>
    <row r="7473" spans="1:2" x14ac:dyDescent="0.35">
      <c r="A7473" s="34">
        <v>41111734</v>
      </c>
      <c r="B7473" s="35" t="s">
        <v>6368</v>
      </c>
    </row>
    <row r="7474" spans="1:2" x14ac:dyDescent="0.35">
      <c r="A7474" s="34">
        <v>41111735</v>
      </c>
      <c r="B7474" s="35" t="s">
        <v>18180</v>
      </c>
    </row>
    <row r="7475" spans="1:2" x14ac:dyDescent="0.35">
      <c r="A7475" s="34">
        <v>41111736</v>
      </c>
      <c r="B7475" s="35" t="s">
        <v>671</v>
      </c>
    </row>
    <row r="7476" spans="1:2" x14ac:dyDescent="0.35">
      <c r="A7476" s="34">
        <v>41111737</v>
      </c>
      <c r="B7476" s="35" t="s">
        <v>10002</v>
      </c>
    </row>
    <row r="7477" spans="1:2" x14ac:dyDescent="0.35">
      <c r="A7477" s="34">
        <v>41111738</v>
      </c>
      <c r="B7477" s="35" t="s">
        <v>8059</v>
      </c>
    </row>
    <row r="7478" spans="1:2" x14ac:dyDescent="0.35">
      <c r="A7478" s="34">
        <v>41111739</v>
      </c>
      <c r="B7478" s="35" t="s">
        <v>5501</v>
      </c>
    </row>
    <row r="7479" spans="1:2" x14ac:dyDescent="0.35">
      <c r="A7479" s="34">
        <v>41111801</v>
      </c>
      <c r="B7479" s="35" t="s">
        <v>7260</v>
      </c>
    </row>
    <row r="7480" spans="1:2" x14ac:dyDescent="0.35">
      <c r="A7480" s="34">
        <v>41111802</v>
      </c>
      <c r="B7480" s="35" t="s">
        <v>44</v>
      </c>
    </row>
    <row r="7481" spans="1:2" x14ac:dyDescent="0.35">
      <c r="A7481" s="34">
        <v>41111803</v>
      </c>
      <c r="B7481" s="35" t="s">
        <v>3730</v>
      </c>
    </row>
    <row r="7482" spans="1:2" x14ac:dyDescent="0.35">
      <c r="A7482" s="34">
        <v>41111804</v>
      </c>
      <c r="B7482" s="35" t="s">
        <v>16760</v>
      </c>
    </row>
    <row r="7483" spans="1:2" x14ac:dyDescent="0.35">
      <c r="A7483" s="34">
        <v>41111805</v>
      </c>
      <c r="B7483" s="35" t="s">
        <v>6951</v>
      </c>
    </row>
    <row r="7484" spans="1:2" x14ac:dyDescent="0.35">
      <c r="A7484" s="34">
        <v>41111806</v>
      </c>
      <c r="B7484" s="35" t="s">
        <v>1818</v>
      </c>
    </row>
    <row r="7485" spans="1:2" x14ac:dyDescent="0.35">
      <c r="A7485" s="34">
        <v>41111807</v>
      </c>
      <c r="B7485" s="35" t="s">
        <v>1602</v>
      </c>
    </row>
    <row r="7486" spans="1:2" x14ac:dyDescent="0.35">
      <c r="A7486" s="34">
        <v>41111808</v>
      </c>
      <c r="B7486" s="35" t="s">
        <v>10613</v>
      </c>
    </row>
    <row r="7487" spans="1:2" x14ac:dyDescent="0.35">
      <c r="A7487" s="34">
        <v>41111809</v>
      </c>
      <c r="B7487" s="35" t="s">
        <v>15047</v>
      </c>
    </row>
    <row r="7488" spans="1:2" x14ac:dyDescent="0.35">
      <c r="A7488" s="34">
        <v>41111901</v>
      </c>
      <c r="B7488" s="35" t="s">
        <v>4857</v>
      </c>
    </row>
    <row r="7489" spans="1:2" x14ac:dyDescent="0.35">
      <c r="A7489" s="34">
        <v>41111902</v>
      </c>
      <c r="B7489" s="35" t="s">
        <v>7902</v>
      </c>
    </row>
    <row r="7490" spans="1:2" x14ac:dyDescent="0.35">
      <c r="A7490" s="34">
        <v>41111903</v>
      </c>
      <c r="B7490" s="35" t="s">
        <v>4553</v>
      </c>
    </row>
    <row r="7491" spans="1:2" x14ac:dyDescent="0.35">
      <c r="A7491" s="34">
        <v>41111904</v>
      </c>
      <c r="B7491" s="35" t="s">
        <v>14874</v>
      </c>
    </row>
    <row r="7492" spans="1:2" x14ac:dyDescent="0.35">
      <c r="A7492" s="34">
        <v>41111905</v>
      </c>
      <c r="B7492" s="35" t="s">
        <v>533</v>
      </c>
    </row>
    <row r="7493" spans="1:2" x14ac:dyDescent="0.35">
      <c r="A7493" s="34">
        <v>41111906</v>
      </c>
      <c r="B7493" s="35" t="s">
        <v>15675</v>
      </c>
    </row>
    <row r="7494" spans="1:2" x14ac:dyDescent="0.35">
      <c r="A7494" s="34">
        <v>41111907</v>
      </c>
      <c r="B7494" s="35" t="s">
        <v>6648</v>
      </c>
    </row>
    <row r="7495" spans="1:2" x14ac:dyDescent="0.35">
      <c r="A7495" s="34">
        <v>41111908</v>
      </c>
      <c r="B7495" s="35" t="s">
        <v>2310</v>
      </c>
    </row>
    <row r="7496" spans="1:2" x14ac:dyDescent="0.35">
      <c r="A7496" s="34">
        <v>41111909</v>
      </c>
      <c r="B7496" s="35" t="s">
        <v>14925</v>
      </c>
    </row>
    <row r="7497" spans="1:2" x14ac:dyDescent="0.35">
      <c r="A7497" s="34">
        <v>41111910</v>
      </c>
      <c r="B7497" s="35" t="s">
        <v>8577</v>
      </c>
    </row>
    <row r="7498" spans="1:2" x14ac:dyDescent="0.35">
      <c r="A7498" s="34">
        <v>41111911</v>
      </c>
      <c r="B7498" s="35" t="s">
        <v>15223</v>
      </c>
    </row>
    <row r="7499" spans="1:2" x14ac:dyDescent="0.35">
      <c r="A7499" s="34">
        <v>41111912</v>
      </c>
      <c r="B7499" s="35" t="s">
        <v>2828</v>
      </c>
    </row>
    <row r="7500" spans="1:2" x14ac:dyDescent="0.35">
      <c r="A7500" s="34">
        <v>41111913</v>
      </c>
      <c r="B7500" s="35" t="s">
        <v>6028</v>
      </c>
    </row>
    <row r="7501" spans="1:2" x14ac:dyDescent="0.35">
      <c r="A7501" s="34">
        <v>41111914</v>
      </c>
      <c r="B7501" s="35" t="s">
        <v>16039</v>
      </c>
    </row>
    <row r="7502" spans="1:2" x14ac:dyDescent="0.35">
      <c r="A7502" s="34">
        <v>41111915</v>
      </c>
      <c r="B7502" s="35" t="s">
        <v>16793</v>
      </c>
    </row>
    <row r="7503" spans="1:2" x14ac:dyDescent="0.35">
      <c r="A7503" s="34">
        <v>41111916</v>
      </c>
      <c r="B7503" s="35" t="s">
        <v>13616</v>
      </c>
    </row>
    <row r="7504" spans="1:2" x14ac:dyDescent="0.35">
      <c r="A7504" s="34">
        <v>41111917</v>
      </c>
      <c r="B7504" s="35" t="s">
        <v>8338</v>
      </c>
    </row>
    <row r="7505" spans="1:2" x14ac:dyDescent="0.35">
      <c r="A7505" s="34">
        <v>41111918</v>
      </c>
      <c r="B7505" s="35" t="s">
        <v>17141</v>
      </c>
    </row>
    <row r="7506" spans="1:2" x14ac:dyDescent="0.35">
      <c r="A7506" s="34">
        <v>41111919</v>
      </c>
      <c r="B7506" s="35" t="s">
        <v>7415</v>
      </c>
    </row>
    <row r="7507" spans="1:2" x14ac:dyDescent="0.35">
      <c r="A7507" s="34">
        <v>41111920</v>
      </c>
      <c r="B7507" s="35" t="s">
        <v>15550</v>
      </c>
    </row>
    <row r="7508" spans="1:2" x14ac:dyDescent="0.35">
      <c r="A7508" s="34">
        <v>41111921</v>
      </c>
      <c r="B7508" s="35" t="s">
        <v>6222</v>
      </c>
    </row>
    <row r="7509" spans="1:2" x14ac:dyDescent="0.35">
      <c r="A7509" s="34">
        <v>41111922</v>
      </c>
      <c r="B7509" s="35" t="s">
        <v>18427</v>
      </c>
    </row>
    <row r="7510" spans="1:2" x14ac:dyDescent="0.35">
      <c r="A7510" s="34">
        <v>41111923</v>
      </c>
      <c r="B7510" s="35" t="s">
        <v>11002</v>
      </c>
    </row>
    <row r="7511" spans="1:2" x14ac:dyDescent="0.35">
      <c r="A7511" s="34">
        <v>41111924</v>
      </c>
      <c r="B7511" s="35" t="s">
        <v>5631</v>
      </c>
    </row>
    <row r="7512" spans="1:2" x14ac:dyDescent="0.35">
      <c r="A7512" s="34">
        <v>41111926</v>
      </c>
      <c r="B7512" s="35" t="s">
        <v>8516</v>
      </c>
    </row>
    <row r="7513" spans="1:2" x14ac:dyDescent="0.35">
      <c r="A7513" s="34">
        <v>41111927</v>
      </c>
      <c r="B7513" s="35" t="s">
        <v>6467</v>
      </c>
    </row>
    <row r="7514" spans="1:2" x14ac:dyDescent="0.35">
      <c r="A7514" s="34">
        <v>41111928</v>
      </c>
      <c r="B7514" s="35" t="s">
        <v>4032</v>
      </c>
    </row>
    <row r="7515" spans="1:2" x14ac:dyDescent="0.35">
      <c r="A7515" s="34">
        <v>41111929</v>
      </c>
      <c r="B7515" s="35" t="s">
        <v>10408</v>
      </c>
    </row>
    <row r="7516" spans="1:2" x14ac:dyDescent="0.35">
      <c r="A7516" s="34">
        <v>41111930</v>
      </c>
      <c r="B7516" s="35" t="s">
        <v>8345</v>
      </c>
    </row>
    <row r="7517" spans="1:2" x14ac:dyDescent="0.35">
      <c r="A7517" s="34">
        <v>41111931</v>
      </c>
      <c r="B7517" s="35" t="s">
        <v>16366</v>
      </c>
    </row>
    <row r="7518" spans="1:2" x14ac:dyDescent="0.35">
      <c r="A7518" s="34">
        <v>41111932</v>
      </c>
      <c r="B7518" s="35" t="s">
        <v>4148</v>
      </c>
    </row>
    <row r="7519" spans="1:2" x14ac:dyDescent="0.35">
      <c r="A7519" s="34">
        <v>41111933</v>
      </c>
      <c r="B7519" s="35" t="s">
        <v>8043</v>
      </c>
    </row>
    <row r="7520" spans="1:2" x14ac:dyDescent="0.35">
      <c r="A7520" s="34">
        <v>41111934</v>
      </c>
      <c r="B7520" s="35" t="s">
        <v>7402</v>
      </c>
    </row>
    <row r="7521" spans="1:2" x14ac:dyDescent="0.35">
      <c r="A7521" s="34">
        <v>41111935</v>
      </c>
      <c r="B7521" s="35" t="s">
        <v>4538</v>
      </c>
    </row>
    <row r="7522" spans="1:2" x14ac:dyDescent="0.35">
      <c r="A7522" s="34">
        <v>41111936</v>
      </c>
      <c r="B7522" s="35" t="s">
        <v>18667</v>
      </c>
    </row>
    <row r="7523" spans="1:2" x14ac:dyDescent="0.35">
      <c r="A7523" s="34">
        <v>41111937</v>
      </c>
      <c r="B7523" s="35" t="s">
        <v>15365</v>
      </c>
    </row>
    <row r="7524" spans="1:2" x14ac:dyDescent="0.35">
      <c r="A7524" s="34">
        <v>41111938</v>
      </c>
      <c r="B7524" s="35" t="s">
        <v>18623</v>
      </c>
    </row>
    <row r="7525" spans="1:2" x14ac:dyDescent="0.35">
      <c r="A7525" s="34">
        <v>41111939</v>
      </c>
      <c r="B7525" s="35" t="s">
        <v>17716</v>
      </c>
    </row>
    <row r="7526" spans="1:2" x14ac:dyDescent="0.35">
      <c r="A7526" s="34">
        <v>41111940</v>
      </c>
      <c r="B7526" s="35" t="s">
        <v>19545</v>
      </c>
    </row>
    <row r="7527" spans="1:2" x14ac:dyDescent="0.35">
      <c r="A7527" s="34">
        <v>41111941</v>
      </c>
      <c r="B7527" s="35" t="s">
        <v>3336</v>
      </c>
    </row>
    <row r="7528" spans="1:2" x14ac:dyDescent="0.35">
      <c r="A7528" s="34">
        <v>41111942</v>
      </c>
      <c r="B7528" s="35" t="s">
        <v>3913</v>
      </c>
    </row>
    <row r="7529" spans="1:2" x14ac:dyDescent="0.35">
      <c r="A7529" s="34">
        <v>41111943</v>
      </c>
      <c r="B7529" s="35" t="s">
        <v>13459</v>
      </c>
    </row>
    <row r="7530" spans="1:2" x14ac:dyDescent="0.35">
      <c r="A7530" s="34">
        <v>41111944</v>
      </c>
      <c r="B7530" s="35" t="s">
        <v>5813</v>
      </c>
    </row>
    <row r="7531" spans="1:2" x14ac:dyDescent="0.35">
      <c r="A7531" s="34">
        <v>41111945</v>
      </c>
      <c r="B7531" s="35" t="s">
        <v>10747</v>
      </c>
    </row>
    <row r="7532" spans="1:2" x14ac:dyDescent="0.35">
      <c r="A7532" s="34">
        <v>41111946</v>
      </c>
      <c r="B7532" s="35" t="s">
        <v>9331</v>
      </c>
    </row>
    <row r="7533" spans="1:2" x14ac:dyDescent="0.35">
      <c r="A7533" s="34">
        <v>41111947</v>
      </c>
      <c r="B7533" s="35" t="s">
        <v>17944</v>
      </c>
    </row>
    <row r="7534" spans="1:2" x14ac:dyDescent="0.35">
      <c r="A7534" s="34">
        <v>41111948</v>
      </c>
      <c r="B7534" s="35" t="s">
        <v>9645</v>
      </c>
    </row>
    <row r="7535" spans="1:2" x14ac:dyDescent="0.35">
      <c r="A7535" s="34">
        <v>41112101</v>
      </c>
      <c r="B7535" s="35" t="s">
        <v>9829</v>
      </c>
    </row>
    <row r="7536" spans="1:2" x14ac:dyDescent="0.35">
      <c r="A7536" s="34">
        <v>41112103</v>
      </c>
      <c r="B7536" s="35" t="s">
        <v>1465</v>
      </c>
    </row>
    <row r="7537" spans="1:2" x14ac:dyDescent="0.35">
      <c r="A7537" s="34">
        <v>41112104</v>
      </c>
      <c r="B7537" s="35" t="s">
        <v>4449</v>
      </c>
    </row>
    <row r="7538" spans="1:2" x14ac:dyDescent="0.35">
      <c r="A7538" s="34">
        <v>41112105</v>
      </c>
      <c r="B7538" s="35" t="s">
        <v>4150</v>
      </c>
    </row>
    <row r="7539" spans="1:2" x14ac:dyDescent="0.35">
      <c r="A7539" s="34">
        <v>41112106</v>
      </c>
      <c r="B7539" s="35" t="s">
        <v>13937</v>
      </c>
    </row>
    <row r="7540" spans="1:2" x14ac:dyDescent="0.35">
      <c r="A7540" s="34">
        <v>41112107</v>
      </c>
      <c r="B7540" s="35" t="s">
        <v>7243</v>
      </c>
    </row>
    <row r="7541" spans="1:2" x14ac:dyDescent="0.35">
      <c r="A7541" s="34">
        <v>41112108</v>
      </c>
      <c r="B7541" s="35" t="s">
        <v>14996</v>
      </c>
    </row>
    <row r="7542" spans="1:2" x14ac:dyDescent="0.35">
      <c r="A7542" s="34">
        <v>41112201</v>
      </c>
      <c r="B7542" s="35" t="s">
        <v>2384</v>
      </c>
    </row>
    <row r="7543" spans="1:2" x14ac:dyDescent="0.35">
      <c r="A7543" s="34">
        <v>41112202</v>
      </c>
      <c r="B7543" s="35" t="s">
        <v>7396</v>
      </c>
    </row>
    <row r="7544" spans="1:2" x14ac:dyDescent="0.35">
      <c r="A7544" s="34">
        <v>41112203</v>
      </c>
      <c r="B7544" s="35" t="s">
        <v>12522</v>
      </c>
    </row>
    <row r="7545" spans="1:2" x14ac:dyDescent="0.35">
      <c r="A7545" s="34">
        <v>41112204</v>
      </c>
      <c r="B7545" s="35" t="s">
        <v>7045</v>
      </c>
    </row>
    <row r="7546" spans="1:2" x14ac:dyDescent="0.35">
      <c r="A7546" s="34">
        <v>41112205</v>
      </c>
      <c r="B7546" s="35" t="s">
        <v>5849</v>
      </c>
    </row>
    <row r="7547" spans="1:2" x14ac:dyDescent="0.35">
      <c r="A7547" s="34">
        <v>41112206</v>
      </c>
      <c r="B7547" s="35" t="s">
        <v>154</v>
      </c>
    </row>
    <row r="7548" spans="1:2" x14ac:dyDescent="0.35">
      <c r="A7548" s="34">
        <v>41112207</v>
      </c>
      <c r="B7548" s="35" t="s">
        <v>3309</v>
      </c>
    </row>
    <row r="7549" spans="1:2" x14ac:dyDescent="0.35">
      <c r="A7549" s="34">
        <v>41112209</v>
      </c>
      <c r="B7549" s="35" t="s">
        <v>3757</v>
      </c>
    </row>
    <row r="7550" spans="1:2" x14ac:dyDescent="0.35">
      <c r="A7550" s="34">
        <v>41112210</v>
      </c>
      <c r="B7550" s="35" t="s">
        <v>12793</v>
      </c>
    </row>
    <row r="7551" spans="1:2" x14ac:dyDescent="0.35">
      <c r="A7551" s="34">
        <v>41112211</v>
      </c>
      <c r="B7551" s="35" t="s">
        <v>830</v>
      </c>
    </row>
    <row r="7552" spans="1:2" x14ac:dyDescent="0.35">
      <c r="A7552" s="34">
        <v>41112212</v>
      </c>
      <c r="B7552" s="35" t="s">
        <v>9577</v>
      </c>
    </row>
    <row r="7553" spans="1:2" x14ac:dyDescent="0.35">
      <c r="A7553" s="34">
        <v>41112213</v>
      </c>
      <c r="B7553" s="35" t="s">
        <v>172</v>
      </c>
    </row>
    <row r="7554" spans="1:2" x14ac:dyDescent="0.35">
      <c r="A7554" s="34">
        <v>41112214</v>
      </c>
      <c r="B7554" s="35" t="s">
        <v>16556</v>
      </c>
    </row>
    <row r="7555" spans="1:2" x14ac:dyDescent="0.35">
      <c r="A7555" s="34">
        <v>41112215</v>
      </c>
      <c r="B7555" s="35" t="s">
        <v>3056</v>
      </c>
    </row>
    <row r="7556" spans="1:2" x14ac:dyDescent="0.35">
      <c r="A7556" s="34">
        <v>41112216</v>
      </c>
      <c r="B7556" s="35" t="s">
        <v>716</v>
      </c>
    </row>
    <row r="7557" spans="1:2" x14ac:dyDescent="0.35">
      <c r="A7557" s="34">
        <v>41112217</v>
      </c>
      <c r="B7557" s="35" t="s">
        <v>14957</v>
      </c>
    </row>
    <row r="7558" spans="1:2" x14ac:dyDescent="0.35">
      <c r="A7558" s="34">
        <v>41112218</v>
      </c>
      <c r="B7558" s="35" t="s">
        <v>15628</v>
      </c>
    </row>
    <row r="7559" spans="1:2" x14ac:dyDescent="0.35">
      <c r="A7559" s="34">
        <v>41112219</v>
      </c>
      <c r="B7559" s="35" t="s">
        <v>4109</v>
      </c>
    </row>
    <row r="7560" spans="1:2" x14ac:dyDescent="0.35">
      <c r="A7560" s="34">
        <v>41112220</v>
      </c>
      <c r="B7560" s="35" t="s">
        <v>4873</v>
      </c>
    </row>
    <row r="7561" spans="1:2" x14ac:dyDescent="0.35">
      <c r="A7561" s="34">
        <v>41112221</v>
      </c>
      <c r="B7561" s="35" t="s">
        <v>18496</v>
      </c>
    </row>
    <row r="7562" spans="1:2" x14ac:dyDescent="0.35">
      <c r="A7562" s="34">
        <v>41112301</v>
      </c>
      <c r="B7562" s="35" t="s">
        <v>958</v>
      </c>
    </row>
    <row r="7563" spans="1:2" x14ac:dyDescent="0.35">
      <c r="A7563" s="34">
        <v>41112302</v>
      </c>
      <c r="B7563" s="35" t="s">
        <v>17780</v>
      </c>
    </row>
    <row r="7564" spans="1:2" x14ac:dyDescent="0.35">
      <c r="A7564" s="34">
        <v>41112303</v>
      </c>
      <c r="B7564" s="35" t="s">
        <v>213</v>
      </c>
    </row>
    <row r="7565" spans="1:2" x14ac:dyDescent="0.35">
      <c r="A7565" s="34">
        <v>41112304</v>
      </c>
      <c r="B7565" s="35" t="s">
        <v>14230</v>
      </c>
    </row>
    <row r="7566" spans="1:2" x14ac:dyDescent="0.35">
      <c r="A7566" s="34">
        <v>41112401</v>
      </c>
      <c r="B7566" s="35" t="s">
        <v>12332</v>
      </c>
    </row>
    <row r="7567" spans="1:2" x14ac:dyDescent="0.35">
      <c r="A7567" s="34">
        <v>41112402</v>
      </c>
      <c r="B7567" s="35" t="s">
        <v>2677</v>
      </c>
    </row>
    <row r="7568" spans="1:2" x14ac:dyDescent="0.35">
      <c r="A7568" s="34">
        <v>41112403</v>
      </c>
      <c r="B7568" s="35" t="s">
        <v>18225</v>
      </c>
    </row>
    <row r="7569" spans="1:2" x14ac:dyDescent="0.35">
      <c r="A7569" s="34">
        <v>41112404</v>
      </c>
      <c r="B7569" s="35" t="s">
        <v>1876</v>
      </c>
    </row>
    <row r="7570" spans="1:2" x14ac:dyDescent="0.35">
      <c r="A7570" s="34">
        <v>41112405</v>
      </c>
      <c r="B7570" s="35" t="s">
        <v>7854</v>
      </c>
    </row>
    <row r="7571" spans="1:2" x14ac:dyDescent="0.35">
      <c r="A7571" s="34">
        <v>41112406</v>
      </c>
      <c r="B7571" s="35" t="s">
        <v>10746</v>
      </c>
    </row>
    <row r="7572" spans="1:2" x14ac:dyDescent="0.35">
      <c r="A7572" s="34">
        <v>41112407</v>
      </c>
      <c r="B7572" s="35" t="s">
        <v>5348</v>
      </c>
    </row>
    <row r="7573" spans="1:2" x14ac:dyDescent="0.35">
      <c r="A7573" s="34">
        <v>41112408</v>
      </c>
      <c r="B7573" s="35" t="s">
        <v>1052</v>
      </c>
    </row>
    <row r="7574" spans="1:2" x14ac:dyDescent="0.35">
      <c r="A7574" s="34">
        <v>41112409</v>
      </c>
      <c r="B7574" s="35" t="s">
        <v>17797</v>
      </c>
    </row>
    <row r="7575" spans="1:2" x14ac:dyDescent="0.35">
      <c r="A7575" s="34">
        <v>41112410</v>
      </c>
      <c r="B7575" s="35" t="s">
        <v>8760</v>
      </c>
    </row>
    <row r="7576" spans="1:2" x14ac:dyDescent="0.35">
      <c r="A7576" s="34">
        <v>41112411</v>
      </c>
      <c r="B7576" s="35" t="s">
        <v>6888</v>
      </c>
    </row>
    <row r="7577" spans="1:2" x14ac:dyDescent="0.35">
      <c r="A7577" s="34">
        <v>41112501</v>
      </c>
      <c r="B7577" s="35" t="s">
        <v>6997</v>
      </c>
    </row>
    <row r="7578" spans="1:2" x14ac:dyDescent="0.35">
      <c r="A7578" s="34">
        <v>41112502</v>
      </c>
      <c r="B7578" s="35" t="s">
        <v>3556</v>
      </c>
    </row>
    <row r="7579" spans="1:2" x14ac:dyDescent="0.35">
      <c r="A7579" s="34">
        <v>41112503</v>
      </c>
      <c r="B7579" s="35" t="s">
        <v>11271</v>
      </c>
    </row>
    <row r="7580" spans="1:2" x14ac:dyDescent="0.35">
      <c r="A7580" s="34">
        <v>41112504</v>
      </c>
      <c r="B7580" s="35" t="s">
        <v>5959</v>
      </c>
    </row>
    <row r="7581" spans="1:2" x14ac:dyDescent="0.35">
      <c r="A7581" s="34">
        <v>41112505</v>
      </c>
      <c r="B7581" s="35" t="s">
        <v>15841</v>
      </c>
    </row>
    <row r="7582" spans="1:2" x14ac:dyDescent="0.35">
      <c r="A7582" s="34">
        <v>41112506</v>
      </c>
      <c r="B7582" s="35" t="s">
        <v>14586</v>
      </c>
    </row>
    <row r="7583" spans="1:2" x14ac:dyDescent="0.35">
      <c r="A7583" s="34">
        <v>41112508</v>
      </c>
      <c r="B7583" s="35" t="s">
        <v>18769</v>
      </c>
    </row>
    <row r="7584" spans="1:2" x14ac:dyDescent="0.35">
      <c r="A7584" s="34">
        <v>41112509</v>
      </c>
      <c r="B7584" s="35" t="s">
        <v>3003</v>
      </c>
    </row>
    <row r="7585" spans="1:2" x14ac:dyDescent="0.35">
      <c r="A7585" s="34">
        <v>41112510</v>
      </c>
      <c r="B7585" s="35" t="s">
        <v>19435</v>
      </c>
    </row>
    <row r="7586" spans="1:2" x14ac:dyDescent="0.35">
      <c r="A7586" s="34">
        <v>41112511</v>
      </c>
      <c r="B7586" s="35" t="s">
        <v>517</v>
      </c>
    </row>
    <row r="7587" spans="1:2" x14ac:dyDescent="0.35">
      <c r="A7587" s="34">
        <v>41112512</v>
      </c>
      <c r="B7587" s="35" t="s">
        <v>14413</v>
      </c>
    </row>
    <row r="7588" spans="1:2" x14ac:dyDescent="0.35">
      <c r="A7588" s="34">
        <v>41112513</v>
      </c>
      <c r="B7588" s="35" t="s">
        <v>1187</v>
      </c>
    </row>
    <row r="7589" spans="1:2" x14ac:dyDescent="0.35">
      <c r="A7589" s="34">
        <v>41112514</v>
      </c>
      <c r="B7589" s="35" t="s">
        <v>597</v>
      </c>
    </row>
    <row r="7590" spans="1:2" x14ac:dyDescent="0.35">
      <c r="A7590" s="34">
        <v>41112516</v>
      </c>
      <c r="B7590" s="35" t="s">
        <v>16959</v>
      </c>
    </row>
    <row r="7591" spans="1:2" x14ac:dyDescent="0.35">
      <c r="A7591" s="34">
        <v>41112601</v>
      </c>
      <c r="B7591" s="35" t="s">
        <v>18186</v>
      </c>
    </row>
    <row r="7592" spans="1:2" x14ac:dyDescent="0.35">
      <c r="A7592" s="34">
        <v>41112602</v>
      </c>
      <c r="B7592" s="35" t="s">
        <v>66</v>
      </c>
    </row>
    <row r="7593" spans="1:2" x14ac:dyDescent="0.35">
      <c r="A7593" s="34">
        <v>41112701</v>
      </c>
      <c r="B7593" s="35" t="s">
        <v>12961</v>
      </c>
    </row>
    <row r="7594" spans="1:2" x14ac:dyDescent="0.35">
      <c r="A7594" s="34">
        <v>41112702</v>
      </c>
      <c r="B7594" s="35" t="s">
        <v>15862</v>
      </c>
    </row>
    <row r="7595" spans="1:2" x14ac:dyDescent="0.35">
      <c r="A7595" s="34">
        <v>41112704</v>
      </c>
      <c r="B7595" s="35" t="s">
        <v>14651</v>
      </c>
    </row>
    <row r="7596" spans="1:2" x14ac:dyDescent="0.35">
      <c r="A7596" s="34">
        <v>41112801</v>
      </c>
      <c r="B7596" s="35" t="s">
        <v>15544</v>
      </c>
    </row>
    <row r="7597" spans="1:2" x14ac:dyDescent="0.35">
      <c r="A7597" s="34">
        <v>41112802</v>
      </c>
      <c r="B7597" s="35" t="s">
        <v>3084</v>
      </c>
    </row>
    <row r="7598" spans="1:2" x14ac:dyDescent="0.35">
      <c r="A7598" s="34">
        <v>41112803</v>
      </c>
      <c r="B7598" s="35" t="s">
        <v>18093</v>
      </c>
    </row>
    <row r="7599" spans="1:2" x14ac:dyDescent="0.35">
      <c r="A7599" s="34">
        <v>41112901</v>
      </c>
      <c r="B7599" s="35" t="s">
        <v>13859</v>
      </c>
    </row>
    <row r="7600" spans="1:2" x14ac:dyDescent="0.35">
      <c r="A7600" s="34">
        <v>41112902</v>
      </c>
      <c r="B7600" s="35" t="s">
        <v>11272</v>
      </c>
    </row>
    <row r="7601" spans="1:2" x14ac:dyDescent="0.35">
      <c r="A7601" s="34">
        <v>41112903</v>
      </c>
      <c r="B7601" s="35" t="s">
        <v>1527</v>
      </c>
    </row>
    <row r="7602" spans="1:2" x14ac:dyDescent="0.35">
      <c r="A7602" s="34">
        <v>41112904</v>
      </c>
      <c r="B7602" s="35" t="s">
        <v>13027</v>
      </c>
    </row>
    <row r="7603" spans="1:2" x14ac:dyDescent="0.35">
      <c r="A7603" s="34">
        <v>41113001</v>
      </c>
      <c r="B7603" s="35" t="s">
        <v>14185</v>
      </c>
    </row>
    <row r="7604" spans="1:2" x14ac:dyDescent="0.35">
      <c r="A7604" s="34">
        <v>41113002</v>
      </c>
      <c r="B7604" s="35" t="s">
        <v>2313</v>
      </c>
    </row>
    <row r="7605" spans="1:2" x14ac:dyDescent="0.35">
      <c r="A7605" s="34">
        <v>41113003</v>
      </c>
      <c r="B7605" s="35" t="s">
        <v>6343</v>
      </c>
    </row>
    <row r="7606" spans="1:2" x14ac:dyDescent="0.35">
      <c r="A7606" s="34">
        <v>41113004</v>
      </c>
      <c r="B7606" s="35" t="s">
        <v>12122</v>
      </c>
    </row>
    <row r="7607" spans="1:2" x14ac:dyDescent="0.35">
      <c r="A7607" s="34">
        <v>41113005</v>
      </c>
      <c r="B7607" s="35" t="s">
        <v>2321</v>
      </c>
    </row>
    <row r="7608" spans="1:2" x14ac:dyDescent="0.35">
      <c r="A7608" s="34">
        <v>41113006</v>
      </c>
      <c r="B7608" s="35" t="s">
        <v>9998</v>
      </c>
    </row>
    <row r="7609" spans="1:2" x14ac:dyDescent="0.35">
      <c r="A7609" s="34">
        <v>41113007</v>
      </c>
      <c r="B7609" s="35" t="s">
        <v>9469</v>
      </c>
    </row>
    <row r="7610" spans="1:2" x14ac:dyDescent="0.35">
      <c r="A7610" s="34">
        <v>41113008</v>
      </c>
      <c r="B7610" s="35" t="s">
        <v>15182</v>
      </c>
    </row>
    <row r="7611" spans="1:2" x14ac:dyDescent="0.35">
      <c r="A7611" s="34">
        <v>41113009</v>
      </c>
      <c r="B7611" s="35" t="s">
        <v>15859</v>
      </c>
    </row>
    <row r="7612" spans="1:2" x14ac:dyDescent="0.35">
      <c r="A7612" s="34">
        <v>41113010</v>
      </c>
      <c r="B7612" s="35" t="s">
        <v>18515</v>
      </c>
    </row>
    <row r="7613" spans="1:2" x14ac:dyDescent="0.35">
      <c r="A7613" s="34">
        <v>41113023</v>
      </c>
      <c r="B7613" s="35" t="s">
        <v>11442</v>
      </c>
    </row>
    <row r="7614" spans="1:2" x14ac:dyDescent="0.35">
      <c r="A7614" s="34">
        <v>41113024</v>
      </c>
      <c r="B7614" s="35" t="s">
        <v>11790</v>
      </c>
    </row>
    <row r="7615" spans="1:2" x14ac:dyDescent="0.35">
      <c r="A7615" s="34">
        <v>41113025</v>
      </c>
      <c r="B7615" s="35" t="s">
        <v>8650</v>
      </c>
    </row>
    <row r="7616" spans="1:2" x14ac:dyDescent="0.35">
      <c r="A7616" s="34">
        <v>41113026</v>
      </c>
      <c r="B7616" s="35" t="s">
        <v>2245</v>
      </c>
    </row>
    <row r="7617" spans="1:2" x14ac:dyDescent="0.35">
      <c r="A7617" s="34">
        <v>41113027</v>
      </c>
      <c r="B7617" s="35" t="s">
        <v>13739</v>
      </c>
    </row>
    <row r="7618" spans="1:2" x14ac:dyDescent="0.35">
      <c r="A7618" s="34">
        <v>41113029</v>
      </c>
      <c r="B7618" s="35" t="s">
        <v>16242</v>
      </c>
    </row>
    <row r="7619" spans="1:2" x14ac:dyDescent="0.35">
      <c r="A7619" s="34">
        <v>41113030</v>
      </c>
      <c r="B7619" s="35" t="s">
        <v>19440</v>
      </c>
    </row>
    <row r="7620" spans="1:2" x14ac:dyDescent="0.35">
      <c r="A7620" s="34">
        <v>41113031</v>
      </c>
      <c r="B7620" s="35" t="s">
        <v>17366</v>
      </c>
    </row>
    <row r="7621" spans="1:2" x14ac:dyDescent="0.35">
      <c r="A7621" s="34">
        <v>41113033</v>
      </c>
      <c r="B7621" s="35" t="s">
        <v>15585</v>
      </c>
    </row>
    <row r="7622" spans="1:2" x14ac:dyDescent="0.35">
      <c r="A7622" s="34">
        <v>41113034</v>
      </c>
      <c r="B7622" s="35" t="s">
        <v>19209</v>
      </c>
    </row>
    <row r="7623" spans="1:2" x14ac:dyDescent="0.35">
      <c r="A7623" s="34">
        <v>41113035</v>
      </c>
      <c r="B7623" s="35" t="s">
        <v>12206</v>
      </c>
    </row>
    <row r="7624" spans="1:2" x14ac:dyDescent="0.35">
      <c r="A7624" s="34">
        <v>41113036</v>
      </c>
      <c r="B7624" s="35" t="s">
        <v>17153</v>
      </c>
    </row>
    <row r="7625" spans="1:2" x14ac:dyDescent="0.35">
      <c r="A7625" s="34">
        <v>41113037</v>
      </c>
      <c r="B7625" s="35" t="s">
        <v>8605</v>
      </c>
    </row>
    <row r="7626" spans="1:2" x14ac:dyDescent="0.35">
      <c r="A7626" s="34">
        <v>41113101</v>
      </c>
      <c r="B7626" s="35" t="s">
        <v>4385</v>
      </c>
    </row>
    <row r="7627" spans="1:2" x14ac:dyDescent="0.35">
      <c r="A7627" s="34">
        <v>41113102</v>
      </c>
      <c r="B7627" s="35" t="s">
        <v>730</v>
      </c>
    </row>
    <row r="7628" spans="1:2" x14ac:dyDescent="0.35">
      <c r="A7628" s="34">
        <v>41113103</v>
      </c>
      <c r="B7628" s="35" t="s">
        <v>13782</v>
      </c>
    </row>
    <row r="7629" spans="1:2" x14ac:dyDescent="0.35">
      <c r="A7629" s="34">
        <v>41113104</v>
      </c>
      <c r="B7629" s="35" t="s">
        <v>7356</v>
      </c>
    </row>
    <row r="7630" spans="1:2" x14ac:dyDescent="0.35">
      <c r="A7630" s="34">
        <v>41113105</v>
      </c>
      <c r="B7630" s="35" t="s">
        <v>1795</v>
      </c>
    </row>
    <row r="7631" spans="1:2" x14ac:dyDescent="0.35">
      <c r="A7631" s="34">
        <v>41113106</v>
      </c>
      <c r="B7631" s="35" t="s">
        <v>6431</v>
      </c>
    </row>
    <row r="7632" spans="1:2" x14ac:dyDescent="0.35">
      <c r="A7632" s="34">
        <v>41113107</v>
      </c>
      <c r="B7632" s="35" t="s">
        <v>17010</v>
      </c>
    </row>
    <row r="7633" spans="1:2" x14ac:dyDescent="0.35">
      <c r="A7633" s="34">
        <v>41113108</v>
      </c>
      <c r="B7633" s="35" t="s">
        <v>7636</v>
      </c>
    </row>
    <row r="7634" spans="1:2" x14ac:dyDescent="0.35">
      <c r="A7634" s="34">
        <v>41113109</v>
      </c>
      <c r="B7634" s="35" t="s">
        <v>13489</v>
      </c>
    </row>
    <row r="7635" spans="1:2" x14ac:dyDescent="0.35">
      <c r="A7635" s="34">
        <v>41113110</v>
      </c>
      <c r="B7635" s="35" t="s">
        <v>5586</v>
      </c>
    </row>
    <row r="7636" spans="1:2" x14ac:dyDescent="0.35">
      <c r="A7636" s="34">
        <v>41113111</v>
      </c>
      <c r="B7636" s="35" t="s">
        <v>11513</v>
      </c>
    </row>
    <row r="7637" spans="1:2" x14ac:dyDescent="0.35">
      <c r="A7637" s="34">
        <v>41113112</v>
      </c>
      <c r="B7637" s="35" t="s">
        <v>13779</v>
      </c>
    </row>
    <row r="7638" spans="1:2" x14ac:dyDescent="0.35">
      <c r="A7638" s="34">
        <v>41113113</v>
      </c>
      <c r="B7638" s="35" t="s">
        <v>16480</v>
      </c>
    </row>
    <row r="7639" spans="1:2" x14ac:dyDescent="0.35">
      <c r="A7639" s="34">
        <v>41113114</v>
      </c>
      <c r="B7639" s="35" t="s">
        <v>18728</v>
      </c>
    </row>
    <row r="7640" spans="1:2" x14ac:dyDescent="0.35">
      <c r="A7640" s="34">
        <v>41113115</v>
      </c>
      <c r="B7640" s="35" t="s">
        <v>14110</v>
      </c>
    </row>
    <row r="7641" spans="1:2" x14ac:dyDescent="0.35">
      <c r="A7641" s="34">
        <v>41113116</v>
      </c>
      <c r="B7641" s="35" t="s">
        <v>6675</v>
      </c>
    </row>
    <row r="7642" spans="1:2" x14ac:dyDescent="0.35">
      <c r="A7642" s="34">
        <v>41113117</v>
      </c>
      <c r="B7642" s="35" t="s">
        <v>4532</v>
      </c>
    </row>
    <row r="7643" spans="1:2" x14ac:dyDescent="0.35">
      <c r="A7643" s="34">
        <v>41113118</v>
      </c>
      <c r="B7643" s="35" t="s">
        <v>7635</v>
      </c>
    </row>
    <row r="7644" spans="1:2" x14ac:dyDescent="0.35">
      <c r="A7644" s="34">
        <v>41113119</v>
      </c>
      <c r="B7644" s="35" t="s">
        <v>524</v>
      </c>
    </row>
    <row r="7645" spans="1:2" x14ac:dyDescent="0.35">
      <c r="A7645" s="34">
        <v>41113301</v>
      </c>
      <c r="B7645" s="35" t="s">
        <v>10612</v>
      </c>
    </row>
    <row r="7646" spans="1:2" x14ac:dyDescent="0.35">
      <c r="A7646" s="34">
        <v>41113302</v>
      </c>
      <c r="B7646" s="35" t="s">
        <v>8876</v>
      </c>
    </row>
    <row r="7647" spans="1:2" x14ac:dyDescent="0.35">
      <c r="A7647" s="34">
        <v>41113304</v>
      </c>
      <c r="B7647" s="35" t="s">
        <v>15054</v>
      </c>
    </row>
    <row r="7648" spans="1:2" x14ac:dyDescent="0.35">
      <c r="A7648" s="34">
        <v>41113305</v>
      </c>
      <c r="B7648" s="35" t="s">
        <v>10123</v>
      </c>
    </row>
    <row r="7649" spans="1:2" x14ac:dyDescent="0.35">
      <c r="A7649" s="34">
        <v>41113306</v>
      </c>
      <c r="B7649" s="35" t="s">
        <v>5358</v>
      </c>
    </row>
    <row r="7650" spans="1:2" x14ac:dyDescent="0.35">
      <c r="A7650" s="34">
        <v>41113308</v>
      </c>
      <c r="B7650" s="35" t="s">
        <v>3569</v>
      </c>
    </row>
    <row r="7651" spans="1:2" x14ac:dyDescent="0.35">
      <c r="A7651" s="34">
        <v>41113309</v>
      </c>
      <c r="B7651" s="35" t="s">
        <v>17751</v>
      </c>
    </row>
    <row r="7652" spans="1:2" x14ac:dyDescent="0.35">
      <c r="A7652" s="34">
        <v>41113310</v>
      </c>
      <c r="B7652" s="35" t="s">
        <v>10306</v>
      </c>
    </row>
    <row r="7653" spans="1:2" x14ac:dyDescent="0.35">
      <c r="A7653" s="34">
        <v>41113311</v>
      </c>
      <c r="B7653" s="35" t="s">
        <v>17353</v>
      </c>
    </row>
    <row r="7654" spans="1:2" x14ac:dyDescent="0.35">
      <c r="A7654" s="34">
        <v>41113312</v>
      </c>
      <c r="B7654" s="35" t="s">
        <v>12831</v>
      </c>
    </row>
    <row r="7655" spans="1:2" x14ac:dyDescent="0.35">
      <c r="A7655" s="34">
        <v>41113313</v>
      </c>
      <c r="B7655" s="35" t="s">
        <v>6484</v>
      </c>
    </row>
    <row r="7656" spans="1:2" x14ac:dyDescent="0.35">
      <c r="A7656" s="34">
        <v>41113314</v>
      </c>
      <c r="B7656" s="35" t="s">
        <v>4613</v>
      </c>
    </row>
    <row r="7657" spans="1:2" x14ac:dyDescent="0.35">
      <c r="A7657" s="34">
        <v>41113315</v>
      </c>
      <c r="B7657" s="35" t="s">
        <v>7434</v>
      </c>
    </row>
    <row r="7658" spans="1:2" x14ac:dyDescent="0.35">
      <c r="A7658" s="34">
        <v>41113316</v>
      </c>
      <c r="B7658" s="35" t="s">
        <v>17737</v>
      </c>
    </row>
    <row r="7659" spans="1:2" x14ac:dyDescent="0.35">
      <c r="A7659" s="34">
        <v>41113318</v>
      </c>
      <c r="B7659" s="35" t="s">
        <v>14904</v>
      </c>
    </row>
    <row r="7660" spans="1:2" x14ac:dyDescent="0.35">
      <c r="A7660" s="34">
        <v>41113319</v>
      </c>
      <c r="B7660" s="35" t="s">
        <v>4979</v>
      </c>
    </row>
    <row r="7661" spans="1:2" x14ac:dyDescent="0.35">
      <c r="A7661" s="34">
        <v>41113320</v>
      </c>
      <c r="B7661" s="35" t="s">
        <v>4519</v>
      </c>
    </row>
    <row r="7662" spans="1:2" x14ac:dyDescent="0.35">
      <c r="A7662" s="34">
        <v>41113321</v>
      </c>
      <c r="B7662" s="35" t="s">
        <v>4233</v>
      </c>
    </row>
    <row r="7663" spans="1:2" x14ac:dyDescent="0.35">
      <c r="A7663" s="34">
        <v>41113322</v>
      </c>
      <c r="B7663" s="35" t="s">
        <v>1005</v>
      </c>
    </row>
    <row r="7664" spans="1:2" x14ac:dyDescent="0.35">
      <c r="A7664" s="34">
        <v>41113323</v>
      </c>
      <c r="B7664" s="35" t="s">
        <v>7204</v>
      </c>
    </row>
    <row r="7665" spans="1:2" x14ac:dyDescent="0.35">
      <c r="A7665" s="34">
        <v>41113401</v>
      </c>
      <c r="B7665" s="35" t="s">
        <v>1949</v>
      </c>
    </row>
    <row r="7666" spans="1:2" x14ac:dyDescent="0.35">
      <c r="A7666" s="34">
        <v>41113402</v>
      </c>
      <c r="B7666" s="35" t="s">
        <v>17792</v>
      </c>
    </row>
    <row r="7667" spans="1:2" x14ac:dyDescent="0.35">
      <c r="A7667" s="34">
        <v>41113403</v>
      </c>
      <c r="B7667" s="35" t="s">
        <v>11768</v>
      </c>
    </row>
    <row r="7668" spans="1:2" x14ac:dyDescent="0.35">
      <c r="A7668" s="34">
        <v>41113404</v>
      </c>
      <c r="B7668" s="35" t="s">
        <v>7145</v>
      </c>
    </row>
    <row r="7669" spans="1:2" x14ac:dyDescent="0.35">
      <c r="A7669" s="34">
        <v>41113405</v>
      </c>
      <c r="B7669" s="35" t="s">
        <v>19403</v>
      </c>
    </row>
    <row r="7670" spans="1:2" x14ac:dyDescent="0.35">
      <c r="A7670" s="34">
        <v>41113406</v>
      </c>
      <c r="B7670" s="35" t="s">
        <v>1962</v>
      </c>
    </row>
    <row r="7671" spans="1:2" x14ac:dyDescent="0.35">
      <c r="A7671" s="34">
        <v>41113407</v>
      </c>
      <c r="B7671" s="35" t="s">
        <v>5683</v>
      </c>
    </row>
    <row r="7672" spans="1:2" x14ac:dyDescent="0.35">
      <c r="A7672" s="34">
        <v>41113601</v>
      </c>
      <c r="B7672" s="35" t="s">
        <v>16169</v>
      </c>
    </row>
    <row r="7673" spans="1:2" x14ac:dyDescent="0.35">
      <c r="A7673" s="34">
        <v>41113602</v>
      </c>
      <c r="B7673" s="35" t="s">
        <v>6860</v>
      </c>
    </row>
    <row r="7674" spans="1:2" x14ac:dyDescent="0.35">
      <c r="A7674" s="34">
        <v>41113603</v>
      </c>
      <c r="B7674" s="35" t="s">
        <v>7328</v>
      </c>
    </row>
    <row r="7675" spans="1:2" x14ac:dyDescent="0.35">
      <c r="A7675" s="34">
        <v>41113604</v>
      </c>
      <c r="B7675" s="35" t="s">
        <v>14194</v>
      </c>
    </row>
    <row r="7676" spans="1:2" x14ac:dyDescent="0.35">
      <c r="A7676" s="34">
        <v>41113605</v>
      </c>
      <c r="B7676" s="35" t="s">
        <v>6221</v>
      </c>
    </row>
    <row r="7677" spans="1:2" x14ac:dyDescent="0.35">
      <c r="A7677" s="34">
        <v>41113606</v>
      </c>
      <c r="B7677" s="35" t="s">
        <v>816</v>
      </c>
    </row>
    <row r="7678" spans="1:2" x14ac:dyDescent="0.35">
      <c r="A7678" s="34">
        <v>41113607</v>
      </c>
      <c r="B7678" s="35" t="s">
        <v>6057</v>
      </c>
    </row>
    <row r="7679" spans="1:2" x14ac:dyDescent="0.35">
      <c r="A7679" s="34">
        <v>41113608</v>
      </c>
      <c r="B7679" s="35" t="s">
        <v>10845</v>
      </c>
    </row>
    <row r="7680" spans="1:2" x14ac:dyDescent="0.35">
      <c r="A7680" s="34">
        <v>41113611</v>
      </c>
      <c r="B7680" s="35" t="s">
        <v>13004</v>
      </c>
    </row>
    <row r="7681" spans="1:2" x14ac:dyDescent="0.35">
      <c r="A7681" s="34">
        <v>41113612</v>
      </c>
      <c r="B7681" s="35" t="s">
        <v>9797</v>
      </c>
    </row>
    <row r="7682" spans="1:2" x14ac:dyDescent="0.35">
      <c r="A7682" s="34">
        <v>41113613</v>
      </c>
      <c r="B7682" s="35" t="s">
        <v>927</v>
      </c>
    </row>
    <row r="7683" spans="1:2" x14ac:dyDescent="0.35">
      <c r="A7683" s="34">
        <v>41113614</v>
      </c>
      <c r="B7683" s="35" t="s">
        <v>14711</v>
      </c>
    </row>
    <row r="7684" spans="1:2" x14ac:dyDescent="0.35">
      <c r="A7684" s="34">
        <v>41113615</v>
      </c>
      <c r="B7684" s="35" t="s">
        <v>3170</v>
      </c>
    </row>
    <row r="7685" spans="1:2" x14ac:dyDescent="0.35">
      <c r="A7685" s="34">
        <v>41113616</v>
      </c>
      <c r="B7685" s="35" t="s">
        <v>8474</v>
      </c>
    </row>
    <row r="7686" spans="1:2" x14ac:dyDescent="0.35">
      <c r="A7686" s="34">
        <v>41113617</v>
      </c>
      <c r="B7686" s="35" t="s">
        <v>8110</v>
      </c>
    </row>
    <row r="7687" spans="1:2" x14ac:dyDescent="0.35">
      <c r="A7687" s="34">
        <v>41113618</v>
      </c>
      <c r="B7687" s="35" t="s">
        <v>14795</v>
      </c>
    </row>
    <row r="7688" spans="1:2" x14ac:dyDescent="0.35">
      <c r="A7688" s="34">
        <v>41113619</v>
      </c>
      <c r="B7688" s="35" t="s">
        <v>468</v>
      </c>
    </row>
    <row r="7689" spans="1:2" x14ac:dyDescent="0.35">
      <c r="A7689" s="34">
        <v>41113620</v>
      </c>
      <c r="B7689" s="35" t="s">
        <v>9938</v>
      </c>
    </row>
    <row r="7690" spans="1:2" x14ac:dyDescent="0.35">
      <c r="A7690" s="34">
        <v>41113621</v>
      </c>
      <c r="B7690" s="35" t="s">
        <v>4863</v>
      </c>
    </row>
    <row r="7691" spans="1:2" x14ac:dyDescent="0.35">
      <c r="A7691" s="34">
        <v>41113622</v>
      </c>
      <c r="B7691" s="35" t="s">
        <v>17132</v>
      </c>
    </row>
    <row r="7692" spans="1:2" x14ac:dyDescent="0.35">
      <c r="A7692" s="34">
        <v>41113623</v>
      </c>
      <c r="B7692" s="35" t="s">
        <v>17890</v>
      </c>
    </row>
    <row r="7693" spans="1:2" x14ac:dyDescent="0.35">
      <c r="A7693" s="34">
        <v>41113624</v>
      </c>
      <c r="B7693" s="35" t="s">
        <v>10739</v>
      </c>
    </row>
    <row r="7694" spans="1:2" x14ac:dyDescent="0.35">
      <c r="A7694" s="34">
        <v>41113625</v>
      </c>
      <c r="B7694" s="35" t="s">
        <v>17403</v>
      </c>
    </row>
    <row r="7695" spans="1:2" x14ac:dyDescent="0.35">
      <c r="A7695" s="34">
        <v>41113626</v>
      </c>
      <c r="B7695" s="35" t="s">
        <v>10297</v>
      </c>
    </row>
    <row r="7696" spans="1:2" x14ac:dyDescent="0.35">
      <c r="A7696" s="34">
        <v>41113627</v>
      </c>
      <c r="B7696" s="35" t="s">
        <v>7289</v>
      </c>
    </row>
    <row r="7697" spans="1:2" x14ac:dyDescent="0.35">
      <c r="A7697" s="34">
        <v>41113628</v>
      </c>
      <c r="B7697" s="35" t="s">
        <v>10639</v>
      </c>
    </row>
    <row r="7698" spans="1:2" x14ac:dyDescent="0.35">
      <c r="A7698" s="34">
        <v>41113629</v>
      </c>
      <c r="B7698" s="35" t="s">
        <v>3452</v>
      </c>
    </row>
    <row r="7699" spans="1:2" x14ac:dyDescent="0.35">
      <c r="A7699" s="34">
        <v>41113630</v>
      </c>
      <c r="B7699" s="35" t="s">
        <v>3989</v>
      </c>
    </row>
    <row r="7700" spans="1:2" x14ac:dyDescent="0.35">
      <c r="A7700" s="34">
        <v>41113631</v>
      </c>
      <c r="B7700" s="35" t="s">
        <v>11429</v>
      </c>
    </row>
    <row r="7701" spans="1:2" x14ac:dyDescent="0.35">
      <c r="A7701" s="34">
        <v>41113632</v>
      </c>
      <c r="B7701" s="35" t="s">
        <v>15113</v>
      </c>
    </row>
    <row r="7702" spans="1:2" x14ac:dyDescent="0.35">
      <c r="A7702" s="34">
        <v>41113633</v>
      </c>
      <c r="B7702" s="35" t="s">
        <v>1125</v>
      </c>
    </row>
    <row r="7703" spans="1:2" x14ac:dyDescent="0.35">
      <c r="A7703" s="34">
        <v>41113634</v>
      </c>
      <c r="B7703" s="35" t="s">
        <v>17094</v>
      </c>
    </row>
    <row r="7704" spans="1:2" x14ac:dyDescent="0.35">
      <c r="A7704" s="34">
        <v>41113635</v>
      </c>
      <c r="B7704" s="35" t="s">
        <v>19466</v>
      </c>
    </row>
    <row r="7705" spans="1:2" x14ac:dyDescent="0.35">
      <c r="A7705" s="34">
        <v>41113636</v>
      </c>
      <c r="B7705" s="35" t="s">
        <v>11866</v>
      </c>
    </row>
    <row r="7706" spans="1:2" x14ac:dyDescent="0.35">
      <c r="A7706" s="34">
        <v>41113637</v>
      </c>
      <c r="B7706" s="35" t="s">
        <v>6004</v>
      </c>
    </row>
    <row r="7707" spans="1:2" x14ac:dyDescent="0.35">
      <c r="A7707" s="34">
        <v>41113638</v>
      </c>
      <c r="B7707" s="35" t="s">
        <v>19013</v>
      </c>
    </row>
    <row r="7708" spans="1:2" x14ac:dyDescent="0.35">
      <c r="A7708" s="34">
        <v>41113639</v>
      </c>
      <c r="B7708" s="35" t="s">
        <v>5942</v>
      </c>
    </row>
    <row r="7709" spans="1:2" x14ac:dyDescent="0.35">
      <c r="A7709" s="34">
        <v>41113640</v>
      </c>
      <c r="B7709" s="35" t="s">
        <v>10717</v>
      </c>
    </row>
    <row r="7710" spans="1:2" x14ac:dyDescent="0.35">
      <c r="A7710" s="34">
        <v>41113641</v>
      </c>
      <c r="B7710" s="35" t="s">
        <v>14820</v>
      </c>
    </row>
    <row r="7711" spans="1:2" x14ac:dyDescent="0.35">
      <c r="A7711" s="34">
        <v>41113642</v>
      </c>
      <c r="B7711" s="35" t="s">
        <v>1530</v>
      </c>
    </row>
    <row r="7712" spans="1:2" x14ac:dyDescent="0.35">
      <c r="A7712" s="34">
        <v>41113643</v>
      </c>
      <c r="B7712" s="35" t="s">
        <v>3994</v>
      </c>
    </row>
    <row r="7713" spans="1:2" x14ac:dyDescent="0.35">
      <c r="A7713" s="34">
        <v>41113644</v>
      </c>
      <c r="B7713" s="35" t="s">
        <v>17949</v>
      </c>
    </row>
    <row r="7714" spans="1:2" x14ac:dyDescent="0.35">
      <c r="A7714" s="34">
        <v>41113645</v>
      </c>
      <c r="B7714" s="35" t="s">
        <v>5485</v>
      </c>
    </row>
    <row r="7715" spans="1:2" x14ac:dyDescent="0.35">
      <c r="A7715" s="34">
        <v>41113646</v>
      </c>
      <c r="B7715" s="35" t="s">
        <v>14159</v>
      </c>
    </row>
    <row r="7716" spans="1:2" x14ac:dyDescent="0.35">
      <c r="A7716" s="34">
        <v>41113647</v>
      </c>
      <c r="B7716" s="35" t="s">
        <v>11797</v>
      </c>
    </row>
    <row r="7717" spans="1:2" x14ac:dyDescent="0.35">
      <c r="A7717" s="34">
        <v>41113648</v>
      </c>
      <c r="B7717" s="35" t="s">
        <v>15011</v>
      </c>
    </row>
    <row r="7718" spans="1:2" x14ac:dyDescent="0.35">
      <c r="A7718" s="34">
        <v>41113701</v>
      </c>
      <c r="B7718" s="35" t="s">
        <v>1095</v>
      </c>
    </row>
    <row r="7719" spans="1:2" x14ac:dyDescent="0.35">
      <c r="A7719" s="34">
        <v>41113702</v>
      </c>
      <c r="B7719" s="35" t="s">
        <v>16359</v>
      </c>
    </row>
    <row r="7720" spans="1:2" x14ac:dyDescent="0.35">
      <c r="A7720" s="34">
        <v>41113703</v>
      </c>
      <c r="B7720" s="35" t="s">
        <v>9410</v>
      </c>
    </row>
    <row r="7721" spans="1:2" x14ac:dyDescent="0.35">
      <c r="A7721" s="34">
        <v>41113704</v>
      </c>
      <c r="B7721" s="35" t="s">
        <v>10409</v>
      </c>
    </row>
    <row r="7722" spans="1:2" x14ac:dyDescent="0.35">
      <c r="A7722" s="34">
        <v>41113705</v>
      </c>
      <c r="B7722" s="35" t="s">
        <v>8389</v>
      </c>
    </row>
    <row r="7723" spans="1:2" x14ac:dyDescent="0.35">
      <c r="A7723" s="34">
        <v>41113706</v>
      </c>
      <c r="B7723" s="35" t="s">
        <v>1110</v>
      </c>
    </row>
    <row r="7724" spans="1:2" x14ac:dyDescent="0.35">
      <c r="A7724" s="34">
        <v>41113707</v>
      </c>
      <c r="B7724" s="35" t="s">
        <v>19638</v>
      </c>
    </row>
    <row r="7725" spans="1:2" x14ac:dyDescent="0.35">
      <c r="A7725" s="34">
        <v>41113708</v>
      </c>
      <c r="B7725" s="35" t="s">
        <v>11592</v>
      </c>
    </row>
    <row r="7726" spans="1:2" x14ac:dyDescent="0.35">
      <c r="A7726" s="34">
        <v>41113709</v>
      </c>
      <c r="B7726" s="35" t="s">
        <v>1922</v>
      </c>
    </row>
    <row r="7727" spans="1:2" x14ac:dyDescent="0.35">
      <c r="A7727" s="34">
        <v>41113710</v>
      </c>
      <c r="B7727" s="35" t="s">
        <v>15068</v>
      </c>
    </row>
    <row r="7728" spans="1:2" x14ac:dyDescent="0.35">
      <c r="A7728" s="34">
        <v>41113711</v>
      </c>
      <c r="B7728" s="35" t="s">
        <v>12144</v>
      </c>
    </row>
    <row r="7729" spans="1:2" x14ac:dyDescent="0.35">
      <c r="A7729" s="34">
        <v>41113712</v>
      </c>
      <c r="B7729" s="35" t="s">
        <v>17926</v>
      </c>
    </row>
    <row r="7730" spans="1:2" x14ac:dyDescent="0.35">
      <c r="A7730" s="34">
        <v>41113713</v>
      </c>
      <c r="B7730" s="35" t="s">
        <v>11821</v>
      </c>
    </row>
    <row r="7731" spans="1:2" x14ac:dyDescent="0.35">
      <c r="A7731" s="34">
        <v>41113714</v>
      </c>
      <c r="B7731" s="35" t="s">
        <v>5156</v>
      </c>
    </row>
    <row r="7732" spans="1:2" x14ac:dyDescent="0.35">
      <c r="A7732" s="34">
        <v>41113715</v>
      </c>
      <c r="B7732" s="35" t="s">
        <v>1444</v>
      </c>
    </row>
    <row r="7733" spans="1:2" x14ac:dyDescent="0.35">
      <c r="A7733" s="34">
        <v>41113716</v>
      </c>
      <c r="B7733" s="35" t="s">
        <v>18136</v>
      </c>
    </row>
    <row r="7734" spans="1:2" x14ac:dyDescent="0.35">
      <c r="A7734" s="34">
        <v>41113717</v>
      </c>
      <c r="B7734" s="35" t="s">
        <v>10040</v>
      </c>
    </row>
    <row r="7735" spans="1:2" x14ac:dyDescent="0.35">
      <c r="A7735" s="34">
        <v>41113718</v>
      </c>
      <c r="B7735" s="35" t="s">
        <v>683</v>
      </c>
    </row>
    <row r="7736" spans="1:2" x14ac:dyDescent="0.35">
      <c r="A7736" s="34">
        <v>41113801</v>
      </c>
      <c r="B7736" s="35" t="s">
        <v>706</v>
      </c>
    </row>
    <row r="7737" spans="1:2" x14ac:dyDescent="0.35">
      <c r="A7737" s="34">
        <v>41113802</v>
      </c>
      <c r="B7737" s="35" t="s">
        <v>4992</v>
      </c>
    </row>
    <row r="7738" spans="1:2" x14ac:dyDescent="0.35">
      <c r="A7738" s="34">
        <v>41113803</v>
      </c>
      <c r="B7738" s="35" t="s">
        <v>1167</v>
      </c>
    </row>
    <row r="7739" spans="1:2" x14ac:dyDescent="0.35">
      <c r="A7739" s="34">
        <v>41113804</v>
      </c>
      <c r="B7739" s="35" t="s">
        <v>7009</v>
      </c>
    </row>
    <row r="7740" spans="1:2" x14ac:dyDescent="0.35">
      <c r="A7740" s="34">
        <v>41113805</v>
      </c>
      <c r="B7740" s="35" t="s">
        <v>4824</v>
      </c>
    </row>
    <row r="7741" spans="1:2" x14ac:dyDescent="0.35">
      <c r="A7741" s="34">
        <v>41113806</v>
      </c>
      <c r="B7741" s="35" t="s">
        <v>9513</v>
      </c>
    </row>
    <row r="7742" spans="1:2" x14ac:dyDescent="0.35">
      <c r="A7742" s="34">
        <v>41113807</v>
      </c>
      <c r="B7742" s="35" t="s">
        <v>10694</v>
      </c>
    </row>
    <row r="7743" spans="1:2" x14ac:dyDescent="0.35">
      <c r="A7743" s="34">
        <v>41113808</v>
      </c>
      <c r="B7743" s="35" t="s">
        <v>14977</v>
      </c>
    </row>
    <row r="7744" spans="1:2" x14ac:dyDescent="0.35">
      <c r="A7744" s="34">
        <v>41113809</v>
      </c>
      <c r="B7744" s="35" t="s">
        <v>14044</v>
      </c>
    </row>
    <row r="7745" spans="1:2" x14ac:dyDescent="0.35">
      <c r="A7745" s="34">
        <v>41113901</v>
      </c>
      <c r="B7745" s="35" t="s">
        <v>11292</v>
      </c>
    </row>
    <row r="7746" spans="1:2" x14ac:dyDescent="0.35">
      <c r="A7746" s="34">
        <v>41113902</v>
      </c>
      <c r="B7746" s="35" t="s">
        <v>9586</v>
      </c>
    </row>
    <row r="7747" spans="1:2" x14ac:dyDescent="0.35">
      <c r="A7747" s="34">
        <v>41113903</v>
      </c>
      <c r="B7747" s="35" t="s">
        <v>5755</v>
      </c>
    </row>
    <row r="7748" spans="1:2" x14ac:dyDescent="0.35">
      <c r="A7748" s="34">
        <v>41113904</v>
      </c>
      <c r="B7748" s="35" t="s">
        <v>6086</v>
      </c>
    </row>
    <row r="7749" spans="1:2" x14ac:dyDescent="0.35">
      <c r="A7749" s="34">
        <v>41113905</v>
      </c>
      <c r="B7749" s="35" t="s">
        <v>18437</v>
      </c>
    </row>
    <row r="7750" spans="1:2" x14ac:dyDescent="0.35">
      <c r="A7750" s="34">
        <v>41113906</v>
      </c>
      <c r="B7750" s="35" t="s">
        <v>9482</v>
      </c>
    </row>
    <row r="7751" spans="1:2" x14ac:dyDescent="0.35">
      <c r="A7751" s="34">
        <v>41113907</v>
      </c>
      <c r="B7751" s="35" t="s">
        <v>3028</v>
      </c>
    </row>
    <row r="7752" spans="1:2" x14ac:dyDescent="0.35">
      <c r="A7752" s="34">
        <v>41113908</v>
      </c>
      <c r="B7752" s="35" t="s">
        <v>18476</v>
      </c>
    </row>
    <row r="7753" spans="1:2" x14ac:dyDescent="0.35">
      <c r="A7753" s="34">
        <v>41113909</v>
      </c>
      <c r="B7753" s="35" t="s">
        <v>7789</v>
      </c>
    </row>
    <row r="7754" spans="1:2" x14ac:dyDescent="0.35">
      <c r="A7754" s="34">
        <v>41113910</v>
      </c>
      <c r="B7754" s="35" t="s">
        <v>13900</v>
      </c>
    </row>
    <row r="7755" spans="1:2" x14ac:dyDescent="0.35">
      <c r="A7755" s="34">
        <v>41114001</v>
      </c>
      <c r="B7755" s="35" t="s">
        <v>10994</v>
      </c>
    </row>
    <row r="7756" spans="1:2" x14ac:dyDescent="0.35">
      <c r="A7756" s="34">
        <v>41114102</v>
      </c>
      <c r="B7756" s="35" t="s">
        <v>4888</v>
      </c>
    </row>
    <row r="7757" spans="1:2" x14ac:dyDescent="0.35">
      <c r="A7757" s="34">
        <v>41114103</v>
      </c>
      <c r="B7757" s="35" t="s">
        <v>14756</v>
      </c>
    </row>
    <row r="7758" spans="1:2" x14ac:dyDescent="0.35">
      <c r="A7758" s="34">
        <v>41114104</v>
      </c>
      <c r="B7758" s="35" t="s">
        <v>8570</v>
      </c>
    </row>
    <row r="7759" spans="1:2" x14ac:dyDescent="0.35">
      <c r="A7759" s="34">
        <v>41114105</v>
      </c>
      <c r="B7759" s="35" t="s">
        <v>6196</v>
      </c>
    </row>
    <row r="7760" spans="1:2" x14ac:dyDescent="0.35">
      <c r="A7760" s="34">
        <v>41114106</v>
      </c>
      <c r="B7760" s="35" t="s">
        <v>15249</v>
      </c>
    </row>
    <row r="7761" spans="1:2" x14ac:dyDescent="0.35">
      <c r="A7761" s="34">
        <v>41114107</v>
      </c>
      <c r="B7761" s="35" t="s">
        <v>3230</v>
      </c>
    </row>
    <row r="7762" spans="1:2" x14ac:dyDescent="0.35">
      <c r="A7762" s="34">
        <v>41114108</v>
      </c>
      <c r="B7762" s="35" t="s">
        <v>18104</v>
      </c>
    </row>
    <row r="7763" spans="1:2" x14ac:dyDescent="0.35">
      <c r="A7763" s="34">
        <v>41114201</v>
      </c>
      <c r="B7763" s="35" t="s">
        <v>8667</v>
      </c>
    </row>
    <row r="7764" spans="1:2" x14ac:dyDescent="0.35">
      <c r="A7764" s="34">
        <v>41114202</v>
      </c>
      <c r="B7764" s="35" t="s">
        <v>19020</v>
      </c>
    </row>
    <row r="7765" spans="1:2" x14ac:dyDescent="0.35">
      <c r="A7765" s="34">
        <v>41114203</v>
      </c>
      <c r="B7765" s="35" t="s">
        <v>2628</v>
      </c>
    </row>
    <row r="7766" spans="1:2" x14ac:dyDescent="0.35">
      <c r="A7766" s="34">
        <v>41114204</v>
      </c>
      <c r="B7766" s="35" t="s">
        <v>3210</v>
      </c>
    </row>
    <row r="7767" spans="1:2" x14ac:dyDescent="0.35">
      <c r="A7767" s="34">
        <v>41114205</v>
      </c>
      <c r="B7767" s="35" t="s">
        <v>8982</v>
      </c>
    </row>
    <row r="7768" spans="1:2" x14ac:dyDescent="0.35">
      <c r="A7768" s="34">
        <v>41114206</v>
      </c>
      <c r="B7768" s="35" t="s">
        <v>12145</v>
      </c>
    </row>
    <row r="7769" spans="1:2" x14ac:dyDescent="0.35">
      <c r="A7769" s="34">
        <v>41114207</v>
      </c>
      <c r="B7769" s="35" t="s">
        <v>17632</v>
      </c>
    </row>
    <row r="7770" spans="1:2" x14ac:dyDescent="0.35">
      <c r="A7770" s="34">
        <v>41114301</v>
      </c>
      <c r="B7770" s="35" t="s">
        <v>4403</v>
      </c>
    </row>
    <row r="7771" spans="1:2" x14ac:dyDescent="0.35">
      <c r="A7771" s="34">
        <v>41114302</v>
      </c>
      <c r="B7771" s="35" t="s">
        <v>18195</v>
      </c>
    </row>
    <row r="7772" spans="1:2" x14ac:dyDescent="0.35">
      <c r="A7772" s="34">
        <v>41114303</v>
      </c>
      <c r="B7772" s="35" t="s">
        <v>16248</v>
      </c>
    </row>
    <row r="7773" spans="1:2" x14ac:dyDescent="0.35">
      <c r="A7773" s="34">
        <v>41114401</v>
      </c>
      <c r="B7773" s="35" t="s">
        <v>11473</v>
      </c>
    </row>
    <row r="7774" spans="1:2" x14ac:dyDescent="0.35">
      <c r="A7774" s="34">
        <v>41114402</v>
      </c>
      <c r="B7774" s="35" t="s">
        <v>15466</v>
      </c>
    </row>
    <row r="7775" spans="1:2" x14ac:dyDescent="0.35">
      <c r="A7775" s="34">
        <v>41114403</v>
      </c>
      <c r="B7775" s="35" t="s">
        <v>16308</v>
      </c>
    </row>
    <row r="7776" spans="1:2" x14ac:dyDescent="0.35">
      <c r="A7776" s="34">
        <v>41114404</v>
      </c>
      <c r="B7776" s="35" t="s">
        <v>234</v>
      </c>
    </row>
    <row r="7777" spans="1:2" x14ac:dyDescent="0.35">
      <c r="A7777" s="34">
        <v>41114405</v>
      </c>
      <c r="B7777" s="35" t="s">
        <v>9588</v>
      </c>
    </row>
    <row r="7778" spans="1:2" x14ac:dyDescent="0.35">
      <c r="A7778" s="34">
        <v>41114406</v>
      </c>
      <c r="B7778" s="35" t="s">
        <v>16875</v>
      </c>
    </row>
    <row r="7779" spans="1:2" x14ac:dyDescent="0.35">
      <c r="A7779" s="34">
        <v>41114407</v>
      </c>
      <c r="B7779" s="35" t="s">
        <v>13087</v>
      </c>
    </row>
    <row r="7780" spans="1:2" x14ac:dyDescent="0.35">
      <c r="A7780" s="34">
        <v>41114408</v>
      </c>
      <c r="B7780" s="35" t="s">
        <v>16172</v>
      </c>
    </row>
    <row r="7781" spans="1:2" x14ac:dyDescent="0.35">
      <c r="A7781" s="34">
        <v>41114409</v>
      </c>
      <c r="B7781" s="35" t="s">
        <v>1680</v>
      </c>
    </row>
    <row r="7782" spans="1:2" x14ac:dyDescent="0.35">
      <c r="A7782" s="34">
        <v>41114410</v>
      </c>
      <c r="B7782" s="35" t="s">
        <v>2627</v>
      </c>
    </row>
    <row r="7783" spans="1:2" x14ac:dyDescent="0.35">
      <c r="A7783" s="34">
        <v>41114411</v>
      </c>
      <c r="B7783" s="35" t="s">
        <v>9226</v>
      </c>
    </row>
    <row r="7784" spans="1:2" x14ac:dyDescent="0.35">
      <c r="A7784" s="34">
        <v>41114501</v>
      </c>
      <c r="B7784" s="35" t="s">
        <v>14326</v>
      </c>
    </row>
    <row r="7785" spans="1:2" x14ac:dyDescent="0.35">
      <c r="A7785" s="34">
        <v>41114502</v>
      </c>
      <c r="B7785" s="35" t="s">
        <v>17665</v>
      </c>
    </row>
    <row r="7786" spans="1:2" x14ac:dyDescent="0.35">
      <c r="A7786" s="34">
        <v>41114503</v>
      </c>
      <c r="B7786" s="35" t="s">
        <v>1806</v>
      </c>
    </row>
    <row r="7787" spans="1:2" x14ac:dyDescent="0.35">
      <c r="A7787" s="34">
        <v>41114504</v>
      </c>
      <c r="B7787" s="35" t="s">
        <v>16677</v>
      </c>
    </row>
    <row r="7788" spans="1:2" x14ac:dyDescent="0.35">
      <c r="A7788" s="34">
        <v>41114505</v>
      </c>
      <c r="B7788" s="35" t="s">
        <v>12386</v>
      </c>
    </row>
    <row r="7789" spans="1:2" x14ac:dyDescent="0.35">
      <c r="A7789" s="34">
        <v>41114506</v>
      </c>
      <c r="B7789" s="35" t="s">
        <v>4910</v>
      </c>
    </row>
    <row r="7790" spans="1:2" x14ac:dyDescent="0.35">
      <c r="A7790" s="34">
        <v>41114507</v>
      </c>
      <c r="B7790" s="35" t="s">
        <v>19605</v>
      </c>
    </row>
    <row r="7791" spans="1:2" x14ac:dyDescent="0.35">
      <c r="A7791" s="34">
        <v>41114508</v>
      </c>
      <c r="B7791" s="35" t="s">
        <v>8462</v>
      </c>
    </row>
    <row r="7792" spans="1:2" x14ac:dyDescent="0.35">
      <c r="A7792" s="34">
        <v>41114509</v>
      </c>
      <c r="B7792" s="35" t="s">
        <v>6428</v>
      </c>
    </row>
    <row r="7793" spans="1:2" x14ac:dyDescent="0.35">
      <c r="A7793" s="34">
        <v>41114510</v>
      </c>
      <c r="B7793" s="35" t="s">
        <v>7455</v>
      </c>
    </row>
    <row r="7794" spans="1:2" x14ac:dyDescent="0.35">
      <c r="A7794" s="34">
        <v>41114601</v>
      </c>
      <c r="B7794" s="35" t="s">
        <v>796</v>
      </c>
    </row>
    <row r="7795" spans="1:2" x14ac:dyDescent="0.35">
      <c r="A7795" s="34">
        <v>41114602</v>
      </c>
      <c r="B7795" s="35" t="s">
        <v>10841</v>
      </c>
    </row>
    <row r="7796" spans="1:2" x14ac:dyDescent="0.35">
      <c r="A7796" s="34">
        <v>41114603</v>
      </c>
      <c r="B7796" s="35" t="s">
        <v>4559</v>
      </c>
    </row>
    <row r="7797" spans="1:2" x14ac:dyDescent="0.35">
      <c r="A7797" s="34">
        <v>41114604</v>
      </c>
      <c r="B7797" s="35" t="s">
        <v>12138</v>
      </c>
    </row>
    <row r="7798" spans="1:2" x14ac:dyDescent="0.35">
      <c r="A7798" s="34">
        <v>41114605</v>
      </c>
      <c r="B7798" s="35" t="s">
        <v>6138</v>
      </c>
    </row>
    <row r="7799" spans="1:2" x14ac:dyDescent="0.35">
      <c r="A7799" s="34">
        <v>41114606</v>
      </c>
      <c r="B7799" s="35" t="s">
        <v>1694</v>
      </c>
    </row>
    <row r="7800" spans="1:2" x14ac:dyDescent="0.35">
      <c r="A7800" s="34">
        <v>41114607</v>
      </c>
      <c r="B7800" s="35" t="s">
        <v>9600</v>
      </c>
    </row>
    <row r="7801" spans="1:2" x14ac:dyDescent="0.35">
      <c r="A7801" s="34">
        <v>41114608</v>
      </c>
      <c r="B7801" s="35" t="s">
        <v>12326</v>
      </c>
    </row>
    <row r="7802" spans="1:2" x14ac:dyDescent="0.35">
      <c r="A7802" s="34">
        <v>41114609</v>
      </c>
      <c r="B7802" s="35" t="s">
        <v>5893</v>
      </c>
    </row>
    <row r="7803" spans="1:2" x14ac:dyDescent="0.35">
      <c r="A7803" s="34">
        <v>41114610</v>
      </c>
      <c r="B7803" s="35" t="s">
        <v>10970</v>
      </c>
    </row>
    <row r="7804" spans="1:2" x14ac:dyDescent="0.35">
      <c r="A7804" s="34">
        <v>41114611</v>
      </c>
      <c r="B7804" s="35" t="s">
        <v>11945</v>
      </c>
    </row>
    <row r="7805" spans="1:2" x14ac:dyDescent="0.35">
      <c r="A7805" s="34">
        <v>41114612</v>
      </c>
      <c r="B7805" s="35" t="s">
        <v>17488</v>
      </c>
    </row>
    <row r="7806" spans="1:2" x14ac:dyDescent="0.35">
      <c r="A7806" s="34">
        <v>41114613</v>
      </c>
      <c r="B7806" s="35" t="s">
        <v>2531</v>
      </c>
    </row>
    <row r="7807" spans="1:2" x14ac:dyDescent="0.35">
      <c r="A7807" s="34">
        <v>41114614</v>
      </c>
      <c r="B7807" s="35" t="s">
        <v>5918</v>
      </c>
    </row>
    <row r="7808" spans="1:2" x14ac:dyDescent="0.35">
      <c r="A7808" s="34">
        <v>41114615</v>
      </c>
      <c r="B7808" s="35" t="s">
        <v>15459</v>
      </c>
    </row>
    <row r="7809" spans="1:2" x14ac:dyDescent="0.35">
      <c r="A7809" s="34">
        <v>41114616</v>
      </c>
      <c r="B7809" s="35" t="s">
        <v>8924</v>
      </c>
    </row>
    <row r="7810" spans="1:2" x14ac:dyDescent="0.35">
      <c r="A7810" s="34">
        <v>41114617</v>
      </c>
      <c r="B7810" s="35" t="s">
        <v>5915</v>
      </c>
    </row>
    <row r="7811" spans="1:2" x14ac:dyDescent="0.35">
      <c r="A7811" s="34">
        <v>41114618</v>
      </c>
      <c r="B7811" s="35" t="s">
        <v>12015</v>
      </c>
    </row>
    <row r="7812" spans="1:2" x14ac:dyDescent="0.35">
      <c r="A7812" s="34">
        <v>41114619</v>
      </c>
      <c r="B7812" s="35" t="s">
        <v>17500</v>
      </c>
    </row>
    <row r="7813" spans="1:2" x14ac:dyDescent="0.35">
      <c r="A7813" s="34">
        <v>41114620</v>
      </c>
      <c r="B7813" s="35" t="s">
        <v>18152</v>
      </c>
    </row>
    <row r="7814" spans="1:2" x14ac:dyDescent="0.35">
      <c r="A7814" s="34">
        <v>41114621</v>
      </c>
      <c r="B7814" s="35" t="s">
        <v>4683</v>
      </c>
    </row>
    <row r="7815" spans="1:2" x14ac:dyDescent="0.35">
      <c r="A7815" s="34">
        <v>41114622</v>
      </c>
      <c r="B7815" s="35" t="s">
        <v>1257</v>
      </c>
    </row>
    <row r="7816" spans="1:2" x14ac:dyDescent="0.35">
      <c r="A7816" s="34">
        <v>41114623</v>
      </c>
      <c r="B7816" s="35" t="s">
        <v>18494</v>
      </c>
    </row>
    <row r="7817" spans="1:2" x14ac:dyDescent="0.35">
      <c r="A7817" s="34">
        <v>41114624</v>
      </c>
      <c r="B7817" s="35" t="s">
        <v>10819</v>
      </c>
    </row>
    <row r="7818" spans="1:2" x14ac:dyDescent="0.35">
      <c r="A7818" s="34">
        <v>41114625</v>
      </c>
      <c r="B7818" s="35" t="s">
        <v>10317</v>
      </c>
    </row>
    <row r="7819" spans="1:2" x14ac:dyDescent="0.35">
      <c r="A7819" s="34">
        <v>41114626</v>
      </c>
      <c r="B7819" s="35" t="s">
        <v>18634</v>
      </c>
    </row>
    <row r="7820" spans="1:2" x14ac:dyDescent="0.35">
      <c r="A7820" s="34">
        <v>41114701</v>
      </c>
      <c r="B7820" s="35" t="s">
        <v>19125</v>
      </c>
    </row>
    <row r="7821" spans="1:2" x14ac:dyDescent="0.35">
      <c r="A7821" s="34">
        <v>41114702</v>
      </c>
      <c r="B7821" s="35" t="s">
        <v>19201</v>
      </c>
    </row>
    <row r="7822" spans="1:2" x14ac:dyDescent="0.35">
      <c r="A7822" s="34">
        <v>41114703</v>
      </c>
      <c r="B7822" s="35" t="s">
        <v>18977</v>
      </c>
    </row>
    <row r="7823" spans="1:2" x14ac:dyDescent="0.35">
      <c r="A7823" s="34">
        <v>41114704</v>
      </c>
      <c r="B7823" s="35" t="s">
        <v>18012</v>
      </c>
    </row>
    <row r="7824" spans="1:2" x14ac:dyDescent="0.35">
      <c r="A7824" s="34">
        <v>41114705</v>
      </c>
      <c r="B7824" s="35" t="s">
        <v>2849</v>
      </c>
    </row>
    <row r="7825" spans="1:2" x14ac:dyDescent="0.35">
      <c r="A7825" s="34">
        <v>41114706</v>
      </c>
      <c r="B7825" s="35" t="s">
        <v>2447</v>
      </c>
    </row>
    <row r="7826" spans="1:2" x14ac:dyDescent="0.35">
      <c r="A7826" s="34">
        <v>41114801</v>
      </c>
      <c r="B7826" s="35" t="s">
        <v>19438</v>
      </c>
    </row>
    <row r="7827" spans="1:2" x14ac:dyDescent="0.35">
      <c r="A7827" s="34">
        <v>41114802</v>
      </c>
      <c r="B7827" s="35" t="s">
        <v>1014</v>
      </c>
    </row>
    <row r="7828" spans="1:2" x14ac:dyDescent="0.35">
      <c r="A7828" s="34">
        <v>41114803</v>
      </c>
      <c r="B7828" s="35" t="s">
        <v>15613</v>
      </c>
    </row>
    <row r="7829" spans="1:2" x14ac:dyDescent="0.35">
      <c r="A7829" s="34">
        <v>41115101</v>
      </c>
      <c r="B7829" s="35" t="s">
        <v>10644</v>
      </c>
    </row>
    <row r="7830" spans="1:2" x14ac:dyDescent="0.35">
      <c r="A7830" s="34">
        <v>41115201</v>
      </c>
      <c r="B7830" s="35" t="s">
        <v>4204</v>
      </c>
    </row>
    <row r="7831" spans="1:2" x14ac:dyDescent="0.35">
      <c r="A7831" s="34">
        <v>41115202</v>
      </c>
      <c r="B7831" s="35" t="s">
        <v>903</v>
      </c>
    </row>
    <row r="7832" spans="1:2" x14ac:dyDescent="0.35">
      <c r="A7832" s="34">
        <v>41115301</v>
      </c>
      <c r="B7832" s="35" t="s">
        <v>9996</v>
      </c>
    </row>
    <row r="7833" spans="1:2" x14ac:dyDescent="0.35">
      <c r="A7833" s="34">
        <v>41115302</v>
      </c>
      <c r="B7833" s="35" t="s">
        <v>13573</v>
      </c>
    </row>
    <row r="7834" spans="1:2" x14ac:dyDescent="0.35">
      <c r="A7834" s="34">
        <v>41115303</v>
      </c>
      <c r="B7834" s="35" t="s">
        <v>2189</v>
      </c>
    </row>
    <row r="7835" spans="1:2" x14ac:dyDescent="0.35">
      <c r="A7835" s="34">
        <v>41115304</v>
      </c>
      <c r="B7835" s="35" t="s">
        <v>19388</v>
      </c>
    </row>
    <row r="7836" spans="1:2" x14ac:dyDescent="0.35">
      <c r="A7836" s="34">
        <v>41115305</v>
      </c>
      <c r="B7836" s="35" t="s">
        <v>18271</v>
      </c>
    </row>
    <row r="7837" spans="1:2" x14ac:dyDescent="0.35">
      <c r="A7837" s="34">
        <v>41115306</v>
      </c>
      <c r="B7837" s="35" t="s">
        <v>5004</v>
      </c>
    </row>
    <row r="7838" spans="1:2" x14ac:dyDescent="0.35">
      <c r="A7838" s="34">
        <v>41115307</v>
      </c>
      <c r="B7838" s="35" t="s">
        <v>12268</v>
      </c>
    </row>
    <row r="7839" spans="1:2" x14ac:dyDescent="0.35">
      <c r="A7839" s="34">
        <v>41115308</v>
      </c>
      <c r="B7839" s="35" t="s">
        <v>5892</v>
      </c>
    </row>
    <row r="7840" spans="1:2" x14ac:dyDescent="0.35">
      <c r="A7840" s="34">
        <v>41115309</v>
      </c>
      <c r="B7840" s="35" t="s">
        <v>12316</v>
      </c>
    </row>
    <row r="7841" spans="1:2" x14ac:dyDescent="0.35">
      <c r="A7841" s="34">
        <v>41115310</v>
      </c>
      <c r="B7841" s="35" t="s">
        <v>7127</v>
      </c>
    </row>
    <row r="7842" spans="1:2" x14ac:dyDescent="0.35">
      <c r="A7842" s="34">
        <v>41115311</v>
      </c>
      <c r="B7842" s="35" t="s">
        <v>14595</v>
      </c>
    </row>
    <row r="7843" spans="1:2" x14ac:dyDescent="0.35">
      <c r="A7843" s="34">
        <v>41115312</v>
      </c>
      <c r="B7843" s="35" t="s">
        <v>15500</v>
      </c>
    </row>
    <row r="7844" spans="1:2" x14ac:dyDescent="0.35">
      <c r="A7844" s="34">
        <v>41115313</v>
      </c>
      <c r="B7844" s="35" t="s">
        <v>1179</v>
      </c>
    </row>
    <row r="7845" spans="1:2" x14ac:dyDescent="0.35">
      <c r="A7845" s="34">
        <v>41115314</v>
      </c>
      <c r="B7845" s="35" t="s">
        <v>2958</v>
      </c>
    </row>
    <row r="7846" spans="1:2" x14ac:dyDescent="0.35">
      <c r="A7846" s="34">
        <v>41115315</v>
      </c>
      <c r="B7846" s="35" t="s">
        <v>15138</v>
      </c>
    </row>
    <row r="7847" spans="1:2" x14ac:dyDescent="0.35">
      <c r="A7847" s="34">
        <v>41115316</v>
      </c>
      <c r="B7847" s="35" t="s">
        <v>11519</v>
      </c>
    </row>
    <row r="7848" spans="1:2" x14ac:dyDescent="0.35">
      <c r="A7848" s="34">
        <v>41115317</v>
      </c>
      <c r="B7848" s="35" t="s">
        <v>9510</v>
      </c>
    </row>
    <row r="7849" spans="1:2" x14ac:dyDescent="0.35">
      <c r="A7849" s="34">
        <v>41115318</v>
      </c>
      <c r="B7849" s="35" t="s">
        <v>11771</v>
      </c>
    </row>
    <row r="7850" spans="1:2" x14ac:dyDescent="0.35">
      <c r="A7850" s="34">
        <v>41115319</v>
      </c>
      <c r="B7850" s="35" t="s">
        <v>2402</v>
      </c>
    </row>
    <row r="7851" spans="1:2" x14ac:dyDescent="0.35">
      <c r="A7851" s="34">
        <v>41115320</v>
      </c>
      <c r="B7851" s="35" t="s">
        <v>2356</v>
      </c>
    </row>
    <row r="7852" spans="1:2" x14ac:dyDescent="0.35">
      <c r="A7852" s="34">
        <v>41115321</v>
      </c>
      <c r="B7852" s="35" t="s">
        <v>2146</v>
      </c>
    </row>
    <row r="7853" spans="1:2" x14ac:dyDescent="0.35">
      <c r="A7853" s="34">
        <v>41115322</v>
      </c>
      <c r="B7853" s="35" t="s">
        <v>11701</v>
      </c>
    </row>
    <row r="7854" spans="1:2" x14ac:dyDescent="0.35">
      <c r="A7854" s="34">
        <v>41115401</v>
      </c>
      <c r="B7854" s="35" t="s">
        <v>16526</v>
      </c>
    </row>
    <row r="7855" spans="1:2" x14ac:dyDescent="0.35">
      <c r="A7855" s="34">
        <v>41115402</v>
      </c>
      <c r="B7855" s="35" t="s">
        <v>16032</v>
      </c>
    </row>
    <row r="7856" spans="1:2" x14ac:dyDescent="0.35">
      <c r="A7856" s="34">
        <v>41115403</v>
      </c>
      <c r="B7856" s="35" t="s">
        <v>18950</v>
      </c>
    </row>
    <row r="7857" spans="1:2" x14ac:dyDescent="0.35">
      <c r="A7857" s="34">
        <v>41115404</v>
      </c>
      <c r="B7857" s="35" t="s">
        <v>19190</v>
      </c>
    </row>
    <row r="7858" spans="1:2" x14ac:dyDescent="0.35">
      <c r="A7858" s="34">
        <v>41115405</v>
      </c>
      <c r="B7858" s="35" t="s">
        <v>15312</v>
      </c>
    </row>
    <row r="7859" spans="1:2" x14ac:dyDescent="0.35">
      <c r="A7859" s="34">
        <v>41115406</v>
      </c>
      <c r="B7859" s="35" t="s">
        <v>4845</v>
      </c>
    </row>
    <row r="7860" spans="1:2" x14ac:dyDescent="0.35">
      <c r="A7860" s="34">
        <v>41115407</v>
      </c>
      <c r="B7860" s="35" t="s">
        <v>4170</v>
      </c>
    </row>
    <row r="7861" spans="1:2" x14ac:dyDescent="0.35">
      <c r="A7861" s="34">
        <v>41115408</v>
      </c>
      <c r="B7861" s="35" t="s">
        <v>18665</v>
      </c>
    </row>
    <row r="7862" spans="1:2" x14ac:dyDescent="0.35">
      <c r="A7862" s="34">
        <v>41115409</v>
      </c>
      <c r="B7862" s="35" t="s">
        <v>1587</v>
      </c>
    </row>
    <row r="7863" spans="1:2" x14ac:dyDescent="0.35">
      <c r="A7863" s="34">
        <v>41115410</v>
      </c>
      <c r="B7863" s="35" t="s">
        <v>12557</v>
      </c>
    </row>
    <row r="7864" spans="1:2" x14ac:dyDescent="0.35">
      <c r="A7864" s="34">
        <v>41115411</v>
      </c>
      <c r="B7864" s="35" t="s">
        <v>18896</v>
      </c>
    </row>
    <row r="7865" spans="1:2" x14ac:dyDescent="0.35">
      <c r="A7865" s="34">
        <v>41115501</v>
      </c>
      <c r="B7865" s="35" t="s">
        <v>12200</v>
      </c>
    </row>
    <row r="7866" spans="1:2" x14ac:dyDescent="0.35">
      <c r="A7866" s="34">
        <v>41115502</v>
      </c>
      <c r="B7866" s="35" t="s">
        <v>10346</v>
      </c>
    </row>
    <row r="7867" spans="1:2" x14ac:dyDescent="0.35">
      <c r="A7867" s="34">
        <v>41115503</v>
      </c>
      <c r="B7867" s="35" t="s">
        <v>18460</v>
      </c>
    </row>
    <row r="7868" spans="1:2" x14ac:dyDescent="0.35">
      <c r="A7868" s="34">
        <v>41115504</v>
      </c>
      <c r="B7868" s="35" t="s">
        <v>7211</v>
      </c>
    </row>
    <row r="7869" spans="1:2" x14ac:dyDescent="0.35">
      <c r="A7869" s="34">
        <v>41115505</v>
      </c>
      <c r="B7869" s="35" t="s">
        <v>13398</v>
      </c>
    </row>
    <row r="7870" spans="1:2" x14ac:dyDescent="0.35">
      <c r="A7870" s="34">
        <v>41115601</v>
      </c>
      <c r="B7870" s="35" t="s">
        <v>10736</v>
      </c>
    </row>
    <row r="7871" spans="1:2" x14ac:dyDescent="0.35">
      <c r="A7871" s="34">
        <v>41115602</v>
      </c>
      <c r="B7871" s="35" t="s">
        <v>7584</v>
      </c>
    </row>
    <row r="7872" spans="1:2" x14ac:dyDescent="0.35">
      <c r="A7872" s="34">
        <v>41115603</v>
      </c>
      <c r="B7872" s="35" t="s">
        <v>3342</v>
      </c>
    </row>
    <row r="7873" spans="1:2" x14ac:dyDescent="0.35">
      <c r="A7873" s="34">
        <v>41115604</v>
      </c>
      <c r="B7873" s="35" t="s">
        <v>19049</v>
      </c>
    </row>
    <row r="7874" spans="1:2" x14ac:dyDescent="0.35">
      <c r="A7874" s="34">
        <v>41115605</v>
      </c>
      <c r="B7874" s="35" t="s">
        <v>18005</v>
      </c>
    </row>
    <row r="7875" spans="1:2" x14ac:dyDescent="0.35">
      <c r="A7875" s="34">
        <v>41115606</v>
      </c>
      <c r="B7875" s="35" t="s">
        <v>2347</v>
      </c>
    </row>
    <row r="7876" spans="1:2" x14ac:dyDescent="0.35">
      <c r="A7876" s="34">
        <v>41115607</v>
      </c>
      <c r="B7876" s="35" t="s">
        <v>4797</v>
      </c>
    </row>
    <row r="7877" spans="1:2" x14ac:dyDescent="0.35">
      <c r="A7877" s="34">
        <v>41115608</v>
      </c>
      <c r="B7877" s="35" t="s">
        <v>12152</v>
      </c>
    </row>
    <row r="7878" spans="1:2" x14ac:dyDescent="0.35">
      <c r="A7878" s="34">
        <v>41115609</v>
      </c>
      <c r="B7878" s="35" t="s">
        <v>14359</v>
      </c>
    </row>
    <row r="7879" spans="1:2" x14ac:dyDescent="0.35">
      <c r="A7879" s="34">
        <v>41115610</v>
      </c>
      <c r="B7879" s="35" t="s">
        <v>13570</v>
      </c>
    </row>
    <row r="7880" spans="1:2" x14ac:dyDescent="0.35">
      <c r="A7880" s="34">
        <v>41115611</v>
      </c>
      <c r="B7880" s="35" t="s">
        <v>14430</v>
      </c>
    </row>
    <row r="7881" spans="1:2" x14ac:dyDescent="0.35">
      <c r="A7881" s="34">
        <v>41115612</v>
      </c>
      <c r="B7881" s="35" t="s">
        <v>89</v>
      </c>
    </row>
    <row r="7882" spans="1:2" x14ac:dyDescent="0.35">
      <c r="A7882" s="34">
        <v>41115613</v>
      </c>
      <c r="B7882" s="35" t="s">
        <v>10614</v>
      </c>
    </row>
    <row r="7883" spans="1:2" x14ac:dyDescent="0.35">
      <c r="A7883" s="34">
        <v>41115614</v>
      </c>
      <c r="B7883" s="35" t="s">
        <v>8707</v>
      </c>
    </row>
    <row r="7884" spans="1:2" x14ac:dyDescent="0.35">
      <c r="A7884" s="34">
        <v>41115701</v>
      </c>
      <c r="B7884" s="35" t="s">
        <v>2769</v>
      </c>
    </row>
    <row r="7885" spans="1:2" x14ac:dyDescent="0.35">
      <c r="A7885" s="34">
        <v>41115702</v>
      </c>
      <c r="B7885" s="35" t="s">
        <v>2851</v>
      </c>
    </row>
    <row r="7886" spans="1:2" x14ac:dyDescent="0.35">
      <c r="A7886" s="34">
        <v>41115703</v>
      </c>
      <c r="B7886" s="35" t="s">
        <v>11882</v>
      </c>
    </row>
    <row r="7887" spans="1:2" x14ac:dyDescent="0.35">
      <c r="A7887" s="34">
        <v>41115704</v>
      </c>
      <c r="B7887" s="35" t="s">
        <v>9038</v>
      </c>
    </row>
    <row r="7888" spans="1:2" x14ac:dyDescent="0.35">
      <c r="A7888" s="34">
        <v>41115705</v>
      </c>
      <c r="B7888" s="35" t="s">
        <v>6930</v>
      </c>
    </row>
    <row r="7889" spans="1:2" x14ac:dyDescent="0.35">
      <c r="A7889" s="34">
        <v>41115706</v>
      </c>
      <c r="B7889" s="35" t="s">
        <v>251</v>
      </c>
    </row>
    <row r="7890" spans="1:2" x14ac:dyDescent="0.35">
      <c r="A7890" s="34">
        <v>41115707</v>
      </c>
      <c r="B7890" s="35" t="s">
        <v>6545</v>
      </c>
    </row>
    <row r="7891" spans="1:2" x14ac:dyDescent="0.35">
      <c r="A7891" s="34">
        <v>41115708</v>
      </c>
      <c r="B7891" s="35" t="s">
        <v>5169</v>
      </c>
    </row>
    <row r="7892" spans="1:2" x14ac:dyDescent="0.35">
      <c r="A7892" s="34">
        <v>41115709</v>
      </c>
      <c r="B7892" s="35" t="s">
        <v>2350</v>
      </c>
    </row>
    <row r="7893" spans="1:2" x14ac:dyDescent="0.35">
      <c r="A7893" s="34">
        <v>41115710</v>
      </c>
      <c r="B7893" s="35" t="s">
        <v>11411</v>
      </c>
    </row>
    <row r="7894" spans="1:2" x14ac:dyDescent="0.35">
      <c r="A7894" s="34">
        <v>41115711</v>
      </c>
      <c r="B7894" s="35" t="s">
        <v>5756</v>
      </c>
    </row>
    <row r="7895" spans="1:2" x14ac:dyDescent="0.35">
      <c r="A7895" s="34">
        <v>41115712</v>
      </c>
      <c r="B7895" s="35" t="s">
        <v>17470</v>
      </c>
    </row>
    <row r="7896" spans="1:2" x14ac:dyDescent="0.35">
      <c r="A7896" s="34">
        <v>41115713</v>
      </c>
      <c r="B7896" s="35" t="s">
        <v>5559</v>
      </c>
    </row>
    <row r="7897" spans="1:2" x14ac:dyDescent="0.35">
      <c r="A7897" s="34">
        <v>41115714</v>
      </c>
      <c r="B7897" s="35" t="s">
        <v>6108</v>
      </c>
    </row>
    <row r="7898" spans="1:2" x14ac:dyDescent="0.35">
      <c r="A7898" s="34">
        <v>41115715</v>
      </c>
      <c r="B7898" s="35" t="s">
        <v>3010</v>
      </c>
    </row>
    <row r="7899" spans="1:2" x14ac:dyDescent="0.35">
      <c r="A7899" s="34">
        <v>41115716</v>
      </c>
      <c r="B7899" s="35" t="s">
        <v>9099</v>
      </c>
    </row>
    <row r="7900" spans="1:2" x14ac:dyDescent="0.35">
      <c r="A7900" s="34">
        <v>41115717</v>
      </c>
      <c r="B7900" s="35" t="s">
        <v>4993</v>
      </c>
    </row>
    <row r="7901" spans="1:2" x14ac:dyDescent="0.35">
      <c r="A7901" s="34">
        <v>41115718</v>
      </c>
      <c r="B7901" s="35" t="s">
        <v>8677</v>
      </c>
    </row>
    <row r="7902" spans="1:2" x14ac:dyDescent="0.35">
      <c r="A7902" s="34">
        <v>41115719</v>
      </c>
      <c r="B7902" s="35" t="s">
        <v>5981</v>
      </c>
    </row>
    <row r="7903" spans="1:2" x14ac:dyDescent="0.35">
      <c r="A7903" s="34">
        <v>41115720</v>
      </c>
      <c r="B7903" s="35" t="s">
        <v>3694</v>
      </c>
    </row>
    <row r="7904" spans="1:2" x14ac:dyDescent="0.35">
      <c r="A7904" s="34">
        <v>41115801</v>
      </c>
      <c r="B7904" s="35" t="s">
        <v>13136</v>
      </c>
    </row>
    <row r="7905" spans="1:2" x14ac:dyDescent="0.35">
      <c r="A7905" s="34">
        <v>41115802</v>
      </c>
      <c r="B7905" s="35" t="s">
        <v>14910</v>
      </c>
    </row>
    <row r="7906" spans="1:2" x14ac:dyDescent="0.35">
      <c r="A7906" s="34">
        <v>41115803</v>
      </c>
      <c r="B7906" s="35" t="s">
        <v>16520</v>
      </c>
    </row>
    <row r="7907" spans="1:2" x14ac:dyDescent="0.35">
      <c r="A7907" s="34">
        <v>41115804</v>
      </c>
      <c r="B7907" s="35" t="s">
        <v>17394</v>
      </c>
    </row>
    <row r="7908" spans="1:2" x14ac:dyDescent="0.35">
      <c r="A7908" s="34">
        <v>41115805</v>
      </c>
      <c r="B7908" s="35" t="s">
        <v>3809</v>
      </c>
    </row>
    <row r="7909" spans="1:2" x14ac:dyDescent="0.35">
      <c r="A7909" s="34">
        <v>41115806</v>
      </c>
      <c r="B7909" s="35" t="s">
        <v>1260</v>
      </c>
    </row>
    <row r="7910" spans="1:2" x14ac:dyDescent="0.35">
      <c r="A7910" s="34">
        <v>41115807</v>
      </c>
      <c r="B7910" s="35" t="s">
        <v>11743</v>
      </c>
    </row>
    <row r="7911" spans="1:2" x14ac:dyDescent="0.35">
      <c r="A7911" s="34">
        <v>41115808</v>
      </c>
      <c r="B7911" s="35" t="s">
        <v>9394</v>
      </c>
    </row>
    <row r="7912" spans="1:2" x14ac:dyDescent="0.35">
      <c r="A7912" s="34">
        <v>41115809</v>
      </c>
      <c r="B7912" s="35" t="s">
        <v>16072</v>
      </c>
    </row>
    <row r="7913" spans="1:2" x14ac:dyDescent="0.35">
      <c r="A7913" s="34">
        <v>41115810</v>
      </c>
      <c r="B7913" s="35" t="s">
        <v>5408</v>
      </c>
    </row>
    <row r="7914" spans="1:2" x14ac:dyDescent="0.35">
      <c r="A7914" s="34">
        <v>41115811</v>
      </c>
      <c r="B7914" s="35" t="s">
        <v>7102</v>
      </c>
    </row>
    <row r="7915" spans="1:2" x14ac:dyDescent="0.35">
      <c r="A7915" s="34">
        <v>41115812</v>
      </c>
      <c r="B7915" s="35" t="s">
        <v>5639</v>
      </c>
    </row>
    <row r="7916" spans="1:2" x14ac:dyDescent="0.35">
      <c r="A7916" s="34">
        <v>41115813</v>
      </c>
      <c r="B7916" s="35" t="s">
        <v>13681</v>
      </c>
    </row>
    <row r="7917" spans="1:2" x14ac:dyDescent="0.35">
      <c r="A7917" s="34">
        <v>41115814</v>
      </c>
      <c r="B7917" s="35" t="s">
        <v>12250</v>
      </c>
    </row>
    <row r="7918" spans="1:2" x14ac:dyDescent="0.35">
      <c r="A7918" s="34">
        <v>41115815</v>
      </c>
      <c r="B7918" s="35" t="s">
        <v>19481</v>
      </c>
    </row>
    <row r="7919" spans="1:2" x14ac:dyDescent="0.35">
      <c r="A7919" s="34">
        <v>41115816</v>
      </c>
      <c r="B7919" s="35" t="s">
        <v>3606</v>
      </c>
    </row>
    <row r="7920" spans="1:2" x14ac:dyDescent="0.35">
      <c r="A7920" s="34">
        <v>41115817</v>
      </c>
      <c r="B7920" s="35" t="s">
        <v>19265</v>
      </c>
    </row>
    <row r="7921" spans="1:2" x14ac:dyDescent="0.35">
      <c r="A7921" s="34">
        <v>41115818</v>
      </c>
      <c r="B7921" s="35" t="s">
        <v>2656</v>
      </c>
    </row>
    <row r="7922" spans="1:2" x14ac:dyDescent="0.35">
      <c r="A7922" s="34">
        <v>41115819</v>
      </c>
      <c r="B7922" s="35" t="s">
        <v>17667</v>
      </c>
    </row>
    <row r="7923" spans="1:2" x14ac:dyDescent="0.35">
      <c r="A7923" s="34">
        <v>41115820</v>
      </c>
      <c r="B7923" s="35" t="s">
        <v>19132</v>
      </c>
    </row>
    <row r="7924" spans="1:2" x14ac:dyDescent="0.35">
      <c r="A7924" s="34">
        <v>41115821</v>
      </c>
      <c r="B7924" s="35" t="s">
        <v>6012</v>
      </c>
    </row>
    <row r="7925" spans="1:2" x14ac:dyDescent="0.35">
      <c r="A7925" s="34">
        <v>41115822</v>
      </c>
      <c r="B7925" s="35" t="s">
        <v>10565</v>
      </c>
    </row>
    <row r="7926" spans="1:2" x14ac:dyDescent="0.35">
      <c r="A7926" s="34">
        <v>41115823</v>
      </c>
      <c r="B7926" s="35" t="s">
        <v>15345</v>
      </c>
    </row>
    <row r="7927" spans="1:2" x14ac:dyDescent="0.35">
      <c r="A7927" s="34">
        <v>41115824</v>
      </c>
      <c r="B7927" s="35" t="s">
        <v>17526</v>
      </c>
    </row>
    <row r="7928" spans="1:2" x14ac:dyDescent="0.35">
      <c r="A7928" s="34">
        <v>41115825</v>
      </c>
      <c r="B7928" s="35" t="s">
        <v>13241</v>
      </c>
    </row>
    <row r="7929" spans="1:2" x14ac:dyDescent="0.35">
      <c r="A7929" s="34">
        <v>41115826</v>
      </c>
      <c r="B7929" s="35" t="s">
        <v>12183</v>
      </c>
    </row>
    <row r="7930" spans="1:2" x14ac:dyDescent="0.35">
      <c r="A7930" s="34">
        <v>41115827</v>
      </c>
      <c r="B7930" s="35" t="s">
        <v>13874</v>
      </c>
    </row>
    <row r="7931" spans="1:2" x14ac:dyDescent="0.35">
      <c r="A7931" s="34">
        <v>41115828</v>
      </c>
      <c r="B7931" s="35" t="s">
        <v>13717</v>
      </c>
    </row>
    <row r="7932" spans="1:2" x14ac:dyDescent="0.35">
      <c r="A7932" s="34">
        <v>41115829</v>
      </c>
      <c r="B7932" s="35" t="s">
        <v>12621</v>
      </c>
    </row>
    <row r="7933" spans="1:2" x14ac:dyDescent="0.35">
      <c r="A7933" s="34">
        <v>41115830</v>
      </c>
      <c r="B7933" s="35" t="s">
        <v>8824</v>
      </c>
    </row>
    <row r="7934" spans="1:2" x14ac:dyDescent="0.35">
      <c r="A7934" s="34">
        <v>41116001</v>
      </c>
      <c r="B7934" s="35" t="s">
        <v>640</v>
      </c>
    </row>
    <row r="7935" spans="1:2" x14ac:dyDescent="0.35">
      <c r="A7935" s="34">
        <v>41116002</v>
      </c>
      <c r="B7935" s="35" t="s">
        <v>10160</v>
      </c>
    </row>
    <row r="7936" spans="1:2" x14ac:dyDescent="0.35">
      <c r="A7936" s="34">
        <v>41116003</v>
      </c>
      <c r="B7936" s="35" t="s">
        <v>6956</v>
      </c>
    </row>
    <row r="7937" spans="1:2" x14ac:dyDescent="0.35">
      <c r="A7937" s="34">
        <v>41116004</v>
      </c>
      <c r="B7937" s="35" t="s">
        <v>749</v>
      </c>
    </row>
    <row r="7938" spans="1:2" x14ac:dyDescent="0.35">
      <c r="A7938" s="34">
        <v>41116005</v>
      </c>
      <c r="B7938" s="35" t="s">
        <v>10305</v>
      </c>
    </row>
    <row r="7939" spans="1:2" x14ac:dyDescent="0.35">
      <c r="A7939" s="34">
        <v>41116006</v>
      </c>
      <c r="B7939" s="35" t="s">
        <v>12994</v>
      </c>
    </row>
    <row r="7940" spans="1:2" x14ac:dyDescent="0.35">
      <c r="A7940" s="34">
        <v>41116007</v>
      </c>
      <c r="B7940" s="35" t="s">
        <v>18928</v>
      </c>
    </row>
    <row r="7941" spans="1:2" x14ac:dyDescent="0.35">
      <c r="A7941" s="34">
        <v>41116008</v>
      </c>
      <c r="B7941" s="35" t="s">
        <v>17485</v>
      </c>
    </row>
    <row r="7942" spans="1:2" x14ac:dyDescent="0.35">
      <c r="A7942" s="34">
        <v>41116009</v>
      </c>
      <c r="B7942" s="35" t="s">
        <v>13433</v>
      </c>
    </row>
    <row r="7943" spans="1:2" x14ac:dyDescent="0.35">
      <c r="A7943" s="34">
        <v>41116010</v>
      </c>
      <c r="B7943" s="35" t="s">
        <v>14792</v>
      </c>
    </row>
    <row r="7944" spans="1:2" x14ac:dyDescent="0.35">
      <c r="A7944" s="34">
        <v>41116011</v>
      </c>
      <c r="B7944" s="35" t="s">
        <v>8685</v>
      </c>
    </row>
    <row r="7945" spans="1:2" x14ac:dyDescent="0.35">
      <c r="A7945" s="34">
        <v>41116012</v>
      </c>
      <c r="B7945" s="35" t="s">
        <v>8422</v>
      </c>
    </row>
    <row r="7946" spans="1:2" x14ac:dyDescent="0.35">
      <c r="A7946" s="34">
        <v>41116013</v>
      </c>
      <c r="B7946" s="35" t="s">
        <v>17873</v>
      </c>
    </row>
    <row r="7947" spans="1:2" x14ac:dyDescent="0.35">
      <c r="A7947" s="34">
        <v>41116014</v>
      </c>
      <c r="B7947" s="35" t="s">
        <v>5223</v>
      </c>
    </row>
    <row r="7948" spans="1:2" x14ac:dyDescent="0.35">
      <c r="A7948" s="34">
        <v>41116015</v>
      </c>
      <c r="B7948" s="35" t="s">
        <v>8681</v>
      </c>
    </row>
    <row r="7949" spans="1:2" x14ac:dyDescent="0.35">
      <c r="A7949" s="34">
        <v>41116101</v>
      </c>
      <c r="B7949" s="35" t="s">
        <v>15385</v>
      </c>
    </row>
    <row r="7950" spans="1:2" x14ac:dyDescent="0.35">
      <c r="A7950" s="34">
        <v>41116102</v>
      </c>
      <c r="B7950" s="35" t="s">
        <v>9016</v>
      </c>
    </row>
    <row r="7951" spans="1:2" x14ac:dyDescent="0.35">
      <c r="A7951" s="34">
        <v>41116103</v>
      </c>
      <c r="B7951" s="35" t="s">
        <v>11309</v>
      </c>
    </row>
    <row r="7952" spans="1:2" x14ac:dyDescent="0.35">
      <c r="A7952" s="34">
        <v>41116104</v>
      </c>
      <c r="B7952" s="35" t="s">
        <v>13376</v>
      </c>
    </row>
    <row r="7953" spans="1:2" x14ac:dyDescent="0.35">
      <c r="A7953" s="34">
        <v>41116105</v>
      </c>
      <c r="B7953" s="35" t="s">
        <v>4495</v>
      </c>
    </row>
    <row r="7954" spans="1:2" x14ac:dyDescent="0.35">
      <c r="A7954" s="34">
        <v>41116106</v>
      </c>
      <c r="B7954" s="35" t="s">
        <v>13719</v>
      </c>
    </row>
    <row r="7955" spans="1:2" x14ac:dyDescent="0.35">
      <c r="A7955" s="34">
        <v>41116107</v>
      </c>
      <c r="B7955" s="35" t="s">
        <v>15620</v>
      </c>
    </row>
    <row r="7956" spans="1:2" x14ac:dyDescent="0.35">
      <c r="A7956" s="34">
        <v>41116108</v>
      </c>
      <c r="B7956" s="35" t="s">
        <v>8246</v>
      </c>
    </row>
    <row r="7957" spans="1:2" x14ac:dyDescent="0.35">
      <c r="A7957" s="34">
        <v>41116109</v>
      </c>
      <c r="B7957" s="35" t="s">
        <v>1710</v>
      </c>
    </row>
    <row r="7958" spans="1:2" x14ac:dyDescent="0.35">
      <c r="A7958" s="34">
        <v>41116110</v>
      </c>
      <c r="B7958" s="35" t="s">
        <v>8047</v>
      </c>
    </row>
    <row r="7959" spans="1:2" x14ac:dyDescent="0.35">
      <c r="A7959" s="34">
        <v>41116111</v>
      </c>
      <c r="B7959" s="35" t="s">
        <v>16264</v>
      </c>
    </row>
    <row r="7960" spans="1:2" x14ac:dyDescent="0.35">
      <c r="A7960" s="34">
        <v>41116112</v>
      </c>
      <c r="B7960" s="35" t="s">
        <v>15691</v>
      </c>
    </row>
    <row r="7961" spans="1:2" x14ac:dyDescent="0.35">
      <c r="A7961" s="34">
        <v>41116113</v>
      </c>
      <c r="B7961" s="35" t="s">
        <v>10128</v>
      </c>
    </row>
    <row r="7962" spans="1:2" x14ac:dyDescent="0.35">
      <c r="A7962" s="34">
        <v>41116116</v>
      </c>
      <c r="B7962" s="35" t="s">
        <v>17108</v>
      </c>
    </row>
    <row r="7963" spans="1:2" x14ac:dyDescent="0.35">
      <c r="A7963" s="34">
        <v>41116117</v>
      </c>
      <c r="B7963" s="35" t="s">
        <v>2351</v>
      </c>
    </row>
    <row r="7964" spans="1:2" x14ac:dyDescent="0.35">
      <c r="A7964" s="34">
        <v>41116118</v>
      </c>
      <c r="B7964" s="35" t="s">
        <v>17230</v>
      </c>
    </row>
    <row r="7965" spans="1:2" x14ac:dyDescent="0.35">
      <c r="A7965" s="34">
        <v>41116119</v>
      </c>
      <c r="B7965" s="35" t="s">
        <v>16506</v>
      </c>
    </row>
    <row r="7966" spans="1:2" x14ac:dyDescent="0.35">
      <c r="A7966" s="34">
        <v>41116120</v>
      </c>
      <c r="B7966" s="35" t="s">
        <v>19274</v>
      </c>
    </row>
    <row r="7967" spans="1:2" x14ac:dyDescent="0.35">
      <c r="A7967" s="34">
        <v>41116121</v>
      </c>
      <c r="B7967" s="35" t="s">
        <v>5622</v>
      </c>
    </row>
    <row r="7968" spans="1:2" x14ac:dyDescent="0.35">
      <c r="A7968" s="34">
        <v>41116122</v>
      </c>
      <c r="B7968" s="35" t="s">
        <v>6859</v>
      </c>
    </row>
    <row r="7969" spans="1:2" x14ac:dyDescent="0.35">
      <c r="A7969" s="34">
        <v>41116123</v>
      </c>
      <c r="B7969" s="35" t="s">
        <v>14092</v>
      </c>
    </row>
    <row r="7970" spans="1:2" x14ac:dyDescent="0.35">
      <c r="A7970" s="34">
        <v>41116124</v>
      </c>
      <c r="B7970" s="35" t="s">
        <v>19365</v>
      </c>
    </row>
    <row r="7971" spans="1:2" x14ac:dyDescent="0.35">
      <c r="A7971" s="34">
        <v>41116125</v>
      </c>
      <c r="B7971" s="35" t="s">
        <v>4583</v>
      </c>
    </row>
    <row r="7972" spans="1:2" x14ac:dyDescent="0.35">
      <c r="A7972" s="34">
        <v>41116126</v>
      </c>
      <c r="B7972" s="35" t="s">
        <v>15049</v>
      </c>
    </row>
    <row r="7973" spans="1:2" x14ac:dyDescent="0.35">
      <c r="A7973" s="34">
        <v>41116127</v>
      </c>
      <c r="B7973" s="35" t="s">
        <v>12873</v>
      </c>
    </row>
    <row r="7974" spans="1:2" x14ac:dyDescent="0.35">
      <c r="A7974" s="34">
        <v>41116128</v>
      </c>
      <c r="B7974" s="35" t="s">
        <v>16197</v>
      </c>
    </row>
    <row r="7975" spans="1:2" x14ac:dyDescent="0.35">
      <c r="A7975" s="34">
        <v>41116129</v>
      </c>
      <c r="B7975" s="35" t="s">
        <v>9613</v>
      </c>
    </row>
    <row r="7976" spans="1:2" x14ac:dyDescent="0.35">
      <c r="A7976" s="34">
        <v>41116130</v>
      </c>
      <c r="B7976" s="35" t="s">
        <v>14404</v>
      </c>
    </row>
    <row r="7977" spans="1:2" x14ac:dyDescent="0.35">
      <c r="A7977" s="34">
        <v>41116131</v>
      </c>
      <c r="B7977" s="35" t="s">
        <v>16421</v>
      </c>
    </row>
    <row r="7978" spans="1:2" x14ac:dyDescent="0.35">
      <c r="A7978" s="34">
        <v>41116132</v>
      </c>
      <c r="B7978" s="35" t="s">
        <v>4104</v>
      </c>
    </row>
    <row r="7979" spans="1:2" x14ac:dyDescent="0.35">
      <c r="A7979" s="34">
        <v>41116133</v>
      </c>
      <c r="B7979" s="35" t="s">
        <v>15036</v>
      </c>
    </row>
    <row r="7980" spans="1:2" x14ac:dyDescent="0.35">
      <c r="A7980" s="34">
        <v>41116134</v>
      </c>
      <c r="B7980" s="35" t="s">
        <v>1227</v>
      </c>
    </row>
    <row r="7981" spans="1:2" x14ac:dyDescent="0.35">
      <c r="A7981" s="34">
        <v>41116135</v>
      </c>
      <c r="B7981" s="35" t="s">
        <v>4858</v>
      </c>
    </row>
    <row r="7982" spans="1:2" x14ac:dyDescent="0.35">
      <c r="A7982" s="34">
        <v>41116136</v>
      </c>
      <c r="B7982" s="35" t="s">
        <v>5647</v>
      </c>
    </row>
    <row r="7983" spans="1:2" x14ac:dyDescent="0.35">
      <c r="A7983" s="34">
        <v>41116137</v>
      </c>
      <c r="B7983" s="35" t="s">
        <v>10851</v>
      </c>
    </row>
    <row r="7984" spans="1:2" x14ac:dyDescent="0.35">
      <c r="A7984" s="34">
        <v>41116138</v>
      </c>
      <c r="B7984" s="35" t="s">
        <v>12418</v>
      </c>
    </row>
    <row r="7985" spans="1:2" x14ac:dyDescent="0.35">
      <c r="A7985" s="34">
        <v>41116139</v>
      </c>
      <c r="B7985" s="35" t="s">
        <v>2999</v>
      </c>
    </row>
    <row r="7986" spans="1:2" x14ac:dyDescent="0.35">
      <c r="A7986" s="34">
        <v>41116140</v>
      </c>
      <c r="B7986" s="35" t="s">
        <v>15683</v>
      </c>
    </row>
    <row r="7987" spans="1:2" x14ac:dyDescent="0.35">
      <c r="A7987" s="34">
        <v>41116141</v>
      </c>
      <c r="B7987" s="35" t="s">
        <v>12697</v>
      </c>
    </row>
    <row r="7988" spans="1:2" x14ac:dyDescent="0.35">
      <c r="A7988" s="34">
        <v>41116142</v>
      </c>
      <c r="B7988" s="35" t="s">
        <v>3984</v>
      </c>
    </row>
    <row r="7989" spans="1:2" x14ac:dyDescent="0.35">
      <c r="A7989" s="34">
        <v>41116143</v>
      </c>
      <c r="B7989" s="35" t="s">
        <v>3791</v>
      </c>
    </row>
    <row r="7990" spans="1:2" x14ac:dyDescent="0.35">
      <c r="A7990" s="34">
        <v>41116144</v>
      </c>
      <c r="B7990" s="35" t="s">
        <v>15751</v>
      </c>
    </row>
    <row r="7991" spans="1:2" x14ac:dyDescent="0.35">
      <c r="A7991" s="34">
        <v>41116145</v>
      </c>
      <c r="B7991" s="35" t="s">
        <v>10153</v>
      </c>
    </row>
    <row r="7992" spans="1:2" x14ac:dyDescent="0.35">
      <c r="A7992" s="34">
        <v>41116146</v>
      </c>
      <c r="B7992" s="35" t="s">
        <v>196</v>
      </c>
    </row>
    <row r="7993" spans="1:2" x14ac:dyDescent="0.35">
      <c r="A7993" s="34">
        <v>41116147</v>
      </c>
      <c r="B7993" s="35" t="s">
        <v>3749</v>
      </c>
    </row>
    <row r="7994" spans="1:2" x14ac:dyDescent="0.35">
      <c r="A7994" s="34">
        <v>41116148</v>
      </c>
      <c r="B7994" s="35" t="s">
        <v>15552</v>
      </c>
    </row>
    <row r="7995" spans="1:2" x14ac:dyDescent="0.35">
      <c r="A7995" s="34">
        <v>41116201</v>
      </c>
      <c r="B7995" s="35" t="s">
        <v>12107</v>
      </c>
    </row>
    <row r="7996" spans="1:2" x14ac:dyDescent="0.35">
      <c r="A7996" s="34">
        <v>41116202</v>
      </c>
      <c r="B7996" s="35" t="s">
        <v>959</v>
      </c>
    </row>
    <row r="7997" spans="1:2" x14ac:dyDescent="0.35">
      <c r="A7997" s="34">
        <v>41116203</v>
      </c>
      <c r="B7997" s="35" t="s">
        <v>15028</v>
      </c>
    </row>
    <row r="7998" spans="1:2" x14ac:dyDescent="0.35">
      <c r="A7998" s="34">
        <v>41116205</v>
      </c>
      <c r="B7998" s="35" t="s">
        <v>15945</v>
      </c>
    </row>
    <row r="7999" spans="1:2" x14ac:dyDescent="0.35">
      <c r="A7999" s="34">
        <v>41116301</v>
      </c>
      <c r="B7999" s="35" t="s">
        <v>1443</v>
      </c>
    </row>
    <row r="8000" spans="1:2" x14ac:dyDescent="0.35">
      <c r="A8000" s="34">
        <v>41116401</v>
      </c>
      <c r="B8000" s="35" t="s">
        <v>10020</v>
      </c>
    </row>
    <row r="8001" spans="1:2" x14ac:dyDescent="0.35">
      <c r="A8001" s="34">
        <v>41116501</v>
      </c>
      <c r="B8001" s="35" t="s">
        <v>19426</v>
      </c>
    </row>
    <row r="8002" spans="1:2" x14ac:dyDescent="0.35">
      <c r="A8002" s="34">
        <v>41121501</v>
      </c>
      <c r="B8002" s="35" t="s">
        <v>7091</v>
      </c>
    </row>
    <row r="8003" spans="1:2" x14ac:dyDescent="0.35">
      <c r="A8003" s="34">
        <v>41121502</v>
      </c>
      <c r="B8003" s="35" t="s">
        <v>3616</v>
      </c>
    </row>
    <row r="8004" spans="1:2" x14ac:dyDescent="0.35">
      <c r="A8004" s="34">
        <v>41121503</v>
      </c>
      <c r="B8004" s="35" t="s">
        <v>18662</v>
      </c>
    </row>
    <row r="8005" spans="1:2" x14ac:dyDescent="0.35">
      <c r="A8005" s="34">
        <v>41121504</v>
      </c>
      <c r="B8005" s="35" t="s">
        <v>8132</v>
      </c>
    </row>
    <row r="8006" spans="1:2" x14ac:dyDescent="0.35">
      <c r="A8006" s="34">
        <v>41121505</v>
      </c>
      <c r="B8006" s="35" t="s">
        <v>12401</v>
      </c>
    </row>
    <row r="8007" spans="1:2" x14ac:dyDescent="0.35">
      <c r="A8007" s="34">
        <v>41121506</v>
      </c>
      <c r="B8007" s="35" t="s">
        <v>11977</v>
      </c>
    </row>
    <row r="8008" spans="1:2" x14ac:dyDescent="0.35">
      <c r="A8008" s="34">
        <v>41121507</v>
      </c>
      <c r="B8008" s="35" t="s">
        <v>7572</v>
      </c>
    </row>
    <row r="8009" spans="1:2" x14ac:dyDescent="0.35">
      <c r="A8009" s="34">
        <v>41121508</v>
      </c>
      <c r="B8009" s="35" t="s">
        <v>14662</v>
      </c>
    </row>
    <row r="8010" spans="1:2" x14ac:dyDescent="0.35">
      <c r="A8010" s="34">
        <v>41121509</v>
      </c>
      <c r="B8010" s="35" t="s">
        <v>5625</v>
      </c>
    </row>
    <row r="8011" spans="1:2" x14ac:dyDescent="0.35">
      <c r="A8011" s="34">
        <v>41121510</v>
      </c>
      <c r="B8011" s="35" t="s">
        <v>14822</v>
      </c>
    </row>
    <row r="8012" spans="1:2" x14ac:dyDescent="0.35">
      <c r="A8012" s="34">
        <v>41121511</v>
      </c>
      <c r="B8012" s="35" t="s">
        <v>442</v>
      </c>
    </row>
    <row r="8013" spans="1:2" x14ac:dyDescent="0.35">
      <c r="A8013" s="34">
        <v>41121513</v>
      </c>
      <c r="B8013" s="35" t="s">
        <v>13574</v>
      </c>
    </row>
    <row r="8014" spans="1:2" x14ac:dyDescent="0.35">
      <c r="A8014" s="34">
        <v>41121514</v>
      </c>
      <c r="B8014" s="35" t="s">
        <v>19093</v>
      </c>
    </row>
    <row r="8015" spans="1:2" x14ac:dyDescent="0.35">
      <c r="A8015" s="34">
        <v>41121515</v>
      </c>
      <c r="B8015" s="35" t="s">
        <v>7734</v>
      </c>
    </row>
    <row r="8016" spans="1:2" x14ac:dyDescent="0.35">
      <c r="A8016" s="34">
        <v>41121516</v>
      </c>
      <c r="B8016" s="35" t="s">
        <v>6928</v>
      </c>
    </row>
    <row r="8017" spans="1:2" x14ac:dyDescent="0.35">
      <c r="A8017" s="34">
        <v>41121517</v>
      </c>
      <c r="B8017" s="35" t="s">
        <v>18342</v>
      </c>
    </row>
    <row r="8018" spans="1:2" x14ac:dyDescent="0.35">
      <c r="A8018" s="34">
        <v>41121601</v>
      </c>
      <c r="B8018" s="35" t="s">
        <v>9984</v>
      </c>
    </row>
    <row r="8019" spans="1:2" x14ac:dyDescent="0.35">
      <c r="A8019" s="34">
        <v>41121602</v>
      </c>
      <c r="B8019" s="35" t="s">
        <v>4303</v>
      </c>
    </row>
    <row r="8020" spans="1:2" x14ac:dyDescent="0.35">
      <c r="A8020" s="34">
        <v>41121603</v>
      </c>
      <c r="B8020" s="35" t="s">
        <v>525</v>
      </c>
    </row>
    <row r="8021" spans="1:2" x14ac:dyDescent="0.35">
      <c r="A8021" s="34">
        <v>41121604</v>
      </c>
      <c r="B8021" s="35" t="s">
        <v>16607</v>
      </c>
    </row>
    <row r="8022" spans="1:2" x14ac:dyDescent="0.35">
      <c r="A8022" s="34">
        <v>41121605</v>
      </c>
      <c r="B8022" s="35" t="s">
        <v>1583</v>
      </c>
    </row>
    <row r="8023" spans="1:2" x14ac:dyDescent="0.35">
      <c r="A8023" s="34">
        <v>41121606</v>
      </c>
      <c r="B8023" s="35" t="s">
        <v>7031</v>
      </c>
    </row>
    <row r="8024" spans="1:2" x14ac:dyDescent="0.35">
      <c r="A8024" s="34">
        <v>41121607</v>
      </c>
      <c r="B8024" s="35" t="s">
        <v>17947</v>
      </c>
    </row>
    <row r="8025" spans="1:2" x14ac:dyDescent="0.35">
      <c r="A8025" s="34">
        <v>41121608</v>
      </c>
      <c r="B8025" s="35" t="s">
        <v>16428</v>
      </c>
    </row>
    <row r="8026" spans="1:2" x14ac:dyDescent="0.35">
      <c r="A8026" s="34">
        <v>41121609</v>
      </c>
      <c r="B8026" s="35" t="s">
        <v>11145</v>
      </c>
    </row>
    <row r="8027" spans="1:2" x14ac:dyDescent="0.35">
      <c r="A8027" s="34">
        <v>41121701</v>
      </c>
      <c r="B8027" s="35" t="s">
        <v>4021</v>
      </c>
    </row>
    <row r="8028" spans="1:2" x14ac:dyDescent="0.35">
      <c r="A8028" s="34">
        <v>41121702</v>
      </c>
      <c r="B8028" s="35" t="s">
        <v>8023</v>
      </c>
    </row>
    <row r="8029" spans="1:2" x14ac:dyDescent="0.35">
      <c r="A8029" s="34">
        <v>41121703</v>
      </c>
      <c r="B8029" s="35" t="s">
        <v>11160</v>
      </c>
    </row>
    <row r="8030" spans="1:2" x14ac:dyDescent="0.35">
      <c r="A8030" s="34">
        <v>41121704</v>
      </c>
      <c r="B8030" s="35" t="s">
        <v>8390</v>
      </c>
    </row>
    <row r="8031" spans="1:2" x14ac:dyDescent="0.35">
      <c r="A8031" s="34">
        <v>41121705</v>
      </c>
      <c r="B8031" s="35" t="s">
        <v>17371</v>
      </c>
    </row>
    <row r="8032" spans="1:2" x14ac:dyDescent="0.35">
      <c r="A8032" s="34">
        <v>41121706</v>
      </c>
      <c r="B8032" s="35" t="s">
        <v>1451</v>
      </c>
    </row>
    <row r="8033" spans="1:2" x14ac:dyDescent="0.35">
      <c r="A8033" s="34">
        <v>41121707</v>
      </c>
      <c r="B8033" s="35" t="s">
        <v>3044</v>
      </c>
    </row>
    <row r="8034" spans="1:2" x14ac:dyDescent="0.35">
      <c r="A8034" s="34">
        <v>41121708</v>
      </c>
      <c r="B8034" s="35" t="s">
        <v>4502</v>
      </c>
    </row>
    <row r="8035" spans="1:2" x14ac:dyDescent="0.35">
      <c r="A8035" s="34">
        <v>41121709</v>
      </c>
      <c r="B8035" s="35" t="s">
        <v>3152</v>
      </c>
    </row>
    <row r="8036" spans="1:2" x14ac:dyDescent="0.35">
      <c r="A8036" s="34">
        <v>41121710</v>
      </c>
      <c r="B8036" s="35" t="s">
        <v>8628</v>
      </c>
    </row>
    <row r="8037" spans="1:2" x14ac:dyDescent="0.35">
      <c r="A8037" s="34">
        <v>41121711</v>
      </c>
      <c r="B8037" s="35" t="s">
        <v>1805</v>
      </c>
    </row>
    <row r="8038" spans="1:2" x14ac:dyDescent="0.35">
      <c r="A8038" s="34">
        <v>41121801</v>
      </c>
      <c r="B8038" s="35" t="s">
        <v>10707</v>
      </c>
    </row>
    <row r="8039" spans="1:2" x14ac:dyDescent="0.35">
      <c r="A8039" s="34">
        <v>41121802</v>
      </c>
      <c r="B8039" s="35" t="s">
        <v>16360</v>
      </c>
    </row>
    <row r="8040" spans="1:2" x14ac:dyDescent="0.35">
      <c r="A8040" s="34">
        <v>41121803</v>
      </c>
      <c r="B8040" s="35" t="s">
        <v>10461</v>
      </c>
    </row>
    <row r="8041" spans="1:2" x14ac:dyDescent="0.35">
      <c r="A8041" s="34">
        <v>41121804</v>
      </c>
      <c r="B8041" s="35" t="s">
        <v>12024</v>
      </c>
    </row>
    <row r="8042" spans="1:2" x14ac:dyDescent="0.35">
      <c r="A8042" s="34">
        <v>41121805</v>
      </c>
      <c r="B8042" s="35" t="s">
        <v>2413</v>
      </c>
    </row>
    <row r="8043" spans="1:2" x14ac:dyDescent="0.35">
      <c r="A8043" s="34">
        <v>41121806</v>
      </c>
      <c r="B8043" s="35" t="s">
        <v>3928</v>
      </c>
    </row>
    <row r="8044" spans="1:2" x14ac:dyDescent="0.35">
      <c r="A8044" s="34">
        <v>41121807</v>
      </c>
      <c r="B8044" s="35" t="s">
        <v>15673</v>
      </c>
    </row>
    <row r="8045" spans="1:2" x14ac:dyDescent="0.35">
      <c r="A8045" s="34">
        <v>41121808</v>
      </c>
      <c r="B8045" s="35" t="s">
        <v>1875</v>
      </c>
    </row>
    <row r="8046" spans="1:2" x14ac:dyDescent="0.35">
      <c r="A8046" s="34">
        <v>41121809</v>
      </c>
      <c r="B8046" s="35" t="s">
        <v>2508</v>
      </c>
    </row>
    <row r="8047" spans="1:2" x14ac:dyDescent="0.35">
      <c r="A8047" s="34">
        <v>41121810</v>
      </c>
      <c r="B8047" s="35" t="s">
        <v>7606</v>
      </c>
    </row>
    <row r="8048" spans="1:2" x14ac:dyDescent="0.35">
      <c r="A8048" s="34">
        <v>41121811</v>
      </c>
      <c r="B8048" s="35" t="s">
        <v>26</v>
      </c>
    </row>
    <row r="8049" spans="1:2" x14ac:dyDescent="0.35">
      <c r="A8049" s="34">
        <v>41121812</v>
      </c>
      <c r="B8049" s="35" t="s">
        <v>6974</v>
      </c>
    </row>
    <row r="8050" spans="1:2" x14ac:dyDescent="0.35">
      <c r="A8050" s="34">
        <v>41121813</v>
      </c>
      <c r="B8050" s="35" t="s">
        <v>11550</v>
      </c>
    </row>
    <row r="8051" spans="1:2" x14ac:dyDescent="0.35">
      <c r="A8051" s="34">
        <v>41121814</v>
      </c>
      <c r="B8051" s="35" t="s">
        <v>8842</v>
      </c>
    </row>
    <row r="8052" spans="1:2" x14ac:dyDescent="0.35">
      <c r="A8052" s="34">
        <v>41121815</v>
      </c>
      <c r="B8052" s="35" t="s">
        <v>1994</v>
      </c>
    </row>
    <row r="8053" spans="1:2" x14ac:dyDescent="0.35">
      <c r="A8053" s="34">
        <v>41122001</v>
      </c>
      <c r="B8053" s="35" t="s">
        <v>12340</v>
      </c>
    </row>
    <row r="8054" spans="1:2" x14ac:dyDescent="0.35">
      <c r="A8054" s="34">
        <v>41122002</v>
      </c>
      <c r="B8054" s="35" t="s">
        <v>18541</v>
      </c>
    </row>
    <row r="8055" spans="1:2" x14ac:dyDescent="0.35">
      <c r="A8055" s="34">
        <v>41122003</v>
      </c>
      <c r="B8055" s="35" t="s">
        <v>13970</v>
      </c>
    </row>
    <row r="8056" spans="1:2" x14ac:dyDescent="0.35">
      <c r="A8056" s="34">
        <v>41122004</v>
      </c>
      <c r="B8056" s="35" t="s">
        <v>12698</v>
      </c>
    </row>
    <row r="8057" spans="1:2" x14ac:dyDescent="0.35">
      <c r="A8057" s="34">
        <v>41122101</v>
      </c>
      <c r="B8057" s="35" t="s">
        <v>15849</v>
      </c>
    </row>
    <row r="8058" spans="1:2" x14ac:dyDescent="0.35">
      <c r="A8058" s="34">
        <v>41122102</v>
      </c>
      <c r="B8058" s="35" t="s">
        <v>1183</v>
      </c>
    </row>
    <row r="8059" spans="1:2" x14ac:dyDescent="0.35">
      <c r="A8059" s="34">
        <v>41122103</v>
      </c>
      <c r="B8059" s="35" t="s">
        <v>8537</v>
      </c>
    </row>
    <row r="8060" spans="1:2" x14ac:dyDescent="0.35">
      <c r="A8060" s="34">
        <v>41122104</v>
      </c>
      <c r="B8060" s="35" t="s">
        <v>10161</v>
      </c>
    </row>
    <row r="8061" spans="1:2" x14ac:dyDescent="0.35">
      <c r="A8061" s="34">
        <v>41122105</v>
      </c>
      <c r="B8061" s="35" t="s">
        <v>15538</v>
      </c>
    </row>
    <row r="8062" spans="1:2" x14ac:dyDescent="0.35">
      <c r="A8062" s="34">
        <v>41122106</v>
      </c>
      <c r="B8062" s="35" t="s">
        <v>11791</v>
      </c>
    </row>
    <row r="8063" spans="1:2" x14ac:dyDescent="0.35">
      <c r="A8063" s="34">
        <v>41122107</v>
      </c>
      <c r="B8063" s="35" t="s">
        <v>6740</v>
      </c>
    </row>
    <row r="8064" spans="1:2" x14ac:dyDescent="0.35">
      <c r="A8064" s="34">
        <v>41122108</v>
      </c>
      <c r="B8064" s="35" t="s">
        <v>18194</v>
      </c>
    </row>
    <row r="8065" spans="1:2" x14ac:dyDescent="0.35">
      <c r="A8065" s="34">
        <v>41122109</v>
      </c>
      <c r="B8065" s="35" t="s">
        <v>7538</v>
      </c>
    </row>
    <row r="8066" spans="1:2" x14ac:dyDescent="0.35">
      <c r="A8066" s="34">
        <v>41122110</v>
      </c>
      <c r="B8066" s="35" t="s">
        <v>6461</v>
      </c>
    </row>
    <row r="8067" spans="1:2" x14ac:dyDescent="0.35">
      <c r="A8067" s="34">
        <v>41122201</v>
      </c>
      <c r="B8067" s="35" t="s">
        <v>16712</v>
      </c>
    </row>
    <row r="8068" spans="1:2" x14ac:dyDescent="0.35">
      <c r="A8068" s="34">
        <v>41122202</v>
      </c>
      <c r="B8068" s="35" t="s">
        <v>15696</v>
      </c>
    </row>
    <row r="8069" spans="1:2" x14ac:dyDescent="0.35">
      <c r="A8069" s="34">
        <v>41122203</v>
      </c>
      <c r="B8069" s="35" t="s">
        <v>10931</v>
      </c>
    </row>
    <row r="8070" spans="1:2" x14ac:dyDescent="0.35">
      <c r="A8070" s="34">
        <v>41122301</v>
      </c>
      <c r="B8070" s="35" t="s">
        <v>6207</v>
      </c>
    </row>
    <row r="8071" spans="1:2" x14ac:dyDescent="0.35">
      <c r="A8071" s="34">
        <v>41122401</v>
      </c>
      <c r="B8071" s="35" t="s">
        <v>256</v>
      </c>
    </row>
    <row r="8072" spans="1:2" x14ac:dyDescent="0.35">
      <c r="A8072" s="34">
        <v>41122402</v>
      </c>
      <c r="B8072" s="35" t="s">
        <v>3778</v>
      </c>
    </row>
    <row r="8073" spans="1:2" x14ac:dyDescent="0.35">
      <c r="A8073" s="34">
        <v>41122403</v>
      </c>
      <c r="B8073" s="35" t="s">
        <v>15317</v>
      </c>
    </row>
    <row r="8074" spans="1:2" x14ac:dyDescent="0.35">
      <c r="A8074" s="34">
        <v>41122404</v>
      </c>
      <c r="B8074" s="35" t="s">
        <v>15268</v>
      </c>
    </row>
    <row r="8075" spans="1:2" x14ac:dyDescent="0.35">
      <c r="A8075" s="34">
        <v>41122405</v>
      </c>
      <c r="B8075" s="35" t="s">
        <v>11316</v>
      </c>
    </row>
    <row r="8076" spans="1:2" x14ac:dyDescent="0.35">
      <c r="A8076" s="34">
        <v>41122406</v>
      </c>
      <c r="B8076" s="35" t="s">
        <v>4940</v>
      </c>
    </row>
    <row r="8077" spans="1:2" x14ac:dyDescent="0.35">
      <c r="A8077" s="34">
        <v>41122407</v>
      </c>
      <c r="B8077" s="35" t="s">
        <v>16044</v>
      </c>
    </row>
    <row r="8078" spans="1:2" x14ac:dyDescent="0.35">
      <c r="A8078" s="34">
        <v>41122408</v>
      </c>
      <c r="B8078" s="35" t="s">
        <v>3704</v>
      </c>
    </row>
    <row r="8079" spans="1:2" x14ac:dyDescent="0.35">
      <c r="A8079" s="34">
        <v>41122409</v>
      </c>
      <c r="B8079" s="35" t="s">
        <v>10811</v>
      </c>
    </row>
    <row r="8080" spans="1:2" x14ac:dyDescent="0.35">
      <c r="A8080" s="34">
        <v>41122410</v>
      </c>
      <c r="B8080" s="35" t="s">
        <v>15155</v>
      </c>
    </row>
    <row r="8081" spans="1:2" x14ac:dyDescent="0.35">
      <c r="A8081" s="34">
        <v>41122411</v>
      </c>
      <c r="B8081" s="35" t="s">
        <v>16247</v>
      </c>
    </row>
    <row r="8082" spans="1:2" x14ac:dyDescent="0.35">
      <c r="A8082" s="34">
        <v>41122412</v>
      </c>
      <c r="B8082" s="35" t="s">
        <v>211</v>
      </c>
    </row>
    <row r="8083" spans="1:2" x14ac:dyDescent="0.35">
      <c r="A8083" s="34">
        <v>41122413</v>
      </c>
      <c r="B8083" s="35" t="s">
        <v>3426</v>
      </c>
    </row>
    <row r="8084" spans="1:2" x14ac:dyDescent="0.35">
      <c r="A8084" s="34">
        <v>41122501</v>
      </c>
      <c r="B8084" s="35" t="s">
        <v>9119</v>
      </c>
    </row>
    <row r="8085" spans="1:2" x14ac:dyDescent="0.35">
      <c r="A8085" s="34">
        <v>41122502</v>
      </c>
      <c r="B8085" s="35" t="s">
        <v>4124</v>
      </c>
    </row>
    <row r="8086" spans="1:2" x14ac:dyDescent="0.35">
      <c r="A8086" s="34">
        <v>41122503</v>
      </c>
      <c r="B8086" s="35" t="s">
        <v>14994</v>
      </c>
    </row>
    <row r="8087" spans="1:2" x14ac:dyDescent="0.35">
      <c r="A8087" s="34">
        <v>41122601</v>
      </c>
      <c r="B8087" s="35" t="s">
        <v>6034</v>
      </c>
    </row>
    <row r="8088" spans="1:2" x14ac:dyDescent="0.35">
      <c r="A8088" s="34">
        <v>41122602</v>
      </c>
      <c r="B8088" s="35" t="s">
        <v>16551</v>
      </c>
    </row>
    <row r="8089" spans="1:2" x14ac:dyDescent="0.35">
      <c r="A8089" s="34">
        <v>41122603</v>
      </c>
      <c r="B8089" s="35" t="s">
        <v>2663</v>
      </c>
    </row>
    <row r="8090" spans="1:2" x14ac:dyDescent="0.35">
      <c r="A8090" s="34">
        <v>41122604</v>
      </c>
      <c r="B8090" s="35" t="s">
        <v>9066</v>
      </c>
    </row>
    <row r="8091" spans="1:2" x14ac:dyDescent="0.35">
      <c r="A8091" s="34">
        <v>41122605</v>
      </c>
      <c r="B8091" s="35" t="s">
        <v>14723</v>
      </c>
    </row>
    <row r="8092" spans="1:2" x14ac:dyDescent="0.35">
      <c r="A8092" s="34">
        <v>41122606</v>
      </c>
      <c r="B8092" s="35" t="s">
        <v>4649</v>
      </c>
    </row>
    <row r="8093" spans="1:2" x14ac:dyDescent="0.35">
      <c r="A8093" s="34">
        <v>41122701</v>
      </c>
      <c r="B8093" s="35" t="s">
        <v>8922</v>
      </c>
    </row>
    <row r="8094" spans="1:2" x14ac:dyDescent="0.35">
      <c r="A8094" s="34">
        <v>41122702</v>
      </c>
      <c r="B8094" s="35" t="s">
        <v>14256</v>
      </c>
    </row>
    <row r="8095" spans="1:2" x14ac:dyDescent="0.35">
      <c r="A8095" s="34">
        <v>41122703</v>
      </c>
      <c r="B8095" s="35" t="s">
        <v>8800</v>
      </c>
    </row>
    <row r="8096" spans="1:2" x14ac:dyDescent="0.35">
      <c r="A8096" s="34">
        <v>41122704</v>
      </c>
      <c r="B8096" s="35" t="s">
        <v>6305</v>
      </c>
    </row>
    <row r="8097" spans="1:2" x14ac:dyDescent="0.35">
      <c r="A8097" s="34">
        <v>41122801</v>
      </c>
      <c r="B8097" s="35" t="s">
        <v>13343</v>
      </c>
    </row>
    <row r="8098" spans="1:2" x14ac:dyDescent="0.35">
      <c r="A8098" s="34">
        <v>41122802</v>
      </c>
      <c r="B8098" s="35" t="s">
        <v>1105</v>
      </c>
    </row>
    <row r="8099" spans="1:2" x14ac:dyDescent="0.35">
      <c r="A8099" s="34">
        <v>41122803</v>
      </c>
      <c r="B8099" s="35" t="s">
        <v>8737</v>
      </c>
    </row>
    <row r="8100" spans="1:2" x14ac:dyDescent="0.35">
      <c r="A8100" s="34">
        <v>41122804</v>
      </c>
      <c r="B8100" s="35" t="s">
        <v>12885</v>
      </c>
    </row>
    <row r="8101" spans="1:2" x14ac:dyDescent="0.35">
      <c r="A8101" s="34">
        <v>41122805</v>
      </c>
      <c r="B8101" s="35" t="s">
        <v>10247</v>
      </c>
    </row>
    <row r="8102" spans="1:2" x14ac:dyDescent="0.35">
      <c r="A8102" s="34">
        <v>41122806</v>
      </c>
      <c r="B8102" s="35" t="s">
        <v>8624</v>
      </c>
    </row>
    <row r="8103" spans="1:2" x14ac:dyDescent="0.35">
      <c r="A8103" s="34">
        <v>41122807</v>
      </c>
      <c r="B8103" s="35" t="s">
        <v>17759</v>
      </c>
    </row>
    <row r="8104" spans="1:2" x14ac:dyDescent="0.35">
      <c r="A8104" s="34">
        <v>41122808</v>
      </c>
      <c r="B8104" s="35" t="s">
        <v>17779</v>
      </c>
    </row>
    <row r="8105" spans="1:2" x14ac:dyDescent="0.35">
      <c r="A8105" s="34">
        <v>41122809</v>
      </c>
      <c r="B8105" s="35" t="s">
        <v>17616</v>
      </c>
    </row>
    <row r="8106" spans="1:2" x14ac:dyDescent="0.35">
      <c r="A8106" s="34">
        <v>41123001</v>
      </c>
      <c r="B8106" s="35" t="s">
        <v>3705</v>
      </c>
    </row>
    <row r="8107" spans="1:2" x14ac:dyDescent="0.35">
      <c r="A8107" s="34">
        <v>41123002</v>
      </c>
      <c r="B8107" s="35" t="s">
        <v>18050</v>
      </c>
    </row>
    <row r="8108" spans="1:2" x14ac:dyDescent="0.35">
      <c r="A8108" s="34">
        <v>41123003</v>
      </c>
      <c r="B8108" s="35" t="s">
        <v>15815</v>
      </c>
    </row>
    <row r="8109" spans="1:2" x14ac:dyDescent="0.35">
      <c r="A8109" s="34">
        <v>41123004</v>
      </c>
      <c r="B8109" s="35" t="s">
        <v>12863</v>
      </c>
    </row>
    <row r="8110" spans="1:2" x14ac:dyDescent="0.35">
      <c r="A8110" s="34">
        <v>41123101</v>
      </c>
      <c r="B8110" s="35" t="s">
        <v>2455</v>
      </c>
    </row>
    <row r="8111" spans="1:2" x14ac:dyDescent="0.35">
      <c r="A8111" s="34">
        <v>41123102</v>
      </c>
      <c r="B8111" s="35" t="s">
        <v>2711</v>
      </c>
    </row>
    <row r="8112" spans="1:2" x14ac:dyDescent="0.35">
      <c r="A8112" s="34">
        <v>41123201</v>
      </c>
      <c r="B8112" s="35" t="s">
        <v>6495</v>
      </c>
    </row>
    <row r="8113" spans="1:2" x14ac:dyDescent="0.35">
      <c r="A8113" s="34">
        <v>41123202</v>
      </c>
      <c r="B8113" s="35" t="s">
        <v>12903</v>
      </c>
    </row>
    <row r="8114" spans="1:2" x14ac:dyDescent="0.35">
      <c r="A8114" s="34">
        <v>41123302</v>
      </c>
      <c r="B8114" s="35" t="s">
        <v>19222</v>
      </c>
    </row>
    <row r="8115" spans="1:2" x14ac:dyDescent="0.35">
      <c r="A8115" s="34">
        <v>41123303</v>
      </c>
      <c r="B8115" s="35" t="s">
        <v>9076</v>
      </c>
    </row>
    <row r="8116" spans="1:2" x14ac:dyDescent="0.35">
      <c r="A8116" s="34">
        <v>41123304</v>
      </c>
      <c r="B8116" s="35" t="s">
        <v>8403</v>
      </c>
    </row>
    <row r="8117" spans="1:2" x14ac:dyDescent="0.35">
      <c r="A8117" s="34">
        <v>41123305</v>
      </c>
      <c r="B8117" s="35" t="s">
        <v>16667</v>
      </c>
    </row>
    <row r="8118" spans="1:2" x14ac:dyDescent="0.35">
      <c r="A8118" s="34">
        <v>41123401</v>
      </c>
      <c r="B8118" s="35" t="s">
        <v>8295</v>
      </c>
    </row>
    <row r="8119" spans="1:2" x14ac:dyDescent="0.35">
      <c r="A8119" s="34">
        <v>41123402</v>
      </c>
      <c r="B8119" s="35" t="s">
        <v>7738</v>
      </c>
    </row>
    <row r="8120" spans="1:2" x14ac:dyDescent="0.35">
      <c r="A8120" s="34">
        <v>41123403</v>
      </c>
      <c r="B8120" s="35" t="s">
        <v>1943</v>
      </c>
    </row>
    <row r="8121" spans="1:2" x14ac:dyDescent="0.35">
      <c r="A8121" s="34">
        <v>42121501</v>
      </c>
      <c r="B8121" s="35" t="s">
        <v>9648</v>
      </c>
    </row>
    <row r="8122" spans="1:2" x14ac:dyDescent="0.35">
      <c r="A8122" s="34">
        <v>42121502</v>
      </c>
      <c r="B8122" s="35" t="s">
        <v>10410</v>
      </c>
    </row>
    <row r="8123" spans="1:2" x14ac:dyDescent="0.35">
      <c r="A8123" s="34">
        <v>42121503</v>
      </c>
      <c r="B8123" s="35" t="s">
        <v>10358</v>
      </c>
    </row>
    <row r="8124" spans="1:2" x14ac:dyDescent="0.35">
      <c r="A8124" s="34">
        <v>42121504</v>
      </c>
      <c r="B8124" s="35" t="s">
        <v>18025</v>
      </c>
    </row>
    <row r="8125" spans="1:2" x14ac:dyDescent="0.35">
      <c r="A8125" s="34">
        <v>42121505</v>
      </c>
      <c r="B8125" s="35" t="s">
        <v>18069</v>
      </c>
    </row>
    <row r="8126" spans="1:2" x14ac:dyDescent="0.35">
      <c r="A8126" s="34">
        <v>42121506</v>
      </c>
      <c r="B8126" s="35" t="s">
        <v>462</v>
      </c>
    </row>
    <row r="8127" spans="1:2" x14ac:dyDescent="0.35">
      <c r="A8127" s="34">
        <v>42121507</v>
      </c>
      <c r="B8127" s="35" t="s">
        <v>7111</v>
      </c>
    </row>
    <row r="8128" spans="1:2" x14ac:dyDescent="0.35">
      <c r="A8128" s="34">
        <v>42121508</v>
      </c>
      <c r="B8128" s="35" t="s">
        <v>12982</v>
      </c>
    </row>
    <row r="8129" spans="1:2" x14ac:dyDescent="0.35">
      <c r="A8129" s="34">
        <v>42121509</v>
      </c>
      <c r="B8129" s="35" t="s">
        <v>9030</v>
      </c>
    </row>
    <row r="8130" spans="1:2" x14ac:dyDescent="0.35">
      <c r="A8130" s="34">
        <v>42121510</v>
      </c>
      <c r="B8130" s="35" t="s">
        <v>13804</v>
      </c>
    </row>
    <row r="8131" spans="1:2" x14ac:dyDescent="0.35">
      <c r="A8131" s="34">
        <v>42121511</v>
      </c>
      <c r="B8131" s="35" t="s">
        <v>7057</v>
      </c>
    </row>
    <row r="8132" spans="1:2" x14ac:dyDescent="0.35">
      <c r="A8132" s="34">
        <v>42121512</v>
      </c>
      <c r="B8132" s="35" t="s">
        <v>1421</v>
      </c>
    </row>
    <row r="8133" spans="1:2" x14ac:dyDescent="0.35">
      <c r="A8133" s="34">
        <v>42121513</v>
      </c>
      <c r="B8133" s="35" t="s">
        <v>14878</v>
      </c>
    </row>
    <row r="8134" spans="1:2" x14ac:dyDescent="0.35">
      <c r="A8134" s="34">
        <v>42121514</v>
      </c>
      <c r="B8134" s="35" t="s">
        <v>2602</v>
      </c>
    </row>
    <row r="8135" spans="1:2" x14ac:dyDescent="0.35">
      <c r="A8135" s="34">
        <v>42121515</v>
      </c>
      <c r="B8135" s="35" t="s">
        <v>4157</v>
      </c>
    </row>
    <row r="8136" spans="1:2" x14ac:dyDescent="0.35">
      <c r="A8136" s="34">
        <v>42121601</v>
      </c>
      <c r="B8136" s="35" t="s">
        <v>6087</v>
      </c>
    </row>
    <row r="8137" spans="1:2" x14ac:dyDescent="0.35">
      <c r="A8137" s="34">
        <v>42121602</v>
      </c>
      <c r="B8137" s="35" t="s">
        <v>7532</v>
      </c>
    </row>
    <row r="8138" spans="1:2" x14ac:dyDescent="0.35">
      <c r="A8138" s="34">
        <v>42121603</v>
      </c>
      <c r="B8138" s="35" t="s">
        <v>142</v>
      </c>
    </row>
    <row r="8139" spans="1:2" x14ac:dyDescent="0.35">
      <c r="A8139" s="34">
        <v>42121604</v>
      </c>
      <c r="B8139" s="35" t="s">
        <v>8134</v>
      </c>
    </row>
    <row r="8140" spans="1:2" x14ac:dyDescent="0.35">
      <c r="A8140" s="34">
        <v>42121605</v>
      </c>
      <c r="B8140" s="35" t="s">
        <v>15455</v>
      </c>
    </row>
    <row r="8141" spans="1:2" x14ac:dyDescent="0.35">
      <c r="A8141" s="34">
        <v>42121606</v>
      </c>
      <c r="B8141" s="35" t="s">
        <v>9434</v>
      </c>
    </row>
    <row r="8142" spans="1:2" x14ac:dyDescent="0.35">
      <c r="A8142" s="34">
        <v>42121607</v>
      </c>
      <c r="B8142" s="35" t="s">
        <v>19178</v>
      </c>
    </row>
    <row r="8143" spans="1:2" x14ac:dyDescent="0.35">
      <c r="A8143" s="34">
        <v>42121608</v>
      </c>
      <c r="B8143" s="35" t="s">
        <v>1219</v>
      </c>
    </row>
    <row r="8144" spans="1:2" x14ac:dyDescent="0.35">
      <c r="A8144" s="34">
        <v>42121701</v>
      </c>
      <c r="B8144" s="35" t="s">
        <v>498</v>
      </c>
    </row>
    <row r="8145" spans="1:2" x14ac:dyDescent="0.35">
      <c r="A8145" s="34">
        <v>42121702</v>
      </c>
      <c r="B8145" s="35" t="s">
        <v>16439</v>
      </c>
    </row>
    <row r="8146" spans="1:2" x14ac:dyDescent="0.35">
      <c r="A8146" s="34">
        <v>42131501</v>
      </c>
      <c r="B8146" s="35" t="s">
        <v>10846</v>
      </c>
    </row>
    <row r="8147" spans="1:2" x14ac:dyDescent="0.35">
      <c r="A8147" s="34">
        <v>42131502</v>
      </c>
      <c r="B8147" s="35" t="s">
        <v>17202</v>
      </c>
    </row>
    <row r="8148" spans="1:2" x14ac:dyDescent="0.35">
      <c r="A8148" s="34">
        <v>42131503</v>
      </c>
      <c r="B8148" s="35" t="s">
        <v>5969</v>
      </c>
    </row>
    <row r="8149" spans="1:2" x14ac:dyDescent="0.35">
      <c r="A8149" s="34">
        <v>42131504</v>
      </c>
      <c r="B8149" s="35" t="s">
        <v>17261</v>
      </c>
    </row>
    <row r="8150" spans="1:2" x14ac:dyDescent="0.35">
      <c r="A8150" s="34">
        <v>42131505</v>
      </c>
      <c r="B8150" s="35" t="s">
        <v>1701</v>
      </c>
    </row>
    <row r="8151" spans="1:2" x14ac:dyDescent="0.35">
      <c r="A8151" s="34">
        <v>42131506</v>
      </c>
      <c r="B8151" s="35" t="s">
        <v>10188</v>
      </c>
    </row>
    <row r="8152" spans="1:2" x14ac:dyDescent="0.35">
      <c r="A8152" s="34">
        <v>42131507</v>
      </c>
      <c r="B8152" s="35" t="s">
        <v>16709</v>
      </c>
    </row>
    <row r="8153" spans="1:2" x14ac:dyDescent="0.35">
      <c r="A8153" s="34">
        <v>42131508</v>
      </c>
      <c r="B8153" s="35" t="s">
        <v>11748</v>
      </c>
    </row>
    <row r="8154" spans="1:2" x14ac:dyDescent="0.35">
      <c r="A8154" s="34">
        <v>42131509</v>
      </c>
      <c r="B8154" s="35" t="s">
        <v>5636</v>
      </c>
    </row>
    <row r="8155" spans="1:2" x14ac:dyDescent="0.35">
      <c r="A8155" s="34">
        <v>42131510</v>
      </c>
      <c r="B8155" s="35" t="s">
        <v>4899</v>
      </c>
    </row>
    <row r="8156" spans="1:2" x14ac:dyDescent="0.35">
      <c r="A8156" s="34">
        <v>42131601</v>
      </c>
      <c r="B8156" s="35" t="s">
        <v>7570</v>
      </c>
    </row>
    <row r="8157" spans="1:2" x14ac:dyDescent="0.35">
      <c r="A8157" s="34">
        <v>42131602</v>
      </c>
      <c r="B8157" s="35" t="s">
        <v>14107</v>
      </c>
    </row>
    <row r="8158" spans="1:2" x14ac:dyDescent="0.35">
      <c r="A8158" s="34">
        <v>42131603</v>
      </c>
      <c r="B8158" s="35" t="s">
        <v>16857</v>
      </c>
    </row>
    <row r="8159" spans="1:2" x14ac:dyDescent="0.35">
      <c r="A8159" s="34">
        <v>42131604</v>
      </c>
      <c r="B8159" s="35" t="s">
        <v>3116</v>
      </c>
    </row>
    <row r="8160" spans="1:2" x14ac:dyDescent="0.35">
      <c r="A8160" s="34">
        <v>42131605</v>
      </c>
      <c r="B8160" s="35" t="s">
        <v>19379</v>
      </c>
    </row>
    <row r="8161" spans="1:2" x14ac:dyDescent="0.35">
      <c r="A8161" s="34">
        <v>42131606</v>
      </c>
      <c r="B8161" s="35" t="s">
        <v>5782</v>
      </c>
    </row>
    <row r="8162" spans="1:2" x14ac:dyDescent="0.35">
      <c r="A8162" s="34">
        <v>42131607</v>
      </c>
      <c r="B8162" s="35" t="s">
        <v>11587</v>
      </c>
    </row>
    <row r="8163" spans="1:2" x14ac:dyDescent="0.35">
      <c r="A8163" s="34">
        <v>42131608</v>
      </c>
      <c r="B8163" s="35" t="s">
        <v>5035</v>
      </c>
    </row>
    <row r="8164" spans="1:2" x14ac:dyDescent="0.35">
      <c r="A8164" s="34">
        <v>42131609</v>
      </c>
      <c r="B8164" s="35" t="s">
        <v>13334</v>
      </c>
    </row>
    <row r="8165" spans="1:2" x14ac:dyDescent="0.35">
      <c r="A8165" s="34">
        <v>42131610</v>
      </c>
      <c r="B8165" s="35" t="s">
        <v>2177</v>
      </c>
    </row>
    <row r="8166" spans="1:2" x14ac:dyDescent="0.35">
      <c r="A8166" s="34">
        <v>42131611</v>
      </c>
      <c r="B8166" s="35" t="s">
        <v>10261</v>
      </c>
    </row>
    <row r="8167" spans="1:2" x14ac:dyDescent="0.35">
      <c r="A8167" s="34">
        <v>42131612</v>
      </c>
      <c r="B8167" s="35" t="s">
        <v>18282</v>
      </c>
    </row>
    <row r="8168" spans="1:2" x14ac:dyDescent="0.35">
      <c r="A8168" s="34">
        <v>42131613</v>
      </c>
      <c r="B8168" s="35" t="s">
        <v>18396</v>
      </c>
    </row>
    <row r="8169" spans="1:2" x14ac:dyDescent="0.35">
      <c r="A8169" s="34">
        <v>42131701</v>
      </c>
      <c r="B8169" s="35" t="s">
        <v>10250</v>
      </c>
    </row>
    <row r="8170" spans="1:2" x14ac:dyDescent="0.35">
      <c r="A8170" s="34">
        <v>42131702</v>
      </c>
      <c r="B8170" s="35" t="s">
        <v>7270</v>
      </c>
    </row>
    <row r="8171" spans="1:2" x14ac:dyDescent="0.35">
      <c r="A8171" s="34">
        <v>42131703</v>
      </c>
      <c r="B8171" s="35" t="s">
        <v>2367</v>
      </c>
    </row>
    <row r="8172" spans="1:2" x14ac:dyDescent="0.35">
      <c r="A8172" s="34">
        <v>42131704</v>
      </c>
      <c r="B8172" s="35" t="s">
        <v>13411</v>
      </c>
    </row>
    <row r="8173" spans="1:2" x14ac:dyDescent="0.35">
      <c r="A8173" s="34">
        <v>42131705</v>
      </c>
      <c r="B8173" s="35" t="s">
        <v>4484</v>
      </c>
    </row>
    <row r="8174" spans="1:2" x14ac:dyDescent="0.35">
      <c r="A8174" s="34">
        <v>42131706</v>
      </c>
      <c r="B8174" s="35" t="s">
        <v>17595</v>
      </c>
    </row>
    <row r="8175" spans="1:2" x14ac:dyDescent="0.35">
      <c r="A8175" s="34">
        <v>42131707</v>
      </c>
      <c r="B8175" s="35" t="s">
        <v>6290</v>
      </c>
    </row>
    <row r="8176" spans="1:2" x14ac:dyDescent="0.35">
      <c r="A8176" s="34">
        <v>42132101</v>
      </c>
      <c r="B8176" s="35" t="s">
        <v>7324</v>
      </c>
    </row>
    <row r="8177" spans="1:2" x14ac:dyDescent="0.35">
      <c r="A8177" s="34">
        <v>42132102</v>
      </c>
      <c r="B8177" s="35" t="s">
        <v>11167</v>
      </c>
    </row>
    <row r="8178" spans="1:2" x14ac:dyDescent="0.35">
      <c r="A8178" s="34">
        <v>42132103</v>
      </c>
      <c r="B8178" s="35" t="s">
        <v>14317</v>
      </c>
    </row>
    <row r="8179" spans="1:2" x14ac:dyDescent="0.35">
      <c r="A8179" s="34">
        <v>42132104</v>
      </c>
      <c r="B8179" s="35" t="s">
        <v>7643</v>
      </c>
    </row>
    <row r="8180" spans="1:2" x14ac:dyDescent="0.35">
      <c r="A8180" s="34">
        <v>42132105</v>
      </c>
      <c r="B8180" s="35" t="s">
        <v>14887</v>
      </c>
    </row>
    <row r="8181" spans="1:2" x14ac:dyDescent="0.35">
      <c r="A8181" s="34">
        <v>42132106</v>
      </c>
      <c r="B8181" s="35" t="s">
        <v>3625</v>
      </c>
    </row>
    <row r="8182" spans="1:2" x14ac:dyDescent="0.35">
      <c r="A8182" s="34">
        <v>42132107</v>
      </c>
      <c r="B8182" s="35" t="s">
        <v>15741</v>
      </c>
    </row>
    <row r="8183" spans="1:2" x14ac:dyDescent="0.35">
      <c r="A8183" s="34">
        <v>42132108</v>
      </c>
      <c r="B8183" s="35" t="s">
        <v>2498</v>
      </c>
    </row>
    <row r="8184" spans="1:2" x14ac:dyDescent="0.35">
      <c r="A8184" s="34">
        <v>42132201</v>
      </c>
      <c r="B8184" s="35" t="s">
        <v>19378</v>
      </c>
    </row>
    <row r="8185" spans="1:2" x14ac:dyDescent="0.35">
      <c r="A8185" s="34">
        <v>42132202</v>
      </c>
      <c r="B8185" s="35" t="s">
        <v>6816</v>
      </c>
    </row>
    <row r="8186" spans="1:2" x14ac:dyDescent="0.35">
      <c r="A8186" s="34">
        <v>42132203</v>
      </c>
      <c r="B8186" s="35" t="s">
        <v>18127</v>
      </c>
    </row>
    <row r="8187" spans="1:2" x14ac:dyDescent="0.35">
      <c r="A8187" s="34">
        <v>42132204</v>
      </c>
      <c r="B8187" s="35" t="s">
        <v>1859</v>
      </c>
    </row>
    <row r="8188" spans="1:2" x14ac:dyDescent="0.35">
      <c r="A8188" s="34">
        <v>42132205</v>
      </c>
      <c r="B8188" s="35" t="s">
        <v>11693</v>
      </c>
    </row>
    <row r="8189" spans="1:2" x14ac:dyDescent="0.35">
      <c r="A8189" s="34">
        <v>42141501</v>
      </c>
      <c r="B8189" s="35" t="s">
        <v>18551</v>
      </c>
    </row>
    <row r="8190" spans="1:2" x14ac:dyDescent="0.35">
      <c r="A8190" s="34">
        <v>42141502</v>
      </c>
      <c r="B8190" s="35" t="s">
        <v>6151</v>
      </c>
    </row>
    <row r="8191" spans="1:2" x14ac:dyDescent="0.35">
      <c r="A8191" s="34">
        <v>42141503</v>
      </c>
      <c r="B8191" s="35" t="s">
        <v>15824</v>
      </c>
    </row>
    <row r="8192" spans="1:2" x14ac:dyDescent="0.35">
      <c r="A8192" s="34">
        <v>42141504</v>
      </c>
      <c r="B8192" s="35" t="s">
        <v>566</v>
      </c>
    </row>
    <row r="8193" spans="1:2" x14ac:dyDescent="0.35">
      <c r="A8193" s="34">
        <v>42141601</v>
      </c>
      <c r="B8193" s="35" t="s">
        <v>6048</v>
      </c>
    </row>
    <row r="8194" spans="1:2" x14ac:dyDescent="0.35">
      <c r="A8194" s="34">
        <v>42141602</v>
      </c>
      <c r="B8194" s="35" t="s">
        <v>2930</v>
      </c>
    </row>
    <row r="8195" spans="1:2" x14ac:dyDescent="0.35">
      <c r="A8195" s="34">
        <v>42141603</v>
      </c>
      <c r="B8195" s="35" t="s">
        <v>8576</v>
      </c>
    </row>
    <row r="8196" spans="1:2" x14ac:dyDescent="0.35">
      <c r="A8196" s="34">
        <v>42141604</v>
      </c>
      <c r="B8196" s="35" t="s">
        <v>14498</v>
      </c>
    </row>
    <row r="8197" spans="1:2" x14ac:dyDescent="0.35">
      <c r="A8197" s="34">
        <v>42141605</v>
      </c>
      <c r="B8197" s="35" t="s">
        <v>19113</v>
      </c>
    </row>
    <row r="8198" spans="1:2" x14ac:dyDescent="0.35">
      <c r="A8198" s="34">
        <v>42141606</v>
      </c>
      <c r="B8198" s="35" t="s">
        <v>6625</v>
      </c>
    </row>
    <row r="8199" spans="1:2" x14ac:dyDescent="0.35">
      <c r="A8199" s="34">
        <v>42141607</v>
      </c>
      <c r="B8199" s="35" t="s">
        <v>3136</v>
      </c>
    </row>
    <row r="8200" spans="1:2" x14ac:dyDescent="0.35">
      <c r="A8200" s="34">
        <v>42141701</v>
      </c>
      <c r="B8200" s="35" t="s">
        <v>13995</v>
      </c>
    </row>
    <row r="8201" spans="1:2" x14ac:dyDescent="0.35">
      <c r="A8201" s="34">
        <v>42141702</v>
      </c>
      <c r="B8201" s="35" t="s">
        <v>6171</v>
      </c>
    </row>
    <row r="8202" spans="1:2" x14ac:dyDescent="0.35">
      <c r="A8202" s="34">
        <v>42141703</v>
      </c>
      <c r="B8202" s="35" t="s">
        <v>18975</v>
      </c>
    </row>
    <row r="8203" spans="1:2" x14ac:dyDescent="0.35">
      <c r="A8203" s="34">
        <v>42141704</v>
      </c>
      <c r="B8203" s="35" t="s">
        <v>18506</v>
      </c>
    </row>
    <row r="8204" spans="1:2" x14ac:dyDescent="0.35">
      <c r="A8204" s="34">
        <v>42141705</v>
      </c>
      <c r="B8204" s="35" t="s">
        <v>13842</v>
      </c>
    </row>
    <row r="8205" spans="1:2" x14ac:dyDescent="0.35">
      <c r="A8205" s="34">
        <v>42141801</v>
      </c>
      <c r="B8205" s="35" t="s">
        <v>3938</v>
      </c>
    </row>
    <row r="8206" spans="1:2" x14ac:dyDescent="0.35">
      <c r="A8206" s="34">
        <v>42141802</v>
      </c>
      <c r="B8206" s="35" t="s">
        <v>1366</v>
      </c>
    </row>
    <row r="8207" spans="1:2" x14ac:dyDescent="0.35">
      <c r="A8207" s="34">
        <v>42141803</v>
      </c>
      <c r="B8207" s="35" t="s">
        <v>6664</v>
      </c>
    </row>
    <row r="8208" spans="1:2" x14ac:dyDescent="0.35">
      <c r="A8208" s="34">
        <v>42141804</v>
      </c>
      <c r="B8208" s="35" t="s">
        <v>7949</v>
      </c>
    </row>
    <row r="8209" spans="1:2" x14ac:dyDescent="0.35">
      <c r="A8209" s="34">
        <v>42141805</v>
      </c>
      <c r="B8209" s="35" t="s">
        <v>6450</v>
      </c>
    </row>
    <row r="8210" spans="1:2" x14ac:dyDescent="0.35">
      <c r="A8210" s="34">
        <v>42141806</v>
      </c>
      <c r="B8210" s="35" t="s">
        <v>9013</v>
      </c>
    </row>
    <row r="8211" spans="1:2" x14ac:dyDescent="0.35">
      <c r="A8211" s="34">
        <v>42141807</v>
      </c>
      <c r="B8211" s="35" t="s">
        <v>15574</v>
      </c>
    </row>
    <row r="8212" spans="1:2" x14ac:dyDescent="0.35">
      <c r="A8212" s="34">
        <v>42141808</v>
      </c>
      <c r="B8212" s="35" t="s">
        <v>8186</v>
      </c>
    </row>
    <row r="8213" spans="1:2" x14ac:dyDescent="0.35">
      <c r="A8213" s="34">
        <v>42141809</v>
      </c>
      <c r="B8213" s="35" t="s">
        <v>1290</v>
      </c>
    </row>
    <row r="8214" spans="1:2" x14ac:dyDescent="0.35">
      <c r="A8214" s="34">
        <v>42141901</v>
      </c>
      <c r="B8214" s="35" t="s">
        <v>10935</v>
      </c>
    </row>
    <row r="8215" spans="1:2" x14ac:dyDescent="0.35">
      <c r="A8215" s="34">
        <v>42141902</v>
      </c>
      <c r="B8215" s="35" t="s">
        <v>8150</v>
      </c>
    </row>
    <row r="8216" spans="1:2" x14ac:dyDescent="0.35">
      <c r="A8216" s="34">
        <v>42141903</v>
      </c>
      <c r="B8216" s="35" t="s">
        <v>13947</v>
      </c>
    </row>
    <row r="8217" spans="1:2" x14ac:dyDescent="0.35">
      <c r="A8217" s="34">
        <v>42141904</v>
      </c>
      <c r="B8217" s="35" t="s">
        <v>14164</v>
      </c>
    </row>
    <row r="8218" spans="1:2" x14ac:dyDescent="0.35">
      <c r="A8218" s="34">
        <v>42141905</v>
      </c>
      <c r="B8218" s="35" t="s">
        <v>12865</v>
      </c>
    </row>
    <row r="8219" spans="1:2" x14ac:dyDescent="0.35">
      <c r="A8219" s="34">
        <v>42142001</v>
      </c>
      <c r="B8219" s="35" t="s">
        <v>16177</v>
      </c>
    </row>
    <row r="8220" spans="1:2" x14ac:dyDescent="0.35">
      <c r="A8220" s="34">
        <v>42142002</v>
      </c>
      <c r="B8220" s="35" t="s">
        <v>13009</v>
      </c>
    </row>
    <row r="8221" spans="1:2" x14ac:dyDescent="0.35">
      <c r="A8221" s="34">
        <v>42142003</v>
      </c>
      <c r="B8221" s="35" t="s">
        <v>16292</v>
      </c>
    </row>
    <row r="8222" spans="1:2" x14ac:dyDescent="0.35">
      <c r="A8222" s="34">
        <v>42142004</v>
      </c>
      <c r="B8222" s="35" t="s">
        <v>10515</v>
      </c>
    </row>
    <row r="8223" spans="1:2" x14ac:dyDescent="0.35">
      <c r="A8223" s="34">
        <v>42142005</v>
      </c>
      <c r="B8223" s="35" t="s">
        <v>2267</v>
      </c>
    </row>
    <row r="8224" spans="1:2" x14ac:dyDescent="0.35">
      <c r="A8224" s="34">
        <v>42142006</v>
      </c>
      <c r="B8224" s="35" t="s">
        <v>10113</v>
      </c>
    </row>
    <row r="8225" spans="1:2" x14ac:dyDescent="0.35">
      <c r="A8225" s="34">
        <v>42142007</v>
      </c>
      <c r="B8225" s="35" t="s">
        <v>11445</v>
      </c>
    </row>
    <row r="8226" spans="1:2" x14ac:dyDescent="0.35">
      <c r="A8226" s="34">
        <v>42142101</v>
      </c>
      <c r="B8226" s="35" t="s">
        <v>3888</v>
      </c>
    </row>
    <row r="8227" spans="1:2" x14ac:dyDescent="0.35">
      <c r="A8227" s="34">
        <v>42142102</v>
      </c>
      <c r="B8227" s="35" t="s">
        <v>2837</v>
      </c>
    </row>
    <row r="8228" spans="1:2" x14ac:dyDescent="0.35">
      <c r="A8228" s="34">
        <v>42142103</v>
      </c>
      <c r="B8228" s="35" t="s">
        <v>12803</v>
      </c>
    </row>
    <row r="8229" spans="1:2" x14ac:dyDescent="0.35">
      <c r="A8229" s="34">
        <v>42142104</v>
      </c>
      <c r="B8229" s="35" t="s">
        <v>8603</v>
      </c>
    </row>
    <row r="8230" spans="1:2" x14ac:dyDescent="0.35">
      <c r="A8230" s="34">
        <v>42142105</v>
      </c>
      <c r="B8230" s="35" t="s">
        <v>10381</v>
      </c>
    </row>
    <row r="8231" spans="1:2" x14ac:dyDescent="0.35">
      <c r="A8231" s="34">
        <v>42142106</v>
      </c>
      <c r="B8231" s="35" t="s">
        <v>17405</v>
      </c>
    </row>
    <row r="8232" spans="1:2" x14ac:dyDescent="0.35">
      <c r="A8232" s="34">
        <v>42142107</v>
      </c>
      <c r="B8232" s="35" t="s">
        <v>9730</v>
      </c>
    </row>
    <row r="8233" spans="1:2" x14ac:dyDescent="0.35">
      <c r="A8233" s="34">
        <v>42142108</v>
      </c>
      <c r="B8233" s="35" t="s">
        <v>13523</v>
      </c>
    </row>
    <row r="8234" spans="1:2" x14ac:dyDescent="0.35">
      <c r="A8234" s="34">
        <v>42142109</v>
      </c>
      <c r="B8234" s="35" t="s">
        <v>103</v>
      </c>
    </row>
    <row r="8235" spans="1:2" x14ac:dyDescent="0.35">
      <c r="A8235" s="34">
        <v>42142110</v>
      </c>
      <c r="B8235" s="35" t="s">
        <v>12788</v>
      </c>
    </row>
    <row r="8236" spans="1:2" x14ac:dyDescent="0.35">
      <c r="A8236" s="34">
        <v>42142111</v>
      </c>
      <c r="B8236" s="35" t="s">
        <v>5163</v>
      </c>
    </row>
    <row r="8237" spans="1:2" x14ac:dyDescent="0.35">
      <c r="A8237" s="34">
        <v>42142112</v>
      </c>
      <c r="B8237" s="35" t="s">
        <v>7302</v>
      </c>
    </row>
    <row r="8238" spans="1:2" x14ac:dyDescent="0.35">
      <c r="A8238" s="34">
        <v>42142113</v>
      </c>
      <c r="B8238" s="35" t="s">
        <v>11202</v>
      </c>
    </row>
    <row r="8239" spans="1:2" x14ac:dyDescent="0.35">
      <c r="A8239" s="34">
        <v>42142114</v>
      </c>
      <c r="B8239" s="35" t="s">
        <v>1868</v>
      </c>
    </row>
    <row r="8240" spans="1:2" x14ac:dyDescent="0.35">
      <c r="A8240" s="34">
        <v>42142119</v>
      </c>
      <c r="B8240" s="35" t="s">
        <v>4482</v>
      </c>
    </row>
    <row r="8241" spans="1:2" x14ac:dyDescent="0.35">
      <c r="A8241" s="34">
        <v>42142201</v>
      </c>
      <c r="B8241" s="35" t="s">
        <v>16163</v>
      </c>
    </row>
    <row r="8242" spans="1:2" x14ac:dyDescent="0.35">
      <c r="A8242" s="34">
        <v>42142202</v>
      </c>
      <c r="B8242" s="35" t="s">
        <v>5847</v>
      </c>
    </row>
    <row r="8243" spans="1:2" x14ac:dyDescent="0.35">
      <c r="A8243" s="34">
        <v>42142203</v>
      </c>
      <c r="B8243" s="35" t="s">
        <v>15133</v>
      </c>
    </row>
    <row r="8244" spans="1:2" x14ac:dyDescent="0.35">
      <c r="A8244" s="34">
        <v>42142204</v>
      </c>
      <c r="B8244" s="35" t="s">
        <v>7053</v>
      </c>
    </row>
    <row r="8245" spans="1:2" x14ac:dyDescent="0.35">
      <c r="A8245" s="34">
        <v>42142301</v>
      </c>
      <c r="B8245" s="35" t="s">
        <v>3206</v>
      </c>
    </row>
    <row r="8246" spans="1:2" x14ac:dyDescent="0.35">
      <c r="A8246" s="34">
        <v>42142302</v>
      </c>
      <c r="B8246" s="35" t="s">
        <v>18751</v>
      </c>
    </row>
    <row r="8247" spans="1:2" x14ac:dyDescent="0.35">
      <c r="A8247" s="34">
        <v>42142303</v>
      </c>
      <c r="B8247" s="35" t="s">
        <v>14279</v>
      </c>
    </row>
    <row r="8248" spans="1:2" x14ac:dyDescent="0.35">
      <c r="A8248" s="34">
        <v>42142401</v>
      </c>
      <c r="B8248" s="35" t="s">
        <v>15964</v>
      </c>
    </row>
    <row r="8249" spans="1:2" x14ac:dyDescent="0.35">
      <c r="A8249" s="34">
        <v>42142402</v>
      </c>
      <c r="B8249" s="35" t="s">
        <v>18014</v>
      </c>
    </row>
    <row r="8250" spans="1:2" x14ac:dyDescent="0.35">
      <c r="A8250" s="34">
        <v>42142403</v>
      </c>
      <c r="B8250" s="35" t="s">
        <v>11907</v>
      </c>
    </row>
    <row r="8251" spans="1:2" x14ac:dyDescent="0.35">
      <c r="A8251" s="34">
        <v>42142404</v>
      </c>
      <c r="B8251" s="35" t="s">
        <v>17372</v>
      </c>
    </row>
    <row r="8252" spans="1:2" x14ac:dyDescent="0.35">
      <c r="A8252" s="34">
        <v>42142405</v>
      </c>
      <c r="B8252" s="35" t="s">
        <v>8425</v>
      </c>
    </row>
    <row r="8253" spans="1:2" x14ac:dyDescent="0.35">
      <c r="A8253" s="34">
        <v>42142406</v>
      </c>
      <c r="B8253" s="35" t="s">
        <v>5584</v>
      </c>
    </row>
    <row r="8254" spans="1:2" x14ac:dyDescent="0.35">
      <c r="A8254" s="34">
        <v>42142407</v>
      </c>
      <c r="B8254" s="35" t="s">
        <v>17049</v>
      </c>
    </row>
    <row r="8255" spans="1:2" x14ac:dyDescent="0.35">
      <c r="A8255" s="34">
        <v>42142501</v>
      </c>
      <c r="B8255" s="35" t="s">
        <v>15192</v>
      </c>
    </row>
    <row r="8256" spans="1:2" x14ac:dyDescent="0.35">
      <c r="A8256" s="34">
        <v>42142502</v>
      </c>
      <c r="B8256" s="35" t="s">
        <v>11359</v>
      </c>
    </row>
    <row r="8257" spans="1:2" x14ac:dyDescent="0.35">
      <c r="A8257" s="34">
        <v>42142503</v>
      </c>
      <c r="B8257" s="35" t="s">
        <v>15690</v>
      </c>
    </row>
    <row r="8258" spans="1:2" x14ac:dyDescent="0.35">
      <c r="A8258" s="34">
        <v>42142504</v>
      </c>
      <c r="B8258" s="35" t="s">
        <v>7864</v>
      </c>
    </row>
    <row r="8259" spans="1:2" x14ac:dyDescent="0.35">
      <c r="A8259" s="34">
        <v>42142505</v>
      </c>
      <c r="B8259" s="35" t="s">
        <v>15362</v>
      </c>
    </row>
    <row r="8260" spans="1:2" x14ac:dyDescent="0.35">
      <c r="A8260" s="34">
        <v>42142506</v>
      </c>
      <c r="B8260" s="35" t="s">
        <v>18054</v>
      </c>
    </row>
    <row r="8261" spans="1:2" x14ac:dyDescent="0.35">
      <c r="A8261" s="34">
        <v>42142507</v>
      </c>
      <c r="B8261" s="35" t="s">
        <v>18485</v>
      </c>
    </row>
    <row r="8262" spans="1:2" x14ac:dyDescent="0.35">
      <c r="A8262" s="34">
        <v>42142509</v>
      </c>
      <c r="B8262" s="35" t="s">
        <v>17813</v>
      </c>
    </row>
    <row r="8263" spans="1:2" x14ac:dyDescent="0.35">
      <c r="A8263" s="34">
        <v>42142510</v>
      </c>
      <c r="B8263" s="35" t="s">
        <v>9277</v>
      </c>
    </row>
    <row r="8264" spans="1:2" x14ac:dyDescent="0.35">
      <c r="A8264" s="34">
        <v>42142511</v>
      </c>
      <c r="B8264" s="35" t="s">
        <v>3420</v>
      </c>
    </row>
    <row r="8265" spans="1:2" x14ac:dyDescent="0.35">
      <c r="A8265" s="34">
        <v>42142512</v>
      </c>
      <c r="B8265" s="35" t="s">
        <v>7927</v>
      </c>
    </row>
    <row r="8266" spans="1:2" x14ac:dyDescent="0.35">
      <c r="A8266" s="34">
        <v>42142513</v>
      </c>
      <c r="B8266" s="35" t="s">
        <v>13229</v>
      </c>
    </row>
    <row r="8267" spans="1:2" x14ac:dyDescent="0.35">
      <c r="A8267" s="34">
        <v>42142514</v>
      </c>
      <c r="B8267" s="35" t="s">
        <v>7937</v>
      </c>
    </row>
    <row r="8268" spans="1:2" x14ac:dyDescent="0.35">
      <c r="A8268" s="34">
        <v>42142515</v>
      </c>
      <c r="B8268" s="35" t="s">
        <v>19399</v>
      </c>
    </row>
    <row r="8269" spans="1:2" x14ac:dyDescent="0.35">
      <c r="A8269" s="34">
        <v>42142516</v>
      </c>
      <c r="B8269" s="35" t="s">
        <v>8894</v>
      </c>
    </row>
    <row r="8270" spans="1:2" x14ac:dyDescent="0.35">
      <c r="A8270" s="34">
        <v>42142517</v>
      </c>
      <c r="B8270" s="35" t="s">
        <v>6778</v>
      </c>
    </row>
    <row r="8271" spans="1:2" x14ac:dyDescent="0.35">
      <c r="A8271" s="34">
        <v>42142518</v>
      </c>
      <c r="B8271" s="35" t="s">
        <v>2358</v>
      </c>
    </row>
    <row r="8272" spans="1:2" x14ac:dyDescent="0.35">
      <c r="A8272" s="34">
        <v>42142519</v>
      </c>
      <c r="B8272" s="35" t="s">
        <v>17409</v>
      </c>
    </row>
    <row r="8273" spans="1:2" x14ac:dyDescent="0.35">
      <c r="A8273" s="34">
        <v>42142520</v>
      </c>
      <c r="B8273" s="35" t="s">
        <v>2914</v>
      </c>
    </row>
    <row r="8274" spans="1:2" x14ac:dyDescent="0.35">
      <c r="A8274" s="34">
        <v>42142521</v>
      </c>
      <c r="B8274" s="35" t="s">
        <v>13403</v>
      </c>
    </row>
    <row r="8275" spans="1:2" x14ac:dyDescent="0.35">
      <c r="A8275" s="34">
        <v>42142522</v>
      </c>
      <c r="B8275" s="35" t="s">
        <v>12100</v>
      </c>
    </row>
    <row r="8276" spans="1:2" x14ac:dyDescent="0.35">
      <c r="A8276" s="34">
        <v>42142523</v>
      </c>
      <c r="B8276" s="35" t="s">
        <v>15600</v>
      </c>
    </row>
    <row r="8277" spans="1:2" x14ac:dyDescent="0.35">
      <c r="A8277" s="34">
        <v>42142524</v>
      </c>
      <c r="B8277" s="35" t="s">
        <v>10244</v>
      </c>
    </row>
    <row r="8278" spans="1:2" x14ac:dyDescent="0.35">
      <c r="A8278" s="34">
        <v>42142525</v>
      </c>
      <c r="B8278" s="35" t="s">
        <v>6988</v>
      </c>
    </row>
    <row r="8279" spans="1:2" x14ac:dyDescent="0.35">
      <c r="A8279" s="34">
        <v>42142526</v>
      </c>
      <c r="B8279" s="35" t="s">
        <v>10906</v>
      </c>
    </row>
    <row r="8280" spans="1:2" x14ac:dyDescent="0.35">
      <c r="A8280" s="34">
        <v>42142527</v>
      </c>
      <c r="B8280" s="35" t="s">
        <v>5991</v>
      </c>
    </row>
    <row r="8281" spans="1:2" x14ac:dyDescent="0.35">
      <c r="A8281" s="34">
        <v>42142528</v>
      </c>
      <c r="B8281" s="35" t="s">
        <v>16933</v>
      </c>
    </row>
    <row r="8282" spans="1:2" x14ac:dyDescent="0.35">
      <c r="A8282" s="34">
        <v>42142529</v>
      </c>
      <c r="B8282" s="35" t="s">
        <v>5523</v>
      </c>
    </row>
    <row r="8283" spans="1:2" x14ac:dyDescent="0.35">
      <c r="A8283" s="34">
        <v>42142530</v>
      </c>
      <c r="B8283" s="35" t="s">
        <v>11668</v>
      </c>
    </row>
    <row r="8284" spans="1:2" x14ac:dyDescent="0.35">
      <c r="A8284" s="34">
        <v>42142531</v>
      </c>
      <c r="B8284" s="35" t="s">
        <v>8162</v>
      </c>
    </row>
    <row r="8285" spans="1:2" x14ac:dyDescent="0.35">
      <c r="A8285" s="34">
        <v>42142532</v>
      </c>
      <c r="B8285" s="35" t="s">
        <v>13990</v>
      </c>
    </row>
    <row r="8286" spans="1:2" x14ac:dyDescent="0.35">
      <c r="A8286" s="34">
        <v>42142601</v>
      </c>
      <c r="B8286" s="35" t="s">
        <v>6336</v>
      </c>
    </row>
    <row r="8287" spans="1:2" x14ac:dyDescent="0.35">
      <c r="A8287" s="34">
        <v>42142602</v>
      </c>
      <c r="B8287" s="35" t="s">
        <v>12563</v>
      </c>
    </row>
    <row r="8288" spans="1:2" x14ac:dyDescent="0.35">
      <c r="A8288" s="34">
        <v>42142603</v>
      </c>
      <c r="B8288" s="35" t="s">
        <v>1467</v>
      </c>
    </row>
    <row r="8289" spans="1:2" x14ac:dyDescent="0.35">
      <c r="A8289" s="34">
        <v>42142604</v>
      </c>
      <c r="B8289" s="35" t="s">
        <v>2303</v>
      </c>
    </row>
    <row r="8290" spans="1:2" x14ac:dyDescent="0.35">
      <c r="A8290" s="34">
        <v>42142605</v>
      </c>
      <c r="B8290" s="35" t="s">
        <v>13455</v>
      </c>
    </row>
    <row r="8291" spans="1:2" x14ac:dyDescent="0.35">
      <c r="A8291" s="34">
        <v>42142606</v>
      </c>
      <c r="B8291" s="35" t="s">
        <v>7189</v>
      </c>
    </row>
    <row r="8292" spans="1:2" x14ac:dyDescent="0.35">
      <c r="A8292" s="34">
        <v>42142607</v>
      </c>
      <c r="B8292" s="35" t="s">
        <v>8945</v>
      </c>
    </row>
    <row r="8293" spans="1:2" x14ac:dyDescent="0.35">
      <c r="A8293" s="34">
        <v>42142608</v>
      </c>
      <c r="B8293" s="35" t="s">
        <v>9975</v>
      </c>
    </row>
    <row r="8294" spans="1:2" x14ac:dyDescent="0.35">
      <c r="A8294" s="34">
        <v>42142609</v>
      </c>
      <c r="B8294" s="35" t="s">
        <v>8361</v>
      </c>
    </row>
    <row r="8295" spans="1:2" x14ac:dyDescent="0.35">
      <c r="A8295" s="34">
        <v>42142610</v>
      </c>
      <c r="B8295" s="35" t="s">
        <v>2680</v>
      </c>
    </row>
    <row r="8296" spans="1:2" x14ac:dyDescent="0.35">
      <c r="A8296" s="34">
        <v>42142611</v>
      </c>
      <c r="B8296" s="35" t="s">
        <v>8691</v>
      </c>
    </row>
    <row r="8297" spans="1:2" x14ac:dyDescent="0.35">
      <c r="A8297" s="34">
        <v>42142612</v>
      </c>
      <c r="B8297" s="35" t="s">
        <v>13214</v>
      </c>
    </row>
    <row r="8298" spans="1:2" x14ac:dyDescent="0.35">
      <c r="A8298" s="34">
        <v>42142613</v>
      </c>
      <c r="B8298" s="35" t="s">
        <v>4239</v>
      </c>
    </row>
    <row r="8299" spans="1:2" x14ac:dyDescent="0.35">
      <c r="A8299" s="34">
        <v>42142614</v>
      </c>
      <c r="B8299" s="35" t="s">
        <v>18982</v>
      </c>
    </row>
    <row r="8300" spans="1:2" x14ac:dyDescent="0.35">
      <c r="A8300" s="34">
        <v>42142615</v>
      </c>
      <c r="B8300" s="35" t="s">
        <v>17131</v>
      </c>
    </row>
    <row r="8301" spans="1:2" x14ac:dyDescent="0.35">
      <c r="A8301" s="34">
        <v>42142616</v>
      </c>
      <c r="B8301" s="35" t="s">
        <v>871</v>
      </c>
    </row>
    <row r="8302" spans="1:2" x14ac:dyDescent="0.35">
      <c r="A8302" s="34">
        <v>42142617</v>
      </c>
      <c r="B8302" s="35" t="s">
        <v>16571</v>
      </c>
    </row>
    <row r="8303" spans="1:2" x14ac:dyDescent="0.35">
      <c r="A8303" s="34">
        <v>42142618</v>
      </c>
      <c r="B8303" s="35" t="s">
        <v>1890</v>
      </c>
    </row>
    <row r="8304" spans="1:2" x14ac:dyDescent="0.35">
      <c r="A8304" s="34">
        <v>42142701</v>
      </c>
      <c r="B8304" s="35" t="s">
        <v>1825</v>
      </c>
    </row>
    <row r="8305" spans="1:2" x14ac:dyDescent="0.35">
      <c r="A8305" s="34">
        <v>42142702</v>
      </c>
      <c r="B8305" s="35" t="s">
        <v>14584</v>
      </c>
    </row>
    <row r="8306" spans="1:2" x14ac:dyDescent="0.35">
      <c r="A8306" s="34">
        <v>42142703</v>
      </c>
      <c r="B8306" s="35" t="s">
        <v>14928</v>
      </c>
    </row>
    <row r="8307" spans="1:2" x14ac:dyDescent="0.35">
      <c r="A8307" s="34">
        <v>42142704</v>
      </c>
      <c r="B8307" s="35" t="s">
        <v>15572</v>
      </c>
    </row>
    <row r="8308" spans="1:2" x14ac:dyDescent="0.35">
      <c r="A8308" s="34">
        <v>42142705</v>
      </c>
      <c r="B8308" s="35" t="s">
        <v>17638</v>
      </c>
    </row>
    <row r="8309" spans="1:2" x14ac:dyDescent="0.35">
      <c r="A8309" s="34">
        <v>42142706</v>
      </c>
      <c r="B8309" s="35" t="s">
        <v>1210</v>
      </c>
    </row>
    <row r="8310" spans="1:2" x14ac:dyDescent="0.35">
      <c r="A8310" s="34">
        <v>42142707</v>
      </c>
      <c r="B8310" s="35" t="s">
        <v>3039</v>
      </c>
    </row>
    <row r="8311" spans="1:2" x14ac:dyDescent="0.35">
      <c r="A8311" s="34">
        <v>42142708</v>
      </c>
      <c r="B8311" s="35" t="s">
        <v>18187</v>
      </c>
    </row>
    <row r="8312" spans="1:2" x14ac:dyDescent="0.35">
      <c r="A8312" s="34">
        <v>42142709</v>
      </c>
      <c r="B8312" s="35" t="s">
        <v>6801</v>
      </c>
    </row>
    <row r="8313" spans="1:2" x14ac:dyDescent="0.35">
      <c r="A8313" s="34">
        <v>42142710</v>
      </c>
      <c r="B8313" s="35" t="s">
        <v>11203</v>
      </c>
    </row>
    <row r="8314" spans="1:2" x14ac:dyDescent="0.35">
      <c r="A8314" s="34">
        <v>42142711</v>
      </c>
      <c r="B8314" s="35" t="s">
        <v>16658</v>
      </c>
    </row>
    <row r="8315" spans="1:2" x14ac:dyDescent="0.35">
      <c r="A8315" s="34">
        <v>42142712</v>
      </c>
      <c r="B8315" s="35" t="s">
        <v>11898</v>
      </c>
    </row>
    <row r="8316" spans="1:2" x14ac:dyDescent="0.35">
      <c r="A8316" s="34">
        <v>42142713</v>
      </c>
      <c r="B8316" s="35" t="s">
        <v>124</v>
      </c>
    </row>
    <row r="8317" spans="1:2" x14ac:dyDescent="0.35">
      <c r="A8317" s="34">
        <v>42142714</v>
      </c>
      <c r="B8317" s="35" t="s">
        <v>2540</v>
      </c>
    </row>
    <row r="8318" spans="1:2" x14ac:dyDescent="0.35">
      <c r="A8318" s="34">
        <v>42142715</v>
      </c>
      <c r="B8318" s="35" t="s">
        <v>373</v>
      </c>
    </row>
    <row r="8319" spans="1:2" x14ac:dyDescent="0.35">
      <c r="A8319" s="34">
        <v>42142716</v>
      </c>
      <c r="B8319" s="35" t="s">
        <v>261</v>
      </c>
    </row>
    <row r="8320" spans="1:2" x14ac:dyDescent="0.35">
      <c r="A8320" s="34">
        <v>42142801</v>
      </c>
      <c r="B8320" s="35" t="s">
        <v>5713</v>
      </c>
    </row>
    <row r="8321" spans="1:2" x14ac:dyDescent="0.35">
      <c r="A8321" s="34">
        <v>42142802</v>
      </c>
      <c r="B8321" s="35" t="s">
        <v>5151</v>
      </c>
    </row>
    <row r="8322" spans="1:2" x14ac:dyDescent="0.35">
      <c r="A8322" s="34">
        <v>42142901</v>
      </c>
      <c r="B8322" s="35" t="s">
        <v>7849</v>
      </c>
    </row>
    <row r="8323" spans="1:2" x14ac:dyDescent="0.35">
      <c r="A8323" s="34">
        <v>42142902</v>
      </c>
      <c r="B8323" s="35" t="s">
        <v>11024</v>
      </c>
    </row>
    <row r="8324" spans="1:2" x14ac:dyDescent="0.35">
      <c r="A8324" s="34">
        <v>42142903</v>
      </c>
      <c r="B8324" s="35" t="s">
        <v>18146</v>
      </c>
    </row>
    <row r="8325" spans="1:2" x14ac:dyDescent="0.35">
      <c r="A8325" s="34">
        <v>42142904</v>
      </c>
      <c r="B8325" s="35" t="s">
        <v>631</v>
      </c>
    </row>
    <row r="8326" spans="1:2" x14ac:dyDescent="0.35">
      <c r="A8326" s="34">
        <v>42142905</v>
      </c>
      <c r="B8326" s="35" t="s">
        <v>7515</v>
      </c>
    </row>
    <row r="8327" spans="1:2" x14ac:dyDescent="0.35">
      <c r="A8327" s="34">
        <v>42142906</v>
      </c>
      <c r="B8327" s="35" t="s">
        <v>7092</v>
      </c>
    </row>
    <row r="8328" spans="1:2" x14ac:dyDescent="0.35">
      <c r="A8328" s="34">
        <v>42142907</v>
      </c>
      <c r="B8328" s="35" t="s">
        <v>7300</v>
      </c>
    </row>
    <row r="8329" spans="1:2" x14ac:dyDescent="0.35">
      <c r="A8329" s="34">
        <v>42142908</v>
      </c>
      <c r="B8329" s="35" t="s">
        <v>5863</v>
      </c>
    </row>
    <row r="8330" spans="1:2" x14ac:dyDescent="0.35">
      <c r="A8330" s="34">
        <v>42142909</v>
      </c>
      <c r="B8330" s="35" t="s">
        <v>2325</v>
      </c>
    </row>
    <row r="8331" spans="1:2" x14ac:dyDescent="0.35">
      <c r="A8331" s="34">
        <v>42142910</v>
      </c>
      <c r="B8331" s="35" t="s">
        <v>16014</v>
      </c>
    </row>
    <row r="8332" spans="1:2" x14ac:dyDescent="0.35">
      <c r="A8332" s="34">
        <v>42142911</v>
      </c>
      <c r="B8332" s="35" t="s">
        <v>3207</v>
      </c>
    </row>
    <row r="8333" spans="1:2" x14ac:dyDescent="0.35">
      <c r="A8333" s="34">
        <v>42142912</v>
      </c>
      <c r="B8333" s="35" t="s">
        <v>14969</v>
      </c>
    </row>
    <row r="8334" spans="1:2" x14ac:dyDescent="0.35">
      <c r="A8334" s="34">
        <v>42142913</v>
      </c>
      <c r="B8334" s="35" t="s">
        <v>3946</v>
      </c>
    </row>
    <row r="8335" spans="1:2" x14ac:dyDescent="0.35">
      <c r="A8335" s="34">
        <v>42143101</v>
      </c>
      <c r="B8335" s="35" t="s">
        <v>7773</v>
      </c>
    </row>
    <row r="8336" spans="1:2" x14ac:dyDescent="0.35">
      <c r="A8336" s="34">
        <v>42143102</v>
      </c>
      <c r="B8336" s="35" t="s">
        <v>9104</v>
      </c>
    </row>
    <row r="8337" spans="1:2" x14ac:dyDescent="0.35">
      <c r="A8337" s="34">
        <v>42143103</v>
      </c>
      <c r="B8337" s="35" t="s">
        <v>16078</v>
      </c>
    </row>
    <row r="8338" spans="1:2" x14ac:dyDescent="0.35">
      <c r="A8338" s="34">
        <v>42143104</v>
      </c>
      <c r="B8338" s="35" t="s">
        <v>91</v>
      </c>
    </row>
    <row r="8339" spans="1:2" x14ac:dyDescent="0.35">
      <c r="A8339" s="34">
        <v>42143105</v>
      </c>
      <c r="B8339" s="35" t="s">
        <v>2380</v>
      </c>
    </row>
    <row r="8340" spans="1:2" x14ac:dyDescent="0.35">
      <c r="A8340" s="34">
        <v>42143106</v>
      </c>
      <c r="B8340" s="35" t="s">
        <v>9218</v>
      </c>
    </row>
    <row r="8341" spans="1:2" x14ac:dyDescent="0.35">
      <c r="A8341" s="34">
        <v>42143201</v>
      </c>
      <c r="B8341" s="35" t="s">
        <v>15633</v>
      </c>
    </row>
    <row r="8342" spans="1:2" x14ac:dyDescent="0.35">
      <c r="A8342" s="34">
        <v>42143202</v>
      </c>
      <c r="B8342" s="35" t="s">
        <v>4153</v>
      </c>
    </row>
    <row r="8343" spans="1:2" x14ac:dyDescent="0.35">
      <c r="A8343" s="34">
        <v>42143301</v>
      </c>
      <c r="B8343" s="35" t="s">
        <v>18247</v>
      </c>
    </row>
    <row r="8344" spans="1:2" x14ac:dyDescent="0.35">
      <c r="A8344" s="34">
        <v>42143401</v>
      </c>
      <c r="B8344" s="35" t="s">
        <v>6380</v>
      </c>
    </row>
    <row r="8345" spans="1:2" x14ac:dyDescent="0.35">
      <c r="A8345" s="34">
        <v>42143501</v>
      </c>
      <c r="B8345" s="35" t="s">
        <v>72</v>
      </c>
    </row>
    <row r="8346" spans="1:2" x14ac:dyDescent="0.35">
      <c r="A8346" s="34">
        <v>42143502</v>
      </c>
      <c r="B8346" s="35" t="s">
        <v>15851</v>
      </c>
    </row>
    <row r="8347" spans="1:2" x14ac:dyDescent="0.35">
      <c r="A8347" s="34">
        <v>42143503</v>
      </c>
      <c r="B8347" s="35" t="s">
        <v>2729</v>
      </c>
    </row>
    <row r="8348" spans="1:2" x14ac:dyDescent="0.35">
      <c r="A8348" s="34">
        <v>42143504</v>
      </c>
      <c r="B8348" s="35" t="s">
        <v>10526</v>
      </c>
    </row>
    <row r="8349" spans="1:2" x14ac:dyDescent="0.35">
      <c r="A8349" s="34">
        <v>42143505</v>
      </c>
      <c r="B8349" s="35" t="s">
        <v>11736</v>
      </c>
    </row>
    <row r="8350" spans="1:2" x14ac:dyDescent="0.35">
      <c r="A8350" s="34">
        <v>42143506</v>
      </c>
      <c r="B8350" s="35" t="s">
        <v>3742</v>
      </c>
    </row>
    <row r="8351" spans="1:2" x14ac:dyDescent="0.35">
      <c r="A8351" s="34">
        <v>42143507</v>
      </c>
      <c r="B8351" s="35" t="s">
        <v>12614</v>
      </c>
    </row>
    <row r="8352" spans="1:2" x14ac:dyDescent="0.35">
      <c r="A8352" s="34">
        <v>42143508</v>
      </c>
      <c r="B8352" s="35" t="s">
        <v>11374</v>
      </c>
    </row>
    <row r="8353" spans="1:2" x14ac:dyDescent="0.35">
      <c r="A8353" s="34">
        <v>42143509</v>
      </c>
      <c r="B8353" s="35" t="s">
        <v>11580</v>
      </c>
    </row>
    <row r="8354" spans="1:2" x14ac:dyDescent="0.35">
      <c r="A8354" s="34">
        <v>42143510</v>
      </c>
      <c r="B8354" s="35" t="s">
        <v>15373</v>
      </c>
    </row>
    <row r="8355" spans="1:2" x14ac:dyDescent="0.35">
      <c r="A8355" s="34">
        <v>42143511</v>
      </c>
      <c r="B8355" s="35" t="s">
        <v>3695</v>
      </c>
    </row>
    <row r="8356" spans="1:2" x14ac:dyDescent="0.35">
      <c r="A8356" s="34">
        <v>42143512</v>
      </c>
      <c r="B8356" s="35" t="s">
        <v>19581</v>
      </c>
    </row>
    <row r="8357" spans="1:2" x14ac:dyDescent="0.35">
      <c r="A8357" s="34">
        <v>42143513</v>
      </c>
      <c r="B8357" s="35" t="s">
        <v>4675</v>
      </c>
    </row>
    <row r="8358" spans="1:2" x14ac:dyDescent="0.35">
      <c r="A8358" s="34">
        <v>42143601</v>
      </c>
      <c r="B8358" s="35" t="s">
        <v>16635</v>
      </c>
    </row>
    <row r="8359" spans="1:2" x14ac:dyDescent="0.35">
      <c r="A8359" s="34">
        <v>42143602</v>
      </c>
      <c r="B8359" s="35" t="s">
        <v>1692</v>
      </c>
    </row>
    <row r="8360" spans="1:2" x14ac:dyDescent="0.35">
      <c r="A8360" s="34">
        <v>42143603</v>
      </c>
      <c r="B8360" s="35" t="s">
        <v>14534</v>
      </c>
    </row>
    <row r="8361" spans="1:2" x14ac:dyDescent="0.35">
      <c r="A8361" s="34">
        <v>42143604</v>
      </c>
      <c r="B8361" s="35" t="s">
        <v>13692</v>
      </c>
    </row>
    <row r="8362" spans="1:2" x14ac:dyDescent="0.35">
      <c r="A8362" s="34">
        <v>42143605</v>
      </c>
      <c r="B8362" s="35" t="s">
        <v>5168</v>
      </c>
    </row>
    <row r="8363" spans="1:2" x14ac:dyDescent="0.35">
      <c r="A8363" s="34">
        <v>42143606</v>
      </c>
      <c r="B8363" s="35" t="s">
        <v>1035</v>
      </c>
    </row>
    <row r="8364" spans="1:2" x14ac:dyDescent="0.35">
      <c r="A8364" s="34">
        <v>42143607</v>
      </c>
      <c r="B8364" s="35" t="s">
        <v>16303</v>
      </c>
    </row>
    <row r="8365" spans="1:2" x14ac:dyDescent="0.35">
      <c r="A8365" s="34">
        <v>42143608</v>
      </c>
      <c r="B8365" s="35" t="s">
        <v>17097</v>
      </c>
    </row>
    <row r="8366" spans="1:2" x14ac:dyDescent="0.35">
      <c r="A8366" s="34">
        <v>42151501</v>
      </c>
      <c r="B8366" s="35" t="s">
        <v>14654</v>
      </c>
    </row>
    <row r="8367" spans="1:2" x14ac:dyDescent="0.35">
      <c r="A8367" s="34">
        <v>42151502</v>
      </c>
      <c r="B8367" s="35" t="s">
        <v>13165</v>
      </c>
    </row>
    <row r="8368" spans="1:2" x14ac:dyDescent="0.35">
      <c r="A8368" s="34">
        <v>42151503</v>
      </c>
      <c r="B8368" s="35" t="s">
        <v>838</v>
      </c>
    </row>
    <row r="8369" spans="1:2" x14ac:dyDescent="0.35">
      <c r="A8369" s="34">
        <v>42151504</v>
      </c>
      <c r="B8369" s="35" t="s">
        <v>18139</v>
      </c>
    </row>
    <row r="8370" spans="1:2" x14ac:dyDescent="0.35">
      <c r="A8370" s="34">
        <v>42151505</v>
      </c>
      <c r="B8370" s="35" t="s">
        <v>2145</v>
      </c>
    </row>
    <row r="8371" spans="1:2" x14ac:dyDescent="0.35">
      <c r="A8371" s="34">
        <v>42151506</v>
      </c>
      <c r="B8371" s="35" t="s">
        <v>6772</v>
      </c>
    </row>
    <row r="8372" spans="1:2" x14ac:dyDescent="0.35">
      <c r="A8372" s="34">
        <v>42151507</v>
      </c>
      <c r="B8372" s="35" t="s">
        <v>10549</v>
      </c>
    </row>
    <row r="8373" spans="1:2" x14ac:dyDescent="0.35">
      <c r="A8373" s="34">
        <v>42151601</v>
      </c>
      <c r="B8373" s="35" t="s">
        <v>1796</v>
      </c>
    </row>
    <row r="8374" spans="1:2" x14ac:dyDescent="0.35">
      <c r="A8374" s="34">
        <v>42151602</v>
      </c>
      <c r="B8374" s="35" t="s">
        <v>17278</v>
      </c>
    </row>
    <row r="8375" spans="1:2" x14ac:dyDescent="0.35">
      <c r="A8375" s="34">
        <v>42151603</v>
      </c>
      <c r="B8375" s="35" t="s">
        <v>13200</v>
      </c>
    </row>
    <row r="8376" spans="1:2" x14ac:dyDescent="0.35">
      <c r="A8376" s="34">
        <v>42151604</v>
      </c>
      <c r="B8376" s="35" t="s">
        <v>9175</v>
      </c>
    </row>
    <row r="8377" spans="1:2" x14ac:dyDescent="0.35">
      <c r="A8377" s="34">
        <v>42151605</v>
      </c>
      <c r="B8377" s="35" t="s">
        <v>14513</v>
      </c>
    </row>
    <row r="8378" spans="1:2" x14ac:dyDescent="0.35">
      <c r="A8378" s="34">
        <v>42151606</v>
      </c>
      <c r="B8378" s="35" t="s">
        <v>6867</v>
      </c>
    </row>
    <row r="8379" spans="1:2" x14ac:dyDescent="0.35">
      <c r="A8379" s="34">
        <v>42151607</v>
      </c>
      <c r="B8379" s="35" t="s">
        <v>2051</v>
      </c>
    </row>
    <row r="8380" spans="1:2" x14ac:dyDescent="0.35">
      <c r="A8380" s="34">
        <v>42151608</v>
      </c>
      <c r="B8380" s="35" t="s">
        <v>12274</v>
      </c>
    </row>
    <row r="8381" spans="1:2" x14ac:dyDescent="0.35">
      <c r="A8381" s="34">
        <v>42151609</v>
      </c>
      <c r="B8381" s="35" t="s">
        <v>15222</v>
      </c>
    </row>
    <row r="8382" spans="1:2" x14ac:dyDescent="0.35">
      <c r="A8382" s="34">
        <v>42151610</v>
      </c>
      <c r="B8382" s="35" t="s">
        <v>6907</v>
      </c>
    </row>
    <row r="8383" spans="1:2" x14ac:dyDescent="0.35">
      <c r="A8383" s="34">
        <v>42151611</v>
      </c>
      <c r="B8383" s="35" t="s">
        <v>10044</v>
      </c>
    </row>
    <row r="8384" spans="1:2" x14ac:dyDescent="0.35">
      <c r="A8384" s="34">
        <v>42151612</v>
      </c>
      <c r="B8384" s="35" t="s">
        <v>7878</v>
      </c>
    </row>
    <row r="8385" spans="1:2" x14ac:dyDescent="0.35">
      <c r="A8385" s="34">
        <v>42151613</v>
      </c>
      <c r="B8385" s="35" t="s">
        <v>19249</v>
      </c>
    </row>
    <row r="8386" spans="1:2" x14ac:dyDescent="0.35">
      <c r="A8386" s="34">
        <v>42151614</v>
      </c>
      <c r="B8386" s="35" t="s">
        <v>827</v>
      </c>
    </row>
    <row r="8387" spans="1:2" x14ac:dyDescent="0.35">
      <c r="A8387" s="34">
        <v>42151615</v>
      </c>
      <c r="B8387" s="35" t="s">
        <v>17681</v>
      </c>
    </row>
    <row r="8388" spans="1:2" x14ac:dyDescent="0.35">
      <c r="A8388" s="34">
        <v>42151616</v>
      </c>
      <c r="B8388" s="35" t="s">
        <v>7352</v>
      </c>
    </row>
    <row r="8389" spans="1:2" x14ac:dyDescent="0.35">
      <c r="A8389" s="34">
        <v>42151617</v>
      </c>
      <c r="B8389" s="35" t="s">
        <v>1970</v>
      </c>
    </row>
    <row r="8390" spans="1:2" x14ac:dyDescent="0.35">
      <c r="A8390" s="34">
        <v>42151618</v>
      </c>
      <c r="B8390" s="35" t="s">
        <v>1713</v>
      </c>
    </row>
    <row r="8391" spans="1:2" x14ac:dyDescent="0.35">
      <c r="A8391" s="34">
        <v>42151619</v>
      </c>
      <c r="B8391" s="35" t="s">
        <v>8515</v>
      </c>
    </row>
    <row r="8392" spans="1:2" x14ac:dyDescent="0.35">
      <c r="A8392" s="34">
        <v>42151620</v>
      </c>
      <c r="B8392" s="35" t="s">
        <v>18238</v>
      </c>
    </row>
    <row r="8393" spans="1:2" x14ac:dyDescent="0.35">
      <c r="A8393" s="34">
        <v>42151621</v>
      </c>
      <c r="B8393" s="35" t="s">
        <v>6583</v>
      </c>
    </row>
    <row r="8394" spans="1:2" x14ac:dyDescent="0.35">
      <c r="A8394" s="34">
        <v>42151622</v>
      </c>
      <c r="B8394" s="35" t="s">
        <v>13594</v>
      </c>
    </row>
    <row r="8395" spans="1:2" x14ac:dyDescent="0.35">
      <c r="A8395" s="34">
        <v>42151623</v>
      </c>
      <c r="B8395" s="35" t="s">
        <v>6982</v>
      </c>
    </row>
    <row r="8396" spans="1:2" x14ac:dyDescent="0.35">
      <c r="A8396" s="34">
        <v>42151624</v>
      </c>
      <c r="B8396" s="35" t="s">
        <v>19356</v>
      </c>
    </row>
    <row r="8397" spans="1:2" x14ac:dyDescent="0.35">
      <c r="A8397" s="34">
        <v>42151625</v>
      </c>
      <c r="B8397" s="35" t="s">
        <v>686</v>
      </c>
    </row>
    <row r="8398" spans="1:2" x14ac:dyDescent="0.35">
      <c r="A8398" s="34">
        <v>42151626</v>
      </c>
      <c r="B8398" s="35" t="s">
        <v>16707</v>
      </c>
    </row>
    <row r="8399" spans="1:2" x14ac:dyDescent="0.35">
      <c r="A8399" s="34">
        <v>42151627</v>
      </c>
      <c r="B8399" s="35" t="s">
        <v>13738</v>
      </c>
    </row>
    <row r="8400" spans="1:2" x14ac:dyDescent="0.35">
      <c r="A8400" s="34">
        <v>42151628</v>
      </c>
      <c r="B8400" s="35" t="s">
        <v>8655</v>
      </c>
    </row>
    <row r="8401" spans="1:2" x14ac:dyDescent="0.35">
      <c r="A8401" s="34">
        <v>42151629</v>
      </c>
      <c r="B8401" s="35" t="s">
        <v>5284</v>
      </c>
    </row>
    <row r="8402" spans="1:2" x14ac:dyDescent="0.35">
      <c r="A8402" s="34">
        <v>42151630</v>
      </c>
      <c r="B8402" s="35" t="s">
        <v>436</v>
      </c>
    </row>
    <row r="8403" spans="1:2" x14ac:dyDescent="0.35">
      <c r="A8403" s="34">
        <v>42151631</v>
      </c>
      <c r="B8403" s="35" t="s">
        <v>1705</v>
      </c>
    </row>
    <row r="8404" spans="1:2" x14ac:dyDescent="0.35">
      <c r="A8404" s="34">
        <v>42151632</v>
      </c>
      <c r="B8404" s="35" t="s">
        <v>18785</v>
      </c>
    </row>
    <row r="8405" spans="1:2" x14ac:dyDescent="0.35">
      <c r="A8405" s="34">
        <v>42151633</v>
      </c>
      <c r="B8405" s="35" t="s">
        <v>19115</v>
      </c>
    </row>
    <row r="8406" spans="1:2" x14ac:dyDescent="0.35">
      <c r="A8406" s="34">
        <v>42151634</v>
      </c>
      <c r="B8406" s="35" t="s">
        <v>4360</v>
      </c>
    </row>
    <row r="8407" spans="1:2" x14ac:dyDescent="0.35">
      <c r="A8407" s="34">
        <v>42151635</v>
      </c>
      <c r="B8407" s="35" t="s">
        <v>16296</v>
      </c>
    </row>
    <row r="8408" spans="1:2" x14ac:dyDescent="0.35">
      <c r="A8408" s="34">
        <v>42151636</v>
      </c>
      <c r="B8408" s="35" t="s">
        <v>12711</v>
      </c>
    </row>
    <row r="8409" spans="1:2" x14ac:dyDescent="0.35">
      <c r="A8409" s="34">
        <v>42151637</v>
      </c>
      <c r="B8409" s="35" t="s">
        <v>16095</v>
      </c>
    </row>
    <row r="8410" spans="1:2" x14ac:dyDescent="0.35">
      <c r="A8410" s="34">
        <v>42151638</v>
      </c>
      <c r="B8410" s="35" t="s">
        <v>11348</v>
      </c>
    </row>
    <row r="8411" spans="1:2" x14ac:dyDescent="0.35">
      <c r="A8411" s="34">
        <v>42151639</v>
      </c>
      <c r="B8411" s="35" t="s">
        <v>9977</v>
      </c>
    </row>
    <row r="8412" spans="1:2" x14ac:dyDescent="0.35">
      <c r="A8412" s="34">
        <v>42151640</v>
      </c>
      <c r="B8412" s="35" t="s">
        <v>17989</v>
      </c>
    </row>
    <row r="8413" spans="1:2" x14ac:dyDescent="0.35">
      <c r="A8413" s="34">
        <v>42151641</v>
      </c>
      <c r="B8413" s="35" t="s">
        <v>15991</v>
      </c>
    </row>
    <row r="8414" spans="1:2" x14ac:dyDescent="0.35">
      <c r="A8414" s="34">
        <v>42151642</v>
      </c>
      <c r="B8414" s="35" t="s">
        <v>1347</v>
      </c>
    </row>
    <row r="8415" spans="1:2" x14ac:dyDescent="0.35">
      <c r="A8415" s="34">
        <v>42151643</v>
      </c>
      <c r="B8415" s="35" t="s">
        <v>12096</v>
      </c>
    </row>
    <row r="8416" spans="1:2" x14ac:dyDescent="0.35">
      <c r="A8416" s="34">
        <v>42151644</v>
      </c>
      <c r="B8416" s="35" t="s">
        <v>14954</v>
      </c>
    </row>
    <row r="8417" spans="1:2" x14ac:dyDescent="0.35">
      <c r="A8417" s="34">
        <v>42151645</v>
      </c>
      <c r="B8417" s="35" t="s">
        <v>1483</v>
      </c>
    </row>
    <row r="8418" spans="1:2" x14ac:dyDescent="0.35">
      <c r="A8418" s="34">
        <v>42151646</v>
      </c>
      <c r="B8418" s="35" t="s">
        <v>1719</v>
      </c>
    </row>
    <row r="8419" spans="1:2" x14ac:dyDescent="0.35">
      <c r="A8419" s="34">
        <v>42151647</v>
      </c>
      <c r="B8419" s="35" t="s">
        <v>13186</v>
      </c>
    </row>
    <row r="8420" spans="1:2" x14ac:dyDescent="0.35">
      <c r="A8420" s="34">
        <v>42151648</v>
      </c>
      <c r="B8420" s="35" t="s">
        <v>2033</v>
      </c>
    </row>
    <row r="8421" spans="1:2" x14ac:dyDescent="0.35">
      <c r="A8421" s="34">
        <v>42151650</v>
      </c>
      <c r="B8421" s="35" t="s">
        <v>1539</v>
      </c>
    </row>
    <row r="8422" spans="1:2" x14ac:dyDescent="0.35">
      <c r="A8422" s="34">
        <v>42151651</v>
      </c>
      <c r="B8422" s="35" t="s">
        <v>1141</v>
      </c>
    </row>
    <row r="8423" spans="1:2" x14ac:dyDescent="0.35">
      <c r="A8423" s="34">
        <v>42151652</v>
      </c>
      <c r="B8423" s="35" t="s">
        <v>13553</v>
      </c>
    </row>
    <row r="8424" spans="1:2" x14ac:dyDescent="0.35">
      <c r="A8424" s="34">
        <v>42151653</v>
      </c>
      <c r="B8424" s="35" t="s">
        <v>14793</v>
      </c>
    </row>
    <row r="8425" spans="1:2" x14ac:dyDescent="0.35">
      <c r="A8425" s="34">
        <v>42151654</v>
      </c>
      <c r="B8425" s="35" t="s">
        <v>2286</v>
      </c>
    </row>
    <row r="8426" spans="1:2" x14ac:dyDescent="0.35">
      <c r="A8426" s="34">
        <v>42151655</v>
      </c>
      <c r="B8426" s="35" t="s">
        <v>15281</v>
      </c>
    </row>
    <row r="8427" spans="1:2" x14ac:dyDescent="0.35">
      <c r="A8427" s="34">
        <v>42151656</v>
      </c>
      <c r="B8427" s="35" t="s">
        <v>6272</v>
      </c>
    </row>
    <row r="8428" spans="1:2" x14ac:dyDescent="0.35">
      <c r="A8428" s="34">
        <v>42151657</v>
      </c>
      <c r="B8428" s="35" t="s">
        <v>18091</v>
      </c>
    </row>
    <row r="8429" spans="1:2" x14ac:dyDescent="0.35">
      <c r="A8429" s="34">
        <v>42151658</v>
      </c>
      <c r="B8429" s="35" t="s">
        <v>6871</v>
      </c>
    </row>
    <row r="8430" spans="1:2" x14ac:dyDescent="0.35">
      <c r="A8430" s="34">
        <v>42151659</v>
      </c>
      <c r="B8430" s="35" t="s">
        <v>16525</v>
      </c>
    </row>
    <row r="8431" spans="1:2" x14ac:dyDescent="0.35">
      <c r="A8431" s="34">
        <v>42151660</v>
      </c>
      <c r="B8431" s="35" t="s">
        <v>15794</v>
      </c>
    </row>
    <row r="8432" spans="1:2" x14ac:dyDescent="0.35">
      <c r="A8432" s="34">
        <v>42151661</v>
      </c>
      <c r="B8432" s="35" t="s">
        <v>10790</v>
      </c>
    </row>
    <row r="8433" spans="1:2" x14ac:dyDescent="0.35">
      <c r="A8433" s="34">
        <v>42151662</v>
      </c>
      <c r="B8433" s="35" t="s">
        <v>11247</v>
      </c>
    </row>
    <row r="8434" spans="1:2" x14ac:dyDescent="0.35">
      <c r="A8434" s="34">
        <v>42151663</v>
      </c>
      <c r="B8434" s="35" t="s">
        <v>14252</v>
      </c>
    </row>
    <row r="8435" spans="1:2" x14ac:dyDescent="0.35">
      <c r="A8435" s="34">
        <v>42151664</v>
      </c>
      <c r="B8435" s="35" t="s">
        <v>3993</v>
      </c>
    </row>
    <row r="8436" spans="1:2" x14ac:dyDescent="0.35">
      <c r="A8436" s="34">
        <v>42151665</v>
      </c>
      <c r="B8436" s="35" t="s">
        <v>5427</v>
      </c>
    </row>
    <row r="8437" spans="1:2" x14ac:dyDescent="0.35">
      <c r="A8437" s="34">
        <v>42151666</v>
      </c>
      <c r="B8437" s="35" t="s">
        <v>12359</v>
      </c>
    </row>
    <row r="8438" spans="1:2" x14ac:dyDescent="0.35">
      <c r="A8438" s="34">
        <v>42151667</v>
      </c>
      <c r="B8438" s="35" t="s">
        <v>7054</v>
      </c>
    </row>
    <row r="8439" spans="1:2" x14ac:dyDescent="0.35">
      <c r="A8439" s="34">
        <v>42151668</v>
      </c>
      <c r="B8439" s="35" t="s">
        <v>5655</v>
      </c>
    </row>
    <row r="8440" spans="1:2" x14ac:dyDescent="0.35">
      <c r="A8440" s="34">
        <v>42151669</v>
      </c>
      <c r="B8440" s="35" t="s">
        <v>9842</v>
      </c>
    </row>
    <row r="8441" spans="1:2" x14ac:dyDescent="0.35">
      <c r="A8441" s="34">
        <v>42151670</v>
      </c>
      <c r="B8441" s="35" t="s">
        <v>15093</v>
      </c>
    </row>
    <row r="8442" spans="1:2" x14ac:dyDescent="0.35">
      <c r="A8442" s="34">
        <v>42151671</v>
      </c>
      <c r="B8442" s="35" t="s">
        <v>10362</v>
      </c>
    </row>
    <row r="8443" spans="1:2" x14ac:dyDescent="0.35">
      <c r="A8443" s="34">
        <v>42151672</v>
      </c>
      <c r="B8443" s="35" t="s">
        <v>3014</v>
      </c>
    </row>
    <row r="8444" spans="1:2" x14ac:dyDescent="0.35">
      <c r="A8444" s="34">
        <v>42151673</v>
      </c>
      <c r="B8444" s="35" t="s">
        <v>11819</v>
      </c>
    </row>
    <row r="8445" spans="1:2" x14ac:dyDescent="0.35">
      <c r="A8445" s="34">
        <v>42151674</v>
      </c>
      <c r="B8445" s="35" t="s">
        <v>16691</v>
      </c>
    </row>
    <row r="8446" spans="1:2" x14ac:dyDescent="0.35">
      <c r="A8446" s="34">
        <v>42151675</v>
      </c>
      <c r="B8446" s="35" t="s">
        <v>4507</v>
      </c>
    </row>
    <row r="8447" spans="1:2" x14ac:dyDescent="0.35">
      <c r="A8447" s="34">
        <v>42151676</v>
      </c>
      <c r="B8447" s="35" t="s">
        <v>14590</v>
      </c>
    </row>
    <row r="8448" spans="1:2" x14ac:dyDescent="0.35">
      <c r="A8448" s="34">
        <v>42151677</v>
      </c>
      <c r="B8448" s="35" t="s">
        <v>9133</v>
      </c>
    </row>
    <row r="8449" spans="1:2" x14ac:dyDescent="0.35">
      <c r="A8449" s="34">
        <v>42151678</v>
      </c>
      <c r="B8449" s="35" t="s">
        <v>3800</v>
      </c>
    </row>
    <row r="8450" spans="1:2" x14ac:dyDescent="0.35">
      <c r="A8450" s="34">
        <v>42151679</v>
      </c>
      <c r="B8450" s="35" t="s">
        <v>11704</v>
      </c>
    </row>
    <row r="8451" spans="1:2" x14ac:dyDescent="0.35">
      <c r="A8451" s="34">
        <v>42151680</v>
      </c>
      <c r="B8451" s="35" t="s">
        <v>18550</v>
      </c>
    </row>
    <row r="8452" spans="1:2" x14ac:dyDescent="0.35">
      <c r="A8452" s="34">
        <v>42151681</v>
      </c>
      <c r="B8452" s="35" t="s">
        <v>17419</v>
      </c>
    </row>
    <row r="8453" spans="1:2" x14ac:dyDescent="0.35">
      <c r="A8453" s="34">
        <v>42151701</v>
      </c>
      <c r="B8453" s="35" t="s">
        <v>1886</v>
      </c>
    </row>
    <row r="8454" spans="1:2" x14ac:dyDescent="0.35">
      <c r="A8454" s="34">
        <v>42151702</v>
      </c>
      <c r="B8454" s="35" t="s">
        <v>15641</v>
      </c>
    </row>
    <row r="8455" spans="1:2" x14ac:dyDescent="0.35">
      <c r="A8455" s="34">
        <v>42151703</v>
      </c>
      <c r="B8455" s="35" t="s">
        <v>19397</v>
      </c>
    </row>
    <row r="8456" spans="1:2" x14ac:dyDescent="0.35">
      <c r="A8456" s="34">
        <v>42151704</v>
      </c>
      <c r="B8456" s="35" t="s">
        <v>3957</v>
      </c>
    </row>
    <row r="8457" spans="1:2" x14ac:dyDescent="0.35">
      <c r="A8457" s="34">
        <v>42151705</v>
      </c>
      <c r="B8457" s="35" t="s">
        <v>16824</v>
      </c>
    </row>
    <row r="8458" spans="1:2" x14ac:dyDescent="0.35">
      <c r="A8458" s="34">
        <v>42151801</v>
      </c>
      <c r="B8458" s="35" t="s">
        <v>1059</v>
      </c>
    </row>
    <row r="8459" spans="1:2" x14ac:dyDescent="0.35">
      <c r="A8459" s="34">
        <v>42151802</v>
      </c>
      <c r="B8459" s="35" t="s">
        <v>330</v>
      </c>
    </row>
    <row r="8460" spans="1:2" x14ac:dyDescent="0.35">
      <c r="A8460" s="34">
        <v>42151803</v>
      </c>
      <c r="B8460" s="35" t="s">
        <v>19459</v>
      </c>
    </row>
    <row r="8461" spans="1:2" x14ac:dyDescent="0.35">
      <c r="A8461" s="34">
        <v>42151804</v>
      </c>
      <c r="B8461" s="35" t="s">
        <v>17569</v>
      </c>
    </row>
    <row r="8462" spans="1:2" x14ac:dyDescent="0.35">
      <c r="A8462" s="34">
        <v>42151805</v>
      </c>
      <c r="B8462" s="35" t="s">
        <v>10429</v>
      </c>
    </row>
    <row r="8463" spans="1:2" x14ac:dyDescent="0.35">
      <c r="A8463" s="34">
        <v>42151806</v>
      </c>
      <c r="B8463" s="35" t="s">
        <v>10753</v>
      </c>
    </row>
    <row r="8464" spans="1:2" x14ac:dyDescent="0.35">
      <c r="A8464" s="34">
        <v>42151807</v>
      </c>
      <c r="B8464" s="35" t="s">
        <v>10074</v>
      </c>
    </row>
    <row r="8465" spans="1:2" x14ac:dyDescent="0.35">
      <c r="A8465" s="34">
        <v>42151808</v>
      </c>
      <c r="B8465" s="35" t="s">
        <v>8702</v>
      </c>
    </row>
    <row r="8466" spans="1:2" x14ac:dyDescent="0.35">
      <c r="A8466" s="34">
        <v>42151809</v>
      </c>
      <c r="B8466" s="35" t="s">
        <v>12591</v>
      </c>
    </row>
    <row r="8467" spans="1:2" x14ac:dyDescent="0.35">
      <c r="A8467" s="34">
        <v>42151810</v>
      </c>
      <c r="B8467" s="35" t="s">
        <v>870</v>
      </c>
    </row>
    <row r="8468" spans="1:2" x14ac:dyDescent="0.35">
      <c r="A8468" s="34">
        <v>42151811</v>
      </c>
      <c r="B8468" s="35" t="s">
        <v>12719</v>
      </c>
    </row>
    <row r="8469" spans="1:2" x14ac:dyDescent="0.35">
      <c r="A8469" s="34">
        <v>42151812</v>
      </c>
      <c r="B8469" s="35" t="s">
        <v>11622</v>
      </c>
    </row>
    <row r="8470" spans="1:2" x14ac:dyDescent="0.35">
      <c r="A8470" s="34">
        <v>42151813</v>
      </c>
      <c r="B8470" s="35" t="s">
        <v>2328</v>
      </c>
    </row>
    <row r="8471" spans="1:2" x14ac:dyDescent="0.35">
      <c r="A8471" s="34">
        <v>42151814</v>
      </c>
      <c r="B8471" s="35" t="s">
        <v>7621</v>
      </c>
    </row>
    <row r="8472" spans="1:2" x14ac:dyDescent="0.35">
      <c r="A8472" s="34">
        <v>42151815</v>
      </c>
      <c r="B8472" s="35" t="s">
        <v>7868</v>
      </c>
    </row>
    <row r="8473" spans="1:2" x14ac:dyDescent="0.35">
      <c r="A8473" s="34">
        <v>42151816</v>
      </c>
      <c r="B8473" s="35" t="s">
        <v>6233</v>
      </c>
    </row>
    <row r="8474" spans="1:2" x14ac:dyDescent="0.35">
      <c r="A8474" s="34">
        <v>42151901</v>
      </c>
      <c r="B8474" s="35" t="s">
        <v>8179</v>
      </c>
    </row>
    <row r="8475" spans="1:2" x14ac:dyDescent="0.35">
      <c r="A8475" s="34">
        <v>42151902</v>
      </c>
      <c r="B8475" s="35" t="s">
        <v>6709</v>
      </c>
    </row>
    <row r="8476" spans="1:2" x14ac:dyDescent="0.35">
      <c r="A8476" s="34">
        <v>42151903</v>
      </c>
      <c r="B8476" s="35" t="s">
        <v>1289</v>
      </c>
    </row>
    <row r="8477" spans="1:2" x14ac:dyDescent="0.35">
      <c r="A8477" s="34">
        <v>42151904</v>
      </c>
      <c r="B8477" s="35" t="s">
        <v>2546</v>
      </c>
    </row>
    <row r="8478" spans="1:2" x14ac:dyDescent="0.35">
      <c r="A8478" s="34">
        <v>42151905</v>
      </c>
      <c r="B8478" s="35" t="s">
        <v>11037</v>
      </c>
    </row>
    <row r="8479" spans="1:2" x14ac:dyDescent="0.35">
      <c r="A8479" s="34">
        <v>42151906</v>
      </c>
      <c r="B8479" s="35" t="s">
        <v>5321</v>
      </c>
    </row>
    <row r="8480" spans="1:2" x14ac:dyDescent="0.35">
      <c r="A8480" s="34">
        <v>42151907</v>
      </c>
      <c r="B8480" s="35" t="s">
        <v>13416</v>
      </c>
    </row>
    <row r="8481" spans="1:2" x14ac:dyDescent="0.35">
      <c r="A8481" s="34">
        <v>42151908</v>
      </c>
      <c r="B8481" s="35" t="s">
        <v>1741</v>
      </c>
    </row>
    <row r="8482" spans="1:2" x14ac:dyDescent="0.35">
      <c r="A8482" s="34">
        <v>42151909</v>
      </c>
      <c r="B8482" s="35" t="s">
        <v>12310</v>
      </c>
    </row>
    <row r="8483" spans="1:2" x14ac:dyDescent="0.35">
      <c r="A8483" s="34">
        <v>42151910</v>
      </c>
      <c r="B8483" s="35" t="s">
        <v>11863</v>
      </c>
    </row>
    <row r="8484" spans="1:2" x14ac:dyDescent="0.35">
      <c r="A8484" s="34">
        <v>42151911</v>
      </c>
      <c r="B8484" s="35" t="s">
        <v>15144</v>
      </c>
    </row>
    <row r="8485" spans="1:2" x14ac:dyDescent="0.35">
      <c r="A8485" s="34">
        <v>42151912</v>
      </c>
      <c r="B8485" s="35" t="s">
        <v>15877</v>
      </c>
    </row>
    <row r="8486" spans="1:2" x14ac:dyDescent="0.35">
      <c r="A8486" s="34">
        <v>42152001</v>
      </c>
      <c r="B8486" s="35" t="s">
        <v>18190</v>
      </c>
    </row>
    <row r="8487" spans="1:2" x14ac:dyDescent="0.35">
      <c r="A8487" s="34">
        <v>42152002</v>
      </c>
      <c r="B8487" s="35" t="s">
        <v>4974</v>
      </c>
    </row>
    <row r="8488" spans="1:2" x14ac:dyDescent="0.35">
      <c r="A8488" s="34">
        <v>42152003</v>
      </c>
      <c r="B8488" s="35" t="s">
        <v>16105</v>
      </c>
    </row>
    <row r="8489" spans="1:2" x14ac:dyDescent="0.35">
      <c r="A8489" s="34">
        <v>42152004</v>
      </c>
      <c r="B8489" s="35" t="s">
        <v>4095</v>
      </c>
    </row>
    <row r="8490" spans="1:2" x14ac:dyDescent="0.35">
      <c r="A8490" s="34">
        <v>42152005</v>
      </c>
      <c r="B8490" s="35" t="s">
        <v>4258</v>
      </c>
    </row>
    <row r="8491" spans="1:2" x14ac:dyDescent="0.35">
      <c r="A8491" s="34">
        <v>42152006</v>
      </c>
      <c r="B8491" s="35" t="s">
        <v>1580</v>
      </c>
    </row>
    <row r="8492" spans="1:2" x14ac:dyDescent="0.35">
      <c r="A8492" s="34">
        <v>42152007</v>
      </c>
      <c r="B8492" s="35" t="s">
        <v>14600</v>
      </c>
    </row>
    <row r="8493" spans="1:2" x14ac:dyDescent="0.35">
      <c r="A8493" s="34">
        <v>42152008</v>
      </c>
      <c r="B8493" s="35" t="s">
        <v>10476</v>
      </c>
    </row>
    <row r="8494" spans="1:2" x14ac:dyDescent="0.35">
      <c r="A8494" s="34">
        <v>42152009</v>
      </c>
      <c r="B8494" s="35" t="s">
        <v>18316</v>
      </c>
    </row>
    <row r="8495" spans="1:2" x14ac:dyDescent="0.35">
      <c r="A8495" s="34">
        <v>42152010</v>
      </c>
      <c r="B8495" s="35" t="s">
        <v>2085</v>
      </c>
    </row>
    <row r="8496" spans="1:2" x14ac:dyDescent="0.35">
      <c r="A8496" s="34">
        <v>42152011</v>
      </c>
      <c r="B8496" s="35" t="s">
        <v>4602</v>
      </c>
    </row>
    <row r="8497" spans="1:2" x14ac:dyDescent="0.35">
      <c r="A8497" s="34">
        <v>42152012</v>
      </c>
      <c r="B8497" s="35" t="s">
        <v>18143</v>
      </c>
    </row>
    <row r="8498" spans="1:2" x14ac:dyDescent="0.35">
      <c r="A8498" s="34">
        <v>42152013</v>
      </c>
      <c r="B8498" s="35" t="s">
        <v>1621</v>
      </c>
    </row>
    <row r="8499" spans="1:2" x14ac:dyDescent="0.35">
      <c r="A8499" s="34">
        <v>42152014</v>
      </c>
      <c r="B8499" s="35" t="s">
        <v>13667</v>
      </c>
    </row>
    <row r="8500" spans="1:2" x14ac:dyDescent="0.35">
      <c r="A8500" s="34">
        <v>42152101</v>
      </c>
      <c r="B8500" s="35" t="s">
        <v>12808</v>
      </c>
    </row>
    <row r="8501" spans="1:2" x14ac:dyDescent="0.35">
      <c r="A8501" s="34">
        <v>42152102</v>
      </c>
      <c r="B8501" s="35" t="s">
        <v>1261</v>
      </c>
    </row>
    <row r="8502" spans="1:2" x14ac:dyDescent="0.35">
      <c r="A8502" s="34">
        <v>42152103</v>
      </c>
      <c r="B8502" s="35" t="s">
        <v>16796</v>
      </c>
    </row>
    <row r="8503" spans="1:2" x14ac:dyDescent="0.35">
      <c r="A8503" s="34">
        <v>42152104</v>
      </c>
      <c r="B8503" s="35" t="s">
        <v>8348</v>
      </c>
    </row>
    <row r="8504" spans="1:2" x14ac:dyDescent="0.35">
      <c r="A8504" s="34">
        <v>42152105</v>
      </c>
      <c r="B8504" s="35" t="s">
        <v>14095</v>
      </c>
    </row>
    <row r="8505" spans="1:2" x14ac:dyDescent="0.35">
      <c r="A8505" s="34">
        <v>42152106</v>
      </c>
      <c r="B8505" s="35" t="s">
        <v>3954</v>
      </c>
    </row>
    <row r="8506" spans="1:2" x14ac:dyDescent="0.35">
      <c r="A8506" s="34">
        <v>42152107</v>
      </c>
      <c r="B8506" s="35" t="s">
        <v>7843</v>
      </c>
    </row>
    <row r="8507" spans="1:2" x14ac:dyDescent="0.35">
      <c r="A8507" s="34">
        <v>42152108</v>
      </c>
      <c r="B8507" s="35" t="s">
        <v>2625</v>
      </c>
    </row>
    <row r="8508" spans="1:2" x14ac:dyDescent="0.35">
      <c r="A8508" s="34">
        <v>42152109</v>
      </c>
      <c r="B8508" s="35" t="s">
        <v>4503</v>
      </c>
    </row>
    <row r="8509" spans="1:2" x14ac:dyDescent="0.35">
      <c r="A8509" s="34">
        <v>42152110</v>
      </c>
      <c r="B8509" s="35" t="s">
        <v>3432</v>
      </c>
    </row>
    <row r="8510" spans="1:2" x14ac:dyDescent="0.35">
      <c r="A8510" s="34">
        <v>42152111</v>
      </c>
      <c r="B8510" s="35" t="s">
        <v>18865</v>
      </c>
    </row>
    <row r="8511" spans="1:2" x14ac:dyDescent="0.35">
      <c r="A8511" s="34">
        <v>42152112</v>
      </c>
      <c r="B8511" s="35" t="s">
        <v>15154</v>
      </c>
    </row>
    <row r="8512" spans="1:2" x14ac:dyDescent="0.35">
      <c r="A8512" s="34">
        <v>42152113</v>
      </c>
      <c r="B8512" s="35" t="s">
        <v>11246</v>
      </c>
    </row>
    <row r="8513" spans="1:2" x14ac:dyDescent="0.35">
      <c r="A8513" s="34">
        <v>42152114</v>
      </c>
      <c r="B8513" s="35" t="s">
        <v>2833</v>
      </c>
    </row>
    <row r="8514" spans="1:2" x14ac:dyDescent="0.35">
      <c r="A8514" s="34">
        <v>42152115</v>
      </c>
      <c r="B8514" s="35" t="s">
        <v>15744</v>
      </c>
    </row>
    <row r="8515" spans="1:2" x14ac:dyDescent="0.35">
      <c r="A8515" s="34">
        <v>42152201</v>
      </c>
      <c r="B8515" s="35" t="s">
        <v>16749</v>
      </c>
    </row>
    <row r="8516" spans="1:2" x14ac:dyDescent="0.35">
      <c r="A8516" s="34">
        <v>42152202</v>
      </c>
      <c r="B8516" s="35" t="s">
        <v>5856</v>
      </c>
    </row>
    <row r="8517" spans="1:2" x14ac:dyDescent="0.35">
      <c r="A8517" s="34">
        <v>42152203</v>
      </c>
      <c r="B8517" s="35" t="s">
        <v>13517</v>
      </c>
    </row>
    <row r="8518" spans="1:2" x14ac:dyDescent="0.35">
      <c r="A8518" s="34">
        <v>42152204</v>
      </c>
      <c r="B8518" s="35" t="s">
        <v>13115</v>
      </c>
    </row>
    <row r="8519" spans="1:2" x14ac:dyDescent="0.35">
      <c r="A8519" s="34">
        <v>42152205</v>
      </c>
      <c r="B8519" s="35" t="s">
        <v>19366</v>
      </c>
    </row>
    <row r="8520" spans="1:2" x14ac:dyDescent="0.35">
      <c r="A8520" s="34">
        <v>42152206</v>
      </c>
      <c r="B8520" s="35" t="s">
        <v>11237</v>
      </c>
    </row>
    <row r="8521" spans="1:2" x14ac:dyDescent="0.35">
      <c r="A8521" s="34">
        <v>42152207</v>
      </c>
      <c r="B8521" s="35" t="s">
        <v>5003</v>
      </c>
    </row>
    <row r="8522" spans="1:2" x14ac:dyDescent="0.35">
      <c r="A8522" s="34">
        <v>42152208</v>
      </c>
      <c r="B8522" s="35" t="s">
        <v>15660</v>
      </c>
    </row>
    <row r="8523" spans="1:2" x14ac:dyDescent="0.35">
      <c r="A8523" s="34">
        <v>42152209</v>
      </c>
      <c r="B8523" s="35" t="s">
        <v>15525</v>
      </c>
    </row>
    <row r="8524" spans="1:2" x14ac:dyDescent="0.35">
      <c r="A8524" s="34">
        <v>42152210</v>
      </c>
      <c r="B8524" s="35" t="s">
        <v>12222</v>
      </c>
    </row>
    <row r="8525" spans="1:2" x14ac:dyDescent="0.35">
      <c r="A8525" s="34">
        <v>42152211</v>
      </c>
      <c r="B8525" s="35" t="s">
        <v>17057</v>
      </c>
    </row>
    <row r="8526" spans="1:2" x14ac:dyDescent="0.35">
      <c r="A8526" s="34">
        <v>42152212</v>
      </c>
      <c r="B8526" s="35" t="s">
        <v>18306</v>
      </c>
    </row>
    <row r="8527" spans="1:2" x14ac:dyDescent="0.35">
      <c r="A8527" s="34">
        <v>42152213</v>
      </c>
      <c r="B8527" s="35" t="s">
        <v>12190</v>
      </c>
    </row>
    <row r="8528" spans="1:2" x14ac:dyDescent="0.35">
      <c r="A8528" s="34">
        <v>42152214</v>
      </c>
      <c r="B8528" s="35" t="s">
        <v>19317</v>
      </c>
    </row>
    <row r="8529" spans="1:2" x14ac:dyDescent="0.35">
      <c r="A8529" s="34">
        <v>42152215</v>
      </c>
      <c r="B8529" s="35" t="s">
        <v>13902</v>
      </c>
    </row>
    <row r="8530" spans="1:2" x14ac:dyDescent="0.35">
      <c r="A8530" s="34">
        <v>42152216</v>
      </c>
      <c r="B8530" s="35" t="s">
        <v>1128</v>
      </c>
    </row>
    <row r="8531" spans="1:2" x14ac:dyDescent="0.35">
      <c r="A8531" s="34">
        <v>42152217</v>
      </c>
      <c r="B8531" s="35" t="s">
        <v>13418</v>
      </c>
    </row>
    <row r="8532" spans="1:2" x14ac:dyDescent="0.35">
      <c r="A8532" s="34">
        <v>42152218</v>
      </c>
      <c r="B8532" s="35" t="s">
        <v>9587</v>
      </c>
    </row>
    <row r="8533" spans="1:2" x14ac:dyDescent="0.35">
      <c r="A8533" s="34">
        <v>42152219</v>
      </c>
      <c r="B8533" s="35" t="s">
        <v>13647</v>
      </c>
    </row>
    <row r="8534" spans="1:2" x14ac:dyDescent="0.35">
      <c r="A8534" s="34">
        <v>42152220</v>
      </c>
      <c r="B8534" s="35" t="s">
        <v>12990</v>
      </c>
    </row>
    <row r="8535" spans="1:2" x14ac:dyDescent="0.35">
      <c r="A8535" s="34">
        <v>42152221</v>
      </c>
      <c r="B8535" s="35" t="s">
        <v>17376</v>
      </c>
    </row>
    <row r="8536" spans="1:2" x14ac:dyDescent="0.35">
      <c r="A8536" s="34">
        <v>42152222</v>
      </c>
      <c r="B8536" s="35" t="s">
        <v>14340</v>
      </c>
    </row>
    <row r="8537" spans="1:2" x14ac:dyDescent="0.35">
      <c r="A8537" s="34">
        <v>42152223</v>
      </c>
      <c r="B8537" s="35" t="s">
        <v>19023</v>
      </c>
    </row>
    <row r="8538" spans="1:2" x14ac:dyDescent="0.35">
      <c r="A8538" s="34">
        <v>42152224</v>
      </c>
      <c r="B8538" s="35" t="s">
        <v>8097</v>
      </c>
    </row>
    <row r="8539" spans="1:2" x14ac:dyDescent="0.35">
      <c r="A8539" s="34">
        <v>42152301</v>
      </c>
      <c r="B8539" s="35" t="s">
        <v>2266</v>
      </c>
    </row>
    <row r="8540" spans="1:2" x14ac:dyDescent="0.35">
      <c r="A8540" s="34">
        <v>42152302</v>
      </c>
      <c r="B8540" s="35" t="s">
        <v>13310</v>
      </c>
    </row>
    <row r="8541" spans="1:2" x14ac:dyDescent="0.35">
      <c r="A8541" s="34">
        <v>42152303</v>
      </c>
      <c r="B8541" s="35" t="s">
        <v>12026</v>
      </c>
    </row>
    <row r="8542" spans="1:2" x14ac:dyDescent="0.35">
      <c r="A8542" s="34">
        <v>42152304</v>
      </c>
      <c r="B8542" s="35" t="s">
        <v>11609</v>
      </c>
    </row>
    <row r="8543" spans="1:2" x14ac:dyDescent="0.35">
      <c r="A8543" s="34">
        <v>42152305</v>
      </c>
      <c r="B8543" s="35" t="s">
        <v>19103</v>
      </c>
    </row>
    <row r="8544" spans="1:2" x14ac:dyDescent="0.35">
      <c r="A8544" s="34">
        <v>42152306</v>
      </c>
      <c r="B8544" s="35" t="s">
        <v>19177</v>
      </c>
    </row>
    <row r="8545" spans="1:2" x14ac:dyDescent="0.35">
      <c r="A8545" s="34">
        <v>42152307</v>
      </c>
      <c r="B8545" s="35" t="s">
        <v>11338</v>
      </c>
    </row>
    <row r="8546" spans="1:2" x14ac:dyDescent="0.35">
      <c r="A8546" s="34">
        <v>42152401</v>
      </c>
      <c r="B8546" s="35" t="s">
        <v>2795</v>
      </c>
    </row>
    <row r="8547" spans="1:2" x14ac:dyDescent="0.35">
      <c r="A8547" s="34">
        <v>42152402</v>
      </c>
      <c r="B8547" s="35" t="s">
        <v>6215</v>
      </c>
    </row>
    <row r="8548" spans="1:2" x14ac:dyDescent="0.35">
      <c r="A8548" s="34">
        <v>42152403</v>
      </c>
      <c r="B8548" s="35" t="s">
        <v>19264</v>
      </c>
    </row>
    <row r="8549" spans="1:2" x14ac:dyDescent="0.35">
      <c r="A8549" s="34">
        <v>42152404</v>
      </c>
      <c r="B8549" s="35" t="s">
        <v>10463</v>
      </c>
    </row>
    <row r="8550" spans="1:2" x14ac:dyDescent="0.35">
      <c r="A8550" s="34">
        <v>42152405</v>
      </c>
      <c r="B8550" s="35" t="s">
        <v>8518</v>
      </c>
    </row>
    <row r="8551" spans="1:2" x14ac:dyDescent="0.35">
      <c r="A8551" s="34">
        <v>42152406</v>
      </c>
      <c r="B8551" s="35" t="s">
        <v>2117</v>
      </c>
    </row>
    <row r="8552" spans="1:2" x14ac:dyDescent="0.35">
      <c r="A8552" s="34">
        <v>42152407</v>
      </c>
      <c r="B8552" s="35" t="s">
        <v>15325</v>
      </c>
    </row>
    <row r="8553" spans="1:2" x14ac:dyDescent="0.35">
      <c r="A8553" s="34">
        <v>42152408</v>
      </c>
      <c r="B8553" s="35" t="s">
        <v>5983</v>
      </c>
    </row>
    <row r="8554" spans="1:2" x14ac:dyDescent="0.35">
      <c r="A8554" s="34">
        <v>42152409</v>
      </c>
      <c r="B8554" s="35" t="s">
        <v>7888</v>
      </c>
    </row>
    <row r="8555" spans="1:2" x14ac:dyDescent="0.35">
      <c r="A8555" s="34">
        <v>42152410</v>
      </c>
      <c r="B8555" s="35" t="s">
        <v>9322</v>
      </c>
    </row>
    <row r="8556" spans="1:2" x14ac:dyDescent="0.35">
      <c r="A8556" s="34">
        <v>42152411</v>
      </c>
      <c r="B8556" s="35" t="s">
        <v>15898</v>
      </c>
    </row>
    <row r="8557" spans="1:2" x14ac:dyDescent="0.35">
      <c r="A8557" s="34">
        <v>42152412</v>
      </c>
      <c r="B8557" s="35" t="s">
        <v>10750</v>
      </c>
    </row>
    <row r="8558" spans="1:2" x14ac:dyDescent="0.35">
      <c r="A8558" s="34">
        <v>42152413</v>
      </c>
      <c r="B8558" s="35" t="s">
        <v>1023</v>
      </c>
    </row>
    <row r="8559" spans="1:2" x14ac:dyDescent="0.35">
      <c r="A8559" s="34">
        <v>42152414</v>
      </c>
      <c r="B8559" s="35" t="s">
        <v>10115</v>
      </c>
    </row>
    <row r="8560" spans="1:2" x14ac:dyDescent="0.35">
      <c r="A8560" s="34">
        <v>42152415</v>
      </c>
      <c r="B8560" s="35" t="s">
        <v>19075</v>
      </c>
    </row>
    <row r="8561" spans="1:2" x14ac:dyDescent="0.35">
      <c r="A8561" s="34">
        <v>42152416</v>
      </c>
      <c r="B8561" s="35" t="s">
        <v>12421</v>
      </c>
    </row>
    <row r="8562" spans="1:2" x14ac:dyDescent="0.35">
      <c r="A8562" s="34">
        <v>42152417</v>
      </c>
      <c r="B8562" s="35" t="s">
        <v>893</v>
      </c>
    </row>
    <row r="8563" spans="1:2" x14ac:dyDescent="0.35">
      <c r="A8563" s="34">
        <v>42152418</v>
      </c>
      <c r="B8563" s="35" t="s">
        <v>18986</v>
      </c>
    </row>
    <row r="8564" spans="1:2" x14ac:dyDescent="0.35">
      <c r="A8564" s="34">
        <v>42152419</v>
      </c>
      <c r="B8564" s="35" t="s">
        <v>4736</v>
      </c>
    </row>
    <row r="8565" spans="1:2" x14ac:dyDescent="0.35">
      <c r="A8565" s="34">
        <v>42152420</v>
      </c>
      <c r="B8565" s="35" t="s">
        <v>6429</v>
      </c>
    </row>
    <row r="8566" spans="1:2" x14ac:dyDescent="0.35">
      <c r="A8566" s="34">
        <v>42152421</v>
      </c>
      <c r="B8566" s="35" t="s">
        <v>17897</v>
      </c>
    </row>
    <row r="8567" spans="1:2" x14ac:dyDescent="0.35">
      <c r="A8567" s="34">
        <v>42152422</v>
      </c>
      <c r="B8567" s="35" t="s">
        <v>12113</v>
      </c>
    </row>
    <row r="8568" spans="1:2" x14ac:dyDescent="0.35">
      <c r="A8568" s="34">
        <v>42152423</v>
      </c>
      <c r="B8568" s="35" t="s">
        <v>3163</v>
      </c>
    </row>
    <row r="8569" spans="1:2" x14ac:dyDescent="0.35">
      <c r="A8569" s="34">
        <v>42152424</v>
      </c>
      <c r="B8569" s="35" t="s">
        <v>13760</v>
      </c>
    </row>
    <row r="8570" spans="1:2" x14ac:dyDescent="0.35">
      <c r="A8570" s="34">
        <v>42152425</v>
      </c>
      <c r="B8570" s="35" t="s">
        <v>4163</v>
      </c>
    </row>
    <row r="8571" spans="1:2" x14ac:dyDescent="0.35">
      <c r="A8571" s="34">
        <v>42152426</v>
      </c>
      <c r="B8571" s="35" t="s">
        <v>340</v>
      </c>
    </row>
    <row r="8572" spans="1:2" x14ac:dyDescent="0.35">
      <c r="A8572" s="34">
        <v>42152427</v>
      </c>
      <c r="B8572" s="35" t="s">
        <v>9814</v>
      </c>
    </row>
    <row r="8573" spans="1:2" x14ac:dyDescent="0.35">
      <c r="A8573" s="34">
        <v>42152428</v>
      </c>
      <c r="B8573" s="35" t="s">
        <v>16225</v>
      </c>
    </row>
    <row r="8574" spans="1:2" x14ac:dyDescent="0.35">
      <c r="A8574" s="34">
        <v>42152429</v>
      </c>
      <c r="B8574" s="35" t="s">
        <v>2373</v>
      </c>
    </row>
    <row r="8575" spans="1:2" x14ac:dyDescent="0.35">
      <c r="A8575" s="34">
        <v>42152430</v>
      </c>
      <c r="B8575" s="35" t="s">
        <v>6126</v>
      </c>
    </row>
    <row r="8576" spans="1:2" x14ac:dyDescent="0.35">
      <c r="A8576" s="34">
        <v>42152431</v>
      </c>
      <c r="B8576" s="35" t="s">
        <v>2809</v>
      </c>
    </row>
    <row r="8577" spans="1:2" x14ac:dyDescent="0.35">
      <c r="A8577" s="34">
        <v>42152432</v>
      </c>
      <c r="B8577" s="35" t="s">
        <v>956</v>
      </c>
    </row>
    <row r="8578" spans="1:2" x14ac:dyDescent="0.35">
      <c r="A8578" s="34">
        <v>42152433</v>
      </c>
      <c r="B8578" s="35" t="s">
        <v>6782</v>
      </c>
    </row>
    <row r="8579" spans="1:2" x14ac:dyDescent="0.35">
      <c r="A8579" s="34">
        <v>42152434</v>
      </c>
      <c r="B8579" s="35" t="s">
        <v>6315</v>
      </c>
    </row>
    <row r="8580" spans="1:2" x14ac:dyDescent="0.35">
      <c r="A8580" s="34">
        <v>42152435</v>
      </c>
      <c r="B8580" s="35" t="s">
        <v>8328</v>
      </c>
    </row>
    <row r="8581" spans="1:2" x14ac:dyDescent="0.35">
      <c r="A8581" s="34">
        <v>42152436</v>
      </c>
      <c r="B8581" s="35" t="s">
        <v>5226</v>
      </c>
    </row>
    <row r="8582" spans="1:2" x14ac:dyDescent="0.35">
      <c r="A8582" s="34">
        <v>42152437</v>
      </c>
      <c r="B8582" s="35" t="s">
        <v>14172</v>
      </c>
    </row>
    <row r="8583" spans="1:2" x14ac:dyDescent="0.35">
      <c r="A8583" s="34">
        <v>42152438</v>
      </c>
      <c r="B8583" s="35" t="s">
        <v>7826</v>
      </c>
    </row>
    <row r="8584" spans="1:2" x14ac:dyDescent="0.35">
      <c r="A8584" s="34">
        <v>42152439</v>
      </c>
      <c r="B8584" s="35" t="s">
        <v>381</v>
      </c>
    </row>
    <row r="8585" spans="1:2" x14ac:dyDescent="0.35">
      <c r="A8585" s="34">
        <v>42152440</v>
      </c>
      <c r="B8585" s="35" t="s">
        <v>8009</v>
      </c>
    </row>
    <row r="8586" spans="1:2" x14ac:dyDescent="0.35">
      <c r="A8586" s="34">
        <v>42152441</v>
      </c>
      <c r="B8586" s="35" t="s">
        <v>17846</v>
      </c>
    </row>
    <row r="8587" spans="1:2" x14ac:dyDescent="0.35">
      <c r="A8587" s="34">
        <v>42152442</v>
      </c>
      <c r="B8587" s="35" t="s">
        <v>179</v>
      </c>
    </row>
    <row r="8588" spans="1:2" x14ac:dyDescent="0.35">
      <c r="A8588" s="34">
        <v>42152443</v>
      </c>
      <c r="B8588" s="35" t="s">
        <v>18063</v>
      </c>
    </row>
    <row r="8589" spans="1:2" x14ac:dyDescent="0.35">
      <c r="A8589" s="34">
        <v>42152444</v>
      </c>
      <c r="B8589" s="35" t="s">
        <v>14262</v>
      </c>
    </row>
    <row r="8590" spans="1:2" x14ac:dyDescent="0.35">
      <c r="A8590" s="34">
        <v>42152445</v>
      </c>
      <c r="B8590" s="35" t="s">
        <v>16128</v>
      </c>
    </row>
    <row r="8591" spans="1:2" x14ac:dyDescent="0.35">
      <c r="A8591" s="34">
        <v>42152446</v>
      </c>
      <c r="B8591" s="35" t="s">
        <v>14843</v>
      </c>
    </row>
    <row r="8592" spans="1:2" x14ac:dyDescent="0.35">
      <c r="A8592" s="34">
        <v>42152447</v>
      </c>
      <c r="B8592" s="35" t="s">
        <v>11795</v>
      </c>
    </row>
    <row r="8593" spans="1:2" x14ac:dyDescent="0.35">
      <c r="A8593" s="34">
        <v>42152449</v>
      </c>
      <c r="B8593" s="35" t="s">
        <v>10847</v>
      </c>
    </row>
    <row r="8594" spans="1:2" x14ac:dyDescent="0.35">
      <c r="A8594" s="34">
        <v>42152450</v>
      </c>
      <c r="B8594" s="35" t="s">
        <v>6697</v>
      </c>
    </row>
    <row r="8595" spans="1:2" x14ac:dyDescent="0.35">
      <c r="A8595" s="34">
        <v>42152451</v>
      </c>
      <c r="B8595" s="35" t="s">
        <v>3472</v>
      </c>
    </row>
    <row r="8596" spans="1:2" x14ac:dyDescent="0.35">
      <c r="A8596" s="34">
        <v>42152452</v>
      </c>
      <c r="B8596" s="35" t="s">
        <v>6118</v>
      </c>
    </row>
    <row r="8597" spans="1:2" x14ac:dyDescent="0.35">
      <c r="A8597" s="34">
        <v>42152453</v>
      </c>
      <c r="B8597" s="35" t="s">
        <v>14682</v>
      </c>
    </row>
    <row r="8598" spans="1:2" x14ac:dyDescent="0.35">
      <c r="A8598" s="34">
        <v>42152454</v>
      </c>
      <c r="B8598" s="35" t="s">
        <v>16116</v>
      </c>
    </row>
    <row r="8599" spans="1:2" x14ac:dyDescent="0.35">
      <c r="A8599" s="34">
        <v>42152455</v>
      </c>
      <c r="B8599" s="35" t="s">
        <v>14356</v>
      </c>
    </row>
    <row r="8600" spans="1:2" x14ac:dyDescent="0.35">
      <c r="A8600" s="34">
        <v>42152456</v>
      </c>
      <c r="B8600" s="35" t="s">
        <v>17106</v>
      </c>
    </row>
    <row r="8601" spans="1:2" x14ac:dyDescent="0.35">
      <c r="A8601" s="34">
        <v>42152457</v>
      </c>
      <c r="B8601" s="35" t="s">
        <v>16058</v>
      </c>
    </row>
    <row r="8602" spans="1:2" x14ac:dyDescent="0.35">
      <c r="A8602" s="34">
        <v>42152458</v>
      </c>
      <c r="B8602" s="35" t="s">
        <v>12400</v>
      </c>
    </row>
    <row r="8603" spans="1:2" x14ac:dyDescent="0.35">
      <c r="A8603" s="34">
        <v>42152459</v>
      </c>
      <c r="B8603" s="35" t="s">
        <v>2424</v>
      </c>
    </row>
    <row r="8604" spans="1:2" x14ac:dyDescent="0.35">
      <c r="A8604" s="34">
        <v>42152460</v>
      </c>
      <c r="B8604" s="35" t="s">
        <v>9327</v>
      </c>
    </row>
    <row r="8605" spans="1:2" x14ac:dyDescent="0.35">
      <c r="A8605" s="34">
        <v>42152461</v>
      </c>
      <c r="B8605" s="35" t="s">
        <v>16398</v>
      </c>
    </row>
    <row r="8606" spans="1:2" x14ac:dyDescent="0.35">
      <c r="A8606" s="34">
        <v>42152462</v>
      </c>
      <c r="B8606" s="35" t="s">
        <v>17406</v>
      </c>
    </row>
    <row r="8607" spans="1:2" x14ac:dyDescent="0.35">
      <c r="A8607" s="34">
        <v>42152463</v>
      </c>
      <c r="B8607" s="35" t="s">
        <v>17565</v>
      </c>
    </row>
    <row r="8608" spans="1:2" x14ac:dyDescent="0.35">
      <c r="A8608" s="34">
        <v>42152464</v>
      </c>
      <c r="B8608" s="35" t="s">
        <v>2629</v>
      </c>
    </row>
    <row r="8609" spans="1:2" x14ac:dyDescent="0.35">
      <c r="A8609" s="34">
        <v>42152465</v>
      </c>
      <c r="B8609" s="35" t="s">
        <v>7916</v>
      </c>
    </row>
    <row r="8610" spans="1:2" x14ac:dyDescent="0.35">
      <c r="A8610" s="34">
        <v>42152501</v>
      </c>
      <c r="B8610" s="35" t="s">
        <v>10580</v>
      </c>
    </row>
    <row r="8611" spans="1:2" x14ac:dyDescent="0.35">
      <c r="A8611" s="34">
        <v>42152502</v>
      </c>
      <c r="B8611" s="35" t="s">
        <v>10642</v>
      </c>
    </row>
    <row r="8612" spans="1:2" x14ac:dyDescent="0.35">
      <c r="A8612" s="34">
        <v>42152503</v>
      </c>
      <c r="B8612" s="35" t="s">
        <v>8683</v>
      </c>
    </row>
    <row r="8613" spans="1:2" x14ac:dyDescent="0.35">
      <c r="A8613" s="34">
        <v>42152504</v>
      </c>
      <c r="B8613" s="35" t="s">
        <v>18595</v>
      </c>
    </row>
    <row r="8614" spans="1:2" x14ac:dyDescent="0.35">
      <c r="A8614" s="34">
        <v>42152505</v>
      </c>
      <c r="B8614" s="35" t="s">
        <v>18149</v>
      </c>
    </row>
    <row r="8615" spans="1:2" x14ac:dyDescent="0.35">
      <c r="A8615" s="34">
        <v>42152506</v>
      </c>
      <c r="B8615" s="35" t="s">
        <v>3561</v>
      </c>
    </row>
    <row r="8616" spans="1:2" x14ac:dyDescent="0.35">
      <c r="A8616" s="34">
        <v>42152507</v>
      </c>
      <c r="B8616" s="35" t="s">
        <v>2080</v>
      </c>
    </row>
    <row r="8617" spans="1:2" x14ac:dyDescent="0.35">
      <c r="A8617" s="34">
        <v>42152508</v>
      </c>
      <c r="B8617" s="35" t="s">
        <v>8739</v>
      </c>
    </row>
    <row r="8618" spans="1:2" x14ac:dyDescent="0.35">
      <c r="A8618" s="34">
        <v>42152509</v>
      </c>
      <c r="B8618" s="35" t="s">
        <v>10822</v>
      </c>
    </row>
    <row r="8619" spans="1:2" x14ac:dyDescent="0.35">
      <c r="A8619" s="34">
        <v>42152510</v>
      </c>
      <c r="B8619" s="35" t="s">
        <v>10671</v>
      </c>
    </row>
    <row r="8620" spans="1:2" x14ac:dyDescent="0.35">
      <c r="A8620" s="34">
        <v>42152511</v>
      </c>
      <c r="B8620" s="35" t="s">
        <v>2057</v>
      </c>
    </row>
    <row r="8621" spans="1:2" x14ac:dyDescent="0.35">
      <c r="A8621" s="34">
        <v>42152512</v>
      </c>
      <c r="B8621" s="35" t="s">
        <v>9405</v>
      </c>
    </row>
    <row r="8622" spans="1:2" x14ac:dyDescent="0.35">
      <c r="A8622" s="34">
        <v>42152513</v>
      </c>
      <c r="B8622" s="35" t="s">
        <v>18000</v>
      </c>
    </row>
    <row r="8623" spans="1:2" x14ac:dyDescent="0.35">
      <c r="A8623" s="34">
        <v>42152514</v>
      </c>
      <c r="B8623" s="35" t="s">
        <v>4144</v>
      </c>
    </row>
    <row r="8624" spans="1:2" x14ac:dyDescent="0.35">
      <c r="A8624" s="34">
        <v>42152516</v>
      </c>
      <c r="B8624" s="35" t="s">
        <v>19021</v>
      </c>
    </row>
    <row r="8625" spans="1:2" x14ac:dyDescent="0.35">
      <c r="A8625" s="34">
        <v>42152517</v>
      </c>
      <c r="B8625" s="35" t="s">
        <v>1572</v>
      </c>
    </row>
    <row r="8626" spans="1:2" x14ac:dyDescent="0.35">
      <c r="A8626" s="34">
        <v>42152518</v>
      </c>
      <c r="B8626" s="35" t="s">
        <v>10326</v>
      </c>
    </row>
    <row r="8627" spans="1:2" x14ac:dyDescent="0.35">
      <c r="A8627" s="34">
        <v>42152519</v>
      </c>
      <c r="B8627" s="35" t="s">
        <v>6786</v>
      </c>
    </row>
    <row r="8628" spans="1:2" x14ac:dyDescent="0.35">
      <c r="A8628" s="34">
        <v>42152520</v>
      </c>
      <c r="B8628" s="35" t="s">
        <v>10127</v>
      </c>
    </row>
    <row r="8629" spans="1:2" x14ac:dyDescent="0.35">
      <c r="A8629" s="34">
        <v>42152601</v>
      </c>
      <c r="B8629" s="35" t="s">
        <v>17091</v>
      </c>
    </row>
    <row r="8630" spans="1:2" x14ac:dyDescent="0.35">
      <c r="A8630" s="34">
        <v>42152602</v>
      </c>
      <c r="B8630" s="35" t="s">
        <v>18677</v>
      </c>
    </row>
    <row r="8631" spans="1:2" x14ac:dyDescent="0.35">
      <c r="A8631" s="34">
        <v>42152603</v>
      </c>
      <c r="B8631" s="35" t="s">
        <v>14189</v>
      </c>
    </row>
    <row r="8632" spans="1:2" x14ac:dyDescent="0.35">
      <c r="A8632" s="34">
        <v>42152604</v>
      </c>
      <c r="B8632" s="35" t="s">
        <v>17015</v>
      </c>
    </row>
    <row r="8633" spans="1:2" x14ac:dyDescent="0.35">
      <c r="A8633" s="34">
        <v>42152605</v>
      </c>
      <c r="B8633" s="35" t="s">
        <v>14094</v>
      </c>
    </row>
    <row r="8634" spans="1:2" x14ac:dyDescent="0.35">
      <c r="A8634" s="34">
        <v>42152606</v>
      </c>
      <c r="B8634" s="35" t="s">
        <v>16956</v>
      </c>
    </row>
    <row r="8635" spans="1:2" x14ac:dyDescent="0.35">
      <c r="A8635" s="34">
        <v>42152607</v>
      </c>
      <c r="B8635" s="35" t="s">
        <v>2562</v>
      </c>
    </row>
    <row r="8636" spans="1:2" x14ac:dyDescent="0.35">
      <c r="A8636" s="34">
        <v>42152608</v>
      </c>
      <c r="B8636" s="35" t="s">
        <v>15409</v>
      </c>
    </row>
    <row r="8637" spans="1:2" x14ac:dyDescent="0.35">
      <c r="A8637" s="34">
        <v>42152701</v>
      </c>
      <c r="B8637" s="35" t="s">
        <v>19298</v>
      </c>
    </row>
    <row r="8638" spans="1:2" x14ac:dyDescent="0.35">
      <c r="A8638" s="34">
        <v>42152702</v>
      </c>
      <c r="B8638" s="35" t="s">
        <v>18389</v>
      </c>
    </row>
    <row r="8639" spans="1:2" x14ac:dyDescent="0.35">
      <c r="A8639" s="34">
        <v>42152703</v>
      </c>
      <c r="B8639" s="35" t="s">
        <v>1850</v>
      </c>
    </row>
    <row r="8640" spans="1:2" x14ac:dyDescent="0.35">
      <c r="A8640" s="34">
        <v>42152704</v>
      </c>
      <c r="B8640" s="35" t="s">
        <v>3150</v>
      </c>
    </row>
    <row r="8641" spans="1:2" x14ac:dyDescent="0.35">
      <c r="A8641" s="34">
        <v>42152705</v>
      </c>
      <c r="B8641" s="35" t="s">
        <v>993</v>
      </c>
    </row>
    <row r="8642" spans="1:2" x14ac:dyDescent="0.35">
      <c r="A8642" s="34">
        <v>42152706</v>
      </c>
      <c r="B8642" s="35" t="s">
        <v>10788</v>
      </c>
    </row>
    <row r="8643" spans="1:2" x14ac:dyDescent="0.35">
      <c r="A8643" s="34">
        <v>42152707</v>
      </c>
      <c r="B8643" s="35" t="s">
        <v>2705</v>
      </c>
    </row>
    <row r="8644" spans="1:2" x14ac:dyDescent="0.35">
      <c r="A8644" s="34">
        <v>42152708</v>
      </c>
      <c r="B8644" s="35" t="s">
        <v>5328</v>
      </c>
    </row>
    <row r="8645" spans="1:2" x14ac:dyDescent="0.35">
      <c r="A8645" s="34">
        <v>42152709</v>
      </c>
      <c r="B8645" s="35" t="s">
        <v>16106</v>
      </c>
    </row>
    <row r="8646" spans="1:2" x14ac:dyDescent="0.35">
      <c r="A8646" s="34">
        <v>42152710</v>
      </c>
      <c r="B8646" s="35" t="s">
        <v>19443</v>
      </c>
    </row>
    <row r="8647" spans="1:2" x14ac:dyDescent="0.35">
      <c r="A8647" s="34">
        <v>42152711</v>
      </c>
      <c r="B8647" s="35" t="s">
        <v>1276</v>
      </c>
    </row>
    <row r="8648" spans="1:2" x14ac:dyDescent="0.35">
      <c r="A8648" s="34">
        <v>42152712</v>
      </c>
      <c r="B8648" s="35" t="s">
        <v>16546</v>
      </c>
    </row>
    <row r="8649" spans="1:2" x14ac:dyDescent="0.35">
      <c r="A8649" s="34">
        <v>42152713</v>
      </c>
      <c r="B8649" s="35" t="s">
        <v>17396</v>
      </c>
    </row>
    <row r="8650" spans="1:2" x14ac:dyDescent="0.35">
      <c r="A8650" s="34">
        <v>42152714</v>
      </c>
      <c r="B8650" s="35" t="s">
        <v>7603</v>
      </c>
    </row>
    <row r="8651" spans="1:2" x14ac:dyDescent="0.35">
      <c r="A8651" s="34">
        <v>42152715</v>
      </c>
      <c r="B8651" s="35" t="s">
        <v>16075</v>
      </c>
    </row>
    <row r="8652" spans="1:2" x14ac:dyDescent="0.35">
      <c r="A8652" s="34">
        <v>42152716</v>
      </c>
      <c r="B8652" s="35" t="s">
        <v>2414</v>
      </c>
    </row>
    <row r="8653" spans="1:2" x14ac:dyDescent="0.35">
      <c r="A8653" s="34">
        <v>42152801</v>
      </c>
      <c r="B8653" s="35" t="s">
        <v>17827</v>
      </c>
    </row>
    <row r="8654" spans="1:2" x14ac:dyDescent="0.35">
      <c r="A8654" s="34">
        <v>42152802</v>
      </c>
      <c r="B8654" s="35" t="s">
        <v>12555</v>
      </c>
    </row>
    <row r="8655" spans="1:2" x14ac:dyDescent="0.35">
      <c r="A8655" s="34">
        <v>42152803</v>
      </c>
      <c r="B8655" s="35" t="s">
        <v>4689</v>
      </c>
    </row>
    <row r="8656" spans="1:2" x14ac:dyDescent="0.35">
      <c r="A8656" s="34">
        <v>42152804</v>
      </c>
      <c r="B8656" s="35" t="s">
        <v>11334</v>
      </c>
    </row>
    <row r="8657" spans="1:2" x14ac:dyDescent="0.35">
      <c r="A8657" s="34">
        <v>42152805</v>
      </c>
      <c r="B8657" s="35" t="s">
        <v>5072</v>
      </c>
    </row>
    <row r="8658" spans="1:2" x14ac:dyDescent="0.35">
      <c r="A8658" s="34">
        <v>42152806</v>
      </c>
      <c r="B8658" s="35" t="s">
        <v>5723</v>
      </c>
    </row>
    <row r="8659" spans="1:2" x14ac:dyDescent="0.35">
      <c r="A8659" s="34">
        <v>42152807</v>
      </c>
      <c r="B8659" s="35" t="s">
        <v>17537</v>
      </c>
    </row>
    <row r="8660" spans="1:2" x14ac:dyDescent="0.35">
      <c r="A8660" s="34">
        <v>42152808</v>
      </c>
      <c r="B8660" s="35" t="s">
        <v>11788</v>
      </c>
    </row>
    <row r="8661" spans="1:2" x14ac:dyDescent="0.35">
      <c r="A8661" s="34">
        <v>42152809</v>
      </c>
      <c r="B8661" s="35" t="s">
        <v>12233</v>
      </c>
    </row>
    <row r="8662" spans="1:2" x14ac:dyDescent="0.35">
      <c r="A8662" s="34">
        <v>42152810</v>
      </c>
      <c r="B8662" s="35" t="s">
        <v>8077</v>
      </c>
    </row>
    <row r="8663" spans="1:2" x14ac:dyDescent="0.35">
      <c r="A8663" s="34">
        <v>42161501</v>
      </c>
      <c r="B8663" s="35" t="s">
        <v>16018</v>
      </c>
    </row>
    <row r="8664" spans="1:2" x14ac:dyDescent="0.35">
      <c r="A8664" s="34">
        <v>42161502</v>
      </c>
      <c r="B8664" s="35" t="s">
        <v>15535</v>
      </c>
    </row>
    <row r="8665" spans="1:2" x14ac:dyDescent="0.35">
      <c r="A8665" s="34">
        <v>42161503</v>
      </c>
      <c r="B8665" s="35" t="s">
        <v>9840</v>
      </c>
    </row>
    <row r="8666" spans="1:2" x14ac:dyDescent="0.35">
      <c r="A8666" s="34">
        <v>42161504</v>
      </c>
      <c r="B8666" s="35" t="s">
        <v>10366</v>
      </c>
    </row>
    <row r="8667" spans="1:2" x14ac:dyDescent="0.35">
      <c r="A8667" s="34">
        <v>42161505</v>
      </c>
      <c r="B8667" s="35" t="s">
        <v>12255</v>
      </c>
    </row>
    <row r="8668" spans="1:2" x14ac:dyDescent="0.35">
      <c r="A8668" s="34">
        <v>42161506</v>
      </c>
      <c r="B8668" s="35" t="s">
        <v>3750</v>
      </c>
    </row>
    <row r="8669" spans="1:2" x14ac:dyDescent="0.35">
      <c r="A8669" s="34">
        <v>42161507</v>
      </c>
      <c r="B8669" s="35" t="s">
        <v>15943</v>
      </c>
    </row>
    <row r="8670" spans="1:2" x14ac:dyDescent="0.35">
      <c r="A8670" s="34">
        <v>42161508</v>
      </c>
      <c r="B8670" s="35" t="s">
        <v>12330</v>
      </c>
    </row>
    <row r="8671" spans="1:2" x14ac:dyDescent="0.35">
      <c r="A8671" s="34">
        <v>42161509</v>
      </c>
      <c r="B8671" s="35" t="s">
        <v>6132</v>
      </c>
    </row>
    <row r="8672" spans="1:2" x14ac:dyDescent="0.35">
      <c r="A8672" s="34">
        <v>42161510</v>
      </c>
      <c r="B8672" s="35" t="s">
        <v>5711</v>
      </c>
    </row>
    <row r="8673" spans="1:2" x14ac:dyDescent="0.35">
      <c r="A8673" s="34">
        <v>42161601</v>
      </c>
      <c r="B8673" s="35" t="s">
        <v>3392</v>
      </c>
    </row>
    <row r="8674" spans="1:2" x14ac:dyDescent="0.35">
      <c r="A8674" s="34">
        <v>42161602</v>
      </c>
      <c r="B8674" s="35" t="s">
        <v>17554</v>
      </c>
    </row>
    <row r="8675" spans="1:2" x14ac:dyDescent="0.35">
      <c r="A8675" s="34">
        <v>42161603</v>
      </c>
      <c r="B8675" s="35" t="s">
        <v>934</v>
      </c>
    </row>
    <row r="8676" spans="1:2" x14ac:dyDescent="0.35">
      <c r="A8676" s="34">
        <v>42161604</v>
      </c>
      <c r="B8676" s="35" t="s">
        <v>12496</v>
      </c>
    </row>
    <row r="8677" spans="1:2" x14ac:dyDescent="0.35">
      <c r="A8677" s="34">
        <v>42161605</v>
      </c>
      <c r="B8677" s="35" t="s">
        <v>969</v>
      </c>
    </row>
    <row r="8678" spans="1:2" x14ac:dyDescent="0.35">
      <c r="A8678" s="34">
        <v>42161606</v>
      </c>
      <c r="B8678" s="35" t="s">
        <v>18220</v>
      </c>
    </row>
    <row r="8679" spans="1:2" x14ac:dyDescent="0.35">
      <c r="A8679" s="34">
        <v>42161607</v>
      </c>
      <c r="B8679" s="35" t="s">
        <v>17492</v>
      </c>
    </row>
    <row r="8680" spans="1:2" x14ac:dyDescent="0.35">
      <c r="A8680" s="34">
        <v>42161608</v>
      </c>
      <c r="B8680" s="35" t="s">
        <v>17666</v>
      </c>
    </row>
    <row r="8681" spans="1:2" x14ac:dyDescent="0.35">
      <c r="A8681" s="34">
        <v>42161609</v>
      </c>
      <c r="B8681" s="35" t="s">
        <v>1070</v>
      </c>
    </row>
    <row r="8682" spans="1:2" x14ac:dyDescent="0.35">
      <c r="A8682" s="34">
        <v>42161610</v>
      </c>
      <c r="B8682" s="35" t="s">
        <v>18432</v>
      </c>
    </row>
    <row r="8683" spans="1:2" x14ac:dyDescent="0.35">
      <c r="A8683" s="34">
        <v>42161611</v>
      </c>
      <c r="B8683" s="35" t="s">
        <v>6937</v>
      </c>
    </row>
    <row r="8684" spans="1:2" x14ac:dyDescent="0.35">
      <c r="A8684" s="34">
        <v>42161612</v>
      </c>
      <c r="B8684" s="35" t="s">
        <v>15334</v>
      </c>
    </row>
    <row r="8685" spans="1:2" x14ac:dyDescent="0.35">
      <c r="A8685" s="34">
        <v>42161613</v>
      </c>
      <c r="B8685" s="35" t="s">
        <v>8305</v>
      </c>
    </row>
    <row r="8686" spans="1:2" x14ac:dyDescent="0.35">
      <c r="A8686" s="34">
        <v>42161614</v>
      </c>
      <c r="B8686" s="35" t="s">
        <v>14052</v>
      </c>
    </row>
    <row r="8687" spans="1:2" x14ac:dyDescent="0.35">
      <c r="A8687" s="34">
        <v>42161615</v>
      </c>
      <c r="B8687" s="35" t="s">
        <v>919</v>
      </c>
    </row>
    <row r="8688" spans="1:2" x14ac:dyDescent="0.35">
      <c r="A8688" s="34">
        <v>42161616</v>
      </c>
      <c r="B8688" s="35" t="s">
        <v>1834</v>
      </c>
    </row>
    <row r="8689" spans="1:2" x14ac:dyDescent="0.35">
      <c r="A8689" s="34">
        <v>42161617</v>
      </c>
      <c r="B8689" s="35" t="s">
        <v>9207</v>
      </c>
    </row>
    <row r="8690" spans="1:2" x14ac:dyDescent="0.35">
      <c r="A8690" s="34">
        <v>42161618</v>
      </c>
      <c r="B8690" s="35" t="s">
        <v>17489</v>
      </c>
    </row>
    <row r="8691" spans="1:2" x14ac:dyDescent="0.35">
      <c r="A8691" s="34">
        <v>42161619</v>
      </c>
      <c r="B8691" s="35" t="s">
        <v>3992</v>
      </c>
    </row>
    <row r="8692" spans="1:2" x14ac:dyDescent="0.35">
      <c r="A8692" s="34">
        <v>42161620</v>
      </c>
      <c r="B8692" s="35" t="s">
        <v>9692</v>
      </c>
    </row>
    <row r="8693" spans="1:2" x14ac:dyDescent="0.35">
      <c r="A8693" s="34">
        <v>42161621</v>
      </c>
      <c r="B8693" s="35" t="s">
        <v>12745</v>
      </c>
    </row>
    <row r="8694" spans="1:2" x14ac:dyDescent="0.35">
      <c r="A8694" s="34">
        <v>42161622</v>
      </c>
      <c r="B8694" s="35" t="s">
        <v>8517</v>
      </c>
    </row>
    <row r="8695" spans="1:2" x14ac:dyDescent="0.35">
      <c r="A8695" s="34">
        <v>42161623</v>
      </c>
      <c r="B8695" s="35" t="s">
        <v>5556</v>
      </c>
    </row>
    <row r="8696" spans="1:2" x14ac:dyDescent="0.35">
      <c r="A8696" s="34">
        <v>42161624</v>
      </c>
      <c r="B8696" s="35" t="s">
        <v>8560</v>
      </c>
    </row>
    <row r="8697" spans="1:2" x14ac:dyDescent="0.35">
      <c r="A8697" s="34">
        <v>42161625</v>
      </c>
      <c r="B8697" s="35" t="s">
        <v>12599</v>
      </c>
    </row>
    <row r="8698" spans="1:2" x14ac:dyDescent="0.35">
      <c r="A8698" s="34">
        <v>42161626</v>
      </c>
      <c r="B8698" s="35" t="s">
        <v>7823</v>
      </c>
    </row>
    <row r="8699" spans="1:2" x14ac:dyDescent="0.35">
      <c r="A8699" s="34">
        <v>42161627</v>
      </c>
      <c r="B8699" s="35" t="s">
        <v>14327</v>
      </c>
    </row>
    <row r="8700" spans="1:2" x14ac:dyDescent="0.35">
      <c r="A8700" s="34">
        <v>42161628</v>
      </c>
      <c r="B8700" s="35" t="s">
        <v>11509</v>
      </c>
    </row>
    <row r="8701" spans="1:2" x14ac:dyDescent="0.35">
      <c r="A8701" s="34">
        <v>42161629</v>
      </c>
      <c r="B8701" s="35" t="s">
        <v>17644</v>
      </c>
    </row>
    <row r="8702" spans="1:2" x14ac:dyDescent="0.35">
      <c r="A8702" s="34">
        <v>42161630</v>
      </c>
      <c r="B8702" s="35" t="s">
        <v>4730</v>
      </c>
    </row>
    <row r="8703" spans="1:2" x14ac:dyDescent="0.35">
      <c r="A8703" s="34">
        <v>42161631</v>
      </c>
      <c r="B8703" s="35" t="s">
        <v>10379</v>
      </c>
    </row>
    <row r="8704" spans="1:2" x14ac:dyDescent="0.35">
      <c r="A8704" s="34">
        <v>42161632</v>
      </c>
      <c r="B8704" s="35" t="s">
        <v>6416</v>
      </c>
    </row>
    <row r="8705" spans="1:2" x14ac:dyDescent="0.35">
      <c r="A8705" s="34">
        <v>42161633</v>
      </c>
      <c r="B8705" s="35" t="s">
        <v>5119</v>
      </c>
    </row>
    <row r="8706" spans="1:2" x14ac:dyDescent="0.35">
      <c r="A8706" s="34">
        <v>42161634</v>
      </c>
      <c r="B8706" s="35" t="s">
        <v>376</v>
      </c>
    </row>
    <row r="8707" spans="1:2" x14ac:dyDescent="0.35">
      <c r="A8707" s="34">
        <v>42161635</v>
      </c>
      <c r="B8707" s="35" t="s">
        <v>8499</v>
      </c>
    </row>
    <row r="8708" spans="1:2" x14ac:dyDescent="0.35">
      <c r="A8708" s="34">
        <v>42161701</v>
      </c>
      <c r="B8708" s="35" t="s">
        <v>6953</v>
      </c>
    </row>
    <row r="8709" spans="1:2" x14ac:dyDescent="0.35">
      <c r="A8709" s="34">
        <v>42161702</v>
      </c>
      <c r="B8709" s="35" t="s">
        <v>10667</v>
      </c>
    </row>
    <row r="8710" spans="1:2" x14ac:dyDescent="0.35">
      <c r="A8710" s="34">
        <v>42161703</v>
      </c>
      <c r="B8710" s="35" t="s">
        <v>19352</v>
      </c>
    </row>
    <row r="8711" spans="1:2" x14ac:dyDescent="0.35">
      <c r="A8711" s="34">
        <v>42161704</v>
      </c>
      <c r="B8711" s="35" t="s">
        <v>3752</v>
      </c>
    </row>
    <row r="8712" spans="1:2" x14ac:dyDescent="0.35">
      <c r="A8712" s="34">
        <v>42161801</v>
      </c>
      <c r="B8712" s="35" t="s">
        <v>17024</v>
      </c>
    </row>
    <row r="8713" spans="1:2" x14ac:dyDescent="0.35">
      <c r="A8713" s="34">
        <v>42161802</v>
      </c>
      <c r="B8713" s="35" t="s">
        <v>11523</v>
      </c>
    </row>
    <row r="8714" spans="1:2" x14ac:dyDescent="0.35">
      <c r="A8714" s="34">
        <v>42161803</v>
      </c>
      <c r="B8714" s="35" t="s">
        <v>19263</v>
      </c>
    </row>
    <row r="8715" spans="1:2" x14ac:dyDescent="0.35">
      <c r="A8715" s="34">
        <v>42161804</v>
      </c>
      <c r="B8715" s="35" t="s">
        <v>16715</v>
      </c>
    </row>
    <row r="8716" spans="1:2" x14ac:dyDescent="0.35">
      <c r="A8716" s="34">
        <v>42171501</v>
      </c>
      <c r="B8716" s="35" t="s">
        <v>8639</v>
      </c>
    </row>
    <row r="8717" spans="1:2" x14ac:dyDescent="0.35">
      <c r="A8717" s="34">
        <v>42171502</v>
      </c>
      <c r="B8717" s="35" t="s">
        <v>15658</v>
      </c>
    </row>
    <row r="8718" spans="1:2" x14ac:dyDescent="0.35">
      <c r="A8718" s="34">
        <v>42171601</v>
      </c>
      <c r="B8718" s="35" t="s">
        <v>16017</v>
      </c>
    </row>
    <row r="8719" spans="1:2" x14ac:dyDescent="0.35">
      <c r="A8719" s="34">
        <v>42171602</v>
      </c>
      <c r="B8719" s="35" t="s">
        <v>493</v>
      </c>
    </row>
    <row r="8720" spans="1:2" x14ac:dyDescent="0.35">
      <c r="A8720" s="34">
        <v>42171603</v>
      </c>
      <c r="B8720" s="35" t="s">
        <v>4636</v>
      </c>
    </row>
    <row r="8721" spans="1:2" x14ac:dyDescent="0.35">
      <c r="A8721" s="34">
        <v>42171604</v>
      </c>
      <c r="B8721" s="35" t="s">
        <v>5301</v>
      </c>
    </row>
    <row r="8722" spans="1:2" x14ac:dyDescent="0.35">
      <c r="A8722" s="34">
        <v>42171605</v>
      </c>
      <c r="B8722" s="35" t="s">
        <v>711</v>
      </c>
    </row>
    <row r="8723" spans="1:2" x14ac:dyDescent="0.35">
      <c r="A8723" s="34">
        <v>42171606</v>
      </c>
      <c r="B8723" s="35" t="s">
        <v>14059</v>
      </c>
    </row>
    <row r="8724" spans="1:2" x14ac:dyDescent="0.35">
      <c r="A8724" s="34">
        <v>42171607</v>
      </c>
      <c r="B8724" s="35" t="s">
        <v>12370</v>
      </c>
    </row>
    <row r="8725" spans="1:2" x14ac:dyDescent="0.35">
      <c r="A8725" s="34">
        <v>42171608</v>
      </c>
      <c r="B8725" s="35" t="s">
        <v>6184</v>
      </c>
    </row>
    <row r="8726" spans="1:2" x14ac:dyDescent="0.35">
      <c r="A8726" s="34">
        <v>42171609</v>
      </c>
      <c r="B8726" s="35" t="s">
        <v>12832</v>
      </c>
    </row>
    <row r="8727" spans="1:2" x14ac:dyDescent="0.35">
      <c r="A8727" s="34">
        <v>42171610</v>
      </c>
      <c r="B8727" s="35" t="s">
        <v>18863</v>
      </c>
    </row>
    <row r="8728" spans="1:2" x14ac:dyDescent="0.35">
      <c r="A8728" s="34">
        <v>42171611</v>
      </c>
      <c r="B8728" s="35" t="s">
        <v>3560</v>
      </c>
    </row>
    <row r="8729" spans="1:2" x14ac:dyDescent="0.35">
      <c r="A8729" s="34">
        <v>42171612</v>
      </c>
      <c r="B8729" s="35" t="s">
        <v>8491</v>
      </c>
    </row>
    <row r="8730" spans="1:2" x14ac:dyDescent="0.35">
      <c r="A8730" s="34">
        <v>42171613</v>
      </c>
      <c r="B8730" s="35" t="s">
        <v>2863</v>
      </c>
    </row>
    <row r="8731" spans="1:2" x14ac:dyDescent="0.35">
      <c r="A8731" s="34">
        <v>42171614</v>
      </c>
      <c r="B8731" s="35" t="s">
        <v>14305</v>
      </c>
    </row>
    <row r="8732" spans="1:2" x14ac:dyDescent="0.35">
      <c r="A8732" s="34">
        <v>42171701</v>
      </c>
      <c r="B8732" s="35" t="s">
        <v>6015</v>
      </c>
    </row>
    <row r="8733" spans="1:2" x14ac:dyDescent="0.35">
      <c r="A8733" s="34">
        <v>42171702</v>
      </c>
      <c r="B8733" s="35" t="s">
        <v>429</v>
      </c>
    </row>
    <row r="8734" spans="1:2" x14ac:dyDescent="0.35">
      <c r="A8734" s="34">
        <v>42171703</v>
      </c>
      <c r="B8734" s="35" t="s">
        <v>13377</v>
      </c>
    </row>
    <row r="8735" spans="1:2" x14ac:dyDescent="0.35">
      <c r="A8735" s="34">
        <v>42171704</v>
      </c>
      <c r="B8735" s="35" t="s">
        <v>2800</v>
      </c>
    </row>
    <row r="8736" spans="1:2" x14ac:dyDescent="0.35">
      <c r="A8736" s="34">
        <v>42171801</v>
      </c>
      <c r="B8736" s="35" t="s">
        <v>18671</v>
      </c>
    </row>
    <row r="8737" spans="1:2" x14ac:dyDescent="0.35">
      <c r="A8737" s="34">
        <v>42171802</v>
      </c>
      <c r="B8737" s="35" t="s">
        <v>2570</v>
      </c>
    </row>
    <row r="8738" spans="1:2" x14ac:dyDescent="0.35">
      <c r="A8738" s="34">
        <v>42171803</v>
      </c>
      <c r="B8738" s="35" t="s">
        <v>6316</v>
      </c>
    </row>
    <row r="8739" spans="1:2" x14ac:dyDescent="0.35">
      <c r="A8739" s="34">
        <v>42171804</v>
      </c>
      <c r="B8739" s="35" t="s">
        <v>14800</v>
      </c>
    </row>
    <row r="8740" spans="1:2" x14ac:dyDescent="0.35">
      <c r="A8740" s="34">
        <v>42171805</v>
      </c>
      <c r="B8740" s="35" t="s">
        <v>2100</v>
      </c>
    </row>
    <row r="8741" spans="1:2" x14ac:dyDescent="0.35">
      <c r="A8741" s="34">
        <v>42171806</v>
      </c>
      <c r="B8741" s="35" t="s">
        <v>13120</v>
      </c>
    </row>
    <row r="8742" spans="1:2" x14ac:dyDescent="0.35">
      <c r="A8742" s="34">
        <v>42171901</v>
      </c>
      <c r="B8742" s="35" t="s">
        <v>7333</v>
      </c>
    </row>
    <row r="8743" spans="1:2" x14ac:dyDescent="0.35">
      <c r="A8743" s="34">
        <v>42171902</v>
      </c>
      <c r="B8743" s="35" t="s">
        <v>19200</v>
      </c>
    </row>
    <row r="8744" spans="1:2" x14ac:dyDescent="0.35">
      <c r="A8744" s="34">
        <v>42171903</v>
      </c>
      <c r="B8744" s="35" t="s">
        <v>2732</v>
      </c>
    </row>
    <row r="8745" spans="1:2" x14ac:dyDescent="0.35">
      <c r="A8745" s="34">
        <v>42171904</v>
      </c>
      <c r="B8745" s="35" t="s">
        <v>15191</v>
      </c>
    </row>
    <row r="8746" spans="1:2" x14ac:dyDescent="0.35">
      <c r="A8746" s="34">
        <v>42171905</v>
      </c>
      <c r="B8746" s="35" t="s">
        <v>11564</v>
      </c>
    </row>
    <row r="8747" spans="1:2" x14ac:dyDescent="0.35">
      <c r="A8747" s="34">
        <v>42171906</v>
      </c>
      <c r="B8747" s="35" t="s">
        <v>9816</v>
      </c>
    </row>
    <row r="8748" spans="1:2" x14ac:dyDescent="0.35">
      <c r="A8748" s="34">
        <v>42171907</v>
      </c>
      <c r="B8748" s="35" t="s">
        <v>5904</v>
      </c>
    </row>
    <row r="8749" spans="1:2" x14ac:dyDescent="0.35">
      <c r="A8749" s="34">
        <v>42171908</v>
      </c>
      <c r="B8749" s="35" t="s">
        <v>12735</v>
      </c>
    </row>
    <row r="8750" spans="1:2" x14ac:dyDescent="0.35">
      <c r="A8750" s="34">
        <v>42171909</v>
      </c>
      <c r="B8750" s="35" t="s">
        <v>19228</v>
      </c>
    </row>
    <row r="8751" spans="1:2" x14ac:dyDescent="0.35">
      <c r="A8751" s="34">
        <v>42171910</v>
      </c>
      <c r="B8751" s="35" t="s">
        <v>14603</v>
      </c>
    </row>
    <row r="8752" spans="1:2" x14ac:dyDescent="0.35">
      <c r="A8752" s="34">
        <v>42171911</v>
      </c>
      <c r="B8752" s="35" t="s">
        <v>15971</v>
      </c>
    </row>
    <row r="8753" spans="1:2" x14ac:dyDescent="0.35">
      <c r="A8753" s="34">
        <v>42171912</v>
      </c>
      <c r="B8753" s="35" t="s">
        <v>16521</v>
      </c>
    </row>
    <row r="8754" spans="1:2" x14ac:dyDescent="0.35">
      <c r="A8754" s="34">
        <v>42171913</v>
      </c>
      <c r="B8754" s="35" t="s">
        <v>1455</v>
      </c>
    </row>
    <row r="8755" spans="1:2" x14ac:dyDescent="0.35">
      <c r="A8755" s="34">
        <v>42171914</v>
      </c>
      <c r="B8755" s="35" t="s">
        <v>16756</v>
      </c>
    </row>
    <row r="8756" spans="1:2" x14ac:dyDescent="0.35">
      <c r="A8756" s="34">
        <v>42171915</v>
      </c>
      <c r="B8756" s="35" t="s">
        <v>12708</v>
      </c>
    </row>
    <row r="8757" spans="1:2" x14ac:dyDescent="0.35">
      <c r="A8757" s="34">
        <v>42171916</v>
      </c>
      <c r="B8757" s="35" t="s">
        <v>7439</v>
      </c>
    </row>
    <row r="8758" spans="1:2" x14ac:dyDescent="0.35">
      <c r="A8758" s="34">
        <v>42171917</v>
      </c>
      <c r="B8758" s="35" t="s">
        <v>12987</v>
      </c>
    </row>
    <row r="8759" spans="1:2" x14ac:dyDescent="0.35">
      <c r="A8759" s="34">
        <v>42171918</v>
      </c>
      <c r="B8759" s="35" t="s">
        <v>7195</v>
      </c>
    </row>
    <row r="8760" spans="1:2" x14ac:dyDescent="0.35">
      <c r="A8760" s="34">
        <v>42171919</v>
      </c>
      <c r="B8760" s="35" t="s">
        <v>18600</v>
      </c>
    </row>
    <row r="8761" spans="1:2" x14ac:dyDescent="0.35">
      <c r="A8761" s="34">
        <v>42171920</v>
      </c>
      <c r="B8761" s="35" t="s">
        <v>16187</v>
      </c>
    </row>
    <row r="8762" spans="1:2" x14ac:dyDescent="0.35">
      <c r="A8762" s="34">
        <v>42172001</v>
      </c>
      <c r="B8762" s="35" t="s">
        <v>5508</v>
      </c>
    </row>
    <row r="8763" spans="1:2" x14ac:dyDescent="0.35">
      <c r="A8763" s="34">
        <v>42172002</v>
      </c>
      <c r="B8763" s="35" t="s">
        <v>7381</v>
      </c>
    </row>
    <row r="8764" spans="1:2" x14ac:dyDescent="0.35">
      <c r="A8764" s="34">
        <v>42172003</v>
      </c>
      <c r="B8764" s="35" t="s">
        <v>4068</v>
      </c>
    </row>
    <row r="8765" spans="1:2" x14ac:dyDescent="0.35">
      <c r="A8765" s="34">
        <v>42172004</v>
      </c>
      <c r="B8765" s="35" t="s">
        <v>13044</v>
      </c>
    </row>
    <row r="8766" spans="1:2" x14ac:dyDescent="0.35">
      <c r="A8766" s="34">
        <v>42172005</v>
      </c>
      <c r="B8766" s="35" t="s">
        <v>6804</v>
      </c>
    </row>
    <row r="8767" spans="1:2" x14ac:dyDescent="0.35">
      <c r="A8767" s="34">
        <v>42172006</v>
      </c>
      <c r="B8767" s="35" t="s">
        <v>985</v>
      </c>
    </row>
    <row r="8768" spans="1:2" x14ac:dyDescent="0.35">
      <c r="A8768" s="34">
        <v>42172007</v>
      </c>
      <c r="B8768" s="35" t="s">
        <v>11877</v>
      </c>
    </row>
    <row r="8769" spans="1:2" x14ac:dyDescent="0.35">
      <c r="A8769" s="34">
        <v>42172008</v>
      </c>
      <c r="B8769" s="35" t="s">
        <v>18682</v>
      </c>
    </row>
    <row r="8770" spans="1:2" x14ac:dyDescent="0.35">
      <c r="A8770" s="34">
        <v>42172009</v>
      </c>
      <c r="B8770" s="35" t="s">
        <v>10255</v>
      </c>
    </row>
    <row r="8771" spans="1:2" x14ac:dyDescent="0.35">
      <c r="A8771" s="34">
        <v>42172010</v>
      </c>
      <c r="B8771" s="35" t="s">
        <v>17435</v>
      </c>
    </row>
    <row r="8772" spans="1:2" x14ac:dyDescent="0.35">
      <c r="A8772" s="34">
        <v>42172011</v>
      </c>
      <c r="B8772" s="35" t="s">
        <v>19393</v>
      </c>
    </row>
    <row r="8773" spans="1:2" x14ac:dyDescent="0.35">
      <c r="A8773" s="34">
        <v>42172012</v>
      </c>
      <c r="B8773" s="35" t="s">
        <v>14565</v>
      </c>
    </row>
    <row r="8774" spans="1:2" x14ac:dyDescent="0.35">
      <c r="A8774" s="34">
        <v>42172013</v>
      </c>
      <c r="B8774" s="35" t="s">
        <v>9766</v>
      </c>
    </row>
    <row r="8775" spans="1:2" x14ac:dyDescent="0.35">
      <c r="A8775" s="34">
        <v>42172014</v>
      </c>
      <c r="B8775" s="35" t="s">
        <v>11717</v>
      </c>
    </row>
    <row r="8776" spans="1:2" x14ac:dyDescent="0.35">
      <c r="A8776" s="34">
        <v>42172015</v>
      </c>
      <c r="B8776" s="35" t="s">
        <v>9411</v>
      </c>
    </row>
    <row r="8777" spans="1:2" x14ac:dyDescent="0.35">
      <c r="A8777" s="34">
        <v>42172016</v>
      </c>
      <c r="B8777" s="35" t="s">
        <v>15986</v>
      </c>
    </row>
    <row r="8778" spans="1:2" x14ac:dyDescent="0.35">
      <c r="A8778" s="34">
        <v>42172017</v>
      </c>
      <c r="B8778" s="35" t="s">
        <v>7034</v>
      </c>
    </row>
    <row r="8779" spans="1:2" x14ac:dyDescent="0.35">
      <c r="A8779" s="34">
        <v>42172101</v>
      </c>
      <c r="B8779" s="35" t="s">
        <v>4571</v>
      </c>
    </row>
    <row r="8780" spans="1:2" x14ac:dyDescent="0.35">
      <c r="A8780" s="34">
        <v>42172102</v>
      </c>
      <c r="B8780" s="35" t="s">
        <v>14098</v>
      </c>
    </row>
    <row r="8781" spans="1:2" x14ac:dyDescent="0.35">
      <c r="A8781" s="34">
        <v>42172103</v>
      </c>
      <c r="B8781" s="35" t="s">
        <v>15397</v>
      </c>
    </row>
    <row r="8782" spans="1:2" x14ac:dyDescent="0.35">
      <c r="A8782" s="34">
        <v>42172201</v>
      </c>
      <c r="B8782" s="35" t="s">
        <v>15670</v>
      </c>
    </row>
    <row r="8783" spans="1:2" x14ac:dyDescent="0.35">
      <c r="A8783" s="34">
        <v>42181501</v>
      </c>
      <c r="B8783" s="35" t="s">
        <v>2545</v>
      </c>
    </row>
    <row r="8784" spans="1:2" x14ac:dyDescent="0.35">
      <c r="A8784" s="34">
        <v>42181502</v>
      </c>
      <c r="B8784" s="35" t="s">
        <v>7846</v>
      </c>
    </row>
    <row r="8785" spans="1:2" x14ac:dyDescent="0.35">
      <c r="A8785" s="34">
        <v>42181503</v>
      </c>
      <c r="B8785" s="35" t="s">
        <v>11582</v>
      </c>
    </row>
    <row r="8786" spans="1:2" x14ac:dyDescent="0.35">
      <c r="A8786" s="34">
        <v>42181504</v>
      </c>
      <c r="B8786" s="35" t="s">
        <v>11660</v>
      </c>
    </row>
    <row r="8787" spans="1:2" x14ac:dyDescent="0.35">
      <c r="A8787" s="34">
        <v>42181505</v>
      </c>
      <c r="B8787" s="35" t="s">
        <v>14153</v>
      </c>
    </row>
    <row r="8788" spans="1:2" x14ac:dyDescent="0.35">
      <c r="A8788" s="34">
        <v>42181506</v>
      </c>
      <c r="B8788" s="35" t="s">
        <v>7142</v>
      </c>
    </row>
    <row r="8789" spans="1:2" x14ac:dyDescent="0.35">
      <c r="A8789" s="34">
        <v>42181507</v>
      </c>
      <c r="B8789" s="35" t="s">
        <v>13805</v>
      </c>
    </row>
    <row r="8790" spans="1:2" x14ac:dyDescent="0.35">
      <c r="A8790" s="34">
        <v>42181508</v>
      </c>
      <c r="B8790" s="35" t="s">
        <v>9349</v>
      </c>
    </row>
    <row r="8791" spans="1:2" x14ac:dyDescent="0.35">
      <c r="A8791" s="34">
        <v>42181509</v>
      </c>
      <c r="B8791" s="35" t="s">
        <v>266</v>
      </c>
    </row>
    <row r="8792" spans="1:2" x14ac:dyDescent="0.35">
      <c r="A8792" s="34">
        <v>42181510</v>
      </c>
      <c r="B8792" s="35" t="s">
        <v>4343</v>
      </c>
    </row>
    <row r="8793" spans="1:2" x14ac:dyDescent="0.35">
      <c r="A8793" s="34">
        <v>42181511</v>
      </c>
      <c r="B8793" s="35" t="s">
        <v>16252</v>
      </c>
    </row>
    <row r="8794" spans="1:2" x14ac:dyDescent="0.35">
      <c r="A8794" s="34">
        <v>42181512</v>
      </c>
      <c r="B8794" s="35" t="s">
        <v>18444</v>
      </c>
    </row>
    <row r="8795" spans="1:2" x14ac:dyDescent="0.35">
      <c r="A8795" s="34">
        <v>42181513</v>
      </c>
      <c r="B8795" s="35" t="s">
        <v>4612</v>
      </c>
    </row>
    <row r="8796" spans="1:2" x14ac:dyDescent="0.35">
      <c r="A8796" s="34">
        <v>42181514</v>
      </c>
      <c r="B8796" s="35" t="s">
        <v>5526</v>
      </c>
    </row>
    <row r="8797" spans="1:2" x14ac:dyDescent="0.35">
      <c r="A8797" s="34">
        <v>42181515</v>
      </c>
      <c r="B8797" s="35" t="s">
        <v>3583</v>
      </c>
    </row>
    <row r="8798" spans="1:2" x14ac:dyDescent="0.35">
      <c r="A8798" s="34">
        <v>42181516</v>
      </c>
      <c r="B8798" s="35" t="s">
        <v>14564</v>
      </c>
    </row>
    <row r="8799" spans="1:2" x14ac:dyDescent="0.35">
      <c r="A8799" s="34">
        <v>42181517</v>
      </c>
      <c r="B8799" s="35" t="s">
        <v>2644</v>
      </c>
    </row>
    <row r="8800" spans="1:2" x14ac:dyDescent="0.35">
      <c r="A8800" s="34">
        <v>42181601</v>
      </c>
      <c r="B8800" s="35" t="s">
        <v>13020</v>
      </c>
    </row>
    <row r="8801" spans="1:2" x14ac:dyDescent="0.35">
      <c r="A8801" s="34">
        <v>42181602</v>
      </c>
      <c r="B8801" s="35" t="s">
        <v>11452</v>
      </c>
    </row>
    <row r="8802" spans="1:2" x14ac:dyDescent="0.35">
      <c r="A8802" s="34">
        <v>42181603</v>
      </c>
      <c r="B8802" s="35" t="s">
        <v>15104</v>
      </c>
    </row>
    <row r="8803" spans="1:2" x14ac:dyDescent="0.35">
      <c r="A8803" s="34">
        <v>42181604</v>
      </c>
      <c r="B8803" s="35" t="s">
        <v>1048</v>
      </c>
    </row>
    <row r="8804" spans="1:2" x14ac:dyDescent="0.35">
      <c r="A8804" s="34">
        <v>42181605</v>
      </c>
      <c r="B8804" s="35" t="s">
        <v>2224</v>
      </c>
    </row>
    <row r="8805" spans="1:2" x14ac:dyDescent="0.35">
      <c r="A8805" s="34">
        <v>42181606</v>
      </c>
      <c r="B8805" s="35" t="s">
        <v>15863</v>
      </c>
    </row>
    <row r="8806" spans="1:2" x14ac:dyDescent="0.35">
      <c r="A8806" s="34">
        <v>42181607</v>
      </c>
      <c r="B8806" s="35" t="s">
        <v>17966</v>
      </c>
    </row>
    <row r="8807" spans="1:2" x14ac:dyDescent="0.35">
      <c r="A8807" s="34">
        <v>42181608</v>
      </c>
      <c r="B8807" s="35" t="s">
        <v>5697</v>
      </c>
    </row>
    <row r="8808" spans="1:2" x14ac:dyDescent="0.35">
      <c r="A8808" s="34">
        <v>42181609</v>
      </c>
      <c r="B8808" s="35" t="s">
        <v>8697</v>
      </c>
    </row>
    <row r="8809" spans="1:2" x14ac:dyDescent="0.35">
      <c r="A8809" s="34">
        <v>42181610</v>
      </c>
      <c r="B8809" s="35" t="s">
        <v>3536</v>
      </c>
    </row>
    <row r="8810" spans="1:2" x14ac:dyDescent="0.35">
      <c r="A8810" s="34">
        <v>42181701</v>
      </c>
      <c r="B8810" s="35" t="s">
        <v>10704</v>
      </c>
    </row>
    <row r="8811" spans="1:2" x14ac:dyDescent="0.35">
      <c r="A8811" s="34">
        <v>42181702</v>
      </c>
      <c r="B8811" s="35" t="s">
        <v>19467</v>
      </c>
    </row>
    <row r="8812" spans="1:2" x14ac:dyDescent="0.35">
      <c r="A8812" s="34">
        <v>42181703</v>
      </c>
      <c r="B8812" s="35" t="s">
        <v>15437</v>
      </c>
    </row>
    <row r="8813" spans="1:2" x14ac:dyDescent="0.35">
      <c r="A8813" s="34">
        <v>42181704</v>
      </c>
      <c r="B8813" s="35" t="s">
        <v>16537</v>
      </c>
    </row>
    <row r="8814" spans="1:2" x14ac:dyDescent="0.35">
      <c r="A8814" s="34">
        <v>42181705</v>
      </c>
      <c r="B8814" s="35" t="s">
        <v>13831</v>
      </c>
    </row>
    <row r="8815" spans="1:2" x14ac:dyDescent="0.35">
      <c r="A8815" s="34">
        <v>42181706</v>
      </c>
      <c r="B8815" s="35" t="s">
        <v>13203</v>
      </c>
    </row>
    <row r="8816" spans="1:2" x14ac:dyDescent="0.35">
      <c r="A8816" s="34">
        <v>42181707</v>
      </c>
      <c r="B8816" s="35" t="s">
        <v>9681</v>
      </c>
    </row>
    <row r="8817" spans="1:2" x14ac:dyDescent="0.35">
      <c r="A8817" s="34">
        <v>42181708</v>
      </c>
      <c r="B8817" s="35" t="s">
        <v>16015</v>
      </c>
    </row>
    <row r="8818" spans="1:2" x14ac:dyDescent="0.35">
      <c r="A8818" s="34">
        <v>42181709</v>
      </c>
      <c r="B8818" s="35" t="s">
        <v>5529</v>
      </c>
    </row>
    <row r="8819" spans="1:2" x14ac:dyDescent="0.35">
      <c r="A8819" s="34">
        <v>42181710</v>
      </c>
      <c r="B8819" s="35" t="s">
        <v>1704</v>
      </c>
    </row>
    <row r="8820" spans="1:2" x14ac:dyDescent="0.35">
      <c r="A8820" s="34">
        <v>42181711</v>
      </c>
      <c r="B8820" s="35" t="s">
        <v>11274</v>
      </c>
    </row>
    <row r="8821" spans="1:2" x14ac:dyDescent="0.35">
      <c r="A8821" s="34">
        <v>42181712</v>
      </c>
      <c r="B8821" s="35" t="s">
        <v>13803</v>
      </c>
    </row>
    <row r="8822" spans="1:2" x14ac:dyDescent="0.35">
      <c r="A8822" s="34">
        <v>42181713</v>
      </c>
      <c r="B8822" s="35" t="s">
        <v>4582</v>
      </c>
    </row>
    <row r="8823" spans="1:2" x14ac:dyDescent="0.35">
      <c r="A8823" s="34">
        <v>42181714</v>
      </c>
      <c r="B8823" s="35" t="s">
        <v>6424</v>
      </c>
    </row>
    <row r="8824" spans="1:2" x14ac:dyDescent="0.35">
      <c r="A8824" s="34">
        <v>42181715</v>
      </c>
      <c r="B8824" s="35" t="s">
        <v>7421</v>
      </c>
    </row>
    <row r="8825" spans="1:2" x14ac:dyDescent="0.35">
      <c r="A8825" s="34">
        <v>42181716</v>
      </c>
      <c r="B8825" s="35" t="s">
        <v>10908</v>
      </c>
    </row>
    <row r="8826" spans="1:2" x14ac:dyDescent="0.35">
      <c r="A8826" s="34">
        <v>42181717</v>
      </c>
      <c r="B8826" s="35" t="s">
        <v>1351</v>
      </c>
    </row>
    <row r="8827" spans="1:2" x14ac:dyDescent="0.35">
      <c r="A8827" s="34">
        <v>42181718</v>
      </c>
      <c r="B8827" s="35" t="s">
        <v>17265</v>
      </c>
    </row>
    <row r="8828" spans="1:2" x14ac:dyDescent="0.35">
      <c r="A8828" s="34">
        <v>42181719</v>
      </c>
      <c r="B8828" s="35" t="s">
        <v>7081</v>
      </c>
    </row>
    <row r="8829" spans="1:2" x14ac:dyDescent="0.35">
      <c r="A8829" s="34">
        <v>42181801</v>
      </c>
      <c r="B8829" s="35" t="s">
        <v>2585</v>
      </c>
    </row>
    <row r="8830" spans="1:2" x14ac:dyDescent="0.35">
      <c r="A8830" s="34">
        <v>42181802</v>
      </c>
      <c r="B8830" s="35" t="s">
        <v>11703</v>
      </c>
    </row>
    <row r="8831" spans="1:2" x14ac:dyDescent="0.35">
      <c r="A8831" s="34">
        <v>42181803</v>
      </c>
      <c r="B8831" s="35" t="s">
        <v>10216</v>
      </c>
    </row>
    <row r="8832" spans="1:2" x14ac:dyDescent="0.35">
      <c r="A8832" s="34">
        <v>42181804</v>
      </c>
      <c r="B8832" s="35" t="s">
        <v>1211</v>
      </c>
    </row>
    <row r="8833" spans="1:2" x14ac:dyDescent="0.35">
      <c r="A8833" s="34">
        <v>42181805</v>
      </c>
      <c r="B8833" s="35" t="s">
        <v>2517</v>
      </c>
    </row>
    <row r="8834" spans="1:2" x14ac:dyDescent="0.35">
      <c r="A8834" s="34">
        <v>42181901</v>
      </c>
      <c r="B8834" s="35" t="s">
        <v>886</v>
      </c>
    </row>
    <row r="8835" spans="1:2" x14ac:dyDescent="0.35">
      <c r="A8835" s="34">
        <v>42181902</v>
      </c>
      <c r="B8835" s="35" t="s">
        <v>19064</v>
      </c>
    </row>
    <row r="8836" spans="1:2" x14ac:dyDescent="0.35">
      <c r="A8836" s="34">
        <v>42181903</v>
      </c>
      <c r="B8836" s="35" t="s">
        <v>50</v>
      </c>
    </row>
    <row r="8837" spans="1:2" x14ac:dyDescent="0.35">
      <c r="A8837" s="34">
        <v>42181904</v>
      </c>
      <c r="B8837" s="35" t="s">
        <v>9536</v>
      </c>
    </row>
    <row r="8838" spans="1:2" x14ac:dyDescent="0.35">
      <c r="A8838" s="34">
        <v>42181905</v>
      </c>
      <c r="B8838" s="35" t="s">
        <v>1296</v>
      </c>
    </row>
    <row r="8839" spans="1:2" x14ac:dyDescent="0.35">
      <c r="A8839" s="34">
        <v>42181906</v>
      </c>
      <c r="B8839" s="35" t="s">
        <v>12150</v>
      </c>
    </row>
    <row r="8840" spans="1:2" x14ac:dyDescent="0.35">
      <c r="A8840" s="34">
        <v>42181907</v>
      </c>
      <c r="B8840" s="35" t="s">
        <v>11973</v>
      </c>
    </row>
    <row r="8841" spans="1:2" x14ac:dyDescent="0.35">
      <c r="A8841" s="34">
        <v>42181908</v>
      </c>
      <c r="B8841" s="35" t="s">
        <v>14548</v>
      </c>
    </row>
    <row r="8842" spans="1:2" x14ac:dyDescent="0.35">
      <c r="A8842" s="34">
        <v>42181909</v>
      </c>
      <c r="B8842" s="35" t="s">
        <v>2491</v>
      </c>
    </row>
    <row r="8843" spans="1:2" x14ac:dyDescent="0.35">
      <c r="A8843" s="34">
        <v>42181910</v>
      </c>
      <c r="B8843" s="35" t="s">
        <v>446</v>
      </c>
    </row>
    <row r="8844" spans="1:2" x14ac:dyDescent="0.35">
      <c r="A8844" s="34">
        <v>42181911</v>
      </c>
      <c r="B8844" s="35" t="s">
        <v>7819</v>
      </c>
    </row>
    <row r="8845" spans="1:2" x14ac:dyDescent="0.35">
      <c r="A8845" s="34">
        <v>42182001</v>
      </c>
      <c r="B8845" s="35" t="s">
        <v>12516</v>
      </c>
    </row>
    <row r="8846" spans="1:2" x14ac:dyDescent="0.35">
      <c r="A8846" s="34">
        <v>42182002</v>
      </c>
      <c r="B8846" s="35" t="s">
        <v>1983</v>
      </c>
    </row>
    <row r="8847" spans="1:2" x14ac:dyDescent="0.35">
      <c r="A8847" s="34">
        <v>42182003</v>
      </c>
      <c r="B8847" s="35" t="s">
        <v>3268</v>
      </c>
    </row>
    <row r="8848" spans="1:2" x14ac:dyDescent="0.35">
      <c r="A8848" s="34">
        <v>42182004</v>
      </c>
      <c r="B8848" s="35" t="s">
        <v>13618</v>
      </c>
    </row>
    <row r="8849" spans="1:2" x14ac:dyDescent="0.35">
      <c r="A8849" s="34">
        <v>42182005</v>
      </c>
      <c r="B8849" s="35" t="s">
        <v>5512</v>
      </c>
    </row>
    <row r="8850" spans="1:2" x14ac:dyDescent="0.35">
      <c r="A8850" s="34">
        <v>42182006</v>
      </c>
      <c r="B8850" s="35" t="s">
        <v>10674</v>
      </c>
    </row>
    <row r="8851" spans="1:2" x14ac:dyDescent="0.35">
      <c r="A8851" s="34">
        <v>42182007</v>
      </c>
      <c r="B8851" s="35" t="s">
        <v>18849</v>
      </c>
    </row>
    <row r="8852" spans="1:2" x14ac:dyDescent="0.35">
      <c r="A8852" s="34">
        <v>42182008</v>
      </c>
      <c r="B8852" s="35" t="s">
        <v>19609</v>
      </c>
    </row>
    <row r="8853" spans="1:2" x14ac:dyDescent="0.35">
      <c r="A8853" s="34">
        <v>42182009</v>
      </c>
      <c r="B8853" s="35" t="s">
        <v>1472</v>
      </c>
    </row>
    <row r="8854" spans="1:2" x14ac:dyDescent="0.35">
      <c r="A8854" s="34">
        <v>42182010</v>
      </c>
      <c r="B8854" s="35" t="s">
        <v>5687</v>
      </c>
    </row>
    <row r="8855" spans="1:2" x14ac:dyDescent="0.35">
      <c r="A8855" s="34">
        <v>42182011</v>
      </c>
      <c r="B8855" s="35" t="s">
        <v>1498</v>
      </c>
    </row>
    <row r="8856" spans="1:2" x14ac:dyDescent="0.35">
      <c r="A8856" s="34">
        <v>42182012</v>
      </c>
      <c r="B8856" s="35" t="s">
        <v>18989</v>
      </c>
    </row>
    <row r="8857" spans="1:2" x14ac:dyDescent="0.35">
      <c r="A8857" s="34">
        <v>42182013</v>
      </c>
      <c r="B8857" s="35" t="s">
        <v>5437</v>
      </c>
    </row>
    <row r="8858" spans="1:2" x14ac:dyDescent="0.35">
      <c r="A8858" s="34">
        <v>42182014</v>
      </c>
      <c r="B8858" s="35" t="s">
        <v>7343</v>
      </c>
    </row>
    <row r="8859" spans="1:2" x14ac:dyDescent="0.35">
      <c r="A8859" s="34">
        <v>42182015</v>
      </c>
      <c r="B8859" s="35" t="s">
        <v>12065</v>
      </c>
    </row>
    <row r="8860" spans="1:2" x14ac:dyDescent="0.35">
      <c r="A8860" s="34">
        <v>42182016</v>
      </c>
      <c r="B8860" s="35" t="s">
        <v>18775</v>
      </c>
    </row>
    <row r="8861" spans="1:2" x14ac:dyDescent="0.35">
      <c r="A8861" s="34">
        <v>42182017</v>
      </c>
      <c r="B8861" s="35" t="s">
        <v>10715</v>
      </c>
    </row>
    <row r="8862" spans="1:2" x14ac:dyDescent="0.35">
      <c r="A8862" s="34">
        <v>42182018</v>
      </c>
      <c r="B8862" s="35" t="s">
        <v>8597</v>
      </c>
    </row>
    <row r="8863" spans="1:2" x14ac:dyDescent="0.35">
      <c r="A8863" s="34">
        <v>42182019</v>
      </c>
      <c r="B8863" s="35" t="s">
        <v>188</v>
      </c>
    </row>
    <row r="8864" spans="1:2" x14ac:dyDescent="0.35">
      <c r="A8864" s="34">
        <v>42182020</v>
      </c>
      <c r="B8864" s="35" t="s">
        <v>6791</v>
      </c>
    </row>
    <row r="8865" spans="1:2" x14ac:dyDescent="0.35">
      <c r="A8865" s="34">
        <v>42182101</v>
      </c>
      <c r="B8865" s="35" t="s">
        <v>17853</v>
      </c>
    </row>
    <row r="8866" spans="1:2" x14ac:dyDescent="0.35">
      <c r="A8866" s="34">
        <v>42182102</v>
      </c>
      <c r="B8866" s="35" t="s">
        <v>6911</v>
      </c>
    </row>
    <row r="8867" spans="1:2" x14ac:dyDescent="0.35">
      <c r="A8867" s="34">
        <v>42182103</v>
      </c>
      <c r="B8867" s="35" t="s">
        <v>13472</v>
      </c>
    </row>
    <row r="8868" spans="1:2" x14ac:dyDescent="0.35">
      <c r="A8868" s="34">
        <v>42182104</v>
      </c>
      <c r="B8868" s="35" t="s">
        <v>4112</v>
      </c>
    </row>
    <row r="8869" spans="1:2" x14ac:dyDescent="0.35">
      <c r="A8869" s="34">
        <v>42182105</v>
      </c>
      <c r="B8869" s="35" t="s">
        <v>13735</v>
      </c>
    </row>
    <row r="8870" spans="1:2" x14ac:dyDescent="0.35">
      <c r="A8870" s="34">
        <v>42182106</v>
      </c>
      <c r="B8870" s="35" t="s">
        <v>4569</v>
      </c>
    </row>
    <row r="8871" spans="1:2" x14ac:dyDescent="0.35">
      <c r="A8871" s="34">
        <v>42182107</v>
      </c>
      <c r="B8871" s="35" t="s">
        <v>14457</v>
      </c>
    </row>
    <row r="8872" spans="1:2" x14ac:dyDescent="0.35">
      <c r="A8872" s="34">
        <v>42182108</v>
      </c>
      <c r="B8872" s="35" t="s">
        <v>9401</v>
      </c>
    </row>
    <row r="8873" spans="1:2" x14ac:dyDescent="0.35">
      <c r="A8873" s="34">
        <v>42182201</v>
      </c>
      <c r="B8873" s="35" t="s">
        <v>17316</v>
      </c>
    </row>
    <row r="8874" spans="1:2" x14ac:dyDescent="0.35">
      <c r="A8874" s="34">
        <v>42182202</v>
      </c>
      <c r="B8874" s="35" t="s">
        <v>3101</v>
      </c>
    </row>
    <row r="8875" spans="1:2" x14ac:dyDescent="0.35">
      <c r="A8875" s="34">
        <v>42182203</v>
      </c>
      <c r="B8875" s="35" t="s">
        <v>5506</v>
      </c>
    </row>
    <row r="8876" spans="1:2" x14ac:dyDescent="0.35">
      <c r="A8876" s="34">
        <v>42182204</v>
      </c>
      <c r="B8876" s="35" t="s">
        <v>15785</v>
      </c>
    </row>
    <row r="8877" spans="1:2" x14ac:dyDescent="0.35">
      <c r="A8877" s="34">
        <v>42182205</v>
      </c>
      <c r="B8877" s="35" t="s">
        <v>388</v>
      </c>
    </row>
    <row r="8878" spans="1:2" x14ac:dyDescent="0.35">
      <c r="A8878" s="34">
        <v>42182206</v>
      </c>
      <c r="B8878" s="35" t="s">
        <v>17414</v>
      </c>
    </row>
    <row r="8879" spans="1:2" x14ac:dyDescent="0.35">
      <c r="A8879" s="34">
        <v>42182207</v>
      </c>
      <c r="B8879" s="35" t="s">
        <v>18201</v>
      </c>
    </row>
    <row r="8880" spans="1:2" x14ac:dyDescent="0.35">
      <c r="A8880" s="34">
        <v>42182208</v>
      </c>
      <c r="B8880" s="35" t="s">
        <v>14341</v>
      </c>
    </row>
    <row r="8881" spans="1:2" x14ac:dyDescent="0.35">
      <c r="A8881" s="34">
        <v>42182209</v>
      </c>
      <c r="B8881" s="35" t="s">
        <v>101</v>
      </c>
    </row>
    <row r="8882" spans="1:2" x14ac:dyDescent="0.35">
      <c r="A8882" s="34">
        <v>42182301</v>
      </c>
      <c r="B8882" s="35" t="s">
        <v>15624</v>
      </c>
    </row>
    <row r="8883" spans="1:2" x14ac:dyDescent="0.35">
      <c r="A8883" s="34">
        <v>42182302</v>
      </c>
      <c r="B8883" s="35" t="s">
        <v>2927</v>
      </c>
    </row>
    <row r="8884" spans="1:2" x14ac:dyDescent="0.35">
      <c r="A8884" s="34">
        <v>42182303</v>
      </c>
      <c r="B8884" s="35" t="s">
        <v>16595</v>
      </c>
    </row>
    <row r="8885" spans="1:2" x14ac:dyDescent="0.35">
      <c r="A8885" s="34">
        <v>42182304</v>
      </c>
      <c r="B8885" s="35" t="s">
        <v>2022</v>
      </c>
    </row>
    <row r="8886" spans="1:2" x14ac:dyDescent="0.35">
      <c r="A8886" s="34">
        <v>42182305</v>
      </c>
      <c r="B8886" s="35" t="s">
        <v>12894</v>
      </c>
    </row>
    <row r="8887" spans="1:2" x14ac:dyDescent="0.35">
      <c r="A8887" s="34">
        <v>42182306</v>
      </c>
      <c r="B8887" s="35" t="s">
        <v>16273</v>
      </c>
    </row>
    <row r="8888" spans="1:2" x14ac:dyDescent="0.35">
      <c r="A8888" s="34">
        <v>42182307</v>
      </c>
      <c r="B8888" s="35" t="s">
        <v>4069</v>
      </c>
    </row>
    <row r="8889" spans="1:2" x14ac:dyDescent="0.35">
      <c r="A8889" s="34">
        <v>42182308</v>
      </c>
      <c r="B8889" s="35" t="s">
        <v>5417</v>
      </c>
    </row>
    <row r="8890" spans="1:2" x14ac:dyDescent="0.35">
      <c r="A8890" s="34">
        <v>42182309</v>
      </c>
      <c r="B8890" s="35" t="s">
        <v>12530</v>
      </c>
    </row>
    <row r="8891" spans="1:2" x14ac:dyDescent="0.35">
      <c r="A8891" s="34">
        <v>42182310</v>
      </c>
      <c r="B8891" s="35" t="s">
        <v>869</v>
      </c>
    </row>
    <row r="8892" spans="1:2" x14ac:dyDescent="0.35">
      <c r="A8892" s="34">
        <v>42182311</v>
      </c>
      <c r="B8892" s="35" t="s">
        <v>15499</v>
      </c>
    </row>
    <row r="8893" spans="1:2" x14ac:dyDescent="0.35">
      <c r="A8893" s="34">
        <v>42182312</v>
      </c>
      <c r="B8893" s="35" t="s">
        <v>12686</v>
      </c>
    </row>
    <row r="8894" spans="1:2" x14ac:dyDescent="0.35">
      <c r="A8894" s="34">
        <v>42182313</v>
      </c>
      <c r="B8894" s="35" t="s">
        <v>17965</v>
      </c>
    </row>
    <row r="8895" spans="1:2" x14ac:dyDescent="0.35">
      <c r="A8895" s="34">
        <v>42182314</v>
      </c>
      <c r="B8895" s="35" t="s">
        <v>8236</v>
      </c>
    </row>
    <row r="8896" spans="1:2" x14ac:dyDescent="0.35">
      <c r="A8896" s="34">
        <v>42182401</v>
      </c>
      <c r="B8896" s="35" t="s">
        <v>12933</v>
      </c>
    </row>
    <row r="8897" spans="1:2" x14ac:dyDescent="0.35">
      <c r="A8897" s="34">
        <v>42182402</v>
      </c>
      <c r="B8897" s="35" t="s">
        <v>7201</v>
      </c>
    </row>
    <row r="8898" spans="1:2" x14ac:dyDescent="0.35">
      <c r="A8898" s="34">
        <v>42182403</v>
      </c>
      <c r="B8898" s="35" t="s">
        <v>10141</v>
      </c>
    </row>
    <row r="8899" spans="1:2" x14ac:dyDescent="0.35">
      <c r="A8899" s="34">
        <v>42182404</v>
      </c>
      <c r="B8899" s="35" t="s">
        <v>15303</v>
      </c>
    </row>
    <row r="8900" spans="1:2" x14ac:dyDescent="0.35">
      <c r="A8900" s="34">
        <v>42182405</v>
      </c>
      <c r="B8900" s="35" t="s">
        <v>9258</v>
      </c>
    </row>
    <row r="8901" spans="1:2" x14ac:dyDescent="0.35">
      <c r="A8901" s="34">
        <v>42182406</v>
      </c>
      <c r="B8901" s="35" t="s">
        <v>4671</v>
      </c>
    </row>
    <row r="8902" spans="1:2" x14ac:dyDescent="0.35">
      <c r="A8902" s="34">
        <v>42182407</v>
      </c>
      <c r="B8902" s="35" t="s">
        <v>3092</v>
      </c>
    </row>
    <row r="8903" spans="1:2" x14ac:dyDescent="0.35">
      <c r="A8903" s="34">
        <v>42182408</v>
      </c>
      <c r="B8903" s="35" t="s">
        <v>3795</v>
      </c>
    </row>
    <row r="8904" spans="1:2" x14ac:dyDescent="0.35">
      <c r="A8904" s="34">
        <v>42182409</v>
      </c>
      <c r="B8904" s="35" t="s">
        <v>2654</v>
      </c>
    </row>
    <row r="8905" spans="1:2" x14ac:dyDescent="0.35">
      <c r="A8905" s="34">
        <v>42182410</v>
      </c>
      <c r="B8905" s="35" t="s">
        <v>14991</v>
      </c>
    </row>
    <row r="8906" spans="1:2" x14ac:dyDescent="0.35">
      <c r="A8906" s="34">
        <v>42182411</v>
      </c>
      <c r="B8906" s="35" t="s">
        <v>14503</v>
      </c>
    </row>
    <row r="8907" spans="1:2" x14ac:dyDescent="0.35">
      <c r="A8907" s="34">
        <v>42182412</v>
      </c>
      <c r="B8907" s="35" t="s">
        <v>6197</v>
      </c>
    </row>
    <row r="8908" spans="1:2" x14ac:dyDescent="0.35">
      <c r="A8908" s="34">
        <v>42182413</v>
      </c>
      <c r="B8908" s="35" t="s">
        <v>8999</v>
      </c>
    </row>
    <row r="8909" spans="1:2" x14ac:dyDescent="0.35">
      <c r="A8909" s="34">
        <v>42182414</v>
      </c>
      <c r="B8909" s="35" t="s">
        <v>9933</v>
      </c>
    </row>
    <row r="8910" spans="1:2" x14ac:dyDescent="0.35">
      <c r="A8910" s="34">
        <v>42182415</v>
      </c>
      <c r="B8910" s="35" t="s">
        <v>7554</v>
      </c>
    </row>
    <row r="8911" spans="1:2" x14ac:dyDescent="0.35">
      <c r="A8911" s="34">
        <v>42182416</v>
      </c>
      <c r="B8911" s="35" t="s">
        <v>6611</v>
      </c>
    </row>
    <row r="8912" spans="1:2" x14ac:dyDescent="0.35">
      <c r="A8912" s="34">
        <v>42182417</v>
      </c>
      <c r="B8912" s="35" t="s">
        <v>8201</v>
      </c>
    </row>
    <row r="8913" spans="1:2" x14ac:dyDescent="0.35">
      <c r="A8913" s="34">
        <v>42182418</v>
      </c>
      <c r="B8913" s="35" t="s">
        <v>968</v>
      </c>
    </row>
    <row r="8914" spans="1:2" x14ac:dyDescent="0.35">
      <c r="A8914" s="34">
        <v>42182419</v>
      </c>
      <c r="B8914" s="35" t="s">
        <v>15282</v>
      </c>
    </row>
    <row r="8915" spans="1:2" x14ac:dyDescent="0.35">
      <c r="A8915" s="34">
        <v>42182420</v>
      </c>
      <c r="B8915" s="35" t="s">
        <v>18664</v>
      </c>
    </row>
    <row r="8916" spans="1:2" x14ac:dyDescent="0.35">
      <c r="A8916" s="34">
        <v>42182421</v>
      </c>
      <c r="B8916" s="35" t="s">
        <v>13300</v>
      </c>
    </row>
    <row r="8917" spans="1:2" x14ac:dyDescent="0.35">
      <c r="A8917" s="34">
        <v>42182422</v>
      </c>
      <c r="B8917" s="35" t="s">
        <v>726</v>
      </c>
    </row>
    <row r="8918" spans="1:2" x14ac:dyDescent="0.35">
      <c r="A8918" s="34">
        <v>42182501</v>
      </c>
      <c r="B8918" s="35" t="s">
        <v>3767</v>
      </c>
    </row>
    <row r="8919" spans="1:2" x14ac:dyDescent="0.35">
      <c r="A8919" s="34">
        <v>42182502</v>
      </c>
      <c r="B8919" s="35" t="s">
        <v>6311</v>
      </c>
    </row>
    <row r="8920" spans="1:2" x14ac:dyDescent="0.35">
      <c r="A8920" s="34">
        <v>42182601</v>
      </c>
      <c r="B8920" s="35" t="s">
        <v>17418</v>
      </c>
    </row>
    <row r="8921" spans="1:2" x14ac:dyDescent="0.35">
      <c r="A8921" s="34">
        <v>42182602</v>
      </c>
      <c r="B8921" s="35" t="s">
        <v>5842</v>
      </c>
    </row>
    <row r="8922" spans="1:2" x14ac:dyDescent="0.35">
      <c r="A8922" s="34">
        <v>42182603</v>
      </c>
      <c r="B8922" s="35" t="s">
        <v>16670</v>
      </c>
    </row>
    <row r="8923" spans="1:2" x14ac:dyDescent="0.35">
      <c r="A8923" s="34">
        <v>42182604</v>
      </c>
      <c r="B8923" s="35" t="s">
        <v>17242</v>
      </c>
    </row>
    <row r="8924" spans="1:2" x14ac:dyDescent="0.35">
      <c r="A8924" s="34">
        <v>42182701</v>
      </c>
      <c r="B8924" s="35" t="s">
        <v>10309</v>
      </c>
    </row>
    <row r="8925" spans="1:2" x14ac:dyDescent="0.35">
      <c r="A8925" s="34">
        <v>42182702</v>
      </c>
      <c r="B8925" s="35" t="s">
        <v>3956</v>
      </c>
    </row>
    <row r="8926" spans="1:2" x14ac:dyDescent="0.35">
      <c r="A8926" s="34">
        <v>42182703</v>
      </c>
      <c r="B8926" s="35" t="s">
        <v>4437</v>
      </c>
    </row>
    <row r="8927" spans="1:2" x14ac:dyDescent="0.35">
      <c r="A8927" s="34">
        <v>42182704</v>
      </c>
      <c r="B8927" s="35" t="s">
        <v>7687</v>
      </c>
    </row>
    <row r="8928" spans="1:2" x14ac:dyDescent="0.35">
      <c r="A8928" s="34">
        <v>42182801</v>
      </c>
      <c r="B8928" s="35" t="s">
        <v>4798</v>
      </c>
    </row>
    <row r="8929" spans="1:2" x14ac:dyDescent="0.35">
      <c r="A8929" s="34">
        <v>42182802</v>
      </c>
      <c r="B8929" s="35" t="s">
        <v>14664</v>
      </c>
    </row>
    <row r="8930" spans="1:2" x14ac:dyDescent="0.35">
      <c r="A8930" s="34">
        <v>42182803</v>
      </c>
      <c r="B8930" s="35" t="s">
        <v>17530</v>
      </c>
    </row>
    <row r="8931" spans="1:2" x14ac:dyDescent="0.35">
      <c r="A8931" s="34">
        <v>42182804</v>
      </c>
      <c r="B8931" s="35" t="s">
        <v>8602</v>
      </c>
    </row>
    <row r="8932" spans="1:2" x14ac:dyDescent="0.35">
      <c r="A8932" s="34">
        <v>42182805</v>
      </c>
      <c r="B8932" s="35" t="s">
        <v>15366</v>
      </c>
    </row>
    <row r="8933" spans="1:2" x14ac:dyDescent="0.35">
      <c r="A8933" s="34">
        <v>42182806</v>
      </c>
      <c r="B8933" s="35" t="s">
        <v>17392</v>
      </c>
    </row>
    <row r="8934" spans="1:2" x14ac:dyDescent="0.35">
      <c r="A8934" s="34">
        <v>42182807</v>
      </c>
      <c r="B8934" s="35" t="s">
        <v>5438</v>
      </c>
    </row>
    <row r="8935" spans="1:2" x14ac:dyDescent="0.35">
      <c r="A8935" s="34">
        <v>42182808</v>
      </c>
      <c r="B8935" s="35" t="s">
        <v>10208</v>
      </c>
    </row>
    <row r="8936" spans="1:2" x14ac:dyDescent="0.35">
      <c r="A8936" s="34">
        <v>42182901</v>
      </c>
      <c r="B8936" s="35" t="s">
        <v>3386</v>
      </c>
    </row>
    <row r="8937" spans="1:2" x14ac:dyDescent="0.35">
      <c r="A8937" s="34">
        <v>42182902</v>
      </c>
      <c r="B8937" s="35" t="s">
        <v>3684</v>
      </c>
    </row>
    <row r="8938" spans="1:2" x14ac:dyDescent="0.35">
      <c r="A8938" s="34">
        <v>42182903</v>
      </c>
      <c r="B8938" s="35" t="s">
        <v>10371</v>
      </c>
    </row>
    <row r="8939" spans="1:2" x14ac:dyDescent="0.35">
      <c r="A8939" s="34">
        <v>42182904</v>
      </c>
      <c r="B8939" s="35" t="s">
        <v>11792</v>
      </c>
    </row>
    <row r="8940" spans="1:2" x14ac:dyDescent="0.35">
      <c r="A8940" s="34">
        <v>42183001</v>
      </c>
      <c r="B8940" s="35" t="s">
        <v>16011</v>
      </c>
    </row>
    <row r="8941" spans="1:2" x14ac:dyDescent="0.35">
      <c r="A8941" s="34">
        <v>42183002</v>
      </c>
      <c r="B8941" s="35" t="s">
        <v>4702</v>
      </c>
    </row>
    <row r="8942" spans="1:2" x14ac:dyDescent="0.35">
      <c r="A8942" s="34">
        <v>42183003</v>
      </c>
      <c r="B8942" s="35" t="s">
        <v>1738</v>
      </c>
    </row>
    <row r="8943" spans="1:2" x14ac:dyDescent="0.35">
      <c r="A8943" s="34">
        <v>42183004</v>
      </c>
      <c r="B8943" s="35" t="s">
        <v>3467</v>
      </c>
    </row>
    <row r="8944" spans="1:2" x14ac:dyDescent="0.35">
      <c r="A8944" s="34">
        <v>42183005</v>
      </c>
      <c r="B8944" s="35" t="s">
        <v>833</v>
      </c>
    </row>
    <row r="8945" spans="1:2" x14ac:dyDescent="0.35">
      <c r="A8945" s="34">
        <v>42183006</v>
      </c>
      <c r="B8945" s="35" t="s">
        <v>19643</v>
      </c>
    </row>
    <row r="8946" spans="1:2" x14ac:dyDescent="0.35">
      <c r="A8946" s="34">
        <v>42183007</v>
      </c>
      <c r="B8946" s="35" t="s">
        <v>3200</v>
      </c>
    </row>
    <row r="8947" spans="1:2" x14ac:dyDescent="0.35">
      <c r="A8947" s="34">
        <v>42183008</v>
      </c>
      <c r="B8947" s="35" t="s">
        <v>1122</v>
      </c>
    </row>
    <row r="8948" spans="1:2" x14ac:dyDescent="0.35">
      <c r="A8948" s="34">
        <v>42183009</v>
      </c>
      <c r="B8948" s="35" t="s">
        <v>12918</v>
      </c>
    </row>
    <row r="8949" spans="1:2" x14ac:dyDescent="0.35">
      <c r="A8949" s="34">
        <v>42183010</v>
      </c>
      <c r="B8949" s="35" t="s">
        <v>12115</v>
      </c>
    </row>
    <row r="8950" spans="1:2" x14ac:dyDescent="0.35">
      <c r="A8950" s="34">
        <v>42183011</v>
      </c>
      <c r="B8950" s="35" t="s">
        <v>19133</v>
      </c>
    </row>
    <row r="8951" spans="1:2" x14ac:dyDescent="0.35">
      <c r="A8951" s="34">
        <v>42183012</v>
      </c>
      <c r="B8951" s="35" t="s">
        <v>10900</v>
      </c>
    </row>
    <row r="8952" spans="1:2" x14ac:dyDescent="0.35">
      <c r="A8952" s="34">
        <v>42183013</v>
      </c>
      <c r="B8952" s="35" t="s">
        <v>1923</v>
      </c>
    </row>
    <row r="8953" spans="1:2" x14ac:dyDescent="0.35">
      <c r="A8953" s="34">
        <v>42183014</v>
      </c>
      <c r="B8953" s="35" t="s">
        <v>14589</v>
      </c>
    </row>
    <row r="8954" spans="1:2" x14ac:dyDescent="0.35">
      <c r="A8954" s="34">
        <v>42183015</v>
      </c>
      <c r="B8954" s="35" t="s">
        <v>19349</v>
      </c>
    </row>
    <row r="8955" spans="1:2" x14ac:dyDescent="0.35">
      <c r="A8955" s="34">
        <v>42183016</v>
      </c>
      <c r="B8955" s="35" t="s">
        <v>1600</v>
      </c>
    </row>
    <row r="8956" spans="1:2" x14ac:dyDescent="0.35">
      <c r="A8956" s="34">
        <v>42183017</v>
      </c>
      <c r="B8956" s="35" t="s">
        <v>1316</v>
      </c>
    </row>
    <row r="8957" spans="1:2" x14ac:dyDescent="0.35">
      <c r="A8957" s="34">
        <v>42183018</v>
      </c>
      <c r="B8957" s="35" t="s">
        <v>19461</v>
      </c>
    </row>
    <row r="8958" spans="1:2" x14ac:dyDescent="0.35">
      <c r="A8958" s="34">
        <v>42183019</v>
      </c>
      <c r="B8958" s="35" t="s">
        <v>15010</v>
      </c>
    </row>
    <row r="8959" spans="1:2" x14ac:dyDescent="0.35">
      <c r="A8959" s="34">
        <v>42183020</v>
      </c>
      <c r="B8959" s="35" t="s">
        <v>6007</v>
      </c>
    </row>
    <row r="8960" spans="1:2" x14ac:dyDescent="0.35">
      <c r="A8960" s="34">
        <v>42183021</v>
      </c>
      <c r="B8960" s="35" t="s">
        <v>3281</v>
      </c>
    </row>
    <row r="8961" spans="1:2" x14ac:dyDescent="0.35">
      <c r="A8961" s="34">
        <v>42183022</v>
      </c>
      <c r="B8961" s="35" t="s">
        <v>589</v>
      </c>
    </row>
    <row r="8962" spans="1:2" x14ac:dyDescent="0.35">
      <c r="A8962" s="34">
        <v>42183023</v>
      </c>
      <c r="B8962" s="35" t="s">
        <v>12057</v>
      </c>
    </row>
    <row r="8963" spans="1:2" x14ac:dyDescent="0.35">
      <c r="A8963" s="34">
        <v>42183024</v>
      </c>
      <c r="B8963" s="35" t="s">
        <v>6706</v>
      </c>
    </row>
    <row r="8964" spans="1:2" x14ac:dyDescent="0.35">
      <c r="A8964" s="34">
        <v>42183025</v>
      </c>
      <c r="B8964" s="35" t="s">
        <v>17244</v>
      </c>
    </row>
    <row r="8965" spans="1:2" x14ac:dyDescent="0.35">
      <c r="A8965" s="34">
        <v>42183026</v>
      </c>
      <c r="B8965" s="35" t="s">
        <v>13047</v>
      </c>
    </row>
    <row r="8966" spans="1:2" x14ac:dyDescent="0.35">
      <c r="A8966" s="34">
        <v>42183027</v>
      </c>
      <c r="B8966" s="35" t="s">
        <v>14703</v>
      </c>
    </row>
    <row r="8967" spans="1:2" x14ac:dyDescent="0.35">
      <c r="A8967" s="34">
        <v>42183028</v>
      </c>
      <c r="B8967" s="35" t="s">
        <v>8234</v>
      </c>
    </row>
    <row r="8968" spans="1:2" x14ac:dyDescent="0.35">
      <c r="A8968" s="34">
        <v>42183029</v>
      </c>
      <c r="B8968" s="35" t="s">
        <v>5011</v>
      </c>
    </row>
    <row r="8969" spans="1:2" x14ac:dyDescent="0.35">
      <c r="A8969" s="34">
        <v>42183030</v>
      </c>
      <c r="B8969" s="35" t="s">
        <v>17420</v>
      </c>
    </row>
    <row r="8970" spans="1:2" x14ac:dyDescent="0.35">
      <c r="A8970" s="34">
        <v>42183031</v>
      </c>
      <c r="B8970" s="35" t="s">
        <v>13353</v>
      </c>
    </row>
    <row r="8971" spans="1:2" x14ac:dyDescent="0.35">
      <c r="A8971" s="34">
        <v>42183032</v>
      </c>
      <c r="B8971" s="35" t="s">
        <v>19046</v>
      </c>
    </row>
    <row r="8972" spans="1:2" x14ac:dyDescent="0.35">
      <c r="A8972" s="34">
        <v>42183033</v>
      </c>
      <c r="B8972" s="35" t="s">
        <v>15003</v>
      </c>
    </row>
    <row r="8973" spans="1:2" x14ac:dyDescent="0.35">
      <c r="A8973" s="34">
        <v>42183034</v>
      </c>
      <c r="B8973" s="35" t="s">
        <v>12243</v>
      </c>
    </row>
    <row r="8974" spans="1:2" x14ac:dyDescent="0.35">
      <c r="A8974" s="34">
        <v>42183035</v>
      </c>
      <c r="B8974" s="35" t="s">
        <v>12627</v>
      </c>
    </row>
    <row r="8975" spans="1:2" x14ac:dyDescent="0.35">
      <c r="A8975" s="34">
        <v>42183036</v>
      </c>
      <c r="B8975" s="35" t="s">
        <v>14968</v>
      </c>
    </row>
    <row r="8976" spans="1:2" x14ac:dyDescent="0.35">
      <c r="A8976" s="34">
        <v>42183037</v>
      </c>
      <c r="B8976" s="35" t="s">
        <v>16697</v>
      </c>
    </row>
    <row r="8977" spans="1:2" x14ac:dyDescent="0.35">
      <c r="A8977" s="34">
        <v>42183038</v>
      </c>
      <c r="B8977" s="35" t="s">
        <v>10884</v>
      </c>
    </row>
    <row r="8978" spans="1:2" x14ac:dyDescent="0.35">
      <c r="A8978" s="34">
        <v>42183039</v>
      </c>
      <c r="B8978" s="35" t="s">
        <v>9619</v>
      </c>
    </row>
    <row r="8979" spans="1:2" x14ac:dyDescent="0.35">
      <c r="A8979" s="34">
        <v>42183040</v>
      </c>
      <c r="B8979" s="35" t="s">
        <v>14481</v>
      </c>
    </row>
    <row r="8980" spans="1:2" x14ac:dyDescent="0.35">
      <c r="A8980" s="34">
        <v>42183041</v>
      </c>
      <c r="B8980" s="35" t="s">
        <v>2539</v>
      </c>
    </row>
    <row r="8981" spans="1:2" x14ac:dyDescent="0.35">
      <c r="A8981" s="34">
        <v>42183042</v>
      </c>
      <c r="B8981" s="35" t="s">
        <v>1130</v>
      </c>
    </row>
    <row r="8982" spans="1:2" x14ac:dyDescent="0.35">
      <c r="A8982" s="34">
        <v>42183043</v>
      </c>
      <c r="B8982" s="35" t="s">
        <v>3533</v>
      </c>
    </row>
    <row r="8983" spans="1:2" x14ac:dyDescent="0.35">
      <c r="A8983" s="34">
        <v>42183044</v>
      </c>
      <c r="B8983" s="35" t="s">
        <v>12238</v>
      </c>
    </row>
    <row r="8984" spans="1:2" x14ac:dyDescent="0.35">
      <c r="A8984" s="34">
        <v>42183045</v>
      </c>
      <c r="B8984" s="35" t="s">
        <v>4329</v>
      </c>
    </row>
    <row r="8985" spans="1:2" x14ac:dyDescent="0.35">
      <c r="A8985" s="34">
        <v>42183046</v>
      </c>
      <c r="B8985" s="35" t="s">
        <v>5249</v>
      </c>
    </row>
    <row r="8986" spans="1:2" x14ac:dyDescent="0.35">
      <c r="A8986" s="34">
        <v>42183047</v>
      </c>
      <c r="B8986" s="35" t="s">
        <v>8524</v>
      </c>
    </row>
    <row r="8987" spans="1:2" x14ac:dyDescent="0.35">
      <c r="A8987" s="34">
        <v>42183048</v>
      </c>
      <c r="B8987" s="35" t="s">
        <v>18022</v>
      </c>
    </row>
    <row r="8988" spans="1:2" x14ac:dyDescent="0.35">
      <c r="A8988" s="34">
        <v>42183101</v>
      </c>
      <c r="B8988" s="35" t="s">
        <v>13876</v>
      </c>
    </row>
    <row r="8989" spans="1:2" x14ac:dyDescent="0.35">
      <c r="A8989" s="34">
        <v>42183201</v>
      </c>
      <c r="B8989" s="35" t="s">
        <v>18839</v>
      </c>
    </row>
    <row r="8990" spans="1:2" x14ac:dyDescent="0.35">
      <c r="A8990" s="34">
        <v>42183301</v>
      </c>
      <c r="B8990" s="35" t="s">
        <v>322</v>
      </c>
    </row>
    <row r="8991" spans="1:2" x14ac:dyDescent="0.35">
      <c r="A8991" s="34">
        <v>42191501</v>
      </c>
      <c r="B8991" s="35" t="s">
        <v>6810</v>
      </c>
    </row>
    <row r="8992" spans="1:2" x14ac:dyDescent="0.35">
      <c r="A8992" s="34">
        <v>42191502</v>
      </c>
      <c r="B8992" s="35" t="s">
        <v>10605</v>
      </c>
    </row>
    <row r="8993" spans="1:2" x14ac:dyDescent="0.35">
      <c r="A8993" s="34">
        <v>42191601</v>
      </c>
      <c r="B8993" s="35" t="s">
        <v>18611</v>
      </c>
    </row>
    <row r="8994" spans="1:2" x14ac:dyDescent="0.35">
      <c r="A8994" s="34">
        <v>42191602</v>
      </c>
      <c r="B8994" s="35" t="s">
        <v>5016</v>
      </c>
    </row>
    <row r="8995" spans="1:2" x14ac:dyDescent="0.35">
      <c r="A8995" s="34">
        <v>42191603</v>
      </c>
      <c r="B8995" s="35" t="s">
        <v>405</v>
      </c>
    </row>
    <row r="8996" spans="1:2" x14ac:dyDescent="0.35">
      <c r="A8996" s="34">
        <v>42191604</v>
      </c>
      <c r="B8996" s="35" t="s">
        <v>11579</v>
      </c>
    </row>
    <row r="8997" spans="1:2" x14ac:dyDescent="0.35">
      <c r="A8997" s="34">
        <v>42191605</v>
      </c>
      <c r="B8997" s="35" t="s">
        <v>18810</v>
      </c>
    </row>
    <row r="8998" spans="1:2" x14ac:dyDescent="0.35">
      <c r="A8998" s="34">
        <v>42191606</v>
      </c>
      <c r="B8998" s="35" t="s">
        <v>11578</v>
      </c>
    </row>
    <row r="8999" spans="1:2" x14ac:dyDescent="0.35">
      <c r="A8999" s="34">
        <v>42191607</v>
      </c>
      <c r="B8999" s="35" t="s">
        <v>8084</v>
      </c>
    </row>
    <row r="9000" spans="1:2" x14ac:dyDescent="0.35">
      <c r="A9000" s="34">
        <v>42191608</v>
      </c>
      <c r="B9000" s="35" t="s">
        <v>2493</v>
      </c>
    </row>
    <row r="9001" spans="1:2" x14ac:dyDescent="0.35">
      <c r="A9001" s="34">
        <v>42191609</v>
      </c>
      <c r="B9001" s="35" t="s">
        <v>16799</v>
      </c>
    </row>
    <row r="9002" spans="1:2" x14ac:dyDescent="0.35">
      <c r="A9002" s="34">
        <v>42191610</v>
      </c>
      <c r="B9002" s="35" t="s">
        <v>15727</v>
      </c>
    </row>
    <row r="9003" spans="1:2" x14ac:dyDescent="0.35">
      <c r="A9003" s="34">
        <v>42191611</v>
      </c>
      <c r="B9003" s="35" t="s">
        <v>2220</v>
      </c>
    </row>
    <row r="9004" spans="1:2" x14ac:dyDescent="0.35">
      <c r="A9004" s="34">
        <v>42191612</v>
      </c>
      <c r="B9004" s="35" t="s">
        <v>17895</v>
      </c>
    </row>
    <row r="9005" spans="1:2" x14ac:dyDescent="0.35">
      <c r="A9005" s="34">
        <v>42191701</v>
      </c>
      <c r="B9005" s="35" t="s">
        <v>14013</v>
      </c>
    </row>
    <row r="9006" spans="1:2" x14ac:dyDescent="0.35">
      <c r="A9006" s="34">
        <v>42191702</v>
      </c>
      <c r="B9006" s="35" t="s">
        <v>897</v>
      </c>
    </row>
    <row r="9007" spans="1:2" x14ac:dyDescent="0.35">
      <c r="A9007" s="34">
        <v>42191703</v>
      </c>
      <c r="B9007" s="35" t="s">
        <v>7973</v>
      </c>
    </row>
    <row r="9008" spans="1:2" x14ac:dyDescent="0.35">
      <c r="A9008" s="34">
        <v>42191704</v>
      </c>
      <c r="B9008" s="35" t="s">
        <v>10653</v>
      </c>
    </row>
    <row r="9009" spans="1:2" x14ac:dyDescent="0.35">
      <c r="A9009" s="34">
        <v>42191705</v>
      </c>
      <c r="B9009" s="35" t="s">
        <v>7492</v>
      </c>
    </row>
    <row r="9010" spans="1:2" x14ac:dyDescent="0.35">
      <c r="A9010" s="34">
        <v>42191706</v>
      </c>
      <c r="B9010" s="35" t="s">
        <v>13698</v>
      </c>
    </row>
    <row r="9011" spans="1:2" x14ac:dyDescent="0.35">
      <c r="A9011" s="34">
        <v>42191707</v>
      </c>
      <c r="B9011" s="35" t="s">
        <v>13998</v>
      </c>
    </row>
    <row r="9012" spans="1:2" x14ac:dyDescent="0.35">
      <c r="A9012" s="34">
        <v>42191708</v>
      </c>
      <c r="B9012" s="35" t="s">
        <v>12635</v>
      </c>
    </row>
    <row r="9013" spans="1:2" x14ac:dyDescent="0.35">
      <c r="A9013" s="34">
        <v>42191709</v>
      </c>
      <c r="B9013" s="35" t="s">
        <v>8231</v>
      </c>
    </row>
    <row r="9014" spans="1:2" x14ac:dyDescent="0.35">
      <c r="A9014" s="34">
        <v>42191710</v>
      </c>
      <c r="B9014" s="35" t="s">
        <v>19594</v>
      </c>
    </row>
    <row r="9015" spans="1:2" x14ac:dyDescent="0.35">
      <c r="A9015" s="34">
        <v>42191711</v>
      </c>
      <c r="B9015" s="35" t="s">
        <v>3666</v>
      </c>
    </row>
    <row r="9016" spans="1:2" x14ac:dyDescent="0.35">
      <c r="A9016" s="34">
        <v>42191801</v>
      </c>
      <c r="B9016" s="35" t="s">
        <v>11841</v>
      </c>
    </row>
    <row r="9017" spans="1:2" x14ac:dyDescent="0.35">
      <c r="A9017" s="34">
        <v>42191802</v>
      </c>
      <c r="B9017" s="35" t="s">
        <v>11470</v>
      </c>
    </row>
    <row r="9018" spans="1:2" x14ac:dyDescent="0.35">
      <c r="A9018" s="34">
        <v>42191803</v>
      </c>
      <c r="B9018" s="35" t="s">
        <v>11645</v>
      </c>
    </row>
    <row r="9019" spans="1:2" x14ac:dyDescent="0.35">
      <c r="A9019" s="34">
        <v>42191804</v>
      </c>
      <c r="B9019" s="35" t="s">
        <v>13235</v>
      </c>
    </row>
    <row r="9020" spans="1:2" x14ac:dyDescent="0.35">
      <c r="A9020" s="34">
        <v>42191805</v>
      </c>
      <c r="B9020" s="35" t="s">
        <v>990</v>
      </c>
    </row>
    <row r="9021" spans="1:2" x14ac:dyDescent="0.35">
      <c r="A9021" s="34">
        <v>42191806</v>
      </c>
      <c r="B9021" s="35" t="s">
        <v>18593</v>
      </c>
    </row>
    <row r="9022" spans="1:2" x14ac:dyDescent="0.35">
      <c r="A9022" s="34">
        <v>42191807</v>
      </c>
      <c r="B9022" s="35" t="s">
        <v>616</v>
      </c>
    </row>
    <row r="9023" spans="1:2" x14ac:dyDescent="0.35">
      <c r="A9023" s="34">
        <v>42191808</v>
      </c>
      <c r="B9023" s="35" t="s">
        <v>13883</v>
      </c>
    </row>
    <row r="9024" spans="1:2" x14ac:dyDescent="0.35">
      <c r="A9024" s="34">
        <v>42191809</v>
      </c>
      <c r="B9024" s="35" t="s">
        <v>11995</v>
      </c>
    </row>
    <row r="9025" spans="1:2" x14ac:dyDescent="0.35">
      <c r="A9025" s="34">
        <v>42191810</v>
      </c>
      <c r="B9025" s="35" t="s">
        <v>4183</v>
      </c>
    </row>
    <row r="9026" spans="1:2" x14ac:dyDescent="0.35">
      <c r="A9026" s="34">
        <v>42191811</v>
      </c>
      <c r="B9026" s="35" t="s">
        <v>16073</v>
      </c>
    </row>
    <row r="9027" spans="1:2" x14ac:dyDescent="0.35">
      <c r="A9027" s="34">
        <v>42191812</v>
      </c>
      <c r="B9027" s="35" t="s">
        <v>11149</v>
      </c>
    </row>
    <row r="9028" spans="1:2" x14ac:dyDescent="0.35">
      <c r="A9028" s="34">
        <v>42191813</v>
      </c>
      <c r="B9028" s="35" t="s">
        <v>10340</v>
      </c>
    </row>
    <row r="9029" spans="1:2" x14ac:dyDescent="0.35">
      <c r="A9029" s="34">
        <v>42191814</v>
      </c>
      <c r="B9029" s="35" t="s">
        <v>5689</v>
      </c>
    </row>
    <row r="9030" spans="1:2" x14ac:dyDescent="0.35">
      <c r="A9030" s="34">
        <v>42191901</v>
      </c>
      <c r="B9030" s="35" t="s">
        <v>613</v>
      </c>
    </row>
    <row r="9031" spans="1:2" x14ac:dyDescent="0.35">
      <c r="A9031" s="34">
        <v>42191902</v>
      </c>
      <c r="B9031" s="35" t="s">
        <v>17473</v>
      </c>
    </row>
    <row r="9032" spans="1:2" x14ac:dyDescent="0.35">
      <c r="A9032" s="34">
        <v>42191903</v>
      </c>
      <c r="B9032" s="35" t="s">
        <v>12019</v>
      </c>
    </row>
    <row r="9033" spans="1:2" x14ac:dyDescent="0.35">
      <c r="A9033" s="34">
        <v>42191904</v>
      </c>
      <c r="B9033" s="35" t="s">
        <v>17283</v>
      </c>
    </row>
    <row r="9034" spans="1:2" x14ac:dyDescent="0.35">
      <c r="A9034" s="34">
        <v>42191905</v>
      </c>
      <c r="B9034" s="35" t="s">
        <v>6582</v>
      </c>
    </row>
    <row r="9035" spans="1:2" x14ac:dyDescent="0.35">
      <c r="A9035" s="34">
        <v>42191906</v>
      </c>
      <c r="B9035" s="35" t="s">
        <v>19162</v>
      </c>
    </row>
    <row r="9036" spans="1:2" x14ac:dyDescent="0.35">
      <c r="A9036" s="34">
        <v>42191907</v>
      </c>
      <c r="B9036" s="35" t="s">
        <v>4291</v>
      </c>
    </row>
    <row r="9037" spans="1:2" x14ac:dyDescent="0.35">
      <c r="A9037" s="34">
        <v>42192001</v>
      </c>
      <c r="B9037" s="35" t="s">
        <v>9134</v>
      </c>
    </row>
    <row r="9038" spans="1:2" x14ac:dyDescent="0.35">
      <c r="A9038" s="34">
        <v>42192002</v>
      </c>
      <c r="B9038" s="35" t="s">
        <v>11410</v>
      </c>
    </row>
    <row r="9039" spans="1:2" x14ac:dyDescent="0.35">
      <c r="A9039" s="34">
        <v>42192101</v>
      </c>
      <c r="B9039" s="35" t="s">
        <v>16714</v>
      </c>
    </row>
    <row r="9040" spans="1:2" x14ac:dyDescent="0.35">
      <c r="A9040" s="34">
        <v>42192102</v>
      </c>
      <c r="B9040" s="35" t="s">
        <v>694</v>
      </c>
    </row>
    <row r="9041" spans="1:2" x14ac:dyDescent="0.35">
      <c r="A9041" s="34">
        <v>42192103</v>
      </c>
      <c r="B9041" s="35" t="s">
        <v>228</v>
      </c>
    </row>
    <row r="9042" spans="1:2" x14ac:dyDescent="0.35">
      <c r="A9042" s="34">
        <v>42192104</v>
      </c>
      <c r="B9042" s="35" t="s">
        <v>1317</v>
      </c>
    </row>
    <row r="9043" spans="1:2" x14ac:dyDescent="0.35">
      <c r="A9043" s="34">
        <v>42192106</v>
      </c>
      <c r="B9043" s="35" t="s">
        <v>6644</v>
      </c>
    </row>
    <row r="9044" spans="1:2" x14ac:dyDescent="0.35">
      <c r="A9044" s="34">
        <v>42192107</v>
      </c>
      <c r="B9044" s="35" t="s">
        <v>5716</v>
      </c>
    </row>
    <row r="9045" spans="1:2" x14ac:dyDescent="0.35">
      <c r="A9045" s="34">
        <v>42192201</v>
      </c>
      <c r="B9045" s="35" t="s">
        <v>7828</v>
      </c>
    </row>
    <row r="9046" spans="1:2" x14ac:dyDescent="0.35">
      <c r="A9046" s="34">
        <v>42192202</v>
      </c>
      <c r="B9046" s="35" t="s">
        <v>13039</v>
      </c>
    </row>
    <row r="9047" spans="1:2" x14ac:dyDescent="0.35">
      <c r="A9047" s="34">
        <v>42192203</v>
      </c>
      <c r="B9047" s="35" t="s">
        <v>19234</v>
      </c>
    </row>
    <row r="9048" spans="1:2" x14ac:dyDescent="0.35">
      <c r="A9048" s="34">
        <v>42192204</v>
      </c>
      <c r="B9048" s="35" t="s">
        <v>13637</v>
      </c>
    </row>
    <row r="9049" spans="1:2" x14ac:dyDescent="0.35">
      <c r="A9049" s="34">
        <v>42192205</v>
      </c>
      <c r="B9049" s="35" t="s">
        <v>19243</v>
      </c>
    </row>
    <row r="9050" spans="1:2" x14ac:dyDescent="0.35">
      <c r="A9050" s="34">
        <v>42192206</v>
      </c>
      <c r="B9050" s="35" t="s">
        <v>10627</v>
      </c>
    </row>
    <row r="9051" spans="1:2" x14ac:dyDescent="0.35">
      <c r="A9051" s="34">
        <v>42192207</v>
      </c>
      <c r="B9051" s="35" t="s">
        <v>6079</v>
      </c>
    </row>
    <row r="9052" spans="1:2" x14ac:dyDescent="0.35">
      <c r="A9052" s="34">
        <v>42192208</v>
      </c>
      <c r="B9052" s="35" t="s">
        <v>13389</v>
      </c>
    </row>
    <row r="9053" spans="1:2" x14ac:dyDescent="0.35">
      <c r="A9053" s="34">
        <v>42192209</v>
      </c>
      <c r="B9053" s="35" t="s">
        <v>1748</v>
      </c>
    </row>
    <row r="9054" spans="1:2" x14ac:dyDescent="0.35">
      <c r="A9054" s="34">
        <v>42192210</v>
      </c>
      <c r="B9054" s="35" t="s">
        <v>15795</v>
      </c>
    </row>
    <row r="9055" spans="1:2" x14ac:dyDescent="0.35">
      <c r="A9055" s="34">
        <v>42192211</v>
      </c>
      <c r="B9055" s="35" t="s">
        <v>17157</v>
      </c>
    </row>
    <row r="9056" spans="1:2" x14ac:dyDescent="0.35">
      <c r="A9056" s="34">
        <v>42192212</v>
      </c>
      <c r="B9056" s="35" t="s">
        <v>3651</v>
      </c>
    </row>
    <row r="9057" spans="1:2" x14ac:dyDescent="0.35">
      <c r="A9057" s="34">
        <v>42192213</v>
      </c>
      <c r="B9057" s="35" t="s">
        <v>4100</v>
      </c>
    </row>
    <row r="9058" spans="1:2" x14ac:dyDescent="0.35">
      <c r="A9058" s="34">
        <v>42192301</v>
      </c>
      <c r="B9058" s="35" t="s">
        <v>9866</v>
      </c>
    </row>
    <row r="9059" spans="1:2" x14ac:dyDescent="0.35">
      <c r="A9059" s="34">
        <v>42192302</v>
      </c>
      <c r="B9059" s="35" t="s">
        <v>18713</v>
      </c>
    </row>
    <row r="9060" spans="1:2" x14ac:dyDescent="0.35">
      <c r="A9060" s="34">
        <v>42192303</v>
      </c>
      <c r="B9060" s="35" t="s">
        <v>7286</v>
      </c>
    </row>
    <row r="9061" spans="1:2" x14ac:dyDescent="0.35">
      <c r="A9061" s="34">
        <v>42192304</v>
      </c>
      <c r="B9061" s="35" t="s">
        <v>13856</v>
      </c>
    </row>
    <row r="9062" spans="1:2" x14ac:dyDescent="0.35">
      <c r="A9062" s="34">
        <v>42192305</v>
      </c>
      <c r="B9062" s="35" t="s">
        <v>1094</v>
      </c>
    </row>
    <row r="9063" spans="1:2" x14ac:dyDescent="0.35">
      <c r="A9063" s="34">
        <v>42192401</v>
      </c>
      <c r="B9063" s="35" t="s">
        <v>12569</v>
      </c>
    </row>
    <row r="9064" spans="1:2" x14ac:dyDescent="0.35">
      <c r="A9064" s="34">
        <v>42192402</v>
      </c>
      <c r="B9064" s="35" t="s">
        <v>19437</v>
      </c>
    </row>
    <row r="9065" spans="1:2" x14ac:dyDescent="0.35">
      <c r="A9065" s="34">
        <v>42192403</v>
      </c>
      <c r="B9065" s="35" t="s">
        <v>423</v>
      </c>
    </row>
    <row r="9066" spans="1:2" x14ac:dyDescent="0.35">
      <c r="A9066" s="34">
        <v>42192404</v>
      </c>
      <c r="B9066" s="35" t="s">
        <v>12466</v>
      </c>
    </row>
    <row r="9067" spans="1:2" x14ac:dyDescent="0.35">
      <c r="A9067" s="34">
        <v>42192405</v>
      </c>
      <c r="B9067" s="35" t="s">
        <v>18492</v>
      </c>
    </row>
    <row r="9068" spans="1:2" x14ac:dyDescent="0.35">
      <c r="A9068" s="34">
        <v>42192406</v>
      </c>
      <c r="B9068" s="35" t="s">
        <v>4467</v>
      </c>
    </row>
    <row r="9069" spans="1:2" x14ac:dyDescent="0.35">
      <c r="A9069" s="34">
        <v>42192501</v>
      </c>
      <c r="B9069" s="35" t="s">
        <v>16429</v>
      </c>
    </row>
    <row r="9070" spans="1:2" x14ac:dyDescent="0.35">
      <c r="A9070" s="34">
        <v>42192502</v>
      </c>
      <c r="B9070" s="35" t="s">
        <v>10981</v>
      </c>
    </row>
    <row r="9071" spans="1:2" x14ac:dyDescent="0.35">
      <c r="A9071" s="34">
        <v>42192601</v>
      </c>
      <c r="B9071" s="35" t="s">
        <v>9039</v>
      </c>
    </row>
    <row r="9072" spans="1:2" x14ac:dyDescent="0.35">
      <c r="A9072" s="34">
        <v>42192602</v>
      </c>
      <c r="B9072" s="35" t="s">
        <v>8714</v>
      </c>
    </row>
    <row r="9073" spans="1:2" x14ac:dyDescent="0.35">
      <c r="A9073" s="34">
        <v>42192603</v>
      </c>
      <c r="B9073" s="35" t="s">
        <v>8692</v>
      </c>
    </row>
    <row r="9074" spans="1:2" x14ac:dyDescent="0.35">
      <c r="A9074" s="34">
        <v>42192604</v>
      </c>
      <c r="B9074" s="35" t="s">
        <v>28</v>
      </c>
    </row>
    <row r="9075" spans="1:2" x14ac:dyDescent="0.35">
      <c r="A9075" s="34">
        <v>42192605</v>
      </c>
      <c r="B9075" s="35" t="s">
        <v>18206</v>
      </c>
    </row>
    <row r="9076" spans="1:2" x14ac:dyDescent="0.35">
      <c r="A9076" s="34">
        <v>42201501</v>
      </c>
      <c r="B9076" s="35" t="s">
        <v>18730</v>
      </c>
    </row>
    <row r="9077" spans="1:2" x14ac:dyDescent="0.35">
      <c r="A9077" s="34">
        <v>42201502</v>
      </c>
      <c r="B9077" s="35" t="s">
        <v>8805</v>
      </c>
    </row>
    <row r="9078" spans="1:2" x14ac:dyDescent="0.35">
      <c r="A9078" s="34">
        <v>42201503</v>
      </c>
      <c r="B9078" s="35" t="s">
        <v>7138</v>
      </c>
    </row>
    <row r="9079" spans="1:2" x14ac:dyDescent="0.35">
      <c r="A9079" s="34">
        <v>42201504</v>
      </c>
      <c r="B9079" s="35" t="s">
        <v>5060</v>
      </c>
    </row>
    <row r="9080" spans="1:2" x14ac:dyDescent="0.35">
      <c r="A9080" s="34">
        <v>42201505</v>
      </c>
      <c r="B9080" s="35" t="s">
        <v>13934</v>
      </c>
    </row>
    <row r="9081" spans="1:2" x14ac:dyDescent="0.35">
      <c r="A9081" s="34">
        <v>42201506</v>
      </c>
      <c r="B9081" s="35" t="s">
        <v>1213</v>
      </c>
    </row>
    <row r="9082" spans="1:2" x14ac:dyDescent="0.35">
      <c r="A9082" s="34">
        <v>42201507</v>
      </c>
      <c r="B9082" s="35" t="s">
        <v>3418</v>
      </c>
    </row>
    <row r="9083" spans="1:2" x14ac:dyDescent="0.35">
      <c r="A9083" s="34">
        <v>42201508</v>
      </c>
      <c r="B9083" s="35" t="s">
        <v>6752</v>
      </c>
    </row>
    <row r="9084" spans="1:2" x14ac:dyDescent="0.35">
      <c r="A9084" s="34">
        <v>42201509</v>
      </c>
      <c r="B9084" s="35" t="s">
        <v>9120</v>
      </c>
    </row>
    <row r="9085" spans="1:2" x14ac:dyDescent="0.35">
      <c r="A9085" s="34">
        <v>42201510</v>
      </c>
      <c r="B9085" s="35" t="s">
        <v>16244</v>
      </c>
    </row>
    <row r="9086" spans="1:2" x14ac:dyDescent="0.35">
      <c r="A9086" s="34">
        <v>42201511</v>
      </c>
      <c r="B9086" s="35" t="s">
        <v>6442</v>
      </c>
    </row>
    <row r="9087" spans="1:2" x14ac:dyDescent="0.35">
      <c r="A9087" s="34">
        <v>42201512</v>
      </c>
      <c r="B9087" s="35" t="s">
        <v>2460</v>
      </c>
    </row>
    <row r="9088" spans="1:2" x14ac:dyDescent="0.35">
      <c r="A9088" s="34">
        <v>42201513</v>
      </c>
      <c r="B9088" s="35" t="s">
        <v>1311</v>
      </c>
    </row>
    <row r="9089" spans="1:2" x14ac:dyDescent="0.35">
      <c r="A9089" s="34">
        <v>42201601</v>
      </c>
      <c r="B9089" s="35" t="s">
        <v>439</v>
      </c>
    </row>
    <row r="9090" spans="1:2" x14ac:dyDescent="0.35">
      <c r="A9090" s="34">
        <v>42201602</v>
      </c>
      <c r="B9090" s="35" t="s">
        <v>15057</v>
      </c>
    </row>
    <row r="9091" spans="1:2" x14ac:dyDescent="0.35">
      <c r="A9091" s="34">
        <v>42201603</v>
      </c>
      <c r="B9091" s="35" t="s">
        <v>5608</v>
      </c>
    </row>
    <row r="9092" spans="1:2" x14ac:dyDescent="0.35">
      <c r="A9092" s="34">
        <v>42201604</v>
      </c>
      <c r="B9092" s="35" t="s">
        <v>6836</v>
      </c>
    </row>
    <row r="9093" spans="1:2" x14ac:dyDescent="0.35">
      <c r="A9093" s="34">
        <v>42201605</v>
      </c>
      <c r="B9093" s="35" t="s">
        <v>11968</v>
      </c>
    </row>
    <row r="9094" spans="1:2" x14ac:dyDescent="0.35">
      <c r="A9094" s="34">
        <v>42201606</v>
      </c>
      <c r="B9094" s="35" t="s">
        <v>17504</v>
      </c>
    </row>
    <row r="9095" spans="1:2" x14ac:dyDescent="0.35">
      <c r="A9095" s="34">
        <v>42201607</v>
      </c>
      <c r="B9095" s="35" t="s">
        <v>9947</v>
      </c>
    </row>
    <row r="9096" spans="1:2" x14ac:dyDescent="0.35">
      <c r="A9096" s="34">
        <v>42201608</v>
      </c>
      <c r="B9096" s="35" t="s">
        <v>14207</v>
      </c>
    </row>
    <row r="9097" spans="1:2" x14ac:dyDescent="0.35">
      <c r="A9097" s="34">
        <v>42201609</v>
      </c>
      <c r="B9097" s="35" t="s">
        <v>6218</v>
      </c>
    </row>
    <row r="9098" spans="1:2" x14ac:dyDescent="0.35">
      <c r="A9098" s="34">
        <v>42201610</v>
      </c>
      <c r="B9098" s="35" t="s">
        <v>7558</v>
      </c>
    </row>
    <row r="9099" spans="1:2" x14ac:dyDescent="0.35">
      <c r="A9099" s="34">
        <v>42201611</v>
      </c>
      <c r="B9099" s="35" t="s">
        <v>12407</v>
      </c>
    </row>
    <row r="9100" spans="1:2" x14ac:dyDescent="0.35">
      <c r="A9100" s="34">
        <v>42201701</v>
      </c>
      <c r="B9100" s="35" t="s">
        <v>9961</v>
      </c>
    </row>
    <row r="9101" spans="1:2" x14ac:dyDescent="0.35">
      <c r="A9101" s="34">
        <v>42201702</v>
      </c>
      <c r="B9101" s="35" t="s">
        <v>1320</v>
      </c>
    </row>
    <row r="9102" spans="1:2" x14ac:dyDescent="0.35">
      <c r="A9102" s="34">
        <v>42201703</v>
      </c>
      <c r="B9102" s="35" t="s">
        <v>5882</v>
      </c>
    </row>
    <row r="9103" spans="1:2" x14ac:dyDescent="0.35">
      <c r="A9103" s="34">
        <v>42201704</v>
      </c>
      <c r="B9103" s="35" t="s">
        <v>8523</v>
      </c>
    </row>
    <row r="9104" spans="1:2" x14ac:dyDescent="0.35">
      <c r="A9104" s="34">
        <v>42201705</v>
      </c>
      <c r="B9104" s="35" t="s">
        <v>16535</v>
      </c>
    </row>
    <row r="9105" spans="1:2" x14ac:dyDescent="0.35">
      <c r="A9105" s="34">
        <v>42201706</v>
      </c>
      <c r="B9105" s="35" t="s">
        <v>2477</v>
      </c>
    </row>
    <row r="9106" spans="1:2" x14ac:dyDescent="0.35">
      <c r="A9106" s="34">
        <v>42201707</v>
      </c>
      <c r="B9106" s="35" t="s">
        <v>6321</v>
      </c>
    </row>
    <row r="9107" spans="1:2" x14ac:dyDescent="0.35">
      <c r="A9107" s="34">
        <v>42201708</v>
      </c>
      <c r="B9107" s="35" t="s">
        <v>10944</v>
      </c>
    </row>
    <row r="9108" spans="1:2" x14ac:dyDescent="0.35">
      <c r="A9108" s="34">
        <v>42201709</v>
      </c>
      <c r="B9108" s="35" t="s">
        <v>5042</v>
      </c>
    </row>
    <row r="9109" spans="1:2" x14ac:dyDescent="0.35">
      <c r="A9109" s="34">
        <v>42201710</v>
      </c>
      <c r="B9109" s="35" t="s">
        <v>8701</v>
      </c>
    </row>
    <row r="9110" spans="1:2" x14ac:dyDescent="0.35">
      <c r="A9110" s="34">
        <v>42201711</v>
      </c>
      <c r="B9110" s="35" t="s">
        <v>12155</v>
      </c>
    </row>
    <row r="9111" spans="1:2" x14ac:dyDescent="0.35">
      <c r="A9111" s="34">
        <v>42201712</v>
      </c>
      <c r="B9111" s="35" t="s">
        <v>2049</v>
      </c>
    </row>
    <row r="9112" spans="1:2" x14ac:dyDescent="0.35">
      <c r="A9112" s="34">
        <v>42201713</v>
      </c>
      <c r="B9112" s="35" t="s">
        <v>13893</v>
      </c>
    </row>
    <row r="9113" spans="1:2" x14ac:dyDescent="0.35">
      <c r="A9113" s="34">
        <v>42201714</v>
      </c>
      <c r="B9113" s="35" t="s">
        <v>6428</v>
      </c>
    </row>
    <row r="9114" spans="1:2" x14ac:dyDescent="0.35">
      <c r="A9114" s="34">
        <v>42201715</v>
      </c>
      <c r="B9114" s="35" t="s">
        <v>19484</v>
      </c>
    </row>
    <row r="9115" spans="1:2" x14ac:dyDescent="0.35">
      <c r="A9115" s="34">
        <v>42201716</v>
      </c>
      <c r="B9115" s="35" t="s">
        <v>18334</v>
      </c>
    </row>
    <row r="9116" spans="1:2" x14ac:dyDescent="0.35">
      <c r="A9116" s="34">
        <v>42201717</v>
      </c>
      <c r="B9116" s="35" t="s">
        <v>19304</v>
      </c>
    </row>
    <row r="9117" spans="1:2" x14ac:dyDescent="0.35">
      <c r="A9117" s="34">
        <v>42201718</v>
      </c>
      <c r="B9117" s="35" t="s">
        <v>2603</v>
      </c>
    </row>
    <row r="9118" spans="1:2" x14ac:dyDescent="0.35">
      <c r="A9118" s="34">
        <v>42201719</v>
      </c>
      <c r="B9118" s="35" t="s">
        <v>9269</v>
      </c>
    </row>
    <row r="9119" spans="1:2" x14ac:dyDescent="0.35">
      <c r="A9119" s="34">
        <v>42201801</v>
      </c>
      <c r="B9119" s="35" t="s">
        <v>4344</v>
      </c>
    </row>
    <row r="9120" spans="1:2" x14ac:dyDescent="0.35">
      <c r="A9120" s="34">
        <v>42201802</v>
      </c>
      <c r="B9120" s="35" t="s">
        <v>3822</v>
      </c>
    </row>
    <row r="9121" spans="1:2" x14ac:dyDescent="0.35">
      <c r="A9121" s="34">
        <v>42201803</v>
      </c>
      <c r="B9121" s="35" t="s">
        <v>16441</v>
      </c>
    </row>
    <row r="9122" spans="1:2" x14ac:dyDescent="0.35">
      <c r="A9122" s="34">
        <v>42201804</v>
      </c>
      <c r="B9122" s="35" t="s">
        <v>16368</v>
      </c>
    </row>
    <row r="9123" spans="1:2" x14ac:dyDescent="0.35">
      <c r="A9123" s="34">
        <v>42201805</v>
      </c>
      <c r="B9123" s="35" t="s">
        <v>12983</v>
      </c>
    </row>
    <row r="9124" spans="1:2" x14ac:dyDescent="0.35">
      <c r="A9124" s="34">
        <v>42201806</v>
      </c>
      <c r="B9124" s="35" t="s">
        <v>9815</v>
      </c>
    </row>
    <row r="9125" spans="1:2" x14ac:dyDescent="0.35">
      <c r="A9125" s="34">
        <v>42201807</v>
      </c>
      <c r="B9125" s="35" t="s">
        <v>9553</v>
      </c>
    </row>
    <row r="9126" spans="1:2" x14ac:dyDescent="0.35">
      <c r="A9126" s="34">
        <v>42201808</v>
      </c>
      <c r="B9126" s="35" t="s">
        <v>2840</v>
      </c>
    </row>
    <row r="9127" spans="1:2" x14ac:dyDescent="0.35">
      <c r="A9127" s="34">
        <v>42201809</v>
      </c>
      <c r="B9127" s="35" t="s">
        <v>13304</v>
      </c>
    </row>
    <row r="9128" spans="1:2" x14ac:dyDescent="0.35">
      <c r="A9128" s="34">
        <v>42201810</v>
      </c>
      <c r="B9128" s="35" t="s">
        <v>10456</v>
      </c>
    </row>
    <row r="9129" spans="1:2" x14ac:dyDescent="0.35">
      <c r="A9129" s="34">
        <v>42201811</v>
      </c>
      <c r="B9129" s="35" t="s">
        <v>17310</v>
      </c>
    </row>
    <row r="9130" spans="1:2" x14ac:dyDescent="0.35">
      <c r="A9130" s="34">
        <v>42201812</v>
      </c>
      <c r="B9130" s="35" t="s">
        <v>17273</v>
      </c>
    </row>
    <row r="9131" spans="1:2" x14ac:dyDescent="0.35">
      <c r="A9131" s="34">
        <v>42201813</v>
      </c>
      <c r="B9131" s="35" t="s">
        <v>16804</v>
      </c>
    </row>
    <row r="9132" spans="1:2" x14ac:dyDescent="0.35">
      <c r="A9132" s="34">
        <v>42201814</v>
      </c>
      <c r="B9132" s="35" t="s">
        <v>16912</v>
      </c>
    </row>
    <row r="9133" spans="1:2" x14ac:dyDescent="0.35">
      <c r="A9133" s="34">
        <v>42201815</v>
      </c>
      <c r="B9133" s="35" t="s">
        <v>9582</v>
      </c>
    </row>
    <row r="9134" spans="1:2" x14ac:dyDescent="0.35">
      <c r="A9134" s="34">
        <v>42201816</v>
      </c>
      <c r="B9134" s="35" t="s">
        <v>7597</v>
      </c>
    </row>
    <row r="9135" spans="1:2" x14ac:dyDescent="0.35">
      <c r="A9135" s="34">
        <v>42201817</v>
      </c>
      <c r="B9135" s="35" t="s">
        <v>3130</v>
      </c>
    </row>
    <row r="9136" spans="1:2" x14ac:dyDescent="0.35">
      <c r="A9136" s="34">
        <v>42201818</v>
      </c>
      <c r="B9136" s="35" t="s">
        <v>2053</v>
      </c>
    </row>
    <row r="9137" spans="1:2" x14ac:dyDescent="0.35">
      <c r="A9137" s="34">
        <v>42201819</v>
      </c>
      <c r="B9137" s="35" t="s">
        <v>6410</v>
      </c>
    </row>
    <row r="9138" spans="1:2" x14ac:dyDescent="0.35">
      <c r="A9138" s="34">
        <v>42201820</v>
      </c>
      <c r="B9138" s="35" t="s">
        <v>17548</v>
      </c>
    </row>
    <row r="9139" spans="1:2" x14ac:dyDescent="0.35">
      <c r="A9139" s="34">
        <v>42201821</v>
      </c>
      <c r="B9139" s="35" t="s">
        <v>18272</v>
      </c>
    </row>
    <row r="9140" spans="1:2" x14ac:dyDescent="0.35">
      <c r="A9140" s="34">
        <v>42201822</v>
      </c>
      <c r="B9140" s="35" t="s">
        <v>5812</v>
      </c>
    </row>
    <row r="9141" spans="1:2" x14ac:dyDescent="0.35">
      <c r="A9141" s="34">
        <v>42201823</v>
      </c>
      <c r="B9141" s="35" t="s">
        <v>18467</v>
      </c>
    </row>
    <row r="9142" spans="1:2" x14ac:dyDescent="0.35">
      <c r="A9142" s="34">
        <v>42201824</v>
      </c>
      <c r="B9142" s="35" t="s">
        <v>12129</v>
      </c>
    </row>
    <row r="9143" spans="1:2" x14ac:dyDescent="0.35">
      <c r="A9143" s="34">
        <v>42201825</v>
      </c>
      <c r="B9143" s="35" t="s">
        <v>12992</v>
      </c>
    </row>
    <row r="9144" spans="1:2" x14ac:dyDescent="0.35">
      <c r="A9144" s="34">
        <v>42201826</v>
      </c>
      <c r="B9144" s="35" t="s">
        <v>1702</v>
      </c>
    </row>
    <row r="9145" spans="1:2" x14ac:dyDescent="0.35">
      <c r="A9145" s="34">
        <v>42201827</v>
      </c>
      <c r="B9145" s="35" t="s">
        <v>9150</v>
      </c>
    </row>
    <row r="9146" spans="1:2" x14ac:dyDescent="0.35">
      <c r="A9146" s="34">
        <v>42201828</v>
      </c>
      <c r="B9146" s="35" t="s">
        <v>18546</v>
      </c>
    </row>
    <row r="9147" spans="1:2" x14ac:dyDescent="0.35">
      <c r="A9147" s="34">
        <v>42201829</v>
      </c>
      <c r="B9147" s="35" t="s">
        <v>10567</v>
      </c>
    </row>
    <row r="9148" spans="1:2" x14ac:dyDescent="0.35">
      <c r="A9148" s="34">
        <v>42201830</v>
      </c>
      <c r="B9148" s="35" t="s">
        <v>7915</v>
      </c>
    </row>
    <row r="9149" spans="1:2" x14ac:dyDescent="0.35">
      <c r="A9149" s="34">
        <v>42201831</v>
      </c>
      <c r="B9149" s="35" t="s">
        <v>12123</v>
      </c>
    </row>
    <row r="9150" spans="1:2" x14ac:dyDescent="0.35">
      <c r="A9150" s="34">
        <v>42201832</v>
      </c>
      <c r="B9150" s="35" t="s">
        <v>19292</v>
      </c>
    </row>
    <row r="9151" spans="1:2" x14ac:dyDescent="0.35">
      <c r="A9151" s="34">
        <v>42201833</v>
      </c>
      <c r="B9151" s="35" t="s">
        <v>10012</v>
      </c>
    </row>
    <row r="9152" spans="1:2" x14ac:dyDescent="0.35">
      <c r="A9152" s="34">
        <v>42201834</v>
      </c>
      <c r="B9152" s="35" t="s">
        <v>10498</v>
      </c>
    </row>
    <row r="9153" spans="1:2" x14ac:dyDescent="0.35">
      <c r="A9153" s="34">
        <v>42201835</v>
      </c>
      <c r="B9153" s="35" t="s">
        <v>9659</v>
      </c>
    </row>
    <row r="9154" spans="1:2" x14ac:dyDescent="0.35">
      <c r="A9154" s="34">
        <v>42201836</v>
      </c>
      <c r="B9154" s="35" t="s">
        <v>13959</v>
      </c>
    </row>
    <row r="9155" spans="1:2" x14ac:dyDescent="0.35">
      <c r="A9155" s="34">
        <v>42201837</v>
      </c>
      <c r="B9155" s="35" t="s">
        <v>14418</v>
      </c>
    </row>
    <row r="9156" spans="1:2" x14ac:dyDescent="0.35">
      <c r="A9156" s="34">
        <v>42201838</v>
      </c>
      <c r="B9156" s="35" t="s">
        <v>5943</v>
      </c>
    </row>
    <row r="9157" spans="1:2" x14ac:dyDescent="0.35">
      <c r="A9157" s="34">
        <v>42201839</v>
      </c>
      <c r="B9157" s="35" t="s">
        <v>6341</v>
      </c>
    </row>
    <row r="9158" spans="1:2" x14ac:dyDescent="0.35">
      <c r="A9158" s="34">
        <v>42201840</v>
      </c>
      <c r="B9158" s="35" t="s">
        <v>19376</v>
      </c>
    </row>
    <row r="9159" spans="1:2" x14ac:dyDescent="0.35">
      <c r="A9159" s="34">
        <v>42201841</v>
      </c>
      <c r="B9159" s="35" t="s">
        <v>3744</v>
      </c>
    </row>
    <row r="9160" spans="1:2" x14ac:dyDescent="0.35">
      <c r="A9160" s="34">
        <v>42201842</v>
      </c>
      <c r="B9160" s="35" t="s">
        <v>3043</v>
      </c>
    </row>
    <row r="9161" spans="1:2" x14ac:dyDescent="0.35">
      <c r="A9161" s="34">
        <v>42201843</v>
      </c>
      <c r="B9161" s="35" t="s">
        <v>5767</v>
      </c>
    </row>
    <row r="9162" spans="1:2" x14ac:dyDescent="0.35">
      <c r="A9162" s="34">
        <v>42201844</v>
      </c>
      <c r="B9162" s="35" t="s">
        <v>1007</v>
      </c>
    </row>
    <row r="9163" spans="1:2" x14ac:dyDescent="0.35">
      <c r="A9163" s="34">
        <v>42201845</v>
      </c>
      <c r="B9163" s="35" t="s">
        <v>6504</v>
      </c>
    </row>
    <row r="9164" spans="1:2" x14ac:dyDescent="0.35">
      <c r="A9164" s="34">
        <v>42201846</v>
      </c>
      <c r="B9164" s="35" t="s">
        <v>7774</v>
      </c>
    </row>
    <row r="9165" spans="1:2" x14ac:dyDescent="0.35">
      <c r="A9165" s="34">
        <v>42201847</v>
      </c>
      <c r="B9165" s="35" t="s">
        <v>11864</v>
      </c>
    </row>
    <row r="9166" spans="1:2" x14ac:dyDescent="0.35">
      <c r="A9166" s="34">
        <v>42201848</v>
      </c>
      <c r="B9166" s="35" t="s">
        <v>4382</v>
      </c>
    </row>
    <row r="9167" spans="1:2" x14ac:dyDescent="0.35">
      <c r="A9167" s="34">
        <v>42201901</v>
      </c>
      <c r="B9167" s="35" t="s">
        <v>7480</v>
      </c>
    </row>
    <row r="9168" spans="1:2" x14ac:dyDescent="0.35">
      <c r="A9168" s="34">
        <v>42201902</v>
      </c>
      <c r="B9168" s="35" t="s">
        <v>4882</v>
      </c>
    </row>
    <row r="9169" spans="1:2" x14ac:dyDescent="0.35">
      <c r="A9169" s="34">
        <v>42201903</v>
      </c>
      <c r="B9169" s="35" t="s">
        <v>11529</v>
      </c>
    </row>
    <row r="9170" spans="1:2" x14ac:dyDescent="0.35">
      <c r="A9170" s="34">
        <v>42201904</v>
      </c>
      <c r="B9170" s="35" t="s">
        <v>13103</v>
      </c>
    </row>
    <row r="9171" spans="1:2" x14ac:dyDescent="0.35">
      <c r="A9171" s="34">
        <v>42201905</v>
      </c>
      <c r="B9171" s="35" t="s">
        <v>7877</v>
      </c>
    </row>
    <row r="9172" spans="1:2" x14ac:dyDescent="0.35">
      <c r="A9172" s="34">
        <v>42201906</v>
      </c>
      <c r="B9172" s="35" t="s">
        <v>13391</v>
      </c>
    </row>
    <row r="9173" spans="1:2" x14ac:dyDescent="0.35">
      <c r="A9173" s="34">
        <v>42201907</v>
      </c>
      <c r="B9173" s="35" t="s">
        <v>4002</v>
      </c>
    </row>
    <row r="9174" spans="1:2" x14ac:dyDescent="0.35">
      <c r="A9174" s="34">
        <v>42201908</v>
      </c>
      <c r="B9174" s="35" t="s">
        <v>5844</v>
      </c>
    </row>
    <row r="9175" spans="1:2" x14ac:dyDescent="0.35">
      <c r="A9175" s="34">
        <v>42202001</v>
      </c>
      <c r="B9175" s="35" t="s">
        <v>8189</v>
      </c>
    </row>
    <row r="9176" spans="1:2" x14ac:dyDescent="0.35">
      <c r="A9176" s="34">
        <v>42202002</v>
      </c>
      <c r="B9176" s="35" t="s">
        <v>18213</v>
      </c>
    </row>
    <row r="9177" spans="1:2" x14ac:dyDescent="0.35">
      <c r="A9177" s="34">
        <v>42202003</v>
      </c>
      <c r="B9177" s="35" t="s">
        <v>4825</v>
      </c>
    </row>
    <row r="9178" spans="1:2" x14ac:dyDescent="0.35">
      <c r="A9178" s="34">
        <v>42202004</v>
      </c>
      <c r="B9178" s="35" t="s">
        <v>19576</v>
      </c>
    </row>
    <row r="9179" spans="1:2" x14ac:dyDescent="0.35">
      <c r="A9179" s="34">
        <v>42202005</v>
      </c>
      <c r="B9179" s="35" t="s">
        <v>16989</v>
      </c>
    </row>
    <row r="9180" spans="1:2" x14ac:dyDescent="0.35">
      <c r="A9180" s="34">
        <v>42202101</v>
      </c>
      <c r="B9180" s="35" t="s">
        <v>14683</v>
      </c>
    </row>
    <row r="9181" spans="1:2" x14ac:dyDescent="0.35">
      <c r="A9181" s="34">
        <v>42202102</v>
      </c>
      <c r="B9181" s="35" t="s">
        <v>10893</v>
      </c>
    </row>
    <row r="9182" spans="1:2" x14ac:dyDescent="0.35">
      <c r="A9182" s="34">
        <v>42202103</v>
      </c>
      <c r="B9182" s="35" t="s">
        <v>8334</v>
      </c>
    </row>
    <row r="9183" spans="1:2" x14ac:dyDescent="0.35">
      <c r="A9183" s="34">
        <v>42202104</v>
      </c>
      <c r="B9183" s="35" t="s">
        <v>10638</v>
      </c>
    </row>
    <row r="9184" spans="1:2" x14ac:dyDescent="0.35">
      <c r="A9184" s="34">
        <v>42202105</v>
      </c>
      <c r="B9184" s="35" t="s">
        <v>8359</v>
      </c>
    </row>
    <row r="9185" spans="1:2" x14ac:dyDescent="0.35">
      <c r="A9185" s="34">
        <v>42202201</v>
      </c>
      <c r="B9185" s="35" t="s">
        <v>4460</v>
      </c>
    </row>
    <row r="9186" spans="1:2" x14ac:dyDescent="0.35">
      <c r="A9186" s="34">
        <v>42202202</v>
      </c>
      <c r="B9186" s="35" t="s">
        <v>16223</v>
      </c>
    </row>
    <row r="9187" spans="1:2" x14ac:dyDescent="0.35">
      <c r="A9187" s="34">
        <v>42202203</v>
      </c>
      <c r="B9187" s="35" t="s">
        <v>4323</v>
      </c>
    </row>
    <row r="9188" spans="1:2" x14ac:dyDescent="0.35">
      <c r="A9188" s="34">
        <v>42202301</v>
      </c>
      <c r="B9188" s="35" t="s">
        <v>17159</v>
      </c>
    </row>
    <row r="9189" spans="1:2" x14ac:dyDescent="0.35">
      <c r="A9189" s="34">
        <v>42202302</v>
      </c>
      <c r="B9189" s="35" t="s">
        <v>962</v>
      </c>
    </row>
    <row r="9190" spans="1:2" x14ac:dyDescent="0.35">
      <c r="A9190" s="34">
        <v>42202303</v>
      </c>
      <c r="B9190" s="35" t="s">
        <v>12390</v>
      </c>
    </row>
    <row r="9191" spans="1:2" x14ac:dyDescent="0.35">
      <c r="A9191" s="34">
        <v>42202401</v>
      </c>
      <c r="B9191" s="35" t="s">
        <v>17044</v>
      </c>
    </row>
    <row r="9192" spans="1:2" x14ac:dyDescent="0.35">
      <c r="A9192" s="34">
        <v>42202501</v>
      </c>
      <c r="B9192" s="35" t="s">
        <v>18323</v>
      </c>
    </row>
    <row r="9193" spans="1:2" x14ac:dyDescent="0.35">
      <c r="A9193" s="34">
        <v>42202601</v>
      </c>
      <c r="B9193" s="35" t="s">
        <v>18474</v>
      </c>
    </row>
    <row r="9194" spans="1:2" x14ac:dyDescent="0.35">
      <c r="A9194" s="34">
        <v>42202602</v>
      </c>
      <c r="B9194" s="35" t="s">
        <v>6653</v>
      </c>
    </row>
    <row r="9195" spans="1:2" x14ac:dyDescent="0.35">
      <c r="A9195" s="34">
        <v>42202701</v>
      </c>
      <c r="B9195" s="35" t="s">
        <v>7860</v>
      </c>
    </row>
    <row r="9196" spans="1:2" x14ac:dyDescent="0.35">
      <c r="A9196" s="34">
        <v>42202702</v>
      </c>
      <c r="B9196" s="35" t="s">
        <v>19371</v>
      </c>
    </row>
    <row r="9197" spans="1:2" x14ac:dyDescent="0.35">
      <c r="A9197" s="34">
        <v>42202703</v>
      </c>
      <c r="B9197" s="35" t="s">
        <v>10342</v>
      </c>
    </row>
    <row r="9198" spans="1:2" x14ac:dyDescent="0.35">
      <c r="A9198" s="34">
        <v>42202704</v>
      </c>
      <c r="B9198" s="35" t="s">
        <v>14989</v>
      </c>
    </row>
    <row r="9199" spans="1:2" x14ac:dyDescent="0.35">
      <c r="A9199" s="34">
        <v>42202801</v>
      </c>
      <c r="B9199" s="35" t="s">
        <v>3521</v>
      </c>
    </row>
    <row r="9200" spans="1:2" x14ac:dyDescent="0.35">
      <c r="A9200" s="34">
        <v>42202802</v>
      </c>
      <c r="B9200" s="35" t="s">
        <v>14257</v>
      </c>
    </row>
    <row r="9201" spans="1:2" x14ac:dyDescent="0.35">
      <c r="A9201" s="34">
        <v>42202901</v>
      </c>
      <c r="B9201" s="35" t="s">
        <v>490</v>
      </c>
    </row>
    <row r="9202" spans="1:2" x14ac:dyDescent="0.35">
      <c r="A9202" s="34">
        <v>42203001</v>
      </c>
      <c r="B9202" s="35" t="s">
        <v>16313</v>
      </c>
    </row>
    <row r="9203" spans="1:2" x14ac:dyDescent="0.35">
      <c r="A9203" s="34">
        <v>42203101</v>
      </c>
      <c r="B9203" s="35" t="s">
        <v>9395</v>
      </c>
    </row>
    <row r="9204" spans="1:2" x14ac:dyDescent="0.35">
      <c r="A9204" s="34">
        <v>42203201</v>
      </c>
      <c r="B9204" s="35" t="s">
        <v>10081</v>
      </c>
    </row>
    <row r="9205" spans="1:2" x14ac:dyDescent="0.35">
      <c r="A9205" s="34">
        <v>42203202</v>
      </c>
      <c r="B9205" s="35" t="s">
        <v>12758</v>
      </c>
    </row>
    <row r="9206" spans="1:2" x14ac:dyDescent="0.35">
      <c r="A9206" s="34">
        <v>42203301</v>
      </c>
      <c r="B9206" s="35" t="s">
        <v>6307</v>
      </c>
    </row>
    <row r="9207" spans="1:2" x14ac:dyDescent="0.35">
      <c r="A9207" s="34">
        <v>42203302</v>
      </c>
      <c r="B9207" s="35" t="s">
        <v>279</v>
      </c>
    </row>
    <row r="9208" spans="1:2" x14ac:dyDescent="0.35">
      <c r="A9208" s="34">
        <v>42203303</v>
      </c>
      <c r="B9208" s="35" t="s">
        <v>6330</v>
      </c>
    </row>
    <row r="9209" spans="1:2" x14ac:dyDescent="0.35">
      <c r="A9209" s="34">
        <v>42203401</v>
      </c>
      <c r="B9209" s="35" t="s">
        <v>8591</v>
      </c>
    </row>
    <row r="9210" spans="1:2" x14ac:dyDescent="0.35">
      <c r="A9210" s="34">
        <v>42203402</v>
      </c>
      <c r="B9210" s="35" t="s">
        <v>8579</v>
      </c>
    </row>
    <row r="9211" spans="1:2" x14ac:dyDescent="0.35">
      <c r="A9211" s="34">
        <v>42203403</v>
      </c>
      <c r="B9211" s="35" t="s">
        <v>11177</v>
      </c>
    </row>
    <row r="9212" spans="1:2" x14ac:dyDescent="0.35">
      <c r="A9212" s="34">
        <v>42203404</v>
      </c>
      <c r="B9212" s="35" t="s">
        <v>6395</v>
      </c>
    </row>
    <row r="9213" spans="1:2" x14ac:dyDescent="0.35">
      <c r="A9213" s="34">
        <v>42203405</v>
      </c>
      <c r="B9213" s="35" t="s">
        <v>15411</v>
      </c>
    </row>
    <row r="9214" spans="1:2" x14ac:dyDescent="0.35">
      <c r="A9214" s="34">
        <v>42203406</v>
      </c>
      <c r="B9214" s="35" t="s">
        <v>13837</v>
      </c>
    </row>
    <row r="9215" spans="1:2" x14ac:dyDescent="0.35">
      <c r="A9215" s="34">
        <v>42203407</v>
      </c>
      <c r="B9215" s="35" t="s">
        <v>8854</v>
      </c>
    </row>
    <row r="9216" spans="1:2" x14ac:dyDescent="0.35">
      <c r="A9216" s="34">
        <v>42203408</v>
      </c>
      <c r="B9216" s="35" t="s">
        <v>1058</v>
      </c>
    </row>
    <row r="9217" spans="1:2" x14ac:dyDescent="0.35">
      <c r="A9217" s="34">
        <v>42203409</v>
      </c>
      <c r="B9217" s="35" t="s">
        <v>12946</v>
      </c>
    </row>
    <row r="9218" spans="1:2" x14ac:dyDescent="0.35">
      <c r="A9218" s="34">
        <v>42203410</v>
      </c>
      <c r="B9218" s="35" t="s">
        <v>3629</v>
      </c>
    </row>
    <row r="9219" spans="1:2" x14ac:dyDescent="0.35">
      <c r="A9219" s="34">
        <v>42203411</v>
      </c>
      <c r="B9219" s="35" t="s">
        <v>18562</v>
      </c>
    </row>
    <row r="9220" spans="1:2" x14ac:dyDescent="0.35">
      <c r="A9220" s="34">
        <v>42203412</v>
      </c>
      <c r="B9220" s="35" t="s">
        <v>9100</v>
      </c>
    </row>
    <row r="9221" spans="1:2" x14ac:dyDescent="0.35">
      <c r="A9221" s="34">
        <v>42203501</v>
      </c>
      <c r="B9221" s="35" t="s">
        <v>12673</v>
      </c>
    </row>
    <row r="9222" spans="1:2" x14ac:dyDescent="0.35">
      <c r="A9222" s="34">
        <v>42203502</v>
      </c>
      <c r="B9222" s="35" t="s">
        <v>9526</v>
      </c>
    </row>
    <row r="9223" spans="1:2" x14ac:dyDescent="0.35">
      <c r="A9223" s="34">
        <v>42203503</v>
      </c>
      <c r="B9223" s="35" t="s">
        <v>14208</v>
      </c>
    </row>
    <row r="9224" spans="1:2" x14ac:dyDescent="0.35">
      <c r="A9224" s="34">
        <v>42203504</v>
      </c>
      <c r="B9224" s="35" t="s">
        <v>6676</v>
      </c>
    </row>
    <row r="9225" spans="1:2" x14ac:dyDescent="0.35">
      <c r="A9225" s="34">
        <v>42203601</v>
      </c>
      <c r="B9225" s="35" t="s">
        <v>16261</v>
      </c>
    </row>
    <row r="9226" spans="1:2" x14ac:dyDescent="0.35">
      <c r="A9226" s="34">
        <v>42203602</v>
      </c>
      <c r="B9226" s="35" t="s">
        <v>6866</v>
      </c>
    </row>
    <row r="9227" spans="1:2" x14ac:dyDescent="0.35">
      <c r="A9227" s="34">
        <v>42203603</v>
      </c>
      <c r="B9227" s="35" t="s">
        <v>2066</v>
      </c>
    </row>
    <row r="9228" spans="1:2" x14ac:dyDescent="0.35">
      <c r="A9228" s="34">
        <v>42203604</v>
      </c>
      <c r="B9228" s="35" t="s">
        <v>3905</v>
      </c>
    </row>
    <row r="9229" spans="1:2" x14ac:dyDescent="0.35">
      <c r="A9229" s="34">
        <v>42203605</v>
      </c>
      <c r="B9229" s="35" t="s">
        <v>13484</v>
      </c>
    </row>
    <row r="9230" spans="1:2" x14ac:dyDescent="0.35">
      <c r="A9230" s="34">
        <v>42203701</v>
      </c>
      <c r="B9230" s="35" t="s">
        <v>2598</v>
      </c>
    </row>
    <row r="9231" spans="1:2" x14ac:dyDescent="0.35">
      <c r="A9231" s="34">
        <v>42203702</v>
      </c>
      <c r="B9231" s="35" t="s">
        <v>700</v>
      </c>
    </row>
    <row r="9232" spans="1:2" x14ac:dyDescent="0.35">
      <c r="A9232" s="34">
        <v>42203703</v>
      </c>
      <c r="B9232" s="35" t="s">
        <v>4717</v>
      </c>
    </row>
    <row r="9233" spans="1:2" x14ac:dyDescent="0.35">
      <c r="A9233" s="34">
        <v>42203704</v>
      </c>
      <c r="B9233" s="35" t="s">
        <v>4616</v>
      </c>
    </row>
    <row r="9234" spans="1:2" x14ac:dyDescent="0.35">
      <c r="A9234" s="34">
        <v>42203705</v>
      </c>
      <c r="B9234" s="35" t="s">
        <v>721</v>
      </c>
    </row>
    <row r="9235" spans="1:2" x14ac:dyDescent="0.35">
      <c r="A9235" s="34">
        <v>42203706</v>
      </c>
      <c r="B9235" s="35" t="s">
        <v>13731</v>
      </c>
    </row>
    <row r="9236" spans="1:2" x14ac:dyDescent="0.35">
      <c r="A9236" s="34">
        <v>42203707</v>
      </c>
      <c r="B9236" s="35" t="s">
        <v>2994</v>
      </c>
    </row>
    <row r="9237" spans="1:2" x14ac:dyDescent="0.35">
      <c r="A9237" s="34">
        <v>42203708</v>
      </c>
      <c r="B9237" s="35" t="s">
        <v>10633</v>
      </c>
    </row>
    <row r="9238" spans="1:2" x14ac:dyDescent="0.35">
      <c r="A9238" s="34">
        <v>42203709</v>
      </c>
      <c r="B9238" s="35" t="s">
        <v>7244</v>
      </c>
    </row>
    <row r="9239" spans="1:2" x14ac:dyDescent="0.35">
      <c r="A9239" s="34">
        <v>42203710</v>
      </c>
      <c r="B9239" s="35" t="s">
        <v>9780</v>
      </c>
    </row>
    <row r="9240" spans="1:2" x14ac:dyDescent="0.35">
      <c r="A9240" s="34">
        <v>42203801</v>
      </c>
      <c r="B9240" s="35" t="s">
        <v>3174</v>
      </c>
    </row>
    <row r="9241" spans="1:2" x14ac:dyDescent="0.35">
      <c r="A9241" s="34">
        <v>42203802</v>
      </c>
      <c r="B9241" s="35" t="s">
        <v>12290</v>
      </c>
    </row>
    <row r="9242" spans="1:2" x14ac:dyDescent="0.35">
      <c r="A9242" s="34">
        <v>42203803</v>
      </c>
      <c r="B9242" s="35" t="s">
        <v>14261</v>
      </c>
    </row>
    <row r="9243" spans="1:2" x14ac:dyDescent="0.35">
      <c r="A9243" s="34">
        <v>42203901</v>
      </c>
      <c r="B9243" s="35" t="s">
        <v>4178</v>
      </c>
    </row>
    <row r="9244" spans="1:2" x14ac:dyDescent="0.35">
      <c r="A9244" s="34">
        <v>42203902</v>
      </c>
      <c r="B9244" s="35" t="s">
        <v>9368</v>
      </c>
    </row>
    <row r="9245" spans="1:2" x14ac:dyDescent="0.35">
      <c r="A9245" s="34">
        <v>42204001</v>
      </c>
      <c r="B9245" s="35" t="s">
        <v>503</v>
      </c>
    </row>
    <row r="9246" spans="1:2" x14ac:dyDescent="0.35">
      <c r="A9246" s="34">
        <v>42204002</v>
      </c>
      <c r="B9246" s="35" t="s">
        <v>15256</v>
      </c>
    </row>
    <row r="9247" spans="1:2" x14ac:dyDescent="0.35">
      <c r="A9247" s="34">
        <v>42204003</v>
      </c>
      <c r="B9247" s="35" t="s">
        <v>15289</v>
      </c>
    </row>
    <row r="9248" spans="1:2" x14ac:dyDescent="0.35">
      <c r="A9248" s="34">
        <v>42204004</v>
      </c>
      <c r="B9248" s="35" t="s">
        <v>18234</v>
      </c>
    </row>
    <row r="9249" spans="1:2" x14ac:dyDescent="0.35">
      <c r="A9249" s="34">
        <v>42204005</v>
      </c>
      <c r="B9249" s="35" t="s">
        <v>2442</v>
      </c>
    </row>
    <row r="9250" spans="1:2" x14ac:dyDescent="0.35">
      <c r="A9250" s="34">
        <v>42204006</v>
      </c>
      <c r="B9250" s="35" t="s">
        <v>11190</v>
      </c>
    </row>
    <row r="9251" spans="1:2" x14ac:dyDescent="0.35">
      <c r="A9251" s="34">
        <v>42204007</v>
      </c>
      <c r="B9251" s="35" t="s">
        <v>18740</v>
      </c>
    </row>
    <row r="9252" spans="1:2" x14ac:dyDescent="0.35">
      <c r="A9252" s="34">
        <v>42204008</v>
      </c>
      <c r="B9252" s="35" t="s">
        <v>11872</v>
      </c>
    </row>
    <row r="9253" spans="1:2" x14ac:dyDescent="0.35">
      <c r="A9253" s="34">
        <v>42211501</v>
      </c>
      <c r="B9253" s="35" t="s">
        <v>17802</v>
      </c>
    </row>
    <row r="9254" spans="1:2" x14ac:dyDescent="0.35">
      <c r="A9254" s="34">
        <v>42211502</v>
      </c>
      <c r="B9254" s="35" t="s">
        <v>6060</v>
      </c>
    </row>
    <row r="9255" spans="1:2" x14ac:dyDescent="0.35">
      <c r="A9255" s="34">
        <v>42211503</v>
      </c>
      <c r="B9255" s="35" t="s">
        <v>12528</v>
      </c>
    </row>
    <row r="9256" spans="1:2" x14ac:dyDescent="0.35">
      <c r="A9256" s="34">
        <v>42211504</v>
      </c>
      <c r="B9256" s="35" t="s">
        <v>1420</v>
      </c>
    </row>
    <row r="9257" spans="1:2" x14ac:dyDescent="0.35">
      <c r="A9257" s="34">
        <v>42211505</v>
      </c>
      <c r="B9257" s="35" t="s">
        <v>9484</v>
      </c>
    </row>
    <row r="9258" spans="1:2" x14ac:dyDescent="0.35">
      <c r="A9258" s="34">
        <v>42211506</v>
      </c>
      <c r="B9258" s="35" t="s">
        <v>16295</v>
      </c>
    </row>
    <row r="9259" spans="1:2" x14ac:dyDescent="0.35">
      <c r="A9259" s="34">
        <v>42211507</v>
      </c>
      <c r="B9259" s="35" t="s">
        <v>12318</v>
      </c>
    </row>
    <row r="9260" spans="1:2" x14ac:dyDescent="0.35">
      <c r="A9260" s="34">
        <v>42211508</v>
      </c>
      <c r="B9260" s="35" t="s">
        <v>18817</v>
      </c>
    </row>
    <row r="9261" spans="1:2" x14ac:dyDescent="0.35">
      <c r="A9261" s="34">
        <v>42211509</v>
      </c>
      <c r="B9261" s="35" t="s">
        <v>5190</v>
      </c>
    </row>
    <row r="9262" spans="1:2" x14ac:dyDescent="0.35">
      <c r="A9262" s="34">
        <v>42211601</v>
      </c>
      <c r="B9262" s="35" t="s">
        <v>14706</v>
      </c>
    </row>
    <row r="9263" spans="1:2" x14ac:dyDescent="0.35">
      <c r="A9263" s="34">
        <v>42211602</v>
      </c>
      <c r="B9263" s="35" t="s">
        <v>3377</v>
      </c>
    </row>
    <row r="9264" spans="1:2" x14ac:dyDescent="0.35">
      <c r="A9264" s="34">
        <v>42211603</v>
      </c>
      <c r="B9264" s="35" t="s">
        <v>15777</v>
      </c>
    </row>
    <row r="9265" spans="1:2" x14ac:dyDescent="0.35">
      <c r="A9265" s="34">
        <v>42211604</v>
      </c>
      <c r="B9265" s="35" t="s">
        <v>18140</v>
      </c>
    </row>
    <row r="9266" spans="1:2" x14ac:dyDescent="0.35">
      <c r="A9266" s="34">
        <v>42211605</v>
      </c>
      <c r="B9266" s="35" t="s">
        <v>10958</v>
      </c>
    </row>
    <row r="9267" spans="1:2" x14ac:dyDescent="0.35">
      <c r="A9267" s="34">
        <v>42211606</v>
      </c>
      <c r="B9267" s="35" t="s">
        <v>15245</v>
      </c>
    </row>
    <row r="9268" spans="1:2" x14ac:dyDescent="0.35">
      <c r="A9268" s="34">
        <v>42211607</v>
      </c>
      <c r="B9268" s="35" t="s">
        <v>11159</v>
      </c>
    </row>
    <row r="9269" spans="1:2" x14ac:dyDescent="0.35">
      <c r="A9269" s="34">
        <v>42211608</v>
      </c>
      <c r="B9269" s="35" t="s">
        <v>14177</v>
      </c>
    </row>
    <row r="9270" spans="1:2" x14ac:dyDescent="0.35">
      <c r="A9270" s="34">
        <v>42211609</v>
      </c>
      <c r="B9270" s="35" t="s">
        <v>9862</v>
      </c>
    </row>
    <row r="9271" spans="1:2" x14ac:dyDescent="0.35">
      <c r="A9271" s="34">
        <v>42211610</v>
      </c>
      <c r="B9271" s="35" t="s">
        <v>15661</v>
      </c>
    </row>
    <row r="9272" spans="1:2" x14ac:dyDescent="0.35">
      <c r="A9272" s="34">
        <v>42211611</v>
      </c>
      <c r="B9272" s="35" t="s">
        <v>4490</v>
      </c>
    </row>
    <row r="9273" spans="1:2" x14ac:dyDescent="0.35">
      <c r="A9273" s="34">
        <v>42211612</v>
      </c>
      <c r="B9273" s="35" t="s">
        <v>13298</v>
      </c>
    </row>
    <row r="9274" spans="1:2" x14ac:dyDescent="0.35">
      <c r="A9274" s="34">
        <v>42211613</v>
      </c>
      <c r="B9274" s="35" t="s">
        <v>5816</v>
      </c>
    </row>
    <row r="9275" spans="1:2" x14ac:dyDescent="0.35">
      <c r="A9275" s="34">
        <v>42211614</v>
      </c>
      <c r="B9275" s="35" t="s">
        <v>13941</v>
      </c>
    </row>
    <row r="9276" spans="1:2" x14ac:dyDescent="0.35">
      <c r="A9276" s="34">
        <v>42211615</v>
      </c>
      <c r="B9276" s="35" t="s">
        <v>7700</v>
      </c>
    </row>
    <row r="9277" spans="1:2" x14ac:dyDescent="0.35">
      <c r="A9277" s="34">
        <v>42211616</v>
      </c>
      <c r="B9277" s="35" t="s">
        <v>923</v>
      </c>
    </row>
    <row r="9278" spans="1:2" x14ac:dyDescent="0.35">
      <c r="A9278" s="34">
        <v>42211617</v>
      </c>
      <c r="B9278" s="35" t="s">
        <v>15218</v>
      </c>
    </row>
    <row r="9279" spans="1:2" x14ac:dyDescent="0.35">
      <c r="A9279" s="34">
        <v>42211618</v>
      </c>
      <c r="B9279" s="35" t="s">
        <v>19306</v>
      </c>
    </row>
    <row r="9280" spans="1:2" x14ac:dyDescent="0.35">
      <c r="A9280" s="34">
        <v>42211701</v>
      </c>
      <c r="B9280" s="35" t="s">
        <v>7444</v>
      </c>
    </row>
    <row r="9281" spans="1:2" x14ac:dyDescent="0.35">
      <c r="A9281" s="34">
        <v>42211702</v>
      </c>
      <c r="B9281" s="35" t="s">
        <v>14222</v>
      </c>
    </row>
    <row r="9282" spans="1:2" x14ac:dyDescent="0.35">
      <c r="A9282" s="34">
        <v>42211703</v>
      </c>
      <c r="B9282" s="35" t="s">
        <v>17803</v>
      </c>
    </row>
    <row r="9283" spans="1:2" x14ac:dyDescent="0.35">
      <c r="A9283" s="34">
        <v>42211704</v>
      </c>
      <c r="B9283" s="35" t="s">
        <v>4794</v>
      </c>
    </row>
    <row r="9284" spans="1:2" x14ac:dyDescent="0.35">
      <c r="A9284" s="34">
        <v>42211705</v>
      </c>
      <c r="B9284" s="35" t="s">
        <v>5127</v>
      </c>
    </row>
    <row r="9285" spans="1:2" x14ac:dyDescent="0.35">
      <c r="A9285" s="34">
        <v>42211706</v>
      </c>
      <c r="B9285" s="35" t="s">
        <v>16911</v>
      </c>
    </row>
    <row r="9286" spans="1:2" x14ac:dyDescent="0.35">
      <c r="A9286" s="34">
        <v>42211707</v>
      </c>
      <c r="B9286" s="35" t="s">
        <v>14645</v>
      </c>
    </row>
    <row r="9287" spans="1:2" x14ac:dyDescent="0.35">
      <c r="A9287" s="34">
        <v>42211708</v>
      </c>
      <c r="B9287" s="35" t="s">
        <v>18978</v>
      </c>
    </row>
    <row r="9288" spans="1:2" x14ac:dyDescent="0.35">
      <c r="A9288" s="34">
        <v>42211709</v>
      </c>
      <c r="B9288" s="35" t="s">
        <v>13945</v>
      </c>
    </row>
    <row r="9289" spans="1:2" x14ac:dyDescent="0.35">
      <c r="A9289" s="34">
        <v>42211710</v>
      </c>
      <c r="B9289" s="35" t="s">
        <v>15769</v>
      </c>
    </row>
    <row r="9290" spans="1:2" x14ac:dyDescent="0.35">
      <c r="A9290" s="34">
        <v>42211711</v>
      </c>
      <c r="B9290" s="35" t="s">
        <v>5425</v>
      </c>
    </row>
    <row r="9291" spans="1:2" x14ac:dyDescent="0.35">
      <c r="A9291" s="34">
        <v>42211712</v>
      </c>
      <c r="B9291" s="35" t="s">
        <v>15511</v>
      </c>
    </row>
    <row r="9292" spans="1:2" x14ac:dyDescent="0.35">
      <c r="A9292" s="34">
        <v>42211801</v>
      </c>
      <c r="B9292" s="35" t="s">
        <v>2717</v>
      </c>
    </row>
    <row r="9293" spans="1:2" x14ac:dyDescent="0.35">
      <c r="A9293" s="34">
        <v>42211802</v>
      </c>
      <c r="B9293" s="35" t="s">
        <v>435</v>
      </c>
    </row>
    <row r="9294" spans="1:2" x14ac:dyDescent="0.35">
      <c r="A9294" s="34">
        <v>42211803</v>
      </c>
      <c r="B9294" s="35" t="s">
        <v>5158</v>
      </c>
    </row>
    <row r="9295" spans="1:2" x14ac:dyDescent="0.35">
      <c r="A9295" s="34">
        <v>42211804</v>
      </c>
      <c r="B9295" s="35" t="s">
        <v>13170</v>
      </c>
    </row>
    <row r="9296" spans="1:2" x14ac:dyDescent="0.35">
      <c r="A9296" s="34">
        <v>42211805</v>
      </c>
      <c r="B9296" s="35" t="s">
        <v>6802</v>
      </c>
    </row>
    <row r="9297" spans="1:2" x14ac:dyDescent="0.35">
      <c r="A9297" s="34">
        <v>42211806</v>
      </c>
      <c r="B9297" s="35" t="s">
        <v>19050</v>
      </c>
    </row>
    <row r="9298" spans="1:2" x14ac:dyDescent="0.35">
      <c r="A9298" s="34">
        <v>42211807</v>
      </c>
      <c r="B9298" s="35" t="s">
        <v>19418</v>
      </c>
    </row>
    <row r="9299" spans="1:2" x14ac:dyDescent="0.35">
      <c r="A9299" s="34">
        <v>42211808</v>
      </c>
      <c r="B9299" s="35" t="s">
        <v>19406</v>
      </c>
    </row>
    <row r="9300" spans="1:2" x14ac:dyDescent="0.35">
      <c r="A9300" s="34">
        <v>42211809</v>
      </c>
      <c r="B9300" s="35" t="s">
        <v>5487</v>
      </c>
    </row>
    <row r="9301" spans="1:2" x14ac:dyDescent="0.35">
      <c r="A9301" s="34">
        <v>42211810</v>
      </c>
      <c r="B9301" s="35" t="s">
        <v>18850</v>
      </c>
    </row>
    <row r="9302" spans="1:2" x14ac:dyDescent="0.35">
      <c r="A9302" s="34">
        <v>42211811</v>
      </c>
      <c r="B9302" s="35" t="s">
        <v>15449</v>
      </c>
    </row>
    <row r="9303" spans="1:2" x14ac:dyDescent="0.35">
      <c r="A9303" s="34">
        <v>42211812</v>
      </c>
      <c r="B9303" s="35" t="s">
        <v>8118</v>
      </c>
    </row>
    <row r="9304" spans="1:2" x14ac:dyDescent="0.35">
      <c r="A9304" s="34">
        <v>42211813</v>
      </c>
      <c r="B9304" s="35" t="s">
        <v>12624</v>
      </c>
    </row>
    <row r="9305" spans="1:2" x14ac:dyDescent="0.35">
      <c r="A9305" s="34">
        <v>42211901</v>
      </c>
      <c r="B9305" s="35" t="s">
        <v>17728</v>
      </c>
    </row>
    <row r="9306" spans="1:2" x14ac:dyDescent="0.35">
      <c r="A9306" s="34">
        <v>42211902</v>
      </c>
      <c r="B9306" s="35" t="s">
        <v>8899</v>
      </c>
    </row>
    <row r="9307" spans="1:2" x14ac:dyDescent="0.35">
      <c r="A9307" s="34">
        <v>42211903</v>
      </c>
      <c r="B9307" s="35" t="s">
        <v>5972</v>
      </c>
    </row>
    <row r="9308" spans="1:2" x14ac:dyDescent="0.35">
      <c r="A9308" s="34">
        <v>42211904</v>
      </c>
      <c r="B9308" s="35" t="s">
        <v>6448</v>
      </c>
    </row>
    <row r="9309" spans="1:2" x14ac:dyDescent="0.35">
      <c r="A9309" s="34">
        <v>42211905</v>
      </c>
      <c r="B9309" s="35" t="s">
        <v>6166</v>
      </c>
    </row>
    <row r="9310" spans="1:2" x14ac:dyDescent="0.35">
      <c r="A9310" s="34">
        <v>42211906</v>
      </c>
      <c r="B9310" s="35" t="s">
        <v>17544</v>
      </c>
    </row>
    <row r="9311" spans="1:2" x14ac:dyDescent="0.35">
      <c r="A9311" s="34">
        <v>42211907</v>
      </c>
      <c r="B9311" s="35" t="s">
        <v>9485</v>
      </c>
    </row>
    <row r="9312" spans="1:2" x14ac:dyDescent="0.35">
      <c r="A9312" s="34">
        <v>42211908</v>
      </c>
      <c r="B9312" s="35" t="s">
        <v>16846</v>
      </c>
    </row>
    <row r="9313" spans="1:2" x14ac:dyDescent="0.35">
      <c r="A9313" s="34">
        <v>42211909</v>
      </c>
      <c r="B9313" s="35" t="s">
        <v>14667</v>
      </c>
    </row>
    <row r="9314" spans="1:2" x14ac:dyDescent="0.35">
      <c r="A9314" s="34">
        <v>42211910</v>
      </c>
      <c r="B9314" s="35" t="s">
        <v>18819</v>
      </c>
    </row>
    <row r="9315" spans="1:2" x14ac:dyDescent="0.35">
      <c r="A9315" s="34">
        <v>42211911</v>
      </c>
      <c r="B9315" s="35" t="s">
        <v>1047</v>
      </c>
    </row>
    <row r="9316" spans="1:2" x14ac:dyDescent="0.35">
      <c r="A9316" s="34">
        <v>42211912</v>
      </c>
      <c r="B9316" s="35" t="s">
        <v>8396</v>
      </c>
    </row>
    <row r="9317" spans="1:2" x14ac:dyDescent="0.35">
      <c r="A9317" s="34">
        <v>42211913</v>
      </c>
      <c r="B9317" s="35" t="s">
        <v>8925</v>
      </c>
    </row>
    <row r="9318" spans="1:2" x14ac:dyDescent="0.35">
      <c r="A9318" s="34">
        <v>42211914</v>
      </c>
      <c r="B9318" s="35" t="s">
        <v>17055</v>
      </c>
    </row>
    <row r="9319" spans="1:2" x14ac:dyDescent="0.35">
      <c r="A9319" s="34">
        <v>42211915</v>
      </c>
      <c r="B9319" s="35" t="s">
        <v>5491</v>
      </c>
    </row>
    <row r="9320" spans="1:2" x14ac:dyDescent="0.35">
      <c r="A9320" s="34">
        <v>42211916</v>
      </c>
      <c r="B9320" s="35" t="s">
        <v>11164</v>
      </c>
    </row>
    <row r="9321" spans="1:2" x14ac:dyDescent="0.35">
      <c r="A9321" s="34">
        <v>42211917</v>
      </c>
      <c r="B9321" s="35" t="s">
        <v>3315</v>
      </c>
    </row>
    <row r="9322" spans="1:2" x14ac:dyDescent="0.35">
      <c r="A9322" s="34">
        <v>42211918</v>
      </c>
      <c r="B9322" s="35" t="s">
        <v>15850</v>
      </c>
    </row>
    <row r="9323" spans="1:2" x14ac:dyDescent="0.35">
      <c r="A9323" s="34">
        <v>42212001</v>
      </c>
      <c r="B9323" s="35" t="s">
        <v>5430</v>
      </c>
    </row>
    <row r="9324" spans="1:2" x14ac:dyDescent="0.35">
      <c r="A9324" s="34">
        <v>42212002</v>
      </c>
      <c r="B9324" s="35" t="s">
        <v>11990</v>
      </c>
    </row>
    <row r="9325" spans="1:2" x14ac:dyDescent="0.35">
      <c r="A9325" s="34">
        <v>42212003</v>
      </c>
      <c r="B9325" s="35" t="s">
        <v>7420</v>
      </c>
    </row>
    <row r="9326" spans="1:2" x14ac:dyDescent="0.35">
      <c r="A9326" s="34">
        <v>42212004</v>
      </c>
      <c r="B9326" s="35" t="s">
        <v>3106</v>
      </c>
    </row>
    <row r="9327" spans="1:2" x14ac:dyDescent="0.35">
      <c r="A9327" s="34">
        <v>42212005</v>
      </c>
      <c r="B9327" s="35" t="s">
        <v>16335</v>
      </c>
    </row>
    <row r="9328" spans="1:2" x14ac:dyDescent="0.35">
      <c r="A9328" s="34">
        <v>42212006</v>
      </c>
      <c r="B9328" s="35" t="s">
        <v>8723</v>
      </c>
    </row>
    <row r="9329" spans="1:2" x14ac:dyDescent="0.35">
      <c r="A9329" s="34">
        <v>42212007</v>
      </c>
      <c r="B9329" s="35" t="s">
        <v>13509</v>
      </c>
    </row>
    <row r="9330" spans="1:2" x14ac:dyDescent="0.35">
      <c r="A9330" s="34">
        <v>42212101</v>
      </c>
      <c r="B9330" s="35" t="s">
        <v>10956</v>
      </c>
    </row>
    <row r="9331" spans="1:2" x14ac:dyDescent="0.35">
      <c r="A9331" s="34">
        <v>42212102</v>
      </c>
      <c r="B9331" s="35" t="s">
        <v>1133</v>
      </c>
    </row>
    <row r="9332" spans="1:2" x14ac:dyDescent="0.35">
      <c r="A9332" s="34">
        <v>42212103</v>
      </c>
      <c r="B9332" s="35" t="s">
        <v>11378</v>
      </c>
    </row>
    <row r="9333" spans="1:2" x14ac:dyDescent="0.35">
      <c r="A9333" s="34">
        <v>42212104</v>
      </c>
      <c r="B9333" s="35" t="s">
        <v>17224</v>
      </c>
    </row>
    <row r="9334" spans="1:2" x14ac:dyDescent="0.35">
      <c r="A9334" s="34">
        <v>42212105</v>
      </c>
      <c r="B9334" s="35" t="s">
        <v>11227</v>
      </c>
    </row>
    <row r="9335" spans="1:2" x14ac:dyDescent="0.35">
      <c r="A9335" s="34">
        <v>42212106</v>
      </c>
      <c r="B9335" s="35" t="s">
        <v>18916</v>
      </c>
    </row>
    <row r="9336" spans="1:2" x14ac:dyDescent="0.35">
      <c r="A9336" s="34">
        <v>42212107</v>
      </c>
      <c r="B9336" s="35" t="s">
        <v>16053</v>
      </c>
    </row>
    <row r="9337" spans="1:2" x14ac:dyDescent="0.35">
      <c r="A9337" s="34">
        <v>42212108</v>
      </c>
      <c r="B9337" s="35" t="s">
        <v>13744</v>
      </c>
    </row>
    <row r="9338" spans="1:2" x14ac:dyDescent="0.35">
      <c r="A9338" s="34">
        <v>42212109</v>
      </c>
      <c r="B9338" s="35" t="s">
        <v>15976</v>
      </c>
    </row>
    <row r="9339" spans="1:2" x14ac:dyDescent="0.35">
      <c r="A9339" s="34">
        <v>42212110</v>
      </c>
      <c r="B9339" s="35" t="s">
        <v>10520</v>
      </c>
    </row>
    <row r="9340" spans="1:2" x14ac:dyDescent="0.35">
      <c r="A9340" s="34">
        <v>42212111</v>
      </c>
      <c r="B9340" s="35" t="s">
        <v>17968</v>
      </c>
    </row>
    <row r="9341" spans="1:2" x14ac:dyDescent="0.35">
      <c r="A9341" s="34">
        <v>42212112</v>
      </c>
      <c r="B9341" s="35" t="s">
        <v>12781</v>
      </c>
    </row>
    <row r="9342" spans="1:2" x14ac:dyDescent="0.35">
      <c r="A9342" s="34">
        <v>42212113</v>
      </c>
      <c r="B9342" s="35" t="s">
        <v>7938</v>
      </c>
    </row>
    <row r="9343" spans="1:2" x14ac:dyDescent="0.35">
      <c r="A9343" s="34">
        <v>42212201</v>
      </c>
      <c r="B9343" s="35" t="s">
        <v>19078</v>
      </c>
    </row>
    <row r="9344" spans="1:2" x14ac:dyDescent="0.35">
      <c r="A9344" s="34">
        <v>42212202</v>
      </c>
      <c r="B9344" s="35" t="s">
        <v>1419</v>
      </c>
    </row>
    <row r="9345" spans="1:2" x14ac:dyDescent="0.35">
      <c r="A9345" s="34">
        <v>42212203</v>
      </c>
      <c r="B9345" s="35" t="s">
        <v>18382</v>
      </c>
    </row>
    <row r="9346" spans="1:2" x14ac:dyDescent="0.35">
      <c r="A9346" s="34">
        <v>42212204</v>
      </c>
      <c r="B9346" s="35" t="s">
        <v>8585</v>
      </c>
    </row>
    <row r="9347" spans="1:2" x14ac:dyDescent="0.35">
      <c r="A9347" s="34">
        <v>42212301</v>
      </c>
      <c r="B9347" s="35" t="s">
        <v>2444</v>
      </c>
    </row>
    <row r="9348" spans="1:2" x14ac:dyDescent="0.35">
      <c r="A9348" s="34">
        <v>42212302</v>
      </c>
      <c r="B9348" s="35" t="s">
        <v>2714</v>
      </c>
    </row>
    <row r="9349" spans="1:2" x14ac:dyDescent="0.35">
      <c r="A9349" s="34">
        <v>42212303</v>
      </c>
      <c r="B9349" s="35" t="s">
        <v>2505</v>
      </c>
    </row>
    <row r="9350" spans="1:2" x14ac:dyDescent="0.35">
      <c r="A9350" s="34">
        <v>42212304</v>
      </c>
      <c r="B9350" s="35" t="s">
        <v>8368</v>
      </c>
    </row>
    <row r="9351" spans="1:2" x14ac:dyDescent="0.35">
      <c r="A9351" s="34">
        <v>42221501</v>
      </c>
      <c r="B9351" s="35" t="s">
        <v>17246</v>
      </c>
    </row>
    <row r="9352" spans="1:2" x14ac:dyDescent="0.35">
      <c r="A9352" s="34">
        <v>42221502</v>
      </c>
      <c r="B9352" s="35" t="s">
        <v>6122</v>
      </c>
    </row>
    <row r="9353" spans="1:2" x14ac:dyDescent="0.35">
      <c r="A9353" s="34">
        <v>42221503</v>
      </c>
      <c r="B9353" s="35" t="s">
        <v>15796</v>
      </c>
    </row>
    <row r="9354" spans="1:2" x14ac:dyDescent="0.35">
      <c r="A9354" s="34">
        <v>42221504</v>
      </c>
      <c r="B9354" s="35" t="s">
        <v>7698</v>
      </c>
    </row>
    <row r="9355" spans="1:2" x14ac:dyDescent="0.35">
      <c r="A9355" s="34">
        <v>42221505</v>
      </c>
      <c r="B9355" s="35" t="s">
        <v>1148</v>
      </c>
    </row>
    <row r="9356" spans="1:2" x14ac:dyDescent="0.35">
      <c r="A9356" s="34">
        <v>42221506</v>
      </c>
      <c r="B9356" s="35" t="s">
        <v>16830</v>
      </c>
    </row>
    <row r="9357" spans="1:2" x14ac:dyDescent="0.35">
      <c r="A9357" s="34">
        <v>42221507</v>
      </c>
      <c r="B9357" s="35" t="s">
        <v>6278</v>
      </c>
    </row>
    <row r="9358" spans="1:2" x14ac:dyDescent="0.35">
      <c r="A9358" s="34">
        <v>42221508</v>
      </c>
      <c r="B9358" s="35" t="s">
        <v>13696</v>
      </c>
    </row>
    <row r="9359" spans="1:2" x14ac:dyDescent="0.35">
      <c r="A9359" s="34">
        <v>42221509</v>
      </c>
      <c r="B9359" s="35" t="s">
        <v>8944</v>
      </c>
    </row>
    <row r="9360" spans="1:2" x14ac:dyDescent="0.35">
      <c r="A9360" s="34">
        <v>42221512</v>
      </c>
      <c r="B9360" s="35" t="s">
        <v>6646</v>
      </c>
    </row>
    <row r="9361" spans="1:2" x14ac:dyDescent="0.35">
      <c r="A9361" s="34">
        <v>42221513</v>
      </c>
      <c r="B9361" s="35" t="s">
        <v>17258</v>
      </c>
    </row>
    <row r="9362" spans="1:2" x14ac:dyDescent="0.35">
      <c r="A9362" s="34">
        <v>42221601</v>
      </c>
      <c r="B9362" s="35" t="s">
        <v>9567</v>
      </c>
    </row>
    <row r="9363" spans="1:2" x14ac:dyDescent="0.35">
      <c r="A9363" s="34">
        <v>42221602</v>
      </c>
      <c r="B9363" s="35" t="s">
        <v>8218</v>
      </c>
    </row>
    <row r="9364" spans="1:2" x14ac:dyDescent="0.35">
      <c r="A9364" s="34">
        <v>42221603</v>
      </c>
      <c r="B9364" s="35" t="s">
        <v>17841</v>
      </c>
    </row>
    <row r="9365" spans="1:2" x14ac:dyDescent="0.35">
      <c r="A9365" s="34">
        <v>42221604</v>
      </c>
      <c r="B9365" s="35" t="s">
        <v>4959</v>
      </c>
    </row>
    <row r="9366" spans="1:2" x14ac:dyDescent="0.35">
      <c r="A9366" s="34">
        <v>42221605</v>
      </c>
      <c r="B9366" s="35" t="s">
        <v>15996</v>
      </c>
    </row>
    <row r="9367" spans="1:2" x14ac:dyDescent="0.35">
      <c r="A9367" s="34">
        <v>42221606</v>
      </c>
      <c r="B9367" s="35" t="s">
        <v>15219</v>
      </c>
    </row>
    <row r="9368" spans="1:2" x14ac:dyDescent="0.35">
      <c r="A9368" s="34">
        <v>42221607</v>
      </c>
      <c r="B9368" s="35" t="s">
        <v>3241</v>
      </c>
    </row>
    <row r="9369" spans="1:2" x14ac:dyDescent="0.35">
      <c r="A9369" s="34">
        <v>42221608</v>
      </c>
      <c r="B9369" s="35" t="s">
        <v>8552</v>
      </c>
    </row>
    <row r="9370" spans="1:2" x14ac:dyDescent="0.35">
      <c r="A9370" s="34">
        <v>42221609</v>
      </c>
      <c r="B9370" s="35" t="s">
        <v>18734</v>
      </c>
    </row>
    <row r="9371" spans="1:2" x14ac:dyDescent="0.35">
      <c r="A9371" s="34">
        <v>42221610</v>
      </c>
      <c r="B9371" s="35" t="s">
        <v>10220</v>
      </c>
    </row>
    <row r="9372" spans="1:2" x14ac:dyDescent="0.35">
      <c r="A9372" s="34">
        <v>42221611</v>
      </c>
      <c r="B9372" s="35" t="s">
        <v>13606</v>
      </c>
    </row>
    <row r="9373" spans="1:2" x14ac:dyDescent="0.35">
      <c r="A9373" s="34">
        <v>42221612</v>
      </c>
      <c r="B9373" s="35" t="s">
        <v>71</v>
      </c>
    </row>
    <row r="9374" spans="1:2" x14ac:dyDescent="0.35">
      <c r="A9374" s="34">
        <v>42221613</v>
      </c>
      <c r="B9374" s="35" t="s">
        <v>2608</v>
      </c>
    </row>
    <row r="9375" spans="1:2" x14ac:dyDescent="0.35">
      <c r="A9375" s="34">
        <v>42221614</v>
      </c>
      <c r="B9375" s="35" t="s">
        <v>7559</v>
      </c>
    </row>
    <row r="9376" spans="1:2" x14ac:dyDescent="0.35">
      <c r="A9376" s="34">
        <v>42221615</v>
      </c>
      <c r="B9376" s="35" t="s">
        <v>10702</v>
      </c>
    </row>
    <row r="9377" spans="1:2" x14ac:dyDescent="0.35">
      <c r="A9377" s="34">
        <v>42221616</v>
      </c>
      <c r="B9377" s="35" t="s">
        <v>8706</v>
      </c>
    </row>
    <row r="9378" spans="1:2" x14ac:dyDescent="0.35">
      <c r="A9378" s="34">
        <v>42221617</v>
      </c>
      <c r="B9378" s="35" t="s">
        <v>10023</v>
      </c>
    </row>
    <row r="9379" spans="1:2" x14ac:dyDescent="0.35">
      <c r="A9379" s="34">
        <v>42221618</v>
      </c>
      <c r="B9379" s="35" t="s">
        <v>10556</v>
      </c>
    </row>
    <row r="9380" spans="1:2" x14ac:dyDescent="0.35">
      <c r="A9380" s="34">
        <v>42221701</v>
      </c>
      <c r="B9380" s="35" t="s">
        <v>5253</v>
      </c>
    </row>
    <row r="9381" spans="1:2" x14ac:dyDescent="0.35">
      <c r="A9381" s="34">
        <v>42221702</v>
      </c>
      <c r="B9381" s="35" t="s">
        <v>8220</v>
      </c>
    </row>
    <row r="9382" spans="1:2" x14ac:dyDescent="0.35">
      <c r="A9382" s="34">
        <v>42221703</v>
      </c>
      <c r="B9382" s="35" t="s">
        <v>4897</v>
      </c>
    </row>
    <row r="9383" spans="1:2" x14ac:dyDescent="0.35">
      <c r="A9383" s="34">
        <v>42221704</v>
      </c>
      <c r="B9383" s="35" t="s">
        <v>11295</v>
      </c>
    </row>
    <row r="9384" spans="1:2" x14ac:dyDescent="0.35">
      <c r="A9384" s="34">
        <v>42221705</v>
      </c>
      <c r="B9384" s="35" t="s">
        <v>10099</v>
      </c>
    </row>
    <row r="9385" spans="1:2" x14ac:dyDescent="0.35">
      <c r="A9385" s="34">
        <v>42221706</v>
      </c>
      <c r="B9385" s="35" t="s">
        <v>18077</v>
      </c>
    </row>
    <row r="9386" spans="1:2" x14ac:dyDescent="0.35">
      <c r="A9386" s="34">
        <v>42221707</v>
      </c>
      <c r="B9386" s="35" t="s">
        <v>14405</v>
      </c>
    </row>
    <row r="9387" spans="1:2" x14ac:dyDescent="0.35">
      <c r="A9387" s="34">
        <v>42221801</v>
      </c>
      <c r="B9387" s="35" t="s">
        <v>11855</v>
      </c>
    </row>
    <row r="9388" spans="1:2" x14ac:dyDescent="0.35">
      <c r="A9388" s="34">
        <v>42221802</v>
      </c>
      <c r="B9388" s="35" t="s">
        <v>2353</v>
      </c>
    </row>
    <row r="9389" spans="1:2" x14ac:dyDescent="0.35">
      <c r="A9389" s="34">
        <v>42221803</v>
      </c>
      <c r="B9389" s="35" t="s">
        <v>19370</v>
      </c>
    </row>
    <row r="9390" spans="1:2" x14ac:dyDescent="0.35">
      <c r="A9390" s="34">
        <v>42221901</v>
      </c>
      <c r="B9390" s="35" t="s">
        <v>16813</v>
      </c>
    </row>
    <row r="9391" spans="1:2" x14ac:dyDescent="0.35">
      <c r="A9391" s="34">
        <v>42221902</v>
      </c>
      <c r="B9391" s="35" t="s">
        <v>14932</v>
      </c>
    </row>
    <row r="9392" spans="1:2" x14ac:dyDescent="0.35">
      <c r="A9392" s="34">
        <v>42221903</v>
      </c>
      <c r="B9392" s="35" t="s">
        <v>12002</v>
      </c>
    </row>
    <row r="9393" spans="1:2" x14ac:dyDescent="0.35">
      <c r="A9393" s="34">
        <v>42222001</v>
      </c>
      <c r="B9393" s="35" t="s">
        <v>11396</v>
      </c>
    </row>
    <row r="9394" spans="1:2" x14ac:dyDescent="0.35">
      <c r="A9394" s="34">
        <v>42222002</v>
      </c>
      <c r="B9394" s="35" t="s">
        <v>18724</v>
      </c>
    </row>
    <row r="9395" spans="1:2" x14ac:dyDescent="0.35">
      <c r="A9395" s="34">
        <v>42222003</v>
      </c>
      <c r="B9395" s="35" t="s">
        <v>16708</v>
      </c>
    </row>
    <row r="9396" spans="1:2" x14ac:dyDescent="0.35">
      <c r="A9396" s="34">
        <v>42222004</v>
      </c>
      <c r="B9396" s="35" t="s">
        <v>15173</v>
      </c>
    </row>
    <row r="9397" spans="1:2" x14ac:dyDescent="0.35">
      <c r="A9397" s="34">
        <v>42222005</v>
      </c>
      <c r="B9397" s="35" t="s">
        <v>6225</v>
      </c>
    </row>
    <row r="9398" spans="1:2" x14ac:dyDescent="0.35">
      <c r="A9398" s="34">
        <v>42222006</v>
      </c>
      <c r="B9398" s="35" t="s">
        <v>1036</v>
      </c>
    </row>
    <row r="9399" spans="1:2" x14ac:dyDescent="0.35">
      <c r="A9399" s="34">
        <v>42222007</v>
      </c>
      <c r="B9399" s="35" t="s">
        <v>14917</v>
      </c>
    </row>
    <row r="9400" spans="1:2" x14ac:dyDescent="0.35">
      <c r="A9400" s="34">
        <v>42222008</v>
      </c>
      <c r="B9400" s="35" t="s">
        <v>5176</v>
      </c>
    </row>
    <row r="9401" spans="1:2" x14ac:dyDescent="0.35">
      <c r="A9401" s="34">
        <v>42222101</v>
      </c>
      <c r="B9401" s="35" t="s">
        <v>8096</v>
      </c>
    </row>
    <row r="9402" spans="1:2" x14ac:dyDescent="0.35">
      <c r="A9402" s="34">
        <v>42222102</v>
      </c>
      <c r="B9402" s="35" t="s">
        <v>5018</v>
      </c>
    </row>
    <row r="9403" spans="1:2" x14ac:dyDescent="0.35">
      <c r="A9403" s="34">
        <v>42222103</v>
      </c>
      <c r="B9403" s="35" t="s">
        <v>16583</v>
      </c>
    </row>
    <row r="9404" spans="1:2" x14ac:dyDescent="0.35">
      <c r="A9404" s="34">
        <v>42222104</v>
      </c>
      <c r="B9404" s="35" t="s">
        <v>15994</v>
      </c>
    </row>
    <row r="9405" spans="1:2" x14ac:dyDescent="0.35">
      <c r="A9405" s="34">
        <v>42222201</v>
      </c>
      <c r="B9405" s="35" t="s">
        <v>16594</v>
      </c>
    </row>
    <row r="9406" spans="1:2" x14ac:dyDescent="0.35">
      <c r="A9406" s="34">
        <v>42222202</v>
      </c>
      <c r="B9406" s="35" t="s">
        <v>16737</v>
      </c>
    </row>
    <row r="9407" spans="1:2" x14ac:dyDescent="0.35">
      <c r="A9407" s="34">
        <v>42222301</v>
      </c>
      <c r="B9407" s="35" t="s">
        <v>16115</v>
      </c>
    </row>
    <row r="9408" spans="1:2" x14ac:dyDescent="0.35">
      <c r="A9408" s="34">
        <v>42222302</v>
      </c>
      <c r="B9408" s="35" t="s">
        <v>6700</v>
      </c>
    </row>
    <row r="9409" spans="1:2" x14ac:dyDescent="0.35">
      <c r="A9409" s="34">
        <v>42222303</v>
      </c>
      <c r="B9409" s="35" t="s">
        <v>6824</v>
      </c>
    </row>
    <row r="9410" spans="1:2" x14ac:dyDescent="0.35">
      <c r="A9410" s="34">
        <v>42222304</v>
      </c>
      <c r="B9410" s="35" t="s">
        <v>18446</v>
      </c>
    </row>
    <row r="9411" spans="1:2" x14ac:dyDescent="0.35">
      <c r="A9411" s="34">
        <v>42222305</v>
      </c>
      <c r="B9411" s="35" t="s">
        <v>11625</v>
      </c>
    </row>
    <row r="9412" spans="1:2" x14ac:dyDescent="0.35">
      <c r="A9412" s="34">
        <v>42222306</v>
      </c>
      <c r="B9412" s="35" t="s">
        <v>8889</v>
      </c>
    </row>
    <row r="9413" spans="1:2" x14ac:dyDescent="0.35">
      <c r="A9413" s="34">
        <v>42222307</v>
      </c>
      <c r="B9413" s="35" t="s">
        <v>10835</v>
      </c>
    </row>
    <row r="9414" spans="1:2" x14ac:dyDescent="0.35">
      <c r="A9414" s="34">
        <v>42222308</v>
      </c>
      <c r="B9414" s="35" t="s">
        <v>18942</v>
      </c>
    </row>
    <row r="9415" spans="1:2" x14ac:dyDescent="0.35">
      <c r="A9415" s="34">
        <v>42222309</v>
      </c>
      <c r="B9415" s="35" t="s">
        <v>9017</v>
      </c>
    </row>
    <row r="9416" spans="1:2" x14ac:dyDescent="0.35">
      <c r="A9416" s="34">
        <v>42231501</v>
      </c>
      <c r="B9416" s="35" t="s">
        <v>18825</v>
      </c>
    </row>
    <row r="9417" spans="1:2" x14ac:dyDescent="0.35">
      <c r="A9417" s="34">
        <v>42231502</v>
      </c>
      <c r="B9417" s="35" t="s">
        <v>9093</v>
      </c>
    </row>
    <row r="9418" spans="1:2" x14ac:dyDescent="0.35">
      <c r="A9418" s="34">
        <v>42231503</v>
      </c>
      <c r="B9418" s="35" t="s">
        <v>1788</v>
      </c>
    </row>
    <row r="9419" spans="1:2" x14ac:dyDescent="0.35">
      <c r="A9419" s="34">
        <v>42231504</v>
      </c>
      <c r="B9419" s="35" t="s">
        <v>13694</v>
      </c>
    </row>
    <row r="9420" spans="1:2" x14ac:dyDescent="0.35">
      <c r="A9420" s="34">
        <v>42231505</v>
      </c>
      <c r="B9420" s="35" t="s">
        <v>18031</v>
      </c>
    </row>
    <row r="9421" spans="1:2" x14ac:dyDescent="0.35">
      <c r="A9421" s="34">
        <v>42231506</v>
      </c>
      <c r="B9421" s="35" t="s">
        <v>11008</v>
      </c>
    </row>
    <row r="9422" spans="1:2" x14ac:dyDescent="0.35">
      <c r="A9422" s="34">
        <v>42231507</v>
      </c>
      <c r="B9422" s="35" t="s">
        <v>18162</v>
      </c>
    </row>
    <row r="9423" spans="1:2" x14ac:dyDescent="0.35">
      <c r="A9423" s="34">
        <v>42231508</v>
      </c>
      <c r="B9423" s="35" t="s">
        <v>10134</v>
      </c>
    </row>
    <row r="9424" spans="1:2" x14ac:dyDescent="0.35">
      <c r="A9424" s="34">
        <v>42231509</v>
      </c>
      <c r="B9424" s="35" t="s">
        <v>3036</v>
      </c>
    </row>
    <row r="9425" spans="1:2" x14ac:dyDescent="0.35">
      <c r="A9425" s="34">
        <v>42231510</v>
      </c>
      <c r="B9425" s="35" t="s">
        <v>8276</v>
      </c>
    </row>
    <row r="9426" spans="1:2" x14ac:dyDescent="0.35">
      <c r="A9426" s="34">
        <v>42231601</v>
      </c>
      <c r="B9426" s="35" t="s">
        <v>5070</v>
      </c>
    </row>
    <row r="9427" spans="1:2" x14ac:dyDescent="0.35">
      <c r="A9427" s="34">
        <v>42231602</v>
      </c>
      <c r="B9427" s="35" t="s">
        <v>19197</v>
      </c>
    </row>
    <row r="9428" spans="1:2" x14ac:dyDescent="0.35">
      <c r="A9428" s="34">
        <v>42231603</v>
      </c>
      <c r="B9428" s="35" t="s">
        <v>14</v>
      </c>
    </row>
    <row r="9429" spans="1:2" x14ac:dyDescent="0.35">
      <c r="A9429" s="34">
        <v>42231604</v>
      </c>
      <c r="B9429" s="35" t="s">
        <v>19367</v>
      </c>
    </row>
    <row r="9430" spans="1:2" x14ac:dyDescent="0.35">
      <c r="A9430" s="34">
        <v>42231605</v>
      </c>
      <c r="B9430" s="35" t="s">
        <v>2889</v>
      </c>
    </row>
    <row r="9431" spans="1:2" x14ac:dyDescent="0.35">
      <c r="A9431" s="34">
        <v>42231606</v>
      </c>
      <c r="B9431" s="35" t="s">
        <v>3075</v>
      </c>
    </row>
    <row r="9432" spans="1:2" x14ac:dyDescent="0.35">
      <c r="A9432" s="34">
        <v>42231608</v>
      </c>
      <c r="B9432" s="35" t="s">
        <v>14986</v>
      </c>
    </row>
    <row r="9433" spans="1:2" x14ac:dyDescent="0.35">
      <c r="A9433" s="34">
        <v>42231609</v>
      </c>
      <c r="B9433" s="35" t="s">
        <v>6819</v>
      </c>
    </row>
    <row r="9434" spans="1:2" x14ac:dyDescent="0.35">
      <c r="A9434" s="34">
        <v>42231701</v>
      </c>
      <c r="B9434" s="35" t="s">
        <v>19030</v>
      </c>
    </row>
    <row r="9435" spans="1:2" x14ac:dyDescent="0.35">
      <c r="A9435" s="34">
        <v>42231702</v>
      </c>
      <c r="B9435" s="35" t="s">
        <v>1784</v>
      </c>
    </row>
    <row r="9436" spans="1:2" x14ac:dyDescent="0.35">
      <c r="A9436" s="34">
        <v>42231703</v>
      </c>
      <c r="B9436" s="35" t="s">
        <v>14124</v>
      </c>
    </row>
    <row r="9437" spans="1:2" x14ac:dyDescent="0.35">
      <c r="A9437" s="34">
        <v>42231704</v>
      </c>
      <c r="B9437" s="35" t="s">
        <v>19010</v>
      </c>
    </row>
    <row r="9438" spans="1:2" x14ac:dyDescent="0.35">
      <c r="A9438" s="34">
        <v>42231705</v>
      </c>
      <c r="B9438" s="35" t="s">
        <v>3016</v>
      </c>
    </row>
    <row r="9439" spans="1:2" x14ac:dyDescent="0.35">
      <c r="A9439" s="34">
        <v>42231801</v>
      </c>
      <c r="B9439" s="35" t="s">
        <v>7776</v>
      </c>
    </row>
    <row r="9440" spans="1:2" x14ac:dyDescent="0.35">
      <c r="A9440" s="34">
        <v>42231802</v>
      </c>
      <c r="B9440" s="35" t="s">
        <v>8225</v>
      </c>
    </row>
    <row r="9441" spans="1:2" x14ac:dyDescent="0.35">
      <c r="A9441" s="34">
        <v>42231803</v>
      </c>
      <c r="B9441" s="35" t="s">
        <v>10462</v>
      </c>
    </row>
    <row r="9442" spans="1:2" x14ac:dyDescent="0.35">
      <c r="A9442" s="34">
        <v>42231804</v>
      </c>
      <c r="B9442" s="35" t="s">
        <v>17483</v>
      </c>
    </row>
    <row r="9443" spans="1:2" x14ac:dyDescent="0.35">
      <c r="A9443" s="34">
        <v>42231805</v>
      </c>
      <c r="B9443" s="35" t="s">
        <v>14759</v>
      </c>
    </row>
    <row r="9444" spans="1:2" x14ac:dyDescent="0.35">
      <c r="A9444" s="34">
        <v>42231806</v>
      </c>
      <c r="B9444" s="35" t="s">
        <v>3382</v>
      </c>
    </row>
    <row r="9445" spans="1:2" x14ac:dyDescent="0.35">
      <c r="A9445" s="34">
        <v>42231807</v>
      </c>
      <c r="B9445" s="35" t="s">
        <v>8461</v>
      </c>
    </row>
    <row r="9446" spans="1:2" x14ac:dyDescent="0.35">
      <c r="A9446" s="34">
        <v>42231901</v>
      </c>
      <c r="B9446" s="35" t="s">
        <v>9801</v>
      </c>
    </row>
    <row r="9447" spans="1:2" x14ac:dyDescent="0.35">
      <c r="A9447" s="34">
        <v>42231902</v>
      </c>
      <c r="B9447" s="35" t="s">
        <v>6542</v>
      </c>
    </row>
    <row r="9448" spans="1:2" x14ac:dyDescent="0.35">
      <c r="A9448" s="34">
        <v>42231903</v>
      </c>
      <c r="B9448" s="35" t="s">
        <v>11264</v>
      </c>
    </row>
    <row r="9449" spans="1:2" x14ac:dyDescent="0.35">
      <c r="A9449" s="34">
        <v>42232001</v>
      </c>
      <c r="B9449" s="35" t="s">
        <v>3439</v>
      </c>
    </row>
    <row r="9450" spans="1:2" x14ac:dyDescent="0.35">
      <c r="A9450" s="34">
        <v>42232002</v>
      </c>
      <c r="B9450" s="35" t="s">
        <v>17209</v>
      </c>
    </row>
    <row r="9451" spans="1:2" x14ac:dyDescent="0.35">
      <c r="A9451" s="34">
        <v>42232003</v>
      </c>
      <c r="B9451" s="35" t="s">
        <v>1285</v>
      </c>
    </row>
    <row r="9452" spans="1:2" x14ac:dyDescent="0.35">
      <c r="A9452" s="34">
        <v>42241501</v>
      </c>
      <c r="B9452" s="35" t="s">
        <v>10010</v>
      </c>
    </row>
    <row r="9453" spans="1:2" x14ac:dyDescent="0.35">
      <c r="A9453" s="34">
        <v>42241502</v>
      </c>
      <c r="B9453" s="35" t="s">
        <v>17805</v>
      </c>
    </row>
    <row r="9454" spans="1:2" x14ac:dyDescent="0.35">
      <c r="A9454" s="34">
        <v>42241503</v>
      </c>
      <c r="B9454" s="35" t="s">
        <v>17506</v>
      </c>
    </row>
    <row r="9455" spans="1:2" x14ac:dyDescent="0.35">
      <c r="A9455" s="34">
        <v>42241504</v>
      </c>
      <c r="B9455" s="35" t="s">
        <v>122</v>
      </c>
    </row>
    <row r="9456" spans="1:2" x14ac:dyDescent="0.35">
      <c r="A9456" s="34">
        <v>42241505</v>
      </c>
      <c r="B9456" s="35" t="s">
        <v>5240</v>
      </c>
    </row>
    <row r="9457" spans="1:2" x14ac:dyDescent="0.35">
      <c r="A9457" s="34">
        <v>42241506</v>
      </c>
      <c r="B9457" s="35" t="s">
        <v>6447</v>
      </c>
    </row>
    <row r="9458" spans="1:2" x14ac:dyDescent="0.35">
      <c r="A9458" s="34">
        <v>42241507</v>
      </c>
      <c r="B9458" s="35" t="s">
        <v>18583</v>
      </c>
    </row>
    <row r="9459" spans="1:2" x14ac:dyDescent="0.35">
      <c r="A9459" s="34">
        <v>42241509</v>
      </c>
      <c r="B9459" s="35" t="s">
        <v>7035</v>
      </c>
    </row>
    <row r="9460" spans="1:2" x14ac:dyDescent="0.35">
      <c r="A9460" s="34">
        <v>42241510</v>
      </c>
      <c r="B9460" s="35" t="s">
        <v>7627</v>
      </c>
    </row>
    <row r="9461" spans="1:2" x14ac:dyDescent="0.35">
      <c r="A9461" s="34">
        <v>42241511</v>
      </c>
      <c r="B9461" s="35" t="s">
        <v>11992</v>
      </c>
    </row>
    <row r="9462" spans="1:2" x14ac:dyDescent="0.35">
      <c r="A9462" s="34">
        <v>42241512</v>
      </c>
      <c r="B9462" s="35" t="s">
        <v>15724</v>
      </c>
    </row>
    <row r="9463" spans="1:2" x14ac:dyDescent="0.35">
      <c r="A9463" s="34">
        <v>42241513</v>
      </c>
      <c r="B9463" s="35" t="s">
        <v>4410</v>
      </c>
    </row>
    <row r="9464" spans="1:2" x14ac:dyDescent="0.35">
      <c r="A9464" s="34">
        <v>42241514</v>
      </c>
      <c r="B9464" s="35" t="s">
        <v>17370</v>
      </c>
    </row>
    <row r="9465" spans="1:2" x14ac:dyDescent="0.35">
      <c r="A9465" s="34">
        <v>42241515</v>
      </c>
      <c r="B9465" s="35" t="s">
        <v>17996</v>
      </c>
    </row>
    <row r="9466" spans="1:2" x14ac:dyDescent="0.35">
      <c r="A9466" s="34">
        <v>42241601</v>
      </c>
      <c r="B9466" s="35" t="s">
        <v>9222</v>
      </c>
    </row>
    <row r="9467" spans="1:2" x14ac:dyDescent="0.35">
      <c r="A9467" s="34">
        <v>42241602</v>
      </c>
      <c r="B9467" s="35" t="s">
        <v>6971</v>
      </c>
    </row>
    <row r="9468" spans="1:2" x14ac:dyDescent="0.35">
      <c r="A9468" s="34">
        <v>42241603</v>
      </c>
      <c r="B9468" s="35" t="s">
        <v>18882</v>
      </c>
    </row>
    <row r="9469" spans="1:2" x14ac:dyDescent="0.35">
      <c r="A9469" s="34">
        <v>42241604</v>
      </c>
      <c r="B9469" s="35" t="s">
        <v>19486</v>
      </c>
    </row>
    <row r="9470" spans="1:2" x14ac:dyDescent="0.35">
      <c r="A9470" s="34">
        <v>42241606</v>
      </c>
      <c r="B9470" s="35" t="s">
        <v>16290</v>
      </c>
    </row>
    <row r="9471" spans="1:2" x14ac:dyDescent="0.35">
      <c r="A9471" s="34">
        <v>42241607</v>
      </c>
      <c r="B9471" s="35" t="s">
        <v>3146</v>
      </c>
    </row>
    <row r="9472" spans="1:2" x14ac:dyDescent="0.35">
      <c r="A9472" s="34">
        <v>42241701</v>
      </c>
      <c r="B9472" s="35" t="s">
        <v>7425</v>
      </c>
    </row>
    <row r="9473" spans="1:2" x14ac:dyDescent="0.35">
      <c r="A9473" s="34">
        <v>42241702</v>
      </c>
      <c r="B9473" s="35" t="s">
        <v>2074</v>
      </c>
    </row>
    <row r="9474" spans="1:2" x14ac:dyDescent="0.35">
      <c r="A9474" s="34">
        <v>42241703</v>
      </c>
      <c r="B9474" s="35" t="s">
        <v>11621</v>
      </c>
    </row>
    <row r="9475" spans="1:2" x14ac:dyDescent="0.35">
      <c r="A9475" s="34">
        <v>42241704</v>
      </c>
      <c r="B9475" s="35" t="s">
        <v>2456</v>
      </c>
    </row>
    <row r="9476" spans="1:2" x14ac:dyDescent="0.35">
      <c r="A9476" s="34">
        <v>42241705</v>
      </c>
      <c r="B9476" s="35" t="s">
        <v>17080</v>
      </c>
    </row>
    <row r="9477" spans="1:2" x14ac:dyDescent="0.35">
      <c r="A9477" s="34">
        <v>42241706</v>
      </c>
      <c r="B9477" s="35" t="s">
        <v>16951</v>
      </c>
    </row>
    <row r="9478" spans="1:2" x14ac:dyDescent="0.35">
      <c r="A9478" s="34">
        <v>42241707</v>
      </c>
      <c r="B9478" s="35" t="s">
        <v>15170</v>
      </c>
    </row>
    <row r="9479" spans="1:2" x14ac:dyDescent="0.35">
      <c r="A9479" s="34">
        <v>42241708</v>
      </c>
      <c r="B9479" s="35" t="s">
        <v>16047</v>
      </c>
    </row>
    <row r="9480" spans="1:2" x14ac:dyDescent="0.35">
      <c r="A9480" s="34">
        <v>42241801</v>
      </c>
      <c r="B9480" s="35" t="s">
        <v>6026</v>
      </c>
    </row>
    <row r="9481" spans="1:2" x14ac:dyDescent="0.35">
      <c r="A9481" s="34">
        <v>42241802</v>
      </c>
      <c r="B9481" s="35" t="s">
        <v>17227</v>
      </c>
    </row>
    <row r="9482" spans="1:2" x14ac:dyDescent="0.35">
      <c r="A9482" s="34">
        <v>42241803</v>
      </c>
      <c r="B9482" s="35" t="s">
        <v>3278</v>
      </c>
    </row>
    <row r="9483" spans="1:2" x14ac:dyDescent="0.35">
      <c r="A9483" s="34">
        <v>42241804</v>
      </c>
      <c r="B9483" s="35" t="s">
        <v>8936</v>
      </c>
    </row>
    <row r="9484" spans="1:2" x14ac:dyDescent="0.35">
      <c r="A9484" s="34">
        <v>42241805</v>
      </c>
      <c r="B9484" s="35" t="s">
        <v>10135</v>
      </c>
    </row>
    <row r="9485" spans="1:2" x14ac:dyDescent="0.35">
      <c r="A9485" s="34">
        <v>42241806</v>
      </c>
      <c r="B9485" s="35" t="s">
        <v>19606</v>
      </c>
    </row>
    <row r="9486" spans="1:2" x14ac:dyDescent="0.35">
      <c r="A9486" s="34">
        <v>42241807</v>
      </c>
      <c r="B9486" s="35" t="s">
        <v>12406</v>
      </c>
    </row>
    <row r="9487" spans="1:2" x14ac:dyDescent="0.35">
      <c r="A9487" s="34">
        <v>42241808</v>
      </c>
      <c r="B9487" s="35" t="s">
        <v>8764</v>
      </c>
    </row>
    <row r="9488" spans="1:2" x14ac:dyDescent="0.35">
      <c r="A9488" s="34">
        <v>42241809</v>
      </c>
      <c r="B9488" s="35" t="s">
        <v>8590</v>
      </c>
    </row>
    <row r="9489" spans="1:2" x14ac:dyDescent="0.35">
      <c r="A9489" s="34">
        <v>42241810</v>
      </c>
      <c r="B9489" s="35" t="s">
        <v>11118</v>
      </c>
    </row>
    <row r="9490" spans="1:2" x14ac:dyDescent="0.35">
      <c r="A9490" s="34">
        <v>42241811</v>
      </c>
      <c r="B9490" s="35" t="s">
        <v>13045</v>
      </c>
    </row>
    <row r="9491" spans="1:2" x14ac:dyDescent="0.35">
      <c r="A9491" s="34">
        <v>42241901</v>
      </c>
      <c r="B9491" s="35" t="s">
        <v>18472</v>
      </c>
    </row>
    <row r="9492" spans="1:2" x14ac:dyDescent="0.35">
      <c r="A9492" s="34">
        <v>42241902</v>
      </c>
      <c r="B9492" s="35" t="s">
        <v>3833</v>
      </c>
    </row>
    <row r="9493" spans="1:2" x14ac:dyDescent="0.35">
      <c r="A9493" s="34">
        <v>42242001</v>
      </c>
      <c r="B9493" s="35" t="s">
        <v>13465</v>
      </c>
    </row>
    <row r="9494" spans="1:2" x14ac:dyDescent="0.35">
      <c r="A9494" s="34">
        <v>42242002</v>
      </c>
      <c r="B9494" s="35" t="s">
        <v>8319</v>
      </c>
    </row>
    <row r="9495" spans="1:2" x14ac:dyDescent="0.35">
      <c r="A9495" s="34">
        <v>42242003</v>
      </c>
      <c r="B9495" s="35" t="s">
        <v>15621</v>
      </c>
    </row>
    <row r="9496" spans="1:2" x14ac:dyDescent="0.35">
      <c r="A9496" s="34">
        <v>42242004</v>
      </c>
      <c r="B9496" s="35" t="s">
        <v>16948</v>
      </c>
    </row>
    <row r="9497" spans="1:2" x14ac:dyDescent="0.35">
      <c r="A9497" s="34">
        <v>42242101</v>
      </c>
      <c r="B9497" s="35" t="s">
        <v>17514</v>
      </c>
    </row>
    <row r="9498" spans="1:2" x14ac:dyDescent="0.35">
      <c r="A9498" s="34">
        <v>42242102</v>
      </c>
      <c r="B9498" s="35" t="s">
        <v>939</v>
      </c>
    </row>
    <row r="9499" spans="1:2" x14ac:dyDescent="0.35">
      <c r="A9499" s="34">
        <v>42242103</v>
      </c>
      <c r="B9499" s="35" t="s">
        <v>13725</v>
      </c>
    </row>
    <row r="9500" spans="1:2" x14ac:dyDescent="0.35">
      <c r="A9500" s="34">
        <v>42242104</v>
      </c>
      <c r="B9500" s="35" t="s">
        <v>19614</v>
      </c>
    </row>
    <row r="9501" spans="1:2" x14ac:dyDescent="0.35">
      <c r="A9501" s="34">
        <v>42242105</v>
      </c>
      <c r="B9501" s="35" t="s">
        <v>9460</v>
      </c>
    </row>
    <row r="9502" spans="1:2" x14ac:dyDescent="0.35">
      <c r="A9502" s="34">
        <v>42242106</v>
      </c>
      <c r="B9502" s="35" t="s">
        <v>11986</v>
      </c>
    </row>
    <row r="9503" spans="1:2" x14ac:dyDescent="0.35">
      <c r="A9503" s="34">
        <v>42242107</v>
      </c>
      <c r="B9503" s="35" t="s">
        <v>5451</v>
      </c>
    </row>
    <row r="9504" spans="1:2" x14ac:dyDescent="0.35">
      <c r="A9504" s="34">
        <v>42242108</v>
      </c>
      <c r="B9504" s="35" t="s">
        <v>17898</v>
      </c>
    </row>
    <row r="9505" spans="1:2" x14ac:dyDescent="0.35">
      <c r="A9505" s="34">
        <v>42242109</v>
      </c>
      <c r="B9505" s="35" t="s">
        <v>8292</v>
      </c>
    </row>
    <row r="9506" spans="1:2" x14ac:dyDescent="0.35">
      <c r="A9506" s="34">
        <v>42242301</v>
      </c>
      <c r="B9506" s="35" t="s">
        <v>7372</v>
      </c>
    </row>
    <row r="9507" spans="1:2" x14ac:dyDescent="0.35">
      <c r="A9507" s="34">
        <v>42242302</v>
      </c>
      <c r="B9507" s="35" t="s">
        <v>5365</v>
      </c>
    </row>
    <row r="9508" spans="1:2" x14ac:dyDescent="0.35">
      <c r="A9508" s="34">
        <v>42251501</v>
      </c>
      <c r="B9508" s="35" t="s">
        <v>17862</v>
      </c>
    </row>
    <row r="9509" spans="1:2" x14ac:dyDescent="0.35">
      <c r="A9509" s="34">
        <v>42251502</v>
      </c>
      <c r="B9509" s="35" t="s">
        <v>7309</v>
      </c>
    </row>
    <row r="9510" spans="1:2" x14ac:dyDescent="0.35">
      <c r="A9510" s="34">
        <v>42251503</v>
      </c>
      <c r="B9510" s="35" t="s">
        <v>17453</v>
      </c>
    </row>
    <row r="9511" spans="1:2" x14ac:dyDescent="0.35">
      <c r="A9511" s="34">
        <v>42251504</v>
      </c>
      <c r="B9511" s="35" t="s">
        <v>8966</v>
      </c>
    </row>
    <row r="9512" spans="1:2" x14ac:dyDescent="0.35">
      <c r="A9512" s="34">
        <v>42251505</v>
      </c>
      <c r="B9512" s="35" t="s">
        <v>6111</v>
      </c>
    </row>
    <row r="9513" spans="1:2" x14ac:dyDescent="0.35">
      <c r="A9513" s="34">
        <v>42251506</v>
      </c>
      <c r="B9513" s="35" t="s">
        <v>11099</v>
      </c>
    </row>
    <row r="9514" spans="1:2" x14ac:dyDescent="0.35">
      <c r="A9514" s="34">
        <v>42251601</v>
      </c>
      <c r="B9514" s="35" t="s">
        <v>8580</v>
      </c>
    </row>
    <row r="9515" spans="1:2" x14ac:dyDescent="0.35">
      <c r="A9515" s="34">
        <v>42251602</v>
      </c>
      <c r="B9515" s="35" t="s">
        <v>13918</v>
      </c>
    </row>
    <row r="9516" spans="1:2" x14ac:dyDescent="0.35">
      <c r="A9516" s="34">
        <v>42251603</v>
      </c>
      <c r="B9516" s="35" t="s">
        <v>17988</v>
      </c>
    </row>
    <row r="9517" spans="1:2" x14ac:dyDescent="0.35">
      <c r="A9517" s="34">
        <v>42251604</v>
      </c>
      <c r="B9517" s="35" t="s">
        <v>15050</v>
      </c>
    </row>
    <row r="9518" spans="1:2" x14ac:dyDescent="0.35">
      <c r="A9518" s="34">
        <v>42251605</v>
      </c>
      <c r="B9518" s="35" t="s">
        <v>448</v>
      </c>
    </row>
    <row r="9519" spans="1:2" x14ac:dyDescent="0.35">
      <c r="A9519" s="34">
        <v>42251606</v>
      </c>
      <c r="B9519" s="35" t="s">
        <v>18300</v>
      </c>
    </row>
    <row r="9520" spans="1:2" x14ac:dyDescent="0.35">
      <c r="A9520" s="34">
        <v>42251607</v>
      </c>
      <c r="B9520" s="35" t="s">
        <v>8693</v>
      </c>
    </row>
    <row r="9521" spans="1:2" x14ac:dyDescent="0.35">
      <c r="A9521" s="34">
        <v>42251608</v>
      </c>
      <c r="B9521" s="35" t="s">
        <v>12914</v>
      </c>
    </row>
    <row r="9522" spans="1:2" x14ac:dyDescent="0.35">
      <c r="A9522" s="34">
        <v>42251609</v>
      </c>
      <c r="B9522" s="35" t="s">
        <v>18548</v>
      </c>
    </row>
    <row r="9523" spans="1:2" x14ac:dyDescent="0.35">
      <c r="A9523" s="34">
        <v>42251610</v>
      </c>
      <c r="B9523" s="35" t="s">
        <v>14385</v>
      </c>
    </row>
    <row r="9524" spans="1:2" x14ac:dyDescent="0.35">
      <c r="A9524" s="34">
        <v>42251611</v>
      </c>
      <c r="B9524" s="35" t="s">
        <v>12898</v>
      </c>
    </row>
    <row r="9525" spans="1:2" x14ac:dyDescent="0.35">
      <c r="A9525" s="34">
        <v>42251612</v>
      </c>
      <c r="B9525" s="35" t="s">
        <v>6160</v>
      </c>
    </row>
    <row r="9526" spans="1:2" x14ac:dyDescent="0.35">
      <c r="A9526" s="34">
        <v>42251613</v>
      </c>
      <c r="B9526" s="35" t="s">
        <v>8103</v>
      </c>
    </row>
    <row r="9527" spans="1:2" x14ac:dyDescent="0.35">
      <c r="A9527" s="34">
        <v>42251614</v>
      </c>
      <c r="B9527" s="35" t="s">
        <v>7074</v>
      </c>
    </row>
    <row r="9528" spans="1:2" x14ac:dyDescent="0.35">
      <c r="A9528" s="34">
        <v>42251615</v>
      </c>
      <c r="B9528" s="35" t="s">
        <v>10649</v>
      </c>
    </row>
    <row r="9529" spans="1:2" x14ac:dyDescent="0.35">
      <c r="A9529" s="34">
        <v>42251616</v>
      </c>
      <c r="B9529" s="35" t="s">
        <v>6809</v>
      </c>
    </row>
    <row r="9530" spans="1:2" x14ac:dyDescent="0.35">
      <c r="A9530" s="34">
        <v>42251617</v>
      </c>
      <c r="B9530" s="35" t="s">
        <v>11074</v>
      </c>
    </row>
    <row r="9531" spans="1:2" x14ac:dyDescent="0.35">
      <c r="A9531" s="34">
        <v>42251618</v>
      </c>
      <c r="B9531" s="35" t="s">
        <v>13756</v>
      </c>
    </row>
    <row r="9532" spans="1:2" x14ac:dyDescent="0.35">
      <c r="A9532" s="34">
        <v>42251619</v>
      </c>
      <c r="B9532" s="35" t="s">
        <v>2856</v>
      </c>
    </row>
    <row r="9533" spans="1:2" x14ac:dyDescent="0.35">
      <c r="A9533" s="34">
        <v>42251620</v>
      </c>
      <c r="B9533" s="35" t="s">
        <v>9116</v>
      </c>
    </row>
    <row r="9534" spans="1:2" x14ac:dyDescent="0.35">
      <c r="A9534" s="34">
        <v>42251621</v>
      </c>
      <c r="B9534" s="35" t="s">
        <v>15732</v>
      </c>
    </row>
    <row r="9535" spans="1:2" x14ac:dyDescent="0.35">
      <c r="A9535" s="34">
        <v>42251622</v>
      </c>
      <c r="B9535" s="35" t="s">
        <v>7812</v>
      </c>
    </row>
    <row r="9536" spans="1:2" x14ac:dyDescent="0.35">
      <c r="A9536" s="34">
        <v>42251623</v>
      </c>
      <c r="B9536" s="35" t="s">
        <v>59</v>
      </c>
    </row>
    <row r="9537" spans="1:2" x14ac:dyDescent="0.35">
      <c r="A9537" s="34">
        <v>42251624</v>
      </c>
      <c r="B9537" s="35" t="s">
        <v>14313</v>
      </c>
    </row>
    <row r="9538" spans="1:2" x14ac:dyDescent="0.35">
      <c r="A9538" s="34">
        <v>42251701</v>
      </c>
      <c r="B9538" s="35" t="s">
        <v>15793</v>
      </c>
    </row>
    <row r="9539" spans="1:2" x14ac:dyDescent="0.35">
      <c r="A9539" s="34">
        <v>42251702</v>
      </c>
      <c r="B9539" s="35" t="s">
        <v>8505</v>
      </c>
    </row>
    <row r="9540" spans="1:2" x14ac:dyDescent="0.35">
      <c r="A9540" s="34">
        <v>42251703</v>
      </c>
      <c r="B9540" s="35" t="s">
        <v>8661</v>
      </c>
    </row>
    <row r="9541" spans="1:2" x14ac:dyDescent="0.35">
      <c r="A9541" s="34">
        <v>42251704</v>
      </c>
      <c r="B9541" s="35" t="s">
        <v>13156</v>
      </c>
    </row>
    <row r="9542" spans="1:2" x14ac:dyDescent="0.35">
      <c r="A9542" s="34">
        <v>42251705</v>
      </c>
      <c r="B9542" s="35" t="s">
        <v>13329</v>
      </c>
    </row>
    <row r="9543" spans="1:2" x14ac:dyDescent="0.35">
      <c r="A9543" s="34">
        <v>42251706</v>
      </c>
      <c r="B9543" s="35" t="s">
        <v>14316</v>
      </c>
    </row>
    <row r="9544" spans="1:2" x14ac:dyDescent="0.35">
      <c r="A9544" s="34">
        <v>42251801</v>
      </c>
      <c r="B9544" s="35" t="s">
        <v>15975</v>
      </c>
    </row>
    <row r="9545" spans="1:2" x14ac:dyDescent="0.35">
      <c r="A9545" s="34">
        <v>42251802</v>
      </c>
      <c r="B9545" s="35" t="s">
        <v>7816</v>
      </c>
    </row>
    <row r="9546" spans="1:2" x14ac:dyDescent="0.35">
      <c r="A9546" s="34">
        <v>42251803</v>
      </c>
      <c r="B9546" s="35" t="s">
        <v>18782</v>
      </c>
    </row>
    <row r="9547" spans="1:2" x14ac:dyDescent="0.35">
      <c r="A9547" s="34">
        <v>42251804</v>
      </c>
      <c r="B9547" s="35" t="s">
        <v>13262</v>
      </c>
    </row>
    <row r="9548" spans="1:2" x14ac:dyDescent="0.35">
      <c r="A9548" s="34">
        <v>42251805</v>
      </c>
      <c r="B9548" s="35" t="s">
        <v>12612</v>
      </c>
    </row>
    <row r="9549" spans="1:2" x14ac:dyDescent="0.35">
      <c r="A9549" s="34">
        <v>42261501</v>
      </c>
      <c r="B9549" s="35" t="s">
        <v>2823</v>
      </c>
    </row>
    <row r="9550" spans="1:2" x14ac:dyDescent="0.35">
      <c r="A9550" s="34">
        <v>42261502</v>
      </c>
      <c r="B9550" s="35" t="s">
        <v>3398</v>
      </c>
    </row>
    <row r="9551" spans="1:2" x14ac:dyDescent="0.35">
      <c r="A9551" s="34">
        <v>42261503</v>
      </c>
      <c r="B9551" s="35" t="s">
        <v>7216</v>
      </c>
    </row>
    <row r="9552" spans="1:2" x14ac:dyDescent="0.35">
      <c r="A9552" s="34">
        <v>42261504</v>
      </c>
      <c r="B9552" s="35" t="s">
        <v>13308</v>
      </c>
    </row>
    <row r="9553" spans="1:2" x14ac:dyDescent="0.35">
      <c r="A9553" s="34">
        <v>42261505</v>
      </c>
      <c r="B9553" s="35" t="s">
        <v>7612</v>
      </c>
    </row>
    <row r="9554" spans="1:2" x14ac:dyDescent="0.35">
      <c r="A9554" s="34">
        <v>42261506</v>
      </c>
      <c r="B9554" s="35" t="s">
        <v>14323</v>
      </c>
    </row>
    <row r="9555" spans="1:2" x14ac:dyDescent="0.35">
      <c r="A9555" s="34">
        <v>42261507</v>
      </c>
      <c r="B9555" s="35" t="s">
        <v>3980</v>
      </c>
    </row>
    <row r="9556" spans="1:2" x14ac:dyDescent="0.35">
      <c r="A9556" s="34">
        <v>42261508</v>
      </c>
      <c r="B9556" s="35" t="s">
        <v>13182</v>
      </c>
    </row>
    <row r="9557" spans="1:2" x14ac:dyDescent="0.35">
      <c r="A9557" s="34">
        <v>42261509</v>
      </c>
      <c r="B9557" s="35" t="s">
        <v>85</v>
      </c>
    </row>
    <row r="9558" spans="1:2" x14ac:dyDescent="0.35">
      <c r="A9558" s="34">
        <v>42261510</v>
      </c>
      <c r="B9558" s="35" t="s">
        <v>18748</v>
      </c>
    </row>
    <row r="9559" spans="1:2" x14ac:dyDescent="0.35">
      <c r="A9559" s="34">
        <v>42261511</v>
      </c>
      <c r="B9559" s="35" t="s">
        <v>9043</v>
      </c>
    </row>
    <row r="9560" spans="1:2" x14ac:dyDescent="0.35">
      <c r="A9560" s="34">
        <v>42261512</v>
      </c>
      <c r="B9560" s="35" t="s">
        <v>11527</v>
      </c>
    </row>
    <row r="9561" spans="1:2" x14ac:dyDescent="0.35">
      <c r="A9561" s="34">
        <v>42261513</v>
      </c>
      <c r="B9561" s="35" t="s">
        <v>13043</v>
      </c>
    </row>
    <row r="9562" spans="1:2" x14ac:dyDescent="0.35">
      <c r="A9562" s="34">
        <v>42261514</v>
      </c>
      <c r="B9562" s="35" t="s">
        <v>5978</v>
      </c>
    </row>
    <row r="9563" spans="1:2" x14ac:dyDescent="0.35">
      <c r="A9563" s="34">
        <v>42261515</v>
      </c>
      <c r="B9563" s="35" t="s">
        <v>19500</v>
      </c>
    </row>
    <row r="9564" spans="1:2" x14ac:dyDescent="0.35">
      <c r="A9564" s="34">
        <v>42261516</v>
      </c>
      <c r="B9564" s="35" t="s">
        <v>6267</v>
      </c>
    </row>
    <row r="9565" spans="1:2" x14ac:dyDescent="0.35">
      <c r="A9565" s="34">
        <v>42261601</v>
      </c>
      <c r="B9565" s="35" t="s">
        <v>18801</v>
      </c>
    </row>
    <row r="9566" spans="1:2" x14ac:dyDescent="0.35">
      <c r="A9566" s="34">
        <v>42261602</v>
      </c>
      <c r="B9566" s="35" t="s">
        <v>8919</v>
      </c>
    </row>
    <row r="9567" spans="1:2" x14ac:dyDescent="0.35">
      <c r="A9567" s="34">
        <v>42261603</v>
      </c>
      <c r="B9567" s="35" t="s">
        <v>3594</v>
      </c>
    </row>
    <row r="9568" spans="1:2" x14ac:dyDescent="0.35">
      <c r="A9568" s="34">
        <v>42261604</v>
      </c>
      <c r="B9568" s="35" t="s">
        <v>1895</v>
      </c>
    </row>
    <row r="9569" spans="1:2" x14ac:dyDescent="0.35">
      <c r="A9569" s="34">
        <v>42261605</v>
      </c>
      <c r="B9569" s="35" t="s">
        <v>10692</v>
      </c>
    </row>
    <row r="9570" spans="1:2" x14ac:dyDescent="0.35">
      <c r="A9570" s="34">
        <v>42261606</v>
      </c>
      <c r="B9570" s="35" t="s">
        <v>18439</v>
      </c>
    </row>
    <row r="9571" spans="1:2" x14ac:dyDescent="0.35">
      <c r="A9571" s="34">
        <v>42261607</v>
      </c>
      <c r="B9571" s="35" t="s">
        <v>3915</v>
      </c>
    </row>
    <row r="9572" spans="1:2" x14ac:dyDescent="0.35">
      <c r="A9572" s="34">
        <v>42261608</v>
      </c>
      <c r="B9572" s="35" t="s">
        <v>909</v>
      </c>
    </row>
    <row r="9573" spans="1:2" x14ac:dyDescent="0.35">
      <c r="A9573" s="34">
        <v>42261609</v>
      </c>
      <c r="B9573" s="35" t="s">
        <v>10221</v>
      </c>
    </row>
    <row r="9574" spans="1:2" x14ac:dyDescent="0.35">
      <c r="A9574" s="34">
        <v>42261610</v>
      </c>
      <c r="B9574" s="35" t="s">
        <v>14190</v>
      </c>
    </row>
    <row r="9575" spans="1:2" x14ac:dyDescent="0.35">
      <c r="A9575" s="34">
        <v>42261611</v>
      </c>
      <c r="B9575" s="35" t="s">
        <v>718</v>
      </c>
    </row>
    <row r="9576" spans="1:2" x14ac:dyDescent="0.35">
      <c r="A9576" s="34">
        <v>42261612</v>
      </c>
      <c r="B9576" s="35" t="s">
        <v>16397</v>
      </c>
    </row>
    <row r="9577" spans="1:2" x14ac:dyDescent="0.35">
      <c r="A9577" s="34">
        <v>42261613</v>
      </c>
      <c r="B9577" s="35" t="s">
        <v>5302</v>
      </c>
    </row>
    <row r="9578" spans="1:2" x14ac:dyDescent="0.35">
      <c r="A9578" s="34">
        <v>42261701</v>
      </c>
      <c r="B9578" s="35" t="s">
        <v>19284</v>
      </c>
    </row>
    <row r="9579" spans="1:2" x14ac:dyDescent="0.35">
      <c r="A9579" s="34">
        <v>42261702</v>
      </c>
      <c r="B9579" s="35" t="s">
        <v>6454</v>
      </c>
    </row>
    <row r="9580" spans="1:2" x14ac:dyDescent="0.35">
      <c r="A9580" s="34">
        <v>42261703</v>
      </c>
      <c r="B9580" s="35" t="s">
        <v>12747</v>
      </c>
    </row>
    <row r="9581" spans="1:2" x14ac:dyDescent="0.35">
      <c r="A9581" s="34">
        <v>42261704</v>
      </c>
      <c r="B9581" s="35" t="s">
        <v>10576</v>
      </c>
    </row>
    <row r="9582" spans="1:2" x14ac:dyDescent="0.35">
      <c r="A9582" s="34">
        <v>42261705</v>
      </c>
      <c r="B9582" s="35" t="s">
        <v>1839</v>
      </c>
    </row>
    <row r="9583" spans="1:2" x14ac:dyDescent="0.35">
      <c r="A9583" s="34">
        <v>42261706</v>
      </c>
      <c r="B9583" s="35" t="s">
        <v>7827</v>
      </c>
    </row>
    <row r="9584" spans="1:2" x14ac:dyDescent="0.35">
      <c r="A9584" s="34">
        <v>42261707</v>
      </c>
      <c r="B9584" s="35" t="s">
        <v>16620</v>
      </c>
    </row>
    <row r="9585" spans="1:2" x14ac:dyDescent="0.35">
      <c r="A9585" s="34">
        <v>42261801</v>
      </c>
      <c r="B9585" s="35" t="s">
        <v>13977</v>
      </c>
    </row>
    <row r="9586" spans="1:2" x14ac:dyDescent="0.35">
      <c r="A9586" s="34">
        <v>42261802</v>
      </c>
      <c r="B9586" s="35" t="s">
        <v>18452</v>
      </c>
    </row>
    <row r="9587" spans="1:2" x14ac:dyDescent="0.35">
      <c r="A9587" s="34">
        <v>42261803</v>
      </c>
      <c r="B9587" s="35" t="s">
        <v>18006</v>
      </c>
    </row>
    <row r="9588" spans="1:2" x14ac:dyDescent="0.35">
      <c r="A9588" s="34">
        <v>42261804</v>
      </c>
      <c r="B9588" s="35" t="s">
        <v>5250</v>
      </c>
    </row>
    <row r="9589" spans="1:2" x14ac:dyDescent="0.35">
      <c r="A9589" s="34">
        <v>42261805</v>
      </c>
      <c r="B9589" s="35" t="s">
        <v>14148</v>
      </c>
    </row>
    <row r="9590" spans="1:2" x14ac:dyDescent="0.35">
      <c r="A9590" s="34">
        <v>42261806</v>
      </c>
      <c r="B9590" s="35" t="s">
        <v>11852</v>
      </c>
    </row>
    <row r="9591" spans="1:2" x14ac:dyDescent="0.35">
      <c r="A9591" s="34">
        <v>42261807</v>
      </c>
      <c r="B9591" s="35" t="s">
        <v>3155</v>
      </c>
    </row>
    <row r="9592" spans="1:2" x14ac:dyDescent="0.35">
      <c r="A9592" s="34">
        <v>42261808</v>
      </c>
      <c r="B9592" s="35" t="s">
        <v>6509</v>
      </c>
    </row>
    <row r="9593" spans="1:2" x14ac:dyDescent="0.35">
      <c r="A9593" s="34">
        <v>42261809</v>
      </c>
      <c r="B9593" s="35" t="s">
        <v>12483</v>
      </c>
    </row>
    <row r="9594" spans="1:2" x14ac:dyDescent="0.35">
      <c r="A9594" s="34">
        <v>42261810</v>
      </c>
      <c r="B9594" s="35" t="s">
        <v>12131</v>
      </c>
    </row>
    <row r="9595" spans="1:2" x14ac:dyDescent="0.35">
      <c r="A9595" s="34">
        <v>42261901</v>
      </c>
      <c r="B9595" s="35" t="s">
        <v>5769</v>
      </c>
    </row>
    <row r="9596" spans="1:2" x14ac:dyDescent="0.35">
      <c r="A9596" s="34">
        <v>42261902</v>
      </c>
      <c r="B9596" s="35" t="s">
        <v>17799</v>
      </c>
    </row>
    <row r="9597" spans="1:2" x14ac:dyDescent="0.35">
      <c r="A9597" s="34">
        <v>42261903</v>
      </c>
      <c r="B9597" s="35" t="s">
        <v>5821</v>
      </c>
    </row>
    <row r="9598" spans="1:2" x14ac:dyDescent="0.35">
      <c r="A9598" s="34">
        <v>42261904</v>
      </c>
      <c r="B9598" s="35" t="s">
        <v>13228</v>
      </c>
    </row>
    <row r="9599" spans="1:2" x14ac:dyDescent="0.35">
      <c r="A9599" s="34">
        <v>42262001</v>
      </c>
      <c r="B9599" s="35" t="s">
        <v>9131</v>
      </c>
    </row>
    <row r="9600" spans="1:2" x14ac:dyDescent="0.35">
      <c r="A9600" s="34">
        <v>42262002</v>
      </c>
      <c r="B9600" s="35" t="s">
        <v>10482</v>
      </c>
    </row>
    <row r="9601" spans="1:2" x14ac:dyDescent="0.35">
      <c r="A9601" s="34">
        <v>42262003</v>
      </c>
      <c r="B9601" s="35" t="s">
        <v>17494</v>
      </c>
    </row>
    <row r="9602" spans="1:2" x14ac:dyDescent="0.35">
      <c r="A9602" s="34">
        <v>42262004</v>
      </c>
      <c r="B9602" s="35" t="s">
        <v>16119</v>
      </c>
    </row>
    <row r="9603" spans="1:2" x14ac:dyDescent="0.35">
      <c r="A9603" s="34">
        <v>42262005</v>
      </c>
      <c r="B9603" s="35" t="s">
        <v>8178</v>
      </c>
    </row>
    <row r="9604" spans="1:2" x14ac:dyDescent="0.35">
      <c r="A9604" s="34">
        <v>42262006</v>
      </c>
      <c r="B9604" s="35" t="s">
        <v>16081</v>
      </c>
    </row>
    <row r="9605" spans="1:2" x14ac:dyDescent="0.35">
      <c r="A9605" s="34">
        <v>42262007</v>
      </c>
      <c r="B9605" s="35" t="s">
        <v>27</v>
      </c>
    </row>
    <row r="9606" spans="1:2" x14ac:dyDescent="0.35">
      <c r="A9606" s="34">
        <v>42262008</v>
      </c>
      <c r="B9606" s="35" t="s">
        <v>19199</v>
      </c>
    </row>
    <row r="9607" spans="1:2" x14ac:dyDescent="0.35">
      <c r="A9607" s="34">
        <v>42262101</v>
      </c>
      <c r="B9607" s="35" t="s">
        <v>2476</v>
      </c>
    </row>
    <row r="9608" spans="1:2" x14ac:dyDescent="0.35">
      <c r="A9608" s="34">
        <v>42262102</v>
      </c>
      <c r="B9608" s="35" t="s">
        <v>12525</v>
      </c>
    </row>
    <row r="9609" spans="1:2" x14ac:dyDescent="0.35">
      <c r="A9609" s="34">
        <v>42262103</v>
      </c>
      <c r="B9609" s="35" t="s">
        <v>1686</v>
      </c>
    </row>
    <row r="9610" spans="1:2" x14ac:dyDescent="0.35">
      <c r="A9610" s="34">
        <v>42262104</v>
      </c>
      <c r="B9610" s="35" t="s">
        <v>13026</v>
      </c>
    </row>
    <row r="9611" spans="1:2" x14ac:dyDescent="0.35">
      <c r="A9611" s="34">
        <v>42262105</v>
      </c>
      <c r="B9611" s="35" t="s">
        <v>3919</v>
      </c>
    </row>
    <row r="9612" spans="1:2" x14ac:dyDescent="0.35">
      <c r="A9612" s="34">
        <v>42271501</v>
      </c>
      <c r="B9612" s="35" t="s">
        <v>16894</v>
      </c>
    </row>
    <row r="9613" spans="1:2" x14ac:dyDescent="0.35">
      <c r="A9613" s="34">
        <v>42271502</v>
      </c>
      <c r="B9613" s="35" t="s">
        <v>18286</v>
      </c>
    </row>
    <row r="9614" spans="1:2" x14ac:dyDescent="0.35">
      <c r="A9614" s="34">
        <v>42271503</v>
      </c>
      <c r="B9614" s="35" t="s">
        <v>9237</v>
      </c>
    </row>
    <row r="9615" spans="1:2" x14ac:dyDescent="0.35">
      <c r="A9615" s="34">
        <v>42271504</v>
      </c>
      <c r="B9615" s="35" t="s">
        <v>18248</v>
      </c>
    </row>
    <row r="9616" spans="1:2" x14ac:dyDescent="0.35">
      <c r="A9616" s="34">
        <v>42271505</v>
      </c>
      <c r="B9616" s="35" t="s">
        <v>3602</v>
      </c>
    </row>
    <row r="9617" spans="1:2" x14ac:dyDescent="0.35">
      <c r="A9617" s="34">
        <v>42271506</v>
      </c>
      <c r="B9617" s="35" t="s">
        <v>10569</v>
      </c>
    </row>
    <row r="9618" spans="1:2" x14ac:dyDescent="0.35">
      <c r="A9618" s="34">
        <v>42271601</v>
      </c>
      <c r="B9618" s="35" t="s">
        <v>9570</v>
      </c>
    </row>
    <row r="9619" spans="1:2" x14ac:dyDescent="0.35">
      <c r="A9619" s="34">
        <v>42271602</v>
      </c>
      <c r="B9619" s="35" t="s">
        <v>507</v>
      </c>
    </row>
    <row r="9620" spans="1:2" x14ac:dyDescent="0.35">
      <c r="A9620" s="34">
        <v>42271603</v>
      </c>
      <c r="B9620" s="35" t="s">
        <v>570</v>
      </c>
    </row>
    <row r="9621" spans="1:2" x14ac:dyDescent="0.35">
      <c r="A9621" s="34">
        <v>42271604</v>
      </c>
      <c r="B9621" s="35" t="s">
        <v>14272</v>
      </c>
    </row>
    <row r="9622" spans="1:2" x14ac:dyDescent="0.35">
      <c r="A9622" s="34">
        <v>42271605</v>
      </c>
      <c r="B9622" s="35" t="s">
        <v>11557</v>
      </c>
    </row>
    <row r="9623" spans="1:2" x14ac:dyDescent="0.35">
      <c r="A9623" s="34">
        <v>42271606</v>
      </c>
      <c r="B9623" s="35" t="s">
        <v>3814</v>
      </c>
    </row>
    <row r="9624" spans="1:2" x14ac:dyDescent="0.35">
      <c r="A9624" s="34">
        <v>42271607</v>
      </c>
      <c r="B9624" s="35" t="s">
        <v>2072</v>
      </c>
    </row>
    <row r="9625" spans="1:2" x14ac:dyDescent="0.35">
      <c r="A9625" s="34">
        <v>42271608</v>
      </c>
      <c r="B9625" s="35" t="s">
        <v>4988</v>
      </c>
    </row>
    <row r="9626" spans="1:2" x14ac:dyDescent="0.35">
      <c r="A9626" s="34">
        <v>42271609</v>
      </c>
      <c r="B9626" s="35" t="s">
        <v>1496</v>
      </c>
    </row>
    <row r="9627" spans="1:2" x14ac:dyDescent="0.35">
      <c r="A9627" s="34">
        <v>42271610</v>
      </c>
      <c r="B9627" s="35" t="s">
        <v>15698</v>
      </c>
    </row>
    <row r="9628" spans="1:2" x14ac:dyDescent="0.35">
      <c r="A9628" s="34">
        <v>42271611</v>
      </c>
      <c r="B9628" s="35" t="s">
        <v>12283</v>
      </c>
    </row>
    <row r="9629" spans="1:2" x14ac:dyDescent="0.35">
      <c r="A9629" s="34">
        <v>42271612</v>
      </c>
      <c r="B9629" s="35" t="s">
        <v>17709</v>
      </c>
    </row>
    <row r="9630" spans="1:2" x14ac:dyDescent="0.35">
      <c r="A9630" s="34">
        <v>42271613</v>
      </c>
      <c r="B9630" s="35" t="s">
        <v>14302</v>
      </c>
    </row>
    <row r="9631" spans="1:2" x14ac:dyDescent="0.35">
      <c r="A9631" s="34">
        <v>42271614</v>
      </c>
      <c r="B9631" s="35" t="s">
        <v>867</v>
      </c>
    </row>
    <row r="9632" spans="1:2" x14ac:dyDescent="0.35">
      <c r="A9632" s="34">
        <v>42271615</v>
      </c>
      <c r="B9632" s="35" t="s">
        <v>2503</v>
      </c>
    </row>
    <row r="9633" spans="1:2" x14ac:dyDescent="0.35">
      <c r="A9633" s="34">
        <v>42271616</v>
      </c>
      <c r="B9633" s="35" t="s">
        <v>1395</v>
      </c>
    </row>
    <row r="9634" spans="1:2" x14ac:dyDescent="0.35">
      <c r="A9634" s="34">
        <v>42271617</v>
      </c>
      <c r="B9634" s="35" t="s">
        <v>11223</v>
      </c>
    </row>
    <row r="9635" spans="1:2" x14ac:dyDescent="0.35">
      <c r="A9635" s="34">
        <v>42271618</v>
      </c>
      <c r="B9635" s="35" t="s">
        <v>4474</v>
      </c>
    </row>
    <row r="9636" spans="1:2" x14ac:dyDescent="0.35">
      <c r="A9636" s="34">
        <v>42271701</v>
      </c>
      <c r="B9636" s="35" t="s">
        <v>6626</v>
      </c>
    </row>
    <row r="9637" spans="1:2" x14ac:dyDescent="0.35">
      <c r="A9637" s="34">
        <v>42271702</v>
      </c>
      <c r="B9637" s="35" t="s">
        <v>34</v>
      </c>
    </row>
    <row r="9638" spans="1:2" x14ac:dyDescent="0.35">
      <c r="A9638" s="34">
        <v>42271703</v>
      </c>
      <c r="B9638" s="35" t="s">
        <v>12098</v>
      </c>
    </row>
    <row r="9639" spans="1:2" x14ac:dyDescent="0.35">
      <c r="A9639" s="34">
        <v>42271704</v>
      </c>
      <c r="B9639" s="35" t="s">
        <v>12953</v>
      </c>
    </row>
    <row r="9640" spans="1:2" x14ac:dyDescent="0.35">
      <c r="A9640" s="34">
        <v>42271705</v>
      </c>
      <c r="B9640" s="35" t="s">
        <v>9444</v>
      </c>
    </row>
    <row r="9641" spans="1:2" x14ac:dyDescent="0.35">
      <c r="A9641" s="34">
        <v>42271706</v>
      </c>
      <c r="B9641" s="35" t="s">
        <v>11130</v>
      </c>
    </row>
    <row r="9642" spans="1:2" x14ac:dyDescent="0.35">
      <c r="A9642" s="34">
        <v>42271707</v>
      </c>
      <c r="B9642" s="35" t="s">
        <v>17547</v>
      </c>
    </row>
    <row r="9643" spans="1:2" x14ac:dyDescent="0.35">
      <c r="A9643" s="34">
        <v>42271708</v>
      </c>
      <c r="B9643" s="35" t="s">
        <v>2910</v>
      </c>
    </row>
    <row r="9644" spans="1:2" x14ac:dyDescent="0.35">
      <c r="A9644" s="34">
        <v>42271709</v>
      </c>
      <c r="B9644" s="35" t="s">
        <v>12127</v>
      </c>
    </row>
    <row r="9645" spans="1:2" x14ac:dyDescent="0.35">
      <c r="A9645" s="34">
        <v>42271710</v>
      </c>
      <c r="B9645" s="35" t="s">
        <v>12149</v>
      </c>
    </row>
    <row r="9646" spans="1:2" x14ac:dyDescent="0.35">
      <c r="A9646" s="34">
        <v>42271711</v>
      </c>
      <c r="B9646" s="35" t="s">
        <v>6346</v>
      </c>
    </row>
    <row r="9647" spans="1:2" x14ac:dyDescent="0.35">
      <c r="A9647" s="34">
        <v>42271712</v>
      </c>
      <c r="B9647" s="35" t="s">
        <v>17468</v>
      </c>
    </row>
    <row r="9648" spans="1:2" x14ac:dyDescent="0.35">
      <c r="A9648" s="34">
        <v>42271713</v>
      </c>
      <c r="B9648" s="35" t="s">
        <v>12954</v>
      </c>
    </row>
    <row r="9649" spans="1:2" x14ac:dyDescent="0.35">
      <c r="A9649" s="34">
        <v>42271714</v>
      </c>
      <c r="B9649" s="35" t="s">
        <v>1706</v>
      </c>
    </row>
    <row r="9650" spans="1:2" x14ac:dyDescent="0.35">
      <c r="A9650" s="34">
        <v>42271715</v>
      </c>
      <c r="B9650" s="35" t="s">
        <v>1941</v>
      </c>
    </row>
    <row r="9651" spans="1:2" x14ac:dyDescent="0.35">
      <c r="A9651" s="34">
        <v>42271716</v>
      </c>
      <c r="B9651" s="35" t="s">
        <v>8355</v>
      </c>
    </row>
    <row r="9652" spans="1:2" x14ac:dyDescent="0.35">
      <c r="A9652" s="34">
        <v>42271717</v>
      </c>
      <c r="B9652" s="35" t="s">
        <v>1413</v>
      </c>
    </row>
    <row r="9653" spans="1:2" x14ac:dyDescent="0.35">
      <c r="A9653" s="34">
        <v>42271718</v>
      </c>
      <c r="B9653" s="35" t="s">
        <v>8352</v>
      </c>
    </row>
    <row r="9654" spans="1:2" x14ac:dyDescent="0.35">
      <c r="A9654" s="34">
        <v>42271719</v>
      </c>
      <c r="B9654" s="35" t="s">
        <v>2902</v>
      </c>
    </row>
    <row r="9655" spans="1:2" x14ac:dyDescent="0.35">
      <c r="A9655" s="34">
        <v>42271720</v>
      </c>
      <c r="B9655" s="35" t="s">
        <v>7859</v>
      </c>
    </row>
    <row r="9656" spans="1:2" x14ac:dyDescent="0.35">
      <c r="A9656" s="34">
        <v>42271721</v>
      </c>
      <c r="B9656" s="35" t="s">
        <v>14972</v>
      </c>
    </row>
    <row r="9657" spans="1:2" x14ac:dyDescent="0.35">
      <c r="A9657" s="34">
        <v>42271801</v>
      </c>
      <c r="B9657" s="35" t="s">
        <v>16382</v>
      </c>
    </row>
    <row r="9658" spans="1:2" x14ac:dyDescent="0.35">
      <c r="A9658" s="34">
        <v>42271802</v>
      </c>
      <c r="B9658" s="35" t="s">
        <v>6939</v>
      </c>
    </row>
    <row r="9659" spans="1:2" x14ac:dyDescent="0.35">
      <c r="A9659" s="34">
        <v>42271803</v>
      </c>
      <c r="B9659" s="35" t="s">
        <v>16540</v>
      </c>
    </row>
    <row r="9660" spans="1:2" x14ac:dyDescent="0.35">
      <c r="A9660" s="34">
        <v>42271901</v>
      </c>
      <c r="B9660" s="35" t="s">
        <v>4314</v>
      </c>
    </row>
    <row r="9661" spans="1:2" x14ac:dyDescent="0.35">
      <c r="A9661" s="34">
        <v>42271902</v>
      </c>
      <c r="B9661" s="35" t="s">
        <v>7296</v>
      </c>
    </row>
    <row r="9662" spans="1:2" x14ac:dyDescent="0.35">
      <c r="A9662" s="34">
        <v>42271903</v>
      </c>
      <c r="B9662" s="35" t="s">
        <v>9515</v>
      </c>
    </row>
    <row r="9663" spans="1:2" x14ac:dyDescent="0.35">
      <c r="A9663" s="34">
        <v>42271904</v>
      </c>
      <c r="B9663" s="35" t="s">
        <v>6624</v>
      </c>
    </row>
    <row r="9664" spans="1:2" x14ac:dyDescent="0.35">
      <c r="A9664" s="34">
        <v>42271905</v>
      </c>
      <c r="B9664" s="35" t="s">
        <v>17225</v>
      </c>
    </row>
    <row r="9665" spans="1:2" x14ac:dyDescent="0.35">
      <c r="A9665" s="34">
        <v>42271906</v>
      </c>
      <c r="B9665" s="35" t="s">
        <v>17043</v>
      </c>
    </row>
    <row r="9666" spans="1:2" x14ac:dyDescent="0.35">
      <c r="A9666" s="34">
        <v>42271907</v>
      </c>
      <c r="B9666" s="35" t="s">
        <v>12906</v>
      </c>
    </row>
    <row r="9667" spans="1:2" x14ac:dyDescent="0.35">
      <c r="A9667" s="34">
        <v>42271908</v>
      </c>
      <c r="B9667" s="35" t="s">
        <v>4174</v>
      </c>
    </row>
    <row r="9668" spans="1:2" x14ac:dyDescent="0.35">
      <c r="A9668" s="34">
        <v>42271909</v>
      </c>
      <c r="B9668" s="35" t="s">
        <v>5549</v>
      </c>
    </row>
    <row r="9669" spans="1:2" x14ac:dyDescent="0.35">
      <c r="A9669" s="34">
        <v>42271910</v>
      </c>
      <c r="B9669" s="35" t="s">
        <v>2435</v>
      </c>
    </row>
    <row r="9670" spans="1:2" x14ac:dyDescent="0.35">
      <c r="A9670" s="34">
        <v>42271911</v>
      </c>
      <c r="B9670" s="35" t="s">
        <v>14864</v>
      </c>
    </row>
    <row r="9671" spans="1:2" x14ac:dyDescent="0.35">
      <c r="A9671" s="34">
        <v>42271912</v>
      </c>
      <c r="B9671" s="35" t="s">
        <v>14763</v>
      </c>
    </row>
    <row r="9672" spans="1:2" x14ac:dyDescent="0.35">
      <c r="A9672" s="34">
        <v>42271913</v>
      </c>
      <c r="B9672" s="35" t="s">
        <v>14444</v>
      </c>
    </row>
    <row r="9673" spans="1:2" x14ac:dyDescent="0.35">
      <c r="A9673" s="34">
        <v>42271914</v>
      </c>
      <c r="B9673" s="35" t="s">
        <v>16645</v>
      </c>
    </row>
    <row r="9674" spans="1:2" x14ac:dyDescent="0.35">
      <c r="A9674" s="34">
        <v>42271915</v>
      </c>
      <c r="B9674" s="35" t="s">
        <v>12585</v>
      </c>
    </row>
    <row r="9675" spans="1:2" x14ac:dyDescent="0.35">
      <c r="A9675" s="34">
        <v>42272001</v>
      </c>
      <c r="B9675" s="35" t="s">
        <v>3218</v>
      </c>
    </row>
    <row r="9676" spans="1:2" x14ac:dyDescent="0.35">
      <c r="A9676" s="34">
        <v>42272002</v>
      </c>
      <c r="B9676" s="35" t="s">
        <v>1842</v>
      </c>
    </row>
    <row r="9677" spans="1:2" x14ac:dyDescent="0.35">
      <c r="A9677" s="34">
        <v>42272003</v>
      </c>
      <c r="B9677" s="35" t="s">
        <v>16137</v>
      </c>
    </row>
    <row r="9678" spans="1:2" x14ac:dyDescent="0.35">
      <c r="A9678" s="34">
        <v>42272004</v>
      </c>
      <c r="B9678" s="35" t="s">
        <v>4332</v>
      </c>
    </row>
    <row r="9679" spans="1:2" x14ac:dyDescent="0.35">
      <c r="A9679" s="34">
        <v>42272005</v>
      </c>
      <c r="B9679" s="35" t="s">
        <v>15566</v>
      </c>
    </row>
    <row r="9680" spans="1:2" x14ac:dyDescent="0.35">
      <c r="A9680" s="34">
        <v>42272006</v>
      </c>
      <c r="B9680" s="35" t="s">
        <v>5435</v>
      </c>
    </row>
    <row r="9681" spans="1:2" x14ac:dyDescent="0.35">
      <c r="A9681" s="34">
        <v>42272007</v>
      </c>
      <c r="B9681" s="35" t="s">
        <v>748</v>
      </c>
    </row>
    <row r="9682" spans="1:2" x14ac:dyDescent="0.35">
      <c r="A9682" s="34">
        <v>42272008</v>
      </c>
      <c r="B9682" s="35" t="s">
        <v>9871</v>
      </c>
    </row>
    <row r="9683" spans="1:2" x14ac:dyDescent="0.35">
      <c r="A9683" s="34">
        <v>42272009</v>
      </c>
      <c r="B9683" s="35" t="s">
        <v>1665</v>
      </c>
    </row>
    <row r="9684" spans="1:2" x14ac:dyDescent="0.35">
      <c r="A9684" s="34">
        <v>42272010</v>
      </c>
      <c r="B9684" s="35" t="s">
        <v>9796</v>
      </c>
    </row>
    <row r="9685" spans="1:2" x14ac:dyDescent="0.35">
      <c r="A9685" s="34">
        <v>42272011</v>
      </c>
      <c r="B9685" s="35" t="s">
        <v>12218</v>
      </c>
    </row>
    <row r="9686" spans="1:2" x14ac:dyDescent="0.35">
      <c r="A9686" s="34">
        <v>42272012</v>
      </c>
      <c r="B9686" s="35" t="s">
        <v>19547</v>
      </c>
    </row>
    <row r="9687" spans="1:2" x14ac:dyDescent="0.35">
      <c r="A9687" s="34">
        <v>42272013</v>
      </c>
      <c r="B9687" s="35" t="s">
        <v>9823</v>
      </c>
    </row>
    <row r="9688" spans="1:2" x14ac:dyDescent="0.35">
      <c r="A9688" s="34">
        <v>42272014</v>
      </c>
      <c r="B9688" s="35" t="s">
        <v>293</v>
      </c>
    </row>
    <row r="9689" spans="1:2" x14ac:dyDescent="0.35">
      <c r="A9689" s="34">
        <v>42272015</v>
      </c>
      <c r="B9689" s="35" t="s">
        <v>14497</v>
      </c>
    </row>
    <row r="9690" spans="1:2" x14ac:dyDescent="0.35">
      <c r="A9690" s="34">
        <v>42272016</v>
      </c>
      <c r="B9690" s="35" t="s">
        <v>17425</v>
      </c>
    </row>
    <row r="9691" spans="1:2" x14ac:dyDescent="0.35">
      <c r="A9691" s="34">
        <v>42272017</v>
      </c>
      <c r="B9691" s="35" t="s">
        <v>15718</v>
      </c>
    </row>
    <row r="9692" spans="1:2" x14ac:dyDescent="0.35">
      <c r="A9692" s="34">
        <v>42272101</v>
      </c>
      <c r="B9692" s="35" t="s">
        <v>11317</v>
      </c>
    </row>
    <row r="9693" spans="1:2" x14ac:dyDescent="0.35">
      <c r="A9693" s="34">
        <v>42272102</v>
      </c>
      <c r="B9693" s="35" t="s">
        <v>14648</v>
      </c>
    </row>
    <row r="9694" spans="1:2" x14ac:dyDescent="0.35">
      <c r="A9694" s="34">
        <v>42272201</v>
      </c>
      <c r="B9694" s="35" t="s">
        <v>7198</v>
      </c>
    </row>
    <row r="9695" spans="1:2" x14ac:dyDescent="0.35">
      <c r="A9695" s="34">
        <v>42272202</v>
      </c>
      <c r="B9695" s="35" t="s">
        <v>8731</v>
      </c>
    </row>
    <row r="9696" spans="1:2" x14ac:dyDescent="0.35">
      <c r="A9696" s="34">
        <v>42272203</v>
      </c>
      <c r="B9696" s="35" t="s">
        <v>19493</v>
      </c>
    </row>
    <row r="9697" spans="1:2" x14ac:dyDescent="0.35">
      <c r="A9697" s="34">
        <v>42272204</v>
      </c>
      <c r="B9697" s="35" t="s">
        <v>5935</v>
      </c>
    </row>
    <row r="9698" spans="1:2" x14ac:dyDescent="0.35">
      <c r="A9698" s="34">
        <v>42272205</v>
      </c>
      <c r="B9698" s="35" t="s">
        <v>2203</v>
      </c>
    </row>
    <row r="9699" spans="1:2" x14ac:dyDescent="0.35">
      <c r="A9699" s="34">
        <v>42272206</v>
      </c>
      <c r="B9699" s="35" t="s">
        <v>2077</v>
      </c>
    </row>
    <row r="9700" spans="1:2" x14ac:dyDescent="0.35">
      <c r="A9700" s="34">
        <v>42272207</v>
      </c>
      <c r="B9700" s="35" t="s">
        <v>18249</v>
      </c>
    </row>
    <row r="9701" spans="1:2" x14ac:dyDescent="0.35">
      <c r="A9701" s="34">
        <v>42272208</v>
      </c>
      <c r="B9701" s="35" t="s">
        <v>15678</v>
      </c>
    </row>
    <row r="9702" spans="1:2" x14ac:dyDescent="0.35">
      <c r="A9702" s="34">
        <v>42272209</v>
      </c>
      <c r="B9702" s="35" t="s">
        <v>15353</v>
      </c>
    </row>
    <row r="9703" spans="1:2" x14ac:dyDescent="0.35">
      <c r="A9703" s="34">
        <v>42272210</v>
      </c>
      <c r="B9703" s="35" t="s">
        <v>4734</v>
      </c>
    </row>
    <row r="9704" spans="1:2" x14ac:dyDescent="0.35">
      <c r="A9704" s="34">
        <v>42272211</v>
      </c>
      <c r="B9704" s="35" t="s">
        <v>30</v>
      </c>
    </row>
    <row r="9705" spans="1:2" x14ac:dyDescent="0.35">
      <c r="A9705" s="34">
        <v>42272212</v>
      </c>
      <c r="B9705" s="35" t="s">
        <v>17358</v>
      </c>
    </row>
    <row r="9706" spans="1:2" x14ac:dyDescent="0.35">
      <c r="A9706" s="34">
        <v>42272213</v>
      </c>
      <c r="B9706" s="35" t="s">
        <v>17559</v>
      </c>
    </row>
    <row r="9707" spans="1:2" x14ac:dyDescent="0.35">
      <c r="A9707" s="34">
        <v>42272214</v>
      </c>
      <c r="B9707" s="35" t="s">
        <v>1777</v>
      </c>
    </row>
    <row r="9708" spans="1:2" x14ac:dyDescent="0.35">
      <c r="A9708" s="34">
        <v>42272215</v>
      </c>
      <c r="B9708" s="35" t="s">
        <v>18599</v>
      </c>
    </row>
    <row r="9709" spans="1:2" x14ac:dyDescent="0.35">
      <c r="A9709" s="34">
        <v>42272216</v>
      </c>
      <c r="B9709" s="35" t="s">
        <v>17486</v>
      </c>
    </row>
    <row r="9710" spans="1:2" x14ac:dyDescent="0.35">
      <c r="A9710" s="34">
        <v>42272217</v>
      </c>
      <c r="B9710" s="35" t="s">
        <v>3853</v>
      </c>
    </row>
    <row r="9711" spans="1:2" x14ac:dyDescent="0.35">
      <c r="A9711" s="34">
        <v>42272218</v>
      </c>
      <c r="B9711" s="35" t="s">
        <v>7463</v>
      </c>
    </row>
    <row r="9712" spans="1:2" x14ac:dyDescent="0.35">
      <c r="A9712" s="34">
        <v>42272219</v>
      </c>
      <c r="B9712" s="35" t="s">
        <v>17521</v>
      </c>
    </row>
    <row r="9713" spans="1:2" x14ac:dyDescent="0.35">
      <c r="A9713" s="34">
        <v>42272220</v>
      </c>
      <c r="B9713" s="35" t="s">
        <v>3710</v>
      </c>
    </row>
    <row r="9714" spans="1:2" x14ac:dyDescent="0.35">
      <c r="A9714" s="34">
        <v>42272221</v>
      </c>
      <c r="B9714" s="35" t="s">
        <v>15094</v>
      </c>
    </row>
    <row r="9715" spans="1:2" x14ac:dyDescent="0.35">
      <c r="A9715" s="34">
        <v>42272222</v>
      </c>
      <c r="B9715" s="35" t="s">
        <v>14083</v>
      </c>
    </row>
    <row r="9716" spans="1:2" x14ac:dyDescent="0.35">
      <c r="A9716" s="34">
        <v>42272223</v>
      </c>
      <c r="B9716" s="35" t="s">
        <v>19044</v>
      </c>
    </row>
    <row r="9717" spans="1:2" x14ac:dyDescent="0.35">
      <c r="A9717" s="34">
        <v>42272224</v>
      </c>
      <c r="B9717" s="35" t="s">
        <v>18171</v>
      </c>
    </row>
    <row r="9718" spans="1:2" x14ac:dyDescent="0.35">
      <c r="A9718" s="34">
        <v>42272225</v>
      </c>
      <c r="B9718" s="35" t="s">
        <v>3058</v>
      </c>
    </row>
    <row r="9719" spans="1:2" x14ac:dyDescent="0.35">
      <c r="A9719" s="34">
        <v>42272301</v>
      </c>
      <c r="B9719" s="35" t="s">
        <v>12110</v>
      </c>
    </row>
    <row r="9720" spans="1:2" x14ac:dyDescent="0.35">
      <c r="A9720" s="34">
        <v>42272302</v>
      </c>
      <c r="B9720" s="35" t="s">
        <v>9800</v>
      </c>
    </row>
    <row r="9721" spans="1:2" x14ac:dyDescent="0.35">
      <c r="A9721" s="34">
        <v>42272303</v>
      </c>
      <c r="B9721" s="35" t="s">
        <v>13091</v>
      </c>
    </row>
    <row r="9722" spans="1:2" x14ac:dyDescent="0.35">
      <c r="A9722" s="34">
        <v>42272304</v>
      </c>
      <c r="B9722" s="35" t="s">
        <v>3816</v>
      </c>
    </row>
    <row r="9723" spans="1:2" x14ac:dyDescent="0.35">
      <c r="A9723" s="34">
        <v>42272305</v>
      </c>
      <c r="B9723" s="35" t="s">
        <v>3296</v>
      </c>
    </row>
    <row r="9724" spans="1:2" x14ac:dyDescent="0.35">
      <c r="A9724" s="34">
        <v>42272306</v>
      </c>
      <c r="B9724" s="35" t="s">
        <v>14779</v>
      </c>
    </row>
    <row r="9725" spans="1:2" x14ac:dyDescent="0.35">
      <c r="A9725" s="34">
        <v>42272307</v>
      </c>
      <c r="B9725" s="35" t="s">
        <v>15682</v>
      </c>
    </row>
    <row r="9726" spans="1:2" x14ac:dyDescent="0.35">
      <c r="A9726" s="34">
        <v>42272401</v>
      </c>
      <c r="B9726" s="35" t="s">
        <v>15194</v>
      </c>
    </row>
    <row r="9727" spans="1:2" x14ac:dyDescent="0.35">
      <c r="A9727" s="34">
        <v>42272402</v>
      </c>
      <c r="B9727" s="35" t="s">
        <v>7836</v>
      </c>
    </row>
    <row r="9728" spans="1:2" x14ac:dyDescent="0.35">
      <c r="A9728" s="34">
        <v>42272403</v>
      </c>
      <c r="B9728" s="35" t="s">
        <v>3895</v>
      </c>
    </row>
    <row r="9729" spans="1:2" x14ac:dyDescent="0.35">
      <c r="A9729" s="34">
        <v>42272404</v>
      </c>
      <c r="B9729" s="35" t="s">
        <v>15460</v>
      </c>
    </row>
    <row r="9730" spans="1:2" x14ac:dyDescent="0.35">
      <c r="A9730" s="34">
        <v>42272501</v>
      </c>
      <c r="B9730" s="35" t="s">
        <v>9556</v>
      </c>
    </row>
    <row r="9731" spans="1:2" x14ac:dyDescent="0.35">
      <c r="A9731" s="34">
        <v>42272502</v>
      </c>
      <c r="B9731" s="35" t="s">
        <v>17098</v>
      </c>
    </row>
    <row r="9732" spans="1:2" x14ac:dyDescent="0.35">
      <c r="A9732" s="34">
        <v>42272503</v>
      </c>
      <c r="B9732" s="35" t="s">
        <v>2404</v>
      </c>
    </row>
    <row r="9733" spans="1:2" x14ac:dyDescent="0.35">
      <c r="A9733" s="34">
        <v>42272504</v>
      </c>
      <c r="B9733" s="35" t="s">
        <v>592</v>
      </c>
    </row>
    <row r="9734" spans="1:2" x14ac:dyDescent="0.35">
      <c r="A9734" s="34">
        <v>42272505</v>
      </c>
      <c r="B9734" s="35" t="s">
        <v>6212</v>
      </c>
    </row>
    <row r="9735" spans="1:2" x14ac:dyDescent="0.35">
      <c r="A9735" s="34">
        <v>42272506</v>
      </c>
      <c r="B9735" s="35" t="s">
        <v>7506</v>
      </c>
    </row>
    <row r="9736" spans="1:2" x14ac:dyDescent="0.35">
      <c r="A9736" s="34">
        <v>42272507</v>
      </c>
      <c r="B9736" s="35" t="s">
        <v>1622</v>
      </c>
    </row>
    <row r="9737" spans="1:2" x14ac:dyDescent="0.35">
      <c r="A9737" s="34">
        <v>42272508</v>
      </c>
      <c r="B9737" s="35" t="s">
        <v>14468</v>
      </c>
    </row>
    <row r="9738" spans="1:2" x14ac:dyDescent="0.35">
      <c r="A9738" s="34">
        <v>42281501</v>
      </c>
      <c r="B9738" s="35" t="s">
        <v>2681</v>
      </c>
    </row>
    <row r="9739" spans="1:2" x14ac:dyDescent="0.35">
      <c r="A9739" s="34">
        <v>42281502</v>
      </c>
      <c r="B9739" s="35" t="s">
        <v>1537</v>
      </c>
    </row>
    <row r="9740" spans="1:2" x14ac:dyDescent="0.35">
      <c r="A9740" s="34">
        <v>42281503</v>
      </c>
      <c r="B9740" s="35" t="s">
        <v>5222</v>
      </c>
    </row>
    <row r="9741" spans="1:2" x14ac:dyDescent="0.35">
      <c r="A9741" s="34">
        <v>42281504</v>
      </c>
      <c r="B9741" s="35" t="s">
        <v>9896</v>
      </c>
    </row>
    <row r="9742" spans="1:2" x14ac:dyDescent="0.35">
      <c r="A9742" s="34">
        <v>42281505</v>
      </c>
      <c r="B9742" s="35" t="s">
        <v>1864</v>
      </c>
    </row>
    <row r="9743" spans="1:2" x14ac:dyDescent="0.35">
      <c r="A9743" s="34">
        <v>42281506</v>
      </c>
      <c r="B9743" s="35" t="s">
        <v>3161</v>
      </c>
    </row>
    <row r="9744" spans="1:2" x14ac:dyDescent="0.35">
      <c r="A9744" s="34">
        <v>42281507</v>
      </c>
      <c r="B9744" s="35" t="s">
        <v>2308</v>
      </c>
    </row>
    <row r="9745" spans="1:2" x14ac:dyDescent="0.35">
      <c r="A9745" s="34">
        <v>42281508</v>
      </c>
      <c r="B9745" s="35" t="s">
        <v>473</v>
      </c>
    </row>
    <row r="9746" spans="1:2" x14ac:dyDescent="0.35">
      <c r="A9746" s="34">
        <v>42281509</v>
      </c>
      <c r="B9746" s="35" t="s">
        <v>19095</v>
      </c>
    </row>
    <row r="9747" spans="1:2" x14ac:dyDescent="0.35">
      <c r="A9747" s="34">
        <v>42281510</v>
      </c>
      <c r="B9747" s="35" t="s">
        <v>11297</v>
      </c>
    </row>
    <row r="9748" spans="1:2" x14ac:dyDescent="0.35">
      <c r="A9748" s="34">
        <v>42281511</v>
      </c>
      <c r="B9748" s="35" t="s">
        <v>9930</v>
      </c>
    </row>
    <row r="9749" spans="1:2" x14ac:dyDescent="0.35">
      <c r="A9749" s="34">
        <v>42281512</v>
      </c>
      <c r="B9749" s="35" t="s">
        <v>11744</v>
      </c>
    </row>
    <row r="9750" spans="1:2" x14ac:dyDescent="0.35">
      <c r="A9750" s="34">
        <v>42281513</v>
      </c>
      <c r="B9750" s="35" t="s">
        <v>19434</v>
      </c>
    </row>
    <row r="9751" spans="1:2" x14ac:dyDescent="0.35">
      <c r="A9751" s="34">
        <v>42281514</v>
      </c>
      <c r="B9751" s="35" t="s">
        <v>9927</v>
      </c>
    </row>
    <row r="9752" spans="1:2" x14ac:dyDescent="0.35">
      <c r="A9752" s="34">
        <v>42281515</v>
      </c>
      <c r="B9752" s="35" t="s">
        <v>17045</v>
      </c>
    </row>
    <row r="9753" spans="1:2" x14ac:dyDescent="0.35">
      <c r="A9753" s="34">
        <v>42281516</v>
      </c>
      <c r="B9753" s="35" t="s">
        <v>882</v>
      </c>
    </row>
    <row r="9754" spans="1:2" x14ac:dyDescent="0.35">
      <c r="A9754" s="34">
        <v>42281517</v>
      </c>
      <c r="B9754" s="35" t="s">
        <v>7928</v>
      </c>
    </row>
    <row r="9755" spans="1:2" x14ac:dyDescent="0.35">
      <c r="A9755" s="34">
        <v>42281518</v>
      </c>
      <c r="B9755" s="35" t="s">
        <v>17071</v>
      </c>
    </row>
    <row r="9756" spans="1:2" x14ac:dyDescent="0.35">
      <c r="A9756" s="34">
        <v>42281519</v>
      </c>
      <c r="B9756" s="35" t="s">
        <v>15906</v>
      </c>
    </row>
    <row r="9757" spans="1:2" x14ac:dyDescent="0.35">
      <c r="A9757" s="34">
        <v>42281520</v>
      </c>
      <c r="B9757" s="35" t="s">
        <v>10330</v>
      </c>
    </row>
    <row r="9758" spans="1:2" x14ac:dyDescent="0.35">
      <c r="A9758" s="34">
        <v>42281521</v>
      </c>
      <c r="B9758" s="35" t="s">
        <v>17165</v>
      </c>
    </row>
    <row r="9759" spans="1:2" x14ac:dyDescent="0.35">
      <c r="A9759" s="34">
        <v>42281522</v>
      </c>
      <c r="B9759" s="35" t="s">
        <v>3501</v>
      </c>
    </row>
    <row r="9760" spans="1:2" x14ac:dyDescent="0.35">
      <c r="A9760" s="34">
        <v>42281523</v>
      </c>
      <c r="B9760" s="35" t="s">
        <v>438</v>
      </c>
    </row>
    <row r="9761" spans="1:2" x14ac:dyDescent="0.35">
      <c r="A9761" s="34">
        <v>42281524</v>
      </c>
      <c r="B9761" s="35" t="s">
        <v>17653</v>
      </c>
    </row>
    <row r="9762" spans="1:2" x14ac:dyDescent="0.35">
      <c r="A9762" s="34">
        <v>42281601</v>
      </c>
      <c r="B9762" s="35" t="s">
        <v>19574</v>
      </c>
    </row>
    <row r="9763" spans="1:2" x14ac:dyDescent="0.35">
      <c r="A9763" s="34">
        <v>42281602</v>
      </c>
      <c r="B9763" s="35" t="s">
        <v>15161</v>
      </c>
    </row>
    <row r="9764" spans="1:2" x14ac:dyDescent="0.35">
      <c r="A9764" s="34">
        <v>42281603</v>
      </c>
      <c r="B9764" s="35" t="s">
        <v>19555</v>
      </c>
    </row>
    <row r="9765" spans="1:2" x14ac:dyDescent="0.35">
      <c r="A9765" s="34">
        <v>42281604</v>
      </c>
      <c r="B9765" s="35" t="s">
        <v>8116</v>
      </c>
    </row>
    <row r="9766" spans="1:2" x14ac:dyDescent="0.35">
      <c r="A9766" s="34">
        <v>42281605</v>
      </c>
      <c r="B9766" s="35" t="s">
        <v>63</v>
      </c>
    </row>
    <row r="9767" spans="1:2" x14ac:dyDescent="0.35">
      <c r="A9767" s="34">
        <v>42281606</v>
      </c>
      <c r="B9767" s="35" t="s">
        <v>13185</v>
      </c>
    </row>
    <row r="9768" spans="1:2" x14ac:dyDescent="0.35">
      <c r="A9768" s="34">
        <v>42281701</v>
      </c>
      <c r="B9768" s="35" t="s">
        <v>18116</v>
      </c>
    </row>
    <row r="9769" spans="1:2" x14ac:dyDescent="0.35">
      <c r="A9769" s="34">
        <v>42281702</v>
      </c>
      <c r="B9769" s="35" t="s">
        <v>13253</v>
      </c>
    </row>
    <row r="9770" spans="1:2" x14ac:dyDescent="0.35">
      <c r="A9770" s="34">
        <v>42281703</v>
      </c>
      <c r="B9770" s="35" t="s">
        <v>13049</v>
      </c>
    </row>
    <row r="9771" spans="1:2" x14ac:dyDescent="0.35">
      <c r="A9771" s="34">
        <v>42281704</v>
      </c>
      <c r="B9771" s="35" t="s">
        <v>16232</v>
      </c>
    </row>
    <row r="9772" spans="1:2" x14ac:dyDescent="0.35">
      <c r="A9772" s="34">
        <v>42281705</v>
      </c>
      <c r="B9772" s="35" t="s">
        <v>10764</v>
      </c>
    </row>
    <row r="9773" spans="1:2" x14ac:dyDescent="0.35">
      <c r="A9773" s="34">
        <v>42281706</v>
      </c>
      <c r="B9773" s="35" t="s">
        <v>8567</v>
      </c>
    </row>
    <row r="9774" spans="1:2" x14ac:dyDescent="0.35">
      <c r="A9774" s="34">
        <v>42281707</v>
      </c>
      <c r="B9774" s="35" t="s">
        <v>4363</v>
      </c>
    </row>
    <row r="9775" spans="1:2" x14ac:dyDescent="0.35">
      <c r="A9775" s="34">
        <v>42281708</v>
      </c>
      <c r="B9775" s="35" t="s">
        <v>3156</v>
      </c>
    </row>
    <row r="9776" spans="1:2" x14ac:dyDescent="0.35">
      <c r="A9776" s="34">
        <v>42281709</v>
      </c>
      <c r="B9776" s="35" t="s">
        <v>1037</v>
      </c>
    </row>
    <row r="9777" spans="1:2" x14ac:dyDescent="0.35">
      <c r="A9777" s="34">
        <v>42281710</v>
      </c>
      <c r="B9777" s="35" t="s">
        <v>5855</v>
      </c>
    </row>
    <row r="9778" spans="1:2" x14ac:dyDescent="0.35">
      <c r="A9778" s="34">
        <v>42281711</v>
      </c>
      <c r="B9778" s="35" t="s">
        <v>10031</v>
      </c>
    </row>
    <row r="9779" spans="1:2" x14ac:dyDescent="0.35">
      <c r="A9779" s="34">
        <v>42281712</v>
      </c>
      <c r="B9779" s="35" t="s">
        <v>9714</v>
      </c>
    </row>
    <row r="9780" spans="1:2" x14ac:dyDescent="0.35">
      <c r="A9780" s="34">
        <v>42281713</v>
      </c>
      <c r="B9780" s="35" t="s">
        <v>2746</v>
      </c>
    </row>
    <row r="9781" spans="1:2" x14ac:dyDescent="0.35">
      <c r="A9781" s="34">
        <v>42281801</v>
      </c>
      <c r="B9781" s="35" t="s">
        <v>11480</v>
      </c>
    </row>
    <row r="9782" spans="1:2" x14ac:dyDescent="0.35">
      <c r="A9782" s="34">
        <v>42281802</v>
      </c>
      <c r="B9782" s="35" t="s">
        <v>2163</v>
      </c>
    </row>
    <row r="9783" spans="1:2" x14ac:dyDescent="0.35">
      <c r="A9783" s="34">
        <v>42281803</v>
      </c>
      <c r="B9783" s="35" t="s">
        <v>9199</v>
      </c>
    </row>
    <row r="9784" spans="1:2" x14ac:dyDescent="0.35">
      <c r="A9784" s="34">
        <v>42281804</v>
      </c>
      <c r="B9784" s="35" t="s">
        <v>7338</v>
      </c>
    </row>
    <row r="9785" spans="1:2" x14ac:dyDescent="0.35">
      <c r="A9785" s="34">
        <v>42281805</v>
      </c>
      <c r="B9785" s="35" t="s">
        <v>17691</v>
      </c>
    </row>
    <row r="9786" spans="1:2" x14ac:dyDescent="0.35">
      <c r="A9786" s="34">
        <v>42281806</v>
      </c>
      <c r="B9786" s="35" t="s">
        <v>1284</v>
      </c>
    </row>
    <row r="9787" spans="1:2" x14ac:dyDescent="0.35">
      <c r="A9787" s="34">
        <v>42281807</v>
      </c>
      <c r="B9787" s="35" t="s">
        <v>10725</v>
      </c>
    </row>
    <row r="9788" spans="1:2" x14ac:dyDescent="0.35">
      <c r="A9788" s="34">
        <v>42281808</v>
      </c>
      <c r="B9788" s="35" t="s">
        <v>2481</v>
      </c>
    </row>
    <row r="9789" spans="1:2" x14ac:dyDescent="0.35">
      <c r="A9789" s="34">
        <v>42281809</v>
      </c>
      <c r="B9789" s="35" t="s">
        <v>821</v>
      </c>
    </row>
    <row r="9790" spans="1:2" x14ac:dyDescent="0.35">
      <c r="A9790" s="34">
        <v>42281810</v>
      </c>
      <c r="B9790" s="35" t="s">
        <v>4533</v>
      </c>
    </row>
    <row r="9791" spans="1:2" x14ac:dyDescent="0.35">
      <c r="A9791" s="34">
        <v>42281901</v>
      </c>
      <c r="B9791" s="35" t="s">
        <v>19548</v>
      </c>
    </row>
    <row r="9792" spans="1:2" x14ac:dyDescent="0.35">
      <c r="A9792" s="34">
        <v>42281902</v>
      </c>
      <c r="B9792" s="35" t="s">
        <v>2511</v>
      </c>
    </row>
    <row r="9793" spans="1:2" x14ac:dyDescent="0.35">
      <c r="A9793" s="34">
        <v>42281903</v>
      </c>
      <c r="B9793" s="35" t="s">
        <v>4155</v>
      </c>
    </row>
    <row r="9794" spans="1:2" x14ac:dyDescent="0.35">
      <c r="A9794" s="34">
        <v>42281904</v>
      </c>
      <c r="B9794" s="35" t="s">
        <v>5340</v>
      </c>
    </row>
    <row r="9795" spans="1:2" x14ac:dyDescent="0.35">
      <c r="A9795" s="34">
        <v>42281905</v>
      </c>
      <c r="B9795" s="35" t="s">
        <v>10388</v>
      </c>
    </row>
    <row r="9796" spans="1:2" x14ac:dyDescent="0.35">
      <c r="A9796" s="34">
        <v>42281906</v>
      </c>
      <c r="B9796" s="35" t="s">
        <v>4889</v>
      </c>
    </row>
    <row r="9797" spans="1:2" x14ac:dyDescent="0.35">
      <c r="A9797" s="34">
        <v>42281907</v>
      </c>
      <c r="B9797" s="35" t="s">
        <v>9925</v>
      </c>
    </row>
    <row r="9798" spans="1:2" x14ac:dyDescent="0.35">
      <c r="A9798" s="34">
        <v>42281908</v>
      </c>
      <c r="B9798" s="35" t="s">
        <v>3319</v>
      </c>
    </row>
    <row r="9799" spans="1:2" x14ac:dyDescent="0.35">
      <c r="A9799" s="34">
        <v>42281909</v>
      </c>
      <c r="B9799" s="35" t="s">
        <v>819</v>
      </c>
    </row>
    <row r="9800" spans="1:2" x14ac:dyDescent="0.35">
      <c r="A9800" s="34">
        <v>42281912</v>
      </c>
      <c r="B9800" s="35" t="s">
        <v>12795</v>
      </c>
    </row>
    <row r="9801" spans="1:2" x14ac:dyDescent="0.35">
      <c r="A9801" s="34">
        <v>42281913</v>
      </c>
      <c r="B9801" s="35" t="s">
        <v>1643</v>
      </c>
    </row>
    <row r="9802" spans="1:2" x14ac:dyDescent="0.35">
      <c r="A9802" s="34">
        <v>42281914</v>
      </c>
      <c r="B9802" s="35" t="s">
        <v>12335</v>
      </c>
    </row>
    <row r="9803" spans="1:2" x14ac:dyDescent="0.35">
      <c r="A9803" s="34">
        <v>42281915</v>
      </c>
      <c r="B9803" s="35" t="s">
        <v>16879</v>
      </c>
    </row>
    <row r="9804" spans="1:2" x14ac:dyDescent="0.35">
      <c r="A9804" s="34">
        <v>42281916</v>
      </c>
      <c r="B9804" s="35" t="s">
        <v>13074</v>
      </c>
    </row>
    <row r="9805" spans="1:2" x14ac:dyDescent="0.35">
      <c r="A9805" s="34">
        <v>42291501</v>
      </c>
      <c r="B9805" s="35" t="s">
        <v>13384</v>
      </c>
    </row>
    <row r="9806" spans="1:2" x14ac:dyDescent="0.35">
      <c r="A9806" s="34">
        <v>42291502</v>
      </c>
      <c r="B9806" s="35" t="s">
        <v>14480</v>
      </c>
    </row>
    <row r="9807" spans="1:2" x14ac:dyDescent="0.35">
      <c r="A9807" s="34">
        <v>42291601</v>
      </c>
      <c r="B9807" s="35" t="s">
        <v>13028</v>
      </c>
    </row>
    <row r="9808" spans="1:2" x14ac:dyDescent="0.35">
      <c r="A9808" s="34">
        <v>42291602</v>
      </c>
      <c r="B9808" s="35" t="s">
        <v>2007</v>
      </c>
    </row>
    <row r="9809" spans="1:2" x14ac:dyDescent="0.35">
      <c r="A9809" s="34">
        <v>42291603</v>
      </c>
      <c r="B9809" s="35" t="s">
        <v>6257</v>
      </c>
    </row>
    <row r="9810" spans="1:2" x14ac:dyDescent="0.35">
      <c r="A9810" s="34">
        <v>42291604</v>
      </c>
      <c r="B9810" s="35" t="s">
        <v>16077</v>
      </c>
    </row>
    <row r="9811" spans="1:2" x14ac:dyDescent="0.35">
      <c r="A9811" s="34">
        <v>42291605</v>
      </c>
      <c r="B9811" s="35" t="s">
        <v>6300</v>
      </c>
    </row>
    <row r="9812" spans="1:2" x14ac:dyDescent="0.35">
      <c r="A9812" s="34">
        <v>42291606</v>
      </c>
      <c r="B9812" s="35" t="s">
        <v>6587</v>
      </c>
    </row>
    <row r="9813" spans="1:2" x14ac:dyDescent="0.35">
      <c r="A9813" s="34">
        <v>42291607</v>
      </c>
      <c r="B9813" s="35" t="s">
        <v>18500</v>
      </c>
    </row>
    <row r="9814" spans="1:2" x14ac:dyDescent="0.35">
      <c r="A9814" s="34">
        <v>42291608</v>
      </c>
      <c r="B9814" s="35" t="s">
        <v>16279</v>
      </c>
    </row>
    <row r="9815" spans="1:2" x14ac:dyDescent="0.35">
      <c r="A9815" s="34">
        <v>42291609</v>
      </c>
      <c r="B9815" s="35" t="s">
        <v>6174</v>
      </c>
    </row>
    <row r="9816" spans="1:2" x14ac:dyDescent="0.35">
      <c r="A9816" s="34">
        <v>42291610</v>
      </c>
      <c r="B9816" s="35" t="s">
        <v>4278</v>
      </c>
    </row>
    <row r="9817" spans="1:2" x14ac:dyDescent="0.35">
      <c r="A9817" s="34">
        <v>42291611</v>
      </c>
      <c r="B9817" s="35" t="s">
        <v>13005</v>
      </c>
    </row>
    <row r="9818" spans="1:2" x14ac:dyDescent="0.35">
      <c r="A9818" s="34">
        <v>42291612</v>
      </c>
      <c r="B9818" s="35" t="s">
        <v>12430</v>
      </c>
    </row>
    <row r="9819" spans="1:2" x14ac:dyDescent="0.35">
      <c r="A9819" s="34">
        <v>42291613</v>
      </c>
      <c r="B9819" s="35" t="s">
        <v>8440</v>
      </c>
    </row>
    <row r="9820" spans="1:2" x14ac:dyDescent="0.35">
      <c r="A9820" s="34">
        <v>42291614</v>
      </c>
      <c r="B9820" s="35" t="s">
        <v>19613</v>
      </c>
    </row>
    <row r="9821" spans="1:2" x14ac:dyDescent="0.35">
      <c r="A9821" s="34">
        <v>42291615</v>
      </c>
      <c r="B9821" s="35" t="s">
        <v>19613</v>
      </c>
    </row>
    <row r="9822" spans="1:2" x14ac:dyDescent="0.35">
      <c r="A9822" s="34">
        <v>42291616</v>
      </c>
      <c r="B9822" s="35" t="s">
        <v>16448</v>
      </c>
    </row>
    <row r="9823" spans="1:2" x14ac:dyDescent="0.35">
      <c r="A9823" s="34">
        <v>42291617</v>
      </c>
      <c r="B9823" s="35" t="s">
        <v>8072</v>
      </c>
    </row>
    <row r="9824" spans="1:2" x14ac:dyDescent="0.35">
      <c r="A9824" s="34">
        <v>42291619</v>
      </c>
      <c r="B9824" s="35" t="s">
        <v>4409</v>
      </c>
    </row>
    <row r="9825" spans="1:2" x14ac:dyDescent="0.35">
      <c r="A9825" s="34">
        <v>42291620</v>
      </c>
      <c r="B9825" s="35" t="s">
        <v>15273</v>
      </c>
    </row>
    <row r="9826" spans="1:2" x14ac:dyDescent="0.35">
      <c r="A9826" s="34">
        <v>42291621</v>
      </c>
      <c r="B9826" s="35" t="s">
        <v>14535</v>
      </c>
    </row>
    <row r="9827" spans="1:2" x14ac:dyDescent="0.35">
      <c r="A9827" s="34">
        <v>42291622</v>
      </c>
      <c r="B9827" s="35" t="s">
        <v>18552</v>
      </c>
    </row>
    <row r="9828" spans="1:2" x14ac:dyDescent="0.35">
      <c r="A9828" s="34">
        <v>42291623</v>
      </c>
      <c r="B9828" s="35" t="s">
        <v>11060</v>
      </c>
    </row>
    <row r="9829" spans="1:2" x14ac:dyDescent="0.35">
      <c r="A9829" s="34">
        <v>42291624</v>
      </c>
      <c r="B9829" s="35" t="s">
        <v>698</v>
      </c>
    </row>
    <row r="9830" spans="1:2" x14ac:dyDescent="0.35">
      <c r="A9830" s="34">
        <v>42291625</v>
      </c>
      <c r="B9830" s="35" t="s">
        <v>6329</v>
      </c>
    </row>
    <row r="9831" spans="1:2" x14ac:dyDescent="0.35">
      <c r="A9831" s="34">
        <v>42291701</v>
      </c>
      <c r="B9831" s="35" t="s">
        <v>19630</v>
      </c>
    </row>
    <row r="9832" spans="1:2" x14ac:dyDescent="0.35">
      <c r="A9832" s="34">
        <v>42291702</v>
      </c>
      <c r="B9832" s="35" t="s">
        <v>2864</v>
      </c>
    </row>
    <row r="9833" spans="1:2" x14ac:dyDescent="0.35">
      <c r="A9833" s="34">
        <v>42291703</v>
      </c>
      <c r="B9833" s="35" t="s">
        <v>7025</v>
      </c>
    </row>
    <row r="9834" spans="1:2" x14ac:dyDescent="0.35">
      <c r="A9834" s="34">
        <v>42291704</v>
      </c>
      <c r="B9834" s="35" t="s">
        <v>9713</v>
      </c>
    </row>
    <row r="9835" spans="1:2" x14ac:dyDescent="0.35">
      <c r="A9835" s="34">
        <v>42291705</v>
      </c>
      <c r="B9835" s="35" t="s">
        <v>6339</v>
      </c>
    </row>
    <row r="9836" spans="1:2" x14ac:dyDescent="0.35">
      <c r="A9836" s="34">
        <v>42291706</v>
      </c>
      <c r="B9836" s="35" t="s">
        <v>9793</v>
      </c>
    </row>
    <row r="9837" spans="1:2" x14ac:dyDescent="0.35">
      <c r="A9837" s="34">
        <v>42291707</v>
      </c>
      <c r="B9837" s="35" t="s">
        <v>11424</v>
      </c>
    </row>
    <row r="9838" spans="1:2" x14ac:dyDescent="0.35">
      <c r="A9838" s="34">
        <v>42291708</v>
      </c>
      <c r="B9838" s="35" t="s">
        <v>16514</v>
      </c>
    </row>
    <row r="9839" spans="1:2" x14ac:dyDescent="0.35">
      <c r="A9839" s="34">
        <v>42291709</v>
      </c>
      <c r="B9839" s="35" t="s">
        <v>14391</v>
      </c>
    </row>
    <row r="9840" spans="1:2" x14ac:dyDescent="0.35">
      <c r="A9840" s="34">
        <v>42291801</v>
      </c>
      <c r="B9840" s="35" t="s">
        <v>10796</v>
      </c>
    </row>
    <row r="9841" spans="1:2" x14ac:dyDescent="0.35">
      <c r="A9841" s="34">
        <v>42291802</v>
      </c>
      <c r="B9841" s="35" t="s">
        <v>12118</v>
      </c>
    </row>
    <row r="9842" spans="1:2" x14ac:dyDescent="0.35">
      <c r="A9842" s="34">
        <v>42291803</v>
      </c>
      <c r="B9842" s="35" t="s">
        <v>15107</v>
      </c>
    </row>
    <row r="9843" spans="1:2" x14ac:dyDescent="0.35">
      <c r="A9843" s="34">
        <v>42291901</v>
      </c>
      <c r="B9843" s="35" t="s">
        <v>1264</v>
      </c>
    </row>
    <row r="9844" spans="1:2" x14ac:dyDescent="0.35">
      <c r="A9844" s="34">
        <v>42291902</v>
      </c>
      <c r="B9844" s="35" t="s">
        <v>6219</v>
      </c>
    </row>
    <row r="9845" spans="1:2" x14ac:dyDescent="0.35">
      <c r="A9845" s="34">
        <v>42292001</v>
      </c>
      <c r="B9845" s="35" t="s">
        <v>17032</v>
      </c>
    </row>
    <row r="9846" spans="1:2" x14ac:dyDescent="0.35">
      <c r="A9846" s="34">
        <v>42292101</v>
      </c>
      <c r="B9846" s="35" t="s">
        <v>2327</v>
      </c>
    </row>
    <row r="9847" spans="1:2" x14ac:dyDescent="0.35">
      <c r="A9847" s="34">
        <v>42292102</v>
      </c>
      <c r="B9847" s="35" t="s">
        <v>17078</v>
      </c>
    </row>
    <row r="9848" spans="1:2" x14ac:dyDescent="0.35">
      <c r="A9848" s="34">
        <v>42292103</v>
      </c>
      <c r="B9848" s="35" t="s">
        <v>12531</v>
      </c>
    </row>
    <row r="9849" spans="1:2" x14ac:dyDescent="0.35">
      <c r="A9849" s="34">
        <v>42292201</v>
      </c>
      <c r="B9849" s="35" t="s">
        <v>2728</v>
      </c>
    </row>
    <row r="9850" spans="1:2" x14ac:dyDescent="0.35">
      <c r="A9850" s="34">
        <v>42292202</v>
      </c>
      <c r="B9850" s="35" t="s">
        <v>7329</v>
      </c>
    </row>
    <row r="9851" spans="1:2" x14ac:dyDescent="0.35">
      <c r="A9851" s="34">
        <v>42292203</v>
      </c>
      <c r="B9851" s="35" t="s">
        <v>2275</v>
      </c>
    </row>
    <row r="9852" spans="1:2" x14ac:dyDescent="0.35">
      <c r="A9852" s="34">
        <v>42292301</v>
      </c>
      <c r="B9852" s="35" t="s">
        <v>18763</v>
      </c>
    </row>
    <row r="9853" spans="1:2" x14ac:dyDescent="0.35">
      <c r="A9853" s="34">
        <v>42292302</v>
      </c>
      <c r="B9853" s="35" t="s">
        <v>15174</v>
      </c>
    </row>
    <row r="9854" spans="1:2" x14ac:dyDescent="0.35">
      <c r="A9854" s="34">
        <v>42292303</v>
      </c>
      <c r="B9854" s="35" t="s">
        <v>17147</v>
      </c>
    </row>
    <row r="9855" spans="1:2" x14ac:dyDescent="0.35">
      <c r="A9855" s="34">
        <v>42292304</v>
      </c>
      <c r="B9855" s="35" t="s">
        <v>6668</v>
      </c>
    </row>
    <row r="9856" spans="1:2" x14ac:dyDescent="0.35">
      <c r="A9856" s="34">
        <v>42292305</v>
      </c>
      <c r="B9856" s="35" t="s">
        <v>281</v>
      </c>
    </row>
    <row r="9857" spans="1:2" x14ac:dyDescent="0.35">
      <c r="A9857" s="34">
        <v>42292306</v>
      </c>
      <c r="B9857" s="35" t="s">
        <v>3052</v>
      </c>
    </row>
    <row r="9858" spans="1:2" x14ac:dyDescent="0.35">
      <c r="A9858" s="34">
        <v>42292307</v>
      </c>
      <c r="B9858" s="35" t="s">
        <v>11484</v>
      </c>
    </row>
    <row r="9859" spans="1:2" x14ac:dyDescent="0.35">
      <c r="A9859" s="34">
        <v>42292401</v>
      </c>
      <c r="B9859" s="35" t="s">
        <v>15083</v>
      </c>
    </row>
    <row r="9860" spans="1:2" x14ac:dyDescent="0.35">
      <c r="A9860" s="34">
        <v>42292402</v>
      </c>
      <c r="B9860" s="35" t="s">
        <v>3517</v>
      </c>
    </row>
    <row r="9861" spans="1:2" x14ac:dyDescent="0.35">
      <c r="A9861" s="34">
        <v>42292403</v>
      </c>
      <c r="B9861" s="35" t="s">
        <v>653</v>
      </c>
    </row>
    <row r="9862" spans="1:2" x14ac:dyDescent="0.35">
      <c r="A9862" s="34">
        <v>42292501</v>
      </c>
      <c r="B9862" s="35" t="s">
        <v>13668</v>
      </c>
    </row>
    <row r="9863" spans="1:2" x14ac:dyDescent="0.35">
      <c r="A9863" s="34">
        <v>42292502</v>
      </c>
      <c r="B9863" s="35" t="s">
        <v>12590</v>
      </c>
    </row>
    <row r="9864" spans="1:2" x14ac:dyDescent="0.35">
      <c r="A9864" s="34">
        <v>42292503</v>
      </c>
      <c r="B9864" s="35" t="s">
        <v>9033</v>
      </c>
    </row>
    <row r="9865" spans="1:2" x14ac:dyDescent="0.35">
      <c r="A9865" s="34">
        <v>42292504</v>
      </c>
      <c r="B9865" s="35" t="s">
        <v>11412</v>
      </c>
    </row>
    <row r="9866" spans="1:2" x14ac:dyDescent="0.35">
      <c r="A9866" s="34">
        <v>42292505</v>
      </c>
      <c r="B9866" s="35" t="s">
        <v>11954</v>
      </c>
    </row>
    <row r="9867" spans="1:2" x14ac:dyDescent="0.35">
      <c r="A9867" s="34">
        <v>42292601</v>
      </c>
      <c r="B9867" s="35" t="s">
        <v>7118</v>
      </c>
    </row>
    <row r="9868" spans="1:2" x14ac:dyDescent="0.35">
      <c r="A9868" s="34">
        <v>42292602</v>
      </c>
      <c r="B9868" s="35" t="s">
        <v>18426</v>
      </c>
    </row>
    <row r="9869" spans="1:2" x14ac:dyDescent="0.35">
      <c r="A9869" s="34">
        <v>42292603</v>
      </c>
      <c r="B9869" s="35" t="s">
        <v>15828</v>
      </c>
    </row>
    <row r="9870" spans="1:2" x14ac:dyDescent="0.35">
      <c r="A9870" s="34">
        <v>42292701</v>
      </c>
      <c r="B9870" s="35" t="s">
        <v>11369</v>
      </c>
    </row>
    <row r="9871" spans="1:2" x14ac:dyDescent="0.35">
      <c r="A9871" s="34">
        <v>42292702</v>
      </c>
      <c r="B9871" s="35" t="s">
        <v>19596</v>
      </c>
    </row>
    <row r="9872" spans="1:2" x14ac:dyDescent="0.35">
      <c r="A9872" s="34">
        <v>42292703</v>
      </c>
      <c r="B9872" s="35" t="s">
        <v>12021</v>
      </c>
    </row>
    <row r="9873" spans="1:2" x14ac:dyDescent="0.35">
      <c r="A9873" s="34">
        <v>42292704</v>
      </c>
      <c r="B9873" s="35" t="s">
        <v>13473</v>
      </c>
    </row>
    <row r="9874" spans="1:2" x14ac:dyDescent="0.35">
      <c r="A9874" s="34">
        <v>42292801</v>
      </c>
      <c r="B9874" s="35" t="s">
        <v>18536</v>
      </c>
    </row>
    <row r="9875" spans="1:2" x14ac:dyDescent="0.35">
      <c r="A9875" s="34">
        <v>42292802</v>
      </c>
      <c r="B9875" s="35" t="s">
        <v>801</v>
      </c>
    </row>
    <row r="9876" spans="1:2" x14ac:dyDescent="0.35">
      <c r="A9876" s="34">
        <v>42292901</v>
      </c>
      <c r="B9876" s="35" t="s">
        <v>7585</v>
      </c>
    </row>
    <row r="9877" spans="1:2" x14ac:dyDescent="0.35">
      <c r="A9877" s="34">
        <v>42292902</v>
      </c>
      <c r="B9877" s="35" t="s">
        <v>12958</v>
      </c>
    </row>
    <row r="9878" spans="1:2" x14ac:dyDescent="0.35">
      <c r="A9878" s="34">
        <v>42292903</v>
      </c>
      <c r="B9878" s="35" t="s">
        <v>11073</v>
      </c>
    </row>
    <row r="9879" spans="1:2" x14ac:dyDescent="0.35">
      <c r="A9879" s="34">
        <v>42292904</v>
      </c>
      <c r="B9879" s="35" t="s">
        <v>19515</v>
      </c>
    </row>
    <row r="9880" spans="1:2" x14ac:dyDescent="0.35">
      <c r="A9880" s="34">
        <v>42292907</v>
      </c>
      <c r="B9880" s="35" t="s">
        <v>10052</v>
      </c>
    </row>
    <row r="9881" spans="1:2" x14ac:dyDescent="0.35">
      <c r="A9881" s="34">
        <v>42292908</v>
      </c>
      <c r="B9881" s="35" t="s">
        <v>3961</v>
      </c>
    </row>
    <row r="9882" spans="1:2" x14ac:dyDescent="0.35">
      <c r="A9882" s="34">
        <v>42293001</v>
      </c>
      <c r="B9882" s="35" t="s">
        <v>13181</v>
      </c>
    </row>
    <row r="9883" spans="1:2" x14ac:dyDescent="0.35">
      <c r="A9883" s="34">
        <v>42293002</v>
      </c>
      <c r="B9883" s="35" t="s">
        <v>11772</v>
      </c>
    </row>
    <row r="9884" spans="1:2" x14ac:dyDescent="0.35">
      <c r="A9884" s="34">
        <v>42293003</v>
      </c>
      <c r="B9884" s="35" t="s">
        <v>2299</v>
      </c>
    </row>
    <row r="9885" spans="1:2" x14ac:dyDescent="0.35">
      <c r="A9885" s="34">
        <v>42293004</v>
      </c>
      <c r="B9885" s="35" t="s">
        <v>3632</v>
      </c>
    </row>
    <row r="9886" spans="1:2" x14ac:dyDescent="0.35">
      <c r="A9886" s="34">
        <v>42293005</v>
      </c>
      <c r="B9886" s="35" t="s">
        <v>6603</v>
      </c>
    </row>
    <row r="9887" spans="1:2" x14ac:dyDescent="0.35">
      <c r="A9887" s="34">
        <v>42293006</v>
      </c>
      <c r="B9887" s="35" t="s">
        <v>5910</v>
      </c>
    </row>
    <row r="9888" spans="1:2" x14ac:dyDescent="0.35">
      <c r="A9888" s="34">
        <v>42293101</v>
      </c>
      <c r="B9888" s="35" t="s">
        <v>11414</v>
      </c>
    </row>
    <row r="9889" spans="1:2" x14ac:dyDescent="0.35">
      <c r="A9889" s="34">
        <v>42293102</v>
      </c>
      <c r="B9889" s="35" t="s">
        <v>5202</v>
      </c>
    </row>
    <row r="9890" spans="1:2" x14ac:dyDescent="0.35">
      <c r="A9890" s="34">
        <v>42293103</v>
      </c>
      <c r="B9890" s="35" t="s">
        <v>4588</v>
      </c>
    </row>
    <row r="9891" spans="1:2" x14ac:dyDescent="0.35">
      <c r="A9891" s="34">
        <v>42293104</v>
      </c>
      <c r="B9891" s="35" t="s">
        <v>18655</v>
      </c>
    </row>
    <row r="9892" spans="1:2" x14ac:dyDescent="0.35">
      <c r="A9892" s="34">
        <v>42293105</v>
      </c>
      <c r="B9892" s="35" t="s">
        <v>12543</v>
      </c>
    </row>
    <row r="9893" spans="1:2" x14ac:dyDescent="0.35">
      <c r="A9893" s="34">
        <v>42293106</v>
      </c>
      <c r="B9893" s="35" t="s">
        <v>19327</v>
      </c>
    </row>
    <row r="9894" spans="1:2" x14ac:dyDescent="0.35">
      <c r="A9894" s="34">
        <v>42293107</v>
      </c>
      <c r="B9894" s="35" t="s">
        <v>6526</v>
      </c>
    </row>
    <row r="9895" spans="1:2" x14ac:dyDescent="0.35">
      <c r="A9895" s="34">
        <v>42293108</v>
      </c>
      <c r="B9895" s="35" t="s">
        <v>7280</v>
      </c>
    </row>
    <row r="9896" spans="1:2" x14ac:dyDescent="0.35">
      <c r="A9896" s="34">
        <v>42293109</v>
      </c>
      <c r="B9896" s="35" t="s">
        <v>5838</v>
      </c>
    </row>
    <row r="9897" spans="1:2" x14ac:dyDescent="0.35">
      <c r="A9897" s="34">
        <v>42293110</v>
      </c>
      <c r="B9897" s="35" t="s">
        <v>10138</v>
      </c>
    </row>
    <row r="9898" spans="1:2" x14ac:dyDescent="0.35">
      <c r="A9898" s="34">
        <v>42293111</v>
      </c>
      <c r="B9898" s="35" t="s">
        <v>2211</v>
      </c>
    </row>
    <row r="9899" spans="1:2" x14ac:dyDescent="0.35">
      <c r="A9899" s="34">
        <v>42293112</v>
      </c>
      <c r="B9899" s="35" t="s">
        <v>4811</v>
      </c>
    </row>
    <row r="9900" spans="1:2" x14ac:dyDescent="0.35">
      <c r="A9900" s="34">
        <v>42293113</v>
      </c>
      <c r="B9900" s="35" t="s">
        <v>6742</v>
      </c>
    </row>
    <row r="9901" spans="1:2" x14ac:dyDescent="0.35">
      <c r="A9901" s="34">
        <v>42293114</v>
      </c>
      <c r="B9901" s="35" t="s">
        <v>12204</v>
      </c>
    </row>
    <row r="9902" spans="1:2" x14ac:dyDescent="0.35">
      <c r="A9902" s="34">
        <v>42293115</v>
      </c>
      <c r="B9902" s="35" t="s">
        <v>3785</v>
      </c>
    </row>
    <row r="9903" spans="1:2" x14ac:dyDescent="0.35">
      <c r="A9903" s="34">
        <v>42293116</v>
      </c>
      <c r="B9903" s="35" t="s">
        <v>12104</v>
      </c>
    </row>
    <row r="9904" spans="1:2" x14ac:dyDescent="0.35">
      <c r="A9904" s="34">
        <v>42293117</v>
      </c>
      <c r="B9904" s="35" t="s">
        <v>13373</v>
      </c>
    </row>
    <row r="9905" spans="1:2" x14ac:dyDescent="0.35">
      <c r="A9905" s="34">
        <v>42293118</v>
      </c>
      <c r="B9905" s="35" t="s">
        <v>18575</v>
      </c>
    </row>
    <row r="9906" spans="1:2" x14ac:dyDescent="0.35">
      <c r="A9906" s="34">
        <v>42293119</v>
      </c>
      <c r="B9906" s="35" t="s">
        <v>5101</v>
      </c>
    </row>
    <row r="9907" spans="1:2" x14ac:dyDescent="0.35">
      <c r="A9907" s="34">
        <v>42293120</v>
      </c>
      <c r="B9907" s="35" t="s">
        <v>12678</v>
      </c>
    </row>
    <row r="9908" spans="1:2" x14ac:dyDescent="0.35">
      <c r="A9908" s="34">
        <v>42293121</v>
      </c>
      <c r="B9908" s="35" t="s">
        <v>2291</v>
      </c>
    </row>
    <row r="9909" spans="1:2" x14ac:dyDescent="0.35">
      <c r="A9909" s="34">
        <v>42293122</v>
      </c>
      <c r="B9909" s="35" t="s">
        <v>9193</v>
      </c>
    </row>
    <row r="9910" spans="1:2" x14ac:dyDescent="0.35">
      <c r="A9910" s="34">
        <v>42293123</v>
      </c>
      <c r="B9910" s="35" t="s">
        <v>14149</v>
      </c>
    </row>
    <row r="9911" spans="1:2" x14ac:dyDescent="0.35">
      <c r="A9911" s="34">
        <v>42293124</v>
      </c>
      <c r="B9911" s="35" t="s">
        <v>16123</v>
      </c>
    </row>
    <row r="9912" spans="1:2" x14ac:dyDescent="0.35">
      <c r="A9912" s="34">
        <v>42293125</v>
      </c>
      <c r="B9912" s="35" t="s">
        <v>9963</v>
      </c>
    </row>
    <row r="9913" spans="1:2" x14ac:dyDescent="0.35">
      <c r="A9913" s="34">
        <v>42293126</v>
      </c>
      <c r="B9913" s="35" t="s">
        <v>4130</v>
      </c>
    </row>
    <row r="9914" spans="1:2" x14ac:dyDescent="0.35">
      <c r="A9914" s="34">
        <v>42293127</v>
      </c>
      <c r="B9914" s="35" t="s">
        <v>9964</v>
      </c>
    </row>
    <row r="9915" spans="1:2" x14ac:dyDescent="0.35">
      <c r="A9915" s="34">
        <v>42293128</v>
      </c>
      <c r="B9915" s="35" t="s">
        <v>11003</v>
      </c>
    </row>
    <row r="9916" spans="1:2" x14ac:dyDescent="0.35">
      <c r="A9916" s="34">
        <v>42293129</v>
      </c>
      <c r="B9916" s="35" t="s">
        <v>16973</v>
      </c>
    </row>
    <row r="9917" spans="1:2" x14ac:dyDescent="0.35">
      <c r="A9917" s="34">
        <v>42293130</v>
      </c>
      <c r="B9917" s="35" t="s">
        <v>7154</v>
      </c>
    </row>
    <row r="9918" spans="1:2" x14ac:dyDescent="0.35">
      <c r="A9918" s="34">
        <v>42293131</v>
      </c>
      <c r="B9918" s="35" t="s">
        <v>11267</v>
      </c>
    </row>
    <row r="9919" spans="1:2" x14ac:dyDescent="0.35">
      <c r="A9919" s="34">
        <v>42293132</v>
      </c>
      <c r="B9919" s="35" t="s">
        <v>6142</v>
      </c>
    </row>
    <row r="9920" spans="1:2" x14ac:dyDescent="0.35">
      <c r="A9920" s="34">
        <v>42293133</v>
      </c>
      <c r="B9920" s="35" t="s">
        <v>4953</v>
      </c>
    </row>
    <row r="9921" spans="1:2" x14ac:dyDescent="0.35">
      <c r="A9921" s="34">
        <v>42293134</v>
      </c>
      <c r="B9921" s="35" t="s">
        <v>7607</v>
      </c>
    </row>
    <row r="9922" spans="1:2" x14ac:dyDescent="0.35">
      <c r="A9922" s="34">
        <v>42293135</v>
      </c>
      <c r="B9922" s="35" t="s">
        <v>15755</v>
      </c>
    </row>
    <row r="9923" spans="1:2" x14ac:dyDescent="0.35">
      <c r="A9923" s="34">
        <v>42293136</v>
      </c>
      <c r="B9923" s="35" t="s">
        <v>7281</v>
      </c>
    </row>
    <row r="9924" spans="1:2" x14ac:dyDescent="0.35">
      <c r="A9924" s="34">
        <v>42293137</v>
      </c>
      <c r="B9924" s="35" t="s">
        <v>11697</v>
      </c>
    </row>
    <row r="9925" spans="1:2" x14ac:dyDescent="0.35">
      <c r="A9925" s="34">
        <v>42293138</v>
      </c>
      <c r="B9925" s="35" t="s">
        <v>15428</v>
      </c>
    </row>
    <row r="9926" spans="1:2" x14ac:dyDescent="0.35">
      <c r="A9926" s="34">
        <v>42293139</v>
      </c>
      <c r="B9926" s="35" t="s">
        <v>5132</v>
      </c>
    </row>
    <row r="9927" spans="1:2" x14ac:dyDescent="0.35">
      <c r="A9927" s="34">
        <v>42293201</v>
      </c>
      <c r="B9927" s="35" t="s">
        <v>19261</v>
      </c>
    </row>
    <row r="9928" spans="1:2" x14ac:dyDescent="0.35">
      <c r="A9928" s="34">
        <v>42293301</v>
      </c>
      <c r="B9928" s="35" t="s">
        <v>19227</v>
      </c>
    </row>
    <row r="9929" spans="1:2" x14ac:dyDescent="0.35">
      <c r="A9929" s="34">
        <v>42293302</v>
      </c>
      <c r="B9929" s="35" t="s">
        <v>2280</v>
      </c>
    </row>
    <row r="9930" spans="1:2" x14ac:dyDescent="0.35">
      <c r="A9930" s="34">
        <v>42293303</v>
      </c>
      <c r="B9930" s="35" t="s">
        <v>11669</v>
      </c>
    </row>
    <row r="9931" spans="1:2" x14ac:dyDescent="0.35">
      <c r="A9931" s="34">
        <v>42293304</v>
      </c>
      <c r="B9931" s="35" t="s">
        <v>12380</v>
      </c>
    </row>
    <row r="9932" spans="1:2" x14ac:dyDescent="0.35">
      <c r="A9932" s="34">
        <v>42293401</v>
      </c>
      <c r="B9932" s="35" t="s">
        <v>8826</v>
      </c>
    </row>
    <row r="9933" spans="1:2" x14ac:dyDescent="0.35">
      <c r="A9933" s="34">
        <v>42293403</v>
      </c>
      <c r="B9933" s="35" t="s">
        <v>16920</v>
      </c>
    </row>
    <row r="9934" spans="1:2" x14ac:dyDescent="0.35">
      <c r="A9934" s="34">
        <v>42293404</v>
      </c>
      <c r="B9934" s="35" t="s">
        <v>11475</v>
      </c>
    </row>
    <row r="9935" spans="1:2" x14ac:dyDescent="0.35">
      <c r="A9935" s="34">
        <v>42293405</v>
      </c>
      <c r="B9935" s="35" t="s">
        <v>10455</v>
      </c>
    </row>
    <row r="9936" spans="1:2" x14ac:dyDescent="0.35">
      <c r="A9936" s="34">
        <v>42293406</v>
      </c>
      <c r="B9936" s="35" t="s">
        <v>9555</v>
      </c>
    </row>
    <row r="9937" spans="1:2" x14ac:dyDescent="0.35">
      <c r="A9937" s="34">
        <v>42293407</v>
      </c>
      <c r="B9937" s="35" t="s">
        <v>12917</v>
      </c>
    </row>
    <row r="9938" spans="1:2" x14ac:dyDescent="0.35">
      <c r="A9938" s="34">
        <v>42293501</v>
      </c>
      <c r="B9938" s="35" t="s">
        <v>4245</v>
      </c>
    </row>
    <row r="9939" spans="1:2" x14ac:dyDescent="0.35">
      <c r="A9939" s="34">
        <v>42293502</v>
      </c>
      <c r="B9939" s="35" t="s">
        <v>9074</v>
      </c>
    </row>
    <row r="9940" spans="1:2" x14ac:dyDescent="0.35">
      <c r="A9940" s="34">
        <v>42293503</v>
      </c>
      <c r="B9940" s="35" t="s">
        <v>13396</v>
      </c>
    </row>
    <row r="9941" spans="1:2" x14ac:dyDescent="0.35">
      <c r="A9941" s="34">
        <v>42293504</v>
      </c>
      <c r="B9941" s="35" t="s">
        <v>14764</v>
      </c>
    </row>
    <row r="9942" spans="1:2" x14ac:dyDescent="0.35">
      <c r="A9942" s="34">
        <v>42293505</v>
      </c>
      <c r="B9942" s="35" t="s">
        <v>17941</v>
      </c>
    </row>
    <row r="9943" spans="1:2" x14ac:dyDescent="0.35">
      <c r="A9943" s="34">
        <v>42293506</v>
      </c>
      <c r="B9943" s="35" t="s">
        <v>8382</v>
      </c>
    </row>
    <row r="9944" spans="1:2" x14ac:dyDescent="0.35">
      <c r="A9944" s="34">
        <v>42293507</v>
      </c>
      <c r="B9944" s="35" t="s">
        <v>248</v>
      </c>
    </row>
    <row r="9945" spans="1:2" x14ac:dyDescent="0.35">
      <c r="A9945" s="34">
        <v>42293508</v>
      </c>
      <c r="B9945" s="35" t="s">
        <v>6246</v>
      </c>
    </row>
    <row r="9946" spans="1:2" x14ac:dyDescent="0.35">
      <c r="A9946" s="34">
        <v>42293509</v>
      </c>
      <c r="B9946" s="35" t="s">
        <v>9455</v>
      </c>
    </row>
    <row r="9947" spans="1:2" x14ac:dyDescent="0.35">
      <c r="A9947" s="34">
        <v>42293601</v>
      </c>
      <c r="B9947" s="35" t="s">
        <v>8980</v>
      </c>
    </row>
    <row r="9948" spans="1:2" x14ac:dyDescent="0.35">
      <c r="A9948" s="34">
        <v>42293602</v>
      </c>
      <c r="B9948" s="35" t="s">
        <v>17745</v>
      </c>
    </row>
    <row r="9949" spans="1:2" x14ac:dyDescent="0.35">
      <c r="A9949" s="34">
        <v>42293603</v>
      </c>
      <c r="B9949" s="35" t="s">
        <v>6130</v>
      </c>
    </row>
    <row r="9950" spans="1:2" x14ac:dyDescent="0.35">
      <c r="A9950" s="34">
        <v>42293701</v>
      </c>
      <c r="B9950" s="35" t="s">
        <v>229</v>
      </c>
    </row>
    <row r="9951" spans="1:2" x14ac:dyDescent="0.35">
      <c r="A9951" s="34">
        <v>42293702</v>
      </c>
      <c r="B9951" s="35" t="s">
        <v>2543</v>
      </c>
    </row>
    <row r="9952" spans="1:2" x14ac:dyDescent="0.35">
      <c r="A9952" s="34">
        <v>42293703</v>
      </c>
      <c r="B9952" s="35" t="s">
        <v>2355</v>
      </c>
    </row>
    <row r="9953" spans="1:2" x14ac:dyDescent="0.35">
      <c r="A9953" s="34">
        <v>42293801</v>
      </c>
      <c r="B9953" s="35" t="s">
        <v>19126</v>
      </c>
    </row>
    <row r="9954" spans="1:2" x14ac:dyDescent="0.35">
      <c r="A9954" s="34">
        <v>42293802</v>
      </c>
      <c r="B9954" s="35" t="s">
        <v>4111</v>
      </c>
    </row>
    <row r="9955" spans="1:2" x14ac:dyDescent="0.35">
      <c r="A9955" s="34">
        <v>42293803</v>
      </c>
      <c r="B9955" s="35" t="s">
        <v>14825</v>
      </c>
    </row>
    <row r="9956" spans="1:2" x14ac:dyDescent="0.35">
      <c r="A9956" s="34">
        <v>42293804</v>
      </c>
      <c r="B9956" s="35" t="s">
        <v>899</v>
      </c>
    </row>
    <row r="9957" spans="1:2" x14ac:dyDescent="0.35">
      <c r="A9957" s="34">
        <v>42293901</v>
      </c>
      <c r="B9957" s="35" t="s">
        <v>16603</v>
      </c>
    </row>
    <row r="9958" spans="1:2" x14ac:dyDescent="0.35">
      <c r="A9958" s="34">
        <v>42293902</v>
      </c>
      <c r="B9958" s="35" t="s">
        <v>426</v>
      </c>
    </row>
    <row r="9959" spans="1:2" x14ac:dyDescent="0.35">
      <c r="A9959" s="34">
        <v>42294001</v>
      </c>
      <c r="B9959" s="35" t="s">
        <v>16433</v>
      </c>
    </row>
    <row r="9960" spans="1:2" x14ac:dyDescent="0.35">
      <c r="A9960" s="34">
        <v>42294002</v>
      </c>
      <c r="B9960" s="35" t="s">
        <v>10071</v>
      </c>
    </row>
    <row r="9961" spans="1:2" x14ac:dyDescent="0.35">
      <c r="A9961" s="34">
        <v>42294003</v>
      </c>
      <c r="B9961" s="35" t="s">
        <v>11086</v>
      </c>
    </row>
    <row r="9962" spans="1:2" x14ac:dyDescent="0.35">
      <c r="A9962" s="34">
        <v>42294101</v>
      </c>
      <c r="B9962" s="35" t="s">
        <v>6570</v>
      </c>
    </row>
    <row r="9963" spans="1:2" x14ac:dyDescent="0.35">
      <c r="A9963" s="34">
        <v>42294102</v>
      </c>
      <c r="B9963" s="35" t="s">
        <v>12397</v>
      </c>
    </row>
    <row r="9964" spans="1:2" x14ac:dyDescent="0.35">
      <c r="A9964" s="34">
        <v>42294103</v>
      </c>
      <c r="B9964" s="35" t="s">
        <v>2144</v>
      </c>
    </row>
    <row r="9965" spans="1:2" x14ac:dyDescent="0.35">
      <c r="A9965" s="34">
        <v>42294201</v>
      </c>
      <c r="B9965" s="35" t="s">
        <v>7711</v>
      </c>
    </row>
    <row r="9966" spans="1:2" x14ac:dyDescent="0.35">
      <c r="A9966" s="34">
        <v>42294202</v>
      </c>
      <c r="B9966" s="35" t="s">
        <v>8200</v>
      </c>
    </row>
    <row r="9967" spans="1:2" x14ac:dyDescent="0.35">
      <c r="A9967" s="34">
        <v>42294203</v>
      </c>
      <c r="B9967" s="35" t="s">
        <v>4229</v>
      </c>
    </row>
    <row r="9968" spans="1:2" x14ac:dyDescent="0.35">
      <c r="A9968" s="34">
        <v>42294204</v>
      </c>
      <c r="B9968" s="35" t="s">
        <v>5071</v>
      </c>
    </row>
    <row r="9969" spans="1:2" x14ac:dyDescent="0.35">
      <c r="A9969" s="34">
        <v>42294205</v>
      </c>
      <c r="B9969" s="35" t="s">
        <v>18729</v>
      </c>
    </row>
    <row r="9970" spans="1:2" x14ac:dyDescent="0.35">
      <c r="A9970" s="34">
        <v>42294206</v>
      </c>
      <c r="B9970" s="35" t="s">
        <v>12320</v>
      </c>
    </row>
    <row r="9971" spans="1:2" x14ac:dyDescent="0.35">
      <c r="A9971" s="34">
        <v>42294207</v>
      </c>
      <c r="B9971" s="35" t="s">
        <v>17008</v>
      </c>
    </row>
    <row r="9972" spans="1:2" x14ac:dyDescent="0.35">
      <c r="A9972" s="34">
        <v>42294208</v>
      </c>
      <c r="B9972" s="35" t="s">
        <v>17421</v>
      </c>
    </row>
    <row r="9973" spans="1:2" x14ac:dyDescent="0.35">
      <c r="A9973" s="34">
        <v>42294209</v>
      </c>
      <c r="B9973" s="35" t="s">
        <v>10836</v>
      </c>
    </row>
    <row r="9974" spans="1:2" x14ac:dyDescent="0.35">
      <c r="A9974" s="34">
        <v>42294210</v>
      </c>
      <c r="B9974" s="35" t="s">
        <v>18200</v>
      </c>
    </row>
    <row r="9975" spans="1:2" x14ac:dyDescent="0.35">
      <c r="A9975" s="34">
        <v>42294211</v>
      </c>
      <c r="B9975" s="35" t="s">
        <v>3507</v>
      </c>
    </row>
    <row r="9976" spans="1:2" x14ac:dyDescent="0.35">
      <c r="A9976" s="34">
        <v>42294212</v>
      </c>
      <c r="B9976" s="35" t="s">
        <v>14181</v>
      </c>
    </row>
    <row r="9977" spans="1:2" x14ac:dyDescent="0.35">
      <c r="A9977" s="34">
        <v>42294213</v>
      </c>
      <c r="B9977" s="35" t="s">
        <v>14050</v>
      </c>
    </row>
    <row r="9978" spans="1:2" x14ac:dyDescent="0.35">
      <c r="A9978" s="34">
        <v>42294214</v>
      </c>
      <c r="B9978" s="35" t="s">
        <v>2869</v>
      </c>
    </row>
    <row r="9979" spans="1:2" x14ac:dyDescent="0.35">
      <c r="A9979" s="34">
        <v>42294215</v>
      </c>
      <c r="B9979" s="35" t="s">
        <v>19155</v>
      </c>
    </row>
    <row r="9980" spans="1:2" x14ac:dyDescent="0.35">
      <c r="A9980" s="34">
        <v>42294216</v>
      </c>
      <c r="B9980" s="35" t="s">
        <v>3025</v>
      </c>
    </row>
    <row r="9981" spans="1:2" x14ac:dyDescent="0.35">
      <c r="A9981" s="34">
        <v>42294217</v>
      </c>
      <c r="B9981" s="35" t="s">
        <v>15532</v>
      </c>
    </row>
    <row r="9982" spans="1:2" x14ac:dyDescent="0.35">
      <c r="A9982" s="34">
        <v>42294218</v>
      </c>
      <c r="B9982" s="35" t="s">
        <v>18844</v>
      </c>
    </row>
    <row r="9983" spans="1:2" x14ac:dyDescent="0.35">
      <c r="A9983" s="34">
        <v>42294219</v>
      </c>
      <c r="B9983" s="35" t="s">
        <v>8741</v>
      </c>
    </row>
    <row r="9984" spans="1:2" x14ac:dyDescent="0.35">
      <c r="A9984" s="34">
        <v>42294220</v>
      </c>
      <c r="B9984" s="35" t="s">
        <v>6055</v>
      </c>
    </row>
    <row r="9985" spans="1:2" x14ac:dyDescent="0.35">
      <c r="A9985" s="34">
        <v>42294301</v>
      </c>
      <c r="B9985" s="35" t="s">
        <v>12232</v>
      </c>
    </row>
    <row r="9986" spans="1:2" x14ac:dyDescent="0.35">
      <c r="A9986" s="34">
        <v>42294302</v>
      </c>
      <c r="B9986" s="35" t="s">
        <v>15946</v>
      </c>
    </row>
    <row r="9987" spans="1:2" x14ac:dyDescent="0.35">
      <c r="A9987" s="34">
        <v>42294303</v>
      </c>
      <c r="B9987" s="35" t="s">
        <v>197</v>
      </c>
    </row>
    <row r="9988" spans="1:2" x14ac:dyDescent="0.35">
      <c r="A9988" s="34">
        <v>42294304</v>
      </c>
      <c r="B9988" s="35" t="s">
        <v>522</v>
      </c>
    </row>
    <row r="9989" spans="1:2" x14ac:dyDescent="0.35">
      <c r="A9989" s="34">
        <v>42294305</v>
      </c>
      <c r="B9989" s="35" t="s">
        <v>3147</v>
      </c>
    </row>
    <row r="9990" spans="1:2" x14ac:dyDescent="0.35">
      <c r="A9990" s="34">
        <v>42294306</v>
      </c>
      <c r="B9990" s="35" t="s">
        <v>18622</v>
      </c>
    </row>
    <row r="9991" spans="1:2" x14ac:dyDescent="0.35">
      <c r="A9991" s="34">
        <v>42294401</v>
      </c>
      <c r="B9991" s="35" t="s">
        <v>7631</v>
      </c>
    </row>
    <row r="9992" spans="1:2" x14ac:dyDescent="0.35">
      <c r="A9992" s="34">
        <v>42294402</v>
      </c>
      <c r="B9992" s="35" t="s">
        <v>13776</v>
      </c>
    </row>
    <row r="9993" spans="1:2" x14ac:dyDescent="0.35">
      <c r="A9993" s="34">
        <v>42294501</v>
      </c>
      <c r="B9993" s="35" t="s">
        <v>6405</v>
      </c>
    </row>
    <row r="9994" spans="1:2" x14ac:dyDescent="0.35">
      <c r="A9994" s="34">
        <v>42294502</v>
      </c>
      <c r="B9994" s="35" t="s">
        <v>6077</v>
      </c>
    </row>
    <row r="9995" spans="1:2" x14ac:dyDescent="0.35">
      <c r="A9995" s="34">
        <v>42294503</v>
      </c>
      <c r="B9995" s="35" t="s">
        <v>8659</v>
      </c>
    </row>
    <row r="9996" spans="1:2" x14ac:dyDescent="0.35">
      <c r="A9996" s="34">
        <v>42294504</v>
      </c>
      <c r="B9996" s="35" t="s">
        <v>6843</v>
      </c>
    </row>
    <row r="9997" spans="1:2" x14ac:dyDescent="0.35">
      <c r="A9997" s="34">
        <v>42294505</v>
      </c>
      <c r="B9997" s="35" t="s">
        <v>13407</v>
      </c>
    </row>
    <row r="9998" spans="1:2" x14ac:dyDescent="0.35">
      <c r="A9998" s="34">
        <v>42294506</v>
      </c>
      <c r="B9998" s="35" t="s">
        <v>471</v>
      </c>
    </row>
    <row r="9999" spans="1:2" x14ac:dyDescent="0.35">
      <c r="A9999" s="34">
        <v>42294507</v>
      </c>
      <c r="B9999" s="35" t="s">
        <v>18811</v>
      </c>
    </row>
    <row r="10000" spans="1:2" x14ac:dyDescent="0.35">
      <c r="A10000" s="34">
        <v>42294508</v>
      </c>
      <c r="B10000" s="35" t="s">
        <v>13816</v>
      </c>
    </row>
    <row r="10001" spans="1:2" x14ac:dyDescent="0.35">
      <c r="A10001" s="34">
        <v>42294509</v>
      </c>
      <c r="B10001" s="35" t="s">
        <v>5129</v>
      </c>
    </row>
    <row r="10002" spans="1:2" x14ac:dyDescent="0.35">
      <c r="A10002" s="34">
        <v>42294510</v>
      </c>
      <c r="B10002" s="35" t="s">
        <v>8834</v>
      </c>
    </row>
    <row r="10003" spans="1:2" x14ac:dyDescent="0.35">
      <c r="A10003" s="34">
        <v>42294511</v>
      </c>
      <c r="B10003" s="35" t="s">
        <v>16243</v>
      </c>
    </row>
    <row r="10004" spans="1:2" x14ac:dyDescent="0.35">
      <c r="A10004" s="34">
        <v>42294512</v>
      </c>
      <c r="B10004" s="35" t="s">
        <v>4536</v>
      </c>
    </row>
    <row r="10005" spans="1:2" x14ac:dyDescent="0.35">
      <c r="A10005" s="34">
        <v>42294513</v>
      </c>
      <c r="B10005" s="35" t="s">
        <v>12737</v>
      </c>
    </row>
    <row r="10006" spans="1:2" x14ac:dyDescent="0.35">
      <c r="A10006" s="34">
        <v>42294514</v>
      </c>
      <c r="B10006" s="35" t="s">
        <v>12293</v>
      </c>
    </row>
    <row r="10007" spans="1:2" x14ac:dyDescent="0.35">
      <c r="A10007" s="34">
        <v>42294515</v>
      </c>
      <c r="B10007" s="35" t="s">
        <v>12075</v>
      </c>
    </row>
    <row r="10008" spans="1:2" x14ac:dyDescent="0.35">
      <c r="A10008" s="34">
        <v>42294516</v>
      </c>
      <c r="B10008" s="35" t="s">
        <v>6408</v>
      </c>
    </row>
    <row r="10009" spans="1:2" x14ac:dyDescent="0.35">
      <c r="A10009" s="34">
        <v>42294517</v>
      </c>
      <c r="B10009" s="35" t="s">
        <v>8529</v>
      </c>
    </row>
    <row r="10010" spans="1:2" x14ac:dyDescent="0.35">
      <c r="A10010" s="34">
        <v>42294518</v>
      </c>
      <c r="B10010" s="35" t="s">
        <v>8087</v>
      </c>
    </row>
    <row r="10011" spans="1:2" x14ac:dyDescent="0.35">
      <c r="A10011" s="34">
        <v>42294519</v>
      </c>
      <c r="B10011" s="35" t="s">
        <v>2803</v>
      </c>
    </row>
    <row r="10012" spans="1:2" x14ac:dyDescent="0.35">
      <c r="A10012" s="34">
        <v>42294520</v>
      </c>
      <c r="B10012" s="35" t="s">
        <v>10241</v>
      </c>
    </row>
    <row r="10013" spans="1:2" x14ac:dyDescent="0.35">
      <c r="A10013" s="34">
        <v>42294521</v>
      </c>
      <c r="B10013" s="35" t="s">
        <v>8686</v>
      </c>
    </row>
    <row r="10014" spans="1:2" x14ac:dyDescent="0.35">
      <c r="A10014" s="34">
        <v>42294522</v>
      </c>
      <c r="B10014" s="35" t="s">
        <v>16968</v>
      </c>
    </row>
    <row r="10015" spans="1:2" x14ac:dyDescent="0.35">
      <c r="A10015" s="34">
        <v>42294523</v>
      </c>
      <c r="B10015" s="35" t="s">
        <v>10347</v>
      </c>
    </row>
    <row r="10016" spans="1:2" x14ac:dyDescent="0.35">
      <c r="A10016" s="34">
        <v>42294524</v>
      </c>
      <c r="B10016" s="35" t="s">
        <v>10687</v>
      </c>
    </row>
    <row r="10017" spans="1:2" x14ac:dyDescent="0.35">
      <c r="A10017" s="34">
        <v>42294525</v>
      </c>
      <c r="B10017" s="35" t="s">
        <v>5810</v>
      </c>
    </row>
    <row r="10018" spans="1:2" x14ac:dyDescent="0.35">
      <c r="A10018" s="34">
        <v>42294526</v>
      </c>
      <c r="B10018" s="35" t="s">
        <v>7181</v>
      </c>
    </row>
    <row r="10019" spans="1:2" x14ac:dyDescent="0.35">
      <c r="A10019" s="34">
        <v>42294601</v>
      </c>
      <c r="B10019" s="35" t="s">
        <v>8930</v>
      </c>
    </row>
    <row r="10020" spans="1:2" x14ac:dyDescent="0.35">
      <c r="A10020" s="34">
        <v>42294602</v>
      </c>
      <c r="B10020" s="35" t="s">
        <v>10430</v>
      </c>
    </row>
    <row r="10021" spans="1:2" x14ac:dyDescent="0.35">
      <c r="A10021" s="34">
        <v>42294603</v>
      </c>
      <c r="B10021" s="35" t="s">
        <v>9985</v>
      </c>
    </row>
    <row r="10022" spans="1:2" x14ac:dyDescent="0.35">
      <c r="A10022" s="34">
        <v>42294604</v>
      </c>
      <c r="B10022" s="35" t="s">
        <v>6943</v>
      </c>
    </row>
    <row r="10023" spans="1:2" x14ac:dyDescent="0.35">
      <c r="A10023" s="34">
        <v>42294605</v>
      </c>
      <c r="B10023" s="35" t="s">
        <v>9211</v>
      </c>
    </row>
    <row r="10024" spans="1:2" x14ac:dyDescent="0.35">
      <c r="A10024" s="34">
        <v>42294606</v>
      </c>
      <c r="B10024" s="35" t="s">
        <v>1488</v>
      </c>
    </row>
    <row r="10025" spans="1:2" x14ac:dyDescent="0.35">
      <c r="A10025" s="34">
        <v>42294607</v>
      </c>
      <c r="B10025" s="35" t="s">
        <v>9285</v>
      </c>
    </row>
    <row r="10026" spans="1:2" x14ac:dyDescent="0.35">
      <c r="A10026" s="34">
        <v>42294701</v>
      </c>
      <c r="B10026" s="35" t="s">
        <v>17115</v>
      </c>
    </row>
    <row r="10027" spans="1:2" x14ac:dyDescent="0.35">
      <c r="A10027" s="34">
        <v>42294702</v>
      </c>
      <c r="B10027" s="35" t="s">
        <v>12080</v>
      </c>
    </row>
    <row r="10028" spans="1:2" x14ac:dyDescent="0.35">
      <c r="A10028" s="34">
        <v>42294703</v>
      </c>
      <c r="B10028" s="35" t="s">
        <v>11472</v>
      </c>
    </row>
    <row r="10029" spans="1:2" x14ac:dyDescent="0.35">
      <c r="A10029" s="34">
        <v>42294704</v>
      </c>
      <c r="B10029" s="35" t="s">
        <v>2483</v>
      </c>
    </row>
    <row r="10030" spans="1:2" x14ac:dyDescent="0.35">
      <c r="A10030" s="34">
        <v>42294705</v>
      </c>
      <c r="B10030" s="35" t="s">
        <v>13975</v>
      </c>
    </row>
    <row r="10031" spans="1:2" x14ac:dyDescent="0.35">
      <c r="A10031" s="34">
        <v>42294706</v>
      </c>
      <c r="B10031" s="35" t="s">
        <v>4676</v>
      </c>
    </row>
    <row r="10032" spans="1:2" x14ac:dyDescent="0.35">
      <c r="A10032" s="34">
        <v>42294707</v>
      </c>
      <c r="B10032" s="35" t="s">
        <v>14502</v>
      </c>
    </row>
    <row r="10033" spans="1:2" x14ac:dyDescent="0.35">
      <c r="A10033" s="34">
        <v>42294708</v>
      </c>
      <c r="B10033" s="35" t="s">
        <v>15988</v>
      </c>
    </row>
    <row r="10034" spans="1:2" x14ac:dyDescent="0.35">
      <c r="A10034" s="34">
        <v>42294709</v>
      </c>
      <c r="B10034" s="35" t="s">
        <v>19328</v>
      </c>
    </row>
    <row r="10035" spans="1:2" x14ac:dyDescent="0.35">
      <c r="A10035" s="34">
        <v>42294710</v>
      </c>
      <c r="B10035" s="35" t="s">
        <v>7157</v>
      </c>
    </row>
    <row r="10036" spans="1:2" x14ac:dyDescent="0.35">
      <c r="A10036" s="34">
        <v>42294711</v>
      </c>
      <c r="B10036" s="35" t="s">
        <v>17067</v>
      </c>
    </row>
    <row r="10037" spans="1:2" x14ac:dyDescent="0.35">
      <c r="A10037" s="34">
        <v>42294712</v>
      </c>
      <c r="B10037" s="35" t="s">
        <v>5159</v>
      </c>
    </row>
    <row r="10038" spans="1:2" x14ac:dyDescent="0.35">
      <c r="A10038" s="34">
        <v>42294713</v>
      </c>
      <c r="B10038" s="35" t="s">
        <v>7345</v>
      </c>
    </row>
    <row r="10039" spans="1:2" x14ac:dyDescent="0.35">
      <c r="A10039" s="34">
        <v>42294714</v>
      </c>
      <c r="B10039" s="35" t="s">
        <v>11197</v>
      </c>
    </row>
    <row r="10040" spans="1:2" x14ac:dyDescent="0.35">
      <c r="A10040" s="34">
        <v>42294715</v>
      </c>
      <c r="B10040" s="35" t="s">
        <v>16576</v>
      </c>
    </row>
    <row r="10041" spans="1:2" x14ac:dyDescent="0.35">
      <c r="A10041" s="34">
        <v>42294716</v>
      </c>
      <c r="B10041" s="35" t="s">
        <v>14976</v>
      </c>
    </row>
    <row r="10042" spans="1:2" x14ac:dyDescent="0.35">
      <c r="A10042" s="34">
        <v>42294717</v>
      </c>
      <c r="B10042" s="35" t="s">
        <v>5693</v>
      </c>
    </row>
    <row r="10043" spans="1:2" x14ac:dyDescent="0.35">
      <c r="A10043" s="34">
        <v>42294718</v>
      </c>
      <c r="B10043" s="35" t="s">
        <v>3527</v>
      </c>
    </row>
    <row r="10044" spans="1:2" x14ac:dyDescent="0.35">
      <c r="A10044" s="34">
        <v>42294719</v>
      </c>
      <c r="B10044" s="35" t="s">
        <v>1325</v>
      </c>
    </row>
    <row r="10045" spans="1:2" x14ac:dyDescent="0.35">
      <c r="A10045" s="34">
        <v>42294720</v>
      </c>
      <c r="B10045" s="35" t="s">
        <v>11339</v>
      </c>
    </row>
    <row r="10046" spans="1:2" x14ac:dyDescent="0.35">
      <c r="A10046" s="34">
        <v>42294721</v>
      </c>
      <c r="B10046" s="35" t="s">
        <v>10000</v>
      </c>
    </row>
    <row r="10047" spans="1:2" x14ac:dyDescent="0.35">
      <c r="A10047" s="34">
        <v>42294722</v>
      </c>
      <c r="B10047" s="35" t="s">
        <v>2255</v>
      </c>
    </row>
    <row r="10048" spans="1:2" x14ac:dyDescent="0.35">
      <c r="A10048" s="34">
        <v>42294801</v>
      </c>
      <c r="B10048" s="35" t="s">
        <v>3235</v>
      </c>
    </row>
    <row r="10049" spans="1:2" x14ac:dyDescent="0.35">
      <c r="A10049" s="34">
        <v>42294802</v>
      </c>
      <c r="B10049" s="35" t="s">
        <v>8124</v>
      </c>
    </row>
    <row r="10050" spans="1:2" x14ac:dyDescent="0.35">
      <c r="A10050" s="34">
        <v>42294803</v>
      </c>
      <c r="B10050" s="35" t="s">
        <v>18395</v>
      </c>
    </row>
    <row r="10051" spans="1:2" x14ac:dyDescent="0.35">
      <c r="A10051" s="34">
        <v>42294804</v>
      </c>
      <c r="B10051" s="35" t="s">
        <v>15923</v>
      </c>
    </row>
    <row r="10052" spans="1:2" x14ac:dyDescent="0.35">
      <c r="A10052" s="34">
        <v>42294805</v>
      </c>
      <c r="B10052" s="35" t="s">
        <v>9403</v>
      </c>
    </row>
    <row r="10053" spans="1:2" x14ac:dyDescent="0.35">
      <c r="A10053" s="34">
        <v>42294806</v>
      </c>
      <c r="B10053" s="35" t="s">
        <v>8165</v>
      </c>
    </row>
    <row r="10054" spans="1:2" x14ac:dyDescent="0.35">
      <c r="A10054" s="34">
        <v>42294807</v>
      </c>
      <c r="B10054" s="35" t="s">
        <v>4792</v>
      </c>
    </row>
    <row r="10055" spans="1:2" x14ac:dyDescent="0.35">
      <c r="A10055" s="34">
        <v>42294808</v>
      </c>
      <c r="B10055" s="35" t="s">
        <v>9490</v>
      </c>
    </row>
    <row r="10056" spans="1:2" x14ac:dyDescent="0.35">
      <c r="A10056" s="34">
        <v>42294901</v>
      </c>
      <c r="B10056" s="35" t="s">
        <v>13061</v>
      </c>
    </row>
    <row r="10057" spans="1:2" x14ac:dyDescent="0.35">
      <c r="A10057" s="34">
        <v>42294902</v>
      </c>
      <c r="B10057" s="35" t="s">
        <v>8806</v>
      </c>
    </row>
    <row r="10058" spans="1:2" x14ac:dyDescent="0.35">
      <c r="A10058" s="34">
        <v>42294903</v>
      </c>
      <c r="B10058" s="35" t="s">
        <v>3811</v>
      </c>
    </row>
    <row r="10059" spans="1:2" x14ac:dyDescent="0.35">
      <c r="A10059" s="34">
        <v>42294904</v>
      </c>
      <c r="B10059" s="35" t="s">
        <v>6633</v>
      </c>
    </row>
    <row r="10060" spans="1:2" x14ac:dyDescent="0.35">
      <c r="A10060" s="34">
        <v>42294905</v>
      </c>
      <c r="B10060" s="35" t="s">
        <v>14725</v>
      </c>
    </row>
    <row r="10061" spans="1:2" x14ac:dyDescent="0.35">
      <c r="A10061" s="34">
        <v>42294906</v>
      </c>
      <c r="B10061" s="35" t="s">
        <v>18760</v>
      </c>
    </row>
    <row r="10062" spans="1:2" x14ac:dyDescent="0.35">
      <c r="A10062" s="34">
        <v>42294907</v>
      </c>
      <c r="B10062" s="35" t="s">
        <v>9084</v>
      </c>
    </row>
    <row r="10063" spans="1:2" x14ac:dyDescent="0.35">
      <c r="A10063" s="34">
        <v>42294908</v>
      </c>
      <c r="B10063" s="35" t="s">
        <v>6746</v>
      </c>
    </row>
    <row r="10064" spans="1:2" x14ac:dyDescent="0.35">
      <c r="A10064" s="34">
        <v>42294909</v>
      </c>
      <c r="B10064" s="35" t="s">
        <v>14120</v>
      </c>
    </row>
    <row r="10065" spans="1:2" x14ac:dyDescent="0.35">
      <c r="A10065" s="34">
        <v>42294910</v>
      </c>
      <c r="B10065" s="35" t="s">
        <v>11739</v>
      </c>
    </row>
    <row r="10066" spans="1:2" x14ac:dyDescent="0.35">
      <c r="A10066" s="34">
        <v>42294911</v>
      </c>
      <c r="B10066" s="35" t="s">
        <v>3783</v>
      </c>
    </row>
    <row r="10067" spans="1:2" x14ac:dyDescent="0.35">
      <c r="A10067" s="34">
        <v>42294912</v>
      </c>
      <c r="B10067" s="35" t="s">
        <v>7326</v>
      </c>
    </row>
    <row r="10068" spans="1:2" x14ac:dyDescent="0.35">
      <c r="A10068" s="34">
        <v>42294913</v>
      </c>
      <c r="B10068" s="35" t="s">
        <v>6328</v>
      </c>
    </row>
    <row r="10069" spans="1:2" x14ac:dyDescent="0.35">
      <c r="A10069" s="34">
        <v>42294914</v>
      </c>
      <c r="B10069" s="35" t="s">
        <v>9732</v>
      </c>
    </row>
    <row r="10070" spans="1:2" x14ac:dyDescent="0.35">
      <c r="A10070" s="34">
        <v>42294915</v>
      </c>
      <c r="B10070" s="35" t="s">
        <v>2139</v>
      </c>
    </row>
    <row r="10071" spans="1:2" x14ac:dyDescent="0.35">
      <c r="A10071" s="34">
        <v>42294916</v>
      </c>
      <c r="B10071" s="35" t="s">
        <v>9</v>
      </c>
    </row>
    <row r="10072" spans="1:2" x14ac:dyDescent="0.35">
      <c r="A10072" s="34">
        <v>42294917</v>
      </c>
      <c r="B10072" s="35" t="s">
        <v>11801</v>
      </c>
    </row>
    <row r="10073" spans="1:2" x14ac:dyDescent="0.35">
      <c r="A10073" s="34">
        <v>42294918</v>
      </c>
      <c r="B10073" s="35" t="s">
        <v>8996</v>
      </c>
    </row>
    <row r="10074" spans="1:2" x14ac:dyDescent="0.35">
      <c r="A10074" s="34">
        <v>42294919</v>
      </c>
      <c r="B10074" s="35" t="s">
        <v>1274</v>
      </c>
    </row>
    <row r="10075" spans="1:2" x14ac:dyDescent="0.35">
      <c r="A10075" s="34">
        <v>42294920</v>
      </c>
      <c r="B10075" s="35" t="s">
        <v>10175</v>
      </c>
    </row>
    <row r="10076" spans="1:2" x14ac:dyDescent="0.35">
      <c r="A10076" s="34">
        <v>42294921</v>
      </c>
      <c r="B10076" s="35" t="s">
        <v>14858</v>
      </c>
    </row>
    <row r="10077" spans="1:2" x14ac:dyDescent="0.35">
      <c r="A10077" s="34">
        <v>42294922</v>
      </c>
      <c r="B10077" s="35" t="s">
        <v>9057</v>
      </c>
    </row>
    <row r="10078" spans="1:2" x14ac:dyDescent="0.35">
      <c r="A10078" s="34">
        <v>42294923</v>
      </c>
      <c r="B10078" s="35" t="s">
        <v>14871</v>
      </c>
    </row>
    <row r="10079" spans="1:2" x14ac:dyDescent="0.35">
      <c r="A10079" s="34">
        <v>42294924</v>
      </c>
      <c r="B10079" s="35" t="s">
        <v>10243</v>
      </c>
    </row>
    <row r="10080" spans="1:2" x14ac:dyDescent="0.35">
      <c r="A10080" s="34">
        <v>42294925</v>
      </c>
      <c r="B10080" s="35" t="s">
        <v>11380</v>
      </c>
    </row>
    <row r="10081" spans="1:2" x14ac:dyDescent="0.35">
      <c r="A10081" s="34">
        <v>42294926</v>
      </c>
      <c r="B10081" s="35" t="s">
        <v>14624</v>
      </c>
    </row>
    <row r="10082" spans="1:2" x14ac:dyDescent="0.35">
      <c r="A10082" s="34">
        <v>42294927</v>
      </c>
      <c r="B10082" s="35" t="s">
        <v>11406</v>
      </c>
    </row>
    <row r="10083" spans="1:2" x14ac:dyDescent="0.35">
      <c r="A10083" s="34">
        <v>42294928</v>
      </c>
      <c r="B10083" s="35" t="s">
        <v>10400</v>
      </c>
    </row>
    <row r="10084" spans="1:2" x14ac:dyDescent="0.35">
      <c r="A10084" s="34">
        <v>42294929</v>
      </c>
      <c r="B10084" s="35" t="s">
        <v>7033</v>
      </c>
    </row>
    <row r="10085" spans="1:2" x14ac:dyDescent="0.35">
      <c r="A10085" s="34">
        <v>42294930</v>
      </c>
      <c r="B10085" s="35" t="s">
        <v>4711</v>
      </c>
    </row>
    <row r="10086" spans="1:2" x14ac:dyDescent="0.35">
      <c r="A10086" s="34">
        <v>42294931</v>
      </c>
      <c r="B10086" s="35" t="s">
        <v>1212</v>
      </c>
    </row>
    <row r="10087" spans="1:2" x14ac:dyDescent="0.35">
      <c r="A10087" s="34">
        <v>42294932</v>
      </c>
      <c r="B10087" s="35" t="s">
        <v>12459</v>
      </c>
    </row>
    <row r="10088" spans="1:2" x14ac:dyDescent="0.35">
      <c r="A10088" s="34">
        <v>42294933</v>
      </c>
      <c r="B10088" s="35" t="s">
        <v>9750</v>
      </c>
    </row>
    <row r="10089" spans="1:2" x14ac:dyDescent="0.35">
      <c r="A10089" s="34">
        <v>42294934</v>
      </c>
      <c r="B10089" s="35" t="s">
        <v>16624</v>
      </c>
    </row>
    <row r="10090" spans="1:2" x14ac:dyDescent="0.35">
      <c r="A10090" s="34">
        <v>42294935</v>
      </c>
      <c r="B10090" s="35" t="s">
        <v>3882</v>
      </c>
    </row>
    <row r="10091" spans="1:2" x14ac:dyDescent="0.35">
      <c r="A10091" s="34">
        <v>42294936</v>
      </c>
      <c r="B10091" s="35" t="s">
        <v>18945</v>
      </c>
    </row>
    <row r="10092" spans="1:2" x14ac:dyDescent="0.35">
      <c r="A10092" s="34">
        <v>42294937</v>
      </c>
      <c r="B10092" s="35" t="s">
        <v>4535</v>
      </c>
    </row>
    <row r="10093" spans="1:2" x14ac:dyDescent="0.35">
      <c r="A10093" s="34">
        <v>42294938</v>
      </c>
      <c r="B10093" s="35" t="s">
        <v>9760</v>
      </c>
    </row>
    <row r="10094" spans="1:2" x14ac:dyDescent="0.35">
      <c r="A10094" s="34">
        <v>42294939</v>
      </c>
      <c r="B10094" s="35" t="s">
        <v>13363</v>
      </c>
    </row>
    <row r="10095" spans="1:2" x14ac:dyDescent="0.35">
      <c r="A10095" s="34">
        <v>42294940</v>
      </c>
      <c r="B10095" s="35" t="s">
        <v>16013</v>
      </c>
    </row>
    <row r="10096" spans="1:2" x14ac:dyDescent="0.35">
      <c r="A10096" s="34">
        <v>42294941</v>
      </c>
      <c r="B10096" s="35" t="s">
        <v>8127</v>
      </c>
    </row>
    <row r="10097" spans="1:2" x14ac:dyDescent="0.35">
      <c r="A10097" s="34">
        <v>42294942</v>
      </c>
      <c r="B10097" s="35" t="s">
        <v>15754</v>
      </c>
    </row>
    <row r="10098" spans="1:2" x14ac:dyDescent="0.35">
      <c r="A10098" s="34">
        <v>42294943</v>
      </c>
      <c r="B10098" s="35" t="s">
        <v>7148</v>
      </c>
    </row>
    <row r="10099" spans="1:2" x14ac:dyDescent="0.35">
      <c r="A10099" s="34">
        <v>42294944</v>
      </c>
      <c r="B10099" s="35" t="s">
        <v>6022</v>
      </c>
    </row>
    <row r="10100" spans="1:2" x14ac:dyDescent="0.35">
      <c r="A10100" s="34">
        <v>42294945</v>
      </c>
      <c r="B10100" s="35" t="s">
        <v>18232</v>
      </c>
    </row>
    <row r="10101" spans="1:2" x14ac:dyDescent="0.35">
      <c r="A10101" s="34">
        <v>42294946</v>
      </c>
      <c r="B10101" s="35" t="s">
        <v>17857</v>
      </c>
    </row>
    <row r="10102" spans="1:2" x14ac:dyDescent="0.35">
      <c r="A10102" s="34">
        <v>42294947</v>
      </c>
      <c r="B10102" s="35" t="s">
        <v>11340</v>
      </c>
    </row>
    <row r="10103" spans="1:2" x14ac:dyDescent="0.35">
      <c r="A10103" s="34">
        <v>42294948</v>
      </c>
      <c r="B10103" s="35" t="s">
        <v>5068</v>
      </c>
    </row>
    <row r="10104" spans="1:2" x14ac:dyDescent="0.35">
      <c r="A10104" s="34">
        <v>42294949</v>
      </c>
      <c r="B10104" s="35" t="s">
        <v>5157</v>
      </c>
    </row>
    <row r="10105" spans="1:2" x14ac:dyDescent="0.35">
      <c r="A10105" s="34">
        <v>42294950</v>
      </c>
      <c r="B10105" s="35" t="s">
        <v>11831</v>
      </c>
    </row>
    <row r="10106" spans="1:2" x14ac:dyDescent="0.35">
      <c r="A10106" s="34">
        <v>42294951</v>
      </c>
      <c r="B10106" s="35" t="s">
        <v>18259</v>
      </c>
    </row>
    <row r="10107" spans="1:2" x14ac:dyDescent="0.35">
      <c r="A10107" s="34">
        <v>42294952</v>
      </c>
      <c r="B10107" s="35" t="s">
        <v>2269</v>
      </c>
    </row>
    <row r="10108" spans="1:2" x14ac:dyDescent="0.35">
      <c r="A10108" s="34">
        <v>42294953</v>
      </c>
      <c r="B10108" s="35" t="s">
        <v>15128</v>
      </c>
    </row>
    <row r="10109" spans="1:2" x14ac:dyDescent="0.35">
      <c r="A10109" s="34">
        <v>42294954</v>
      </c>
      <c r="B10109" s="35" t="s">
        <v>18813</v>
      </c>
    </row>
    <row r="10110" spans="1:2" x14ac:dyDescent="0.35">
      <c r="A10110" s="34">
        <v>42294955</v>
      </c>
      <c r="B10110" s="35" t="s">
        <v>10924</v>
      </c>
    </row>
    <row r="10111" spans="1:2" x14ac:dyDescent="0.35">
      <c r="A10111" s="34">
        <v>42294956</v>
      </c>
      <c r="B10111" s="35" t="s">
        <v>9744</v>
      </c>
    </row>
    <row r="10112" spans="1:2" x14ac:dyDescent="0.35">
      <c r="A10112" s="34">
        <v>42295001</v>
      </c>
      <c r="B10112" s="35" t="s">
        <v>12851</v>
      </c>
    </row>
    <row r="10113" spans="1:2" x14ac:dyDescent="0.35">
      <c r="A10113" s="34">
        <v>42295002</v>
      </c>
      <c r="B10113" s="35" t="s">
        <v>2789</v>
      </c>
    </row>
    <row r="10114" spans="1:2" x14ac:dyDescent="0.35">
      <c r="A10114" s="34">
        <v>42295003</v>
      </c>
      <c r="B10114" s="35" t="s">
        <v>2282</v>
      </c>
    </row>
    <row r="10115" spans="1:2" x14ac:dyDescent="0.35">
      <c r="A10115" s="34">
        <v>42295004</v>
      </c>
      <c r="B10115" s="35" t="s">
        <v>12141</v>
      </c>
    </row>
    <row r="10116" spans="1:2" x14ac:dyDescent="0.35">
      <c r="A10116" s="34">
        <v>42295005</v>
      </c>
      <c r="B10116" s="35" t="s">
        <v>15668</v>
      </c>
    </row>
    <row r="10117" spans="1:2" x14ac:dyDescent="0.35">
      <c r="A10117" s="34">
        <v>42295006</v>
      </c>
      <c r="B10117" s="35" t="s">
        <v>1006</v>
      </c>
    </row>
    <row r="10118" spans="1:2" x14ac:dyDescent="0.35">
      <c r="A10118" s="34">
        <v>42295007</v>
      </c>
      <c r="B10118" s="35" t="s">
        <v>6261</v>
      </c>
    </row>
    <row r="10119" spans="1:2" x14ac:dyDescent="0.35">
      <c r="A10119" s="34">
        <v>42295008</v>
      </c>
      <c r="B10119" s="35" t="s">
        <v>17322</v>
      </c>
    </row>
    <row r="10120" spans="1:2" x14ac:dyDescent="0.35">
      <c r="A10120" s="34">
        <v>42295009</v>
      </c>
      <c r="B10120" s="35" t="s">
        <v>12647</v>
      </c>
    </row>
    <row r="10121" spans="1:2" x14ac:dyDescent="0.35">
      <c r="A10121" s="34">
        <v>42295010</v>
      </c>
      <c r="B10121" s="35" t="s">
        <v>11</v>
      </c>
    </row>
    <row r="10122" spans="1:2" x14ac:dyDescent="0.35">
      <c r="A10122" s="34">
        <v>42295011</v>
      </c>
      <c r="B10122" s="35" t="s">
        <v>5906</v>
      </c>
    </row>
    <row r="10123" spans="1:2" x14ac:dyDescent="0.35">
      <c r="A10123" s="34">
        <v>42295012</v>
      </c>
      <c r="B10123" s="35" t="s">
        <v>534</v>
      </c>
    </row>
    <row r="10124" spans="1:2" x14ac:dyDescent="0.35">
      <c r="A10124" s="34">
        <v>42295013</v>
      </c>
      <c r="B10124" s="35" t="s">
        <v>8126</v>
      </c>
    </row>
    <row r="10125" spans="1:2" x14ac:dyDescent="0.35">
      <c r="A10125" s="34">
        <v>42295014</v>
      </c>
      <c r="B10125" s="35" t="s">
        <v>6146</v>
      </c>
    </row>
    <row r="10126" spans="1:2" x14ac:dyDescent="0.35">
      <c r="A10126" s="34">
        <v>42295015</v>
      </c>
      <c r="B10126" s="35" t="s">
        <v>12768</v>
      </c>
    </row>
    <row r="10127" spans="1:2" x14ac:dyDescent="0.35">
      <c r="A10127" s="34">
        <v>42295101</v>
      </c>
      <c r="B10127" s="35" t="s">
        <v>16344</v>
      </c>
    </row>
    <row r="10128" spans="1:2" x14ac:dyDescent="0.35">
      <c r="A10128" s="34">
        <v>42295102</v>
      </c>
      <c r="B10128" s="35" t="s">
        <v>11822</v>
      </c>
    </row>
    <row r="10129" spans="1:2" x14ac:dyDescent="0.35">
      <c r="A10129" s="34">
        <v>42295103</v>
      </c>
      <c r="B10129" s="35" t="s">
        <v>18893</v>
      </c>
    </row>
    <row r="10130" spans="1:2" x14ac:dyDescent="0.35">
      <c r="A10130" s="34">
        <v>42295104</v>
      </c>
      <c r="B10130" s="35" t="s">
        <v>8784</v>
      </c>
    </row>
    <row r="10131" spans="1:2" x14ac:dyDescent="0.35">
      <c r="A10131" s="34">
        <v>42295105</v>
      </c>
      <c r="B10131" s="35" t="s">
        <v>10832</v>
      </c>
    </row>
    <row r="10132" spans="1:2" x14ac:dyDescent="0.35">
      <c r="A10132" s="34">
        <v>42295106</v>
      </c>
      <c r="B10132" s="35" t="s">
        <v>9992</v>
      </c>
    </row>
    <row r="10133" spans="1:2" x14ac:dyDescent="0.35">
      <c r="A10133" s="34">
        <v>42295107</v>
      </c>
      <c r="B10133" s="35" t="s">
        <v>19065</v>
      </c>
    </row>
    <row r="10134" spans="1:2" x14ac:dyDescent="0.35">
      <c r="A10134" s="34">
        <v>42295108</v>
      </c>
      <c r="B10134" s="35" t="s">
        <v>16181</v>
      </c>
    </row>
    <row r="10135" spans="1:2" x14ac:dyDescent="0.35">
      <c r="A10135" s="34">
        <v>42295109</v>
      </c>
      <c r="B10135" s="35" t="s">
        <v>8263</v>
      </c>
    </row>
    <row r="10136" spans="1:2" x14ac:dyDescent="0.35">
      <c r="A10136" s="34">
        <v>42295110</v>
      </c>
      <c r="B10136" s="35" t="s">
        <v>13811</v>
      </c>
    </row>
    <row r="10137" spans="1:2" x14ac:dyDescent="0.35">
      <c r="A10137" s="34">
        <v>42295111</v>
      </c>
      <c r="B10137" s="35" t="s">
        <v>13401</v>
      </c>
    </row>
    <row r="10138" spans="1:2" x14ac:dyDescent="0.35">
      <c r="A10138" s="34">
        <v>42295112</v>
      </c>
      <c r="B10138" s="35" t="s">
        <v>16299</v>
      </c>
    </row>
    <row r="10139" spans="1:2" x14ac:dyDescent="0.35">
      <c r="A10139" s="34">
        <v>42295113</v>
      </c>
      <c r="B10139" s="35" t="s">
        <v>17718</v>
      </c>
    </row>
    <row r="10140" spans="1:2" x14ac:dyDescent="0.35">
      <c r="A10140" s="34">
        <v>42295114</v>
      </c>
      <c r="B10140" s="35" t="s">
        <v>12526</v>
      </c>
    </row>
    <row r="10141" spans="1:2" x14ac:dyDescent="0.35">
      <c r="A10141" s="34">
        <v>42295115</v>
      </c>
      <c r="B10141" s="35" t="s">
        <v>11556</v>
      </c>
    </row>
    <row r="10142" spans="1:2" x14ac:dyDescent="0.35">
      <c r="A10142" s="34">
        <v>42295116</v>
      </c>
      <c r="B10142" s="35" t="s">
        <v>7060</v>
      </c>
    </row>
    <row r="10143" spans="1:2" x14ac:dyDescent="0.35">
      <c r="A10143" s="34">
        <v>42295117</v>
      </c>
      <c r="B10143" s="35" t="s">
        <v>11735</v>
      </c>
    </row>
    <row r="10144" spans="1:2" x14ac:dyDescent="0.35">
      <c r="A10144" s="34">
        <v>42295118</v>
      </c>
      <c r="B10144" s="35" t="s">
        <v>407</v>
      </c>
    </row>
    <row r="10145" spans="1:2" x14ac:dyDescent="0.35">
      <c r="A10145" s="34">
        <v>42295119</v>
      </c>
      <c r="B10145" s="35" t="s">
        <v>2982</v>
      </c>
    </row>
    <row r="10146" spans="1:2" x14ac:dyDescent="0.35">
      <c r="A10146" s="34">
        <v>42295120</v>
      </c>
      <c r="B10146" s="35" t="s">
        <v>5355</v>
      </c>
    </row>
    <row r="10147" spans="1:2" x14ac:dyDescent="0.35">
      <c r="A10147" s="34">
        <v>42295121</v>
      </c>
      <c r="B10147" s="35" t="s">
        <v>11027</v>
      </c>
    </row>
    <row r="10148" spans="1:2" x14ac:dyDescent="0.35">
      <c r="A10148" s="34">
        <v>42295122</v>
      </c>
      <c r="B10148" s="35" t="s">
        <v>4860</v>
      </c>
    </row>
    <row r="10149" spans="1:2" x14ac:dyDescent="0.35">
      <c r="A10149" s="34">
        <v>42295123</v>
      </c>
      <c r="B10149" s="35" t="s">
        <v>5346</v>
      </c>
    </row>
    <row r="10150" spans="1:2" x14ac:dyDescent="0.35">
      <c r="A10150" s="34">
        <v>42295124</v>
      </c>
      <c r="B10150" s="35" t="s">
        <v>8302</v>
      </c>
    </row>
    <row r="10151" spans="1:2" x14ac:dyDescent="0.35">
      <c r="A10151" s="34">
        <v>42295125</v>
      </c>
      <c r="B10151" s="35" t="s">
        <v>18630</v>
      </c>
    </row>
    <row r="10152" spans="1:2" x14ac:dyDescent="0.35">
      <c r="A10152" s="34">
        <v>42295126</v>
      </c>
      <c r="B10152" s="35" t="s">
        <v>8459</v>
      </c>
    </row>
    <row r="10153" spans="1:2" x14ac:dyDescent="0.35">
      <c r="A10153" s="34">
        <v>42295127</v>
      </c>
      <c r="B10153" s="35" t="s">
        <v>9439</v>
      </c>
    </row>
    <row r="10154" spans="1:2" x14ac:dyDescent="0.35">
      <c r="A10154" s="34">
        <v>42295128</v>
      </c>
      <c r="B10154" s="35" t="s">
        <v>4415</v>
      </c>
    </row>
    <row r="10155" spans="1:2" x14ac:dyDescent="0.35">
      <c r="A10155" s="34">
        <v>42295129</v>
      </c>
      <c r="B10155" s="35" t="s">
        <v>5948</v>
      </c>
    </row>
    <row r="10156" spans="1:2" x14ac:dyDescent="0.35">
      <c r="A10156" s="34">
        <v>42295130</v>
      </c>
      <c r="B10156" s="35" t="s">
        <v>15534</v>
      </c>
    </row>
    <row r="10157" spans="1:2" x14ac:dyDescent="0.35">
      <c r="A10157" s="34">
        <v>42295131</v>
      </c>
      <c r="B10157" s="35" t="s">
        <v>4812</v>
      </c>
    </row>
    <row r="10158" spans="1:2" x14ac:dyDescent="0.35">
      <c r="A10158" s="34">
        <v>42295132</v>
      </c>
      <c r="B10158" s="35" t="s">
        <v>15712</v>
      </c>
    </row>
    <row r="10159" spans="1:2" x14ac:dyDescent="0.35">
      <c r="A10159" s="34">
        <v>42295133</v>
      </c>
      <c r="B10159" s="35" t="s">
        <v>767</v>
      </c>
    </row>
    <row r="10160" spans="1:2" x14ac:dyDescent="0.35">
      <c r="A10160" s="34">
        <v>42295134</v>
      </c>
      <c r="B10160" s="35" t="s">
        <v>18493</v>
      </c>
    </row>
    <row r="10161" spans="1:2" x14ac:dyDescent="0.35">
      <c r="A10161" s="34">
        <v>42295135</v>
      </c>
      <c r="B10161" s="35" t="s">
        <v>565</v>
      </c>
    </row>
    <row r="10162" spans="1:2" x14ac:dyDescent="0.35">
      <c r="A10162" s="34">
        <v>42295136</v>
      </c>
      <c r="B10162" s="35" t="s">
        <v>13471</v>
      </c>
    </row>
    <row r="10163" spans="1:2" x14ac:dyDescent="0.35">
      <c r="A10163" s="34">
        <v>42295137</v>
      </c>
      <c r="B10163" s="35" t="s">
        <v>2903</v>
      </c>
    </row>
    <row r="10164" spans="1:2" x14ac:dyDescent="0.35">
      <c r="A10164" s="34">
        <v>42295138</v>
      </c>
      <c r="B10164" s="35" t="s">
        <v>14549</v>
      </c>
    </row>
    <row r="10165" spans="1:2" x14ac:dyDescent="0.35">
      <c r="A10165" s="34">
        <v>42295139</v>
      </c>
      <c r="B10165" s="35" t="s">
        <v>57</v>
      </c>
    </row>
    <row r="10166" spans="1:2" x14ac:dyDescent="0.35">
      <c r="A10166" s="34">
        <v>42295140</v>
      </c>
      <c r="B10166" s="35" t="s">
        <v>18768</v>
      </c>
    </row>
    <row r="10167" spans="1:2" x14ac:dyDescent="0.35">
      <c r="A10167" s="34">
        <v>42295201</v>
      </c>
      <c r="B10167" s="35" t="s">
        <v>11617</v>
      </c>
    </row>
    <row r="10168" spans="1:2" x14ac:dyDescent="0.35">
      <c r="A10168" s="34">
        <v>42295202</v>
      </c>
      <c r="B10168" s="35" t="s">
        <v>7299</v>
      </c>
    </row>
    <row r="10169" spans="1:2" x14ac:dyDescent="0.35">
      <c r="A10169" s="34">
        <v>42295203</v>
      </c>
      <c r="B10169" s="35" t="s">
        <v>8877</v>
      </c>
    </row>
    <row r="10170" spans="1:2" x14ac:dyDescent="0.35">
      <c r="A10170" s="34">
        <v>42295204</v>
      </c>
      <c r="B10170" s="35" t="s">
        <v>18320</v>
      </c>
    </row>
    <row r="10171" spans="1:2" x14ac:dyDescent="0.35">
      <c r="A10171" s="34">
        <v>42295205</v>
      </c>
      <c r="B10171" s="35" t="s">
        <v>4092</v>
      </c>
    </row>
    <row r="10172" spans="1:2" x14ac:dyDescent="0.35">
      <c r="A10172" s="34">
        <v>42295206</v>
      </c>
      <c r="B10172" s="35" t="s">
        <v>2750</v>
      </c>
    </row>
    <row r="10173" spans="1:2" x14ac:dyDescent="0.35">
      <c r="A10173" s="34">
        <v>42295301</v>
      </c>
      <c r="B10173" s="35" t="s">
        <v>5149</v>
      </c>
    </row>
    <row r="10174" spans="1:2" x14ac:dyDescent="0.35">
      <c r="A10174" s="34">
        <v>42295302</v>
      </c>
      <c r="B10174" s="35" t="s">
        <v>17590</v>
      </c>
    </row>
    <row r="10175" spans="1:2" x14ac:dyDescent="0.35">
      <c r="A10175" s="34">
        <v>42295303</v>
      </c>
      <c r="B10175" s="35" t="s">
        <v>13291</v>
      </c>
    </row>
    <row r="10176" spans="1:2" x14ac:dyDescent="0.35">
      <c r="A10176" s="34">
        <v>42295304</v>
      </c>
      <c r="B10176" s="35" t="s">
        <v>5331</v>
      </c>
    </row>
    <row r="10177" spans="1:2" x14ac:dyDescent="0.35">
      <c r="A10177" s="34">
        <v>42295305</v>
      </c>
      <c r="B10177" s="35" t="s">
        <v>6569</v>
      </c>
    </row>
    <row r="10178" spans="1:2" x14ac:dyDescent="0.35">
      <c r="A10178" s="34">
        <v>42295306</v>
      </c>
      <c r="B10178" s="35" t="s">
        <v>17303</v>
      </c>
    </row>
    <row r="10179" spans="1:2" x14ac:dyDescent="0.35">
      <c r="A10179" s="34">
        <v>42295307</v>
      </c>
      <c r="B10179" s="35" t="s">
        <v>6575</v>
      </c>
    </row>
    <row r="10180" spans="1:2" x14ac:dyDescent="0.35">
      <c r="A10180" s="34">
        <v>42295308</v>
      </c>
      <c r="B10180" s="35" t="s">
        <v>5734</v>
      </c>
    </row>
    <row r="10181" spans="1:2" x14ac:dyDescent="0.35">
      <c r="A10181" s="34">
        <v>42295401</v>
      </c>
      <c r="B10181" s="35" t="s">
        <v>11214</v>
      </c>
    </row>
    <row r="10182" spans="1:2" x14ac:dyDescent="0.35">
      <c r="A10182" s="34">
        <v>42295402</v>
      </c>
      <c r="B10182" s="35" t="s">
        <v>5455</v>
      </c>
    </row>
    <row r="10183" spans="1:2" x14ac:dyDescent="0.35">
      <c r="A10183" s="34">
        <v>42295403</v>
      </c>
      <c r="B10183" s="35" t="s">
        <v>17087</v>
      </c>
    </row>
    <row r="10184" spans="1:2" x14ac:dyDescent="0.35">
      <c r="A10184" s="34">
        <v>42295404</v>
      </c>
      <c r="B10184" s="35" t="s">
        <v>12219</v>
      </c>
    </row>
    <row r="10185" spans="1:2" x14ac:dyDescent="0.35">
      <c r="A10185" s="34">
        <v>42295405</v>
      </c>
      <c r="B10185" s="35" t="s">
        <v>14205</v>
      </c>
    </row>
    <row r="10186" spans="1:2" x14ac:dyDescent="0.35">
      <c r="A10186" s="34">
        <v>42295406</v>
      </c>
      <c r="B10186" s="35" t="s">
        <v>2854</v>
      </c>
    </row>
    <row r="10187" spans="1:2" x14ac:dyDescent="0.35">
      <c r="A10187" s="34">
        <v>42295407</v>
      </c>
      <c r="B10187" s="35" t="s">
        <v>18707</v>
      </c>
    </row>
    <row r="10188" spans="1:2" x14ac:dyDescent="0.35">
      <c r="A10188" s="34">
        <v>42295408</v>
      </c>
      <c r="B10188" s="35" t="s">
        <v>18154</v>
      </c>
    </row>
    <row r="10189" spans="1:2" x14ac:dyDescent="0.35">
      <c r="A10189" s="34">
        <v>42295409</v>
      </c>
      <c r="B10189" s="35" t="s">
        <v>11116</v>
      </c>
    </row>
    <row r="10190" spans="1:2" x14ac:dyDescent="0.35">
      <c r="A10190" s="34">
        <v>42295410</v>
      </c>
      <c r="B10190" s="35" t="s">
        <v>13280</v>
      </c>
    </row>
    <row r="10191" spans="1:2" x14ac:dyDescent="0.35">
      <c r="A10191" s="34">
        <v>42295411</v>
      </c>
      <c r="B10191" s="35" t="s">
        <v>1898</v>
      </c>
    </row>
    <row r="10192" spans="1:2" x14ac:dyDescent="0.35">
      <c r="A10192" s="34">
        <v>42295412</v>
      </c>
      <c r="B10192" s="35" t="s">
        <v>16317</v>
      </c>
    </row>
    <row r="10193" spans="1:2" x14ac:dyDescent="0.35">
      <c r="A10193" s="34">
        <v>42295413</v>
      </c>
      <c r="B10193" s="35" t="s">
        <v>11535</v>
      </c>
    </row>
    <row r="10194" spans="1:2" x14ac:dyDescent="0.35">
      <c r="A10194" s="34">
        <v>42295414</v>
      </c>
      <c r="B10194" s="35" t="s">
        <v>1595</v>
      </c>
    </row>
    <row r="10195" spans="1:2" x14ac:dyDescent="0.35">
      <c r="A10195" s="34">
        <v>42295415</v>
      </c>
      <c r="B10195" s="35" t="s">
        <v>3113</v>
      </c>
    </row>
    <row r="10196" spans="1:2" x14ac:dyDescent="0.35">
      <c r="A10196" s="34">
        <v>42295416</v>
      </c>
      <c r="B10196" s="35" t="s">
        <v>3755</v>
      </c>
    </row>
    <row r="10197" spans="1:2" x14ac:dyDescent="0.35">
      <c r="A10197" s="34">
        <v>42295417</v>
      </c>
      <c r="B10197" s="35" t="s">
        <v>11375</v>
      </c>
    </row>
    <row r="10198" spans="1:2" x14ac:dyDescent="0.35">
      <c r="A10198" s="34">
        <v>42295418</v>
      </c>
      <c r="B10198" s="35" t="s">
        <v>15211</v>
      </c>
    </row>
    <row r="10199" spans="1:2" x14ac:dyDescent="0.35">
      <c r="A10199" s="34">
        <v>42295419</v>
      </c>
      <c r="B10199" s="35" t="s">
        <v>3904</v>
      </c>
    </row>
    <row r="10200" spans="1:2" x14ac:dyDescent="0.35">
      <c r="A10200" s="34">
        <v>42295420</v>
      </c>
      <c r="B10200" s="35" t="s">
        <v>5699</v>
      </c>
    </row>
    <row r="10201" spans="1:2" x14ac:dyDescent="0.35">
      <c r="A10201" s="34">
        <v>42295421</v>
      </c>
      <c r="B10201" s="35" t="s">
        <v>469</v>
      </c>
    </row>
    <row r="10202" spans="1:2" x14ac:dyDescent="0.35">
      <c r="A10202" s="34">
        <v>42295422</v>
      </c>
      <c r="B10202" s="35" t="s">
        <v>12511</v>
      </c>
    </row>
    <row r="10203" spans="1:2" x14ac:dyDescent="0.35">
      <c r="A10203" s="34">
        <v>42295423</v>
      </c>
      <c r="B10203" s="35" t="s">
        <v>1154</v>
      </c>
    </row>
    <row r="10204" spans="1:2" x14ac:dyDescent="0.35">
      <c r="A10204" s="34">
        <v>42295424</v>
      </c>
      <c r="B10204" s="35" t="s">
        <v>13818</v>
      </c>
    </row>
    <row r="10205" spans="1:2" x14ac:dyDescent="0.35">
      <c r="A10205" s="34">
        <v>42295425</v>
      </c>
      <c r="B10205" s="35" t="s">
        <v>7657</v>
      </c>
    </row>
    <row r="10206" spans="1:2" x14ac:dyDescent="0.35">
      <c r="A10206" s="34">
        <v>42295426</v>
      </c>
      <c r="B10206" s="35" t="s">
        <v>2820</v>
      </c>
    </row>
    <row r="10207" spans="1:2" x14ac:dyDescent="0.35">
      <c r="A10207" s="34">
        <v>42295427</v>
      </c>
      <c r="B10207" s="35" t="s">
        <v>10951</v>
      </c>
    </row>
    <row r="10208" spans="1:2" x14ac:dyDescent="0.35">
      <c r="A10208" s="34">
        <v>42295428</v>
      </c>
      <c r="B10208" s="35" t="s">
        <v>6847</v>
      </c>
    </row>
    <row r="10209" spans="1:2" x14ac:dyDescent="0.35">
      <c r="A10209" s="34">
        <v>42295429</v>
      </c>
      <c r="B10209" s="35" t="s">
        <v>18464</v>
      </c>
    </row>
    <row r="10210" spans="1:2" x14ac:dyDescent="0.35">
      <c r="A10210" s="34">
        <v>42295430</v>
      </c>
      <c r="B10210" s="35" t="s">
        <v>6995</v>
      </c>
    </row>
    <row r="10211" spans="1:2" x14ac:dyDescent="0.35">
      <c r="A10211" s="34">
        <v>42295431</v>
      </c>
      <c r="B10211" s="35" t="s">
        <v>16816</v>
      </c>
    </row>
    <row r="10212" spans="1:2" x14ac:dyDescent="0.35">
      <c r="A10212" s="34">
        <v>42295432</v>
      </c>
      <c r="B10212" s="35" t="s">
        <v>13419</v>
      </c>
    </row>
    <row r="10213" spans="1:2" x14ac:dyDescent="0.35">
      <c r="A10213" s="34">
        <v>42295433</v>
      </c>
      <c r="B10213" s="35" t="s">
        <v>10466</v>
      </c>
    </row>
    <row r="10214" spans="1:2" x14ac:dyDescent="0.35">
      <c r="A10214" s="34">
        <v>42295434</v>
      </c>
      <c r="B10214" s="35" t="s">
        <v>17027</v>
      </c>
    </row>
    <row r="10215" spans="1:2" x14ac:dyDescent="0.35">
      <c r="A10215" s="34">
        <v>42295435</v>
      </c>
      <c r="B10215" s="35" t="s">
        <v>6814</v>
      </c>
    </row>
    <row r="10216" spans="1:2" x14ac:dyDescent="0.35">
      <c r="A10216" s="34">
        <v>42295436</v>
      </c>
      <c r="B10216" s="35" t="s">
        <v>6719</v>
      </c>
    </row>
    <row r="10217" spans="1:2" x14ac:dyDescent="0.35">
      <c r="A10217" s="34">
        <v>42295437</v>
      </c>
      <c r="B10217" s="35" t="s">
        <v>10146</v>
      </c>
    </row>
    <row r="10218" spans="1:2" x14ac:dyDescent="0.35">
      <c r="A10218" s="34">
        <v>42295439</v>
      </c>
      <c r="B10218" s="35" t="s">
        <v>18584</v>
      </c>
    </row>
    <row r="10219" spans="1:2" x14ac:dyDescent="0.35">
      <c r="A10219" s="34">
        <v>42295440</v>
      </c>
      <c r="B10219" s="35" t="s">
        <v>3261</v>
      </c>
    </row>
    <row r="10220" spans="1:2" x14ac:dyDescent="0.35">
      <c r="A10220" s="34">
        <v>42295441</v>
      </c>
      <c r="B10220" s="35" t="s">
        <v>14629</v>
      </c>
    </row>
    <row r="10221" spans="1:2" x14ac:dyDescent="0.35">
      <c r="A10221" s="34">
        <v>42295445</v>
      </c>
      <c r="B10221" s="35" t="s">
        <v>15826</v>
      </c>
    </row>
    <row r="10222" spans="1:2" x14ac:dyDescent="0.35">
      <c r="A10222" s="34">
        <v>42295446</v>
      </c>
      <c r="B10222" s="35" t="s">
        <v>14761</v>
      </c>
    </row>
    <row r="10223" spans="1:2" x14ac:dyDescent="0.35">
      <c r="A10223" s="34">
        <v>42295448</v>
      </c>
      <c r="B10223" s="35" t="s">
        <v>5988</v>
      </c>
    </row>
    <row r="10224" spans="1:2" x14ac:dyDescent="0.35">
      <c r="A10224" s="34">
        <v>42295450</v>
      </c>
      <c r="B10224" s="35" t="s">
        <v>3939</v>
      </c>
    </row>
    <row r="10225" spans="1:2" x14ac:dyDescent="0.35">
      <c r="A10225" s="34">
        <v>42295451</v>
      </c>
      <c r="B10225" s="35" t="s">
        <v>13193</v>
      </c>
    </row>
    <row r="10226" spans="1:2" x14ac:dyDescent="0.35">
      <c r="A10226" s="34">
        <v>42295452</v>
      </c>
      <c r="B10226" s="35" t="s">
        <v>14425</v>
      </c>
    </row>
    <row r="10227" spans="1:2" x14ac:dyDescent="0.35">
      <c r="A10227" s="34">
        <v>42295453</v>
      </c>
      <c r="B10227" s="35" t="s">
        <v>6654</v>
      </c>
    </row>
    <row r="10228" spans="1:2" x14ac:dyDescent="0.35">
      <c r="A10228" s="34">
        <v>42295454</v>
      </c>
      <c r="B10228" s="35" t="s">
        <v>9867</v>
      </c>
    </row>
    <row r="10229" spans="1:2" x14ac:dyDescent="0.35">
      <c r="A10229" s="34">
        <v>42295455</v>
      </c>
      <c r="B10229" s="35" t="s">
        <v>3875</v>
      </c>
    </row>
    <row r="10230" spans="1:2" x14ac:dyDescent="0.35">
      <c r="A10230" s="34">
        <v>42295456</v>
      </c>
      <c r="B10230" s="35" t="s">
        <v>8486</v>
      </c>
    </row>
    <row r="10231" spans="1:2" x14ac:dyDescent="0.35">
      <c r="A10231" s="34">
        <v>42295457</v>
      </c>
      <c r="B10231" s="35" t="s">
        <v>7409</v>
      </c>
    </row>
    <row r="10232" spans="1:2" x14ac:dyDescent="0.35">
      <c r="A10232" s="34">
        <v>42295458</v>
      </c>
      <c r="B10232" s="35" t="s">
        <v>9568</v>
      </c>
    </row>
    <row r="10233" spans="1:2" x14ac:dyDescent="0.35">
      <c r="A10233" s="34">
        <v>42295459</v>
      </c>
      <c r="B10233" s="35" t="s">
        <v>17816</v>
      </c>
    </row>
    <row r="10234" spans="1:2" x14ac:dyDescent="0.35">
      <c r="A10234" s="34">
        <v>42295460</v>
      </c>
      <c r="B10234" s="35" t="s">
        <v>12005</v>
      </c>
    </row>
    <row r="10235" spans="1:2" x14ac:dyDescent="0.35">
      <c r="A10235" s="34">
        <v>42295461</v>
      </c>
      <c r="B10235" s="35" t="s">
        <v>4305</v>
      </c>
    </row>
    <row r="10236" spans="1:2" x14ac:dyDescent="0.35">
      <c r="A10236" s="34">
        <v>42295462</v>
      </c>
      <c r="B10236" s="35" t="s">
        <v>16378</v>
      </c>
    </row>
    <row r="10237" spans="1:2" x14ac:dyDescent="0.35">
      <c r="A10237" s="34">
        <v>42295463</v>
      </c>
      <c r="B10237" s="35" t="s">
        <v>3840</v>
      </c>
    </row>
    <row r="10238" spans="1:2" x14ac:dyDescent="0.35">
      <c r="A10238" s="34">
        <v>42295501</v>
      </c>
      <c r="B10238" s="35" t="s">
        <v>13764</v>
      </c>
    </row>
    <row r="10239" spans="1:2" x14ac:dyDescent="0.35">
      <c r="A10239" s="34">
        <v>42295502</v>
      </c>
      <c r="B10239" s="35" t="s">
        <v>12881</v>
      </c>
    </row>
    <row r="10240" spans="1:2" x14ac:dyDescent="0.35">
      <c r="A10240" s="34">
        <v>42295503</v>
      </c>
      <c r="B10240" s="35" t="s">
        <v>6520</v>
      </c>
    </row>
    <row r="10241" spans="1:2" x14ac:dyDescent="0.35">
      <c r="A10241" s="34">
        <v>42295504</v>
      </c>
      <c r="B10241" s="35" t="s">
        <v>16802</v>
      </c>
    </row>
    <row r="10242" spans="1:2" x14ac:dyDescent="0.35">
      <c r="A10242" s="34">
        <v>42295505</v>
      </c>
      <c r="B10242" s="35" t="s">
        <v>8727</v>
      </c>
    </row>
    <row r="10243" spans="1:2" x14ac:dyDescent="0.35">
      <c r="A10243" s="34">
        <v>42295506</v>
      </c>
      <c r="B10243" s="35" t="s">
        <v>12845</v>
      </c>
    </row>
    <row r="10244" spans="1:2" x14ac:dyDescent="0.35">
      <c r="A10244" s="34">
        <v>42295507</v>
      </c>
      <c r="B10244" s="35" t="s">
        <v>495</v>
      </c>
    </row>
    <row r="10245" spans="1:2" x14ac:dyDescent="0.35">
      <c r="A10245" s="34">
        <v>42295508</v>
      </c>
      <c r="B10245" s="35" t="s">
        <v>14157</v>
      </c>
    </row>
    <row r="10246" spans="1:2" x14ac:dyDescent="0.35">
      <c r="A10246" s="34">
        <v>42295509</v>
      </c>
      <c r="B10246" s="35" t="s">
        <v>11647</v>
      </c>
    </row>
    <row r="10247" spans="1:2" x14ac:dyDescent="0.35">
      <c r="A10247" s="34">
        <v>42295510</v>
      </c>
      <c r="B10247" s="35" t="s">
        <v>17674</v>
      </c>
    </row>
    <row r="10248" spans="1:2" x14ac:dyDescent="0.35">
      <c r="A10248" s="34">
        <v>42295511</v>
      </c>
      <c r="B10248" s="35" t="s">
        <v>16788</v>
      </c>
    </row>
    <row r="10249" spans="1:2" x14ac:dyDescent="0.35">
      <c r="A10249" s="34">
        <v>42295512</v>
      </c>
      <c r="B10249" s="35" t="s">
        <v>8595</v>
      </c>
    </row>
    <row r="10250" spans="1:2" x14ac:dyDescent="0.35">
      <c r="A10250" s="34">
        <v>42295513</v>
      </c>
      <c r="B10250" s="35" t="s">
        <v>5432</v>
      </c>
    </row>
    <row r="10251" spans="1:2" x14ac:dyDescent="0.35">
      <c r="A10251" s="34">
        <v>42295514</v>
      </c>
      <c r="B10251" s="35" t="s">
        <v>12638</v>
      </c>
    </row>
    <row r="10252" spans="1:2" x14ac:dyDescent="0.35">
      <c r="A10252" s="34">
        <v>42295515</v>
      </c>
      <c r="B10252" s="35" t="s">
        <v>15085</v>
      </c>
    </row>
    <row r="10253" spans="1:2" x14ac:dyDescent="0.35">
      <c r="A10253" s="34">
        <v>42295516</v>
      </c>
      <c r="B10253" s="35" t="s">
        <v>7141</v>
      </c>
    </row>
    <row r="10254" spans="1:2" x14ac:dyDescent="0.35">
      <c r="A10254" s="34">
        <v>42295517</v>
      </c>
      <c r="B10254" s="35" t="s">
        <v>15426</v>
      </c>
    </row>
    <row r="10255" spans="1:2" x14ac:dyDescent="0.35">
      <c r="A10255" s="34">
        <v>42295518</v>
      </c>
      <c r="B10255" s="35" t="s">
        <v>149</v>
      </c>
    </row>
    <row r="10256" spans="1:2" x14ac:dyDescent="0.35">
      <c r="A10256" s="34">
        <v>42295519</v>
      </c>
      <c r="B10256" s="35" t="s">
        <v>12751</v>
      </c>
    </row>
    <row r="10257" spans="1:2" x14ac:dyDescent="0.35">
      <c r="A10257" s="34">
        <v>42295520</v>
      </c>
      <c r="B10257" s="35" t="s">
        <v>8972</v>
      </c>
    </row>
    <row r="10258" spans="1:2" x14ac:dyDescent="0.35">
      <c r="A10258" s="34">
        <v>42295521</v>
      </c>
      <c r="B10258" s="35" t="s">
        <v>11440</v>
      </c>
    </row>
    <row r="10259" spans="1:2" x14ac:dyDescent="0.35">
      <c r="A10259" s="34">
        <v>42295522</v>
      </c>
      <c r="B10259" s="35" t="s">
        <v>2929</v>
      </c>
    </row>
    <row r="10260" spans="1:2" x14ac:dyDescent="0.35">
      <c r="A10260" s="34">
        <v>42295523</v>
      </c>
      <c r="B10260" s="35" t="s">
        <v>1522</v>
      </c>
    </row>
    <row r="10261" spans="1:2" x14ac:dyDescent="0.35">
      <c r="A10261" s="34">
        <v>42295524</v>
      </c>
      <c r="B10261" s="35" t="s">
        <v>2684</v>
      </c>
    </row>
    <row r="10262" spans="1:2" x14ac:dyDescent="0.35">
      <c r="A10262" s="34">
        <v>42301501</v>
      </c>
      <c r="B10262" s="35" t="s">
        <v>10872</v>
      </c>
    </row>
    <row r="10263" spans="1:2" x14ac:dyDescent="0.35">
      <c r="A10263" s="34">
        <v>42301502</v>
      </c>
      <c r="B10263" s="35" t="s">
        <v>5291</v>
      </c>
    </row>
    <row r="10264" spans="1:2" x14ac:dyDescent="0.35">
      <c r="A10264" s="34">
        <v>42301503</v>
      </c>
      <c r="B10264" s="35" t="s">
        <v>15547</v>
      </c>
    </row>
    <row r="10265" spans="1:2" x14ac:dyDescent="0.35">
      <c r="A10265" s="34">
        <v>42301504</v>
      </c>
      <c r="B10265" s="35" t="s">
        <v>13164</v>
      </c>
    </row>
    <row r="10266" spans="1:2" x14ac:dyDescent="0.35">
      <c r="A10266" s="34">
        <v>42301505</v>
      </c>
      <c r="B10266" s="35" t="s">
        <v>18742</v>
      </c>
    </row>
    <row r="10267" spans="1:2" x14ac:dyDescent="0.35">
      <c r="A10267" s="34">
        <v>42301506</v>
      </c>
      <c r="B10267" s="35" t="s">
        <v>19590</v>
      </c>
    </row>
    <row r="10268" spans="1:2" x14ac:dyDescent="0.35">
      <c r="A10268" s="34">
        <v>42301507</v>
      </c>
      <c r="B10268" s="35" t="s">
        <v>18447</v>
      </c>
    </row>
    <row r="10269" spans="1:2" x14ac:dyDescent="0.35">
      <c r="A10269" s="34">
        <v>42301508</v>
      </c>
      <c r="B10269" s="35" t="s">
        <v>3024</v>
      </c>
    </row>
    <row r="10270" spans="1:2" x14ac:dyDescent="0.35">
      <c r="A10270" s="34">
        <v>42311501</v>
      </c>
      <c r="B10270" s="35" t="s">
        <v>7002</v>
      </c>
    </row>
    <row r="10271" spans="1:2" x14ac:dyDescent="0.35">
      <c r="A10271" s="34">
        <v>42311502</v>
      </c>
      <c r="B10271" s="35" t="s">
        <v>3289</v>
      </c>
    </row>
    <row r="10272" spans="1:2" x14ac:dyDescent="0.35">
      <c r="A10272" s="34">
        <v>42311503</v>
      </c>
      <c r="B10272" s="35" t="s">
        <v>9003</v>
      </c>
    </row>
    <row r="10273" spans="1:2" x14ac:dyDescent="0.35">
      <c r="A10273" s="34">
        <v>42311504</v>
      </c>
      <c r="B10273" s="35" t="s">
        <v>16573</v>
      </c>
    </row>
    <row r="10274" spans="1:2" x14ac:dyDescent="0.35">
      <c r="A10274" s="34">
        <v>42311505</v>
      </c>
      <c r="B10274" s="35" t="s">
        <v>654</v>
      </c>
    </row>
    <row r="10275" spans="1:2" x14ac:dyDescent="0.35">
      <c r="A10275" s="34">
        <v>42311506</v>
      </c>
      <c r="B10275" s="35" t="s">
        <v>2549</v>
      </c>
    </row>
    <row r="10276" spans="1:2" x14ac:dyDescent="0.35">
      <c r="A10276" s="34">
        <v>42311507</v>
      </c>
      <c r="B10276" s="35" t="s">
        <v>7678</v>
      </c>
    </row>
    <row r="10277" spans="1:2" x14ac:dyDescent="0.35">
      <c r="A10277" s="34">
        <v>42311508</v>
      </c>
      <c r="B10277" s="35" t="s">
        <v>8322</v>
      </c>
    </row>
    <row r="10278" spans="1:2" x14ac:dyDescent="0.35">
      <c r="A10278" s="34">
        <v>42311509</v>
      </c>
      <c r="B10278" s="35" t="s">
        <v>6131</v>
      </c>
    </row>
    <row r="10279" spans="1:2" x14ac:dyDescent="0.35">
      <c r="A10279" s="34">
        <v>42311510</v>
      </c>
      <c r="B10279" s="35" t="s">
        <v>11109</v>
      </c>
    </row>
    <row r="10280" spans="1:2" x14ac:dyDescent="0.35">
      <c r="A10280" s="34">
        <v>42311511</v>
      </c>
      <c r="B10280" s="35" t="s">
        <v>10647</v>
      </c>
    </row>
    <row r="10281" spans="1:2" x14ac:dyDescent="0.35">
      <c r="A10281" s="34">
        <v>42311512</v>
      </c>
      <c r="B10281" s="35" t="s">
        <v>7594</v>
      </c>
    </row>
    <row r="10282" spans="1:2" x14ac:dyDescent="0.35">
      <c r="A10282" s="34">
        <v>42311513</v>
      </c>
      <c r="B10282" s="35" t="s">
        <v>8614</v>
      </c>
    </row>
    <row r="10283" spans="1:2" x14ac:dyDescent="0.35">
      <c r="A10283" s="34">
        <v>42311514</v>
      </c>
      <c r="B10283" s="35" t="s">
        <v>2065</v>
      </c>
    </row>
    <row r="10284" spans="1:2" x14ac:dyDescent="0.35">
      <c r="A10284" s="34">
        <v>42311515</v>
      </c>
      <c r="B10284" s="35" t="s">
        <v>9354</v>
      </c>
    </row>
    <row r="10285" spans="1:2" x14ac:dyDescent="0.35">
      <c r="A10285" s="34">
        <v>42311516</v>
      </c>
      <c r="B10285" s="35" t="s">
        <v>594</v>
      </c>
    </row>
    <row r="10286" spans="1:2" x14ac:dyDescent="0.35">
      <c r="A10286" s="34">
        <v>42311517</v>
      </c>
      <c r="B10286" s="35" t="s">
        <v>10032</v>
      </c>
    </row>
    <row r="10287" spans="1:2" x14ac:dyDescent="0.35">
      <c r="A10287" s="34">
        <v>42311518</v>
      </c>
      <c r="B10287" s="35" t="s">
        <v>5155</v>
      </c>
    </row>
    <row r="10288" spans="1:2" x14ac:dyDescent="0.35">
      <c r="A10288" s="34">
        <v>42311519</v>
      </c>
      <c r="B10288" s="35" t="s">
        <v>1817</v>
      </c>
    </row>
    <row r="10289" spans="1:2" x14ac:dyDescent="0.35">
      <c r="A10289" s="34">
        <v>42311520</v>
      </c>
      <c r="B10289" s="35" t="s">
        <v>14378</v>
      </c>
    </row>
    <row r="10290" spans="1:2" x14ac:dyDescent="0.35">
      <c r="A10290" s="34">
        <v>42311521</v>
      </c>
      <c r="B10290" s="35" t="s">
        <v>13988</v>
      </c>
    </row>
    <row r="10291" spans="1:2" x14ac:dyDescent="0.35">
      <c r="A10291" s="34">
        <v>42311522</v>
      </c>
      <c r="B10291" s="35" t="s">
        <v>2874</v>
      </c>
    </row>
    <row r="10292" spans="1:2" x14ac:dyDescent="0.35">
      <c r="A10292" s="34">
        <v>42311523</v>
      </c>
      <c r="B10292" s="35" t="s">
        <v>3254</v>
      </c>
    </row>
    <row r="10293" spans="1:2" x14ac:dyDescent="0.35">
      <c r="A10293" s="34">
        <v>42311524</v>
      </c>
      <c r="B10293" s="35" t="s">
        <v>12676</v>
      </c>
    </row>
    <row r="10294" spans="1:2" x14ac:dyDescent="0.35">
      <c r="A10294" s="34">
        <v>42311525</v>
      </c>
      <c r="B10294" s="35" t="s">
        <v>14597</v>
      </c>
    </row>
    <row r="10295" spans="1:2" x14ac:dyDescent="0.35">
      <c r="A10295" s="34">
        <v>42311526</v>
      </c>
      <c r="B10295" s="35" t="s">
        <v>18288</v>
      </c>
    </row>
    <row r="10296" spans="1:2" x14ac:dyDescent="0.35">
      <c r="A10296" s="34">
        <v>42311527</v>
      </c>
      <c r="B10296" s="35" t="s">
        <v>7144</v>
      </c>
    </row>
    <row r="10297" spans="1:2" x14ac:dyDescent="0.35">
      <c r="A10297" s="34">
        <v>42311528</v>
      </c>
      <c r="B10297" s="35" t="s">
        <v>3968</v>
      </c>
    </row>
    <row r="10298" spans="1:2" x14ac:dyDescent="0.35">
      <c r="A10298" s="34">
        <v>42311531</v>
      </c>
      <c r="B10298" s="35" t="s">
        <v>16696</v>
      </c>
    </row>
    <row r="10299" spans="1:2" x14ac:dyDescent="0.35">
      <c r="A10299" s="34">
        <v>42311532</v>
      </c>
      <c r="B10299" s="35" t="s">
        <v>12741</v>
      </c>
    </row>
    <row r="10300" spans="1:2" x14ac:dyDescent="0.35">
      <c r="A10300" s="34">
        <v>42311537</v>
      </c>
      <c r="B10300" s="35" t="s">
        <v>14144</v>
      </c>
    </row>
    <row r="10301" spans="1:2" x14ac:dyDescent="0.35">
      <c r="A10301" s="34">
        <v>42311538</v>
      </c>
      <c r="B10301" s="35" t="s">
        <v>873</v>
      </c>
    </row>
    <row r="10302" spans="1:2" x14ac:dyDescent="0.35">
      <c r="A10302" s="34">
        <v>42311539</v>
      </c>
      <c r="B10302" s="35" t="s">
        <v>19148</v>
      </c>
    </row>
    <row r="10303" spans="1:2" x14ac:dyDescent="0.35">
      <c r="A10303" s="34">
        <v>42311601</v>
      </c>
      <c r="B10303" s="35" t="s">
        <v>9541</v>
      </c>
    </row>
    <row r="10304" spans="1:2" x14ac:dyDescent="0.35">
      <c r="A10304" s="34">
        <v>42311602</v>
      </c>
      <c r="B10304" s="35" t="s">
        <v>15610</v>
      </c>
    </row>
    <row r="10305" spans="1:2" x14ac:dyDescent="0.35">
      <c r="A10305" s="34">
        <v>42311603</v>
      </c>
      <c r="B10305" s="35" t="s">
        <v>18303</v>
      </c>
    </row>
    <row r="10306" spans="1:2" x14ac:dyDescent="0.35">
      <c r="A10306" s="34">
        <v>42311604</v>
      </c>
      <c r="B10306" s="35" t="s">
        <v>1711</v>
      </c>
    </row>
    <row r="10307" spans="1:2" x14ac:dyDescent="0.35">
      <c r="A10307" s="34">
        <v>42311702</v>
      </c>
      <c r="B10307" s="35" t="s">
        <v>7797</v>
      </c>
    </row>
    <row r="10308" spans="1:2" x14ac:dyDescent="0.35">
      <c r="A10308" s="34">
        <v>42311703</v>
      </c>
      <c r="B10308" s="35" t="s">
        <v>16134</v>
      </c>
    </row>
    <row r="10309" spans="1:2" x14ac:dyDescent="0.35">
      <c r="A10309" s="34">
        <v>42311704</v>
      </c>
      <c r="B10309" s="35" t="s">
        <v>4828</v>
      </c>
    </row>
    <row r="10310" spans="1:2" x14ac:dyDescent="0.35">
      <c r="A10310" s="34">
        <v>42311705</v>
      </c>
      <c r="B10310" s="35" t="s">
        <v>13131</v>
      </c>
    </row>
    <row r="10311" spans="1:2" x14ac:dyDescent="0.35">
      <c r="A10311" s="34">
        <v>42311707</v>
      </c>
      <c r="B10311" s="35" t="s">
        <v>17824</v>
      </c>
    </row>
    <row r="10312" spans="1:2" x14ac:dyDescent="0.35">
      <c r="A10312" s="34">
        <v>42311708</v>
      </c>
      <c r="B10312" s="35" t="s">
        <v>15757</v>
      </c>
    </row>
    <row r="10313" spans="1:2" x14ac:dyDescent="0.35">
      <c r="A10313" s="34">
        <v>42311901</v>
      </c>
      <c r="B10313" s="35" t="s">
        <v>8776</v>
      </c>
    </row>
    <row r="10314" spans="1:2" x14ac:dyDescent="0.35">
      <c r="A10314" s="34">
        <v>42311902</v>
      </c>
      <c r="B10314" s="35" t="s">
        <v>14790</v>
      </c>
    </row>
    <row r="10315" spans="1:2" x14ac:dyDescent="0.35">
      <c r="A10315" s="34">
        <v>42311903</v>
      </c>
      <c r="B10315" s="35" t="s">
        <v>8140</v>
      </c>
    </row>
    <row r="10316" spans="1:2" x14ac:dyDescent="0.35">
      <c r="A10316" s="34">
        <v>42312001</v>
      </c>
      <c r="B10316" s="35" t="s">
        <v>10673</v>
      </c>
    </row>
    <row r="10317" spans="1:2" x14ac:dyDescent="0.35">
      <c r="A10317" s="34">
        <v>42312002</v>
      </c>
      <c r="B10317" s="35" t="s">
        <v>12727</v>
      </c>
    </row>
    <row r="10318" spans="1:2" x14ac:dyDescent="0.35">
      <c r="A10318" s="34">
        <v>42312003</v>
      </c>
      <c r="B10318" s="35" t="s">
        <v>17715</v>
      </c>
    </row>
    <row r="10319" spans="1:2" x14ac:dyDescent="0.35">
      <c r="A10319" s="34">
        <v>42312004</v>
      </c>
      <c r="B10319" s="35" t="s">
        <v>6063</v>
      </c>
    </row>
    <row r="10320" spans="1:2" x14ac:dyDescent="0.35">
      <c r="A10320" s="34">
        <v>42312005</v>
      </c>
      <c r="B10320" s="35" t="s">
        <v>5313</v>
      </c>
    </row>
    <row r="10321" spans="1:2" x14ac:dyDescent="0.35">
      <c r="A10321" s="34">
        <v>42312006</v>
      </c>
      <c r="B10321" s="35" t="s">
        <v>11084</v>
      </c>
    </row>
    <row r="10322" spans="1:2" x14ac:dyDescent="0.35">
      <c r="A10322" s="34">
        <v>42312007</v>
      </c>
      <c r="B10322" s="35" t="s">
        <v>7861</v>
      </c>
    </row>
    <row r="10323" spans="1:2" x14ac:dyDescent="0.35">
      <c r="A10323" s="34">
        <v>42312008</v>
      </c>
      <c r="B10323" s="35" t="s">
        <v>17114</v>
      </c>
    </row>
    <row r="10324" spans="1:2" x14ac:dyDescent="0.35">
      <c r="A10324" s="34">
        <v>42312009</v>
      </c>
      <c r="B10324" s="35" t="s">
        <v>12097</v>
      </c>
    </row>
    <row r="10325" spans="1:2" x14ac:dyDescent="0.35">
      <c r="A10325" s="34">
        <v>42312010</v>
      </c>
      <c r="B10325" s="35" t="s">
        <v>10636</v>
      </c>
    </row>
    <row r="10326" spans="1:2" x14ac:dyDescent="0.35">
      <c r="A10326" s="34">
        <v>42312011</v>
      </c>
      <c r="B10326" s="35" t="s">
        <v>9506</v>
      </c>
    </row>
    <row r="10327" spans="1:2" x14ac:dyDescent="0.35">
      <c r="A10327" s="34">
        <v>42312012</v>
      </c>
      <c r="B10327" s="35" t="s">
        <v>3775</v>
      </c>
    </row>
    <row r="10328" spans="1:2" x14ac:dyDescent="0.35">
      <c r="A10328" s="34">
        <v>42312014</v>
      </c>
      <c r="B10328" s="35" t="s">
        <v>18350</v>
      </c>
    </row>
    <row r="10329" spans="1:2" x14ac:dyDescent="0.35">
      <c r="A10329" s="34">
        <v>42312101</v>
      </c>
      <c r="B10329" s="35" t="s">
        <v>19637</v>
      </c>
    </row>
    <row r="10330" spans="1:2" x14ac:dyDescent="0.35">
      <c r="A10330" s="34">
        <v>42312102</v>
      </c>
      <c r="B10330" s="35" t="s">
        <v>3008</v>
      </c>
    </row>
    <row r="10331" spans="1:2" x14ac:dyDescent="0.35">
      <c r="A10331" s="34">
        <v>42312103</v>
      </c>
      <c r="B10331" s="35" t="s">
        <v>5444</v>
      </c>
    </row>
    <row r="10332" spans="1:2" x14ac:dyDescent="0.35">
      <c r="A10332" s="34">
        <v>42312104</v>
      </c>
      <c r="B10332" s="35" t="s">
        <v>9530</v>
      </c>
    </row>
    <row r="10333" spans="1:2" x14ac:dyDescent="0.35">
      <c r="A10333" s="34">
        <v>42312105</v>
      </c>
      <c r="B10333" s="35" t="s">
        <v>17640</v>
      </c>
    </row>
    <row r="10334" spans="1:2" x14ac:dyDescent="0.35">
      <c r="A10334" s="34">
        <v>42312106</v>
      </c>
      <c r="B10334" s="35" t="s">
        <v>14401</v>
      </c>
    </row>
    <row r="10335" spans="1:2" x14ac:dyDescent="0.35">
      <c r="A10335" s="34">
        <v>42312107</v>
      </c>
      <c r="B10335" s="35" t="s">
        <v>11453</v>
      </c>
    </row>
    <row r="10336" spans="1:2" x14ac:dyDescent="0.35">
      <c r="A10336" s="34">
        <v>42312108</v>
      </c>
      <c r="B10336" s="35" t="s">
        <v>2158</v>
      </c>
    </row>
    <row r="10337" spans="1:2" x14ac:dyDescent="0.35">
      <c r="A10337" s="34">
        <v>42312109</v>
      </c>
      <c r="B10337" s="35" t="s">
        <v>5344</v>
      </c>
    </row>
    <row r="10338" spans="1:2" x14ac:dyDescent="0.35">
      <c r="A10338" s="34">
        <v>42312110</v>
      </c>
      <c r="B10338" s="35" t="s">
        <v>3371</v>
      </c>
    </row>
    <row r="10339" spans="1:2" x14ac:dyDescent="0.35">
      <c r="A10339" s="34">
        <v>42312111</v>
      </c>
      <c r="B10339" s="35" t="s">
        <v>12385</v>
      </c>
    </row>
    <row r="10340" spans="1:2" x14ac:dyDescent="0.35">
      <c r="A10340" s="34">
        <v>42312112</v>
      </c>
      <c r="B10340" s="35" t="s">
        <v>2461</v>
      </c>
    </row>
    <row r="10341" spans="1:2" x14ac:dyDescent="0.35">
      <c r="A10341" s="34">
        <v>42312113</v>
      </c>
      <c r="B10341" s="35" t="s">
        <v>10853</v>
      </c>
    </row>
    <row r="10342" spans="1:2" x14ac:dyDescent="0.35">
      <c r="A10342" s="34">
        <v>42312114</v>
      </c>
      <c r="B10342" s="35" t="s">
        <v>375</v>
      </c>
    </row>
    <row r="10343" spans="1:2" x14ac:dyDescent="0.35">
      <c r="A10343" s="34">
        <v>42312115</v>
      </c>
      <c r="B10343" s="35" t="s">
        <v>1550</v>
      </c>
    </row>
    <row r="10344" spans="1:2" x14ac:dyDescent="0.35">
      <c r="A10344" s="34">
        <v>42312201</v>
      </c>
      <c r="B10344" s="35" t="s">
        <v>15497</v>
      </c>
    </row>
    <row r="10345" spans="1:2" x14ac:dyDescent="0.35">
      <c r="A10345" s="34">
        <v>42312202</v>
      </c>
      <c r="B10345" s="35" t="s">
        <v>6673</v>
      </c>
    </row>
    <row r="10346" spans="1:2" x14ac:dyDescent="0.35">
      <c r="A10346" s="34">
        <v>42312203</v>
      </c>
      <c r="B10346" s="35" t="s">
        <v>9563</v>
      </c>
    </row>
    <row r="10347" spans="1:2" x14ac:dyDescent="0.35">
      <c r="A10347" s="34">
        <v>42312204</v>
      </c>
      <c r="B10347" s="35" t="s">
        <v>6503</v>
      </c>
    </row>
    <row r="10348" spans="1:2" x14ac:dyDescent="0.35">
      <c r="A10348" s="34">
        <v>42312205</v>
      </c>
      <c r="B10348" s="35" t="s">
        <v>6729</v>
      </c>
    </row>
    <row r="10349" spans="1:2" x14ac:dyDescent="0.35">
      <c r="A10349" s="34">
        <v>42312206</v>
      </c>
      <c r="B10349" s="35" t="s">
        <v>19043</v>
      </c>
    </row>
    <row r="10350" spans="1:2" x14ac:dyDescent="0.35">
      <c r="A10350" s="34">
        <v>42312207</v>
      </c>
      <c r="B10350" s="35" t="s">
        <v>13285</v>
      </c>
    </row>
    <row r="10351" spans="1:2" x14ac:dyDescent="0.35">
      <c r="A10351" s="34">
        <v>42312208</v>
      </c>
      <c r="B10351" s="35" t="s">
        <v>3193</v>
      </c>
    </row>
    <row r="10352" spans="1:2" x14ac:dyDescent="0.35">
      <c r="A10352" s="34">
        <v>42312301</v>
      </c>
      <c r="B10352" s="35" t="s">
        <v>4372</v>
      </c>
    </row>
    <row r="10353" spans="1:2" x14ac:dyDescent="0.35">
      <c r="A10353" s="34">
        <v>42312302</v>
      </c>
      <c r="B10353" s="35" t="s">
        <v>11085</v>
      </c>
    </row>
    <row r="10354" spans="1:2" x14ac:dyDescent="0.35">
      <c r="A10354" s="34">
        <v>42312303</v>
      </c>
      <c r="B10354" s="35" t="s">
        <v>9111</v>
      </c>
    </row>
    <row r="10355" spans="1:2" x14ac:dyDescent="0.35">
      <c r="A10355" s="34">
        <v>42312304</v>
      </c>
      <c r="B10355" s="35" t="s">
        <v>5817</v>
      </c>
    </row>
    <row r="10356" spans="1:2" x14ac:dyDescent="0.35">
      <c r="A10356" s="34">
        <v>42312305</v>
      </c>
      <c r="B10356" s="35" t="s">
        <v>5579</v>
      </c>
    </row>
    <row r="10357" spans="1:2" x14ac:dyDescent="0.35">
      <c r="A10357" s="34">
        <v>42312306</v>
      </c>
      <c r="B10357" s="35" t="s">
        <v>16934</v>
      </c>
    </row>
    <row r="10358" spans="1:2" x14ac:dyDescent="0.35">
      <c r="A10358" s="34">
        <v>42312307</v>
      </c>
      <c r="B10358" s="35" t="s">
        <v>15498</v>
      </c>
    </row>
    <row r="10359" spans="1:2" x14ac:dyDescent="0.35">
      <c r="A10359" s="34">
        <v>42312309</v>
      </c>
      <c r="B10359" s="35" t="s">
        <v>14898</v>
      </c>
    </row>
    <row r="10360" spans="1:2" x14ac:dyDescent="0.35">
      <c r="A10360" s="34">
        <v>42312310</v>
      </c>
      <c r="B10360" s="35" t="s">
        <v>5667</v>
      </c>
    </row>
    <row r="10361" spans="1:2" x14ac:dyDescent="0.35">
      <c r="A10361" s="34">
        <v>42312311</v>
      </c>
      <c r="B10361" s="35" t="s">
        <v>9817</v>
      </c>
    </row>
    <row r="10362" spans="1:2" x14ac:dyDescent="0.35">
      <c r="A10362" s="34">
        <v>42312312</v>
      </c>
      <c r="B10362" s="35" t="s">
        <v>5080</v>
      </c>
    </row>
    <row r="10363" spans="1:2" x14ac:dyDescent="0.35">
      <c r="A10363" s="34">
        <v>42312313</v>
      </c>
      <c r="B10363" s="35" t="s">
        <v>18757</v>
      </c>
    </row>
    <row r="10364" spans="1:2" x14ac:dyDescent="0.35">
      <c r="A10364" s="34">
        <v>42312401</v>
      </c>
      <c r="B10364" s="35" t="s">
        <v>9325</v>
      </c>
    </row>
    <row r="10365" spans="1:2" x14ac:dyDescent="0.35">
      <c r="A10365" s="34">
        <v>42312402</v>
      </c>
      <c r="B10365" s="35" t="s">
        <v>3098</v>
      </c>
    </row>
    <row r="10366" spans="1:2" x14ac:dyDescent="0.35">
      <c r="A10366" s="34">
        <v>42312403</v>
      </c>
      <c r="B10366" s="35" t="s">
        <v>14836</v>
      </c>
    </row>
    <row r="10367" spans="1:2" x14ac:dyDescent="0.35">
      <c r="A10367" s="34">
        <v>42312501</v>
      </c>
      <c r="B10367" s="35" t="s">
        <v>8405</v>
      </c>
    </row>
    <row r="10368" spans="1:2" x14ac:dyDescent="0.35">
      <c r="A10368" s="34">
        <v>42312502</v>
      </c>
      <c r="B10368" s="35" t="s">
        <v>3836</v>
      </c>
    </row>
    <row r="10369" spans="1:2" x14ac:dyDescent="0.35">
      <c r="A10369" s="34">
        <v>42312503</v>
      </c>
      <c r="B10369" s="35" t="s">
        <v>8533</v>
      </c>
    </row>
    <row r="10370" spans="1:2" x14ac:dyDescent="0.35">
      <c r="A10370" s="34">
        <v>43191501</v>
      </c>
      <c r="B10370" s="35" t="s">
        <v>10512</v>
      </c>
    </row>
    <row r="10371" spans="1:2" x14ac:dyDescent="0.35">
      <c r="A10371" s="34">
        <v>43191502</v>
      </c>
      <c r="B10371" s="35" t="s">
        <v>9972</v>
      </c>
    </row>
    <row r="10372" spans="1:2" x14ac:dyDescent="0.35">
      <c r="A10372" s="34">
        <v>43191503</v>
      </c>
      <c r="B10372" s="35" t="s">
        <v>9580</v>
      </c>
    </row>
    <row r="10373" spans="1:2" x14ac:dyDescent="0.35">
      <c r="A10373" s="34">
        <v>43191504</v>
      </c>
      <c r="B10373" s="35" t="s">
        <v>16867</v>
      </c>
    </row>
    <row r="10374" spans="1:2" x14ac:dyDescent="0.35">
      <c r="A10374" s="34">
        <v>43191505</v>
      </c>
      <c r="B10374" s="35" t="s">
        <v>18</v>
      </c>
    </row>
    <row r="10375" spans="1:2" x14ac:dyDescent="0.35">
      <c r="A10375" s="34">
        <v>43191507</v>
      </c>
      <c r="B10375" s="35" t="s">
        <v>14372</v>
      </c>
    </row>
    <row r="10376" spans="1:2" x14ac:dyDescent="0.35">
      <c r="A10376" s="34">
        <v>43191508</v>
      </c>
      <c r="B10376" s="35" t="s">
        <v>682</v>
      </c>
    </row>
    <row r="10377" spans="1:2" x14ac:dyDescent="0.35">
      <c r="A10377" s="34">
        <v>43191509</v>
      </c>
      <c r="B10377" s="35" t="s">
        <v>972</v>
      </c>
    </row>
    <row r="10378" spans="1:2" x14ac:dyDescent="0.35">
      <c r="A10378" s="34">
        <v>43191510</v>
      </c>
      <c r="B10378" s="35" t="s">
        <v>18845</v>
      </c>
    </row>
    <row r="10379" spans="1:2" x14ac:dyDescent="0.35">
      <c r="A10379" s="34">
        <v>43191601</v>
      </c>
      <c r="B10379" s="35" t="s">
        <v>14254</v>
      </c>
    </row>
    <row r="10380" spans="1:2" x14ac:dyDescent="0.35">
      <c r="A10380" s="34">
        <v>43191602</v>
      </c>
      <c r="B10380" s="35" t="s">
        <v>18547</v>
      </c>
    </row>
    <row r="10381" spans="1:2" x14ac:dyDescent="0.35">
      <c r="A10381" s="34">
        <v>43191603</v>
      </c>
      <c r="B10381" s="35" t="s">
        <v>11385</v>
      </c>
    </row>
    <row r="10382" spans="1:2" x14ac:dyDescent="0.35">
      <c r="A10382" s="34">
        <v>43191604</v>
      </c>
      <c r="B10382" s="35" t="s">
        <v>16329</v>
      </c>
    </row>
    <row r="10383" spans="1:2" x14ac:dyDescent="0.35">
      <c r="A10383" s="34">
        <v>43191605</v>
      </c>
      <c r="B10383" s="35" t="s">
        <v>1726</v>
      </c>
    </row>
    <row r="10384" spans="1:2" x14ac:dyDescent="0.35">
      <c r="A10384" s="34">
        <v>43191606</v>
      </c>
      <c r="B10384" s="35" t="s">
        <v>16080</v>
      </c>
    </row>
    <row r="10385" spans="1:2" x14ac:dyDescent="0.35">
      <c r="A10385" s="34">
        <v>43191607</v>
      </c>
      <c r="B10385" s="35" t="s">
        <v>18717</v>
      </c>
    </row>
    <row r="10386" spans="1:2" x14ac:dyDescent="0.35">
      <c r="A10386" s="34">
        <v>43191608</v>
      </c>
      <c r="B10386" s="35" t="s">
        <v>782</v>
      </c>
    </row>
    <row r="10387" spans="1:2" x14ac:dyDescent="0.35">
      <c r="A10387" s="34">
        <v>43191609</v>
      </c>
      <c r="B10387" s="35" t="s">
        <v>5835</v>
      </c>
    </row>
    <row r="10388" spans="1:2" x14ac:dyDescent="0.35">
      <c r="A10388" s="34">
        <v>43191610</v>
      </c>
      <c r="B10388" s="35" t="s">
        <v>199</v>
      </c>
    </row>
    <row r="10389" spans="1:2" x14ac:dyDescent="0.35">
      <c r="A10389" s="34">
        <v>43191611</v>
      </c>
      <c r="B10389" s="35" t="s">
        <v>9010</v>
      </c>
    </row>
    <row r="10390" spans="1:2" x14ac:dyDescent="0.35">
      <c r="A10390" s="34">
        <v>43191612</v>
      </c>
      <c r="B10390" s="35" t="s">
        <v>11553</v>
      </c>
    </row>
    <row r="10391" spans="1:2" x14ac:dyDescent="0.35">
      <c r="A10391" s="34">
        <v>43191614</v>
      </c>
      <c r="B10391" s="35" t="s">
        <v>13177</v>
      </c>
    </row>
    <row r="10392" spans="1:2" x14ac:dyDescent="0.35">
      <c r="A10392" s="34">
        <v>43191615</v>
      </c>
      <c r="B10392" s="35" t="s">
        <v>4549</v>
      </c>
    </row>
    <row r="10393" spans="1:2" x14ac:dyDescent="0.35">
      <c r="A10393" s="34">
        <v>43191616</v>
      </c>
      <c r="B10393" s="35" t="s">
        <v>12032</v>
      </c>
    </row>
    <row r="10394" spans="1:2" x14ac:dyDescent="0.35">
      <c r="A10394" s="34">
        <v>43191618</v>
      </c>
      <c r="B10394" s="35" t="s">
        <v>1093</v>
      </c>
    </row>
    <row r="10395" spans="1:2" x14ac:dyDescent="0.35">
      <c r="A10395" s="34">
        <v>43191619</v>
      </c>
      <c r="B10395" s="35" t="s">
        <v>2872</v>
      </c>
    </row>
    <row r="10396" spans="1:2" x14ac:dyDescent="0.35">
      <c r="A10396" s="34">
        <v>43191621</v>
      </c>
      <c r="B10396" s="35" t="s">
        <v>2361</v>
      </c>
    </row>
    <row r="10397" spans="1:2" x14ac:dyDescent="0.35">
      <c r="A10397" s="34">
        <v>43191622</v>
      </c>
      <c r="B10397" s="35" t="s">
        <v>10107</v>
      </c>
    </row>
    <row r="10398" spans="1:2" x14ac:dyDescent="0.35">
      <c r="A10398" s="34">
        <v>43191623</v>
      </c>
      <c r="B10398" s="35" t="s">
        <v>3903</v>
      </c>
    </row>
    <row r="10399" spans="1:2" x14ac:dyDescent="0.35">
      <c r="A10399" s="34">
        <v>43191624</v>
      </c>
      <c r="B10399" s="35" t="s">
        <v>814</v>
      </c>
    </row>
    <row r="10400" spans="1:2" x14ac:dyDescent="0.35">
      <c r="A10400" s="34">
        <v>43191625</v>
      </c>
      <c r="B10400" s="35" t="s">
        <v>17072</v>
      </c>
    </row>
    <row r="10401" spans="1:2" x14ac:dyDescent="0.35">
      <c r="A10401" s="34">
        <v>43191626</v>
      </c>
      <c r="B10401" s="35" t="s">
        <v>8451</v>
      </c>
    </row>
    <row r="10402" spans="1:2" x14ac:dyDescent="0.35">
      <c r="A10402" s="34">
        <v>43191627</v>
      </c>
      <c r="B10402" s="35" t="s">
        <v>1441</v>
      </c>
    </row>
    <row r="10403" spans="1:2" x14ac:dyDescent="0.35">
      <c r="A10403" s="34">
        <v>43191628</v>
      </c>
      <c r="B10403" s="35" t="s">
        <v>9647</v>
      </c>
    </row>
    <row r="10404" spans="1:2" x14ac:dyDescent="0.35">
      <c r="A10404" s="34">
        <v>43191629</v>
      </c>
      <c r="B10404" s="35" t="s">
        <v>18540</v>
      </c>
    </row>
    <row r="10405" spans="1:2" x14ac:dyDescent="0.35">
      <c r="A10405" s="34">
        <v>43191630</v>
      </c>
      <c r="B10405" s="35" t="s">
        <v>6367</v>
      </c>
    </row>
    <row r="10406" spans="1:2" x14ac:dyDescent="0.35">
      <c r="A10406" s="34">
        <v>43201401</v>
      </c>
      <c r="B10406" s="35" t="s">
        <v>14466</v>
      </c>
    </row>
    <row r="10407" spans="1:2" x14ac:dyDescent="0.35">
      <c r="A10407" s="34">
        <v>43201402</v>
      </c>
      <c r="B10407" s="35" t="s">
        <v>7245</v>
      </c>
    </row>
    <row r="10408" spans="1:2" x14ac:dyDescent="0.35">
      <c r="A10408" s="34">
        <v>43201403</v>
      </c>
      <c r="B10408" s="35" t="s">
        <v>17636</v>
      </c>
    </row>
    <row r="10409" spans="1:2" x14ac:dyDescent="0.35">
      <c r="A10409" s="34">
        <v>43201404</v>
      </c>
      <c r="B10409" s="35" t="s">
        <v>12266</v>
      </c>
    </row>
    <row r="10410" spans="1:2" x14ac:dyDescent="0.35">
      <c r="A10410" s="34">
        <v>43201405</v>
      </c>
      <c r="B10410" s="35" t="s">
        <v>15733</v>
      </c>
    </row>
    <row r="10411" spans="1:2" x14ac:dyDescent="0.35">
      <c r="A10411" s="34">
        <v>43201406</v>
      </c>
      <c r="B10411" s="35" t="s">
        <v>992</v>
      </c>
    </row>
    <row r="10412" spans="1:2" x14ac:dyDescent="0.35">
      <c r="A10412" s="34">
        <v>43201407</v>
      </c>
      <c r="B10412" s="35" t="s">
        <v>13763</v>
      </c>
    </row>
    <row r="10413" spans="1:2" x14ac:dyDescent="0.35">
      <c r="A10413" s="34">
        <v>43201408</v>
      </c>
      <c r="B10413" s="35" t="s">
        <v>2758</v>
      </c>
    </row>
    <row r="10414" spans="1:2" x14ac:dyDescent="0.35">
      <c r="A10414" s="34">
        <v>43201409</v>
      </c>
      <c r="B10414" s="35" t="s">
        <v>577</v>
      </c>
    </row>
    <row r="10415" spans="1:2" x14ac:dyDescent="0.35">
      <c r="A10415" s="34">
        <v>43201410</v>
      </c>
      <c r="B10415" s="35" t="s">
        <v>4761</v>
      </c>
    </row>
    <row r="10416" spans="1:2" x14ac:dyDescent="0.35">
      <c r="A10416" s="34">
        <v>43201501</v>
      </c>
      <c r="B10416" s="35" t="s">
        <v>2622</v>
      </c>
    </row>
    <row r="10417" spans="1:2" x14ac:dyDescent="0.35">
      <c r="A10417" s="34">
        <v>43201502</v>
      </c>
      <c r="B10417" s="35" t="s">
        <v>11493</v>
      </c>
    </row>
    <row r="10418" spans="1:2" x14ac:dyDescent="0.35">
      <c r="A10418" s="34">
        <v>43201503</v>
      </c>
      <c r="B10418" s="35" t="s">
        <v>11111</v>
      </c>
    </row>
    <row r="10419" spans="1:2" x14ac:dyDescent="0.35">
      <c r="A10419" s="34">
        <v>43201507</v>
      </c>
      <c r="B10419" s="35" t="s">
        <v>4544</v>
      </c>
    </row>
    <row r="10420" spans="1:2" x14ac:dyDescent="0.35">
      <c r="A10420" s="34">
        <v>43201508</v>
      </c>
      <c r="B10420" s="35" t="s">
        <v>10963</v>
      </c>
    </row>
    <row r="10421" spans="1:2" x14ac:dyDescent="0.35">
      <c r="A10421" s="34">
        <v>43201509</v>
      </c>
      <c r="B10421" s="35" t="s">
        <v>12427</v>
      </c>
    </row>
    <row r="10422" spans="1:2" x14ac:dyDescent="0.35">
      <c r="A10422" s="34">
        <v>43201513</v>
      </c>
      <c r="B10422" s="35" t="s">
        <v>15501</v>
      </c>
    </row>
    <row r="10423" spans="1:2" x14ac:dyDescent="0.35">
      <c r="A10423" s="34">
        <v>43201522</v>
      </c>
      <c r="B10423" s="35" t="s">
        <v>4924</v>
      </c>
    </row>
    <row r="10424" spans="1:2" x14ac:dyDescent="0.35">
      <c r="A10424" s="34">
        <v>43201531</v>
      </c>
      <c r="B10424" s="35" t="s">
        <v>16999</v>
      </c>
    </row>
    <row r="10425" spans="1:2" x14ac:dyDescent="0.35">
      <c r="A10425" s="34">
        <v>43201533</v>
      </c>
      <c r="B10425" s="35" t="s">
        <v>6463</v>
      </c>
    </row>
    <row r="10426" spans="1:2" x14ac:dyDescent="0.35">
      <c r="A10426" s="34">
        <v>43201534</v>
      </c>
      <c r="B10426" s="35" t="s">
        <v>1697</v>
      </c>
    </row>
    <row r="10427" spans="1:2" x14ac:dyDescent="0.35">
      <c r="A10427" s="34">
        <v>43201535</v>
      </c>
      <c r="B10427" s="35" t="s">
        <v>5036</v>
      </c>
    </row>
    <row r="10428" spans="1:2" x14ac:dyDescent="0.35">
      <c r="A10428" s="34">
        <v>43201537</v>
      </c>
      <c r="B10428" s="35" t="s">
        <v>18832</v>
      </c>
    </row>
    <row r="10429" spans="1:2" x14ac:dyDescent="0.35">
      <c r="A10429" s="34">
        <v>43201538</v>
      </c>
      <c r="B10429" s="35" t="s">
        <v>18706</v>
      </c>
    </row>
    <row r="10430" spans="1:2" x14ac:dyDescent="0.35">
      <c r="A10430" s="34">
        <v>43201539</v>
      </c>
      <c r="B10430" s="35" t="s">
        <v>2210</v>
      </c>
    </row>
    <row r="10431" spans="1:2" x14ac:dyDescent="0.35">
      <c r="A10431" s="34">
        <v>43201540</v>
      </c>
      <c r="B10431" s="35" t="s">
        <v>19474</v>
      </c>
    </row>
    <row r="10432" spans="1:2" x14ac:dyDescent="0.35">
      <c r="A10432" s="34">
        <v>43201541</v>
      </c>
      <c r="B10432" s="35" t="s">
        <v>6511</v>
      </c>
    </row>
    <row r="10433" spans="1:2" x14ac:dyDescent="0.35">
      <c r="A10433" s="34">
        <v>43201542</v>
      </c>
      <c r="B10433" s="35" t="s">
        <v>15778</v>
      </c>
    </row>
    <row r="10434" spans="1:2" x14ac:dyDescent="0.35">
      <c r="A10434" s="34">
        <v>43201543</v>
      </c>
      <c r="B10434" s="35" t="s">
        <v>11764</v>
      </c>
    </row>
    <row r="10435" spans="1:2" x14ac:dyDescent="0.35">
      <c r="A10435" s="34">
        <v>43201544</v>
      </c>
      <c r="B10435" s="35" t="s">
        <v>12602</v>
      </c>
    </row>
    <row r="10436" spans="1:2" x14ac:dyDescent="0.35">
      <c r="A10436" s="34">
        <v>43201545</v>
      </c>
      <c r="B10436" s="35" t="s">
        <v>17791</v>
      </c>
    </row>
    <row r="10437" spans="1:2" x14ac:dyDescent="0.35">
      <c r="A10437" s="34">
        <v>43201546</v>
      </c>
      <c r="B10437" s="35" t="s">
        <v>10719</v>
      </c>
    </row>
    <row r="10438" spans="1:2" x14ac:dyDescent="0.35">
      <c r="A10438" s="34">
        <v>43201547</v>
      </c>
      <c r="B10438" s="35" t="s">
        <v>8460</v>
      </c>
    </row>
    <row r="10439" spans="1:2" x14ac:dyDescent="0.35">
      <c r="A10439" s="34">
        <v>43201549</v>
      </c>
      <c r="B10439" s="35" t="s">
        <v>15379</v>
      </c>
    </row>
    <row r="10440" spans="1:2" x14ac:dyDescent="0.35">
      <c r="A10440" s="34">
        <v>43201550</v>
      </c>
      <c r="B10440" s="35" t="s">
        <v>7274</v>
      </c>
    </row>
    <row r="10441" spans="1:2" x14ac:dyDescent="0.35">
      <c r="A10441" s="34">
        <v>43201552</v>
      </c>
      <c r="B10441" s="35" t="s">
        <v>18191</v>
      </c>
    </row>
    <row r="10442" spans="1:2" x14ac:dyDescent="0.35">
      <c r="A10442" s="34">
        <v>43201553</v>
      </c>
      <c r="B10442" s="35" t="s">
        <v>18970</v>
      </c>
    </row>
    <row r="10443" spans="1:2" x14ac:dyDescent="0.35">
      <c r="A10443" s="34">
        <v>43201601</v>
      </c>
      <c r="B10443" s="35" t="s">
        <v>16494</v>
      </c>
    </row>
    <row r="10444" spans="1:2" x14ac:dyDescent="0.35">
      <c r="A10444" s="34">
        <v>43201602</v>
      </c>
      <c r="B10444" s="35" t="s">
        <v>3738</v>
      </c>
    </row>
    <row r="10445" spans="1:2" x14ac:dyDescent="0.35">
      <c r="A10445" s="34">
        <v>43201603</v>
      </c>
      <c r="B10445" s="35" t="s">
        <v>18374</v>
      </c>
    </row>
    <row r="10446" spans="1:2" x14ac:dyDescent="0.35">
      <c r="A10446" s="34">
        <v>43201604</v>
      </c>
      <c r="B10446" s="35" t="s">
        <v>4158</v>
      </c>
    </row>
    <row r="10447" spans="1:2" x14ac:dyDescent="0.35">
      <c r="A10447" s="34">
        <v>43201605</v>
      </c>
      <c r="B10447" s="35" t="s">
        <v>19635</v>
      </c>
    </row>
    <row r="10448" spans="1:2" x14ac:dyDescent="0.35">
      <c r="A10448" s="34">
        <v>43201608</v>
      </c>
      <c r="B10448" s="35" t="s">
        <v>6749</v>
      </c>
    </row>
    <row r="10449" spans="1:2" x14ac:dyDescent="0.35">
      <c r="A10449" s="34">
        <v>43201609</v>
      </c>
      <c r="B10449" s="35" t="s">
        <v>16809</v>
      </c>
    </row>
    <row r="10450" spans="1:2" x14ac:dyDescent="0.35">
      <c r="A10450" s="34">
        <v>43201610</v>
      </c>
      <c r="B10450" s="35" t="s">
        <v>11884</v>
      </c>
    </row>
    <row r="10451" spans="1:2" x14ac:dyDescent="0.35">
      <c r="A10451" s="34">
        <v>43201611</v>
      </c>
      <c r="B10451" s="35" t="s">
        <v>10417</v>
      </c>
    </row>
    <row r="10452" spans="1:2" x14ac:dyDescent="0.35">
      <c r="A10452" s="34">
        <v>43201612</v>
      </c>
      <c r="B10452" s="35" t="s">
        <v>3529</v>
      </c>
    </row>
    <row r="10453" spans="1:2" x14ac:dyDescent="0.35">
      <c r="A10453" s="34">
        <v>43201614</v>
      </c>
      <c r="B10453" s="35" t="s">
        <v>14330</v>
      </c>
    </row>
    <row r="10454" spans="1:2" x14ac:dyDescent="0.35">
      <c r="A10454" s="34">
        <v>43201615</v>
      </c>
      <c r="B10454" s="35" t="s">
        <v>4285</v>
      </c>
    </row>
    <row r="10455" spans="1:2" x14ac:dyDescent="0.35">
      <c r="A10455" s="34">
        <v>43201616</v>
      </c>
      <c r="B10455" s="35" t="s">
        <v>10838</v>
      </c>
    </row>
    <row r="10456" spans="1:2" x14ac:dyDescent="0.35">
      <c r="A10456" s="34">
        <v>43201801</v>
      </c>
      <c r="B10456" s="35" t="s">
        <v>4156</v>
      </c>
    </row>
    <row r="10457" spans="1:2" x14ac:dyDescent="0.35">
      <c r="A10457" s="34">
        <v>43201802</v>
      </c>
      <c r="B10457" s="35" t="s">
        <v>17684</v>
      </c>
    </row>
    <row r="10458" spans="1:2" x14ac:dyDescent="0.35">
      <c r="A10458" s="34">
        <v>43201803</v>
      </c>
      <c r="B10458" s="35" t="s">
        <v>17549</v>
      </c>
    </row>
    <row r="10459" spans="1:2" x14ac:dyDescent="0.35">
      <c r="A10459" s="34">
        <v>43201806</v>
      </c>
      <c r="B10459" s="35" t="s">
        <v>8148</v>
      </c>
    </row>
    <row r="10460" spans="1:2" x14ac:dyDescent="0.35">
      <c r="A10460" s="34">
        <v>43201807</v>
      </c>
      <c r="B10460" s="35" t="s">
        <v>6858</v>
      </c>
    </row>
    <row r="10461" spans="1:2" x14ac:dyDescent="0.35">
      <c r="A10461" s="34">
        <v>43201808</v>
      </c>
      <c r="B10461" s="35" t="s">
        <v>4376</v>
      </c>
    </row>
    <row r="10462" spans="1:2" x14ac:dyDescent="0.35">
      <c r="A10462" s="34">
        <v>43201809</v>
      </c>
      <c r="B10462" s="35" t="s">
        <v>10075</v>
      </c>
    </row>
    <row r="10463" spans="1:2" x14ac:dyDescent="0.35">
      <c r="A10463" s="34">
        <v>43201810</v>
      </c>
      <c r="B10463" s="35" t="s">
        <v>4335</v>
      </c>
    </row>
    <row r="10464" spans="1:2" x14ac:dyDescent="0.35">
      <c r="A10464" s="34">
        <v>43201811</v>
      </c>
      <c r="B10464" s="35" t="s">
        <v>13898</v>
      </c>
    </row>
    <row r="10465" spans="1:2" x14ac:dyDescent="0.35">
      <c r="A10465" s="34">
        <v>43201812</v>
      </c>
      <c r="B10465" s="35" t="s">
        <v>3180</v>
      </c>
    </row>
    <row r="10466" spans="1:2" x14ac:dyDescent="0.35">
      <c r="A10466" s="34">
        <v>43201813</v>
      </c>
      <c r="B10466" s="35" t="s">
        <v>6275</v>
      </c>
    </row>
    <row r="10467" spans="1:2" x14ac:dyDescent="0.35">
      <c r="A10467" s="34">
        <v>43201814</v>
      </c>
      <c r="B10467" s="35" t="s">
        <v>2880</v>
      </c>
    </row>
    <row r="10468" spans="1:2" x14ac:dyDescent="0.35">
      <c r="A10468" s="34">
        <v>43201815</v>
      </c>
      <c r="B10468" s="35" t="s">
        <v>13903</v>
      </c>
    </row>
    <row r="10469" spans="1:2" x14ac:dyDescent="0.35">
      <c r="A10469" s="34">
        <v>43201902</v>
      </c>
      <c r="B10469" s="35" t="s">
        <v>9343</v>
      </c>
    </row>
    <row r="10470" spans="1:2" x14ac:dyDescent="0.35">
      <c r="A10470" s="34">
        <v>43201903</v>
      </c>
      <c r="B10470" s="35" t="s">
        <v>2123</v>
      </c>
    </row>
    <row r="10471" spans="1:2" x14ac:dyDescent="0.35">
      <c r="A10471" s="34">
        <v>43202001</v>
      </c>
      <c r="B10471" s="35" t="s">
        <v>1523</v>
      </c>
    </row>
    <row r="10472" spans="1:2" x14ac:dyDescent="0.35">
      <c r="A10472" s="34">
        <v>43202002</v>
      </c>
      <c r="B10472" s="35" t="s">
        <v>10148</v>
      </c>
    </row>
    <row r="10473" spans="1:2" x14ac:dyDescent="0.35">
      <c r="A10473" s="34">
        <v>43202003</v>
      </c>
      <c r="B10473" s="35" t="s">
        <v>4867</v>
      </c>
    </row>
    <row r="10474" spans="1:2" x14ac:dyDescent="0.35">
      <c r="A10474" s="34">
        <v>43202004</v>
      </c>
      <c r="B10474" s="35" t="s">
        <v>2574</v>
      </c>
    </row>
    <row r="10475" spans="1:2" x14ac:dyDescent="0.35">
      <c r="A10475" s="34">
        <v>43202005</v>
      </c>
      <c r="B10475" s="35" t="s">
        <v>17327</v>
      </c>
    </row>
    <row r="10476" spans="1:2" x14ac:dyDescent="0.35">
      <c r="A10476" s="34">
        <v>43202101</v>
      </c>
      <c r="B10476" s="35" t="s">
        <v>8874</v>
      </c>
    </row>
    <row r="10477" spans="1:2" x14ac:dyDescent="0.35">
      <c r="A10477" s="34">
        <v>43202102</v>
      </c>
      <c r="B10477" s="35" t="s">
        <v>4625</v>
      </c>
    </row>
    <row r="10478" spans="1:2" x14ac:dyDescent="0.35">
      <c r="A10478" s="34">
        <v>43202103</v>
      </c>
      <c r="B10478" s="35" t="s">
        <v>15978</v>
      </c>
    </row>
    <row r="10479" spans="1:2" x14ac:dyDescent="0.35">
      <c r="A10479" s="34">
        <v>43202104</v>
      </c>
      <c r="B10479" s="35" t="s">
        <v>1192</v>
      </c>
    </row>
    <row r="10480" spans="1:2" x14ac:dyDescent="0.35">
      <c r="A10480" s="34">
        <v>43202105</v>
      </c>
      <c r="B10480" s="35" t="s">
        <v>430</v>
      </c>
    </row>
    <row r="10481" spans="1:2" x14ac:dyDescent="0.35">
      <c r="A10481" s="34">
        <v>43202201</v>
      </c>
      <c r="B10481" s="35" t="s">
        <v>15232</v>
      </c>
    </row>
    <row r="10482" spans="1:2" x14ac:dyDescent="0.35">
      <c r="A10482" s="34">
        <v>43202202</v>
      </c>
      <c r="B10482" s="35" t="s">
        <v>7521</v>
      </c>
    </row>
    <row r="10483" spans="1:2" x14ac:dyDescent="0.35">
      <c r="A10483" s="34">
        <v>43202204</v>
      </c>
      <c r="B10483" s="35" t="s">
        <v>647</v>
      </c>
    </row>
    <row r="10484" spans="1:2" x14ac:dyDescent="0.35">
      <c r="A10484" s="34">
        <v>43202205</v>
      </c>
      <c r="B10484" s="35" t="s">
        <v>14829</v>
      </c>
    </row>
    <row r="10485" spans="1:2" x14ac:dyDescent="0.35">
      <c r="A10485" s="34">
        <v>43202206</v>
      </c>
      <c r="B10485" s="35" t="s">
        <v>5781</v>
      </c>
    </row>
    <row r="10486" spans="1:2" x14ac:dyDescent="0.35">
      <c r="A10486" s="34">
        <v>43202207</v>
      </c>
      <c r="B10486" s="35" t="s">
        <v>1409</v>
      </c>
    </row>
    <row r="10487" spans="1:2" x14ac:dyDescent="0.35">
      <c r="A10487" s="34">
        <v>43202208</v>
      </c>
      <c r="B10487" s="35" t="s">
        <v>12716</v>
      </c>
    </row>
    <row r="10488" spans="1:2" x14ac:dyDescent="0.35">
      <c r="A10488" s="34">
        <v>43202209</v>
      </c>
      <c r="B10488" s="35" t="s">
        <v>8197</v>
      </c>
    </row>
    <row r="10489" spans="1:2" x14ac:dyDescent="0.35">
      <c r="A10489" s="34">
        <v>43202210</v>
      </c>
      <c r="B10489" s="35" t="s">
        <v>4510</v>
      </c>
    </row>
    <row r="10490" spans="1:2" x14ac:dyDescent="0.35">
      <c r="A10490" s="34">
        <v>43202211</v>
      </c>
      <c r="B10490" s="35" t="s">
        <v>13071</v>
      </c>
    </row>
    <row r="10491" spans="1:2" x14ac:dyDescent="0.35">
      <c r="A10491" s="34">
        <v>43202212</v>
      </c>
      <c r="B10491" s="35" t="s">
        <v>5110</v>
      </c>
    </row>
    <row r="10492" spans="1:2" x14ac:dyDescent="0.35">
      <c r="A10492" s="34">
        <v>43202213</v>
      </c>
      <c r="B10492" s="35" t="s">
        <v>9670</v>
      </c>
    </row>
    <row r="10493" spans="1:2" x14ac:dyDescent="0.35">
      <c r="A10493" s="34">
        <v>43202214</v>
      </c>
      <c r="B10493" s="35" t="s">
        <v>19487</v>
      </c>
    </row>
    <row r="10494" spans="1:2" x14ac:dyDescent="0.35">
      <c r="A10494" s="34">
        <v>43211501</v>
      </c>
      <c r="B10494" s="35" t="s">
        <v>16689</v>
      </c>
    </row>
    <row r="10495" spans="1:2" x14ac:dyDescent="0.35">
      <c r="A10495" s="34">
        <v>43211502</v>
      </c>
      <c r="B10495" s="35" t="s">
        <v>14922</v>
      </c>
    </row>
    <row r="10496" spans="1:2" x14ac:dyDescent="0.35">
      <c r="A10496" s="34">
        <v>43211503</v>
      </c>
      <c r="B10496" s="35" t="s">
        <v>14253</v>
      </c>
    </row>
    <row r="10497" spans="1:2" x14ac:dyDescent="0.35">
      <c r="A10497" s="34">
        <v>43211504</v>
      </c>
      <c r="B10497" s="35" t="s">
        <v>16377</v>
      </c>
    </row>
    <row r="10498" spans="1:2" x14ac:dyDescent="0.35">
      <c r="A10498" s="34">
        <v>43211505</v>
      </c>
      <c r="B10498" s="35" t="s">
        <v>822</v>
      </c>
    </row>
    <row r="10499" spans="1:2" x14ac:dyDescent="0.35">
      <c r="A10499" s="34">
        <v>43211506</v>
      </c>
      <c r="B10499" s="35" t="s">
        <v>9615</v>
      </c>
    </row>
    <row r="10500" spans="1:2" x14ac:dyDescent="0.35">
      <c r="A10500" s="34">
        <v>43211507</v>
      </c>
      <c r="B10500" s="35" t="s">
        <v>217</v>
      </c>
    </row>
    <row r="10501" spans="1:2" x14ac:dyDescent="0.35">
      <c r="A10501" s="34">
        <v>43211508</v>
      </c>
      <c r="B10501" s="35" t="s">
        <v>7551</v>
      </c>
    </row>
    <row r="10502" spans="1:2" x14ac:dyDescent="0.35">
      <c r="A10502" s="34">
        <v>43211509</v>
      </c>
      <c r="B10502" s="35" t="s">
        <v>8121</v>
      </c>
    </row>
    <row r="10503" spans="1:2" x14ac:dyDescent="0.35">
      <c r="A10503" s="34">
        <v>43211510</v>
      </c>
      <c r="B10503" s="35" t="s">
        <v>4866</v>
      </c>
    </row>
    <row r="10504" spans="1:2" x14ac:dyDescent="0.35">
      <c r="A10504" s="34">
        <v>43211511</v>
      </c>
      <c r="B10504" s="35" t="s">
        <v>2202</v>
      </c>
    </row>
    <row r="10505" spans="1:2" x14ac:dyDescent="0.35">
      <c r="A10505" s="34">
        <v>43211512</v>
      </c>
      <c r="B10505" s="35" t="s">
        <v>12435</v>
      </c>
    </row>
    <row r="10506" spans="1:2" x14ac:dyDescent="0.35">
      <c r="A10506" s="34">
        <v>43211601</v>
      </c>
      <c r="B10506" s="35" t="s">
        <v>5133</v>
      </c>
    </row>
    <row r="10507" spans="1:2" x14ac:dyDescent="0.35">
      <c r="A10507" s="34">
        <v>43211602</v>
      </c>
      <c r="B10507" s="35" t="s">
        <v>12477</v>
      </c>
    </row>
    <row r="10508" spans="1:2" x14ac:dyDescent="0.35">
      <c r="A10508" s="34">
        <v>43211603</v>
      </c>
      <c r="B10508" s="35" t="s">
        <v>14014</v>
      </c>
    </row>
    <row r="10509" spans="1:2" x14ac:dyDescent="0.35">
      <c r="A10509" s="34">
        <v>43211604</v>
      </c>
      <c r="B10509" s="35" t="s">
        <v>19250</v>
      </c>
    </row>
    <row r="10510" spans="1:2" x14ac:dyDescent="0.35">
      <c r="A10510" s="34">
        <v>43211605</v>
      </c>
      <c r="B10510" s="35" t="s">
        <v>17248</v>
      </c>
    </row>
    <row r="10511" spans="1:2" x14ac:dyDescent="0.35">
      <c r="A10511" s="34">
        <v>43211606</v>
      </c>
      <c r="B10511" s="35" t="s">
        <v>5900</v>
      </c>
    </row>
    <row r="10512" spans="1:2" x14ac:dyDescent="0.35">
      <c r="A10512" s="34">
        <v>43211607</v>
      </c>
      <c r="B10512" s="35" t="s">
        <v>9682</v>
      </c>
    </row>
    <row r="10513" spans="1:2" x14ac:dyDescent="0.35">
      <c r="A10513" s="34">
        <v>43211608</v>
      </c>
      <c r="B10513" s="35" t="s">
        <v>12960</v>
      </c>
    </row>
    <row r="10514" spans="1:2" x14ac:dyDescent="0.35">
      <c r="A10514" s="34">
        <v>43211609</v>
      </c>
      <c r="B10514" s="35" t="s">
        <v>14379</v>
      </c>
    </row>
    <row r="10515" spans="1:2" x14ac:dyDescent="0.35">
      <c r="A10515" s="34">
        <v>43211701</v>
      </c>
      <c r="B10515" s="35" t="s">
        <v>4336</v>
      </c>
    </row>
    <row r="10516" spans="1:2" x14ac:dyDescent="0.35">
      <c r="A10516" s="34">
        <v>43211702</v>
      </c>
      <c r="B10516" s="35" t="s">
        <v>10039</v>
      </c>
    </row>
    <row r="10517" spans="1:2" x14ac:dyDescent="0.35">
      <c r="A10517" s="34">
        <v>43211704</v>
      </c>
      <c r="B10517" s="35" t="s">
        <v>10813</v>
      </c>
    </row>
    <row r="10518" spans="1:2" x14ac:dyDescent="0.35">
      <c r="A10518" s="34">
        <v>43211705</v>
      </c>
      <c r="B10518" s="35" t="s">
        <v>3042</v>
      </c>
    </row>
    <row r="10519" spans="1:2" x14ac:dyDescent="0.35">
      <c r="A10519" s="34">
        <v>43211706</v>
      </c>
      <c r="B10519" s="35" t="s">
        <v>5857</v>
      </c>
    </row>
    <row r="10520" spans="1:2" x14ac:dyDescent="0.35">
      <c r="A10520" s="34">
        <v>43211707</v>
      </c>
      <c r="B10520" s="35" t="s">
        <v>13113</v>
      </c>
    </row>
    <row r="10521" spans="1:2" x14ac:dyDescent="0.35">
      <c r="A10521" s="34">
        <v>43211708</v>
      </c>
      <c r="B10521" s="35" t="s">
        <v>3942</v>
      </c>
    </row>
    <row r="10522" spans="1:2" x14ac:dyDescent="0.35">
      <c r="A10522" s="34">
        <v>43211709</v>
      </c>
      <c r="B10522" s="35" t="s">
        <v>16004</v>
      </c>
    </row>
    <row r="10523" spans="1:2" x14ac:dyDescent="0.35">
      <c r="A10523" s="34">
        <v>43211710</v>
      </c>
      <c r="B10523" s="35" t="s">
        <v>7649</v>
      </c>
    </row>
    <row r="10524" spans="1:2" x14ac:dyDescent="0.35">
      <c r="A10524" s="34">
        <v>43211711</v>
      </c>
      <c r="B10524" s="35" t="s">
        <v>11818</v>
      </c>
    </row>
    <row r="10525" spans="1:2" x14ac:dyDescent="0.35">
      <c r="A10525" s="34">
        <v>43211712</v>
      </c>
      <c r="B10525" s="35" t="s">
        <v>3217</v>
      </c>
    </row>
    <row r="10526" spans="1:2" x14ac:dyDescent="0.35">
      <c r="A10526" s="34">
        <v>43211713</v>
      </c>
      <c r="B10526" s="35" t="s">
        <v>18944</v>
      </c>
    </row>
    <row r="10527" spans="1:2" x14ac:dyDescent="0.35">
      <c r="A10527" s="34">
        <v>43211714</v>
      </c>
      <c r="B10527" s="35" t="s">
        <v>16887</v>
      </c>
    </row>
    <row r="10528" spans="1:2" x14ac:dyDescent="0.35">
      <c r="A10528" s="34">
        <v>43211715</v>
      </c>
      <c r="B10528" s="35" t="s">
        <v>11219</v>
      </c>
    </row>
    <row r="10529" spans="1:2" x14ac:dyDescent="0.35">
      <c r="A10529" s="34">
        <v>43211717</v>
      </c>
      <c r="B10529" s="35" t="s">
        <v>17417</v>
      </c>
    </row>
    <row r="10530" spans="1:2" x14ac:dyDescent="0.35">
      <c r="A10530" s="34">
        <v>43211718</v>
      </c>
      <c r="B10530" s="35" t="s">
        <v>17706</v>
      </c>
    </row>
    <row r="10531" spans="1:2" x14ac:dyDescent="0.35">
      <c r="A10531" s="34">
        <v>43211719</v>
      </c>
      <c r="B10531" s="35" t="s">
        <v>6883</v>
      </c>
    </row>
    <row r="10532" spans="1:2" x14ac:dyDescent="0.35">
      <c r="A10532" s="34">
        <v>43211720</v>
      </c>
      <c r="B10532" s="35" t="s">
        <v>8694</v>
      </c>
    </row>
    <row r="10533" spans="1:2" x14ac:dyDescent="0.35">
      <c r="A10533" s="34">
        <v>43211721</v>
      </c>
      <c r="B10533" s="35" t="s">
        <v>3839</v>
      </c>
    </row>
    <row r="10534" spans="1:2" x14ac:dyDescent="0.35">
      <c r="A10534" s="34">
        <v>43211801</v>
      </c>
      <c r="B10534" s="35" t="s">
        <v>15413</v>
      </c>
    </row>
    <row r="10535" spans="1:2" x14ac:dyDescent="0.35">
      <c r="A10535" s="34">
        <v>43211802</v>
      </c>
      <c r="B10535" s="35" t="s">
        <v>14064</v>
      </c>
    </row>
    <row r="10536" spans="1:2" x14ac:dyDescent="0.35">
      <c r="A10536" s="34">
        <v>43211803</v>
      </c>
      <c r="B10536" s="35" t="s">
        <v>16559</v>
      </c>
    </row>
    <row r="10537" spans="1:2" x14ac:dyDescent="0.35">
      <c r="A10537" s="34">
        <v>43211804</v>
      </c>
      <c r="B10537" s="35" t="s">
        <v>811</v>
      </c>
    </row>
    <row r="10538" spans="1:2" x14ac:dyDescent="0.35">
      <c r="A10538" s="34">
        <v>43211805</v>
      </c>
      <c r="B10538" s="35" t="s">
        <v>8521</v>
      </c>
    </row>
    <row r="10539" spans="1:2" x14ac:dyDescent="0.35">
      <c r="A10539" s="34">
        <v>43211901</v>
      </c>
      <c r="B10539" s="35" t="s">
        <v>4131</v>
      </c>
    </row>
    <row r="10540" spans="1:2" x14ac:dyDescent="0.35">
      <c r="A10540" s="34">
        <v>43211902</v>
      </c>
      <c r="B10540" s="35" t="s">
        <v>17424</v>
      </c>
    </row>
    <row r="10541" spans="1:2" x14ac:dyDescent="0.35">
      <c r="A10541" s="34">
        <v>43211903</v>
      </c>
      <c r="B10541" s="35" t="s">
        <v>18362</v>
      </c>
    </row>
    <row r="10542" spans="1:2" x14ac:dyDescent="0.35">
      <c r="A10542" s="34">
        <v>43211904</v>
      </c>
      <c r="B10542" s="35" t="s">
        <v>19252</v>
      </c>
    </row>
    <row r="10543" spans="1:2" x14ac:dyDescent="0.35">
      <c r="A10543" s="34">
        <v>43211905</v>
      </c>
      <c r="B10543" s="35" t="s">
        <v>1374</v>
      </c>
    </row>
    <row r="10544" spans="1:2" x14ac:dyDescent="0.35">
      <c r="A10544" s="34">
        <v>43212001</v>
      </c>
      <c r="B10544" s="35" t="s">
        <v>16905</v>
      </c>
    </row>
    <row r="10545" spans="1:2" x14ac:dyDescent="0.35">
      <c r="A10545" s="34">
        <v>43212002</v>
      </c>
      <c r="B10545" s="35" t="s">
        <v>9302</v>
      </c>
    </row>
    <row r="10546" spans="1:2" x14ac:dyDescent="0.35">
      <c r="A10546" s="34">
        <v>43212101</v>
      </c>
      <c r="B10546" s="35" t="s">
        <v>17633</v>
      </c>
    </row>
    <row r="10547" spans="1:2" x14ac:dyDescent="0.35">
      <c r="A10547" s="34">
        <v>43212102</v>
      </c>
      <c r="B10547" s="35" t="s">
        <v>13771</v>
      </c>
    </row>
    <row r="10548" spans="1:2" x14ac:dyDescent="0.35">
      <c r="A10548" s="34">
        <v>43212103</v>
      </c>
      <c r="B10548" s="35" t="s">
        <v>14650</v>
      </c>
    </row>
    <row r="10549" spans="1:2" x14ac:dyDescent="0.35">
      <c r="A10549" s="34">
        <v>43212104</v>
      </c>
      <c r="B10549" s="35" t="s">
        <v>1988</v>
      </c>
    </row>
    <row r="10550" spans="1:2" x14ac:dyDescent="0.35">
      <c r="A10550" s="34">
        <v>43212105</v>
      </c>
      <c r="B10550" s="35" t="s">
        <v>12296</v>
      </c>
    </row>
    <row r="10551" spans="1:2" x14ac:dyDescent="0.35">
      <c r="A10551" s="34">
        <v>43212106</v>
      </c>
      <c r="B10551" s="35" t="s">
        <v>5698</v>
      </c>
    </row>
    <row r="10552" spans="1:2" x14ac:dyDescent="0.35">
      <c r="A10552" s="34">
        <v>43212107</v>
      </c>
      <c r="B10552" s="35" t="s">
        <v>8939</v>
      </c>
    </row>
    <row r="10553" spans="1:2" x14ac:dyDescent="0.35">
      <c r="A10553" s="34">
        <v>43212108</v>
      </c>
      <c r="B10553" s="35" t="s">
        <v>19278</v>
      </c>
    </row>
    <row r="10554" spans="1:2" x14ac:dyDescent="0.35">
      <c r="A10554" s="34">
        <v>43212109</v>
      </c>
      <c r="B10554" s="35" t="s">
        <v>17613</v>
      </c>
    </row>
    <row r="10555" spans="1:2" x14ac:dyDescent="0.35">
      <c r="A10555" s="34">
        <v>43212110</v>
      </c>
      <c r="B10555" s="35" t="s">
        <v>1790</v>
      </c>
    </row>
    <row r="10556" spans="1:2" x14ac:dyDescent="0.35">
      <c r="A10556" s="34">
        <v>43212111</v>
      </c>
      <c r="B10556" s="35" t="s">
        <v>781</v>
      </c>
    </row>
    <row r="10557" spans="1:2" x14ac:dyDescent="0.35">
      <c r="A10557" s="34">
        <v>43212112</v>
      </c>
      <c r="B10557" s="35" t="s">
        <v>16504</v>
      </c>
    </row>
    <row r="10558" spans="1:2" x14ac:dyDescent="0.35">
      <c r="A10558" s="34">
        <v>43212113</v>
      </c>
      <c r="B10558" s="35" t="s">
        <v>13832</v>
      </c>
    </row>
    <row r="10559" spans="1:2" x14ac:dyDescent="0.35">
      <c r="A10559" s="34">
        <v>43212114</v>
      </c>
      <c r="B10559" s="35" t="s">
        <v>2581</v>
      </c>
    </row>
    <row r="10560" spans="1:2" x14ac:dyDescent="0.35">
      <c r="A10560" s="34">
        <v>43221501</v>
      </c>
      <c r="B10560" s="35" t="s">
        <v>15480</v>
      </c>
    </row>
    <row r="10561" spans="1:2" x14ac:dyDescent="0.35">
      <c r="A10561" s="34">
        <v>43221502</v>
      </c>
      <c r="B10561" s="35" t="s">
        <v>17391</v>
      </c>
    </row>
    <row r="10562" spans="1:2" x14ac:dyDescent="0.35">
      <c r="A10562" s="34">
        <v>43221503</v>
      </c>
      <c r="B10562" s="35" t="s">
        <v>18403</v>
      </c>
    </row>
    <row r="10563" spans="1:2" x14ac:dyDescent="0.35">
      <c r="A10563" s="34">
        <v>43221504</v>
      </c>
      <c r="B10563" s="35" t="s">
        <v>14319</v>
      </c>
    </row>
    <row r="10564" spans="1:2" x14ac:dyDescent="0.35">
      <c r="A10564" s="34">
        <v>43221505</v>
      </c>
      <c r="B10564" s="35" t="s">
        <v>323</v>
      </c>
    </row>
    <row r="10565" spans="1:2" x14ac:dyDescent="0.35">
      <c r="A10565" s="34">
        <v>43221506</v>
      </c>
      <c r="B10565" s="35" t="s">
        <v>13335</v>
      </c>
    </row>
    <row r="10566" spans="1:2" x14ac:dyDescent="0.35">
      <c r="A10566" s="34">
        <v>43221507</v>
      </c>
      <c r="B10566" s="35" t="s">
        <v>10131</v>
      </c>
    </row>
    <row r="10567" spans="1:2" x14ac:dyDescent="0.35">
      <c r="A10567" s="34">
        <v>43221508</v>
      </c>
      <c r="B10567" s="35" t="s">
        <v>15711</v>
      </c>
    </row>
    <row r="10568" spans="1:2" x14ac:dyDescent="0.35">
      <c r="A10568" s="34">
        <v>43221509</v>
      </c>
      <c r="B10568" s="35" t="s">
        <v>3659</v>
      </c>
    </row>
    <row r="10569" spans="1:2" x14ac:dyDescent="0.35">
      <c r="A10569" s="34">
        <v>43221510</v>
      </c>
      <c r="B10569" s="35" t="s">
        <v>10183</v>
      </c>
    </row>
    <row r="10570" spans="1:2" x14ac:dyDescent="0.35">
      <c r="A10570" s="34">
        <v>43221513</v>
      </c>
      <c r="B10570" s="35" t="s">
        <v>6085</v>
      </c>
    </row>
    <row r="10571" spans="1:2" x14ac:dyDescent="0.35">
      <c r="A10571" s="34">
        <v>43221514</v>
      </c>
      <c r="B10571" s="35" t="s">
        <v>6949</v>
      </c>
    </row>
    <row r="10572" spans="1:2" x14ac:dyDescent="0.35">
      <c r="A10572" s="34">
        <v>43221515</v>
      </c>
      <c r="B10572" s="35" t="s">
        <v>8512</v>
      </c>
    </row>
    <row r="10573" spans="1:2" x14ac:dyDescent="0.35">
      <c r="A10573" s="34">
        <v>43221516</v>
      </c>
      <c r="B10573" s="35" t="s">
        <v>13981</v>
      </c>
    </row>
    <row r="10574" spans="1:2" x14ac:dyDescent="0.35">
      <c r="A10574" s="34">
        <v>43221517</v>
      </c>
      <c r="B10574" s="35" t="s">
        <v>562</v>
      </c>
    </row>
    <row r="10575" spans="1:2" x14ac:dyDescent="0.35">
      <c r="A10575" s="34">
        <v>43221518</v>
      </c>
      <c r="B10575" s="35" t="s">
        <v>15703</v>
      </c>
    </row>
    <row r="10576" spans="1:2" x14ac:dyDescent="0.35">
      <c r="A10576" s="34">
        <v>43221519</v>
      </c>
      <c r="B10576" s="35" t="s">
        <v>9341</v>
      </c>
    </row>
    <row r="10577" spans="1:2" x14ac:dyDescent="0.35">
      <c r="A10577" s="34">
        <v>43221520</v>
      </c>
      <c r="B10577" s="35" t="s">
        <v>14040</v>
      </c>
    </row>
    <row r="10578" spans="1:2" x14ac:dyDescent="0.35">
      <c r="A10578" s="34">
        <v>43221521</v>
      </c>
      <c r="B10578" s="35" t="s">
        <v>8240</v>
      </c>
    </row>
    <row r="10579" spans="1:2" x14ac:dyDescent="0.35">
      <c r="A10579" s="34">
        <v>43221522</v>
      </c>
      <c r="B10579" s="35" t="s">
        <v>3912</v>
      </c>
    </row>
    <row r="10580" spans="1:2" x14ac:dyDescent="0.35">
      <c r="A10580" s="34">
        <v>43221523</v>
      </c>
      <c r="B10580" s="35" t="s">
        <v>9711</v>
      </c>
    </row>
    <row r="10581" spans="1:2" x14ac:dyDescent="0.35">
      <c r="A10581" s="34">
        <v>43221524</v>
      </c>
      <c r="B10581" s="35" t="s">
        <v>6598</v>
      </c>
    </row>
    <row r="10582" spans="1:2" x14ac:dyDescent="0.35">
      <c r="A10582" s="34">
        <v>43221525</v>
      </c>
      <c r="B10582" s="35" t="s">
        <v>18958</v>
      </c>
    </row>
    <row r="10583" spans="1:2" x14ac:dyDescent="0.35">
      <c r="A10583" s="34">
        <v>43221526</v>
      </c>
      <c r="B10583" s="35" t="s">
        <v>11552</v>
      </c>
    </row>
    <row r="10584" spans="1:2" x14ac:dyDescent="0.35">
      <c r="A10584" s="34">
        <v>43221601</v>
      </c>
      <c r="B10584" s="35" t="s">
        <v>15280</v>
      </c>
    </row>
    <row r="10585" spans="1:2" x14ac:dyDescent="0.35">
      <c r="A10585" s="34">
        <v>43221602</v>
      </c>
      <c r="B10585" s="35" t="s">
        <v>6652</v>
      </c>
    </row>
    <row r="10586" spans="1:2" x14ac:dyDescent="0.35">
      <c r="A10586" s="34">
        <v>43221603</v>
      </c>
      <c r="B10586" s="35" t="s">
        <v>11305</v>
      </c>
    </row>
    <row r="10587" spans="1:2" x14ac:dyDescent="0.35">
      <c r="A10587" s="34">
        <v>43221701</v>
      </c>
      <c r="B10587" s="35" t="s">
        <v>13187</v>
      </c>
    </row>
    <row r="10588" spans="1:2" x14ac:dyDescent="0.35">
      <c r="A10588" s="34">
        <v>43221702</v>
      </c>
      <c r="B10588" s="35" t="s">
        <v>4611</v>
      </c>
    </row>
    <row r="10589" spans="1:2" x14ac:dyDescent="0.35">
      <c r="A10589" s="34">
        <v>43221703</v>
      </c>
      <c r="B10589" s="35" t="s">
        <v>4054</v>
      </c>
    </row>
    <row r="10590" spans="1:2" x14ac:dyDescent="0.35">
      <c r="A10590" s="34">
        <v>43221704</v>
      </c>
      <c r="B10590" s="35" t="s">
        <v>9262</v>
      </c>
    </row>
    <row r="10591" spans="1:2" x14ac:dyDescent="0.35">
      <c r="A10591" s="34">
        <v>43221705</v>
      </c>
      <c r="B10591" s="35" t="s">
        <v>1918</v>
      </c>
    </row>
    <row r="10592" spans="1:2" x14ac:dyDescent="0.35">
      <c r="A10592" s="34">
        <v>43221706</v>
      </c>
      <c r="B10592" s="35" t="s">
        <v>216</v>
      </c>
    </row>
    <row r="10593" spans="1:2" x14ac:dyDescent="0.35">
      <c r="A10593" s="34">
        <v>43221707</v>
      </c>
      <c r="B10593" s="35" t="s">
        <v>11569</v>
      </c>
    </row>
    <row r="10594" spans="1:2" x14ac:dyDescent="0.35">
      <c r="A10594" s="34">
        <v>43221708</v>
      </c>
      <c r="B10594" s="35" t="s">
        <v>12893</v>
      </c>
    </row>
    <row r="10595" spans="1:2" x14ac:dyDescent="0.35">
      <c r="A10595" s="34">
        <v>43221709</v>
      </c>
      <c r="B10595" s="35" t="s">
        <v>3797</v>
      </c>
    </row>
    <row r="10596" spans="1:2" x14ac:dyDescent="0.35">
      <c r="A10596" s="34">
        <v>43221710</v>
      </c>
      <c r="B10596" s="35" t="s">
        <v>16150</v>
      </c>
    </row>
    <row r="10597" spans="1:2" x14ac:dyDescent="0.35">
      <c r="A10597" s="34">
        <v>43221711</v>
      </c>
      <c r="B10597" s="35" t="s">
        <v>14598</v>
      </c>
    </row>
    <row r="10598" spans="1:2" x14ac:dyDescent="0.35">
      <c r="A10598" s="34">
        <v>43221712</v>
      </c>
      <c r="B10598" s="35" t="s">
        <v>1206</v>
      </c>
    </row>
    <row r="10599" spans="1:2" x14ac:dyDescent="0.35">
      <c r="A10599" s="34">
        <v>43221713</v>
      </c>
      <c r="B10599" s="35" t="s">
        <v>13949</v>
      </c>
    </row>
    <row r="10600" spans="1:2" x14ac:dyDescent="0.35">
      <c r="A10600" s="34">
        <v>43221714</v>
      </c>
      <c r="B10600" s="35" t="s">
        <v>7512</v>
      </c>
    </row>
    <row r="10601" spans="1:2" x14ac:dyDescent="0.35">
      <c r="A10601" s="34">
        <v>43221715</v>
      </c>
      <c r="B10601" s="35" t="s">
        <v>8558</v>
      </c>
    </row>
    <row r="10602" spans="1:2" x14ac:dyDescent="0.35">
      <c r="A10602" s="34">
        <v>43221716</v>
      </c>
      <c r="B10602" s="35" t="s">
        <v>9326</v>
      </c>
    </row>
    <row r="10603" spans="1:2" x14ac:dyDescent="0.35">
      <c r="A10603" s="34">
        <v>43221717</v>
      </c>
      <c r="B10603" s="35" t="s">
        <v>9974</v>
      </c>
    </row>
    <row r="10604" spans="1:2" x14ac:dyDescent="0.35">
      <c r="A10604" s="34">
        <v>43221718</v>
      </c>
      <c r="B10604" s="35" t="s">
        <v>1160</v>
      </c>
    </row>
    <row r="10605" spans="1:2" x14ac:dyDescent="0.35">
      <c r="A10605" s="34">
        <v>43221719</v>
      </c>
      <c r="B10605" s="35" t="s">
        <v>5191</v>
      </c>
    </row>
    <row r="10606" spans="1:2" x14ac:dyDescent="0.35">
      <c r="A10606" s="34">
        <v>43221720</v>
      </c>
      <c r="B10606" s="35" t="s">
        <v>8733</v>
      </c>
    </row>
    <row r="10607" spans="1:2" x14ac:dyDescent="0.35">
      <c r="A10607" s="34">
        <v>43221721</v>
      </c>
      <c r="B10607" s="35" t="s">
        <v>17963</v>
      </c>
    </row>
    <row r="10608" spans="1:2" x14ac:dyDescent="0.35">
      <c r="A10608" s="34">
        <v>43221801</v>
      </c>
      <c r="B10608" s="35" t="s">
        <v>6993</v>
      </c>
    </row>
    <row r="10609" spans="1:2" x14ac:dyDescent="0.35">
      <c r="A10609" s="34">
        <v>43221802</v>
      </c>
      <c r="B10609" s="35" t="s">
        <v>14643</v>
      </c>
    </row>
    <row r="10610" spans="1:2" x14ac:dyDescent="0.35">
      <c r="A10610" s="34">
        <v>43221803</v>
      </c>
      <c r="B10610" s="35" t="s">
        <v>13939</v>
      </c>
    </row>
    <row r="10611" spans="1:2" x14ac:dyDescent="0.35">
      <c r="A10611" s="34">
        <v>43221804</v>
      </c>
      <c r="B10611" s="35" t="s">
        <v>9989</v>
      </c>
    </row>
    <row r="10612" spans="1:2" x14ac:dyDescent="0.35">
      <c r="A10612" s="34">
        <v>43221805</v>
      </c>
      <c r="B10612" s="35" t="s">
        <v>11674</v>
      </c>
    </row>
    <row r="10613" spans="1:2" x14ac:dyDescent="0.35">
      <c r="A10613" s="34">
        <v>43221806</v>
      </c>
      <c r="B10613" s="35" t="s">
        <v>19225</v>
      </c>
    </row>
    <row r="10614" spans="1:2" x14ac:dyDescent="0.35">
      <c r="A10614" s="34">
        <v>43221807</v>
      </c>
      <c r="B10614" s="35" t="s">
        <v>12827</v>
      </c>
    </row>
    <row r="10615" spans="1:2" x14ac:dyDescent="0.35">
      <c r="A10615" s="34">
        <v>43221808</v>
      </c>
      <c r="B10615" s="35" t="s">
        <v>16644</v>
      </c>
    </row>
    <row r="10616" spans="1:2" x14ac:dyDescent="0.35">
      <c r="A10616" s="34">
        <v>43222501</v>
      </c>
      <c r="B10616" s="35" t="s">
        <v>9552</v>
      </c>
    </row>
    <row r="10617" spans="1:2" x14ac:dyDescent="0.35">
      <c r="A10617" s="34">
        <v>43222502</v>
      </c>
      <c r="B10617" s="35" t="s">
        <v>18670</v>
      </c>
    </row>
    <row r="10618" spans="1:2" x14ac:dyDescent="0.35">
      <c r="A10618" s="34">
        <v>43222503</v>
      </c>
      <c r="B10618" s="35" t="s">
        <v>3876</v>
      </c>
    </row>
    <row r="10619" spans="1:2" x14ac:dyDescent="0.35">
      <c r="A10619" s="34">
        <v>43222602</v>
      </c>
      <c r="B10619" s="35" t="s">
        <v>10475</v>
      </c>
    </row>
    <row r="10620" spans="1:2" x14ac:dyDescent="0.35">
      <c r="A10620" s="34">
        <v>43222604</v>
      </c>
      <c r="B10620" s="35" t="s">
        <v>9408</v>
      </c>
    </row>
    <row r="10621" spans="1:2" x14ac:dyDescent="0.35">
      <c r="A10621" s="34">
        <v>43222605</v>
      </c>
      <c r="B10621" s="35" t="s">
        <v>1300</v>
      </c>
    </row>
    <row r="10622" spans="1:2" x14ac:dyDescent="0.35">
      <c r="A10622" s="34">
        <v>43222606</v>
      </c>
      <c r="B10622" s="35" t="s">
        <v>11959</v>
      </c>
    </row>
    <row r="10623" spans="1:2" x14ac:dyDescent="0.35">
      <c r="A10623" s="34">
        <v>43222607</v>
      </c>
      <c r="B10623" s="35" t="s">
        <v>5188</v>
      </c>
    </row>
    <row r="10624" spans="1:2" x14ac:dyDescent="0.35">
      <c r="A10624" s="34">
        <v>43222608</v>
      </c>
      <c r="B10624" s="35" t="s">
        <v>8955</v>
      </c>
    </row>
    <row r="10625" spans="1:2" x14ac:dyDescent="0.35">
      <c r="A10625" s="34">
        <v>43222609</v>
      </c>
      <c r="B10625" s="35" t="s">
        <v>15131</v>
      </c>
    </row>
    <row r="10626" spans="1:2" x14ac:dyDescent="0.35">
      <c r="A10626" s="34">
        <v>43222610</v>
      </c>
      <c r="B10626" s="35" t="s">
        <v>4218</v>
      </c>
    </row>
    <row r="10627" spans="1:2" x14ac:dyDescent="0.35">
      <c r="A10627" s="34">
        <v>43222611</v>
      </c>
      <c r="B10627" s="35" t="s">
        <v>17933</v>
      </c>
    </row>
    <row r="10628" spans="1:2" x14ac:dyDescent="0.35">
      <c r="A10628" s="34">
        <v>43222612</v>
      </c>
      <c r="B10628" s="35" t="s">
        <v>17511</v>
      </c>
    </row>
    <row r="10629" spans="1:2" x14ac:dyDescent="0.35">
      <c r="A10629" s="34">
        <v>43222615</v>
      </c>
      <c r="B10629" s="35" t="s">
        <v>3645</v>
      </c>
    </row>
    <row r="10630" spans="1:2" x14ac:dyDescent="0.35">
      <c r="A10630" s="34">
        <v>43222619</v>
      </c>
      <c r="B10630" s="35" t="s">
        <v>3782</v>
      </c>
    </row>
    <row r="10631" spans="1:2" x14ac:dyDescent="0.35">
      <c r="A10631" s="34">
        <v>43222620</v>
      </c>
      <c r="B10631" s="35" t="s">
        <v>3275</v>
      </c>
    </row>
    <row r="10632" spans="1:2" x14ac:dyDescent="0.35">
      <c r="A10632" s="34">
        <v>43222621</v>
      </c>
      <c r="B10632" s="35" t="s">
        <v>5064</v>
      </c>
    </row>
    <row r="10633" spans="1:2" x14ac:dyDescent="0.35">
      <c r="A10633" s="34">
        <v>43222622</v>
      </c>
      <c r="B10633" s="35" t="s">
        <v>10421</v>
      </c>
    </row>
    <row r="10634" spans="1:2" x14ac:dyDescent="0.35">
      <c r="A10634" s="34">
        <v>43222623</v>
      </c>
      <c r="B10634" s="35" t="s">
        <v>18911</v>
      </c>
    </row>
    <row r="10635" spans="1:2" x14ac:dyDescent="0.35">
      <c r="A10635" s="34">
        <v>43222624</v>
      </c>
      <c r="B10635" s="35" t="s">
        <v>17621</v>
      </c>
    </row>
    <row r="10636" spans="1:2" x14ac:dyDescent="0.35">
      <c r="A10636" s="34">
        <v>43222625</v>
      </c>
      <c r="B10636" s="35" t="s">
        <v>639</v>
      </c>
    </row>
    <row r="10637" spans="1:2" x14ac:dyDescent="0.35">
      <c r="A10637" s="34">
        <v>43222626</v>
      </c>
      <c r="B10637" s="35" t="s">
        <v>6942</v>
      </c>
    </row>
    <row r="10638" spans="1:2" x14ac:dyDescent="0.35">
      <c r="A10638" s="34">
        <v>43222627</v>
      </c>
      <c r="B10638" s="35" t="s">
        <v>19029</v>
      </c>
    </row>
    <row r="10639" spans="1:2" x14ac:dyDescent="0.35">
      <c r="A10639" s="34">
        <v>43222628</v>
      </c>
      <c r="B10639" s="35" t="s">
        <v>11856</v>
      </c>
    </row>
    <row r="10640" spans="1:2" x14ac:dyDescent="0.35">
      <c r="A10640" s="34">
        <v>43222629</v>
      </c>
      <c r="B10640" s="35" t="s">
        <v>5955</v>
      </c>
    </row>
    <row r="10641" spans="1:2" x14ac:dyDescent="0.35">
      <c r="A10641" s="34">
        <v>43222630</v>
      </c>
      <c r="B10641" s="35" t="s">
        <v>14015</v>
      </c>
    </row>
    <row r="10642" spans="1:2" x14ac:dyDescent="0.35">
      <c r="A10642" s="34">
        <v>43222631</v>
      </c>
      <c r="B10642" s="35" t="s">
        <v>19404</v>
      </c>
    </row>
    <row r="10643" spans="1:2" x14ac:dyDescent="0.35">
      <c r="A10643" s="34">
        <v>43222632</v>
      </c>
      <c r="B10643" s="35" t="s">
        <v>13216</v>
      </c>
    </row>
    <row r="10644" spans="1:2" x14ac:dyDescent="0.35">
      <c r="A10644" s="34">
        <v>43222701</v>
      </c>
      <c r="B10644" s="35" t="s">
        <v>13319</v>
      </c>
    </row>
    <row r="10645" spans="1:2" x14ac:dyDescent="0.35">
      <c r="A10645" s="34">
        <v>43222702</v>
      </c>
      <c r="B10645" s="35" t="s">
        <v>16135</v>
      </c>
    </row>
    <row r="10646" spans="1:2" x14ac:dyDescent="0.35">
      <c r="A10646" s="34">
        <v>43222703</v>
      </c>
      <c r="B10646" s="35" t="s">
        <v>7894</v>
      </c>
    </row>
    <row r="10647" spans="1:2" x14ac:dyDescent="0.35">
      <c r="A10647" s="34">
        <v>43222801</v>
      </c>
      <c r="B10647" s="35" t="s">
        <v>3271</v>
      </c>
    </row>
    <row r="10648" spans="1:2" x14ac:dyDescent="0.35">
      <c r="A10648" s="34">
        <v>43222802</v>
      </c>
      <c r="B10648" s="35" t="s">
        <v>12805</v>
      </c>
    </row>
    <row r="10649" spans="1:2" x14ac:dyDescent="0.35">
      <c r="A10649" s="34">
        <v>43222803</v>
      </c>
      <c r="B10649" s="35" t="s">
        <v>11820</v>
      </c>
    </row>
    <row r="10650" spans="1:2" x14ac:dyDescent="0.35">
      <c r="A10650" s="34">
        <v>43222805</v>
      </c>
      <c r="B10650" s="35" t="s">
        <v>2767</v>
      </c>
    </row>
    <row r="10651" spans="1:2" x14ac:dyDescent="0.35">
      <c r="A10651" s="34">
        <v>43222806</v>
      </c>
      <c r="B10651" s="35" t="s">
        <v>8410</v>
      </c>
    </row>
    <row r="10652" spans="1:2" x14ac:dyDescent="0.35">
      <c r="A10652" s="34">
        <v>43222811</v>
      </c>
      <c r="B10652" s="35" t="s">
        <v>359</v>
      </c>
    </row>
    <row r="10653" spans="1:2" x14ac:dyDescent="0.35">
      <c r="A10653" s="34">
        <v>43222813</v>
      </c>
      <c r="B10653" s="35" t="s">
        <v>15701</v>
      </c>
    </row>
    <row r="10654" spans="1:2" x14ac:dyDescent="0.35">
      <c r="A10654" s="34">
        <v>43222814</v>
      </c>
      <c r="B10654" s="35" t="s">
        <v>5962</v>
      </c>
    </row>
    <row r="10655" spans="1:2" x14ac:dyDescent="0.35">
      <c r="A10655" s="34">
        <v>43222815</v>
      </c>
      <c r="B10655" s="35" t="s">
        <v>6620</v>
      </c>
    </row>
    <row r="10656" spans="1:2" x14ac:dyDescent="0.35">
      <c r="A10656" s="34">
        <v>43222816</v>
      </c>
      <c r="B10656" s="35" t="s">
        <v>10391</v>
      </c>
    </row>
    <row r="10657" spans="1:2" x14ac:dyDescent="0.35">
      <c r="A10657" s="34">
        <v>43222817</v>
      </c>
      <c r="B10657" s="35" t="s">
        <v>7258</v>
      </c>
    </row>
    <row r="10658" spans="1:2" x14ac:dyDescent="0.35">
      <c r="A10658" s="34">
        <v>43222818</v>
      </c>
      <c r="B10658" s="35" t="s">
        <v>5565</v>
      </c>
    </row>
    <row r="10659" spans="1:2" x14ac:dyDescent="0.35">
      <c r="A10659" s="34">
        <v>43222819</v>
      </c>
      <c r="B10659" s="35" t="s">
        <v>7755</v>
      </c>
    </row>
    <row r="10660" spans="1:2" x14ac:dyDescent="0.35">
      <c r="A10660" s="34">
        <v>43222820</v>
      </c>
      <c r="B10660" s="35" t="s">
        <v>16946</v>
      </c>
    </row>
    <row r="10661" spans="1:2" x14ac:dyDescent="0.35">
      <c r="A10661" s="34">
        <v>43222821</v>
      </c>
      <c r="B10661" s="35" t="s">
        <v>17731</v>
      </c>
    </row>
    <row r="10662" spans="1:2" x14ac:dyDescent="0.35">
      <c r="A10662" s="34">
        <v>43222822</v>
      </c>
      <c r="B10662" s="35" t="s">
        <v>780</v>
      </c>
    </row>
    <row r="10663" spans="1:2" x14ac:dyDescent="0.35">
      <c r="A10663" s="34">
        <v>43222823</v>
      </c>
      <c r="B10663" s="35" t="s">
        <v>14562</v>
      </c>
    </row>
    <row r="10664" spans="1:2" x14ac:dyDescent="0.35">
      <c r="A10664" s="34">
        <v>43222824</v>
      </c>
      <c r="B10664" s="35" t="s">
        <v>17634</v>
      </c>
    </row>
    <row r="10665" spans="1:2" x14ac:dyDescent="0.35">
      <c r="A10665" s="34">
        <v>43222825</v>
      </c>
      <c r="B10665" s="35" t="s">
        <v>11686</v>
      </c>
    </row>
    <row r="10666" spans="1:2" x14ac:dyDescent="0.35">
      <c r="A10666" s="34">
        <v>43222901</v>
      </c>
      <c r="B10666" s="35" t="s">
        <v>14605</v>
      </c>
    </row>
    <row r="10667" spans="1:2" x14ac:dyDescent="0.35">
      <c r="A10667" s="34">
        <v>43222902</v>
      </c>
      <c r="B10667" s="35" t="s">
        <v>13114</v>
      </c>
    </row>
    <row r="10668" spans="1:2" x14ac:dyDescent="0.35">
      <c r="A10668" s="34">
        <v>43223001</v>
      </c>
      <c r="B10668" s="35" t="s">
        <v>14814</v>
      </c>
    </row>
    <row r="10669" spans="1:2" x14ac:dyDescent="0.35">
      <c r="A10669" s="34">
        <v>43223101</v>
      </c>
      <c r="B10669" s="35" t="s">
        <v>14103</v>
      </c>
    </row>
    <row r="10670" spans="1:2" x14ac:dyDescent="0.35">
      <c r="A10670" s="34">
        <v>43223102</v>
      </c>
      <c r="B10670" s="35" t="s">
        <v>13882</v>
      </c>
    </row>
    <row r="10671" spans="1:2" x14ac:dyDescent="0.35">
      <c r="A10671" s="34">
        <v>43223103</v>
      </c>
      <c r="B10671" s="35" t="s">
        <v>15269</v>
      </c>
    </row>
    <row r="10672" spans="1:2" x14ac:dyDescent="0.35">
      <c r="A10672" s="34">
        <v>43223104</v>
      </c>
      <c r="B10672" s="35" t="s">
        <v>13564</v>
      </c>
    </row>
    <row r="10673" spans="1:2" x14ac:dyDescent="0.35">
      <c r="A10673" s="34">
        <v>43223105</v>
      </c>
      <c r="B10673" s="35" t="s">
        <v>14860</v>
      </c>
    </row>
    <row r="10674" spans="1:2" x14ac:dyDescent="0.35">
      <c r="A10674" s="34">
        <v>43223106</v>
      </c>
      <c r="B10674" s="35" t="s">
        <v>15025</v>
      </c>
    </row>
    <row r="10675" spans="1:2" x14ac:dyDescent="0.35">
      <c r="A10675" s="34">
        <v>43223107</v>
      </c>
      <c r="B10675" s="35" t="s">
        <v>2713</v>
      </c>
    </row>
    <row r="10676" spans="1:2" x14ac:dyDescent="0.35">
      <c r="A10676" s="34">
        <v>43223108</v>
      </c>
      <c r="B10676" s="35" t="s">
        <v>15592</v>
      </c>
    </row>
    <row r="10677" spans="1:2" x14ac:dyDescent="0.35">
      <c r="A10677" s="34">
        <v>43223109</v>
      </c>
      <c r="B10677" s="35" t="s">
        <v>17861</v>
      </c>
    </row>
    <row r="10678" spans="1:2" x14ac:dyDescent="0.35">
      <c r="A10678" s="34">
        <v>43223110</v>
      </c>
      <c r="B10678" s="35" t="s">
        <v>11779</v>
      </c>
    </row>
    <row r="10679" spans="1:2" x14ac:dyDescent="0.35">
      <c r="A10679" s="34">
        <v>43223111</v>
      </c>
      <c r="B10679" s="35" t="s">
        <v>10516</v>
      </c>
    </row>
    <row r="10680" spans="1:2" x14ac:dyDescent="0.35">
      <c r="A10680" s="34">
        <v>43223112</v>
      </c>
      <c r="B10680" s="35" t="s">
        <v>12137</v>
      </c>
    </row>
    <row r="10681" spans="1:2" x14ac:dyDescent="0.35">
      <c r="A10681" s="34">
        <v>43223113</v>
      </c>
      <c r="B10681" s="35" t="s">
        <v>2292</v>
      </c>
    </row>
    <row r="10682" spans="1:2" x14ac:dyDescent="0.35">
      <c r="A10682" s="34">
        <v>43223201</v>
      </c>
      <c r="B10682" s="35" t="s">
        <v>15199</v>
      </c>
    </row>
    <row r="10683" spans="1:2" x14ac:dyDescent="0.35">
      <c r="A10683" s="34">
        <v>43223202</v>
      </c>
      <c r="B10683" s="35" t="s">
        <v>16924</v>
      </c>
    </row>
    <row r="10684" spans="1:2" x14ac:dyDescent="0.35">
      <c r="A10684" s="34">
        <v>43223203</v>
      </c>
      <c r="B10684" s="35" t="s">
        <v>971</v>
      </c>
    </row>
    <row r="10685" spans="1:2" x14ac:dyDescent="0.35">
      <c r="A10685" s="34">
        <v>43223204</v>
      </c>
      <c r="B10685" s="35" t="s">
        <v>4308</v>
      </c>
    </row>
    <row r="10686" spans="1:2" x14ac:dyDescent="0.35">
      <c r="A10686" s="34">
        <v>43223205</v>
      </c>
      <c r="B10686" s="35" t="s">
        <v>9247</v>
      </c>
    </row>
    <row r="10687" spans="1:2" x14ac:dyDescent="0.35">
      <c r="A10687" s="34">
        <v>43223206</v>
      </c>
      <c r="B10687" s="35" t="s">
        <v>2017</v>
      </c>
    </row>
    <row r="10688" spans="1:2" x14ac:dyDescent="0.35">
      <c r="A10688" s="34">
        <v>43223207</v>
      </c>
      <c r="B10688" s="35" t="s">
        <v>13825</v>
      </c>
    </row>
    <row r="10689" spans="1:2" x14ac:dyDescent="0.35">
      <c r="A10689" s="34">
        <v>43223208</v>
      </c>
      <c r="B10689" s="35" t="s">
        <v>3112</v>
      </c>
    </row>
    <row r="10690" spans="1:2" x14ac:dyDescent="0.35">
      <c r="A10690" s="34">
        <v>43223209</v>
      </c>
      <c r="B10690" s="35" t="s">
        <v>4442</v>
      </c>
    </row>
    <row r="10691" spans="1:2" x14ac:dyDescent="0.35">
      <c r="A10691" s="34">
        <v>43223210</v>
      </c>
      <c r="B10691" s="35" t="s">
        <v>13707</v>
      </c>
    </row>
    <row r="10692" spans="1:2" x14ac:dyDescent="0.35">
      <c r="A10692" s="34">
        <v>43223211</v>
      </c>
      <c r="B10692" s="35" t="s">
        <v>9173</v>
      </c>
    </row>
    <row r="10693" spans="1:2" x14ac:dyDescent="0.35">
      <c r="A10693" s="34">
        <v>43223212</v>
      </c>
      <c r="B10693" s="35" t="s">
        <v>8314</v>
      </c>
    </row>
    <row r="10694" spans="1:2" x14ac:dyDescent="0.35">
      <c r="A10694" s="34">
        <v>43231501</v>
      </c>
      <c r="B10694" s="35" t="s">
        <v>1651</v>
      </c>
    </row>
    <row r="10695" spans="1:2" x14ac:dyDescent="0.35">
      <c r="A10695" s="34">
        <v>43231503</v>
      </c>
      <c r="B10695" s="35" t="s">
        <v>6574</v>
      </c>
    </row>
    <row r="10696" spans="1:2" x14ac:dyDescent="0.35">
      <c r="A10696" s="34">
        <v>43231505</v>
      </c>
      <c r="B10696" s="35" t="s">
        <v>13063</v>
      </c>
    </row>
    <row r="10697" spans="1:2" x14ac:dyDescent="0.35">
      <c r="A10697" s="34">
        <v>43231506</v>
      </c>
      <c r="B10697" s="35" t="s">
        <v>4023</v>
      </c>
    </row>
    <row r="10698" spans="1:2" x14ac:dyDescent="0.35">
      <c r="A10698" s="34">
        <v>43231507</v>
      </c>
      <c r="B10698" s="35" t="s">
        <v>15451</v>
      </c>
    </row>
    <row r="10699" spans="1:2" x14ac:dyDescent="0.35">
      <c r="A10699" s="34">
        <v>43231508</v>
      </c>
      <c r="B10699" s="35" t="s">
        <v>19513</v>
      </c>
    </row>
    <row r="10700" spans="1:2" x14ac:dyDescent="0.35">
      <c r="A10700" s="34">
        <v>43231509</v>
      </c>
      <c r="B10700" s="35" t="s">
        <v>77</v>
      </c>
    </row>
    <row r="10701" spans="1:2" x14ac:dyDescent="0.35">
      <c r="A10701" s="34">
        <v>43231510</v>
      </c>
      <c r="B10701" s="35" t="s">
        <v>8954</v>
      </c>
    </row>
    <row r="10702" spans="1:2" x14ac:dyDescent="0.35">
      <c r="A10702" s="34">
        <v>43231511</v>
      </c>
      <c r="B10702" s="35" t="s">
        <v>2891</v>
      </c>
    </row>
    <row r="10703" spans="1:2" x14ac:dyDescent="0.35">
      <c r="A10703" s="34">
        <v>43231512</v>
      </c>
      <c r="B10703" s="35" t="s">
        <v>4455</v>
      </c>
    </row>
    <row r="10704" spans="1:2" x14ac:dyDescent="0.35">
      <c r="A10704" s="34">
        <v>43231513</v>
      </c>
      <c r="B10704" s="35" t="s">
        <v>18545</v>
      </c>
    </row>
    <row r="10705" spans="1:2" x14ac:dyDescent="0.35">
      <c r="A10705" s="34">
        <v>43231601</v>
      </c>
      <c r="B10705" s="35" t="s">
        <v>90</v>
      </c>
    </row>
    <row r="10706" spans="1:2" x14ac:dyDescent="0.35">
      <c r="A10706" s="34">
        <v>43231602</v>
      </c>
      <c r="B10706" s="35" t="s">
        <v>10957</v>
      </c>
    </row>
    <row r="10707" spans="1:2" x14ac:dyDescent="0.35">
      <c r="A10707" s="34">
        <v>43231603</v>
      </c>
      <c r="B10707" s="35" t="s">
        <v>4279</v>
      </c>
    </row>
    <row r="10708" spans="1:2" x14ac:dyDescent="0.35">
      <c r="A10708" s="34">
        <v>43231604</v>
      </c>
      <c r="B10708" s="35" t="s">
        <v>13762</v>
      </c>
    </row>
    <row r="10709" spans="1:2" x14ac:dyDescent="0.35">
      <c r="A10709" s="34">
        <v>43231605</v>
      </c>
      <c r="B10709" s="35" t="s">
        <v>5764</v>
      </c>
    </row>
    <row r="10710" spans="1:2" x14ac:dyDescent="0.35">
      <c r="A10710" s="34">
        <v>43232001</v>
      </c>
      <c r="B10710" s="35" t="s">
        <v>9752</v>
      </c>
    </row>
    <row r="10711" spans="1:2" x14ac:dyDescent="0.35">
      <c r="A10711" s="34">
        <v>43232002</v>
      </c>
      <c r="B10711" s="35" t="s">
        <v>16019</v>
      </c>
    </row>
    <row r="10712" spans="1:2" x14ac:dyDescent="0.35">
      <c r="A10712" s="34">
        <v>43232003</v>
      </c>
      <c r="B10712" s="35" t="s">
        <v>8335</v>
      </c>
    </row>
    <row r="10713" spans="1:2" x14ac:dyDescent="0.35">
      <c r="A10713" s="34">
        <v>43232004</v>
      </c>
      <c r="B10713" s="35" t="s">
        <v>14949</v>
      </c>
    </row>
    <row r="10714" spans="1:2" x14ac:dyDescent="0.35">
      <c r="A10714" s="34">
        <v>43232005</v>
      </c>
      <c r="B10714" s="35" t="s">
        <v>7170</v>
      </c>
    </row>
    <row r="10715" spans="1:2" x14ac:dyDescent="0.35">
      <c r="A10715" s="34">
        <v>43232101</v>
      </c>
      <c r="B10715" s="35" t="s">
        <v>15163</v>
      </c>
    </row>
    <row r="10716" spans="1:2" x14ac:dyDescent="0.35">
      <c r="A10716" s="34">
        <v>43232102</v>
      </c>
      <c r="B10716" s="35" t="s">
        <v>12223</v>
      </c>
    </row>
    <row r="10717" spans="1:2" x14ac:dyDescent="0.35">
      <c r="A10717" s="34">
        <v>43232103</v>
      </c>
      <c r="B10717" s="35" t="s">
        <v>12576</v>
      </c>
    </row>
    <row r="10718" spans="1:2" x14ac:dyDescent="0.35">
      <c r="A10718" s="34">
        <v>43232104</v>
      </c>
      <c r="B10718" s="35" t="s">
        <v>2174</v>
      </c>
    </row>
    <row r="10719" spans="1:2" x14ac:dyDescent="0.35">
      <c r="A10719" s="34">
        <v>43232105</v>
      </c>
      <c r="B10719" s="35" t="s">
        <v>11517</v>
      </c>
    </row>
    <row r="10720" spans="1:2" x14ac:dyDescent="0.35">
      <c r="A10720" s="34">
        <v>43232106</v>
      </c>
      <c r="B10720" s="35" t="s">
        <v>2626</v>
      </c>
    </row>
    <row r="10721" spans="1:2" x14ac:dyDescent="0.35">
      <c r="A10721" s="34">
        <v>43232107</v>
      </c>
      <c r="B10721" s="35" t="s">
        <v>17556</v>
      </c>
    </row>
    <row r="10722" spans="1:2" x14ac:dyDescent="0.35">
      <c r="A10722" s="34">
        <v>43232108</v>
      </c>
      <c r="B10722" s="35" t="s">
        <v>1195</v>
      </c>
    </row>
    <row r="10723" spans="1:2" x14ac:dyDescent="0.35">
      <c r="A10723" s="34">
        <v>43232110</v>
      </c>
      <c r="B10723" s="35" t="s">
        <v>14109</v>
      </c>
    </row>
    <row r="10724" spans="1:2" x14ac:dyDescent="0.35">
      <c r="A10724" s="34">
        <v>43232111</v>
      </c>
      <c r="B10724" s="35" t="s">
        <v>16949</v>
      </c>
    </row>
    <row r="10725" spans="1:2" x14ac:dyDescent="0.35">
      <c r="A10725" s="34">
        <v>43232112</v>
      </c>
      <c r="B10725" s="35" t="s">
        <v>1698</v>
      </c>
    </row>
    <row r="10726" spans="1:2" x14ac:dyDescent="0.35">
      <c r="A10726" s="34">
        <v>43232201</v>
      </c>
      <c r="B10726" s="35" t="s">
        <v>7775</v>
      </c>
    </row>
    <row r="10727" spans="1:2" x14ac:dyDescent="0.35">
      <c r="A10727" s="34">
        <v>43232202</v>
      </c>
      <c r="B10727" s="35" t="s">
        <v>7733</v>
      </c>
    </row>
    <row r="10728" spans="1:2" x14ac:dyDescent="0.35">
      <c r="A10728" s="34">
        <v>43232203</v>
      </c>
      <c r="B10728" s="35" t="s">
        <v>4682</v>
      </c>
    </row>
    <row r="10729" spans="1:2" x14ac:dyDescent="0.35">
      <c r="A10729" s="34">
        <v>43232301</v>
      </c>
      <c r="B10729" s="35" t="s">
        <v>3486</v>
      </c>
    </row>
    <row r="10730" spans="1:2" x14ac:dyDescent="0.35">
      <c r="A10730" s="34">
        <v>43232302</v>
      </c>
      <c r="B10730" s="35" t="s">
        <v>18714</v>
      </c>
    </row>
    <row r="10731" spans="1:2" x14ac:dyDescent="0.35">
      <c r="A10731" s="34">
        <v>43232303</v>
      </c>
      <c r="B10731" s="35" t="s">
        <v>17136</v>
      </c>
    </row>
    <row r="10732" spans="1:2" x14ac:dyDescent="0.35">
      <c r="A10732" s="34">
        <v>43232304</v>
      </c>
      <c r="B10732" s="35" t="s">
        <v>11844</v>
      </c>
    </row>
    <row r="10733" spans="1:2" x14ac:dyDescent="0.35">
      <c r="A10733" s="34">
        <v>43232305</v>
      </c>
      <c r="B10733" s="35" t="s">
        <v>7221</v>
      </c>
    </row>
    <row r="10734" spans="1:2" x14ac:dyDescent="0.35">
      <c r="A10734" s="34">
        <v>43232306</v>
      </c>
      <c r="B10734" s="35" t="s">
        <v>13539</v>
      </c>
    </row>
    <row r="10735" spans="1:2" x14ac:dyDescent="0.35">
      <c r="A10735" s="34">
        <v>43232307</v>
      </c>
      <c r="B10735" s="35" t="s">
        <v>5192</v>
      </c>
    </row>
    <row r="10736" spans="1:2" x14ac:dyDescent="0.35">
      <c r="A10736" s="34">
        <v>43232309</v>
      </c>
      <c r="B10736" s="35" t="s">
        <v>2572</v>
      </c>
    </row>
    <row r="10737" spans="1:2" x14ac:dyDescent="0.35">
      <c r="A10737" s="34">
        <v>43232310</v>
      </c>
      <c r="B10737" s="35" t="s">
        <v>4587</v>
      </c>
    </row>
    <row r="10738" spans="1:2" x14ac:dyDescent="0.35">
      <c r="A10738" s="34">
        <v>43232311</v>
      </c>
      <c r="B10738" s="35" t="s">
        <v>3818</v>
      </c>
    </row>
    <row r="10739" spans="1:2" x14ac:dyDescent="0.35">
      <c r="A10739" s="34">
        <v>43232312</v>
      </c>
      <c r="B10739" s="35" t="s">
        <v>9917</v>
      </c>
    </row>
    <row r="10740" spans="1:2" x14ac:dyDescent="0.35">
      <c r="A10740" s="34">
        <v>43232313</v>
      </c>
      <c r="B10740" s="35" t="s">
        <v>1041</v>
      </c>
    </row>
    <row r="10741" spans="1:2" x14ac:dyDescent="0.35">
      <c r="A10741" s="34">
        <v>43232401</v>
      </c>
      <c r="B10741" s="35" t="s">
        <v>13536</v>
      </c>
    </row>
    <row r="10742" spans="1:2" x14ac:dyDescent="0.35">
      <c r="A10742" s="34">
        <v>43232402</v>
      </c>
      <c r="B10742" s="35" t="s">
        <v>9489</v>
      </c>
    </row>
    <row r="10743" spans="1:2" x14ac:dyDescent="0.35">
      <c r="A10743" s="34">
        <v>43232403</v>
      </c>
      <c r="B10743" s="35" t="s">
        <v>2659</v>
      </c>
    </row>
    <row r="10744" spans="1:2" x14ac:dyDescent="0.35">
      <c r="A10744" s="34">
        <v>43232404</v>
      </c>
      <c r="B10744" s="35" t="s">
        <v>10504</v>
      </c>
    </row>
    <row r="10745" spans="1:2" x14ac:dyDescent="0.35">
      <c r="A10745" s="34">
        <v>43232405</v>
      </c>
      <c r="B10745" s="35" t="s">
        <v>13486</v>
      </c>
    </row>
    <row r="10746" spans="1:2" x14ac:dyDescent="0.35">
      <c r="A10746" s="34">
        <v>43232406</v>
      </c>
      <c r="B10746" s="35" t="s">
        <v>3216</v>
      </c>
    </row>
    <row r="10747" spans="1:2" x14ac:dyDescent="0.35">
      <c r="A10747" s="34">
        <v>43232407</v>
      </c>
      <c r="B10747" s="35" t="s">
        <v>5657</v>
      </c>
    </row>
    <row r="10748" spans="1:2" x14ac:dyDescent="0.35">
      <c r="A10748" s="34">
        <v>43232408</v>
      </c>
      <c r="B10748" s="35" t="s">
        <v>16987</v>
      </c>
    </row>
    <row r="10749" spans="1:2" x14ac:dyDescent="0.35">
      <c r="A10749" s="34">
        <v>43232409</v>
      </c>
      <c r="B10749" s="35" t="s">
        <v>8063</v>
      </c>
    </row>
    <row r="10750" spans="1:2" x14ac:dyDescent="0.35">
      <c r="A10750" s="34">
        <v>43232501</v>
      </c>
      <c r="B10750" s="35" t="s">
        <v>18351</v>
      </c>
    </row>
    <row r="10751" spans="1:2" x14ac:dyDescent="0.35">
      <c r="A10751" s="34">
        <v>43232502</v>
      </c>
      <c r="B10751" s="35" t="s">
        <v>5766</v>
      </c>
    </row>
    <row r="10752" spans="1:2" x14ac:dyDescent="0.35">
      <c r="A10752" s="34">
        <v>43232503</v>
      </c>
      <c r="B10752" s="35" t="s">
        <v>3762</v>
      </c>
    </row>
    <row r="10753" spans="1:2" x14ac:dyDescent="0.35">
      <c r="A10753" s="34">
        <v>43232504</v>
      </c>
      <c r="B10753" s="35" t="s">
        <v>12505</v>
      </c>
    </row>
    <row r="10754" spans="1:2" x14ac:dyDescent="0.35">
      <c r="A10754" s="34">
        <v>43232601</v>
      </c>
      <c r="B10754" s="35" t="s">
        <v>6751</v>
      </c>
    </row>
    <row r="10755" spans="1:2" x14ac:dyDescent="0.35">
      <c r="A10755" s="34">
        <v>43232602</v>
      </c>
      <c r="B10755" s="35" t="s">
        <v>1695</v>
      </c>
    </row>
    <row r="10756" spans="1:2" x14ac:dyDescent="0.35">
      <c r="A10756" s="34">
        <v>43232603</v>
      </c>
      <c r="B10756" s="35" t="s">
        <v>12228</v>
      </c>
    </row>
    <row r="10757" spans="1:2" x14ac:dyDescent="0.35">
      <c r="A10757" s="34">
        <v>43232604</v>
      </c>
      <c r="B10757" s="35" t="s">
        <v>16548</v>
      </c>
    </row>
    <row r="10758" spans="1:2" x14ac:dyDescent="0.35">
      <c r="A10758" s="34">
        <v>43232605</v>
      </c>
      <c r="B10758" s="35" t="s">
        <v>17807</v>
      </c>
    </row>
    <row r="10759" spans="1:2" x14ac:dyDescent="0.35">
      <c r="A10759" s="34">
        <v>43232606</v>
      </c>
      <c r="B10759" s="35" t="s">
        <v>12943</v>
      </c>
    </row>
    <row r="10760" spans="1:2" x14ac:dyDescent="0.35">
      <c r="A10760" s="34">
        <v>43232607</v>
      </c>
      <c r="B10760" s="35" t="s">
        <v>5644</v>
      </c>
    </row>
    <row r="10761" spans="1:2" x14ac:dyDescent="0.35">
      <c r="A10761" s="34">
        <v>43232608</v>
      </c>
      <c r="B10761" s="35" t="s">
        <v>5907</v>
      </c>
    </row>
    <row r="10762" spans="1:2" x14ac:dyDescent="0.35">
      <c r="A10762" s="34">
        <v>43232609</v>
      </c>
      <c r="B10762" s="35" t="s">
        <v>4568</v>
      </c>
    </row>
    <row r="10763" spans="1:2" x14ac:dyDescent="0.35">
      <c r="A10763" s="34">
        <v>43232610</v>
      </c>
      <c r="B10763" s="35" t="s">
        <v>3085</v>
      </c>
    </row>
    <row r="10764" spans="1:2" x14ac:dyDescent="0.35">
      <c r="A10764" s="34">
        <v>43232611</v>
      </c>
      <c r="B10764" s="35" t="s">
        <v>12880</v>
      </c>
    </row>
    <row r="10765" spans="1:2" x14ac:dyDescent="0.35">
      <c r="A10765" s="34">
        <v>43232612</v>
      </c>
      <c r="B10765" s="35" t="s">
        <v>2465</v>
      </c>
    </row>
    <row r="10766" spans="1:2" x14ac:dyDescent="0.35">
      <c r="A10766" s="34">
        <v>43232701</v>
      </c>
      <c r="B10766" s="35" t="s">
        <v>11825</v>
      </c>
    </row>
    <row r="10767" spans="1:2" x14ac:dyDescent="0.35">
      <c r="A10767" s="34">
        <v>43232702</v>
      </c>
      <c r="B10767" s="35" t="s">
        <v>17814</v>
      </c>
    </row>
    <row r="10768" spans="1:2" x14ac:dyDescent="0.35">
      <c r="A10768" s="34">
        <v>43232703</v>
      </c>
      <c r="B10768" s="35" t="s">
        <v>16792</v>
      </c>
    </row>
    <row r="10769" spans="1:2" x14ac:dyDescent="0.35">
      <c r="A10769" s="34">
        <v>43232704</v>
      </c>
      <c r="B10769" s="35" t="s">
        <v>18694</v>
      </c>
    </row>
    <row r="10770" spans="1:2" x14ac:dyDescent="0.35">
      <c r="A10770" s="34">
        <v>43232705</v>
      </c>
      <c r="B10770" s="35" t="s">
        <v>2106</v>
      </c>
    </row>
    <row r="10771" spans="1:2" x14ac:dyDescent="0.35">
      <c r="A10771" s="34">
        <v>43232801</v>
      </c>
      <c r="B10771" s="35" t="s">
        <v>1238</v>
      </c>
    </row>
    <row r="10772" spans="1:2" x14ac:dyDescent="0.35">
      <c r="A10772" s="34">
        <v>43232802</v>
      </c>
      <c r="B10772" s="35" t="s">
        <v>8841</v>
      </c>
    </row>
    <row r="10773" spans="1:2" x14ac:dyDescent="0.35">
      <c r="A10773" s="34">
        <v>43232803</v>
      </c>
      <c r="B10773" s="35" t="s">
        <v>1278</v>
      </c>
    </row>
    <row r="10774" spans="1:2" x14ac:dyDescent="0.35">
      <c r="A10774" s="34">
        <v>43232804</v>
      </c>
      <c r="B10774" s="35" t="s">
        <v>8857</v>
      </c>
    </row>
    <row r="10775" spans="1:2" x14ac:dyDescent="0.35">
      <c r="A10775" s="34">
        <v>43232901</v>
      </c>
      <c r="B10775" s="35" t="s">
        <v>4398</v>
      </c>
    </row>
    <row r="10776" spans="1:2" x14ac:dyDescent="0.35">
      <c r="A10776" s="34">
        <v>43232902</v>
      </c>
      <c r="B10776" s="35" t="s">
        <v>344</v>
      </c>
    </row>
    <row r="10777" spans="1:2" x14ac:dyDescent="0.35">
      <c r="A10777" s="34">
        <v>43232903</v>
      </c>
      <c r="B10777" s="35" t="s">
        <v>772</v>
      </c>
    </row>
    <row r="10778" spans="1:2" x14ac:dyDescent="0.35">
      <c r="A10778" s="34">
        <v>43232904</v>
      </c>
      <c r="B10778" s="35" t="s">
        <v>11062</v>
      </c>
    </row>
    <row r="10779" spans="1:2" x14ac:dyDescent="0.35">
      <c r="A10779" s="34">
        <v>43232905</v>
      </c>
      <c r="B10779" s="35" t="s">
        <v>11029</v>
      </c>
    </row>
    <row r="10780" spans="1:2" x14ac:dyDescent="0.35">
      <c r="A10780" s="34">
        <v>43232906</v>
      </c>
      <c r="B10780" s="35" t="s">
        <v>2763</v>
      </c>
    </row>
    <row r="10781" spans="1:2" x14ac:dyDescent="0.35">
      <c r="A10781" s="34">
        <v>43232907</v>
      </c>
      <c r="B10781" s="35" t="s">
        <v>6803</v>
      </c>
    </row>
    <row r="10782" spans="1:2" x14ac:dyDescent="0.35">
      <c r="A10782" s="34">
        <v>43232908</v>
      </c>
      <c r="B10782" s="35" t="s">
        <v>19205</v>
      </c>
    </row>
    <row r="10783" spans="1:2" x14ac:dyDescent="0.35">
      <c r="A10783" s="34">
        <v>43232909</v>
      </c>
      <c r="B10783" s="35" t="s">
        <v>6832</v>
      </c>
    </row>
    <row r="10784" spans="1:2" x14ac:dyDescent="0.35">
      <c r="A10784" s="34">
        <v>43232910</v>
      </c>
      <c r="B10784" s="35" t="s">
        <v>9420</v>
      </c>
    </row>
    <row r="10785" spans="1:2" x14ac:dyDescent="0.35">
      <c r="A10785" s="34">
        <v>43232911</v>
      </c>
      <c r="B10785" s="35" t="s">
        <v>3434</v>
      </c>
    </row>
    <row r="10786" spans="1:2" x14ac:dyDescent="0.35">
      <c r="A10786" s="34">
        <v>43232912</v>
      </c>
      <c r="B10786" s="35" t="s">
        <v>2724</v>
      </c>
    </row>
    <row r="10787" spans="1:2" x14ac:dyDescent="0.35">
      <c r="A10787" s="34">
        <v>43232913</v>
      </c>
      <c r="B10787" s="35" t="s">
        <v>3926</v>
      </c>
    </row>
    <row r="10788" spans="1:2" x14ac:dyDescent="0.35">
      <c r="A10788" s="34">
        <v>43232914</v>
      </c>
      <c r="B10788" s="35" t="s">
        <v>9182</v>
      </c>
    </row>
    <row r="10789" spans="1:2" x14ac:dyDescent="0.35">
      <c r="A10789" s="34">
        <v>43232915</v>
      </c>
      <c r="B10789" s="35" t="s">
        <v>18176</v>
      </c>
    </row>
    <row r="10790" spans="1:2" x14ac:dyDescent="0.35">
      <c r="A10790" s="34">
        <v>43233001</v>
      </c>
      <c r="B10790" s="35" t="s">
        <v>7676</v>
      </c>
    </row>
    <row r="10791" spans="1:2" x14ac:dyDescent="0.35">
      <c r="A10791" s="34">
        <v>43233002</v>
      </c>
      <c r="B10791" s="35" t="s">
        <v>2137</v>
      </c>
    </row>
    <row r="10792" spans="1:2" x14ac:dyDescent="0.35">
      <c r="A10792" s="34">
        <v>43233004</v>
      </c>
      <c r="B10792" s="35" t="s">
        <v>5426</v>
      </c>
    </row>
    <row r="10793" spans="1:2" x14ac:dyDescent="0.35">
      <c r="A10793" s="34">
        <v>43233201</v>
      </c>
      <c r="B10793" s="35" t="s">
        <v>3228</v>
      </c>
    </row>
    <row r="10794" spans="1:2" x14ac:dyDescent="0.35">
      <c r="A10794" s="34">
        <v>43233203</v>
      </c>
      <c r="B10794" s="35" t="s">
        <v>14315</v>
      </c>
    </row>
    <row r="10795" spans="1:2" x14ac:dyDescent="0.35">
      <c r="A10795" s="34">
        <v>43233204</v>
      </c>
      <c r="B10795" s="35" t="s">
        <v>316</v>
      </c>
    </row>
    <row r="10796" spans="1:2" x14ac:dyDescent="0.35">
      <c r="A10796" s="34">
        <v>43233205</v>
      </c>
      <c r="B10796" s="35" t="s">
        <v>17404</v>
      </c>
    </row>
    <row r="10797" spans="1:2" x14ac:dyDescent="0.35">
      <c r="A10797" s="34">
        <v>43233401</v>
      </c>
      <c r="B10797" s="35" t="s">
        <v>4684</v>
      </c>
    </row>
    <row r="10798" spans="1:2" x14ac:dyDescent="0.35">
      <c r="A10798" s="34">
        <v>43233402</v>
      </c>
      <c r="B10798" s="35" t="s">
        <v>746</v>
      </c>
    </row>
    <row r="10799" spans="1:2" x14ac:dyDescent="0.35">
      <c r="A10799" s="34">
        <v>43233403</v>
      </c>
      <c r="B10799" s="35" t="s">
        <v>7501</v>
      </c>
    </row>
    <row r="10800" spans="1:2" x14ac:dyDescent="0.35">
      <c r="A10800" s="34">
        <v>43233404</v>
      </c>
      <c r="B10800" s="35" t="s">
        <v>11045</v>
      </c>
    </row>
    <row r="10801" spans="1:2" x14ac:dyDescent="0.35">
      <c r="A10801" s="34">
        <v>43233405</v>
      </c>
      <c r="B10801" s="35" t="s">
        <v>13746</v>
      </c>
    </row>
    <row r="10802" spans="1:2" x14ac:dyDescent="0.35">
      <c r="A10802" s="34">
        <v>43233406</v>
      </c>
      <c r="B10802" s="35" t="s">
        <v>14775</v>
      </c>
    </row>
    <row r="10803" spans="1:2" x14ac:dyDescent="0.35">
      <c r="A10803" s="34">
        <v>43233407</v>
      </c>
      <c r="B10803" s="35" t="s">
        <v>11657</v>
      </c>
    </row>
    <row r="10804" spans="1:2" x14ac:dyDescent="0.35">
      <c r="A10804" s="34">
        <v>43233410</v>
      </c>
      <c r="B10804" s="35" t="s">
        <v>6041</v>
      </c>
    </row>
    <row r="10805" spans="1:2" x14ac:dyDescent="0.35">
      <c r="A10805" s="34">
        <v>43233411</v>
      </c>
      <c r="B10805" s="35" t="s">
        <v>13788</v>
      </c>
    </row>
    <row r="10806" spans="1:2" x14ac:dyDescent="0.35">
      <c r="A10806" s="34">
        <v>43233413</v>
      </c>
      <c r="B10806" s="35" t="s">
        <v>18214</v>
      </c>
    </row>
    <row r="10807" spans="1:2" x14ac:dyDescent="0.35">
      <c r="A10807" s="34">
        <v>43233414</v>
      </c>
      <c r="B10807" s="35" t="s">
        <v>13370</v>
      </c>
    </row>
    <row r="10808" spans="1:2" x14ac:dyDescent="0.35">
      <c r="A10808" s="34">
        <v>43233415</v>
      </c>
      <c r="B10808" s="35" t="s">
        <v>8082</v>
      </c>
    </row>
    <row r="10809" spans="1:2" x14ac:dyDescent="0.35">
      <c r="A10809" s="34">
        <v>43233501</v>
      </c>
      <c r="B10809" s="35" t="s">
        <v>6499</v>
      </c>
    </row>
    <row r="10810" spans="1:2" x14ac:dyDescent="0.35">
      <c r="A10810" s="34">
        <v>43233502</v>
      </c>
      <c r="B10810" s="35" t="s">
        <v>1446</v>
      </c>
    </row>
    <row r="10811" spans="1:2" x14ac:dyDescent="0.35">
      <c r="A10811" s="34">
        <v>43233503</v>
      </c>
      <c r="B10811" s="35" t="s">
        <v>17631</v>
      </c>
    </row>
    <row r="10812" spans="1:2" x14ac:dyDescent="0.35">
      <c r="A10812" s="34">
        <v>43233504</v>
      </c>
      <c r="B10812" s="35" t="s">
        <v>3400</v>
      </c>
    </row>
    <row r="10813" spans="1:2" x14ac:dyDescent="0.35">
      <c r="A10813" s="34">
        <v>43233505</v>
      </c>
      <c r="B10813" s="35" t="s">
        <v>17051</v>
      </c>
    </row>
    <row r="10814" spans="1:2" x14ac:dyDescent="0.35">
      <c r="A10814" s="34">
        <v>43233506</v>
      </c>
      <c r="B10814" s="35" t="s">
        <v>11889</v>
      </c>
    </row>
    <row r="10815" spans="1:2" x14ac:dyDescent="0.35">
      <c r="A10815" s="34">
        <v>43233507</v>
      </c>
      <c r="B10815" s="35" t="s">
        <v>2366</v>
      </c>
    </row>
    <row r="10816" spans="1:2" x14ac:dyDescent="0.35">
      <c r="A10816" s="34">
        <v>43233508</v>
      </c>
      <c r="B10816" s="35" t="s">
        <v>2668</v>
      </c>
    </row>
    <row r="10817" spans="1:2" x14ac:dyDescent="0.35">
      <c r="A10817" s="34">
        <v>43233509</v>
      </c>
      <c r="B10817" s="35" t="s">
        <v>10568</v>
      </c>
    </row>
    <row r="10818" spans="1:2" x14ac:dyDescent="0.35">
      <c r="A10818" s="34">
        <v>43233510</v>
      </c>
      <c r="B10818" s="35" t="s">
        <v>10609</v>
      </c>
    </row>
    <row r="10819" spans="1:2" x14ac:dyDescent="0.35">
      <c r="A10819" s="34">
        <v>43233511</v>
      </c>
      <c r="B10819" s="35" t="s">
        <v>8364</v>
      </c>
    </row>
    <row r="10820" spans="1:2" x14ac:dyDescent="0.35">
      <c r="A10820" s="34">
        <v>44101501</v>
      </c>
      <c r="B10820" s="35" t="s">
        <v>7880</v>
      </c>
    </row>
    <row r="10821" spans="1:2" x14ac:dyDescent="0.35">
      <c r="A10821" s="34">
        <v>44101502</v>
      </c>
      <c r="B10821" s="35" t="s">
        <v>6337</v>
      </c>
    </row>
    <row r="10822" spans="1:2" x14ac:dyDescent="0.35">
      <c r="A10822" s="34">
        <v>44101503</v>
      </c>
      <c r="B10822" s="35" t="s">
        <v>19568</v>
      </c>
    </row>
    <row r="10823" spans="1:2" x14ac:dyDescent="0.35">
      <c r="A10823" s="34">
        <v>44101504</v>
      </c>
      <c r="B10823" s="35" t="s">
        <v>14833</v>
      </c>
    </row>
    <row r="10824" spans="1:2" x14ac:dyDescent="0.35">
      <c r="A10824" s="34">
        <v>44101505</v>
      </c>
      <c r="B10824" s="35" t="s">
        <v>14186</v>
      </c>
    </row>
    <row r="10825" spans="1:2" x14ac:dyDescent="0.35">
      <c r="A10825" s="34">
        <v>44101506</v>
      </c>
      <c r="B10825" s="35" t="s">
        <v>12763</v>
      </c>
    </row>
    <row r="10826" spans="1:2" x14ac:dyDescent="0.35">
      <c r="A10826" s="34">
        <v>44101601</v>
      </c>
      <c r="B10826" s="35" t="s">
        <v>3290</v>
      </c>
    </row>
    <row r="10827" spans="1:2" x14ac:dyDescent="0.35">
      <c r="A10827" s="34">
        <v>44101602</v>
      </c>
      <c r="B10827" s="35" t="s">
        <v>3944</v>
      </c>
    </row>
    <row r="10828" spans="1:2" x14ac:dyDescent="0.35">
      <c r="A10828" s="34">
        <v>44101603</v>
      </c>
      <c r="B10828" s="35" t="s">
        <v>12409</v>
      </c>
    </row>
    <row r="10829" spans="1:2" x14ac:dyDescent="0.35">
      <c r="A10829" s="34">
        <v>44101604</v>
      </c>
      <c r="B10829" s="35" t="s">
        <v>5046</v>
      </c>
    </row>
    <row r="10830" spans="1:2" x14ac:dyDescent="0.35">
      <c r="A10830" s="34">
        <v>44101605</v>
      </c>
      <c r="B10830" s="35" t="s">
        <v>2853</v>
      </c>
    </row>
    <row r="10831" spans="1:2" x14ac:dyDescent="0.35">
      <c r="A10831" s="34">
        <v>44101606</v>
      </c>
      <c r="B10831" s="35" t="s">
        <v>16071</v>
      </c>
    </row>
    <row r="10832" spans="1:2" x14ac:dyDescent="0.35">
      <c r="A10832" s="34">
        <v>44101701</v>
      </c>
      <c r="B10832" s="35" t="s">
        <v>13889</v>
      </c>
    </row>
    <row r="10833" spans="1:2" x14ac:dyDescent="0.35">
      <c r="A10833" s="34">
        <v>44101702</v>
      </c>
      <c r="B10833" s="35" t="s">
        <v>531</v>
      </c>
    </row>
    <row r="10834" spans="1:2" x14ac:dyDescent="0.35">
      <c r="A10834" s="34">
        <v>44101703</v>
      </c>
      <c r="B10834" s="35" t="s">
        <v>10594</v>
      </c>
    </row>
    <row r="10835" spans="1:2" x14ac:dyDescent="0.35">
      <c r="A10835" s="34">
        <v>44101704</v>
      </c>
      <c r="B10835" s="35" t="s">
        <v>4739</v>
      </c>
    </row>
    <row r="10836" spans="1:2" x14ac:dyDescent="0.35">
      <c r="A10836" s="34">
        <v>44101705</v>
      </c>
      <c r="B10836" s="35" t="s">
        <v>18897</v>
      </c>
    </row>
    <row r="10837" spans="1:2" x14ac:dyDescent="0.35">
      <c r="A10837" s="34">
        <v>44101706</v>
      </c>
      <c r="B10837" s="35" t="s">
        <v>17293</v>
      </c>
    </row>
    <row r="10838" spans="1:2" x14ac:dyDescent="0.35">
      <c r="A10838" s="34">
        <v>44101707</v>
      </c>
      <c r="B10838" s="35" t="s">
        <v>18931</v>
      </c>
    </row>
    <row r="10839" spans="1:2" x14ac:dyDescent="0.35">
      <c r="A10839" s="34">
        <v>44101708</v>
      </c>
      <c r="B10839" s="35" t="s">
        <v>8530</v>
      </c>
    </row>
    <row r="10840" spans="1:2" x14ac:dyDescent="0.35">
      <c r="A10840" s="34">
        <v>44101709</v>
      </c>
      <c r="B10840" s="35" t="s">
        <v>5040</v>
      </c>
    </row>
    <row r="10841" spans="1:2" x14ac:dyDescent="0.35">
      <c r="A10841" s="34">
        <v>44101710</v>
      </c>
      <c r="B10841" s="35" t="s">
        <v>14604</v>
      </c>
    </row>
    <row r="10842" spans="1:2" x14ac:dyDescent="0.35">
      <c r="A10842" s="34">
        <v>44101711</v>
      </c>
      <c r="B10842" s="35" t="s">
        <v>12901</v>
      </c>
    </row>
    <row r="10843" spans="1:2" x14ac:dyDescent="0.35">
      <c r="A10843" s="34">
        <v>44101712</v>
      </c>
      <c r="B10843" s="35" t="s">
        <v>17375</v>
      </c>
    </row>
    <row r="10844" spans="1:2" x14ac:dyDescent="0.35">
      <c r="A10844" s="34">
        <v>44101713</v>
      </c>
      <c r="B10844" s="35" t="s">
        <v>15786</v>
      </c>
    </row>
    <row r="10845" spans="1:2" x14ac:dyDescent="0.35">
      <c r="A10845" s="34">
        <v>44101714</v>
      </c>
      <c r="B10845" s="35" t="s">
        <v>1263</v>
      </c>
    </row>
    <row r="10846" spans="1:2" x14ac:dyDescent="0.35">
      <c r="A10846" s="34">
        <v>44101715</v>
      </c>
      <c r="B10846" s="35" t="s">
        <v>6217</v>
      </c>
    </row>
    <row r="10847" spans="1:2" x14ac:dyDescent="0.35">
      <c r="A10847" s="34">
        <v>44101716</v>
      </c>
      <c r="B10847" s="35" t="s">
        <v>16741</v>
      </c>
    </row>
    <row r="10848" spans="1:2" x14ac:dyDescent="0.35">
      <c r="A10848" s="34">
        <v>44101718</v>
      </c>
      <c r="B10848" s="35" t="s">
        <v>6906</v>
      </c>
    </row>
    <row r="10849" spans="1:2" x14ac:dyDescent="0.35">
      <c r="A10849" s="34">
        <v>44101719</v>
      </c>
      <c r="B10849" s="35" t="s">
        <v>15680</v>
      </c>
    </row>
    <row r="10850" spans="1:2" x14ac:dyDescent="0.35">
      <c r="A10850" s="34">
        <v>44101720</v>
      </c>
      <c r="B10850" s="35" t="s">
        <v>14681</v>
      </c>
    </row>
    <row r="10851" spans="1:2" x14ac:dyDescent="0.35">
      <c r="A10851" s="34">
        <v>44101721</v>
      </c>
      <c r="B10851" s="35" t="s">
        <v>799</v>
      </c>
    </row>
    <row r="10852" spans="1:2" x14ac:dyDescent="0.35">
      <c r="A10852" s="34">
        <v>44101722</v>
      </c>
      <c r="B10852" s="35" t="s">
        <v>2530</v>
      </c>
    </row>
    <row r="10853" spans="1:2" x14ac:dyDescent="0.35">
      <c r="A10853" s="34">
        <v>44101723</v>
      </c>
      <c r="B10853" s="35" t="s">
        <v>12472</v>
      </c>
    </row>
    <row r="10854" spans="1:2" x14ac:dyDescent="0.35">
      <c r="A10854" s="34">
        <v>44101724</v>
      </c>
      <c r="B10854" s="35" t="s">
        <v>755</v>
      </c>
    </row>
    <row r="10855" spans="1:2" x14ac:dyDescent="0.35">
      <c r="A10855" s="34">
        <v>44101725</v>
      </c>
      <c r="B10855" s="35" t="s">
        <v>18913</v>
      </c>
    </row>
    <row r="10856" spans="1:2" x14ac:dyDescent="0.35">
      <c r="A10856" s="34">
        <v>44101726</v>
      </c>
      <c r="B10856" s="35" t="s">
        <v>9738</v>
      </c>
    </row>
    <row r="10857" spans="1:2" x14ac:dyDescent="0.35">
      <c r="A10857" s="34">
        <v>44101727</v>
      </c>
      <c r="B10857" s="35" t="s">
        <v>14958</v>
      </c>
    </row>
    <row r="10858" spans="1:2" x14ac:dyDescent="0.35">
      <c r="A10858" s="34">
        <v>44101728</v>
      </c>
      <c r="B10858" s="35" t="s">
        <v>738</v>
      </c>
    </row>
    <row r="10859" spans="1:2" x14ac:dyDescent="0.35">
      <c r="A10859" s="34">
        <v>44101729</v>
      </c>
      <c r="B10859" s="35" t="s">
        <v>8777</v>
      </c>
    </row>
    <row r="10860" spans="1:2" x14ac:dyDescent="0.35">
      <c r="A10860" s="34">
        <v>44101801</v>
      </c>
      <c r="B10860" s="35" t="s">
        <v>17516</v>
      </c>
    </row>
    <row r="10861" spans="1:2" x14ac:dyDescent="0.35">
      <c r="A10861" s="34">
        <v>44101802</v>
      </c>
      <c r="B10861" s="35" t="s">
        <v>15064</v>
      </c>
    </row>
    <row r="10862" spans="1:2" x14ac:dyDescent="0.35">
      <c r="A10862" s="34">
        <v>44101803</v>
      </c>
      <c r="B10862" s="35" t="s">
        <v>3066</v>
      </c>
    </row>
    <row r="10863" spans="1:2" x14ac:dyDescent="0.35">
      <c r="A10863" s="34">
        <v>44101804</v>
      </c>
      <c r="B10863" s="35" t="s">
        <v>1045</v>
      </c>
    </row>
    <row r="10864" spans="1:2" x14ac:dyDescent="0.35">
      <c r="A10864" s="34">
        <v>44101805</v>
      </c>
      <c r="B10864" s="35" t="s">
        <v>8886</v>
      </c>
    </row>
    <row r="10865" spans="1:2" x14ac:dyDescent="0.35">
      <c r="A10865" s="34">
        <v>44101806</v>
      </c>
      <c r="B10865" s="35" t="s">
        <v>18903</v>
      </c>
    </row>
    <row r="10866" spans="1:2" x14ac:dyDescent="0.35">
      <c r="A10866" s="34">
        <v>44101901</v>
      </c>
      <c r="B10866" s="35" t="s">
        <v>17178</v>
      </c>
    </row>
    <row r="10867" spans="1:2" x14ac:dyDescent="0.35">
      <c r="A10867" s="34">
        <v>44101902</v>
      </c>
      <c r="B10867" s="35" t="s">
        <v>18934</v>
      </c>
    </row>
    <row r="10868" spans="1:2" x14ac:dyDescent="0.35">
      <c r="A10868" s="34">
        <v>44102001</v>
      </c>
      <c r="B10868" s="35" t="s">
        <v>15262</v>
      </c>
    </row>
    <row r="10869" spans="1:2" x14ac:dyDescent="0.35">
      <c r="A10869" s="34">
        <v>44102002</v>
      </c>
      <c r="B10869" s="35" t="s">
        <v>12354</v>
      </c>
    </row>
    <row r="10870" spans="1:2" x14ac:dyDescent="0.35">
      <c r="A10870" s="34">
        <v>44102003</v>
      </c>
      <c r="B10870" s="35" t="s">
        <v>1560</v>
      </c>
    </row>
    <row r="10871" spans="1:2" x14ac:dyDescent="0.35">
      <c r="A10871" s="34">
        <v>44102004</v>
      </c>
      <c r="B10871" s="35" t="s">
        <v>7841</v>
      </c>
    </row>
    <row r="10872" spans="1:2" x14ac:dyDescent="0.35">
      <c r="A10872" s="34">
        <v>44102101</v>
      </c>
      <c r="B10872" s="35" t="s">
        <v>896</v>
      </c>
    </row>
    <row r="10873" spans="1:2" x14ac:dyDescent="0.35">
      <c r="A10873" s="34">
        <v>44102102</v>
      </c>
      <c r="B10873" s="35" t="s">
        <v>1893</v>
      </c>
    </row>
    <row r="10874" spans="1:2" x14ac:dyDescent="0.35">
      <c r="A10874" s="34">
        <v>44102103</v>
      </c>
      <c r="B10874" s="35" t="s">
        <v>12508</v>
      </c>
    </row>
    <row r="10875" spans="1:2" x14ac:dyDescent="0.35">
      <c r="A10875" s="34">
        <v>44102104</v>
      </c>
      <c r="B10875" s="35" t="s">
        <v>4348</v>
      </c>
    </row>
    <row r="10876" spans="1:2" x14ac:dyDescent="0.35">
      <c r="A10876" s="34">
        <v>44102105</v>
      </c>
      <c r="B10876" s="35" t="s">
        <v>17156</v>
      </c>
    </row>
    <row r="10877" spans="1:2" x14ac:dyDescent="0.35">
      <c r="A10877" s="34">
        <v>44102106</v>
      </c>
      <c r="B10877" s="35" t="s">
        <v>2187</v>
      </c>
    </row>
    <row r="10878" spans="1:2" x14ac:dyDescent="0.35">
      <c r="A10878" s="34">
        <v>44102107</v>
      </c>
      <c r="B10878" s="35" t="s">
        <v>12714</v>
      </c>
    </row>
    <row r="10879" spans="1:2" x14ac:dyDescent="0.35">
      <c r="A10879" s="34">
        <v>44102108</v>
      </c>
      <c r="B10879" s="35" t="s">
        <v>13815</v>
      </c>
    </row>
    <row r="10880" spans="1:2" x14ac:dyDescent="0.35">
      <c r="A10880" s="34">
        <v>44102201</v>
      </c>
      <c r="B10880" s="35" t="s">
        <v>7535</v>
      </c>
    </row>
    <row r="10881" spans="1:2" x14ac:dyDescent="0.35">
      <c r="A10881" s="34">
        <v>44102202</v>
      </c>
      <c r="B10881" s="35" t="s">
        <v>15742</v>
      </c>
    </row>
    <row r="10882" spans="1:2" x14ac:dyDescent="0.35">
      <c r="A10882" s="34">
        <v>44102203</v>
      </c>
      <c r="B10882" s="35" t="s">
        <v>5815</v>
      </c>
    </row>
    <row r="10883" spans="1:2" x14ac:dyDescent="0.35">
      <c r="A10883" s="34">
        <v>44102301</v>
      </c>
      <c r="B10883" s="35" t="s">
        <v>11596</v>
      </c>
    </row>
    <row r="10884" spans="1:2" x14ac:dyDescent="0.35">
      <c r="A10884" s="34">
        <v>44102302</v>
      </c>
      <c r="B10884" s="35" t="s">
        <v>16008</v>
      </c>
    </row>
    <row r="10885" spans="1:2" x14ac:dyDescent="0.35">
      <c r="A10885" s="34">
        <v>44102303</v>
      </c>
      <c r="B10885" s="35" t="s">
        <v>18267</v>
      </c>
    </row>
    <row r="10886" spans="1:2" x14ac:dyDescent="0.35">
      <c r="A10886" s="34">
        <v>44102304</v>
      </c>
      <c r="B10886" s="35" t="s">
        <v>17701</v>
      </c>
    </row>
    <row r="10887" spans="1:2" x14ac:dyDescent="0.35">
      <c r="A10887" s="34">
        <v>44102305</v>
      </c>
      <c r="B10887" s="35" t="s">
        <v>5966</v>
      </c>
    </row>
    <row r="10888" spans="1:2" x14ac:dyDescent="0.35">
      <c r="A10888" s="34">
        <v>44102306</v>
      </c>
      <c r="B10888" s="35" t="s">
        <v>11815</v>
      </c>
    </row>
    <row r="10889" spans="1:2" x14ac:dyDescent="0.35">
      <c r="A10889" s="34">
        <v>44102307</v>
      </c>
      <c r="B10889" s="35" t="s">
        <v>15643</v>
      </c>
    </row>
    <row r="10890" spans="1:2" x14ac:dyDescent="0.35">
      <c r="A10890" s="34">
        <v>44102402</v>
      </c>
      <c r="B10890" s="35" t="s">
        <v>7474</v>
      </c>
    </row>
    <row r="10891" spans="1:2" x14ac:dyDescent="0.35">
      <c r="A10891" s="34">
        <v>44102403</v>
      </c>
      <c r="B10891" s="35" t="s">
        <v>5481</v>
      </c>
    </row>
    <row r="10892" spans="1:2" x14ac:dyDescent="0.35">
      <c r="A10892" s="34">
        <v>44102404</v>
      </c>
      <c r="B10892" s="35" t="s">
        <v>5161</v>
      </c>
    </row>
    <row r="10893" spans="1:2" x14ac:dyDescent="0.35">
      <c r="A10893" s="34">
        <v>44102405</v>
      </c>
      <c r="B10893" s="35" t="s">
        <v>5272</v>
      </c>
    </row>
    <row r="10894" spans="1:2" x14ac:dyDescent="0.35">
      <c r="A10894" s="34">
        <v>44102406</v>
      </c>
      <c r="B10894" s="35" t="s">
        <v>5932</v>
      </c>
    </row>
    <row r="10895" spans="1:2" x14ac:dyDescent="0.35">
      <c r="A10895" s="34">
        <v>44102407</v>
      </c>
      <c r="B10895" s="35" t="s">
        <v>14348</v>
      </c>
    </row>
    <row r="10896" spans="1:2" x14ac:dyDescent="0.35">
      <c r="A10896" s="34">
        <v>44102408</v>
      </c>
      <c r="B10896" s="35" t="s">
        <v>18900</v>
      </c>
    </row>
    <row r="10897" spans="1:2" x14ac:dyDescent="0.35">
      <c r="A10897" s="34">
        <v>44102409</v>
      </c>
      <c r="B10897" s="35" t="s">
        <v>15811</v>
      </c>
    </row>
    <row r="10898" spans="1:2" x14ac:dyDescent="0.35">
      <c r="A10898" s="34">
        <v>44102411</v>
      </c>
      <c r="B10898" s="35" t="s">
        <v>3831</v>
      </c>
    </row>
    <row r="10899" spans="1:2" x14ac:dyDescent="0.35">
      <c r="A10899" s="34">
        <v>44102412</v>
      </c>
      <c r="B10899" s="35" t="s">
        <v>14318</v>
      </c>
    </row>
    <row r="10900" spans="1:2" x14ac:dyDescent="0.35">
      <c r="A10900" s="34">
        <v>44102501</v>
      </c>
      <c r="B10900" s="35" t="s">
        <v>11335</v>
      </c>
    </row>
    <row r="10901" spans="1:2" x14ac:dyDescent="0.35">
      <c r="A10901" s="34">
        <v>44102502</v>
      </c>
      <c r="B10901" s="35" t="s">
        <v>13550</v>
      </c>
    </row>
    <row r="10902" spans="1:2" x14ac:dyDescent="0.35">
      <c r="A10902" s="34">
        <v>44102503</v>
      </c>
      <c r="B10902" s="35" t="s">
        <v>16660</v>
      </c>
    </row>
    <row r="10903" spans="1:2" x14ac:dyDescent="0.35">
      <c r="A10903" s="34">
        <v>44102602</v>
      </c>
      <c r="B10903" s="35" t="s">
        <v>18642</v>
      </c>
    </row>
    <row r="10904" spans="1:2" x14ac:dyDescent="0.35">
      <c r="A10904" s="34">
        <v>44102603</v>
      </c>
      <c r="B10904" s="35" t="s">
        <v>49</v>
      </c>
    </row>
    <row r="10905" spans="1:2" x14ac:dyDescent="0.35">
      <c r="A10905" s="34">
        <v>44102604</v>
      </c>
      <c r="B10905" s="35" t="s">
        <v>17125</v>
      </c>
    </row>
    <row r="10906" spans="1:2" x14ac:dyDescent="0.35">
      <c r="A10906" s="34">
        <v>44102605</v>
      </c>
      <c r="B10906" s="35" t="s">
        <v>3211</v>
      </c>
    </row>
    <row r="10907" spans="1:2" x14ac:dyDescent="0.35">
      <c r="A10907" s="34">
        <v>44102606</v>
      </c>
      <c r="B10907" s="35" t="s">
        <v>12878</v>
      </c>
    </row>
    <row r="10908" spans="1:2" x14ac:dyDescent="0.35">
      <c r="A10908" s="34">
        <v>44102607</v>
      </c>
      <c r="B10908" s="35" t="s">
        <v>18804</v>
      </c>
    </row>
    <row r="10909" spans="1:2" x14ac:dyDescent="0.35">
      <c r="A10909" s="34">
        <v>44102608</v>
      </c>
      <c r="B10909" s="35" t="s">
        <v>3779</v>
      </c>
    </row>
    <row r="10910" spans="1:2" x14ac:dyDescent="0.35">
      <c r="A10910" s="34">
        <v>44102609</v>
      </c>
      <c r="B10910" s="35" t="s">
        <v>5074</v>
      </c>
    </row>
    <row r="10911" spans="1:2" x14ac:dyDescent="0.35">
      <c r="A10911" s="34">
        <v>44102610</v>
      </c>
      <c r="B10911" s="35" t="s">
        <v>7014</v>
      </c>
    </row>
    <row r="10912" spans="1:2" x14ac:dyDescent="0.35">
      <c r="A10912" s="34">
        <v>44102801</v>
      </c>
      <c r="B10912" s="35" t="s">
        <v>19107</v>
      </c>
    </row>
    <row r="10913" spans="1:2" x14ac:dyDescent="0.35">
      <c r="A10913" s="34">
        <v>44102901</v>
      </c>
      <c r="B10913" s="35" t="s">
        <v>18569</v>
      </c>
    </row>
    <row r="10914" spans="1:2" x14ac:dyDescent="0.35">
      <c r="A10914" s="34">
        <v>44102902</v>
      </c>
      <c r="B10914" s="35" t="s">
        <v>14118</v>
      </c>
    </row>
    <row r="10915" spans="1:2" x14ac:dyDescent="0.35">
      <c r="A10915" s="34">
        <v>44102903</v>
      </c>
      <c r="B10915" s="35" t="s">
        <v>5776</v>
      </c>
    </row>
    <row r="10916" spans="1:2" x14ac:dyDescent="0.35">
      <c r="A10916" s="34">
        <v>44102904</v>
      </c>
      <c r="B10916" s="35" t="s">
        <v>1514</v>
      </c>
    </row>
    <row r="10917" spans="1:2" x14ac:dyDescent="0.35">
      <c r="A10917" s="34">
        <v>44102905</v>
      </c>
      <c r="B10917" s="35" t="s">
        <v>3089</v>
      </c>
    </row>
    <row r="10918" spans="1:2" x14ac:dyDescent="0.35">
      <c r="A10918" s="34">
        <v>44102906</v>
      </c>
      <c r="B10918" s="35" t="s">
        <v>5391</v>
      </c>
    </row>
    <row r="10919" spans="1:2" x14ac:dyDescent="0.35">
      <c r="A10919" s="34">
        <v>44102907</v>
      </c>
      <c r="B10919" s="35" t="s">
        <v>3578</v>
      </c>
    </row>
    <row r="10920" spans="1:2" x14ac:dyDescent="0.35">
      <c r="A10920" s="34">
        <v>44102908</v>
      </c>
      <c r="B10920" s="35" t="s">
        <v>13702</v>
      </c>
    </row>
    <row r="10921" spans="1:2" x14ac:dyDescent="0.35">
      <c r="A10921" s="34">
        <v>44102909</v>
      </c>
      <c r="B10921" s="35" t="s">
        <v>2278</v>
      </c>
    </row>
    <row r="10922" spans="1:2" x14ac:dyDescent="0.35">
      <c r="A10922" s="34">
        <v>44102910</v>
      </c>
      <c r="B10922" s="35" t="s">
        <v>10646</v>
      </c>
    </row>
    <row r="10923" spans="1:2" x14ac:dyDescent="0.35">
      <c r="A10923" s="34">
        <v>44102911</v>
      </c>
      <c r="B10923" s="35" t="s">
        <v>418</v>
      </c>
    </row>
    <row r="10924" spans="1:2" x14ac:dyDescent="0.35">
      <c r="A10924" s="34">
        <v>44102912</v>
      </c>
      <c r="B10924" s="35" t="s">
        <v>10095</v>
      </c>
    </row>
    <row r="10925" spans="1:2" x14ac:dyDescent="0.35">
      <c r="A10925" s="34">
        <v>44102913</v>
      </c>
      <c r="B10925" s="35" t="s">
        <v>11796</v>
      </c>
    </row>
    <row r="10926" spans="1:2" x14ac:dyDescent="0.35">
      <c r="A10926" s="34">
        <v>44103001</v>
      </c>
      <c r="B10926" s="35" t="s">
        <v>7477</v>
      </c>
    </row>
    <row r="10927" spans="1:2" x14ac:dyDescent="0.35">
      <c r="A10927" s="34">
        <v>44103002</v>
      </c>
      <c r="B10927" s="35" t="s">
        <v>3618</v>
      </c>
    </row>
    <row r="10928" spans="1:2" x14ac:dyDescent="0.35">
      <c r="A10928" s="34">
        <v>44103003</v>
      </c>
      <c r="B10928" s="35" t="s">
        <v>2195</v>
      </c>
    </row>
    <row r="10929" spans="1:2" x14ac:dyDescent="0.35">
      <c r="A10929" s="34">
        <v>44103004</v>
      </c>
      <c r="B10929" s="35" t="s">
        <v>7818</v>
      </c>
    </row>
    <row r="10930" spans="1:2" x14ac:dyDescent="0.35">
      <c r="A10930" s="34">
        <v>44103005</v>
      </c>
      <c r="B10930" s="35" t="s">
        <v>9561</v>
      </c>
    </row>
    <row r="10931" spans="1:2" x14ac:dyDescent="0.35">
      <c r="A10931" s="34">
        <v>44103101</v>
      </c>
      <c r="B10931" s="35" t="s">
        <v>16745</v>
      </c>
    </row>
    <row r="10932" spans="1:2" x14ac:dyDescent="0.35">
      <c r="A10932" s="34">
        <v>44103103</v>
      </c>
      <c r="B10932" s="35" t="s">
        <v>15909</v>
      </c>
    </row>
    <row r="10933" spans="1:2" x14ac:dyDescent="0.35">
      <c r="A10933" s="34">
        <v>44103104</v>
      </c>
      <c r="B10933" s="35" t="s">
        <v>12444</v>
      </c>
    </row>
    <row r="10934" spans="1:2" x14ac:dyDescent="0.35">
      <c r="A10934" s="34">
        <v>44103105</v>
      </c>
      <c r="B10934" s="35" t="s">
        <v>2730</v>
      </c>
    </row>
    <row r="10935" spans="1:2" x14ac:dyDescent="0.35">
      <c r="A10935" s="34">
        <v>44103106</v>
      </c>
      <c r="B10935" s="35" t="s">
        <v>19450</v>
      </c>
    </row>
    <row r="10936" spans="1:2" x14ac:dyDescent="0.35">
      <c r="A10936" s="34">
        <v>44103107</v>
      </c>
      <c r="B10936" s="35" t="s">
        <v>10278</v>
      </c>
    </row>
    <row r="10937" spans="1:2" x14ac:dyDescent="0.35">
      <c r="A10937" s="34">
        <v>44103108</v>
      </c>
      <c r="B10937" s="35" t="s">
        <v>14571</v>
      </c>
    </row>
    <row r="10938" spans="1:2" x14ac:dyDescent="0.35">
      <c r="A10938" s="34">
        <v>44103109</v>
      </c>
      <c r="B10938" s="35" t="s">
        <v>12723</v>
      </c>
    </row>
    <row r="10939" spans="1:2" x14ac:dyDescent="0.35">
      <c r="A10939" s="34">
        <v>44103110</v>
      </c>
      <c r="B10939" s="35" t="s">
        <v>11525</v>
      </c>
    </row>
    <row r="10940" spans="1:2" x14ac:dyDescent="0.35">
      <c r="A10940" s="34">
        <v>44103111</v>
      </c>
      <c r="B10940" s="35" t="s">
        <v>18871</v>
      </c>
    </row>
    <row r="10941" spans="1:2" x14ac:dyDescent="0.35">
      <c r="A10941" s="34">
        <v>44103112</v>
      </c>
      <c r="B10941" s="35" t="s">
        <v>3587</v>
      </c>
    </row>
    <row r="10942" spans="1:2" x14ac:dyDescent="0.35">
      <c r="A10942" s="34">
        <v>44103113</v>
      </c>
      <c r="B10942" s="35" t="s">
        <v>11786</v>
      </c>
    </row>
    <row r="10943" spans="1:2" x14ac:dyDescent="0.35">
      <c r="A10943" s="34">
        <v>44103114</v>
      </c>
      <c r="B10943" s="35" t="s">
        <v>13535</v>
      </c>
    </row>
    <row r="10944" spans="1:2" x14ac:dyDescent="0.35">
      <c r="A10944" s="34">
        <v>44103116</v>
      </c>
      <c r="B10944" s="35" t="s">
        <v>6555</v>
      </c>
    </row>
    <row r="10945" spans="1:2" x14ac:dyDescent="0.35">
      <c r="A10945" s="34">
        <v>44103117</v>
      </c>
      <c r="B10945" s="35" t="s">
        <v>1028</v>
      </c>
    </row>
    <row r="10946" spans="1:2" x14ac:dyDescent="0.35">
      <c r="A10946" s="34">
        <v>44103118</v>
      </c>
      <c r="B10946" s="35" t="s">
        <v>2772</v>
      </c>
    </row>
    <row r="10947" spans="1:2" x14ac:dyDescent="0.35">
      <c r="A10947" s="34">
        <v>44103119</v>
      </c>
      <c r="B10947" s="35" t="s">
        <v>13966</v>
      </c>
    </row>
    <row r="10948" spans="1:2" x14ac:dyDescent="0.35">
      <c r="A10948" s="34">
        <v>44103120</v>
      </c>
      <c r="B10948" s="35" t="s">
        <v>4854</v>
      </c>
    </row>
    <row r="10949" spans="1:2" x14ac:dyDescent="0.35">
      <c r="A10949" s="34">
        <v>44103121</v>
      </c>
      <c r="B10949" s="35" t="s">
        <v>8388</v>
      </c>
    </row>
    <row r="10950" spans="1:2" x14ac:dyDescent="0.35">
      <c r="A10950" s="34">
        <v>44103122</v>
      </c>
      <c r="B10950" s="35" t="s">
        <v>2955</v>
      </c>
    </row>
    <row r="10951" spans="1:2" x14ac:dyDescent="0.35">
      <c r="A10951" s="34">
        <v>44103201</v>
      </c>
      <c r="B10951" s="35" t="s">
        <v>8289</v>
      </c>
    </row>
    <row r="10952" spans="1:2" x14ac:dyDescent="0.35">
      <c r="A10952" s="34">
        <v>44103202</v>
      </c>
      <c r="B10952" s="35" t="s">
        <v>661</v>
      </c>
    </row>
    <row r="10953" spans="1:2" x14ac:dyDescent="0.35">
      <c r="A10953" s="34">
        <v>44103203</v>
      </c>
      <c r="B10953" s="35" t="s">
        <v>4830</v>
      </c>
    </row>
    <row r="10954" spans="1:2" x14ac:dyDescent="0.35">
      <c r="A10954" s="34">
        <v>44103204</v>
      </c>
      <c r="B10954" s="35" t="s">
        <v>19507</v>
      </c>
    </row>
    <row r="10955" spans="1:2" x14ac:dyDescent="0.35">
      <c r="A10955" s="34">
        <v>44103205</v>
      </c>
      <c r="B10955" s="35" t="s">
        <v>3698</v>
      </c>
    </row>
    <row r="10956" spans="1:2" x14ac:dyDescent="0.35">
      <c r="A10956" s="34">
        <v>44103502</v>
      </c>
      <c r="B10956" s="35" t="s">
        <v>5482</v>
      </c>
    </row>
    <row r="10957" spans="1:2" x14ac:dyDescent="0.35">
      <c r="A10957" s="34">
        <v>44103503</v>
      </c>
      <c r="B10957" s="35" t="s">
        <v>16040</v>
      </c>
    </row>
    <row r="10958" spans="1:2" x14ac:dyDescent="0.35">
      <c r="A10958" s="34">
        <v>44103504</v>
      </c>
      <c r="B10958" s="35" t="s">
        <v>9231</v>
      </c>
    </row>
    <row r="10959" spans="1:2" x14ac:dyDescent="0.35">
      <c r="A10959" s="34">
        <v>44103505</v>
      </c>
      <c r="B10959" s="35" t="s">
        <v>494</v>
      </c>
    </row>
    <row r="10960" spans="1:2" x14ac:dyDescent="0.35">
      <c r="A10960" s="34">
        <v>44103506</v>
      </c>
      <c r="B10960" s="35" t="s">
        <v>15639</v>
      </c>
    </row>
    <row r="10961" spans="1:2" x14ac:dyDescent="0.35">
      <c r="A10961" s="34">
        <v>44103507</v>
      </c>
      <c r="B10961" s="35" t="s">
        <v>18690</v>
      </c>
    </row>
    <row r="10962" spans="1:2" x14ac:dyDescent="0.35">
      <c r="A10962" s="34">
        <v>44103601</v>
      </c>
      <c r="B10962" s="35" t="s">
        <v>2091</v>
      </c>
    </row>
    <row r="10963" spans="1:2" x14ac:dyDescent="0.35">
      <c r="A10963" s="34">
        <v>44111501</v>
      </c>
      <c r="B10963" s="35" t="s">
        <v>3202</v>
      </c>
    </row>
    <row r="10964" spans="1:2" x14ac:dyDescent="0.35">
      <c r="A10964" s="34">
        <v>44111502</v>
      </c>
      <c r="B10964" s="35" t="s">
        <v>5377</v>
      </c>
    </row>
    <row r="10965" spans="1:2" x14ac:dyDescent="0.35">
      <c r="A10965" s="34">
        <v>44111503</v>
      </c>
      <c r="B10965" s="35" t="s">
        <v>178</v>
      </c>
    </row>
    <row r="10966" spans="1:2" x14ac:dyDescent="0.35">
      <c r="A10966" s="34">
        <v>44111506</v>
      </c>
      <c r="B10966" s="35" t="s">
        <v>19657</v>
      </c>
    </row>
    <row r="10967" spans="1:2" x14ac:dyDescent="0.35">
      <c r="A10967" s="34">
        <v>44111507</v>
      </c>
      <c r="B10967" s="35" t="s">
        <v>10469</v>
      </c>
    </row>
    <row r="10968" spans="1:2" x14ac:dyDescent="0.35">
      <c r="A10968" s="34">
        <v>44111509</v>
      </c>
      <c r="B10968" s="35" t="s">
        <v>12888</v>
      </c>
    </row>
    <row r="10969" spans="1:2" x14ac:dyDescent="0.35">
      <c r="A10969" s="34">
        <v>44111510</v>
      </c>
      <c r="B10969" s="35" t="s">
        <v>13313</v>
      </c>
    </row>
    <row r="10970" spans="1:2" x14ac:dyDescent="0.35">
      <c r="A10970" s="34">
        <v>44111511</v>
      </c>
      <c r="B10970" s="35" t="s">
        <v>3234</v>
      </c>
    </row>
    <row r="10971" spans="1:2" x14ac:dyDescent="0.35">
      <c r="A10971" s="34">
        <v>44111512</v>
      </c>
      <c r="B10971" s="35" t="s">
        <v>9509</v>
      </c>
    </row>
    <row r="10972" spans="1:2" x14ac:dyDescent="0.35">
      <c r="A10972" s="34">
        <v>44111513</v>
      </c>
      <c r="B10972" s="35" t="s">
        <v>11567</v>
      </c>
    </row>
    <row r="10973" spans="1:2" x14ac:dyDescent="0.35">
      <c r="A10973" s="34">
        <v>44111514</v>
      </c>
      <c r="B10973" s="35" t="s">
        <v>14453</v>
      </c>
    </row>
    <row r="10974" spans="1:2" x14ac:dyDescent="0.35">
      <c r="A10974" s="34">
        <v>44111515</v>
      </c>
      <c r="B10974" s="35" t="s">
        <v>13801</v>
      </c>
    </row>
    <row r="10975" spans="1:2" x14ac:dyDescent="0.35">
      <c r="A10975" s="34">
        <v>44111516</v>
      </c>
      <c r="B10975" s="35" t="s">
        <v>8652</v>
      </c>
    </row>
    <row r="10976" spans="1:2" x14ac:dyDescent="0.35">
      <c r="A10976" s="34">
        <v>44111517</v>
      </c>
      <c r="B10976" s="35" t="s">
        <v>8592</v>
      </c>
    </row>
    <row r="10977" spans="1:2" x14ac:dyDescent="0.35">
      <c r="A10977" s="34">
        <v>44111518</v>
      </c>
      <c r="B10977" s="35" t="s">
        <v>5837</v>
      </c>
    </row>
    <row r="10978" spans="1:2" x14ac:dyDescent="0.35">
      <c r="A10978" s="34">
        <v>44111519</v>
      </c>
      <c r="B10978" s="35" t="s">
        <v>2342</v>
      </c>
    </row>
    <row r="10979" spans="1:2" x14ac:dyDescent="0.35">
      <c r="A10979" s="34">
        <v>44111520</v>
      </c>
      <c r="B10979" s="35" t="s">
        <v>5170</v>
      </c>
    </row>
    <row r="10980" spans="1:2" x14ac:dyDescent="0.35">
      <c r="A10980" s="34">
        <v>44111521</v>
      </c>
      <c r="B10980" s="35" t="s">
        <v>5465</v>
      </c>
    </row>
    <row r="10981" spans="1:2" x14ac:dyDescent="0.35">
      <c r="A10981" s="34">
        <v>44111601</v>
      </c>
      <c r="B10981" s="35" t="s">
        <v>12756</v>
      </c>
    </row>
    <row r="10982" spans="1:2" x14ac:dyDescent="0.35">
      <c r="A10982" s="34">
        <v>44111603</v>
      </c>
      <c r="B10982" s="35" t="s">
        <v>13695</v>
      </c>
    </row>
    <row r="10983" spans="1:2" x14ac:dyDescent="0.35">
      <c r="A10983" s="34">
        <v>44111604</v>
      </c>
      <c r="B10983" s="35" t="s">
        <v>15735</v>
      </c>
    </row>
    <row r="10984" spans="1:2" x14ac:dyDescent="0.35">
      <c r="A10984" s="34">
        <v>44111605</v>
      </c>
      <c r="B10984" s="35" t="s">
        <v>19045</v>
      </c>
    </row>
    <row r="10985" spans="1:2" x14ac:dyDescent="0.35">
      <c r="A10985" s="34">
        <v>44111606</v>
      </c>
      <c r="B10985" s="35" t="s">
        <v>2082</v>
      </c>
    </row>
    <row r="10986" spans="1:2" x14ac:dyDescent="0.35">
      <c r="A10986" s="34">
        <v>44111607</v>
      </c>
      <c r="B10986" s="35" t="s">
        <v>17346</v>
      </c>
    </row>
    <row r="10987" spans="1:2" x14ac:dyDescent="0.35">
      <c r="A10987" s="34">
        <v>44111608</v>
      </c>
      <c r="B10987" s="35" t="s">
        <v>857</v>
      </c>
    </row>
    <row r="10988" spans="1:2" x14ac:dyDescent="0.35">
      <c r="A10988" s="34">
        <v>44111609</v>
      </c>
      <c r="B10988" s="35" t="s">
        <v>14787</v>
      </c>
    </row>
    <row r="10989" spans="1:2" x14ac:dyDescent="0.35">
      <c r="A10989" s="34">
        <v>44111610</v>
      </c>
      <c r="B10989" s="35" t="s">
        <v>16641</v>
      </c>
    </row>
    <row r="10990" spans="1:2" x14ac:dyDescent="0.35">
      <c r="A10990" s="34">
        <v>44111611</v>
      </c>
      <c r="B10990" s="35" t="s">
        <v>6347</v>
      </c>
    </row>
    <row r="10991" spans="1:2" x14ac:dyDescent="0.35">
      <c r="A10991" s="34">
        <v>44111612</v>
      </c>
      <c r="B10991" s="35" t="s">
        <v>4926</v>
      </c>
    </row>
    <row r="10992" spans="1:2" x14ac:dyDescent="0.35">
      <c r="A10992" s="34">
        <v>44111613</v>
      </c>
      <c r="B10992" s="35" t="s">
        <v>10003</v>
      </c>
    </row>
    <row r="10993" spans="1:2" x14ac:dyDescent="0.35">
      <c r="A10993" s="34">
        <v>44111614</v>
      </c>
      <c r="B10993" s="35" t="s">
        <v>15772</v>
      </c>
    </row>
    <row r="10994" spans="1:2" x14ac:dyDescent="0.35">
      <c r="A10994" s="34">
        <v>44111615</v>
      </c>
      <c r="B10994" s="35" t="s">
        <v>633</v>
      </c>
    </row>
    <row r="10995" spans="1:2" x14ac:dyDescent="0.35">
      <c r="A10995" s="34">
        <v>44111616</v>
      </c>
      <c r="B10995" s="35" t="s">
        <v>11784</v>
      </c>
    </row>
    <row r="10996" spans="1:2" x14ac:dyDescent="0.35">
      <c r="A10996" s="34">
        <v>44111801</v>
      </c>
      <c r="B10996" s="35" t="s">
        <v>5677</v>
      </c>
    </row>
    <row r="10997" spans="1:2" x14ac:dyDescent="0.35">
      <c r="A10997" s="34">
        <v>44111802</v>
      </c>
      <c r="B10997" s="35" t="s">
        <v>681</v>
      </c>
    </row>
    <row r="10998" spans="1:2" x14ac:dyDescent="0.35">
      <c r="A10998" s="34">
        <v>44111803</v>
      </c>
      <c r="B10998" s="35" t="s">
        <v>5925</v>
      </c>
    </row>
    <row r="10999" spans="1:2" x14ac:dyDescent="0.35">
      <c r="A10999" s="34">
        <v>44111804</v>
      </c>
      <c r="B10999" s="35" t="s">
        <v>10069</v>
      </c>
    </row>
    <row r="11000" spans="1:2" x14ac:dyDescent="0.35">
      <c r="A11000" s="34">
        <v>44111805</v>
      </c>
      <c r="B11000" s="35" t="s">
        <v>8025</v>
      </c>
    </row>
    <row r="11001" spans="1:2" x14ac:dyDescent="0.35">
      <c r="A11001" s="34">
        <v>44111806</v>
      </c>
      <c r="B11001" s="35" t="s">
        <v>2084</v>
      </c>
    </row>
    <row r="11002" spans="1:2" x14ac:dyDescent="0.35">
      <c r="A11002" s="34">
        <v>44111807</v>
      </c>
      <c r="B11002" s="35" t="s">
        <v>4955</v>
      </c>
    </row>
    <row r="11003" spans="1:2" x14ac:dyDescent="0.35">
      <c r="A11003" s="34">
        <v>44111808</v>
      </c>
      <c r="B11003" s="35" t="s">
        <v>15885</v>
      </c>
    </row>
    <row r="11004" spans="1:2" x14ac:dyDescent="0.35">
      <c r="A11004" s="34">
        <v>44111809</v>
      </c>
      <c r="B11004" s="35" t="s">
        <v>14281</v>
      </c>
    </row>
    <row r="11005" spans="1:2" x14ac:dyDescent="0.35">
      <c r="A11005" s="34">
        <v>44111810</v>
      </c>
      <c r="B11005" s="35" t="s">
        <v>1965</v>
      </c>
    </row>
    <row r="11006" spans="1:2" x14ac:dyDescent="0.35">
      <c r="A11006" s="34">
        <v>44111812</v>
      </c>
      <c r="B11006" s="35" t="s">
        <v>19636</v>
      </c>
    </row>
    <row r="11007" spans="1:2" x14ac:dyDescent="0.35">
      <c r="A11007" s="34">
        <v>44111813</v>
      </c>
      <c r="B11007" s="35" t="s">
        <v>6954</v>
      </c>
    </row>
    <row r="11008" spans="1:2" x14ac:dyDescent="0.35">
      <c r="A11008" s="34">
        <v>44111814</v>
      </c>
      <c r="B11008" s="35" t="s">
        <v>5574</v>
      </c>
    </row>
    <row r="11009" spans="1:2" x14ac:dyDescent="0.35">
      <c r="A11009" s="34">
        <v>44111815</v>
      </c>
      <c r="B11009" s="35" t="s">
        <v>11641</v>
      </c>
    </row>
    <row r="11010" spans="1:2" x14ac:dyDescent="0.35">
      <c r="A11010" s="34">
        <v>44111901</v>
      </c>
      <c r="B11010" s="35" t="s">
        <v>282</v>
      </c>
    </row>
    <row r="11011" spans="1:2" x14ac:dyDescent="0.35">
      <c r="A11011" s="34">
        <v>44111902</v>
      </c>
      <c r="B11011" s="35" t="s">
        <v>17806</v>
      </c>
    </row>
    <row r="11012" spans="1:2" x14ac:dyDescent="0.35">
      <c r="A11012" s="34">
        <v>44111903</v>
      </c>
      <c r="B11012" s="35" t="s">
        <v>12675</v>
      </c>
    </row>
    <row r="11013" spans="1:2" x14ac:dyDescent="0.35">
      <c r="A11013" s="34">
        <v>44111904</v>
      </c>
      <c r="B11013" s="35" t="s">
        <v>13014</v>
      </c>
    </row>
    <row r="11014" spans="1:2" x14ac:dyDescent="0.35">
      <c r="A11014" s="34">
        <v>44111905</v>
      </c>
      <c r="B11014" s="35" t="s">
        <v>10165</v>
      </c>
    </row>
    <row r="11015" spans="1:2" x14ac:dyDescent="0.35">
      <c r="A11015" s="34">
        <v>44111906</v>
      </c>
      <c r="B11015" s="35" t="s">
        <v>16703</v>
      </c>
    </row>
    <row r="11016" spans="1:2" x14ac:dyDescent="0.35">
      <c r="A11016" s="34">
        <v>44111907</v>
      </c>
      <c r="B11016" s="35" t="s">
        <v>11432</v>
      </c>
    </row>
    <row r="11017" spans="1:2" x14ac:dyDescent="0.35">
      <c r="A11017" s="34">
        <v>44111908</v>
      </c>
      <c r="B11017" s="35" t="s">
        <v>4496</v>
      </c>
    </row>
    <row r="11018" spans="1:2" x14ac:dyDescent="0.35">
      <c r="A11018" s="34">
        <v>44111909</v>
      </c>
      <c r="B11018" s="35" t="s">
        <v>13208</v>
      </c>
    </row>
    <row r="11019" spans="1:2" x14ac:dyDescent="0.35">
      <c r="A11019" s="34">
        <v>44111910</v>
      </c>
      <c r="B11019" s="35" t="s">
        <v>16882</v>
      </c>
    </row>
    <row r="11020" spans="1:2" x14ac:dyDescent="0.35">
      <c r="A11020" s="34">
        <v>44111911</v>
      </c>
      <c r="B11020" s="35" t="s">
        <v>11972</v>
      </c>
    </row>
    <row r="11021" spans="1:2" x14ac:dyDescent="0.35">
      <c r="A11021" s="34">
        <v>44112001</v>
      </c>
      <c r="B11021" s="35" t="s">
        <v>12830</v>
      </c>
    </row>
    <row r="11022" spans="1:2" x14ac:dyDescent="0.35">
      <c r="A11022" s="34">
        <v>44112002</v>
      </c>
      <c r="B11022" s="35" t="s">
        <v>14047</v>
      </c>
    </row>
    <row r="11023" spans="1:2" x14ac:dyDescent="0.35">
      <c r="A11023" s="34">
        <v>44112004</v>
      </c>
      <c r="B11023" s="35" t="s">
        <v>10197</v>
      </c>
    </row>
    <row r="11024" spans="1:2" x14ac:dyDescent="0.35">
      <c r="A11024" s="34">
        <v>44112005</v>
      </c>
      <c r="B11024" s="35" t="s">
        <v>11438</v>
      </c>
    </row>
    <row r="11025" spans="1:2" x14ac:dyDescent="0.35">
      <c r="A11025" s="34">
        <v>44112006</v>
      </c>
      <c r="B11025" s="35" t="s">
        <v>7424</v>
      </c>
    </row>
    <row r="11026" spans="1:2" x14ac:dyDescent="0.35">
      <c r="A11026" s="34">
        <v>44112007</v>
      </c>
      <c r="B11026" s="35" t="s">
        <v>9886</v>
      </c>
    </row>
    <row r="11027" spans="1:2" x14ac:dyDescent="0.35">
      <c r="A11027" s="34">
        <v>44112008</v>
      </c>
      <c r="B11027" s="35" t="s">
        <v>6846</v>
      </c>
    </row>
    <row r="11028" spans="1:2" x14ac:dyDescent="0.35">
      <c r="A11028" s="34">
        <v>44121501</v>
      </c>
      <c r="B11028" s="35" t="s">
        <v>890</v>
      </c>
    </row>
    <row r="11029" spans="1:2" x14ac:dyDescent="0.35">
      <c r="A11029" s="34">
        <v>44121503</v>
      </c>
      <c r="B11029" s="35" t="s">
        <v>16133</v>
      </c>
    </row>
    <row r="11030" spans="1:2" x14ac:dyDescent="0.35">
      <c r="A11030" s="34">
        <v>44121504</v>
      </c>
      <c r="B11030" s="35" t="s">
        <v>19011</v>
      </c>
    </row>
    <row r="11031" spans="1:2" x14ac:dyDescent="0.35">
      <c r="A11031" s="34">
        <v>44121505</v>
      </c>
      <c r="B11031" s="35" t="s">
        <v>1734</v>
      </c>
    </row>
    <row r="11032" spans="1:2" x14ac:dyDescent="0.35">
      <c r="A11032" s="34">
        <v>44121506</v>
      </c>
      <c r="B11032" s="35" t="s">
        <v>9641</v>
      </c>
    </row>
    <row r="11033" spans="1:2" x14ac:dyDescent="0.35">
      <c r="A11033" s="34">
        <v>44121507</v>
      </c>
      <c r="B11033" s="35" t="s">
        <v>13093</v>
      </c>
    </row>
    <row r="11034" spans="1:2" x14ac:dyDescent="0.35">
      <c r="A11034" s="34">
        <v>44121508</v>
      </c>
      <c r="B11034" s="35" t="s">
        <v>13110</v>
      </c>
    </row>
    <row r="11035" spans="1:2" x14ac:dyDescent="0.35">
      <c r="A11035" s="34">
        <v>44121509</v>
      </c>
      <c r="B11035" s="35" t="s">
        <v>18147</v>
      </c>
    </row>
    <row r="11036" spans="1:2" x14ac:dyDescent="0.35">
      <c r="A11036" s="34">
        <v>44121510</v>
      </c>
      <c r="B11036" s="35" t="s">
        <v>18114</v>
      </c>
    </row>
    <row r="11037" spans="1:2" x14ac:dyDescent="0.35">
      <c r="A11037" s="34">
        <v>44121511</v>
      </c>
      <c r="B11037" s="35" t="s">
        <v>4286</v>
      </c>
    </row>
    <row r="11038" spans="1:2" x14ac:dyDescent="0.35">
      <c r="A11038" s="34">
        <v>44121512</v>
      </c>
      <c r="B11038" s="35" t="s">
        <v>16009</v>
      </c>
    </row>
    <row r="11039" spans="1:2" x14ac:dyDescent="0.35">
      <c r="A11039" s="34">
        <v>44121604</v>
      </c>
      <c r="B11039" s="35" t="s">
        <v>3883</v>
      </c>
    </row>
    <row r="11040" spans="1:2" x14ac:dyDescent="0.35">
      <c r="A11040" s="34">
        <v>44121605</v>
      </c>
      <c r="B11040" s="35" t="s">
        <v>10041</v>
      </c>
    </row>
    <row r="11041" spans="1:2" x14ac:dyDescent="0.35">
      <c r="A11041" s="34">
        <v>44121611</v>
      </c>
      <c r="B11041" s="35" t="s">
        <v>133</v>
      </c>
    </row>
    <row r="11042" spans="1:2" x14ac:dyDescent="0.35">
      <c r="A11042" s="34">
        <v>44121612</v>
      </c>
      <c r="B11042" s="35" t="s">
        <v>14924</v>
      </c>
    </row>
    <row r="11043" spans="1:2" x14ac:dyDescent="0.35">
      <c r="A11043" s="34">
        <v>44121613</v>
      </c>
      <c r="B11043" s="35" t="s">
        <v>1435</v>
      </c>
    </row>
    <row r="11044" spans="1:2" x14ac:dyDescent="0.35">
      <c r="A11044" s="34">
        <v>44121614</v>
      </c>
      <c r="B11044" s="35" t="s">
        <v>4551</v>
      </c>
    </row>
    <row r="11045" spans="1:2" x14ac:dyDescent="0.35">
      <c r="A11045" s="34">
        <v>44121615</v>
      </c>
      <c r="B11045" s="35" t="s">
        <v>18889</v>
      </c>
    </row>
    <row r="11046" spans="1:2" x14ac:dyDescent="0.35">
      <c r="A11046" s="34">
        <v>44121617</v>
      </c>
      <c r="B11046" s="35" t="s">
        <v>12866</v>
      </c>
    </row>
    <row r="11047" spans="1:2" x14ac:dyDescent="0.35">
      <c r="A11047" s="34">
        <v>44121618</v>
      </c>
      <c r="B11047" s="35" t="s">
        <v>6202</v>
      </c>
    </row>
    <row r="11048" spans="1:2" x14ac:dyDescent="0.35">
      <c r="A11048" s="34">
        <v>44121619</v>
      </c>
      <c r="B11048" s="35" t="s">
        <v>7369</v>
      </c>
    </row>
    <row r="11049" spans="1:2" x14ac:dyDescent="0.35">
      <c r="A11049" s="34">
        <v>44121620</v>
      </c>
      <c r="B11049" s="35" t="s">
        <v>964</v>
      </c>
    </row>
    <row r="11050" spans="1:2" x14ac:dyDescent="0.35">
      <c r="A11050" s="34">
        <v>44121621</v>
      </c>
      <c r="B11050" s="35" t="s">
        <v>13101</v>
      </c>
    </row>
    <row r="11051" spans="1:2" x14ac:dyDescent="0.35">
      <c r="A11051" s="34">
        <v>44121622</v>
      </c>
      <c r="B11051" s="35" t="s">
        <v>3910</v>
      </c>
    </row>
    <row r="11052" spans="1:2" x14ac:dyDescent="0.35">
      <c r="A11052" s="34">
        <v>44121623</v>
      </c>
      <c r="B11052" s="35" t="s">
        <v>2557</v>
      </c>
    </row>
    <row r="11053" spans="1:2" x14ac:dyDescent="0.35">
      <c r="A11053" s="34">
        <v>44121624</v>
      </c>
      <c r="B11053" s="35" t="s">
        <v>17395</v>
      </c>
    </row>
    <row r="11054" spans="1:2" x14ac:dyDescent="0.35">
      <c r="A11054" s="34">
        <v>44121625</v>
      </c>
      <c r="B11054" s="35" t="s">
        <v>10855</v>
      </c>
    </row>
    <row r="11055" spans="1:2" x14ac:dyDescent="0.35">
      <c r="A11055" s="34">
        <v>44121626</v>
      </c>
      <c r="B11055" s="35" t="s">
        <v>4152</v>
      </c>
    </row>
    <row r="11056" spans="1:2" x14ac:dyDescent="0.35">
      <c r="A11056" s="34">
        <v>44121627</v>
      </c>
      <c r="B11056" s="35" t="s">
        <v>8536</v>
      </c>
    </row>
    <row r="11057" spans="1:2" x14ac:dyDescent="0.35">
      <c r="A11057" s="34">
        <v>44121628</v>
      </c>
      <c r="B11057" s="35" t="s">
        <v>3402</v>
      </c>
    </row>
    <row r="11058" spans="1:2" x14ac:dyDescent="0.35">
      <c r="A11058" s="34">
        <v>44121630</v>
      </c>
      <c r="B11058" s="35" t="s">
        <v>8759</v>
      </c>
    </row>
    <row r="11059" spans="1:2" x14ac:dyDescent="0.35">
      <c r="A11059" s="34">
        <v>44121631</v>
      </c>
      <c r="B11059" s="35" t="s">
        <v>4193</v>
      </c>
    </row>
    <row r="11060" spans="1:2" x14ac:dyDescent="0.35">
      <c r="A11060" s="34">
        <v>44121632</v>
      </c>
      <c r="B11060" s="35" t="s">
        <v>13853</v>
      </c>
    </row>
    <row r="11061" spans="1:2" x14ac:dyDescent="0.35">
      <c r="A11061" s="34">
        <v>44121633</v>
      </c>
      <c r="B11061" s="35" t="s">
        <v>9217</v>
      </c>
    </row>
    <row r="11062" spans="1:2" x14ac:dyDescent="0.35">
      <c r="A11062" s="34">
        <v>44121634</v>
      </c>
      <c r="B11062" s="35" t="s">
        <v>4000</v>
      </c>
    </row>
    <row r="11063" spans="1:2" x14ac:dyDescent="0.35">
      <c r="A11063" s="34">
        <v>44121635</v>
      </c>
      <c r="B11063" s="35" t="s">
        <v>1224</v>
      </c>
    </row>
    <row r="11064" spans="1:2" x14ac:dyDescent="0.35">
      <c r="A11064" s="34">
        <v>44121701</v>
      </c>
      <c r="B11064" s="35" t="s">
        <v>7314</v>
      </c>
    </row>
    <row r="11065" spans="1:2" x14ac:dyDescent="0.35">
      <c r="A11065" s="34">
        <v>44121702</v>
      </c>
      <c r="B11065" s="35" t="s">
        <v>641</v>
      </c>
    </row>
    <row r="11066" spans="1:2" x14ac:dyDescent="0.35">
      <c r="A11066" s="34">
        <v>44121703</v>
      </c>
      <c r="B11066" s="35" t="s">
        <v>14614</v>
      </c>
    </row>
    <row r="11067" spans="1:2" x14ac:dyDescent="0.35">
      <c r="A11067" s="34">
        <v>44121704</v>
      </c>
      <c r="B11067" s="35" t="s">
        <v>760</v>
      </c>
    </row>
    <row r="11068" spans="1:2" x14ac:dyDescent="0.35">
      <c r="A11068" s="34">
        <v>44121705</v>
      </c>
      <c r="B11068" s="35" t="s">
        <v>11725</v>
      </c>
    </row>
    <row r="11069" spans="1:2" x14ac:dyDescent="0.35">
      <c r="A11069" s="34">
        <v>44121706</v>
      </c>
      <c r="B11069" s="35" t="s">
        <v>2641</v>
      </c>
    </row>
    <row r="11070" spans="1:2" x14ac:dyDescent="0.35">
      <c r="A11070" s="34">
        <v>44121707</v>
      </c>
      <c r="B11070" s="35" t="s">
        <v>10440</v>
      </c>
    </row>
    <row r="11071" spans="1:2" x14ac:dyDescent="0.35">
      <c r="A11071" s="34">
        <v>44121708</v>
      </c>
      <c r="B11071" s="35" t="s">
        <v>14386</v>
      </c>
    </row>
    <row r="11072" spans="1:2" x14ac:dyDescent="0.35">
      <c r="A11072" s="34">
        <v>44121709</v>
      </c>
      <c r="B11072" s="35" t="s">
        <v>4715</v>
      </c>
    </row>
    <row r="11073" spans="1:2" x14ac:dyDescent="0.35">
      <c r="A11073" s="34">
        <v>44121710</v>
      </c>
      <c r="B11073" s="35" t="s">
        <v>9790</v>
      </c>
    </row>
    <row r="11074" spans="1:2" x14ac:dyDescent="0.35">
      <c r="A11074" s="34">
        <v>44121711</v>
      </c>
      <c r="B11074" s="35" t="s">
        <v>11734</v>
      </c>
    </row>
    <row r="11075" spans="1:2" x14ac:dyDescent="0.35">
      <c r="A11075" s="34">
        <v>44121712</v>
      </c>
      <c r="B11075" s="35" t="s">
        <v>15478</v>
      </c>
    </row>
    <row r="11076" spans="1:2" x14ac:dyDescent="0.35">
      <c r="A11076" s="34">
        <v>44121713</v>
      </c>
      <c r="B11076" s="35" t="s">
        <v>9338</v>
      </c>
    </row>
    <row r="11077" spans="1:2" x14ac:dyDescent="0.35">
      <c r="A11077" s="34">
        <v>44121714</v>
      </c>
      <c r="B11077" s="35" t="s">
        <v>502</v>
      </c>
    </row>
    <row r="11078" spans="1:2" x14ac:dyDescent="0.35">
      <c r="A11078" s="34">
        <v>44121715</v>
      </c>
      <c r="B11078" s="35" t="s">
        <v>4945</v>
      </c>
    </row>
    <row r="11079" spans="1:2" x14ac:dyDescent="0.35">
      <c r="A11079" s="34">
        <v>44121716</v>
      </c>
      <c r="B11079" s="35" t="s">
        <v>5342</v>
      </c>
    </row>
    <row r="11080" spans="1:2" x14ac:dyDescent="0.35">
      <c r="A11080" s="34">
        <v>44121717</v>
      </c>
      <c r="B11080" s="35" t="s">
        <v>1863</v>
      </c>
    </row>
    <row r="11081" spans="1:2" x14ac:dyDescent="0.35">
      <c r="A11081" s="34">
        <v>44121718</v>
      </c>
      <c r="B11081" s="35" t="s">
        <v>3277</v>
      </c>
    </row>
    <row r="11082" spans="1:2" x14ac:dyDescent="0.35">
      <c r="A11082" s="34">
        <v>44121801</v>
      </c>
      <c r="B11082" s="35" t="s">
        <v>17723</v>
      </c>
    </row>
    <row r="11083" spans="1:2" x14ac:dyDescent="0.35">
      <c r="A11083" s="34">
        <v>44121802</v>
      </c>
      <c r="B11083" s="35" t="s">
        <v>2674</v>
      </c>
    </row>
    <row r="11084" spans="1:2" x14ac:dyDescent="0.35">
      <c r="A11084" s="34">
        <v>44121804</v>
      </c>
      <c r="B11084" s="35" t="s">
        <v>18343</v>
      </c>
    </row>
    <row r="11085" spans="1:2" x14ac:dyDescent="0.35">
      <c r="A11085" s="34">
        <v>44121805</v>
      </c>
      <c r="B11085" s="35" t="s">
        <v>4018</v>
      </c>
    </row>
    <row r="11086" spans="1:2" x14ac:dyDescent="0.35">
      <c r="A11086" s="34">
        <v>44121806</v>
      </c>
      <c r="B11086" s="35" t="s">
        <v>5039</v>
      </c>
    </row>
    <row r="11087" spans="1:2" x14ac:dyDescent="0.35">
      <c r="A11087" s="34">
        <v>44121807</v>
      </c>
      <c r="B11087" s="35" t="s">
        <v>3498</v>
      </c>
    </row>
    <row r="11088" spans="1:2" x14ac:dyDescent="0.35">
      <c r="A11088" s="34">
        <v>44121808</v>
      </c>
      <c r="B11088" s="35" t="s">
        <v>11751</v>
      </c>
    </row>
    <row r="11089" spans="1:2" x14ac:dyDescent="0.35">
      <c r="A11089" s="34">
        <v>44121902</v>
      </c>
      <c r="B11089" s="35" t="s">
        <v>16805</v>
      </c>
    </row>
    <row r="11090" spans="1:2" x14ac:dyDescent="0.35">
      <c r="A11090" s="34">
        <v>44121904</v>
      </c>
      <c r="B11090" s="35" t="s">
        <v>5585</v>
      </c>
    </row>
    <row r="11091" spans="1:2" x14ac:dyDescent="0.35">
      <c r="A11091" s="34">
        <v>44121905</v>
      </c>
      <c r="B11091" s="35" t="s">
        <v>14875</v>
      </c>
    </row>
    <row r="11092" spans="1:2" x14ac:dyDescent="0.35">
      <c r="A11092" s="34">
        <v>44122001</v>
      </c>
      <c r="B11092" s="35" t="s">
        <v>1310</v>
      </c>
    </row>
    <row r="11093" spans="1:2" x14ac:dyDescent="0.35">
      <c r="A11093" s="34">
        <v>44122002</v>
      </c>
      <c r="B11093" s="35" t="s">
        <v>6162</v>
      </c>
    </row>
    <row r="11094" spans="1:2" x14ac:dyDescent="0.35">
      <c r="A11094" s="34">
        <v>44122003</v>
      </c>
      <c r="B11094" s="35" t="s">
        <v>6686</v>
      </c>
    </row>
    <row r="11095" spans="1:2" x14ac:dyDescent="0.35">
      <c r="A11095" s="34">
        <v>44122005</v>
      </c>
      <c r="B11095" s="35" t="s">
        <v>6228</v>
      </c>
    </row>
    <row r="11096" spans="1:2" x14ac:dyDescent="0.35">
      <c r="A11096" s="34">
        <v>44122008</v>
      </c>
      <c r="B11096" s="35" t="s">
        <v>14530</v>
      </c>
    </row>
    <row r="11097" spans="1:2" x14ac:dyDescent="0.35">
      <c r="A11097" s="34">
        <v>44122009</v>
      </c>
      <c r="B11097" s="35" t="s">
        <v>12392</v>
      </c>
    </row>
    <row r="11098" spans="1:2" x14ac:dyDescent="0.35">
      <c r="A11098" s="34">
        <v>44122010</v>
      </c>
      <c r="B11098" s="35" t="s">
        <v>8094</v>
      </c>
    </row>
    <row r="11099" spans="1:2" x14ac:dyDescent="0.35">
      <c r="A11099" s="34">
        <v>44122011</v>
      </c>
      <c r="B11099" s="35" t="s">
        <v>14567</v>
      </c>
    </row>
    <row r="11100" spans="1:2" x14ac:dyDescent="0.35">
      <c r="A11100" s="34">
        <v>44122012</v>
      </c>
      <c r="B11100" s="35" t="s">
        <v>13961</v>
      </c>
    </row>
    <row r="11101" spans="1:2" x14ac:dyDescent="0.35">
      <c r="A11101" s="34">
        <v>44122013</v>
      </c>
      <c r="B11101" s="35" t="s">
        <v>11146</v>
      </c>
    </row>
    <row r="11102" spans="1:2" x14ac:dyDescent="0.35">
      <c r="A11102" s="34">
        <v>44122014</v>
      </c>
      <c r="B11102" s="35" t="s">
        <v>2788</v>
      </c>
    </row>
    <row r="11103" spans="1:2" x14ac:dyDescent="0.35">
      <c r="A11103" s="34">
        <v>44122015</v>
      </c>
      <c r="B11103" s="35" t="s">
        <v>1171</v>
      </c>
    </row>
    <row r="11104" spans="1:2" x14ac:dyDescent="0.35">
      <c r="A11104" s="34">
        <v>44122016</v>
      </c>
      <c r="B11104" s="35" t="s">
        <v>18088</v>
      </c>
    </row>
    <row r="11105" spans="1:2" x14ac:dyDescent="0.35">
      <c r="A11105" s="34">
        <v>44122017</v>
      </c>
      <c r="B11105" s="35" t="s">
        <v>2534</v>
      </c>
    </row>
    <row r="11106" spans="1:2" x14ac:dyDescent="0.35">
      <c r="A11106" s="34">
        <v>44122018</v>
      </c>
      <c r="B11106" s="35" t="s">
        <v>16790</v>
      </c>
    </row>
    <row r="11107" spans="1:2" x14ac:dyDescent="0.35">
      <c r="A11107" s="34">
        <v>44122019</v>
      </c>
      <c r="B11107" s="35" t="s">
        <v>13032</v>
      </c>
    </row>
    <row r="11108" spans="1:2" x14ac:dyDescent="0.35">
      <c r="A11108" s="34">
        <v>44122020</v>
      </c>
      <c r="B11108" s="35" t="s">
        <v>16451</v>
      </c>
    </row>
    <row r="11109" spans="1:2" x14ac:dyDescent="0.35">
      <c r="A11109" s="34">
        <v>44122021</v>
      </c>
      <c r="B11109" s="35" t="s">
        <v>13202</v>
      </c>
    </row>
    <row r="11110" spans="1:2" x14ac:dyDescent="0.35">
      <c r="A11110" s="34">
        <v>44122022</v>
      </c>
      <c r="B11110" s="35" t="s">
        <v>11908</v>
      </c>
    </row>
    <row r="11111" spans="1:2" x14ac:dyDescent="0.35">
      <c r="A11111" s="34">
        <v>44122023</v>
      </c>
      <c r="B11111" s="35" t="s">
        <v>12216</v>
      </c>
    </row>
    <row r="11112" spans="1:2" x14ac:dyDescent="0.35">
      <c r="A11112" s="34">
        <v>44122024</v>
      </c>
      <c r="B11112" s="35" t="s">
        <v>6308</v>
      </c>
    </row>
    <row r="11113" spans="1:2" x14ac:dyDescent="0.35">
      <c r="A11113" s="34">
        <v>44122025</v>
      </c>
      <c r="B11113" s="35" t="s">
        <v>4656</v>
      </c>
    </row>
    <row r="11114" spans="1:2" x14ac:dyDescent="0.35">
      <c r="A11114" s="34">
        <v>44122026</v>
      </c>
      <c r="B11114" s="35" t="s">
        <v>13134</v>
      </c>
    </row>
    <row r="11115" spans="1:2" x14ac:dyDescent="0.35">
      <c r="A11115" s="34">
        <v>44122027</v>
      </c>
      <c r="B11115" s="35" t="s">
        <v>8711</v>
      </c>
    </row>
    <row r="11116" spans="1:2" x14ac:dyDescent="0.35">
      <c r="A11116" s="34">
        <v>44122028</v>
      </c>
      <c r="B11116" s="35" t="s">
        <v>7714</v>
      </c>
    </row>
    <row r="11117" spans="1:2" x14ac:dyDescent="0.35">
      <c r="A11117" s="34">
        <v>44122029</v>
      </c>
      <c r="B11117" s="35" t="s">
        <v>5799</v>
      </c>
    </row>
    <row r="11118" spans="1:2" x14ac:dyDescent="0.35">
      <c r="A11118" s="34">
        <v>44122030</v>
      </c>
      <c r="B11118" s="35" t="s">
        <v>5799</v>
      </c>
    </row>
    <row r="11119" spans="1:2" x14ac:dyDescent="0.35">
      <c r="A11119" s="34">
        <v>44122031</v>
      </c>
      <c r="B11119" s="35" t="s">
        <v>5799</v>
      </c>
    </row>
    <row r="11120" spans="1:2" x14ac:dyDescent="0.35">
      <c r="A11120" s="34">
        <v>44122032</v>
      </c>
      <c r="B11120" s="35" t="s">
        <v>15948</v>
      </c>
    </row>
    <row r="11121" spans="1:2" x14ac:dyDescent="0.35">
      <c r="A11121" s="34">
        <v>44122101</v>
      </c>
      <c r="B11121" s="35" t="s">
        <v>14735</v>
      </c>
    </row>
    <row r="11122" spans="1:2" x14ac:dyDescent="0.35">
      <c r="A11122" s="34">
        <v>44122103</v>
      </c>
      <c r="B11122" s="35" t="s">
        <v>11308</v>
      </c>
    </row>
    <row r="11123" spans="1:2" x14ac:dyDescent="0.35">
      <c r="A11123" s="34">
        <v>44122104</v>
      </c>
      <c r="B11123" s="35" t="s">
        <v>13528</v>
      </c>
    </row>
    <row r="11124" spans="1:2" x14ac:dyDescent="0.35">
      <c r="A11124" s="34">
        <v>44122105</v>
      </c>
      <c r="B11124" s="35" t="s">
        <v>13581</v>
      </c>
    </row>
    <row r="11125" spans="1:2" x14ac:dyDescent="0.35">
      <c r="A11125" s="34">
        <v>44122106</v>
      </c>
      <c r="B11125" s="35" t="s">
        <v>4261</v>
      </c>
    </row>
    <row r="11126" spans="1:2" x14ac:dyDescent="0.35">
      <c r="A11126" s="34">
        <v>44122107</v>
      </c>
      <c r="B11126" s="35" t="s">
        <v>10553</v>
      </c>
    </row>
    <row r="11127" spans="1:2" x14ac:dyDescent="0.35">
      <c r="A11127" s="34">
        <v>44122109</v>
      </c>
      <c r="B11127" s="35" t="s">
        <v>5671</v>
      </c>
    </row>
    <row r="11128" spans="1:2" x14ac:dyDescent="0.35">
      <c r="A11128" s="34">
        <v>44122110</v>
      </c>
      <c r="B11128" s="35" t="s">
        <v>15516</v>
      </c>
    </row>
    <row r="11129" spans="1:2" x14ac:dyDescent="0.35">
      <c r="A11129" s="34">
        <v>44122111</v>
      </c>
      <c r="B11129" s="35" t="s">
        <v>6903</v>
      </c>
    </row>
    <row r="11130" spans="1:2" x14ac:dyDescent="0.35">
      <c r="A11130" s="34">
        <v>44122112</v>
      </c>
      <c r="B11130" s="35" t="s">
        <v>9785</v>
      </c>
    </row>
    <row r="11131" spans="1:2" x14ac:dyDescent="0.35">
      <c r="A11131" s="34">
        <v>44122113</v>
      </c>
      <c r="B11131" s="35" t="s">
        <v>16631</v>
      </c>
    </row>
    <row r="11132" spans="1:2" x14ac:dyDescent="0.35">
      <c r="A11132" s="34">
        <v>44122114</v>
      </c>
      <c r="B11132" s="35" t="s">
        <v>14061</v>
      </c>
    </row>
    <row r="11133" spans="1:2" x14ac:dyDescent="0.35">
      <c r="A11133" s="34">
        <v>44122115</v>
      </c>
      <c r="B11133" s="35" t="s">
        <v>5646</v>
      </c>
    </row>
    <row r="11134" spans="1:2" x14ac:dyDescent="0.35">
      <c r="A11134" s="34">
        <v>44122116</v>
      </c>
      <c r="B11134" s="35" t="s">
        <v>1757</v>
      </c>
    </row>
    <row r="11135" spans="1:2" x14ac:dyDescent="0.35">
      <c r="A11135" s="34">
        <v>44122117</v>
      </c>
      <c r="B11135" s="35" t="s">
        <v>18508</v>
      </c>
    </row>
    <row r="11136" spans="1:2" x14ac:dyDescent="0.35">
      <c r="A11136" s="34">
        <v>44122118</v>
      </c>
      <c r="B11136" s="35" t="s">
        <v>16931</v>
      </c>
    </row>
    <row r="11137" spans="1:2" x14ac:dyDescent="0.35">
      <c r="A11137" s="34">
        <v>44122119</v>
      </c>
      <c r="B11137" s="35" t="s">
        <v>6594</v>
      </c>
    </row>
    <row r="11138" spans="1:2" x14ac:dyDescent="0.35">
      <c r="A11138" s="34">
        <v>44122120</v>
      </c>
      <c r="B11138" s="35" t="s">
        <v>13029</v>
      </c>
    </row>
    <row r="11139" spans="1:2" x14ac:dyDescent="0.35">
      <c r="A11139" s="34">
        <v>44122121</v>
      </c>
      <c r="B11139" s="35" t="s">
        <v>17887</v>
      </c>
    </row>
    <row r="11140" spans="1:2" x14ac:dyDescent="0.35">
      <c r="A11140" s="34">
        <v>45101501</v>
      </c>
      <c r="B11140" s="35" t="s">
        <v>7671</v>
      </c>
    </row>
    <row r="11141" spans="1:2" x14ac:dyDescent="0.35">
      <c r="A11141" s="34">
        <v>45101502</v>
      </c>
      <c r="B11141" s="35" t="s">
        <v>11628</v>
      </c>
    </row>
    <row r="11142" spans="1:2" x14ac:dyDescent="0.35">
      <c r="A11142" s="34">
        <v>45101503</v>
      </c>
      <c r="B11142" s="35" t="s">
        <v>14217</v>
      </c>
    </row>
    <row r="11143" spans="1:2" x14ac:dyDescent="0.35">
      <c r="A11143" s="34">
        <v>45101504</v>
      </c>
      <c r="B11143" s="35" t="s">
        <v>18204</v>
      </c>
    </row>
    <row r="11144" spans="1:2" x14ac:dyDescent="0.35">
      <c r="A11144" s="34">
        <v>45101505</v>
      </c>
      <c r="B11144" s="35" t="s">
        <v>1849</v>
      </c>
    </row>
    <row r="11145" spans="1:2" x14ac:dyDescent="0.35">
      <c r="A11145" s="34">
        <v>45101506</v>
      </c>
      <c r="B11145" s="35" t="s">
        <v>8769</v>
      </c>
    </row>
    <row r="11146" spans="1:2" x14ac:dyDescent="0.35">
      <c r="A11146" s="34">
        <v>45101507</v>
      </c>
      <c r="B11146" s="35" t="s">
        <v>10938</v>
      </c>
    </row>
    <row r="11147" spans="1:2" x14ac:dyDescent="0.35">
      <c r="A11147" s="34">
        <v>45101508</v>
      </c>
      <c r="B11147" s="35" t="s">
        <v>5662</v>
      </c>
    </row>
    <row r="11148" spans="1:2" x14ac:dyDescent="0.35">
      <c r="A11148" s="34">
        <v>45101509</v>
      </c>
      <c r="B11148" s="35" t="s">
        <v>12841</v>
      </c>
    </row>
    <row r="11149" spans="1:2" x14ac:dyDescent="0.35">
      <c r="A11149" s="34">
        <v>45101510</v>
      </c>
      <c r="B11149" s="35" t="s">
        <v>2378</v>
      </c>
    </row>
    <row r="11150" spans="1:2" x14ac:dyDescent="0.35">
      <c r="A11150" s="34">
        <v>45101511</v>
      </c>
      <c r="B11150" s="35" t="s">
        <v>18855</v>
      </c>
    </row>
    <row r="11151" spans="1:2" x14ac:dyDescent="0.35">
      <c r="A11151" s="34">
        <v>45101512</v>
      </c>
      <c r="B11151" s="35" t="s">
        <v>17084</v>
      </c>
    </row>
    <row r="11152" spans="1:2" x14ac:dyDescent="0.35">
      <c r="A11152" s="34">
        <v>45101513</v>
      </c>
      <c r="B11152" s="35" t="s">
        <v>1570</v>
      </c>
    </row>
    <row r="11153" spans="1:2" x14ac:dyDescent="0.35">
      <c r="A11153" s="34">
        <v>45101514</v>
      </c>
      <c r="B11153" s="35" t="s">
        <v>13621</v>
      </c>
    </row>
    <row r="11154" spans="1:2" x14ac:dyDescent="0.35">
      <c r="A11154" s="34">
        <v>45101515</v>
      </c>
      <c r="B11154" s="35" t="s">
        <v>18598</v>
      </c>
    </row>
    <row r="11155" spans="1:2" x14ac:dyDescent="0.35">
      <c r="A11155" s="34">
        <v>45101602</v>
      </c>
      <c r="B11155" s="35" t="s">
        <v>8411</v>
      </c>
    </row>
    <row r="11156" spans="1:2" x14ac:dyDescent="0.35">
      <c r="A11156" s="34">
        <v>45101603</v>
      </c>
      <c r="B11156" s="35" t="s">
        <v>5167</v>
      </c>
    </row>
    <row r="11157" spans="1:2" x14ac:dyDescent="0.35">
      <c r="A11157" s="34">
        <v>45101604</v>
      </c>
      <c r="B11157" s="35" t="s">
        <v>19456</v>
      </c>
    </row>
    <row r="11158" spans="1:2" x14ac:dyDescent="0.35">
      <c r="A11158" s="34">
        <v>45101606</v>
      </c>
      <c r="B11158" s="35" t="s">
        <v>5236</v>
      </c>
    </row>
    <row r="11159" spans="1:2" x14ac:dyDescent="0.35">
      <c r="A11159" s="34">
        <v>45101607</v>
      </c>
      <c r="B11159" s="35" t="s">
        <v>5805</v>
      </c>
    </row>
    <row r="11160" spans="1:2" x14ac:dyDescent="0.35">
      <c r="A11160" s="34">
        <v>45101608</v>
      </c>
      <c r="B11160" s="35" t="s">
        <v>3648</v>
      </c>
    </row>
    <row r="11161" spans="1:2" x14ac:dyDescent="0.35">
      <c r="A11161" s="34">
        <v>45101609</v>
      </c>
      <c r="B11161" s="35" t="s">
        <v>1473</v>
      </c>
    </row>
    <row r="11162" spans="1:2" x14ac:dyDescent="0.35">
      <c r="A11162" s="34">
        <v>45101610</v>
      </c>
      <c r="B11162" s="35" t="s">
        <v>2439</v>
      </c>
    </row>
    <row r="11163" spans="1:2" x14ac:dyDescent="0.35">
      <c r="A11163" s="34">
        <v>45101611</v>
      </c>
      <c r="B11163" s="35" t="s">
        <v>6913</v>
      </c>
    </row>
    <row r="11164" spans="1:2" x14ac:dyDescent="0.35">
      <c r="A11164" s="34">
        <v>45101701</v>
      </c>
      <c r="B11164" s="35" t="s">
        <v>4299</v>
      </c>
    </row>
    <row r="11165" spans="1:2" x14ac:dyDescent="0.35">
      <c r="A11165" s="34">
        <v>45101702</v>
      </c>
      <c r="B11165" s="35" t="s">
        <v>669</v>
      </c>
    </row>
    <row r="11166" spans="1:2" x14ac:dyDescent="0.35">
      <c r="A11166" s="34">
        <v>45101703</v>
      </c>
      <c r="B11166" s="35" t="s">
        <v>13221</v>
      </c>
    </row>
    <row r="11167" spans="1:2" x14ac:dyDescent="0.35">
      <c r="A11167" s="34">
        <v>45101704</v>
      </c>
      <c r="B11167" s="35" t="s">
        <v>4461</v>
      </c>
    </row>
    <row r="11168" spans="1:2" x14ac:dyDescent="0.35">
      <c r="A11168" s="34">
        <v>45101705</v>
      </c>
      <c r="B11168" s="35" t="s">
        <v>15558</v>
      </c>
    </row>
    <row r="11169" spans="1:2" x14ac:dyDescent="0.35">
      <c r="A11169" s="34">
        <v>45101706</v>
      </c>
      <c r="B11169" s="35" t="s">
        <v>5363</v>
      </c>
    </row>
    <row r="11170" spans="1:2" x14ac:dyDescent="0.35">
      <c r="A11170" s="34">
        <v>45101707</v>
      </c>
      <c r="B11170" s="35" t="s">
        <v>8613</v>
      </c>
    </row>
    <row r="11171" spans="1:2" x14ac:dyDescent="0.35">
      <c r="A11171" s="34">
        <v>45101708</v>
      </c>
      <c r="B11171" s="35" t="s">
        <v>8689</v>
      </c>
    </row>
    <row r="11172" spans="1:2" x14ac:dyDescent="0.35">
      <c r="A11172" s="34">
        <v>45101801</v>
      </c>
      <c r="B11172" s="35" t="s">
        <v>2959</v>
      </c>
    </row>
    <row r="11173" spans="1:2" x14ac:dyDescent="0.35">
      <c r="A11173" s="34">
        <v>45101802</v>
      </c>
      <c r="B11173" s="35" t="s">
        <v>18326</v>
      </c>
    </row>
    <row r="11174" spans="1:2" x14ac:dyDescent="0.35">
      <c r="A11174" s="34">
        <v>45101803</v>
      </c>
      <c r="B11174" s="35" t="s">
        <v>5654</v>
      </c>
    </row>
    <row r="11175" spans="1:2" x14ac:dyDescent="0.35">
      <c r="A11175" s="34">
        <v>45101804</v>
      </c>
      <c r="B11175" s="35" t="s">
        <v>9379</v>
      </c>
    </row>
    <row r="11176" spans="1:2" x14ac:dyDescent="0.35">
      <c r="A11176" s="34">
        <v>45101805</v>
      </c>
      <c r="B11176" s="35" t="s">
        <v>12710</v>
      </c>
    </row>
    <row r="11177" spans="1:2" x14ac:dyDescent="0.35">
      <c r="A11177" s="34">
        <v>45101806</v>
      </c>
      <c r="B11177" s="35" t="s">
        <v>12817</v>
      </c>
    </row>
    <row r="11178" spans="1:2" x14ac:dyDescent="0.35">
      <c r="A11178" s="34">
        <v>45101807</v>
      </c>
      <c r="B11178" s="35" t="s">
        <v>13910</v>
      </c>
    </row>
    <row r="11179" spans="1:2" x14ac:dyDescent="0.35">
      <c r="A11179" s="34">
        <v>45101808</v>
      </c>
      <c r="B11179" s="35" t="s">
        <v>8712</v>
      </c>
    </row>
    <row r="11180" spans="1:2" x14ac:dyDescent="0.35">
      <c r="A11180" s="34">
        <v>45101901</v>
      </c>
      <c r="B11180" s="35" t="s">
        <v>2971</v>
      </c>
    </row>
    <row r="11181" spans="1:2" x14ac:dyDescent="0.35">
      <c r="A11181" s="34">
        <v>45101902</v>
      </c>
      <c r="B11181" s="35" t="s">
        <v>3477</v>
      </c>
    </row>
    <row r="11182" spans="1:2" x14ac:dyDescent="0.35">
      <c r="A11182" s="34">
        <v>45101903</v>
      </c>
      <c r="B11182" s="35" t="s">
        <v>1956</v>
      </c>
    </row>
    <row r="11183" spans="1:2" x14ac:dyDescent="0.35">
      <c r="A11183" s="34">
        <v>45101904</v>
      </c>
      <c r="B11183" s="35" t="s">
        <v>17513</v>
      </c>
    </row>
    <row r="11184" spans="1:2" x14ac:dyDescent="0.35">
      <c r="A11184" s="34">
        <v>45101905</v>
      </c>
      <c r="B11184" s="35" t="s">
        <v>4579</v>
      </c>
    </row>
    <row r="11185" spans="1:2" x14ac:dyDescent="0.35">
      <c r="A11185" s="34">
        <v>45102001</v>
      </c>
      <c r="B11185" s="35" t="s">
        <v>1438</v>
      </c>
    </row>
    <row r="11186" spans="1:2" x14ac:dyDescent="0.35">
      <c r="A11186" s="34">
        <v>45102002</v>
      </c>
      <c r="B11186" s="35" t="s">
        <v>16562</v>
      </c>
    </row>
    <row r="11187" spans="1:2" x14ac:dyDescent="0.35">
      <c r="A11187" s="34">
        <v>45102003</v>
      </c>
      <c r="B11187" s="35" t="s">
        <v>8766</v>
      </c>
    </row>
    <row r="11188" spans="1:2" x14ac:dyDescent="0.35">
      <c r="A11188" s="34">
        <v>45102004</v>
      </c>
      <c r="B11188" s="35" t="s">
        <v>3188</v>
      </c>
    </row>
    <row r="11189" spans="1:2" x14ac:dyDescent="0.35">
      <c r="A11189" s="34">
        <v>45102005</v>
      </c>
      <c r="B11189" s="35" t="s">
        <v>13162</v>
      </c>
    </row>
    <row r="11190" spans="1:2" x14ac:dyDescent="0.35">
      <c r="A11190" s="34">
        <v>45111501</v>
      </c>
      <c r="B11190" s="35" t="s">
        <v>4294</v>
      </c>
    </row>
    <row r="11191" spans="1:2" x14ac:dyDescent="0.35">
      <c r="A11191" s="34">
        <v>45111502</v>
      </c>
      <c r="B11191" s="35" t="s">
        <v>7040</v>
      </c>
    </row>
    <row r="11192" spans="1:2" x14ac:dyDescent="0.35">
      <c r="A11192" s="34">
        <v>45111503</v>
      </c>
      <c r="B11192" s="35" t="s">
        <v>137</v>
      </c>
    </row>
    <row r="11193" spans="1:2" x14ac:dyDescent="0.35">
      <c r="A11193" s="34">
        <v>45111504</v>
      </c>
      <c r="B11193" s="35" t="s">
        <v>11936</v>
      </c>
    </row>
    <row r="11194" spans="1:2" x14ac:dyDescent="0.35">
      <c r="A11194" s="34">
        <v>45111601</v>
      </c>
      <c r="B11194" s="35" t="s">
        <v>11174</v>
      </c>
    </row>
    <row r="11195" spans="1:2" x14ac:dyDescent="0.35">
      <c r="A11195" s="34">
        <v>45111602</v>
      </c>
      <c r="B11195" s="35" t="s">
        <v>13084</v>
      </c>
    </row>
    <row r="11196" spans="1:2" x14ac:dyDescent="0.35">
      <c r="A11196" s="34">
        <v>45111603</v>
      </c>
      <c r="B11196" s="35" t="s">
        <v>2792</v>
      </c>
    </row>
    <row r="11197" spans="1:2" x14ac:dyDescent="0.35">
      <c r="A11197" s="34">
        <v>45111604</v>
      </c>
      <c r="B11197" s="35" t="s">
        <v>966</v>
      </c>
    </row>
    <row r="11198" spans="1:2" x14ac:dyDescent="0.35">
      <c r="A11198" s="34">
        <v>45111605</v>
      </c>
      <c r="B11198" s="35" t="s">
        <v>8456</v>
      </c>
    </row>
    <row r="11199" spans="1:2" x14ac:dyDescent="0.35">
      <c r="A11199" s="34">
        <v>45111606</v>
      </c>
      <c r="B11199" s="35" t="s">
        <v>12746</v>
      </c>
    </row>
    <row r="11200" spans="1:2" x14ac:dyDescent="0.35">
      <c r="A11200" s="34">
        <v>45111607</v>
      </c>
      <c r="B11200" s="35" t="s">
        <v>18700</v>
      </c>
    </row>
    <row r="11201" spans="1:2" x14ac:dyDescent="0.35">
      <c r="A11201" s="34">
        <v>45111608</v>
      </c>
      <c r="B11201" s="35" t="s">
        <v>14248</v>
      </c>
    </row>
    <row r="11202" spans="1:2" x14ac:dyDescent="0.35">
      <c r="A11202" s="34">
        <v>45111609</v>
      </c>
      <c r="B11202" s="35" t="s">
        <v>18087</v>
      </c>
    </row>
    <row r="11203" spans="1:2" x14ac:dyDescent="0.35">
      <c r="A11203" s="34">
        <v>45111610</v>
      </c>
      <c r="B11203" s="35" t="s">
        <v>9497</v>
      </c>
    </row>
    <row r="11204" spans="1:2" x14ac:dyDescent="0.35">
      <c r="A11204" s="34">
        <v>45111612</v>
      </c>
      <c r="B11204" s="35" t="s">
        <v>2890</v>
      </c>
    </row>
    <row r="11205" spans="1:2" x14ac:dyDescent="0.35">
      <c r="A11205" s="34">
        <v>45111613</v>
      </c>
      <c r="B11205" s="35" t="s">
        <v>17086</v>
      </c>
    </row>
    <row r="11206" spans="1:2" x14ac:dyDescent="0.35">
      <c r="A11206" s="34">
        <v>45111614</v>
      </c>
      <c r="B11206" s="35" t="s">
        <v>9418</v>
      </c>
    </row>
    <row r="11207" spans="1:2" x14ac:dyDescent="0.35">
      <c r="A11207" s="34">
        <v>45111615</v>
      </c>
      <c r="B11207" s="35" t="s">
        <v>3341</v>
      </c>
    </row>
    <row r="11208" spans="1:2" x14ac:dyDescent="0.35">
      <c r="A11208" s="34">
        <v>45111616</v>
      </c>
      <c r="B11208" s="35" t="s">
        <v>15510</v>
      </c>
    </row>
    <row r="11209" spans="1:2" x14ac:dyDescent="0.35">
      <c r="A11209" s="34">
        <v>45111617</v>
      </c>
      <c r="B11209" s="35" t="s">
        <v>11120</v>
      </c>
    </row>
    <row r="11210" spans="1:2" x14ac:dyDescent="0.35">
      <c r="A11210" s="34">
        <v>45111618</v>
      </c>
      <c r="B11210" s="35" t="s">
        <v>9463</v>
      </c>
    </row>
    <row r="11211" spans="1:2" x14ac:dyDescent="0.35">
      <c r="A11211" s="34">
        <v>45111620</v>
      </c>
      <c r="B11211" s="35" t="s">
        <v>15150</v>
      </c>
    </row>
    <row r="11212" spans="1:2" x14ac:dyDescent="0.35">
      <c r="A11212" s="34">
        <v>45111701</v>
      </c>
      <c r="B11212" s="35" t="s">
        <v>15306</v>
      </c>
    </row>
    <row r="11213" spans="1:2" x14ac:dyDescent="0.35">
      <c r="A11213" s="34">
        <v>45111702</v>
      </c>
      <c r="B11213" s="35" t="s">
        <v>9501</v>
      </c>
    </row>
    <row r="11214" spans="1:2" x14ac:dyDescent="0.35">
      <c r="A11214" s="34">
        <v>45111703</v>
      </c>
      <c r="B11214" s="35" t="s">
        <v>2172</v>
      </c>
    </row>
    <row r="11215" spans="1:2" x14ac:dyDescent="0.35">
      <c r="A11215" s="34">
        <v>45111704</v>
      </c>
      <c r="B11215" s="35" t="s">
        <v>11615</v>
      </c>
    </row>
    <row r="11216" spans="1:2" x14ac:dyDescent="0.35">
      <c r="A11216" s="34">
        <v>45111705</v>
      </c>
      <c r="B11216" s="35" t="s">
        <v>3040</v>
      </c>
    </row>
    <row r="11217" spans="1:2" x14ac:dyDescent="0.35">
      <c r="A11217" s="34">
        <v>45111801</v>
      </c>
      <c r="B11217" s="35" t="s">
        <v>10763</v>
      </c>
    </row>
    <row r="11218" spans="1:2" x14ac:dyDescent="0.35">
      <c r="A11218" s="34">
        <v>45111802</v>
      </c>
      <c r="B11218" s="35" t="s">
        <v>3607</v>
      </c>
    </row>
    <row r="11219" spans="1:2" x14ac:dyDescent="0.35">
      <c r="A11219" s="34">
        <v>45111803</v>
      </c>
      <c r="B11219" s="35" t="s">
        <v>13317</v>
      </c>
    </row>
    <row r="11220" spans="1:2" x14ac:dyDescent="0.35">
      <c r="A11220" s="34">
        <v>45111804</v>
      </c>
      <c r="B11220" s="35" t="s">
        <v>12548</v>
      </c>
    </row>
    <row r="11221" spans="1:2" x14ac:dyDescent="0.35">
      <c r="A11221" s="34">
        <v>45111805</v>
      </c>
      <c r="B11221" s="35" t="s">
        <v>19531</v>
      </c>
    </row>
    <row r="11222" spans="1:2" x14ac:dyDescent="0.35">
      <c r="A11222" s="34">
        <v>45111806</v>
      </c>
      <c r="B11222" s="35" t="s">
        <v>15982</v>
      </c>
    </row>
    <row r="11223" spans="1:2" x14ac:dyDescent="0.35">
      <c r="A11223" s="34">
        <v>45111807</v>
      </c>
      <c r="B11223" s="35" t="s">
        <v>3863</v>
      </c>
    </row>
    <row r="11224" spans="1:2" x14ac:dyDescent="0.35">
      <c r="A11224" s="34">
        <v>45111808</v>
      </c>
      <c r="B11224" s="35" t="s">
        <v>15726</v>
      </c>
    </row>
    <row r="11225" spans="1:2" x14ac:dyDescent="0.35">
      <c r="A11225" s="34">
        <v>45111809</v>
      </c>
      <c r="B11225" s="35" t="s">
        <v>8744</v>
      </c>
    </row>
    <row r="11226" spans="1:2" x14ac:dyDescent="0.35">
      <c r="A11226" s="34">
        <v>45111810</v>
      </c>
      <c r="B11226" s="35" t="s">
        <v>3826</v>
      </c>
    </row>
    <row r="11227" spans="1:2" x14ac:dyDescent="0.35">
      <c r="A11227" s="34">
        <v>45111811</v>
      </c>
      <c r="B11227" s="35" t="s">
        <v>15706</v>
      </c>
    </row>
    <row r="11228" spans="1:2" x14ac:dyDescent="0.35">
      <c r="A11228" s="34">
        <v>45111812</v>
      </c>
      <c r="B11228" s="35" t="s">
        <v>3612</v>
      </c>
    </row>
    <row r="11229" spans="1:2" x14ac:dyDescent="0.35">
      <c r="A11229" s="34">
        <v>45111813</v>
      </c>
      <c r="B11229" s="35" t="s">
        <v>3624</v>
      </c>
    </row>
    <row r="11230" spans="1:2" x14ac:dyDescent="0.35">
      <c r="A11230" s="34">
        <v>45111814</v>
      </c>
      <c r="B11230" s="35" t="s">
        <v>10234</v>
      </c>
    </row>
    <row r="11231" spans="1:2" x14ac:dyDescent="0.35">
      <c r="A11231" s="34">
        <v>45111815</v>
      </c>
      <c r="B11231" s="35" t="s">
        <v>6915</v>
      </c>
    </row>
    <row r="11232" spans="1:2" x14ac:dyDescent="0.35">
      <c r="A11232" s="34">
        <v>45111816</v>
      </c>
      <c r="B11232" s="35" t="s">
        <v>9283</v>
      </c>
    </row>
    <row r="11233" spans="1:2" x14ac:dyDescent="0.35">
      <c r="A11233" s="34">
        <v>45111817</v>
      </c>
      <c r="B11233" s="35" t="s">
        <v>7096</v>
      </c>
    </row>
    <row r="11234" spans="1:2" x14ac:dyDescent="0.35">
      <c r="A11234" s="34">
        <v>45111818</v>
      </c>
      <c r="B11234" s="35" t="s">
        <v>14297</v>
      </c>
    </row>
    <row r="11235" spans="1:2" x14ac:dyDescent="0.35">
      <c r="A11235" s="34">
        <v>45111819</v>
      </c>
      <c r="B11235" s="35" t="s">
        <v>675</v>
      </c>
    </row>
    <row r="11236" spans="1:2" x14ac:dyDescent="0.35">
      <c r="A11236" s="34">
        <v>45111820</v>
      </c>
      <c r="B11236" s="35" t="s">
        <v>18847</v>
      </c>
    </row>
    <row r="11237" spans="1:2" x14ac:dyDescent="0.35">
      <c r="A11237" s="34">
        <v>45111821</v>
      </c>
      <c r="B11237" s="35" t="s">
        <v>8210</v>
      </c>
    </row>
    <row r="11238" spans="1:2" x14ac:dyDescent="0.35">
      <c r="A11238" s="34">
        <v>45111822</v>
      </c>
      <c r="B11238" s="35" t="s">
        <v>18024</v>
      </c>
    </row>
    <row r="11239" spans="1:2" x14ac:dyDescent="0.35">
      <c r="A11239" s="34">
        <v>45111823</v>
      </c>
      <c r="B11239" s="35" t="s">
        <v>5748</v>
      </c>
    </row>
    <row r="11240" spans="1:2" x14ac:dyDescent="0.35">
      <c r="A11240" s="34">
        <v>45111824</v>
      </c>
      <c r="B11240" s="35" t="s">
        <v>1401</v>
      </c>
    </row>
    <row r="11241" spans="1:2" x14ac:dyDescent="0.35">
      <c r="A11241" s="34">
        <v>45111825</v>
      </c>
      <c r="B11241" s="35" t="s">
        <v>8967</v>
      </c>
    </row>
    <row r="11242" spans="1:2" x14ac:dyDescent="0.35">
      <c r="A11242" s="34">
        <v>45111826</v>
      </c>
      <c r="B11242" s="35" t="s">
        <v>12357</v>
      </c>
    </row>
    <row r="11243" spans="1:2" x14ac:dyDescent="0.35">
      <c r="A11243" s="34">
        <v>45111827</v>
      </c>
      <c r="B11243" s="35" t="s">
        <v>18489</v>
      </c>
    </row>
    <row r="11244" spans="1:2" x14ac:dyDescent="0.35">
      <c r="A11244" s="34">
        <v>45111828</v>
      </c>
      <c r="B11244" s="35" t="s">
        <v>14342</v>
      </c>
    </row>
    <row r="11245" spans="1:2" x14ac:dyDescent="0.35">
      <c r="A11245" s="34">
        <v>45111829</v>
      </c>
      <c r="B11245" s="35" t="s">
        <v>16639</v>
      </c>
    </row>
    <row r="11246" spans="1:2" x14ac:dyDescent="0.35">
      <c r="A11246" s="34">
        <v>45111830</v>
      </c>
      <c r="B11246" s="35" t="s">
        <v>14566</v>
      </c>
    </row>
    <row r="11247" spans="1:2" x14ac:dyDescent="0.35">
      <c r="A11247" s="34">
        <v>45111901</v>
      </c>
      <c r="B11247" s="35" t="s">
        <v>12275</v>
      </c>
    </row>
    <row r="11248" spans="1:2" x14ac:dyDescent="0.35">
      <c r="A11248" s="34">
        <v>45111902</v>
      </c>
      <c r="B11248" s="35" t="s">
        <v>19173</v>
      </c>
    </row>
    <row r="11249" spans="1:2" x14ac:dyDescent="0.35">
      <c r="A11249" s="34">
        <v>45112001</v>
      </c>
      <c r="B11249" s="35" t="s">
        <v>17281</v>
      </c>
    </row>
    <row r="11250" spans="1:2" x14ac:dyDescent="0.35">
      <c r="A11250" s="34">
        <v>45112002</v>
      </c>
      <c r="B11250" s="35" t="s">
        <v>18739</v>
      </c>
    </row>
    <row r="11251" spans="1:2" x14ac:dyDescent="0.35">
      <c r="A11251" s="34">
        <v>45112003</v>
      </c>
      <c r="B11251" s="35" t="s">
        <v>10198</v>
      </c>
    </row>
    <row r="11252" spans="1:2" x14ac:dyDescent="0.35">
      <c r="A11252" s="34">
        <v>45112004</v>
      </c>
      <c r="B11252" s="35" t="s">
        <v>17443</v>
      </c>
    </row>
    <row r="11253" spans="1:2" x14ac:dyDescent="0.35">
      <c r="A11253" s="34">
        <v>45121501</v>
      </c>
      <c r="B11253" s="35" t="s">
        <v>3837</v>
      </c>
    </row>
    <row r="11254" spans="1:2" x14ac:dyDescent="0.35">
      <c r="A11254" s="34">
        <v>45121502</v>
      </c>
      <c r="B11254" s="35" t="s">
        <v>16173</v>
      </c>
    </row>
    <row r="11255" spans="1:2" x14ac:dyDescent="0.35">
      <c r="A11255" s="34">
        <v>45121503</v>
      </c>
      <c r="B11255" s="35" t="s">
        <v>7811</v>
      </c>
    </row>
    <row r="11256" spans="1:2" x14ac:dyDescent="0.35">
      <c r="A11256" s="34">
        <v>45121504</v>
      </c>
      <c r="B11256" s="35" t="s">
        <v>16832</v>
      </c>
    </row>
    <row r="11257" spans="1:2" x14ac:dyDescent="0.35">
      <c r="A11257" s="34">
        <v>45121505</v>
      </c>
      <c r="B11257" s="35" t="s">
        <v>14528</v>
      </c>
    </row>
    <row r="11258" spans="1:2" x14ac:dyDescent="0.35">
      <c r="A11258" s="34">
        <v>45121506</v>
      </c>
      <c r="B11258" s="35" t="s">
        <v>13963</v>
      </c>
    </row>
    <row r="11259" spans="1:2" x14ac:dyDescent="0.35">
      <c r="A11259" s="34">
        <v>45121510</v>
      </c>
      <c r="B11259" s="35" t="s">
        <v>5779</v>
      </c>
    </row>
    <row r="11260" spans="1:2" x14ac:dyDescent="0.35">
      <c r="A11260" s="34">
        <v>45121511</v>
      </c>
      <c r="B11260" s="35" t="s">
        <v>8626</v>
      </c>
    </row>
    <row r="11261" spans="1:2" x14ac:dyDescent="0.35">
      <c r="A11261" s="34">
        <v>45121512</v>
      </c>
      <c r="B11261" s="35" t="s">
        <v>6116</v>
      </c>
    </row>
    <row r="11262" spans="1:2" x14ac:dyDescent="0.35">
      <c r="A11262" s="34">
        <v>45121513</v>
      </c>
      <c r="B11262" s="35" t="s">
        <v>18892</v>
      </c>
    </row>
    <row r="11263" spans="1:2" x14ac:dyDescent="0.35">
      <c r="A11263" s="34">
        <v>45121514</v>
      </c>
      <c r="B11263" s="35" t="s">
        <v>8044</v>
      </c>
    </row>
    <row r="11264" spans="1:2" x14ac:dyDescent="0.35">
      <c r="A11264" s="34">
        <v>45121515</v>
      </c>
      <c r="B11264" s="35" t="s">
        <v>2712</v>
      </c>
    </row>
    <row r="11265" spans="1:2" x14ac:dyDescent="0.35">
      <c r="A11265" s="34">
        <v>45121516</v>
      </c>
      <c r="B11265" s="35" t="s">
        <v>12014</v>
      </c>
    </row>
    <row r="11266" spans="1:2" x14ac:dyDescent="0.35">
      <c r="A11266" s="34">
        <v>45121517</v>
      </c>
      <c r="B11266" s="35" t="s">
        <v>5545</v>
      </c>
    </row>
    <row r="11267" spans="1:2" x14ac:dyDescent="0.35">
      <c r="A11267" s="34">
        <v>45121518</v>
      </c>
      <c r="B11267" s="35" t="s">
        <v>14192</v>
      </c>
    </row>
    <row r="11268" spans="1:2" x14ac:dyDescent="0.35">
      <c r="A11268" s="34">
        <v>45121519</v>
      </c>
      <c r="B11268" s="35" t="s">
        <v>15504</v>
      </c>
    </row>
    <row r="11269" spans="1:2" x14ac:dyDescent="0.35">
      <c r="A11269" s="34">
        <v>45121520</v>
      </c>
      <c r="B11269" s="35" t="s">
        <v>12101</v>
      </c>
    </row>
    <row r="11270" spans="1:2" x14ac:dyDescent="0.35">
      <c r="A11270" s="34">
        <v>45121601</v>
      </c>
      <c r="B11270" s="35" t="s">
        <v>3966</v>
      </c>
    </row>
    <row r="11271" spans="1:2" x14ac:dyDescent="0.35">
      <c r="A11271" s="34">
        <v>45121602</v>
      </c>
      <c r="B11271" s="35" t="s">
        <v>10600</v>
      </c>
    </row>
    <row r="11272" spans="1:2" x14ac:dyDescent="0.35">
      <c r="A11272" s="34">
        <v>45121603</v>
      </c>
      <c r="B11272" s="35" t="s">
        <v>5293</v>
      </c>
    </row>
    <row r="11273" spans="1:2" x14ac:dyDescent="0.35">
      <c r="A11273" s="34">
        <v>45121604</v>
      </c>
      <c r="B11273" s="35" t="s">
        <v>19193</v>
      </c>
    </row>
    <row r="11274" spans="1:2" x14ac:dyDescent="0.35">
      <c r="A11274" s="34">
        <v>45121605</v>
      </c>
      <c r="B11274" s="35" t="s">
        <v>8848</v>
      </c>
    </row>
    <row r="11275" spans="1:2" x14ac:dyDescent="0.35">
      <c r="A11275" s="34">
        <v>45121606</v>
      </c>
      <c r="B11275" s="35" t="s">
        <v>208</v>
      </c>
    </row>
    <row r="11276" spans="1:2" x14ac:dyDescent="0.35">
      <c r="A11276" s="34">
        <v>45121607</v>
      </c>
      <c r="B11276" s="35" t="s">
        <v>19112</v>
      </c>
    </row>
    <row r="11277" spans="1:2" x14ac:dyDescent="0.35">
      <c r="A11277" s="34">
        <v>45121608</v>
      </c>
      <c r="B11277" s="35" t="s">
        <v>14599</v>
      </c>
    </row>
    <row r="11278" spans="1:2" x14ac:dyDescent="0.35">
      <c r="A11278" s="34">
        <v>45121609</v>
      </c>
      <c r="B11278" s="35" t="s">
        <v>18307</v>
      </c>
    </row>
    <row r="11279" spans="1:2" x14ac:dyDescent="0.35">
      <c r="A11279" s="34">
        <v>45121610</v>
      </c>
      <c r="B11279" s="35" t="s">
        <v>13777</v>
      </c>
    </row>
    <row r="11280" spans="1:2" x14ac:dyDescent="0.35">
      <c r="A11280" s="34">
        <v>45121611</v>
      </c>
      <c r="B11280" s="35" t="s">
        <v>8130</v>
      </c>
    </row>
    <row r="11281" spans="1:2" x14ac:dyDescent="0.35">
      <c r="A11281" s="34">
        <v>45121612</v>
      </c>
      <c r="B11281" s="35" t="s">
        <v>4049</v>
      </c>
    </row>
    <row r="11282" spans="1:2" x14ac:dyDescent="0.35">
      <c r="A11282" s="34">
        <v>45121613</v>
      </c>
      <c r="B11282" s="35" t="s">
        <v>6636</v>
      </c>
    </row>
    <row r="11283" spans="1:2" x14ac:dyDescent="0.35">
      <c r="A11283" s="34">
        <v>45121614</v>
      </c>
      <c r="B11283" s="35" t="s">
        <v>13848</v>
      </c>
    </row>
    <row r="11284" spans="1:2" x14ac:dyDescent="0.35">
      <c r="A11284" s="34">
        <v>45121615</v>
      </c>
      <c r="B11284" s="35" t="s">
        <v>7851</v>
      </c>
    </row>
    <row r="11285" spans="1:2" x14ac:dyDescent="0.35">
      <c r="A11285" s="34">
        <v>45121616</v>
      </c>
      <c r="B11285" s="35" t="s">
        <v>19353</v>
      </c>
    </row>
    <row r="11286" spans="1:2" x14ac:dyDescent="0.35">
      <c r="A11286" s="34">
        <v>45121617</v>
      </c>
      <c r="B11286" s="35" t="s">
        <v>5967</v>
      </c>
    </row>
    <row r="11287" spans="1:2" x14ac:dyDescent="0.35">
      <c r="A11287" s="34">
        <v>45121618</v>
      </c>
      <c r="B11287" s="35" t="s">
        <v>6789</v>
      </c>
    </row>
    <row r="11288" spans="1:2" x14ac:dyDescent="0.35">
      <c r="A11288" s="34">
        <v>45121619</v>
      </c>
      <c r="B11288" s="35" t="s">
        <v>10182</v>
      </c>
    </row>
    <row r="11289" spans="1:2" x14ac:dyDescent="0.35">
      <c r="A11289" s="34">
        <v>45121620</v>
      </c>
      <c r="B11289" s="35" t="s">
        <v>8402</v>
      </c>
    </row>
    <row r="11290" spans="1:2" x14ac:dyDescent="0.35">
      <c r="A11290" s="34">
        <v>45121621</v>
      </c>
      <c r="B11290" s="35" t="s">
        <v>16655</v>
      </c>
    </row>
    <row r="11291" spans="1:2" x14ac:dyDescent="0.35">
      <c r="A11291" s="34">
        <v>45121622</v>
      </c>
      <c r="B11291" s="35" t="s">
        <v>11304</v>
      </c>
    </row>
    <row r="11292" spans="1:2" x14ac:dyDescent="0.35">
      <c r="A11292" s="34">
        <v>45121623</v>
      </c>
      <c r="B11292" s="35" t="s">
        <v>15961</v>
      </c>
    </row>
    <row r="11293" spans="1:2" x14ac:dyDescent="0.35">
      <c r="A11293" s="34">
        <v>45121701</v>
      </c>
      <c r="B11293" s="35" t="s">
        <v>3481</v>
      </c>
    </row>
    <row r="11294" spans="1:2" x14ac:dyDescent="0.35">
      <c r="A11294" s="34">
        <v>45121702</v>
      </c>
      <c r="B11294" s="35" t="s">
        <v>12476</v>
      </c>
    </row>
    <row r="11295" spans="1:2" x14ac:dyDescent="0.35">
      <c r="A11295" s="34">
        <v>45121703</v>
      </c>
      <c r="B11295" s="35" t="s">
        <v>17627</v>
      </c>
    </row>
    <row r="11296" spans="1:2" x14ac:dyDescent="0.35">
      <c r="A11296" s="34">
        <v>45121704</v>
      </c>
      <c r="B11296" s="35" t="s">
        <v>5066</v>
      </c>
    </row>
    <row r="11297" spans="1:2" x14ac:dyDescent="0.35">
      <c r="A11297" s="34">
        <v>45121705</v>
      </c>
      <c r="B11297" s="35" t="s">
        <v>10797</v>
      </c>
    </row>
    <row r="11298" spans="1:2" x14ac:dyDescent="0.35">
      <c r="A11298" s="34">
        <v>45121706</v>
      </c>
      <c r="B11298" s="35" t="s">
        <v>5211</v>
      </c>
    </row>
    <row r="11299" spans="1:2" x14ac:dyDescent="0.35">
      <c r="A11299" s="34">
        <v>45121801</v>
      </c>
      <c r="B11299" s="35" t="s">
        <v>17005</v>
      </c>
    </row>
    <row r="11300" spans="1:2" x14ac:dyDescent="0.35">
      <c r="A11300" s="34">
        <v>45121802</v>
      </c>
      <c r="B11300" s="35" t="s">
        <v>8596</v>
      </c>
    </row>
    <row r="11301" spans="1:2" x14ac:dyDescent="0.35">
      <c r="A11301" s="34">
        <v>45121803</v>
      </c>
      <c r="B11301" s="35" t="s">
        <v>1925</v>
      </c>
    </row>
    <row r="11302" spans="1:2" x14ac:dyDescent="0.35">
      <c r="A11302" s="34">
        <v>45121804</v>
      </c>
      <c r="B11302" s="35" t="s">
        <v>4601</v>
      </c>
    </row>
    <row r="11303" spans="1:2" x14ac:dyDescent="0.35">
      <c r="A11303" s="34">
        <v>45121805</v>
      </c>
      <c r="B11303" s="35" t="s">
        <v>13986</v>
      </c>
    </row>
    <row r="11304" spans="1:2" x14ac:dyDescent="0.35">
      <c r="A11304" s="34">
        <v>45121806</v>
      </c>
      <c r="B11304" s="35" t="s">
        <v>11883</v>
      </c>
    </row>
    <row r="11305" spans="1:2" x14ac:dyDescent="0.35">
      <c r="A11305" s="34">
        <v>45121807</v>
      </c>
      <c r="B11305" s="35" t="s">
        <v>4980</v>
      </c>
    </row>
    <row r="11306" spans="1:2" x14ac:dyDescent="0.35">
      <c r="A11306" s="34">
        <v>45121808</v>
      </c>
      <c r="B11306" s="35" t="s">
        <v>5960</v>
      </c>
    </row>
    <row r="11307" spans="1:2" x14ac:dyDescent="0.35">
      <c r="A11307" s="34">
        <v>45121809</v>
      </c>
      <c r="B11307" s="35" t="s">
        <v>9342</v>
      </c>
    </row>
    <row r="11308" spans="1:2" x14ac:dyDescent="0.35">
      <c r="A11308" s="34">
        <v>45121810</v>
      </c>
      <c r="B11308" s="35" t="s">
        <v>9900</v>
      </c>
    </row>
    <row r="11309" spans="1:2" x14ac:dyDescent="0.35">
      <c r="A11309" s="34">
        <v>45131501</v>
      </c>
      <c r="B11309" s="35" t="s">
        <v>5463</v>
      </c>
    </row>
    <row r="11310" spans="1:2" x14ac:dyDescent="0.35">
      <c r="A11310" s="34">
        <v>45131502</v>
      </c>
      <c r="B11310" s="35" t="s">
        <v>1162</v>
      </c>
    </row>
    <row r="11311" spans="1:2" x14ac:dyDescent="0.35">
      <c r="A11311" s="34">
        <v>45131503</v>
      </c>
      <c r="B11311" s="35" t="s">
        <v>6963</v>
      </c>
    </row>
    <row r="11312" spans="1:2" x14ac:dyDescent="0.35">
      <c r="A11312" s="34">
        <v>45131505</v>
      </c>
      <c r="B11312" s="35" t="s">
        <v>5727</v>
      </c>
    </row>
    <row r="11313" spans="1:2" x14ac:dyDescent="0.35">
      <c r="A11313" s="34">
        <v>45131601</v>
      </c>
      <c r="B11313" s="35" t="s">
        <v>7759</v>
      </c>
    </row>
    <row r="11314" spans="1:2" x14ac:dyDescent="0.35">
      <c r="A11314" s="34">
        <v>45131604</v>
      </c>
      <c r="B11314" s="35" t="s">
        <v>11393</v>
      </c>
    </row>
    <row r="11315" spans="1:2" x14ac:dyDescent="0.35">
      <c r="A11315" s="34">
        <v>45131701</v>
      </c>
      <c r="B11315" s="35" t="s">
        <v>4213</v>
      </c>
    </row>
    <row r="11316" spans="1:2" x14ac:dyDescent="0.35">
      <c r="A11316" s="34">
        <v>45141501</v>
      </c>
      <c r="B11316" s="35" t="s">
        <v>8149</v>
      </c>
    </row>
    <row r="11317" spans="1:2" x14ac:dyDescent="0.35">
      <c r="A11317" s="34">
        <v>45141502</v>
      </c>
      <c r="B11317" s="35" t="s">
        <v>11813</v>
      </c>
    </row>
    <row r="11318" spans="1:2" x14ac:dyDescent="0.35">
      <c r="A11318" s="34">
        <v>45141601</v>
      </c>
      <c r="B11318" s="35" t="s">
        <v>12750</v>
      </c>
    </row>
    <row r="11319" spans="1:2" x14ac:dyDescent="0.35">
      <c r="A11319" s="34">
        <v>45141602</v>
      </c>
      <c r="B11319" s="35" t="s">
        <v>11913</v>
      </c>
    </row>
    <row r="11320" spans="1:2" x14ac:dyDescent="0.35">
      <c r="A11320" s="34">
        <v>45141603</v>
      </c>
      <c r="B11320" s="35" t="s">
        <v>14093</v>
      </c>
    </row>
    <row r="11321" spans="1:2" x14ac:dyDescent="0.35">
      <c r="A11321" s="34">
        <v>46101501</v>
      </c>
      <c r="B11321" s="35" t="s">
        <v>3881</v>
      </c>
    </row>
    <row r="11322" spans="1:2" x14ac:dyDescent="0.35">
      <c r="A11322" s="34">
        <v>46101502</v>
      </c>
      <c r="B11322" s="35" t="s">
        <v>17449</v>
      </c>
    </row>
    <row r="11323" spans="1:2" x14ac:dyDescent="0.35">
      <c r="A11323" s="34">
        <v>46101503</v>
      </c>
      <c r="B11323" s="35" t="s">
        <v>9428</v>
      </c>
    </row>
    <row r="11324" spans="1:2" x14ac:dyDescent="0.35">
      <c r="A11324" s="34">
        <v>46101504</v>
      </c>
      <c r="B11324" s="35" t="s">
        <v>6386</v>
      </c>
    </row>
    <row r="11325" spans="1:2" x14ac:dyDescent="0.35">
      <c r="A11325" s="34">
        <v>46101505</v>
      </c>
      <c r="B11325" s="35" t="s">
        <v>17754</v>
      </c>
    </row>
    <row r="11326" spans="1:2" x14ac:dyDescent="0.35">
      <c r="A11326" s="34">
        <v>46101506</v>
      </c>
      <c r="B11326" s="35" t="s">
        <v>5207</v>
      </c>
    </row>
    <row r="11327" spans="1:2" x14ac:dyDescent="0.35">
      <c r="A11327" s="34">
        <v>46101601</v>
      </c>
      <c r="B11327" s="35" t="s">
        <v>6444</v>
      </c>
    </row>
    <row r="11328" spans="1:2" x14ac:dyDescent="0.35">
      <c r="A11328" s="34">
        <v>46101701</v>
      </c>
      <c r="B11328" s="35" t="s">
        <v>16545</v>
      </c>
    </row>
    <row r="11329" spans="1:2" x14ac:dyDescent="0.35">
      <c r="A11329" s="34">
        <v>46101702</v>
      </c>
      <c r="B11329" s="35" t="s">
        <v>6966</v>
      </c>
    </row>
    <row r="11330" spans="1:2" x14ac:dyDescent="0.35">
      <c r="A11330" s="34">
        <v>46101801</v>
      </c>
      <c r="B11330" s="35" t="s">
        <v>8635</v>
      </c>
    </row>
    <row r="11331" spans="1:2" x14ac:dyDescent="0.35">
      <c r="A11331" s="34">
        <v>46111501</v>
      </c>
      <c r="B11331" s="35" t="s">
        <v>2343</v>
      </c>
    </row>
    <row r="11332" spans="1:2" x14ac:dyDescent="0.35">
      <c r="A11332" s="34">
        <v>46111502</v>
      </c>
      <c r="B11332" s="35" t="s">
        <v>19240</v>
      </c>
    </row>
    <row r="11333" spans="1:2" x14ac:dyDescent="0.35">
      <c r="A11333" s="34">
        <v>46111503</v>
      </c>
      <c r="B11333" s="35" t="s">
        <v>1764</v>
      </c>
    </row>
    <row r="11334" spans="1:2" x14ac:dyDescent="0.35">
      <c r="A11334" s="34">
        <v>46111601</v>
      </c>
      <c r="B11334" s="35" t="s">
        <v>17334</v>
      </c>
    </row>
    <row r="11335" spans="1:2" x14ac:dyDescent="0.35">
      <c r="A11335" s="34">
        <v>46111602</v>
      </c>
      <c r="B11335" s="35" t="s">
        <v>1470</v>
      </c>
    </row>
    <row r="11336" spans="1:2" x14ac:dyDescent="0.35">
      <c r="A11336" s="34">
        <v>46111701</v>
      </c>
      <c r="B11336" s="35" t="s">
        <v>9527</v>
      </c>
    </row>
    <row r="11337" spans="1:2" x14ac:dyDescent="0.35">
      <c r="A11337" s="34">
        <v>46111702</v>
      </c>
      <c r="B11337" s="35" t="s">
        <v>16748</v>
      </c>
    </row>
    <row r="11338" spans="1:2" x14ac:dyDescent="0.35">
      <c r="A11338" s="34">
        <v>46111801</v>
      </c>
      <c r="B11338" s="35" t="s">
        <v>9957</v>
      </c>
    </row>
    <row r="11339" spans="1:2" x14ac:dyDescent="0.35">
      <c r="A11339" s="34">
        <v>46121501</v>
      </c>
      <c r="B11339" s="35" t="s">
        <v>8836</v>
      </c>
    </row>
    <row r="11340" spans="1:2" x14ac:dyDescent="0.35">
      <c r="A11340" s="34">
        <v>46121502</v>
      </c>
      <c r="B11340" s="35" t="s">
        <v>5575</v>
      </c>
    </row>
    <row r="11341" spans="1:2" x14ac:dyDescent="0.35">
      <c r="A11341" s="34">
        <v>46121503</v>
      </c>
      <c r="B11341" s="35" t="s">
        <v>5534</v>
      </c>
    </row>
    <row r="11342" spans="1:2" x14ac:dyDescent="0.35">
      <c r="A11342" s="34">
        <v>46121504</v>
      </c>
      <c r="B11342" s="35" t="s">
        <v>9720</v>
      </c>
    </row>
    <row r="11343" spans="1:2" x14ac:dyDescent="0.35">
      <c r="A11343" s="34">
        <v>46121505</v>
      </c>
      <c r="B11343" s="35" t="s">
        <v>8709</v>
      </c>
    </row>
    <row r="11344" spans="1:2" x14ac:dyDescent="0.35">
      <c r="A11344" s="34">
        <v>46121506</v>
      </c>
      <c r="B11344" s="35" t="s">
        <v>12044</v>
      </c>
    </row>
    <row r="11345" spans="1:2" x14ac:dyDescent="0.35">
      <c r="A11345" s="34">
        <v>46121507</v>
      </c>
      <c r="B11345" s="35" t="s">
        <v>8641</v>
      </c>
    </row>
    <row r="11346" spans="1:2" x14ac:dyDescent="0.35">
      <c r="A11346" s="34">
        <v>46121508</v>
      </c>
      <c r="B11346" s="35" t="s">
        <v>11938</v>
      </c>
    </row>
    <row r="11347" spans="1:2" x14ac:dyDescent="0.35">
      <c r="A11347" s="34">
        <v>46121509</v>
      </c>
      <c r="B11347" s="35" t="s">
        <v>7306</v>
      </c>
    </row>
    <row r="11348" spans="1:2" x14ac:dyDescent="0.35">
      <c r="A11348" s="34">
        <v>46121510</v>
      </c>
      <c r="B11348" s="35" t="s">
        <v>19034</v>
      </c>
    </row>
    <row r="11349" spans="1:2" x14ac:dyDescent="0.35">
      <c r="A11349" s="34">
        <v>46121511</v>
      </c>
      <c r="B11349" s="35" t="s">
        <v>16740</v>
      </c>
    </row>
    <row r="11350" spans="1:2" x14ac:dyDescent="0.35">
      <c r="A11350" s="34">
        <v>46121512</v>
      </c>
      <c r="B11350" s="35" t="s">
        <v>15575</v>
      </c>
    </row>
    <row r="11351" spans="1:2" x14ac:dyDescent="0.35">
      <c r="A11351" s="34">
        <v>46121601</v>
      </c>
      <c r="B11351" s="35" t="s">
        <v>15367</v>
      </c>
    </row>
    <row r="11352" spans="1:2" x14ac:dyDescent="0.35">
      <c r="A11352" s="34">
        <v>46121602</v>
      </c>
      <c r="B11352" s="35" t="s">
        <v>3455</v>
      </c>
    </row>
    <row r="11353" spans="1:2" x14ac:dyDescent="0.35">
      <c r="A11353" s="34">
        <v>46121603</v>
      </c>
      <c r="B11353" s="35" t="s">
        <v>15907</v>
      </c>
    </row>
    <row r="11354" spans="1:2" x14ac:dyDescent="0.35">
      <c r="A11354" s="34">
        <v>46121604</v>
      </c>
      <c r="B11354" s="35" t="s">
        <v>14300</v>
      </c>
    </row>
    <row r="11355" spans="1:2" x14ac:dyDescent="0.35">
      <c r="A11355" s="34">
        <v>46121605</v>
      </c>
      <c r="B11355" s="35" t="s">
        <v>16885</v>
      </c>
    </row>
    <row r="11356" spans="1:2" x14ac:dyDescent="0.35">
      <c r="A11356" s="34">
        <v>46131501</v>
      </c>
      <c r="B11356" s="35" t="s">
        <v>14501</v>
      </c>
    </row>
    <row r="11357" spans="1:2" x14ac:dyDescent="0.35">
      <c r="A11357" s="34">
        <v>46131502</v>
      </c>
      <c r="B11357" s="35" t="s">
        <v>11477</v>
      </c>
    </row>
    <row r="11358" spans="1:2" x14ac:dyDescent="0.35">
      <c r="A11358" s="34">
        <v>46131503</v>
      </c>
      <c r="B11358" s="35" t="s">
        <v>8226</v>
      </c>
    </row>
    <row r="11359" spans="1:2" x14ac:dyDescent="0.35">
      <c r="A11359" s="34">
        <v>46131504</v>
      </c>
      <c r="B11359" s="35" t="s">
        <v>9736</v>
      </c>
    </row>
    <row r="11360" spans="1:2" x14ac:dyDescent="0.35">
      <c r="A11360" s="34">
        <v>46131505</v>
      </c>
      <c r="B11360" s="35" t="s">
        <v>5307</v>
      </c>
    </row>
    <row r="11361" spans="1:2" x14ac:dyDescent="0.35">
      <c r="A11361" s="34">
        <v>46131601</v>
      </c>
      <c r="B11361" s="35" t="s">
        <v>14753</v>
      </c>
    </row>
    <row r="11362" spans="1:2" x14ac:dyDescent="0.35">
      <c r="A11362" s="34">
        <v>46131602</v>
      </c>
      <c r="B11362" s="35" t="s">
        <v>17252</v>
      </c>
    </row>
    <row r="11363" spans="1:2" x14ac:dyDescent="0.35">
      <c r="A11363" s="34">
        <v>46131603</v>
      </c>
      <c r="B11363" s="35" t="s">
        <v>18108</v>
      </c>
    </row>
    <row r="11364" spans="1:2" x14ac:dyDescent="0.35">
      <c r="A11364" s="34">
        <v>46131604</v>
      </c>
      <c r="B11364" s="35" t="s">
        <v>14301</v>
      </c>
    </row>
    <row r="11365" spans="1:2" x14ac:dyDescent="0.35">
      <c r="A11365" s="34">
        <v>46141501</v>
      </c>
      <c r="B11365" s="35" t="s">
        <v>940</v>
      </c>
    </row>
    <row r="11366" spans="1:2" x14ac:dyDescent="0.35">
      <c r="A11366" s="34">
        <v>46141502</v>
      </c>
      <c r="B11366" s="35" t="s">
        <v>9367</v>
      </c>
    </row>
    <row r="11367" spans="1:2" x14ac:dyDescent="0.35">
      <c r="A11367" s="34">
        <v>46151501</v>
      </c>
      <c r="B11367" s="35" t="s">
        <v>386</v>
      </c>
    </row>
    <row r="11368" spans="1:2" x14ac:dyDescent="0.35">
      <c r="A11368" s="34">
        <v>46151502</v>
      </c>
      <c r="B11368" s="35" t="s">
        <v>6863</v>
      </c>
    </row>
    <row r="11369" spans="1:2" x14ac:dyDescent="0.35">
      <c r="A11369" s="34">
        <v>46151503</v>
      </c>
      <c r="B11369" s="35" t="s">
        <v>9795</v>
      </c>
    </row>
    <row r="11370" spans="1:2" x14ac:dyDescent="0.35">
      <c r="A11370" s="34">
        <v>46151504</v>
      </c>
      <c r="B11370" s="35" t="s">
        <v>6737</v>
      </c>
    </row>
    <row r="11371" spans="1:2" x14ac:dyDescent="0.35">
      <c r="A11371" s="34">
        <v>46151505</v>
      </c>
      <c r="B11371" s="35" t="s">
        <v>4099</v>
      </c>
    </row>
    <row r="11372" spans="1:2" x14ac:dyDescent="0.35">
      <c r="A11372" s="34">
        <v>46151506</v>
      </c>
      <c r="B11372" s="35" t="s">
        <v>16407</v>
      </c>
    </row>
    <row r="11373" spans="1:2" x14ac:dyDescent="0.35">
      <c r="A11373" s="34">
        <v>46151507</v>
      </c>
      <c r="B11373" s="35" t="s">
        <v>16601</v>
      </c>
    </row>
    <row r="11374" spans="1:2" x14ac:dyDescent="0.35">
      <c r="A11374" s="34">
        <v>46151601</v>
      </c>
      <c r="B11374" s="35" t="s">
        <v>9412</v>
      </c>
    </row>
    <row r="11375" spans="1:2" x14ac:dyDescent="0.35">
      <c r="A11375" s="34">
        <v>46151602</v>
      </c>
      <c r="B11375" s="35" t="s">
        <v>2075</v>
      </c>
    </row>
    <row r="11376" spans="1:2" x14ac:dyDescent="0.35">
      <c r="A11376" s="34">
        <v>46151604</v>
      </c>
      <c r="B11376" s="35" t="s">
        <v>17952</v>
      </c>
    </row>
    <row r="11377" spans="1:2" x14ac:dyDescent="0.35">
      <c r="A11377" s="34">
        <v>46151605</v>
      </c>
      <c r="B11377" s="35" t="s">
        <v>6817</v>
      </c>
    </row>
    <row r="11378" spans="1:2" x14ac:dyDescent="0.35">
      <c r="A11378" s="34">
        <v>46151606</v>
      </c>
      <c r="B11378" s="35" t="s">
        <v>16757</v>
      </c>
    </row>
    <row r="11379" spans="1:2" x14ac:dyDescent="0.35">
      <c r="A11379" s="34">
        <v>46151607</v>
      </c>
      <c r="B11379" s="35" t="s">
        <v>18843</v>
      </c>
    </row>
    <row r="11380" spans="1:2" x14ac:dyDescent="0.35">
      <c r="A11380" s="34">
        <v>46151702</v>
      </c>
      <c r="B11380" s="35" t="s">
        <v>8807</v>
      </c>
    </row>
    <row r="11381" spans="1:2" x14ac:dyDescent="0.35">
      <c r="A11381" s="34">
        <v>46151703</v>
      </c>
      <c r="B11381" s="35" t="s">
        <v>11441</v>
      </c>
    </row>
    <row r="11382" spans="1:2" x14ac:dyDescent="0.35">
      <c r="A11382" s="34">
        <v>46151704</v>
      </c>
      <c r="B11382" s="35" t="s">
        <v>4663</v>
      </c>
    </row>
    <row r="11383" spans="1:2" x14ac:dyDescent="0.35">
      <c r="A11383" s="34">
        <v>46151705</v>
      </c>
      <c r="B11383" s="35" t="s">
        <v>3466</v>
      </c>
    </row>
    <row r="11384" spans="1:2" x14ac:dyDescent="0.35">
      <c r="A11384" s="34">
        <v>46151706</v>
      </c>
      <c r="B11384" s="35" t="s">
        <v>13207</v>
      </c>
    </row>
    <row r="11385" spans="1:2" x14ac:dyDescent="0.35">
      <c r="A11385" s="34">
        <v>46151707</v>
      </c>
      <c r="B11385" s="35" t="s">
        <v>15468</v>
      </c>
    </row>
    <row r="11386" spans="1:2" x14ac:dyDescent="0.35">
      <c r="A11386" s="34">
        <v>46151708</v>
      </c>
      <c r="B11386" s="35" t="s">
        <v>14672</v>
      </c>
    </row>
    <row r="11387" spans="1:2" x14ac:dyDescent="0.35">
      <c r="A11387" s="34">
        <v>46151709</v>
      </c>
      <c r="B11387" s="35" t="s">
        <v>15559</v>
      </c>
    </row>
    <row r="11388" spans="1:2" x14ac:dyDescent="0.35">
      <c r="A11388" s="34">
        <v>46151710</v>
      </c>
      <c r="B11388" s="35" t="s">
        <v>10892</v>
      </c>
    </row>
    <row r="11389" spans="1:2" x14ac:dyDescent="0.35">
      <c r="A11389" s="34">
        <v>46151711</v>
      </c>
      <c r="B11389" s="35" t="s">
        <v>13796</v>
      </c>
    </row>
    <row r="11390" spans="1:2" x14ac:dyDescent="0.35">
      <c r="A11390" s="34">
        <v>46151712</v>
      </c>
      <c r="B11390" s="35" t="s">
        <v>12464</v>
      </c>
    </row>
    <row r="11391" spans="1:2" x14ac:dyDescent="0.35">
      <c r="A11391" s="34">
        <v>46151713</v>
      </c>
      <c r="B11391" s="35" t="s">
        <v>4387</v>
      </c>
    </row>
    <row r="11392" spans="1:2" x14ac:dyDescent="0.35">
      <c r="A11392" s="34">
        <v>46151714</v>
      </c>
      <c r="B11392" s="35" t="s">
        <v>18948</v>
      </c>
    </row>
    <row r="11393" spans="1:2" x14ac:dyDescent="0.35">
      <c r="A11393" s="34">
        <v>46151715</v>
      </c>
      <c r="B11393" s="35" t="s">
        <v>8998</v>
      </c>
    </row>
    <row r="11394" spans="1:2" x14ac:dyDescent="0.35">
      <c r="A11394" s="34">
        <v>46161501</v>
      </c>
      <c r="B11394" s="35" t="s">
        <v>3510</v>
      </c>
    </row>
    <row r="11395" spans="1:2" x14ac:dyDescent="0.35">
      <c r="A11395" s="34">
        <v>46161502</v>
      </c>
      <c r="B11395" s="35" t="s">
        <v>12877</v>
      </c>
    </row>
    <row r="11396" spans="1:2" x14ac:dyDescent="0.35">
      <c r="A11396" s="34">
        <v>46161503</v>
      </c>
      <c r="B11396" s="35" t="s">
        <v>5894</v>
      </c>
    </row>
    <row r="11397" spans="1:2" x14ac:dyDescent="0.35">
      <c r="A11397" s="34">
        <v>46161504</v>
      </c>
      <c r="B11397" s="35" t="s">
        <v>10966</v>
      </c>
    </row>
    <row r="11398" spans="1:2" x14ac:dyDescent="0.35">
      <c r="A11398" s="34">
        <v>46161505</v>
      </c>
      <c r="B11398" s="35" t="s">
        <v>14500</v>
      </c>
    </row>
    <row r="11399" spans="1:2" x14ac:dyDescent="0.35">
      <c r="A11399" s="34">
        <v>46161506</v>
      </c>
      <c r="B11399" s="35" t="s">
        <v>10655</v>
      </c>
    </row>
    <row r="11400" spans="1:2" x14ac:dyDescent="0.35">
      <c r="A11400" s="34">
        <v>46161507</v>
      </c>
      <c r="B11400" s="35" t="s">
        <v>15830</v>
      </c>
    </row>
    <row r="11401" spans="1:2" x14ac:dyDescent="0.35">
      <c r="A11401" s="34">
        <v>46161508</v>
      </c>
      <c r="B11401" s="35" t="s">
        <v>6273</v>
      </c>
    </row>
    <row r="11402" spans="1:2" x14ac:dyDescent="0.35">
      <c r="A11402" s="34">
        <v>46161509</v>
      </c>
      <c r="B11402" s="35" t="s">
        <v>12220</v>
      </c>
    </row>
    <row r="11403" spans="1:2" x14ac:dyDescent="0.35">
      <c r="A11403" s="34">
        <v>46161510</v>
      </c>
      <c r="B11403" s="35" t="s">
        <v>18009</v>
      </c>
    </row>
    <row r="11404" spans="1:2" x14ac:dyDescent="0.35">
      <c r="A11404" s="34">
        <v>46161601</v>
      </c>
      <c r="B11404" s="35" t="s">
        <v>17388</v>
      </c>
    </row>
    <row r="11405" spans="1:2" x14ac:dyDescent="0.35">
      <c r="A11405" s="34">
        <v>46161602</v>
      </c>
      <c r="B11405" s="35" t="s">
        <v>3318</v>
      </c>
    </row>
    <row r="11406" spans="1:2" x14ac:dyDescent="0.35">
      <c r="A11406" s="34">
        <v>46161603</v>
      </c>
      <c r="B11406" s="35" t="s">
        <v>10502</v>
      </c>
    </row>
    <row r="11407" spans="1:2" x14ac:dyDescent="0.35">
      <c r="A11407" s="34">
        <v>46161604</v>
      </c>
      <c r="B11407" s="35" t="s">
        <v>15229</v>
      </c>
    </row>
    <row r="11408" spans="1:2" x14ac:dyDescent="0.35">
      <c r="A11408" s="34">
        <v>46171501</v>
      </c>
      <c r="B11408" s="35" t="s">
        <v>15630</v>
      </c>
    </row>
    <row r="11409" spans="1:2" x14ac:dyDescent="0.35">
      <c r="A11409" s="34">
        <v>46171502</v>
      </c>
      <c r="B11409" s="35" t="s">
        <v>13950</v>
      </c>
    </row>
    <row r="11410" spans="1:2" x14ac:dyDescent="0.35">
      <c r="A11410" s="34">
        <v>46171503</v>
      </c>
      <c r="B11410" s="35" t="s">
        <v>8258</v>
      </c>
    </row>
    <row r="11411" spans="1:2" x14ac:dyDescent="0.35">
      <c r="A11411" s="34">
        <v>46171504</v>
      </c>
      <c r="B11411" s="35" t="s">
        <v>10927</v>
      </c>
    </row>
    <row r="11412" spans="1:2" x14ac:dyDescent="0.35">
      <c r="A11412" s="34">
        <v>46171505</v>
      </c>
      <c r="B11412" s="35" t="s">
        <v>7271</v>
      </c>
    </row>
    <row r="11413" spans="1:2" x14ac:dyDescent="0.35">
      <c r="A11413" s="34">
        <v>46171506</v>
      </c>
      <c r="B11413" s="35" t="s">
        <v>9433</v>
      </c>
    </row>
    <row r="11414" spans="1:2" x14ac:dyDescent="0.35">
      <c r="A11414" s="34">
        <v>46171507</v>
      </c>
      <c r="B11414" s="35" t="s">
        <v>3834</v>
      </c>
    </row>
    <row r="11415" spans="1:2" x14ac:dyDescent="0.35">
      <c r="A11415" s="34">
        <v>46171508</v>
      </c>
      <c r="B11415" s="35" t="s">
        <v>3139</v>
      </c>
    </row>
    <row r="11416" spans="1:2" x14ac:dyDescent="0.35">
      <c r="A11416" s="34">
        <v>46171509</v>
      </c>
      <c r="B11416" s="35" t="s">
        <v>2607</v>
      </c>
    </row>
    <row r="11417" spans="1:2" x14ac:dyDescent="0.35">
      <c r="A11417" s="34">
        <v>46171510</v>
      </c>
      <c r="B11417" s="35" t="s">
        <v>2010</v>
      </c>
    </row>
    <row r="11418" spans="1:2" x14ac:dyDescent="0.35">
      <c r="A11418" s="34">
        <v>46171511</v>
      </c>
      <c r="B11418" s="35" t="s">
        <v>8887</v>
      </c>
    </row>
    <row r="11419" spans="1:2" x14ac:dyDescent="0.35">
      <c r="A11419" s="34">
        <v>46171512</v>
      </c>
      <c r="B11419" s="35" t="s">
        <v>17009</v>
      </c>
    </row>
    <row r="11420" spans="1:2" x14ac:dyDescent="0.35">
      <c r="A11420" s="34">
        <v>46171513</v>
      </c>
      <c r="B11420" s="35" t="s">
        <v>10118</v>
      </c>
    </row>
    <row r="11421" spans="1:2" x14ac:dyDescent="0.35">
      <c r="A11421" s="34">
        <v>46171514</v>
      </c>
      <c r="B11421" s="35" t="s">
        <v>16056</v>
      </c>
    </row>
    <row r="11422" spans="1:2" x14ac:dyDescent="0.35">
      <c r="A11422" s="34">
        <v>46171515</v>
      </c>
      <c r="B11422" s="35" t="s">
        <v>6298</v>
      </c>
    </row>
    <row r="11423" spans="1:2" x14ac:dyDescent="0.35">
      <c r="A11423" s="34">
        <v>46171516</v>
      </c>
      <c r="B11423" s="35" t="s">
        <v>3348</v>
      </c>
    </row>
    <row r="11424" spans="1:2" x14ac:dyDescent="0.35">
      <c r="A11424" s="34">
        <v>46171517</v>
      </c>
      <c r="B11424" s="35" t="s">
        <v>12445</v>
      </c>
    </row>
    <row r="11425" spans="1:2" x14ac:dyDescent="0.35">
      <c r="A11425" s="34">
        <v>46171518</v>
      </c>
      <c r="B11425" s="35" t="s">
        <v>17075</v>
      </c>
    </row>
    <row r="11426" spans="1:2" x14ac:dyDescent="0.35">
      <c r="A11426" s="34">
        <v>46171602</v>
      </c>
      <c r="B11426" s="35" t="s">
        <v>3022</v>
      </c>
    </row>
    <row r="11427" spans="1:2" x14ac:dyDescent="0.35">
      <c r="A11427" s="34">
        <v>46171603</v>
      </c>
      <c r="B11427" s="35" t="s">
        <v>9916</v>
      </c>
    </row>
    <row r="11428" spans="1:2" x14ac:dyDescent="0.35">
      <c r="A11428" s="34">
        <v>46171604</v>
      </c>
      <c r="B11428" s="35" t="s">
        <v>10304</v>
      </c>
    </row>
    <row r="11429" spans="1:2" x14ac:dyDescent="0.35">
      <c r="A11429" s="34">
        <v>46171605</v>
      </c>
      <c r="B11429" s="35" t="s">
        <v>6704</v>
      </c>
    </row>
    <row r="11430" spans="1:2" x14ac:dyDescent="0.35">
      <c r="A11430" s="34">
        <v>46171606</v>
      </c>
      <c r="B11430" s="35" t="s">
        <v>2122</v>
      </c>
    </row>
    <row r="11431" spans="1:2" x14ac:dyDescent="0.35">
      <c r="A11431" s="34">
        <v>46171607</v>
      </c>
      <c r="B11431" s="35" t="s">
        <v>8527</v>
      </c>
    </row>
    <row r="11432" spans="1:2" x14ac:dyDescent="0.35">
      <c r="A11432" s="34">
        <v>46171608</v>
      </c>
      <c r="B11432" s="35" t="s">
        <v>6466</v>
      </c>
    </row>
    <row r="11433" spans="1:2" x14ac:dyDescent="0.35">
      <c r="A11433" s="34">
        <v>46171609</v>
      </c>
      <c r="B11433" s="35" t="s">
        <v>10583</v>
      </c>
    </row>
    <row r="11434" spans="1:2" x14ac:dyDescent="0.35">
      <c r="A11434" s="34">
        <v>46171610</v>
      </c>
      <c r="B11434" s="35" t="s">
        <v>18576</v>
      </c>
    </row>
    <row r="11435" spans="1:2" x14ac:dyDescent="0.35">
      <c r="A11435" s="34">
        <v>46171611</v>
      </c>
      <c r="B11435" s="35" t="s">
        <v>10680</v>
      </c>
    </row>
    <row r="11436" spans="1:2" x14ac:dyDescent="0.35">
      <c r="A11436" s="34">
        <v>46171612</v>
      </c>
      <c r="B11436" s="35" t="s">
        <v>14195</v>
      </c>
    </row>
    <row r="11437" spans="1:2" x14ac:dyDescent="0.35">
      <c r="A11437" s="34">
        <v>46171613</v>
      </c>
      <c r="B11437" s="35" t="s">
        <v>7596</v>
      </c>
    </row>
    <row r="11438" spans="1:2" x14ac:dyDescent="0.35">
      <c r="A11438" s="34">
        <v>46171615</v>
      </c>
      <c r="B11438" s="35" t="s">
        <v>17679</v>
      </c>
    </row>
    <row r="11439" spans="1:2" x14ac:dyDescent="0.35">
      <c r="A11439" s="34">
        <v>46171616</v>
      </c>
      <c r="B11439" s="35" t="s">
        <v>4958</v>
      </c>
    </row>
    <row r="11440" spans="1:2" x14ac:dyDescent="0.35">
      <c r="A11440" s="34">
        <v>46171617</v>
      </c>
      <c r="B11440" s="35" t="s">
        <v>16812</v>
      </c>
    </row>
    <row r="11441" spans="1:2" x14ac:dyDescent="0.35">
      <c r="A11441" s="34">
        <v>46171618</v>
      </c>
      <c r="B11441" s="35" t="s">
        <v>18956</v>
      </c>
    </row>
    <row r="11442" spans="1:2" x14ac:dyDescent="0.35">
      <c r="A11442" s="34">
        <v>46171619</v>
      </c>
      <c r="B11442" s="35" t="s">
        <v>10385</v>
      </c>
    </row>
    <row r="11443" spans="1:2" x14ac:dyDescent="0.35">
      <c r="A11443" s="34">
        <v>46171620</v>
      </c>
      <c r="B11443" s="35" t="s">
        <v>14292</v>
      </c>
    </row>
    <row r="11444" spans="1:2" x14ac:dyDescent="0.35">
      <c r="A11444" s="34">
        <v>46171621</v>
      </c>
      <c r="B11444" s="35" t="s">
        <v>788</v>
      </c>
    </row>
    <row r="11445" spans="1:2" x14ac:dyDescent="0.35">
      <c r="A11445" s="34">
        <v>46181501</v>
      </c>
      <c r="B11445" s="35" t="s">
        <v>15433</v>
      </c>
    </row>
    <row r="11446" spans="1:2" x14ac:dyDescent="0.35">
      <c r="A11446" s="34">
        <v>46181502</v>
      </c>
      <c r="B11446" s="35" t="s">
        <v>5690</v>
      </c>
    </row>
    <row r="11447" spans="1:2" x14ac:dyDescent="0.35">
      <c r="A11447" s="34">
        <v>46181503</v>
      </c>
      <c r="B11447" s="35" t="s">
        <v>19152</v>
      </c>
    </row>
    <row r="11448" spans="1:2" x14ac:dyDescent="0.35">
      <c r="A11448" s="34">
        <v>46181504</v>
      </c>
      <c r="B11448" s="35" t="s">
        <v>13688</v>
      </c>
    </row>
    <row r="11449" spans="1:2" x14ac:dyDescent="0.35">
      <c r="A11449" s="34">
        <v>46181505</v>
      </c>
      <c r="B11449" s="35" t="s">
        <v>15848</v>
      </c>
    </row>
    <row r="11450" spans="1:2" x14ac:dyDescent="0.35">
      <c r="A11450" s="34">
        <v>46181506</v>
      </c>
      <c r="B11450" s="35" t="s">
        <v>19272</v>
      </c>
    </row>
    <row r="11451" spans="1:2" x14ac:dyDescent="0.35">
      <c r="A11451" s="34">
        <v>46181507</v>
      </c>
      <c r="B11451" s="35" t="s">
        <v>14283</v>
      </c>
    </row>
    <row r="11452" spans="1:2" x14ac:dyDescent="0.35">
      <c r="A11452" s="34">
        <v>46181508</v>
      </c>
      <c r="B11452" s="35" t="s">
        <v>14658</v>
      </c>
    </row>
    <row r="11453" spans="1:2" x14ac:dyDescent="0.35">
      <c r="A11453" s="34">
        <v>46181509</v>
      </c>
      <c r="B11453" s="35" t="s">
        <v>7339</v>
      </c>
    </row>
    <row r="11454" spans="1:2" x14ac:dyDescent="0.35">
      <c r="A11454" s="34">
        <v>46181512</v>
      </c>
      <c r="B11454" s="35" t="s">
        <v>8575</v>
      </c>
    </row>
    <row r="11455" spans="1:2" x14ac:dyDescent="0.35">
      <c r="A11455" s="34">
        <v>46181514</v>
      </c>
      <c r="B11455" s="35" t="s">
        <v>11618</v>
      </c>
    </row>
    <row r="11456" spans="1:2" x14ac:dyDescent="0.35">
      <c r="A11456" s="34">
        <v>46181516</v>
      </c>
      <c r="B11456" s="35" t="s">
        <v>17562</v>
      </c>
    </row>
    <row r="11457" spans="1:2" x14ac:dyDescent="0.35">
      <c r="A11457" s="34">
        <v>46181517</v>
      </c>
      <c r="B11457" s="35" t="s">
        <v>8223</v>
      </c>
    </row>
    <row r="11458" spans="1:2" x14ac:dyDescent="0.35">
      <c r="A11458" s="34">
        <v>46181518</v>
      </c>
      <c r="B11458" s="35" t="s">
        <v>16358</v>
      </c>
    </row>
    <row r="11459" spans="1:2" x14ac:dyDescent="0.35">
      <c r="A11459" s="34">
        <v>46181520</v>
      </c>
      <c r="B11459" s="35" t="s">
        <v>3709</v>
      </c>
    </row>
    <row r="11460" spans="1:2" x14ac:dyDescent="0.35">
      <c r="A11460" s="34">
        <v>46181522</v>
      </c>
      <c r="B11460" s="35" t="s">
        <v>15693</v>
      </c>
    </row>
    <row r="11461" spans="1:2" x14ac:dyDescent="0.35">
      <c r="A11461" s="34">
        <v>46181525</v>
      </c>
      <c r="B11461" s="35" t="s">
        <v>5666</v>
      </c>
    </row>
    <row r="11462" spans="1:2" x14ac:dyDescent="0.35">
      <c r="A11462" s="34">
        <v>46181526</v>
      </c>
      <c r="B11462" s="35" t="s">
        <v>15381</v>
      </c>
    </row>
    <row r="11463" spans="1:2" x14ac:dyDescent="0.35">
      <c r="A11463" s="34">
        <v>46181527</v>
      </c>
      <c r="B11463" s="35" t="s">
        <v>605</v>
      </c>
    </row>
    <row r="11464" spans="1:2" x14ac:dyDescent="0.35">
      <c r="A11464" s="34">
        <v>46181528</v>
      </c>
      <c r="B11464" s="35" t="s">
        <v>6739</v>
      </c>
    </row>
    <row r="11465" spans="1:2" x14ac:dyDescent="0.35">
      <c r="A11465" s="34">
        <v>46181529</v>
      </c>
      <c r="B11465" s="35" t="s">
        <v>2263</v>
      </c>
    </row>
    <row r="11466" spans="1:2" x14ac:dyDescent="0.35">
      <c r="A11466" s="34">
        <v>46181530</v>
      </c>
      <c r="B11466" s="35" t="s">
        <v>7685</v>
      </c>
    </row>
    <row r="11467" spans="1:2" x14ac:dyDescent="0.35">
      <c r="A11467" s="34">
        <v>46181531</v>
      </c>
      <c r="B11467" s="35" t="s">
        <v>3490</v>
      </c>
    </row>
    <row r="11468" spans="1:2" x14ac:dyDescent="0.35">
      <c r="A11468" s="34">
        <v>46181532</v>
      </c>
      <c r="B11468" s="35" t="s">
        <v>18880</v>
      </c>
    </row>
    <row r="11469" spans="1:2" x14ac:dyDescent="0.35">
      <c r="A11469" s="34">
        <v>46181533</v>
      </c>
      <c r="B11469" s="35" t="s">
        <v>16440</v>
      </c>
    </row>
    <row r="11470" spans="1:2" x14ac:dyDescent="0.35">
      <c r="A11470" s="34">
        <v>46181534</v>
      </c>
      <c r="B11470" s="35" t="s">
        <v>19364</v>
      </c>
    </row>
    <row r="11471" spans="1:2" x14ac:dyDescent="0.35">
      <c r="A11471" s="34">
        <v>46181535</v>
      </c>
      <c r="B11471" s="35" t="s">
        <v>10157</v>
      </c>
    </row>
    <row r="11472" spans="1:2" x14ac:dyDescent="0.35">
      <c r="A11472" s="34">
        <v>46181601</v>
      </c>
      <c r="B11472" s="35" t="s">
        <v>14065</v>
      </c>
    </row>
    <row r="11473" spans="1:2" x14ac:dyDescent="0.35">
      <c r="A11473" s="34">
        <v>46181602</v>
      </c>
      <c r="B11473" s="35" t="s">
        <v>6437</v>
      </c>
    </row>
    <row r="11474" spans="1:2" x14ac:dyDescent="0.35">
      <c r="A11474" s="34">
        <v>46181603</v>
      </c>
      <c r="B11474" s="35" t="s">
        <v>16723</v>
      </c>
    </row>
    <row r="11475" spans="1:2" x14ac:dyDescent="0.35">
      <c r="A11475" s="34">
        <v>46181604</v>
      </c>
      <c r="B11475" s="35" t="s">
        <v>1948</v>
      </c>
    </row>
    <row r="11476" spans="1:2" x14ac:dyDescent="0.35">
      <c r="A11476" s="34">
        <v>46181605</v>
      </c>
      <c r="B11476" s="35" t="s">
        <v>15181</v>
      </c>
    </row>
    <row r="11477" spans="1:2" x14ac:dyDescent="0.35">
      <c r="A11477" s="34">
        <v>46181606</v>
      </c>
      <c r="B11477" s="35" t="s">
        <v>8213</v>
      </c>
    </row>
    <row r="11478" spans="1:2" x14ac:dyDescent="0.35">
      <c r="A11478" s="34">
        <v>46181701</v>
      </c>
      <c r="B11478" s="35" t="s">
        <v>12897</v>
      </c>
    </row>
    <row r="11479" spans="1:2" x14ac:dyDescent="0.35">
      <c r="A11479" s="34">
        <v>46181702</v>
      </c>
      <c r="B11479" s="35" t="s">
        <v>6312</v>
      </c>
    </row>
    <row r="11480" spans="1:2" x14ac:dyDescent="0.35">
      <c r="A11480" s="34">
        <v>46181703</v>
      </c>
      <c r="B11480" s="35" t="s">
        <v>2188</v>
      </c>
    </row>
    <row r="11481" spans="1:2" x14ac:dyDescent="0.35">
      <c r="A11481" s="34">
        <v>46181704</v>
      </c>
      <c r="B11481" s="35" t="s">
        <v>14810</v>
      </c>
    </row>
    <row r="11482" spans="1:2" x14ac:dyDescent="0.35">
      <c r="A11482" s="34">
        <v>46181705</v>
      </c>
      <c r="B11482" s="35" t="s">
        <v>8111</v>
      </c>
    </row>
    <row r="11483" spans="1:2" x14ac:dyDescent="0.35">
      <c r="A11483" s="34">
        <v>46181706</v>
      </c>
      <c r="B11483" s="35" t="s">
        <v>7202</v>
      </c>
    </row>
    <row r="11484" spans="1:2" x14ac:dyDescent="0.35">
      <c r="A11484" s="34">
        <v>46181707</v>
      </c>
      <c r="B11484" s="35" t="s">
        <v>19659</v>
      </c>
    </row>
    <row r="11485" spans="1:2" x14ac:dyDescent="0.35">
      <c r="A11485" s="34">
        <v>46181801</v>
      </c>
      <c r="B11485" s="35" t="s">
        <v>6271</v>
      </c>
    </row>
    <row r="11486" spans="1:2" x14ac:dyDescent="0.35">
      <c r="A11486" s="34">
        <v>46181802</v>
      </c>
      <c r="B11486" s="35" t="s">
        <v>10700</v>
      </c>
    </row>
    <row r="11487" spans="1:2" x14ac:dyDescent="0.35">
      <c r="A11487" s="34">
        <v>46181803</v>
      </c>
      <c r="B11487" s="35" t="s">
        <v>19199</v>
      </c>
    </row>
    <row r="11488" spans="1:2" x14ac:dyDescent="0.35">
      <c r="A11488" s="34">
        <v>46181804</v>
      </c>
      <c r="B11488" s="35" t="s">
        <v>11665</v>
      </c>
    </row>
    <row r="11489" spans="1:2" x14ac:dyDescent="0.35">
      <c r="A11489" s="34">
        <v>46181805</v>
      </c>
      <c r="B11489" s="35" t="s">
        <v>11577</v>
      </c>
    </row>
    <row r="11490" spans="1:2" x14ac:dyDescent="0.35">
      <c r="A11490" s="34">
        <v>46181806</v>
      </c>
      <c r="B11490" s="35" t="s">
        <v>13754</v>
      </c>
    </row>
    <row r="11491" spans="1:2" x14ac:dyDescent="0.35">
      <c r="A11491" s="34">
        <v>46181808</v>
      </c>
      <c r="B11491" s="35" t="s">
        <v>17263</v>
      </c>
    </row>
    <row r="11492" spans="1:2" x14ac:dyDescent="0.35">
      <c r="A11492" s="34">
        <v>46181809</v>
      </c>
      <c r="B11492" s="35" t="s">
        <v>2165</v>
      </c>
    </row>
    <row r="11493" spans="1:2" x14ac:dyDescent="0.35">
      <c r="A11493" s="34">
        <v>46181810</v>
      </c>
      <c r="B11493" s="35" t="s">
        <v>1645</v>
      </c>
    </row>
    <row r="11494" spans="1:2" x14ac:dyDescent="0.35">
      <c r="A11494" s="34">
        <v>46181811</v>
      </c>
      <c r="B11494" s="35" t="s">
        <v>16762</v>
      </c>
    </row>
    <row r="11495" spans="1:2" x14ac:dyDescent="0.35">
      <c r="A11495" s="34">
        <v>46181901</v>
      </c>
      <c r="B11495" s="35" t="s">
        <v>1241</v>
      </c>
    </row>
    <row r="11496" spans="1:2" x14ac:dyDescent="0.35">
      <c r="A11496" s="34">
        <v>46181902</v>
      </c>
      <c r="B11496" s="35" t="s">
        <v>10954</v>
      </c>
    </row>
    <row r="11497" spans="1:2" x14ac:dyDescent="0.35">
      <c r="A11497" s="34">
        <v>46181903</v>
      </c>
      <c r="B11497" s="35" t="s">
        <v>7911</v>
      </c>
    </row>
    <row r="11498" spans="1:2" x14ac:dyDescent="0.35">
      <c r="A11498" s="34">
        <v>46182001</v>
      </c>
      <c r="B11498" s="35" t="s">
        <v>1308</v>
      </c>
    </row>
    <row r="11499" spans="1:2" x14ac:dyDescent="0.35">
      <c r="A11499" s="34">
        <v>46182002</v>
      </c>
      <c r="B11499" s="35" t="s">
        <v>12695</v>
      </c>
    </row>
    <row r="11500" spans="1:2" x14ac:dyDescent="0.35">
      <c r="A11500" s="34">
        <v>46182003</v>
      </c>
      <c r="B11500" s="35" t="s">
        <v>4275</v>
      </c>
    </row>
    <row r="11501" spans="1:2" x14ac:dyDescent="0.35">
      <c r="A11501" s="34">
        <v>46182004</v>
      </c>
      <c r="B11501" s="35" t="s">
        <v>7397</v>
      </c>
    </row>
    <row r="11502" spans="1:2" x14ac:dyDescent="0.35">
      <c r="A11502" s="34">
        <v>46182005</v>
      </c>
      <c r="B11502" s="35" t="s">
        <v>11924</v>
      </c>
    </row>
    <row r="11503" spans="1:2" x14ac:dyDescent="0.35">
      <c r="A11503" s="34">
        <v>46182006</v>
      </c>
      <c r="B11503" s="35" t="s">
        <v>13297</v>
      </c>
    </row>
    <row r="11504" spans="1:2" x14ac:dyDescent="0.35">
      <c r="A11504" s="34">
        <v>46182007</v>
      </c>
      <c r="B11504" s="35" t="s">
        <v>14521</v>
      </c>
    </row>
    <row r="11505" spans="1:2" x14ac:dyDescent="0.35">
      <c r="A11505" s="34">
        <v>46182101</v>
      </c>
      <c r="B11505" s="35" t="s">
        <v>14931</v>
      </c>
    </row>
    <row r="11506" spans="1:2" x14ac:dyDescent="0.35">
      <c r="A11506" s="34">
        <v>46182102</v>
      </c>
      <c r="B11506" s="35" t="s">
        <v>9898</v>
      </c>
    </row>
    <row r="11507" spans="1:2" x14ac:dyDescent="0.35">
      <c r="A11507" s="34">
        <v>46182103</v>
      </c>
      <c r="B11507" s="35" t="s">
        <v>17913</v>
      </c>
    </row>
    <row r="11508" spans="1:2" x14ac:dyDescent="0.35">
      <c r="A11508" s="34">
        <v>46182104</v>
      </c>
      <c r="B11508" s="35" t="s">
        <v>3646</v>
      </c>
    </row>
    <row r="11509" spans="1:2" x14ac:dyDescent="0.35">
      <c r="A11509" s="34">
        <v>46182105</v>
      </c>
      <c r="B11509" s="35" t="s">
        <v>15048</v>
      </c>
    </row>
    <row r="11510" spans="1:2" x14ac:dyDescent="0.35">
      <c r="A11510" s="34">
        <v>46182106</v>
      </c>
      <c r="B11510" s="35" t="s">
        <v>17712</v>
      </c>
    </row>
    <row r="11511" spans="1:2" x14ac:dyDescent="0.35">
      <c r="A11511" s="34">
        <v>46182107</v>
      </c>
      <c r="B11511" s="35" t="s">
        <v>338</v>
      </c>
    </row>
    <row r="11512" spans="1:2" x14ac:dyDescent="0.35">
      <c r="A11512" s="34">
        <v>46182108</v>
      </c>
      <c r="B11512" s="35" t="s">
        <v>5956</v>
      </c>
    </row>
    <row r="11513" spans="1:2" x14ac:dyDescent="0.35">
      <c r="A11513" s="34">
        <v>46182201</v>
      </c>
      <c r="B11513" s="35" t="s">
        <v>19503</v>
      </c>
    </row>
    <row r="11514" spans="1:2" x14ac:dyDescent="0.35">
      <c r="A11514" s="34">
        <v>46182202</v>
      </c>
      <c r="B11514" s="35" t="s">
        <v>4208</v>
      </c>
    </row>
    <row r="11515" spans="1:2" x14ac:dyDescent="0.35">
      <c r="A11515" s="34">
        <v>46182203</v>
      </c>
      <c r="B11515" s="35" t="s">
        <v>5702</v>
      </c>
    </row>
    <row r="11516" spans="1:2" x14ac:dyDescent="0.35">
      <c r="A11516" s="34">
        <v>46182204</v>
      </c>
      <c r="B11516" s="35" t="s">
        <v>8643</v>
      </c>
    </row>
    <row r="11517" spans="1:2" x14ac:dyDescent="0.35">
      <c r="A11517" s="34">
        <v>46182205</v>
      </c>
      <c r="B11517" s="35" t="s">
        <v>1246</v>
      </c>
    </row>
    <row r="11518" spans="1:2" x14ac:dyDescent="0.35">
      <c r="A11518" s="34">
        <v>46182206</v>
      </c>
      <c r="B11518" s="35" t="s">
        <v>8145</v>
      </c>
    </row>
    <row r="11519" spans="1:2" x14ac:dyDescent="0.35">
      <c r="A11519" s="34">
        <v>46182207</v>
      </c>
      <c r="B11519" s="35" t="s">
        <v>4463</v>
      </c>
    </row>
    <row r="11520" spans="1:2" x14ac:dyDescent="0.35">
      <c r="A11520" s="34">
        <v>46182208</v>
      </c>
      <c r="B11520" s="35" t="s">
        <v>6362</v>
      </c>
    </row>
    <row r="11521" spans="1:2" x14ac:dyDescent="0.35">
      <c r="A11521" s="34">
        <v>46182209</v>
      </c>
      <c r="B11521" s="35" t="s">
        <v>2132</v>
      </c>
    </row>
    <row r="11522" spans="1:2" x14ac:dyDescent="0.35">
      <c r="A11522" s="34">
        <v>46182301</v>
      </c>
      <c r="B11522" s="35" t="s">
        <v>6423</v>
      </c>
    </row>
    <row r="11523" spans="1:2" x14ac:dyDescent="0.35">
      <c r="A11523" s="34">
        <v>46182302</v>
      </c>
      <c r="B11523" s="35" t="s">
        <v>19301</v>
      </c>
    </row>
    <row r="11524" spans="1:2" x14ac:dyDescent="0.35">
      <c r="A11524" s="34">
        <v>46182303</v>
      </c>
      <c r="B11524" s="35" t="s">
        <v>15147</v>
      </c>
    </row>
    <row r="11525" spans="1:2" x14ac:dyDescent="0.35">
      <c r="A11525" s="34">
        <v>46182304</v>
      </c>
      <c r="B11525" s="35" t="s">
        <v>2088</v>
      </c>
    </row>
    <row r="11526" spans="1:2" x14ac:dyDescent="0.35">
      <c r="A11526" s="34">
        <v>46182305</v>
      </c>
      <c r="B11526" s="35" t="s">
        <v>588</v>
      </c>
    </row>
    <row r="11527" spans="1:2" x14ac:dyDescent="0.35">
      <c r="A11527" s="34">
        <v>46182306</v>
      </c>
      <c r="B11527" s="35" t="s">
        <v>2466</v>
      </c>
    </row>
    <row r="11528" spans="1:2" x14ac:dyDescent="0.35">
      <c r="A11528" s="34">
        <v>46182401</v>
      </c>
      <c r="B11528" s="35" t="s">
        <v>1474</v>
      </c>
    </row>
    <row r="11529" spans="1:2" x14ac:dyDescent="0.35">
      <c r="A11529" s="34">
        <v>46182402</v>
      </c>
      <c r="B11529" s="35" t="s">
        <v>1456</v>
      </c>
    </row>
    <row r="11530" spans="1:2" x14ac:dyDescent="0.35">
      <c r="A11530" s="34">
        <v>46182501</v>
      </c>
      <c r="B11530" s="35" t="s">
        <v>5601</v>
      </c>
    </row>
    <row r="11531" spans="1:2" x14ac:dyDescent="0.35">
      <c r="A11531" s="34">
        <v>46182502</v>
      </c>
      <c r="B11531" s="35" t="s">
        <v>12395</v>
      </c>
    </row>
    <row r="11532" spans="1:2" x14ac:dyDescent="0.35">
      <c r="A11532" s="34">
        <v>46182503</v>
      </c>
      <c r="B11532" s="35" t="s">
        <v>12279</v>
      </c>
    </row>
    <row r="11533" spans="1:2" x14ac:dyDescent="0.35">
      <c r="A11533" s="34">
        <v>46182504</v>
      </c>
      <c r="B11533" s="35" t="s">
        <v>13991</v>
      </c>
    </row>
    <row r="11534" spans="1:2" x14ac:dyDescent="0.35">
      <c r="A11534" s="34">
        <v>46182505</v>
      </c>
      <c r="B11534" s="35" t="s">
        <v>9791</v>
      </c>
    </row>
    <row r="11535" spans="1:2" x14ac:dyDescent="0.35">
      <c r="A11535" s="34">
        <v>46182506</v>
      </c>
      <c r="B11535" s="35" t="s">
        <v>1613</v>
      </c>
    </row>
    <row r="11536" spans="1:2" x14ac:dyDescent="0.35">
      <c r="A11536" s="34">
        <v>46182507</v>
      </c>
      <c r="B11536" s="35" t="s">
        <v>7220</v>
      </c>
    </row>
    <row r="11537" spans="1:2" x14ac:dyDescent="0.35">
      <c r="A11537" s="34">
        <v>46182508</v>
      </c>
      <c r="B11537" s="35" t="s">
        <v>13225</v>
      </c>
    </row>
    <row r="11538" spans="1:2" x14ac:dyDescent="0.35">
      <c r="A11538" s="34">
        <v>46191501</v>
      </c>
      <c r="B11538" s="35" t="s">
        <v>5613</v>
      </c>
    </row>
    <row r="11539" spans="1:2" x14ac:dyDescent="0.35">
      <c r="A11539" s="34">
        <v>46191502</v>
      </c>
      <c r="B11539" s="35" t="s">
        <v>4742</v>
      </c>
    </row>
    <row r="11540" spans="1:2" x14ac:dyDescent="0.35">
      <c r="A11540" s="34">
        <v>46191503</v>
      </c>
      <c r="B11540" s="35" t="s">
        <v>2771</v>
      </c>
    </row>
    <row r="11541" spans="1:2" x14ac:dyDescent="0.35">
      <c r="A11541" s="34">
        <v>46191504</v>
      </c>
      <c r="B11541" s="35" t="s">
        <v>6743</v>
      </c>
    </row>
    <row r="11542" spans="1:2" x14ac:dyDescent="0.35">
      <c r="A11542" s="34">
        <v>46191505</v>
      </c>
      <c r="B11542" s="35" t="s">
        <v>19488</v>
      </c>
    </row>
    <row r="11543" spans="1:2" x14ac:dyDescent="0.35">
      <c r="A11543" s="34">
        <v>46191601</v>
      </c>
      <c r="B11543" s="35" t="s">
        <v>16088</v>
      </c>
    </row>
    <row r="11544" spans="1:2" x14ac:dyDescent="0.35">
      <c r="A11544" s="34">
        <v>46191602</v>
      </c>
      <c r="B11544" s="35" t="s">
        <v>797</v>
      </c>
    </row>
    <row r="11545" spans="1:2" x14ac:dyDescent="0.35">
      <c r="A11545" s="34">
        <v>46191603</v>
      </c>
      <c r="B11545" s="35" t="s">
        <v>19316</v>
      </c>
    </row>
    <row r="11546" spans="1:2" x14ac:dyDescent="0.35">
      <c r="A11546" s="34">
        <v>46191604</v>
      </c>
      <c r="B11546" s="35" t="s">
        <v>13879</v>
      </c>
    </row>
    <row r="11547" spans="1:2" x14ac:dyDescent="0.35">
      <c r="A11547" s="34">
        <v>46191605</v>
      </c>
      <c r="B11547" s="35" t="s">
        <v>3671</v>
      </c>
    </row>
    <row r="11548" spans="1:2" x14ac:dyDescent="0.35">
      <c r="A11548" s="34">
        <v>46191606</v>
      </c>
      <c r="B11548" s="35" t="s">
        <v>2222</v>
      </c>
    </row>
    <row r="11549" spans="1:2" x14ac:dyDescent="0.35">
      <c r="A11549" s="34">
        <v>46191607</v>
      </c>
      <c r="B11549" s="35" t="s">
        <v>18181</v>
      </c>
    </row>
    <row r="11550" spans="1:2" x14ac:dyDescent="0.35">
      <c r="A11550" s="34">
        <v>46191608</v>
      </c>
      <c r="B11550" s="35" t="s">
        <v>7650</v>
      </c>
    </row>
    <row r="11551" spans="1:2" x14ac:dyDescent="0.35">
      <c r="A11551" s="34">
        <v>46191609</v>
      </c>
      <c r="B11551" s="35" t="s">
        <v>15587</v>
      </c>
    </row>
    <row r="11552" spans="1:2" x14ac:dyDescent="0.35">
      <c r="A11552" s="34">
        <v>46191610</v>
      </c>
      <c r="B11552" s="35" t="s">
        <v>7834</v>
      </c>
    </row>
    <row r="11553" spans="1:2" x14ac:dyDescent="0.35">
      <c r="A11553" s="34">
        <v>47101501</v>
      </c>
      <c r="B11553" s="35" t="s">
        <v>12957</v>
      </c>
    </row>
    <row r="11554" spans="1:2" x14ac:dyDescent="0.35">
      <c r="A11554" s="34">
        <v>47101502</v>
      </c>
      <c r="B11554" s="35" t="s">
        <v>4592</v>
      </c>
    </row>
    <row r="11555" spans="1:2" x14ac:dyDescent="0.35">
      <c r="A11555" s="34">
        <v>47101503</v>
      </c>
      <c r="B11555" s="35" t="s">
        <v>15172</v>
      </c>
    </row>
    <row r="11556" spans="1:2" x14ac:dyDescent="0.35">
      <c r="A11556" s="34">
        <v>47101504</v>
      </c>
      <c r="B11556" s="35" t="s">
        <v>19127</v>
      </c>
    </row>
    <row r="11557" spans="1:2" x14ac:dyDescent="0.35">
      <c r="A11557" s="34">
        <v>47101505</v>
      </c>
      <c r="B11557" s="35" t="s">
        <v>17342</v>
      </c>
    </row>
    <row r="11558" spans="1:2" x14ac:dyDescent="0.35">
      <c r="A11558" s="34">
        <v>47101506</v>
      </c>
      <c r="B11558" s="35" t="s">
        <v>3126</v>
      </c>
    </row>
    <row r="11559" spans="1:2" x14ac:dyDescent="0.35">
      <c r="A11559" s="34">
        <v>47101507</v>
      </c>
      <c r="B11559" s="35" t="s">
        <v>2422</v>
      </c>
    </row>
    <row r="11560" spans="1:2" x14ac:dyDescent="0.35">
      <c r="A11560" s="34">
        <v>47101508</v>
      </c>
      <c r="B11560" s="35" t="s">
        <v>16751</v>
      </c>
    </row>
    <row r="11561" spans="1:2" x14ac:dyDescent="0.35">
      <c r="A11561" s="34">
        <v>47101509</v>
      </c>
      <c r="B11561" s="35" t="s">
        <v>11390</v>
      </c>
    </row>
    <row r="11562" spans="1:2" x14ac:dyDescent="0.35">
      <c r="A11562" s="34">
        <v>47101510</v>
      </c>
      <c r="B11562" s="35" t="s">
        <v>7192</v>
      </c>
    </row>
    <row r="11563" spans="1:2" x14ac:dyDescent="0.35">
      <c r="A11563" s="34">
        <v>47101511</v>
      </c>
      <c r="B11563" s="35" t="s">
        <v>17491</v>
      </c>
    </row>
    <row r="11564" spans="1:2" x14ac:dyDescent="0.35">
      <c r="A11564" s="34">
        <v>47101512</v>
      </c>
      <c r="B11564" s="35" t="s">
        <v>4943</v>
      </c>
    </row>
    <row r="11565" spans="1:2" x14ac:dyDescent="0.35">
      <c r="A11565" s="34">
        <v>47101513</v>
      </c>
      <c r="B11565" s="35" t="s">
        <v>16647</v>
      </c>
    </row>
    <row r="11566" spans="1:2" x14ac:dyDescent="0.35">
      <c r="A11566" s="34">
        <v>47101514</v>
      </c>
      <c r="B11566" s="35" t="s">
        <v>18755</v>
      </c>
    </row>
    <row r="11567" spans="1:2" x14ac:dyDescent="0.35">
      <c r="A11567" s="34">
        <v>47101516</v>
      </c>
      <c r="B11567" s="35" t="s">
        <v>13424</v>
      </c>
    </row>
    <row r="11568" spans="1:2" x14ac:dyDescent="0.35">
      <c r="A11568" s="34">
        <v>47101517</v>
      </c>
      <c r="B11568" s="35" t="s">
        <v>17961</v>
      </c>
    </row>
    <row r="11569" spans="1:2" x14ac:dyDescent="0.35">
      <c r="A11569" s="34">
        <v>47101518</v>
      </c>
      <c r="B11569" s="35" t="s">
        <v>1720</v>
      </c>
    </row>
    <row r="11570" spans="1:2" x14ac:dyDescent="0.35">
      <c r="A11570" s="34">
        <v>47101519</v>
      </c>
      <c r="B11570" s="35" t="s">
        <v>19036</v>
      </c>
    </row>
    <row r="11571" spans="1:2" x14ac:dyDescent="0.35">
      <c r="A11571" s="34">
        <v>47101521</v>
      </c>
      <c r="B11571" s="35" t="s">
        <v>10677</v>
      </c>
    </row>
    <row r="11572" spans="1:2" x14ac:dyDescent="0.35">
      <c r="A11572" s="34">
        <v>47101522</v>
      </c>
      <c r="B11572" s="35" t="s">
        <v>4687</v>
      </c>
    </row>
    <row r="11573" spans="1:2" x14ac:dyDescent="0.35">
      <c r="A11573" s="34">
        <v>47101523</v>
      </c>
      <c r="B11573" s="35" t="s">
        <v>5267</v>
      </c>
    </row>
    <row r="11574" spans="1:2" x14ac:dyDescent="0.35">
      <c r="A11574" s="34">
        <v>47101524</v>
      </c>
      <c r="B11574" s="35" t="s">
        <v>15139</v>
      </c>
    </row>
    <row r="11575" spans="1:2" x14ac:dyDescent="0.35">
      <c r="A11575" s="34">
        <v>47101525</v>
      </c>
      <c r="B11575" s="35" t="s">
        <v>2259</v>
      </c>
    </row>
    <row r="11576" spans="1:2" x14ac:dyDescent="0.35">
      <c r="A11576" s="34">
        <v>47101526</v>
      </c>
      <c r="B11576" s="35" t="s">
        <v>7795</v>
      </c>
    </row>
    <row r="11577" spans="1:2" x14ac:dyDescent="0.35">
      <c r="A11577" s="34">
        <v>47101527</v>
      </c>
      <c r="B11577" s="35" t="s">
        <v>18527</v>
      </c>
    </row>
    <row r="11578" spans="1:2" x14ac:dyDescent="0.35">
      <c r="A11578" s="34">
        <v>47101528</v>
      </c>
      <c r="B11578" s="35" t="s">
        <v>10166</v>
      </c>
    </row>
    <row r="11579" spans="1:2" x14ac:dyDescent="0.35">
      <c r="A11579" s="34">
        <v>47101529</v>
      </c>
      <c r="B11579" s="35" t="s">
        <v>13174</v>
      </c>
    </row>
    <row r="11580" spans="1:2" x14ac:dyDescent="0.35">
      <c r="A11580" s="34">
        <v>47101530</v>
      </c>
      <c r="B11580" s="35" t="s">
        <v>6259</v>
      </c>
    </row>
    <row r="11581" spans="1:2" x14ac:dyDescent="0.35">
      <c r="A11581" s="34">
        <v>47101531</v>
      </c>
      <c r="B11581" s="35" t="s">
        <v>5759</v>
      </c>
    </row>
    <row r="11582" spans="1:2" x14ac:dyDescent="0.35">
      <c r="A11582" s="34">
        <v>47101532</v>
      </c>
      <c r="B11582" s="35" t="s">
        <v>17311</v>
      </c>
    </row>
    <row r="11583" spans="1:2" x14ac:dyDescent="0.35">
      <c r="A11583" s="34">
        <v>47101533</v>
      </c>
      <c r="B11583" s="35" t="s">
        <v>7586</v>
      </c>
    </row>
    <row r="11584" spans="1:2" x14ac:dyDescent="0.35">
      <c r="A11584" s="34">
        <v>47101534</v>
      </c>
      <c r="B11584" s="35" t="s">
        <v>13041</v>
      </c>
    </row>
    <row r="11585" spans="1:2" x14ac:dyDescent="0.35">
      <c r="A11585" s="34">
        <v>47101535</v>
      </c>
      <c r="B11585" s="35" t="s">
        <v>8394</v>
      </c>
    </row>
    <row r="11586" spans="1:2" x14ac:dyDescent="0.35">
      <c r="A11586" s="34">
        <v>47101536</v>
      </c>
      <c r="B11586" s="35" t="s">
        <v>14728</v>
      </c>
    </row>
    <row r="11587" spans="1:2" x14ac:dyDescent="0.35">
      <c r="A11587" s="34">
        <v>47101537</v>
      </c>
      <c r="B11587" s="35" t="s">
        <v>13362</v>
      </c>
    </row>
    <row r="11588" spans="1:2" x14ac:dyDescent="0.35">
      <c r="A11588" s="34">
        <v>47101538</v>
      </c>
      <c r="B11588" s="35" t="s">
        <v>12582</v>
      </c>
    </row>
    <row r="11589" spans="1:2" x14ac:dyDescent="0.35">
      <c r="A11589" s="34">
        <v>47101539</v>
      </c>
      <c r="B11589" s="35" t="s">
        <v>765</v>
      </c>
    </row>
    <row r="11590" spans="1:2" x14ac:dyDescent="0.35">
      <c r="A11590" s="34">
        <v>47101601</v>
      </c>
      <c r="B11590" s="35" t="s">
        <v>15043</v>
      </c>
    </row>
    <row r="11591" spans="1:2" x14ac:dyDescent="0.35">
      <c r="A11591" s="34">
        <v>47101602</v>
      </c>
      <c r="B11591" s="35" t="s">
        <v>5416</v>
      </c>
    </row>
    <row r="11592" spans="1:2" x14ac:dyDescent="0.35">
      <c r="A11592" s="34">
        <v>47101603</v>
      </c>
      <c r="B11592" s="35" t="s">
        <v>920</v>
      </c>
    </row>
    <row r="11593" spans="1:2" x14ac:dyDescent="0.35">
      <c r="A11593" s="34">
        <v>47101604</v>
      </c>
      <c r="B11593" s="35" t="s">
        <v>6775</v>
      </c>
    </row>
    <row r="11594" spans="1:2" x14ac:dyDescent="0.35">
      <c r="A11594" s="34">
        <v>47101605</v>
      </c>
      <c r="B11594" s="35" t="s">
        <v>2428</v>
      </c>
    </row>
    <row r="11595" spans="1:2" x14ac:dyDescent="0.35">
      <c r="A11595" s="34">
        <v>47101606</v>
      </c>
      <c r="B11595" s="35" t="s">
        <v>3297</v>
      </c>
    </row>
    <row r="11596" spans="1:2" x14ac:dyDescent="0.35">
      <c r="A11596" s="34">
        <v>47101607</v>
      </c>
      <c r="B11596" s="35" t="s">
        <v>355</v>
      </c>
    </row>
    <row r="11597" spans="1:2" x14ac:dyDescent="0.35">
      <c r="A11597" s="34">
        <v>47101608</v>
      </c>
      <c r="B11597" s="35" t="s">
        <v>11262</v>
      </c>
    </row>
    <row r="11598" spans="1:2" x14ac:dyDescent="0.35">
      <c r="A11598" s="34">
        <v>47101609</v>
      </c>
      <c r="B11598" s="35" t="s">
        <v>1222</v>
      </c>
    </row>
    <row r="11599" spans="1:2" x14ac:dyDescent="0.35">
      <c r="A11599" s="34">
        <v>47101610</v>
      </c>
      <c r="B11599" s="35" t="s">
        <v>10744</v>
      </c>
    </row>
    <row r="11600" spans="1:2" x14ac:dyDescent="0.35">
      <c r="A11600" s="34">
        <v>47101611</v>
      </c>
      <c r="B11600" s="35" t="s">
        <v>18561</v>
      </c>
    </row>
    <row r="11601" spans="1:2" x14ac:dyDescent="0.35">
      <c r="A11601" s="34">
        <v>47101612</v>
      </c>
      <c r="B11601" s="35" t="s">
        <v>9523</v>
      </c>
    </row>
    <row r="11602" spans="1:2" x14ac:dyDescent="0.35">
      <c r="A11602" s="34">
        <v>47101613</v>
      </c>
      <c r="B11602" s="35" t="s">
        <v>12583</v>
      </c>
    </row>
    <row r="11603" spans="1:2" x14ac:dyDescent="0.35">
      <c r="A11603" s="34">
        <v>47111501</v>
      </c>
      <c r="B11603" s="35" t="s">
        <v>973</v>
      </c>
    </row>
    <row r="11604" spans="1:2" x14ac:dyDescent="0.35">
      <c r="A11604" s="34">
        <v>47111502</v>
      </c>
      <c r="B11604" s="35" t="s">
        <v>10828</v>
      </c>
    </row>
    <row r="11605" spans="1:2" x14ac:dyDescent="0.35">
      <c r="A11605" s="34">
        <v>47111503</v>
      </c>
      <c r="B11605" s="35" t="s">
        <v>5989</v>
      </c>
    </row>
    <row r="11606" spans="1:2" x14ac:dyDescent="0.35">
      <c r="A11606" s="34">
        <v>47111505</v>
      </c>
      <c r="B11606" s="35" t="s">
        <v>10181</v>
      </c>
    </row>
    <row r="11607" spans="1:2" x14ac:dyDescent="0.35">
      <c r="A11607" s="34">
        <v>47111601</v>
      </c>
      <c r="B11607" s="35" t="s">
        <v>12574</v>
      </c>
    </row>
    <row r="11608" spans="1:2" x14ac:dyDescent="0.35">
      <c r="A11608" s="34">
        <v>47111602</v>
      </c>
      <c r="B11608" s="35" t="s">
        <v>4644</v>
      </c>
    </row>
    <row r="11609" spans="1:2" x14ac:dyDescent="0.35">
      <c r="A11609" s="34">
        <v>47111603</v>
      </c>
      <c r="B11609" s="35" t="s">
        <v>4127</v>
      </c>
    </row>
    <row r="11610" spans="1:2" x14ac:dyDescent="0.35">
      <c r="A11610" s="34">
        <v>47111701</v>
      </c>
      <c r="B11610" s="35" t="s">
        <v>9781</v>
      </c>
    </row>
    <row r="11611" spans="1:2" x14ac:dyDescent="0.35">
      <c r="A11611" s="34">
        <v>47121501</v>
      </c>
      <c r="B11611" s="35" t="s">
        <v>1605</v>
      </c>
    </row>
    <row r="11612" spans="1:2" x14ac:dyDescent="0.35">
      <c r="A11612" s="34">
        <v>47121502</v>
      </c>
      <c r="B11612" s="35" t="s">
        <v>12604</v>
      </c>
    </row>
    <row r="11613" spans="1:2" x14ac:dyDescent="0.35">
      <c r="A11613" s="34">
        <v>47121602</v>
      </c>
      <c r="B11613" s="35" t="s">
        <v>3676</v>
      </c>
    </row>
    <row r="11614" spans="1:2" x14ac:dyDescent="0.35">
      <c r="A11614" s="34">
        <v>47121603</v>
      </c>
      <c r="B11614" s="35" t="s">
        <v>2935</v>
      </c>
    </row>
    <row r="11615" spans="1:2" x14ac:dyDescent="0.35">
      <c r="A11615" s="34">
        <v>47121604</v>
      </c>
      <c r="B11615" s="35" t="s">
        <v>16627</v>
      </c>
    </row>
    <row r="11616" spans="1:2" x14ac:dyDescent="0.35">
      <c r="A11616" s="34">
        <v>47121605</v>
      </c>
      <c r="B11616" s="35" t="s">
        <v>14816</v>
      </c>
    </row>
    <row r="11617" spans="1:2" x14ac:dyDescent="0.35">
      <c r="A11617" s="34">
        <v>47121606</v>
      </c>
      <c r="B11617" s="35" t="s">
        <v>16461</v>
      </c>
    </row>
    <row r="11618" spans="1:2" x14ac:dyDescent="0.35">
      <c r="A11618" s="34">
        <v>47121607</v>
      </c>
      <c r="B11618" s="35" t="s">
        <v>10912</v>
      </c>
    </row>
    <row r="11619" spans="1:2" x14ac:dyDescent="0.35">
      <c r="A11619" s="34">
        <v>47121608</v>
      </c>
      <c r="B11619" s="35" t="s">
        <v>2362</v>
      </c>
    </row>
    <row r="11620" spans="1:2" x14ac:dyDescent="0.35">
      <c r="A11620" s="34">
        <v>47121609</v>
      </c>
      <c r="B11620" s="35" t="s">
        <v>19187</v>
      </c>
    </row>
    <row r="11621" spans="1:2" x14ac:dyDescent="0.35">
      <c r="A11621" s="34">
        <v>47121610</v>
      </c>
      <c r="B11621" s="35" t="s">
        <v>14704</v>
      </c>
    </row>
    <row r="11622" spans="1:2" x14ac:dyDescent="0.35">
      <c r="A11622" s="34">
        <v>47121611</v>
      </c>
      <c r="B11622" s="35" t="s">
        <v>19396</v>
      </c>
    </row>
    <row r="11623" spans="1:2" x14ac:dyDescent="0.35">
      <c r="A11623" s="34">
        <v>47121612</v>
      </c>
      <c r="B11623" s="35" t="s">
        <v>9628</v>
      </c>
    </row>
    <row r="11624" spans="1:2" x14ac:dyDescent="0.35">
      <c r="A11624" s="34">
        <v>47121613</v>
      </c>
      <c r="B11624" s="35" t="s">
        <v>307</v>
      </c>
    </row>
    <row r="11625" spans="1:2" x14ac:dyDescent="0.35">
      <c r="A11625" s="34">
        <v>47121701</v>
      </c>
      <c r="B11625" s="35" t="s">
        <v>17309</v>
      </c>
    </row>
    <row r="11626" spans="1:2" x14ac:dyDescent="0.35">
      <c r="A11626" s="34">
        <v>47121702</v>
      </c>
      <c r="B11626" s="35" t="s">
        <v>2012</v>
      </c>
    </row>
    <row r="11627" spans="1:2" x14ac:dyDescent="0.35">
      <c r="A11627" s="34">
        <v>47121703</v>
      </c>
      <c r="B11627" s="35" t="s">
        <v>12391</v>
      </c>
    </row>
    <row r="11628" spans="1:2" x14ac:dyDescent="0.35">
      <c r="A11628" s="34">
        <v>47121704</v>
      </c>
      <c r="B11628" s="35" t="s">
        <v>15469</v>
      </c>
    </row>
    <row r="11629" spans="1:2" x14ac:dyDescent="0.35">
      <c r="A11629" s="34">
        <v>47121705</v>
      </c>
      <c r="B11629" s="35" t="s">
        <v>7447</v>
      </c>
    </row>
    <row r="11630" spans="1:2" x14ac:dyDescent="0.35">
      <c r="A11630" s="34">
        <v>47121706</v>
      </c>
      <c r="B11630" s="35" t="s">
        <v>7519</v>
      </c>
    </row>
    <row r="11631" spans="1:2" x14ac:dyDescent="0.35">
      <c r="A11631" s="34">
        <v>47121707</v>
      </c>
      <c r="B11631" s="35" t="s">
        <v>10186</v>
      </c>
    </row>
    <row r="11632" spans="1:2" x14ac:dyDescent="0.35">
      <c r="A11632" s="34">
        <v>47121708</v>
      </c>
      <c r="B11632" s="35" t="s">
        <v>2594</v>
      </c>
    </row>
    <row r="11633" spans="1:2" x14ac:dyDescent="0.35">
      <c r="A11633" s="34">
        <v>47121801</v>
      </c>
      <c r="B11633" s="35" t="s">
        <v>6589</v>
      </c>
    </row>
    <row r="11634" spans="1:2" x14ac:dyDescent="0.35">
      <c r="A11634" s="34">
        <v>47121802</v>
      </c>
      <c r="B11634" s="35" t="s">
        <v>8435</v>
      </c>
    </row>
    <row r="11635" spans="1:2" x14ac:dyDescent="0.35">
      <c r="A11635" s="34">
        <v>47121803</v>
      </c>
      <c r="B11635" s="35" t="s">
        <v>15072</v>
      </c>
    </row>
    <row r="11636" spans="1:2" x14ac:dyDescent="0.35">
      <c r="A11636" s="34">
        <v>47121804</v>
      </c>
      <c r="B11636" s="35" t="s">
        <v>18085</v>
      </c>
    </row>
    <row r="11637" spans="1:2" x14ac:dyDescent="0.35">
      <c r="A11637" s="34">
        <v>47121805</v>
      </c>
      <c r="B11637" s="35" t="s">
        <v>7214</v>
      </c>
    </row>
    <row r="11638" spans="1:2" x14ac:dyDescent="0.35">
      <c r="A11638" s="34">
        <v>47121806</v>
      </c>
      <c r="B11638" s="35" t="s">
        <v>15009</v>
      </c>
    </row>
    <row r="11639" spans="1:2" x14ac:dyDescent="0.35">
      <c r="A11639" s="34">
        <v>47121807</v>
      </c>
      <c r="B11639" s="35" t="s">
        <v>7881</v>
      </c>
    </row>
    <row r="11640" spans="1:2" x14ac:dyDescent="0.35">
      <c r="A11640" s="34">
        <v>47121808</v>
      </c>
      <c r="B11640" s="35" t="s">
        <v>14245</v>
      </c>
    </row>
    <row r="11641" spans="1:2" x14ac:dyDescent="0.35">
      <c r="A11641" s="34">
        <v>47121809</v>
      </c>
      <c r="B11641" s="35" t="s">
        <v>17164</v>
      </c>
    </row>
    <row r="11642" spans="1:2" x14ac:dyDescent="0.35">
      <c r="A11642" s="34">
        <v>47121810</v>
      </c>
      <c r="B11642" s="35" t="s">
        <v>9164</v>
      </c>
    </row>
    <row r="11643" spans="1:2" x14ac:dyDescent="0.35">
      <c r="A11643" s="34">
        <v>47121811</v>
      </c>
      <c r="B11643" s="35" t="s">
        <v>14324</v>
      </c>
    </row>
    <row r="11644" spans="1:2" x14ac:dyDescent="0.35">
      <c r="A11644" s="34">
        <v>47121812</v>
      </c>
      <c r="B11644" s="35" t="s">
        <v>8620</v>
      </c>
    </row>
    <row r="11645" spans="1:2" x14ac:dyDescent="0.35">
      <c r="A11645" s="34">
        <v>47121813</v>
      </c>
      <c r="B11645" s="35" t="s">
        <v>1969</v>
      </c>
    </row>
    <row r="11646" spans="1:2" x14ac:dyDescent="0.35">
      <c r="A11646" s="34">
        <v>47121901</v>
      </c>
      <c r="B11646" s="35" t="s">
        <v>1173</v>
      </c>
    </row>
    <row r="11647" spans="1:2" x14ac:dyDescent="0.35">
      <c r="A11647" s="34">
        <v>47121902</v>
      </c>
      <c r="B11647" s="35" t="s">
        <v>14688</v>
      </c>
    </row>
    <row r="11648" spans="1:2" x14ac:dyDescent="0.35">
      <c r="A11648" s="34">
        <v>47121903</v>
      </c>
      <c r="B11648" s="35" t="s">
        <v>19360</v>
      </c>
    </row>
    <row r="11649" spans="1:2" x14ac:dyDescent="0.35">
      <c r="A11649" s="34">
        <v>47131501</v>
      </c>
      <c r="B11649" s="35" t="s">
        <v>623</v>
      </c>
    </row>
    <row r="11650" spans="1:2" x14ac:dyDescent="0.35">
      <c r="A11650" s="34">
        <v>47131502</v>
      </c>
      <c r="B11650" s="35" t="s">
        <v>9982</v>
      </c>
    </row>
    <row r="11651" spans="1:2" x14ac:dyDescent="0.35">
      <c r="A11651" s="34">
        <v>47131503</v>
      </c>
      <c r="B11651" s="35" t="s">
        <v>12126</v>
      </c>
    </row>
    <row r="11652" spans="1:2" x14ac:dyDescent="0.35">
      <c r="A11652" s="34">
        <v>47131601</v>
      </c>
      <c r="B11652" s="35" t="s">
        <v>5320</v>
      </c>
    </row>
    <row r="11653" spans="1:2" x14ac:dyDescent="0.35">
      <c r="A11653" s="34">
        <v>47131602</v>
      </c>
      <c r="B11653" s="35" t="s">
        <v>12687</v>
      </c>
    </row>
    <row r="11654" spans="1:2" x14ac:dyDescent="0.35">
      <c r="A11654" s="34">
        <v>47131603</v>
      </c>
      <c r="B11654" s="35" t="s">
        <v>5876</v>
      </c>
    </row>
    <row r="11655" spans="1:2" x14ac:dyDescent="0.35">
      <c r="A11655" s="34">
        <v>47131604</v>
      </c>
      <c r="B11655" s="35" t="s">
        <v>18368</v>
      </c>
    </row>
    <row r="11656" spans="1:2" x14ac:dyDescent="0.35">
      <c r="A11656" s="34">
        <v>47131605</v>
      </c>
      <c r="B11656" s="35" t="s">
        <v>13531</v>
      </c>
    </row>
    <row r="11657" spans="1:2" x14ac:dyDescent="0.35">
      <c r="A11657" s="34">
        <v>47131608</v>
      </c>
      <c r="B11657" s="35" t="s">
        <v>11321</v>
      </c>
    </row>
    <row r="11658" spans="1:2" x14ac:dyDescent="0.35">
      <c r="A11658" s="34">
        <v>47131609</v>
      </c>
      <c r="B11658" s="35" t="s">
        <v>18322</v>
      </c>
    </row>
    <row r="11659" spans="1:2" x14ac:dyDescent="0.35">
      <c r="A11659" s="34">
        <v>47131610</v>
      </c>
      <c r="B11659" s="35" t="s">
        <v>8969</v>
      </c>
    </row>
    <row r="11660" spans="1:2" x14ac:dyDescent="0.35">
      <c r="A11660" s="34">
        <v>47131611</v>
      </c>
      <c r="B11660" s="35" t="s">
        <v>13881</v>
      </c>
    </row>
    <row r="11661" spans="1:2" x14ac:dyDescent="0.35">
      <c r="A11661" s="34">
        <v>47131612</v>
      </c>
      <c r="B11661" s="35" t="s">
        <v>19063</v>
      </c>
    </row>
    <row r="11662" spans="1:2" x14ac:dyDescent="0.35">
      <c r="A11662" s="34">
        <v>47131613</v>
      </c>
      <c r="B11662" s="35" t="s">
        <v>13792</v>
      </c>
    </row>
    <row r="11663" spans="1:2" x14ac:dyDescent="0.35">
      <c r="A11663" s="34">
        <v>47131614</v>
      </c>
      <c r="B11663" s="35" t="s">
        <v>18141</v>
      </c>
    </row>
    <row r="11664" spans="1:2" x14ac:dyDescent="0.35">
      <c r="A11664" s="34">
        <v>47131615</v>
      </c>
      <c r="B11664" s="35" t="s">
        <v>9001</v>
      </c>
    </row>
    <row r="11665" spans="1:2" x14ac:dyDescent="0.35">
      <c r="A11665" s="34">
        <v>47131616</v>
      </c>
      <c r="B11665" s="35" t="s">
        <v>15391</v>
      </c>
    </row>
    <row r="11666" spans="1:2" x14ac:dyDescent="0.35">
      <c r="A11666" s="34">
        <v>47131617</v>
      </c>
      <c r="B11666" s="35" t="s">
        <v>17336</v>
      </c>
    </row>
    <row r="11667" spans="1:2" x14ac:dyDescent="0.35">
      <c r="A11667" s="34">
        <v>47131618</v>
      </c>
      <c r="B11667" s="35" t="s">
        <v>2582</v>
      </c>
    </row>
    <row r="11668" spans="1:2" x14ac:dyDescent="0.35">
      <c r="A11668" s="34">
        <v>47131619</v>
      </c>
      <c r="B11668" s="35" t="s">
        <v>9812</v>
      </c>
    </row>
    <row r="11669" spans="1:2" x14ac:dyDescent="0.35">
      <c r="A11669" s="34">
        <v>47131701</v>
      </c>
      <c r="B11669" s="35" t="s">
        <v>6525</v>
      </c>
    </row>
    <row r="11670" spans="1:2" x14ac:dyDescent="0.35">
      <c r="A11670" s="34">
        <v>47131702</v>
      </c>
      <c r="B11670" s="35" t="s">
        <v>2233</v>
      </c>
    </row>
    <row r="11671" spans="1:2" x14ac:dyDescent="0.35">
      <c r="A11671" s="34">
        <v>47131703</v>
      </c>
      <c r="B11671" s="35" t="s">
        <v>6089</v>
      </c>
    </row>
    <row r="11672" spans="1:2" x14ac:dyDescent="0.35">
      <c r="A11672" s="34">
        <v>47131704</v>
      </c>
      <c r="B11672" s="35" t="s">
        <v>17226</v>
      </c>
    </row>
    <row r="11673" spans="1:2" x14ac:dyDescent="0.35">
      <c r="A11673" s="34">
        <v>47131705</v>
      </c>
      <c r="B11673" s="35" t="s">
        <v>12633</v>
      </c>
    </row>
    <row r="11674" spans="1:2" x14ac:dyDescent="0.35">
      <c r="A11674" s="34">
        <v>47131706</v>
      </c>
      <c r="B11674" s="35" t="s">
        <v>2923</v>
      </c>
    </row>
    <row r="11675" spans="1:2" x14ac:dyDescent="0.35">
      <c r="A11675" s="34">
        <v>47131707</v>
      </c>
      <c r="B11675" s="35" t="s">
        <v>17</v>
      </c>
    </row>
    <row r="11676" spans="1:2" x14ac:dyDescent="0.35">
      <c r="A11676" s="34">
        <v>47131708</v>
      </c>
      <c r="B11676" s="35" t="s">
        <v>1386</v>
      </c>
    </row>
    <row r="11677" spans="1:2" x14ac:dyDescent="0.35">
      <c r="A11677" s="34">
        <v>47131709</v>
      </c>
      <c r="B11677" s="35" t="s">
        <v>7724</v>
      </c>
    </row>
    <row r="11678" spans="1:2" x14ac:dyDescent="0.35">
      <c r="A11678" s="34">
        <v>47131710</v>
      </c>
      <c r="B11678" s="35" t="s">
        <v>7272</v>
      </c>
    </row>
    <row r="11679" spans="1:2" x14ac:dyDescent="0.35">
      <c r="A11679" s="34">
        <v>47131711</v>
      </c>
      <c r="B11679" s="35" t="s">
        <v>18138</v>
      </c>
    </row>
    <row r="11680" spans="1:2" x14ac:dyDescent="0.35">
      <c r="A11680" s="34">
        <v>47131801</v>
      </c>
      <c r="B11680" s="35" t="s">
        <v>12384</v>
      </c>
    </row>
    <row r="11681" spans="1:2" x14ac:dyDescent="0.35">
      <c r="A11681" s="34">
        <v>47131802</v>
      </c>
      <c r="B11681" s="35" t="s">
        <v>18160</v>
      </c>
    </row>
    <row r="11682" spans="1:2" x14ac:dyDescent="0.35">
      <c r="A11682" s="34">
        <v>47131803</v>
      </c>
      <c r="B11682" s="35" t="s">
        <v>13532</v>
      </c>
    </row>
    <row r="11683" spans="1:2" x14ac:dyDescent="0.35">
      <c r="A11683" s="34">
        <v>47131804</v>
      </c>
      <c r="B11683" s="35" t="s">
        <v>12020</v>
      </c>
    </row>
    <row r="11684" spans="1:2" x14ac:dyDescent="0.35">
      <c r="A11684" s="34">
        <v>47131805</v>
      </c>
      <c r="B11684" s="35" t="s">
        <v>1235</v>
      </c>
    </row>
    <row r="11685" spans="1:2" x14ac:dyDescent="0.35">
      <c r="A11685" s="34">
        <v>47131806</v>
      </c>
      <c r="B11685" s="35" t="s">
        <v>14180</v>
      </c>
    </row>
    <row r="11686" spans="1:2" x14ac:dyDescent="0.35">
      <c r="A11686" s="34">
        <v>47131807</v>
      </c>
      <c r="B11686" s="35" t="s">
        <v>3969</v>
      </c>
    </row>
    <row r="11687" spans="1:2" x14ac:dyDescent="0.35">
      <c r="A11687" s="34">
        <v>47131808</v>
      </c>
      <c r="B11687" s="35" t="s">
        <v>15277</v>
      </c>
    </row>
    <row r="11688" spans="1:2" x14ac:dyDescent="0.35">
      <c r="A11688" s="34">
        <v>47131809</v>
      </c>
      <c r="B11688" s="35" t="s">
        <v>4354</v>
      </c>
    </row>
    <row r="11689" spans="1:2" x14ac:dyDescent="0.35">
      <c r="A11689" s="34">
        <v>47131810</v>
      </c>
      <c r="B11689" s="35" t="s">
        <v>18100</v>
      </c>
    </row>
    <row r="11690" spans="1:2" x14ac:dyDescent="0.35">
      <c r="A11690" s="34">
        <v>47131811</v>
      </c>
      <c r="B11690" s="35" t="s">
        <v>8910</v>
      </c>
    </row>
    <row r="11691" spans="1:2" x14ac:dyDescent="0.35">
      <c r="A11691" s="34">
        <v>47131812</v>
      </c>
      <c r="B11691" s="35" t="s">
        <v>9675</v>
      </c>
    </row>
    <row r="11692" spans="1:2" x14ac:dyDescent="0.35">
      <c r="A11692" s="34">
        <v>47131813</v>
      </c>
      <c r="B11692" s="35" t="s">
        <v>1984</v>
      </c>
    </row>
    <row r="11693" spans="1:2" x14ac:dyDescent="0.35">
      <c r="A11693" s="34">
        <v>47131814</v>
      </c>
      <c r="B11693" s="35" t="s">
        <v>9347</v>
      </c>
    </row>
    <row r="11694" spans="1:2" x14ac:dyDescent="0.35">
      <c r="A11694" s="34">
        <v>47131815</v>
      </c>
      <c r="B11694" s="35" t="s">
        <v>17753</v>
      </c>
    </row>
    <row r="11695" spans="1:2" x14ac:dyDescent="0.35">
      <c r="A11695" s="34">
        <v>47131816</v>
      </c>
      <c r="B11695" s="35" t="s">
        <v>5468</v>
      </c>
    </row>
    <row r="11696" spans="1:2" x14ac:dyDescent="0.35">
      <c r="A11696" s="34">
        <v>47131817</v>
      </c>
      <c r="B11696" s="35" t="s">
        <v>17600</v>
      </c>
    </row>
    <row r="11697" spans="1:2" x14ac:dyDescent="0.35">
      <c r="A11697" s="34">
        <v>47131818</v>
      </c>
      <c r="B11697" s="35" t="s">
        <v>3623</v>
      </c>
    </row>
    <row r="11698" spans="1:2" x14ac:dyDescent="0.35">
      <c r="A11698" s="34">
        <v>47131819</v>
      </c>
      <c r="B11698" s="35" t="s">
        <v>17579</v>
      </c>
    </row>
    <row r="11699" spans="1:2" x14ac:dyDescent="0.35">
      <c r="A11699" s="34">
        <v>47131820</v>
      </c>
      <c r="B11699" s="35" t="s">
        <v>6776</v>
      </c>
    </row>
    <row r="11700" spans="1:2" x14ac:dyDescent="0.35">
      <c r="A11700" s="34">
        <v>47131821</v>
      </c>
      <c r="B11700" s="35" t="s">
        <v>13915</v>
      </c>
    </row>
    <row r="11701" spans="1:2" x14ac:dyDescent="0.35">
      <c r="A11701" s="34">
        <v>47131822</v>
      </c>
      <c r="B11701" s="35" t="s">
        <v>18821</v>
      </c>
    </row>
    <row r="11702" spans="1:2" x14ac:dyDescent="0.35">
      <c r="A11702" s="34">
        <v>47131823</v>
      </c>
      <c r="B11702" s="35" t="s">
        <v>15529</v>
      </c>
    </row>
    <row r="11703" spans="1:2" x14ac:dyDescent="0.35">
      <c r="A11703" s="34">
        <v>47131824</v>
      </c>
      <c r="B11703" s="35" t="s">
        <v>5013</v>
      </c>
    </row>
    <row r="11704" spans="1:2" x14ac:dyDescent="0.35">
      <c r="A11704" s="34">
        <v>47131825</v>
      </c>
      <c r="B11704" s="35" t="s">
        <v>17020</v>
      </c>
    </row>
    <row r="11705" spans="1:2" x14ac:dyDescent="0.35">
      <c r="A11705" s="34">
        <v>47131826</v>
      </c>
      <c r="B11705" s="35" t="s">
        <v>18479</v>
      </c>
    </row>
    <row r="11706" spans="1:2" x14ac:dyDescent="0.35">
      <c r="A11706" s="34">
        <v>47131827</v>
      </c>
      <c r="B11706" s="35" t="s">
        <v>18328</v>
      </c>
    </row>
    <row r="11707" spans="1:2" x14ac:dyDescent="0.35">
      <c r="A11707" s="34">
        <v>47131828</v>
      </c>
      <c r="B11707" s="35" t="s">
        <v>15079</v>
      </c>
    </row>
    <row r="11708" spans="1:2" x14ac:dyDescent="0.35">
      <c r="A11708" s="34">
        <v>47131829</v>
      </c>
      <c r="B11708" s="35" t="s">
        <v>16350</v>
      </c>
    </row>
    <row r="11709" spans="1:2" x14ac:dyDescent="0.35">
      <c r="A11709" s="34">
        <v>47131830</v>
      </c>
      <c r="B11709" s="35" t="s">
        <v>14786</v>
      </c>
    </row>
    <row r="11710" spans="1:2" x14ac:dyDescent="0.35">
      <c r="A11710" s="34">
        <v>47131831</v>
      </c>
      <c r="B11710" s="35" t="s">
        <v>1089</v>
      </c>
    </row>
    <row r="11711" spans="1:2" x14ac:dyDescent="0.35">
      <c r="A11711" s="34">
        <v>47131832</v>
      </c>
      <c r="B11711" s="35" t="s">
        <v>9833</v>
      </c>
    </row>
    <row r="11712" spans="1:2" x14ac:dyDescent="0.35">
      <c r="A11712" s="34">
        <v>47131833</v>
      </c>
      <c r="B11712" s="35" t="s">
        <v>5505</v>
      </c>
    </row>
    <row r="11713" spans="1:2" x14ac:dyDescent="0.35">
      <c r="A11713" s="34">
        <v>47131834</v>
      </c>
      <c r="B11713" s="35" t="s">
        <v>2775</v>
      </c>
    </row>
    <row r="11714" spans="1:2" x14ac:dyDescent="0.35">
      <c r="A11714" s="34">
        <v>47131901</v>
      </c>
      <c r="B11714" s="35" t="s">
        <v>9783</v>
      </c>
    </row>
    <row r="11715" spans="1:2" x14ac:dyDescent="0.35">
      <c r="A11715" s="34">
        <v>47131902</v>
      </c>
      <c r="B11715" s="35" t="s">
        <v>5561</v>
      </c>
    </row>
    <row r="11716" spans="1:2" x14ac:dyDescent="0.35">
      <c r="A11716" s="34">
        <v>47131903</v>
      </c>
      <c r="B11716" s="35" t="s">
        <v>11700</v>
      </c>
    </row>
    <row r="11717" spans="1:2" x14ac:dyDescent="0.35">
      <c r="A11717" s="34">
        <v>47131904</v>
      </c>
      <c r="B11717" s="35" t="s">
        <v>10791</v>
      </c>
    </row>
    <row r="11718" spans="1:2" x14ac:dyDescent="0.35">
      <c r="A11718" s="34">
        <v>47131905</v>
      </c>
      <c r="B11718" s="35" t="s">
        <v>11158</v>
      </c>
    </row>
    <row r="11719" spans="1:2" x14ac:dyDescent="0.35">
      <c r="A11719" s="34">
        <v>47131906</v>
      </c>
      <c r="B11719" s="35" t="s">
        <v>10546</v>
      </c>
    </row>
    <row r="11720" spans="1:2" x14ac:dyDescent="0.35">
      <c r="A11720" s="34">
        <v>47131907</v>
      </c>
      <c r="B11720" s="35" t="s">
        <v>4041</v>
      </c>
    </row>
    <row r="11721" spans="1:2" x14ac:dyDescent="0.35">
      <c r="A11721" s="34">
        <v>47131908</v>
      </c>
      <c r="B11721" s="35" t="s">
        <v>3644</v>
      </c>
    </row>
    <row r="11722" spans="1:2" x14ac:dyDescent="0.35">
      <c r="A11722" s="34">
        <v>47131909</v>
      </c>
      <c r="B11722" s="35" t="s">
        <v>3419</v>
      </c>
    </row>
    <row r="11723" spans="1:2" x14ac:dyDescent="0.35">
      <c r="A11723" s="34">
        <v>47132101</v>
      </c>
      <c r="B11723" s="35" t="s">
        <v>2595</v>
      </c>
    </row>
    <row r="11724" spans="1:2" x14ac:dyDescent="0.35">
      <c r="A11724" s="34">
        <v>47132102</v>
      </c>
      <c r="B11724" s="35" t="s">
        <v>1666</v>
      </c>
    </row>
    <row r="11725" spans="1:2" x14ac:dyDescent="0.35">
      <c r="A11725" s="34">
        <v>48101501</v>
      </c>
      <c r="B11725" s="35" t="s">
        <v>6850</v>
      </c>
    </row>
    <row r="11726" spans="1:2" x14ac:dyDescent="0.35">
      <c r="A11726" s="34">
        <v>48101502</v>
      </c>
      <c r="B11726" s="35" t="s">
        <v>16253</v>
      </c>
    </row>
    <row r="11727" spans="1:2" x14ac:dyDescent="0.35">
      <c r="A11727" s="34">
        <v>48101503</v>
      </c>
      <c r="B11727" s="35" t="s">
        <v>10435</v>
      </c>
    </row>
    <row r="11728" spans="1:2" x14ac:dyDescent="0.35">
      <c r="A11728" s="34">
        <v>48101504</v>
      </c>
      <c r="B11728" s="35" t="s">
        <v>4892</v>
      </c>
    </row>
    <row r="11729" spans="1:2" x14ac:dyDescent="0.35">
      <c r="A11729" s="34">
        <v>48101505</v>
      </c>
      <c r="B11729" s="35" t="s">
        <v>17794</v>
      </c>
    </row>
    <row r="11730" spans="1:2" x14ac:dyDescent="0.35">
      <c r="A11730" s="34">
        <v>48101506</v>
      </c>
      <c r="B11730" s="35" t="s">
        <v>18589</v>
      </c>
    </row>
    <row r="11731" spans="1:2" x14ac:dyDescent="0.35">
      <c r="A11731" s="34">
        <v>48101507</v>
      </c>
      <c r="B11731" s="35" t="s">
        <v>9183</v>
      </c>
    </row>
    <row r="11732" spans="1:2" x14ac:dyDescent="0.35">
      <c r="A11732" s="34">
        <v>48101508</v>
      </c>
      <c r="B11732" s="35" t="s">
        <v>11949</v>
      </c>
    </row>
    <row r="11733" spans="1:2" x14ac:dyDescent="0.35">
      <c r="A11733" s="34">
        <v>48101509</v>
      </c>
      <c r="B11733" s="35" t="s">
        <v>16154</v>
      </c>
    </row>
    <row r="11734" spans="1:2" x14ac:dyDescent="0.35">
      <c r="A11734" s="34">
        <v>48101510</v>
      </c>
      <c r="B11734" s="35" t="s">
        <v>15341</v>
      </c>
    </row>
    <row r="11735" spans="1:2" x14ac:dyDescent="0.35">
      <c r="A11735" s="34">
        <v>48101511</v>
      </c>
      <c r="B11735" s="35" t="s">
        <v>11881</v>
      </c>
    </row>
    <row r="11736" spans="1:2" x14ac:dyDescent="0.35">
      <c r="A11736" s="34">
        <v>48101512</v>
      </c>
      <c r="B11736" s="35" t="s">
        <v>18062</v>
      </c>
    </row>
    <row r="11737" spans="1:2" x14ac:dyDescent="0.35">
      <c r="A11737" s="34">
        <v>48101513</v>
      </c>
      <c r="B11737" s="35" t="s">
        <v>3160</v>
      </c>
    </row>
    <row r="11738" spans="1:2" x14ac:dyDescent="0.35">
      <c r="A11738" s="34">
        <v>48101514</v>
      </c>
      <c r="B11738" s="35" t="s">
        <v>3686</v>
      </c>
    </row>
    <row r="11739" spans="1:2" x14ac:dyDescent="0.35">
      <c r="A11739" s="34">
        <v>48101515</v>
      </c>
      <c r="B11739" s="35" t="s">
        <v>15806</v>
      </c>
    </row>
    <row r="11740" spans="1:2" x14ac:dyDescent="0.35">
      <c r="A11740" s="34">
        <v>48101516</v>
      </c>
      <c r="B11740" s="35" t="s">
        <v>10728</v>
      </c>
    </row>
    <row r="11741" spans="1:2" x14ac:dyDescent="0.35">
      <c r="A11741" s="34">
        <v>48101517</v>
      </c>
      <c r="B11741" s="35" t="s">
        <v>10706</v>
      </c>
    </row>
    <row r="11742" spans="1:2" x14ac:dyDescent="0.35">
      <c r="A11742" s="34">
        <v>48101518</v>
      </c>
      <c r="B11742" s="35" t="s">
        <v>3896</v>
      </c>
    </row>
    <row r="11743" spans="1:2" x14ac:dyDescent="0.35">
      <c r="A11743" s="34">
        <v>48101519</v>
      </c>
      <c r="B11743" s="35" t="s">
        <v>4713</v>
      </c>
    </row>
    <row r="11744" spans="1:2" x14ac:dyDescent="0.35">
      <c r="A11744" s="34">
        <v>48101520</v>
      </c>
      <c r="B11744" s="35" t="s">
        <v>11683</v>
      </c>
    </row>
    <row r="11745" spans="1:2" x14ac:dyDescent="0.35">
      <c r="A11745" s="34">
        <v>48101521</v>
      </c>
      <c r="B11745" s="35" t="s">
        <v>4362</v>
      </c>
    </row>
    <row r="11746" spans="1:2" x14ac:dyDescent="0.35">
      <c r="A11746" s="34">
        <v>48101522</v>
      </c>
      <c r="B11746" s="35" t="s">
        <v>1294</v>
      </c>
    </row>
    <row r="11747" spans="1:2" x14ac:dyDescent="0.35">
      <c r="A11747" s="34">
        <v>48101523</v>
      </c>
      <c r="B11747" s="35" t="s">
        <v>17756</v>
      </c>
    </row>
    <row r="11748" spans="1:2" x14ac:dyDescent="0.35">
      <c r="A11748" s="34">
        <v>48101524</v>
      </c>
      <c r="B11748" s="35" t="s">
        <v>2954</v>
      </c>
    </row>
    <row r="11749" spans="1:2" x14ac:dyDescent="0.35">
      <c r="A11749" s="34">
        <v>48101525</v>
      </c>
      <c r="B11749" s="35" t="s">
        <v>9315</v>
      </c>
    </row>
    <row r="11750" spans="1:2" x14ac:dyDescent="0.35">
      <c r="A11750" s="34">
        <v>48101526</v>
      </c>
      <c r="B11750" s="35" t="s">
        <v>19245</v>
      </c>
    </row>
    <row r="11751" spans="1:2" x14ac:dyDescent="0.35">
      <c r="A11751" s="34">
        <v>48101527</v>
      </c>
      <c r="B11751" s="35" t="s">
        <v>16734</v>
      </c>
    </row>
    <row r="11752" spans="1:2" x14ac:dyDescent="0.35">
      <c r="A11752" s="34">
        <v>48101528</v>
      </c>
      <c r="B11752" s="35" t="s">
        <v>17383</v>
      </c>
    </row>
    <row r="11753" spans="1:2" x14ac:dyDescent="0.35">
      <c r="A11753" s="34">
        <v>48101529</v>
      </c>
      <c r="B11753" s="35" t="s">
        <v>19341</v>
      </c>
    </row>
    <row r="11754" spans="1:2" x14ac:dyDescent="0.35">
      <c r="A11754" s="34">
        <v>48101530</v>
      </c>
      <c r="B11754" s="35" t="s">
        <v>17682</v>
      </c>
    </row>
    <row r="11755" spans="1:2" x14ac:dyDescent="0.35">
      <c r="A11755" s="34">
        <v>48101531</v>
      </c>
      <c r="B11755" s="35" t="s">
        <v>7085</v>
      </c>
    </row>
    <row r="11756" spans="1:2" x14ac:dyDescent="0.35">
      <c r="A11756" s="34">
        <v>48101532</v>
      </c>
      <c r="B11756" s="35" t="s">
        <v>54</v>
      </c>
    </row>
    <row r="11757" spans="1:2" x14ac:dyDescent="0.35">
      <c r="A11757" s="34">
        <v>48101601</v>
      </c>
      <c r="B11757" s="35" t="s">
        <v>11780</v>
      </c>
    </row>
    <row r="11758" spans="1:2" x14ac:dyDescent="0.35">
      <c r="A11758" s="34">
        <v>48101602</v>
      </c>
      <c r="B11758" s="35" t="s">
        <v>583</v>
      </c>
    </row>
    <row r="11759" spans="1:2" x14ac:dyDescent="0.35">
      <c r="A11759" s="34">
        <v>48101603</v>
      </c>
      <c r="B11759" s="35" t="s">
        <v>482</v>
      </c>
    </row>
    <row r="11760" spans="1:2" x14ac:dyDescent="0.35">
      <c r="A11760" s="34">
        <v>48101604</v>
      </c>
      <c r="B11760" s="35" t="s">
        <v>10170</v>
      </c>
    </row>
    <row r="11761" spans="1:2" x14ac:dyDescent="0.35">
      <c r="A11761" s="34">
        <v>48101605</v>
      </c>
      <c r="B11761" s="35" t="s">
        <v>10279</v>
      </c>
    </row>
    <row r="11762" spans="1:2" x14ac:dyDescent="0.35">
      <c r="A11762" s="34">
        <v>48101606</v>
      </c>
      <c r="B11762" s="35" t="s">
        <v>2375</v>
      </c>
    </row>
    <row r="11763" spans="1:2" x14ac:dyDescent="0.35">
      <c r="A11763" s="34">
        <v>48101607</v>
      </c>
      <c r="B11763" s="35" t="s">
        <v>5379</v>
      </c>
    </row>
    <row r="11764" spans="1:2" x14ac:dyDescent="0.35">
      <c r="A11764" s="34">
        <v>48101608</v>
      </c>
      <c r="B11764" s="35" t="s">
        <v>1717</v>
      </c>
    </row>
    <row r="11765" spans="1:2" x14ac:dyDescent="0.35">
      <c r="A11765" s="34">
        <v>48101609</v>
      </c>
      <c r="B11765" s="35" t="s">
        <v>9004</v>
      </c>
    </row>
    <row r="11766" spans="1:2" x14ac:dyDescent="0.35">
      <c r="A11766" s="34">
        <v>48101610</v>
      </c>
      <c r="B11766" s="35" t="s">
        <v>19094</v>
      </c>
    </row>
    <row r="11767" spans="1:2" x14ac:dyDescent="0.35">
      <c r="A11767" s="34">
        <v>48101611</v>
      </c>
      <c r="B11767" s="35" t="s">
        <v>16759</v>
      </c>
    </row>
    <row r="11768" spans="1:2" x14ac:dyDescent="0.35">
      <c r="A11768" s="34">
        <v>48101612</v>
      </c>
      <c r="B11768" s="35" t="s">
        <v>699</v>
      </c>
    </row>
    <row r="11769" spans="1:2" x14ac:dyDescent="0.35">
      <c r="A11769" s="34">
        <v>48101613</v>
      </c>
      <c r="B11769" s="35" t="s">
        <v>3494</v>
      </c>
    </row>
    <row r="11770" spans="1:2" x14ac:dyDescent="0.35">
      <c r="A11770" s="34">
        <v>48101614</v>
      </c>
      <c r="B11770" s="35" t="s">
        <v>548</v>
      </c>
    </row>
    <row r="11771" spans="1:2" x14ac:dyDescent="0.35">
      <c r="A11771" s="34">
        <v>48101615</v>
      </c>
      <c r="B11771" s="35" t="s">
        <v>7955</v>
      </c>
    </row>
    <row r="11772" spans="1:2" x14ac:dyDescent="0.35">
      <c r="A11772" s="34">
        <v>48101616</v>
      </c>
      <c r="B11772" s="35" t="s">
        <v>18412</v>
      </c>
    </row>
    <row r="11773" spans="1:2" x14ac:dyDescent="0.35">
      <c r="A11773" s="34">
        <v>48101617</v>
      </c>
      <c r="B11773" s="35" t="s">
        <v>15523</v>
      </c>
    </row>
    <row r="11774" spans="1:2" x14ac:dyDescent="0.35">
      <c r="A11774" s="34">
        <v>48101701</v>
      </c>
      <c r="B11774" s="35" t="s">
        <v>14474</v>
      </c>
    </row>
    <row r="11775" spans="1:2" x14ac:dyDescent="0.35">
      <c r="A11775" s="34">
        <v>48101702</v>
      </c>
      <c r="B11775" s="35" t="s">
        <v>3613</v>
      </c>
    </row>
    <row r="11776" spans="1:2" x14ac:dyDescent="0.35">
      <c r="A11776" s="34">
        <v>48101703</v>
      </c>
      <c r="B11776" s="35" t="s">
        <v>466</v>
      </c>
    </row>
    <row r="11777" spans="1:2" x14ac:dyDescent="0.35">
      <c r="A11777" s="34">
        <v>48101704</v>
      </c>
      <c r="B11777" s="35" t="s">
        <v>13802</v>
      </c>
    </row>
    <row r="11778" spans="1:2" x14ac:dyDescent="0.35">
      <c r="A11778" s="34">
        <v>48101705</v>
      </c>
      <c r="B11778" s="35" t="s">
        <v>11861</v>
      </c>
    </row>
    <row r="11779" spans="1:2" x14ac:dyDescent="0.35">
      <c r="A11779" s="34">
        <v>48101706</v>
      </c>
      <c r="B11779" s="35" t="s">
        <v>16367</v>
      </c>
    </row>
    <row r="11780" spans="1:2" x14ac:dyDescent="0.35">
      <c r="A11780" s="34">
        <v>48101707</v>
      </c>
      <c r="B11780" s="35" t="s">
        <v>2048</v>
      </c>
    </row>
    <row r="11781" spans="1:2" x14ac:dyDescent="0.35">
      <c r="A11781" s="34">
        <v>48101708</v>
      </c>
      <c r="B11781" s="35" t="s">
        <v>7884</v>
      </c>
    </row>
    <row r="11782" spans="1:2" x14ac:dyDescent="0.35">
      <c r="A11782" s="34">
        <v>48101709</v>
      </c>
      <c r="B11782" s="35" t="s">
        <v>961</v>
      </c>
    </row>
    <row r="11783" spans="1:2" x14ac:dyDescent="0.35">
      <c r="A11783" s="34">
        <v>48101710</v>
      </c>
      <c r="B11783" s="35" t="s">
        <v>14809</v>
      </c>
    </row>
    <row r="11784" spans="1:2" x14ac:dyDescent="0.35">
      <c r="A11784" s="34">
        <v>48101711</v>
      </c>
      <c r="B11784" s="35" t="s">
        <v>8535</v>
      </c>
    </row>
    <row r="11785" spans="1:2" x14ac:dyDescent="0.35">
      <c r="A11785" s="34">
        <v>48101712</v>
      </c>
      <c r="B11785" s="35" t="s">
        <v>19106</v>
      </c>
    </row>
    <row r="11786" spans="1:2" x14ac:dyDescent="0.35">
      <c r="A11786" s="34">
        <v>48101713</v>
      </c>
      <c r="B11786" s="35" t="s">
        <v>17445</v>
      </c>
    </row>
    <row r="11787" spans="1:2" x14ac:dyDescent="0.35">
      <c r="A11787" s="34">
        <v>48101714</v>
      </c>
      <c r="B11787" s="35" t="s">
        <v>16695</v>
      </c>
    </row>
    <row r="11788" spans="1:2" x14ac:dyDescent="0.35">
      <c r="A11788" s="34">
        <v>48101715</v>
      </c>
      <c r="B11788" s="35" t="s">
        <v>11604</v>
      </c>
    </row>
    <row r="11789" spans="1:2" x14ac:dyDescent="0.35">
      <c r="A11789" s="34">
        <v>48101801</v>
      </c>
      <c r="B11789" s="35" t="s">
        <v>2819</v>
      </c>
    </row>
    <row r="11790" spans="1:2" x14ac:dyDescent="0.35">
      <c r="A11790" s="34">
        <v>48101802</v>
      </c>
      <c r="B11790" s="35" t="s">
        <v>12292</v>
      </c>
    </row>
    <row r="11791" spans="1:2" x14ac:dyDescent="0.35">
      <c r="A11791" s="34">
        <v>48101803</v>
      </c>
      <c r="B11791" s="35" t="s">
        <v>2440</v>
      </c>
    </row>
    <row r="11792" spans="1:2" x14ac:dyDescent="0.35">
      <c r="A11792" s="34">
        <v>48101804</v>
      </c>
      <c r="B11792" s="35" t="s">
        <v>10172</v>
      </c>
    </row>
    <row r="11793" spans="1:2" x14ac:dyDescent="0.35">
      <c r="A11793" s="34">
        <v>48101805</v>
      </c>
      <c r="B11793" s="35" t="s">
        <v>8705</v>
      </c>
    </row>
    <row r="11794" spans="1:2" x14ac:dyDescent="0.35">
      <c r="A11794" s="34">
        <v>48101806</v>
      </c>
      <c r="B11794" s="35" t="s">
        <v>2522</v>
      </c>
    </row>
    <row r="11795" spans="1:2" x14ac:dyDescent="0.35">
      <c r="A11795" s="34">
        <v>48101807</v>
      </c>
      <c r="B11795" s="35" t="s">
        <v>2826</v>
      </c>
    </row>
    <row r="11796" spans="1:2" x14ac:dyDescent="0.35">
      <c r="A11796" s="34">
        <v>48101808</v>
      </c>
      <c r="B11796" s="35" t="s">
        <v>10850</v>
      </c>
    </row>
    <row r="11797" spans="1:2" x14ac:dyDescent="0.35">
      <c r="A11797" s="34">
        <v>48101809</v>
      </c>
      <c r="B11797" s="35" t="s">
        <v>12617</v>
      </c>
    </row>
    <row r="11798" spans="1:2" x14ac:dyDescent="0.35">
      <c r="A11798" s="34">
        <v>48101810</v>
      </c>
      <c r="B11798" s="35" t="s">
        <v>4719</v>
      </c>
    </row>
    <row r="11799" spans="1:2" x14ac:dyDescent="0.35">
      <c r="A11799" s="34">
        <v>48101811</v>
      </c>
      <c r="B11799" s="35" t="s">
        <v>14368</v>
      </c>
    </row>
    <row r="11800" spans="1:2" x14ac:dyDescent="0.35">
      <c r="A11800" s="34">
        <v>48101812</v>
      </c>
      <c r="B11800" s="35" t="s">
        <v>12276</v>
      </c>
    </row>
    <row r="11801" spans="1:2" x14ac:dyDescent="0.35">
      <c r="A11801" s="34">
        <v>48101813</v>
      </c>
      <c r="B11801" s="35" t="s">
        <v>6761</v>
      </c>
    </row>
    <row r="11802" spans="1:2" x14ac:dyDescent="0.35">
      <c r="A11802" s="34">
        <v>48101814</v>
      </c>
      <c r="B11802" s="35" t="s">
        <v>18358</v>
      </c>
    </row>
    <row r="11803" spans="1:2" x14ac:dyDescent="0.35">
      <c r="A11803" s="34">
        <v>48101815</v>
      </c>
      <c r="B11803" s="35" t="s">
        <v>11956</v>
      </c>
    </row>
    <row r="11804" spans="1:2" x14ac:dyDescent="0.35">
      <c r="A11804" s="34">
        <v>48101816</v>
      </c>
      <c r="B11804" s="35" t="s">
        <v>11731</v>
      </c>
    </row>
    <row r="11805" spans="1:2" x14ac:dyDescent="0.35">
      <c r="A11805" s="34">
        <v>48101817</v>
      </c>
      <c r="B11805" s="35" t="s">
        <v>1723</v>
      </c>
    </row>
    <row r="11806" spans="1:2" x14ac:dyDescent="0.35">
      <c r="A11806" s="34">
        <v>48101901</v>
      </c>
      <c r="B11806" s="35" t="s">
        <v>2722</v>
      </c>
    </row>
    <row r="11807" spans="1:2" x14ac:dyDescent="0.35">
      <c r="A11807" s="34">
        <v>48101902</v>
      </c>
      <c r="B11807" s="35" t="s">
        <v>17532</v>
      </c>
    </row>
    <row r="11808" spans="1:2" x14ac:dyDescent="0.35">
      <c r="A11808" s="34">
        <v>48101903</v>
      </c>
      <c r="B11808" s="35" t="s">
        <v>10507</v>
      </c>
    </row>
    <row r="11809" spans="1:2" x14ac:dyDescent="0.35">
      <c r="A11809" s="34">
        <v>48101904</v>
      </c>
      <c r="B11809" s="35" t="s">
        <v>19233</v>
      </c>
    </row>
    <row r="11810" spans="1:2" x14ac:dyDescent="0.35">
      <c r="A11810" s="34">
        <v>48101905</v>
      </c>
      <c r="B11810" s="35" t="s">
        <v>8938</v>
      </c>
    </row>
    <row r="11811" spans="1:2" x14ac:dyDescent="0.35">
      <c r="A11811" s="34">
        <v>48101906</v>
      </c>
      <c r="B11811" s="35" t="s">
        <v>2894</v>
      </c>
    </row>
    <row r="11812" spans="1:2" x14ac:dyDescent="0.35">
      <c r="A11812" s="34">
        <v>48101907</v>
      </c>
      <c r="B11812" s="35" t="s">
        <v>549</v>
      </c>
    </row>
    <row r="11813" spans="1:2" x14ac:dyDescent="0.35">
      <c r="A11813" s="34">
        <v>48101908</v>
      </c>
      <c r="B11813" s="35" t="s">
        <v>18128</v>
      </c>
    </row>
    <row r="11814" spans="1:2" x14ac:dyDescent="0.35">
      <c r="A11814" s="34">
        <v>48101909</v>
      </c>
      <c r="B11814" s="35" t="s">
        <v>10550</v>
      </c>
    </row>
    <row r="11815" spans="1:2" x14ac:dyDescent="0.35">
      <c r="A11815" s="34">
        <v>48101910</v>
      </c>
      <c r="B11815" s="35" t="s">
        <v>5324</v>
      </c>
    </row>
    <row r="11816" spans="1:2" x14ac:dyDescent="0.35">
      <c r="A11816" s="34">
        <v>48101911</v>
      </c>
      <c r="B11816" s="35" t="s">
        <v>6123</v>
      </c>
    </row>
    <row r="11817" spans="1:2" x14ac:dyDescent="0.35">
      <c r="A11817" s="34">
        <v>48101912</v>
      </c>
      <c r="B11817" s="35" t="s">
        <v>7735</v>
      </c>
    </row>
    <row r="11818" spans="1:2" x14ac:dyDescent="0.35">
      <c r="A11818" s="34">
        <v>48101913</v>
      </c>
      <c r="B11818" s="35" t="s">
        <v>19421</v>
      </c>
    </row>
    <row r="11819" spans="1:2" x14ac:dyDescent="0.35">
      <c r="A11819" s="34">
        <v>48101914</v>
      </c>
      <c r="B11819" s="35" t="s">
        <v>560</v>
      </c>
    </row>
    <row r="11820" spans="1:2" x14ac:dyDescent="0.35">
      <c r="A11820" s="34">
        <v>48101915</v>
      </c>
      <c r="B11820" s="35" t="s">
        <v>1549</v>
      </c>
    </row>
    <row r="11821" spans="1:2" x14ac:dyDescent="0.35">
      <c r="A11821" s="34">
        <v>48101916</v>
      </c>
      <c r="B11821" s="35" t="s">
        <v>16142</v>
      </c>
    </row>
    <row r="11822" spans="1:2" x14ac:dyDescent="0.35">
      <c r="A11822" s="34">
        <v>48101917</v>
      </c>
      <c r="B11822" s="35" t="s">
        <v>19212</v>
      </c>
    </row>
    <row r="11823" spans="1:2" x14ac:dyDescent="0.35">
      <c r="A11823" s="34">
        <v>48101918</v>
      </c>
      <c r="B11823" s="35" t="s">
        <v>15614</v>
      </c>
    </row>
    <row r="11824" spans="1:2" x14ac:dyDescent="0.35">
      <c r="A11824" s="34">
        <v>48101919</v>
      </c>
      <c r="B11824" s="35" t="s">
        <v>4426</v>
      </c>
    </row>
    <row r="11825" spans="1:2" x14ac:dyDescent="0.35">
      <c r="A11825" s="34">
        <v>48101920</v>
      </c>
      <c r="B11825" s="35" t="s">
        <v>7833</v>
      </c>
    </row>
    <row r="11826" spans="1:2" x14ac:dyDescent="0.35">
      <c r="A11826" s="34">
        <v>48102001</v>
      </c>
      <c r="B11826" s="35" t="s">
        <v>10903</v>
      </c>
    </row>
    <row r="11827" spans="1:2" x14ac:dyDescent="0.35">
      <c r="A11827" s="34">
        <v>48102002</v>
      </c>
      <c r="B11827" s="35" t="s">
        <v>7995</v>
      </c>
    </row>
    <row r="11828" spans="1:2" x14ac:dyDescent="0.35">
      <c r="A11828" s="34">
        <v>48102003</v>
      </c>
      <c r="B11828" s="35" t="s">
        <v>15452</v>
      </c>
    </row>
    <row r="11829" spans="1:2" x14ac:dyDescent="0.35">
      <c r="A11829" s="34">
        <v>48102004</v>
      </c>
      <c r="B11829" s="35" t="s">
        <v>5411</v>
      </c>
    </row>
    <row r="11830" spans="1:2" x14ac:dyDescent="0.35">
      <c r="A11830" s="34">
        <v>48102005</v>
      </c>
      <c r="B11830" s="35" t="s">
        <v>722</v>
      </c>
    </row>
    <row r="11831" spans="1:2" x14ac:dyDescent="0.35">
      <c r="A11831" s="34">
        <v>48102006</v>
      </c>
      <c r="B11831" s="35" t="s">
        <v>15645</v>
      </c>
    </row>
    <row r="11832" spans="1:2" x14ac:dyDescent="0.35">
      <c r="A11832" s="34">
        <v>48102007</v>
      </c>
      <c r="B11832" s="35" t="s">
        <v>7101</v>
      </c>
    </row>
    <row r="11833" spans="1:2" x14ac:dyDescent="0.35">
      <c r="A11833" s="34">
        <v>48102101</v>
      </c>
      <c r="B11833" s="35" t="s">
        <v>13812</v>
      </c>
    </row>
    <row r="11834" spans="1:2" x14ac:dyDescent="0.35">
      <c r="A11834" s="34">
        <v>48102102</v>
      </c>
      <c r="B11834" s="35" t="s">
        <v>13443</v>
      </c>
    </row>
    <row r="11835" spans="1:2" x14ac:dyDescent="0.35">
      <c r="A11835" s="34">
        <v>48102103</v>
      </c>
      <c r="B11835" s="35" t="s">
        <v>15405</v>
      </c>
    </row>
    <row r="11836" spans="1:2" x14ac:dyDescent="0.35">
      <c r="A11836" s="34">
        <v>48102104</v>
      </c>
      <c r="B11836" s="35" t="s">
        <v>11323</v>
      </c>
    </row>
    <row r="11837" spans="1:2" x14ac:dyDescent="0.35">
      <c r="A11837" s="34">
        <v>48102105</v>
      </c>
      <c r="B11837" s="35" t="s">
        <v>19160</v>
      </c>
    </row>
    <row r="11838" spans="1:2" x14ac:dyDescent="0.35">
      <c r="A11838" s="34">
        <v>48102106</v>
      </c>
      <c r="B11838" s="35" t="s">
        <v>9234</v>
      </c>
    </row>
    <row r="11839" spans="1:2" x14ac:dyDescent="0.35">
      <c r="A11839" s="34">
        <v>48102107</v>
      </c>
      <c r="B11839" s="35" t="s">
        <v>1718</v>
      </c>
    </row>
    <row r="11840" spans="1:2" x14ac:dyDescent="0.35">
      <c r="A11840" s="34">
        <v>48111001</v>
      </c>
      <c r="B11840" s="35" t="s">
        <v>17367</v>
      </c>
    </row>
    <row r="11841" spans="1:2" x14ac:dyDescent="0.35">
      <c r="A11841" s="34">
        <v>48111002</v>
      </c>
      <c r="B11841" s="35" t="s">
        <v>941</v>
      </c>
    </row>
    <row r="11842" spans="1:2" x14ac:dyDescent="0.35">
      <c r="A11842" s="34">
        <v>48111101</v>
      </c>
      <c r="B11842" s="35" t="s">
        <v>4590</v>
      </c>
    </row>
    <row r="11843" spans="1:2" x14ac:dyDescent="0.35">
      <c r="A11843" s="34">
        <v>48111102</v>
      </c>
      <c r="B11843" s="35" t="s">
        <v>7011</v>
      </c>
    </row>
    <row r="11844" spans="1:2" x14ac:dyDescent="0.35">
      <c r="A11844" s="34">
        <v>48111103</v>
      </c>
      <c r="B11844" s="35" t="s">
        <v>11185</v>
      </c>
    </row>
    <row r="11845" spans="1:2" x14ac:dyDescent="0.35">
      <c r="A11845" s="34">
        <v>48111104</v>
      </c>
      <c r="B11845" s="35" t="s">
        <v>8446</v>
      </c>
    </row>
    <row r="11846" spans="1:2" x14ac:dyDescent="0.35">
      <c r="A11846" s="34">
        <v>48111105</v>
      </c>
      <c r="B11846" s="35" t="s">
        <v>10619</v>
      </c>
    </row>
    <row r="11847" spans="1:2" x14ac:dyDescent="0.35">
      <c r="A11847" s="34">
        <v>48111106</v>
      </c>
      <c r="B11847" s="35" t="s">
        <v>326</v>
      </c>
    </row>
    <row r="11848" spans="1:2" x14ac:dyDescent="0.35">
      <c r="A11848" s="34">
        <v>48111107</v>
      </c>
      <c r="B11848" s="35" t="s">
        <v>3729</v>
      </c>
    </row>
    <row r="11849" spans="1:2" x14ac:dyDescent="0.35">
      <c r="A11849" s="34">
        <v>48111108</v>
      </c>
      <c r="B11849" s="35" t="s">
        <v>8012</v>
      </c>
    </row>
    <row r="11850" spans="1:2" x14ac:dyDescent="0.35">
      <c r="A11850" s="34">
        <v>48111201</v>
      </c>
      <c r="B11850" s="35" t="s">
        <v>9762</v>
      </c>
    </row>
    <row r="11851" spans="1:2" x14ac:dyDescent="0.35">
      <c r="A11851" s="34">
        <v>48111202</v>
      </c>
      <c r="B11851" s="35" t="s">
        <v>14309</v>
      </c>
    </row>
    <row r="11852" spans="1:2" x14ac:dyDescent="0.35">
      <c r="A11852" s="34">
        <v>48111301</v>
      </c>
      <c r="B11852" s="35" t="s">
        <v>6688</v>
      </c>
    </row>
    <row r="11853" spans="1:2" x14ac:dyDescent="0.35">
      <c r="A11853" s="34">
        <v>48111302</v>
      </c>
      <c r="B11853" s="35" t="s">
        <v>12102</v>
      </c>
    </row>
    <row r="11854" spans="1:2" x14ac:dyDescent="0.35">
      <c r="A11854" s="34">
        <v>48111303</v>
      </c>
      <c r="B11854" s="35" t="s">
        <v>11300</v>
      </c>
    </row>
    <row r="11855" spans="1:2" x14ac:dyDescent="0.35">
      <c r="A11855" s="34">
        <v>48111401</v>
      </c>
      <c r="B11855" s="35" t="s">
        <v>1590</v>
      </c>
    </row>
    <row r="11856" spans="1:2" x14ac:dyDescent="0.35">
      <c r="A11856" s="34">
        <v>48111402</v>
      </c>
      <c r="B11856" s="35" t="s">
        <v>4313</v>
      </c>
    </row>
    <row r="11857" spans="1:2" x14ac:dyDescent="0.35">
      <c r="A11857" s="34">
        <v>48111403</v>
      </c>
      <c r="B11857" s="35" t="s">
        <v>17220</v>
      </c>
    </row>
    <row r="11858" spans="1:2" x14ac:dyDescent="0.35">
      <c r="A11858" s="34">
        <v>48111404</v>
      </c>
      <c r="B11858" s="35" t="s">
        <v>18912</v>
      </c>
    </row>
    <row r="11859" spans="1:2" x14ac:dyDescent="0.35">
      <c r="A11859" s="34">
        <v>48111405</v>
      </c>
      <c r="B11859" s="35" t="s">
        <v>14720</v>
      </c>
    </row>
    <row r="11860" spans="1:2" x14ac:dyDescent="0.35">
      <c r="A11860" s="34">
        <v>48121101</v>
      </c>
      <c r="B11860" s="35" t="s">
        <v>6258</v>
      </c>
    </row>
    <row r="11861" spans="1:2" x14ac:dyDescent="0.35">
      <c r="A11861" s="34">
        <v>48121201</v>
      </c>
      <c r="B11861" s="35" t="s">
        <v>19101</v>
      </c>
    </row>
    <row r="11862" spans="1:2" x14ac:dyDescent="0.35">
      <c r="A11862" s="34">
        <v>48121202</v>
      </c>
      <c r="B11862" s="35" t="s">
        <v>18119</v>
      </c>
    </row>
    <row r="11863" spans="1:2" x14ac:dyDescent="0.35">
      <c r="A11863" s="34">
        <v>48121301</v>
      </c>
      <c r="B11863" s="35" t="s">
        <v>18394</v>
      </c>
    </row>
    <row r="11864" spans="1:2" x14ac:dyDescent="0.35">
      <c r="A11864" s="34">
        <v>48121302</v>
      </c>
      <c r="B11864" s="35" t="s">
        <v>6253</v>
      </c>
    </row>
    <row r="11865" spans="1:2" x14ac:dyDescent="0.35">
      <c r="A11865" s="34">
        <v>48131501</v>
      </c>
      <c r="B11865" s="35" t="s">
        <v>18822</v>
      </c>
    </row>
    <row r="11866" spans="1:2" x14ac:dyDescent="0.35">
      <c r="A11866" s="34">
        <v>48131502</v>
      </c>
      <c r="B11866" s="35" t="s">
        <v>6682</v>
      </c>
    </row>
    <row r="11867" spans="1:2" x14ac:dyDescent="0.35">
      <c r="A11867" s="34">
        <v>48131503</v>
      </c>
      <c r="B11867" s="35" t="s">
        <v>17167</v>
      </c>
    </row>
    <row r="11868" spans="1:2" x14ac:dyDescent="0.35">
      <c r="A11868" s="34">
        <v>48131504</v>
      </c>
      <c r="B11868" s="35" t="s">
        <v>16834</v>
      </c>
    </row>
    <row r="11869" spans="1:2" x14ac:dyDescent="0.35">
      <c r="A11869" s="34">
        <v>49101601</v>
      </c>
      <c r="B11869" s="35" t="s">
        <v>15634</v>
      </c>
    </row>
    <row r="11870" spans="1:2" x14ac:dyDescent="0.35">
      <c r="A11870" s="34">
        <v>49101602</v>
      </c>
      <c r="B11870" s="35" t="s">
        <v>2839</v>
      </c>
    </row>
    <row r="11871" spans="1:2" x14ac:dyDescent="0.35">
      <c r="A11871" s="34">
        <v>49101603</v>
      </c>
      <c r="B11871" s="35" t="s">
        <v>4827</v>
      </c>
    </row>
    <row r="11872" spans="1:2" x14ac:dyDescent="0.35">
      <c r="A11872" s="34">
        <v>49101604</v>
      </c>
      <c r="B11872" s="35" t="s">
        <v>16003</v>
      </c>
    </row>
    <row r="11873" spans="1:2" x14ac:dyDescent="0.35">
      <c r="A11873" s="34">
        <v>49101605</v>
      </c>
      <c r="B11873" s="35" t="s">
        <v>547</v>
      </c>
    </row>
    <row r="11874" spans="1:2" x14ac:dyDescent="0.35">
      <c r="A11874" s="34">
        <v>49101606</v>
      </c>
      <c r="B11874" s="35" t="s">
        <v>7063</v>
      </c>
    </row>
    <row r="11875" spans="1:2" x14ac:dyDescent="0.35">
      <c r="A11875" s="34">
        <v>49101607</v>
      </c>
      <c r="B11875" s="35" t="s">
        <v>12177</v>
      </c>
    </row>
    <row r="11876" spans="1:2" x14ac:dyDescent="0.35">
      <c r="A11876" s="34">
        <v>49101608</v>
      </c>
      <c r="B11876" s="35" t="s">
        <v>7383</v>
      </c>
    </row>
    <row r="11877" spans="1:2" x14ac:dyDescent="0.35">
      <c r="A11877" s="34">
        <v>49101609</v>
      </c>
      <c r="B11877" s="35" t="s">
        <v>13786</v>
      </c>
    </row>
    <row r="11878" spans="1:2" x14ac:dyDescent="0.35">
      <c r="A11878" s="34">
        <v>49101611</v>
      </c>
      <c r="B11878" s="35" t="s">
        <v>16096</v>
      </c>
    </row>
    <row r="11879" spans="1:2" x14ac:dyDescent="0.35">
      <c r="A11879" s="34">
        <v>49101612</v>
      </c>
      <c r="B11879" s="35" t="s">
        <v>4961</v>
      </c>
    </row>
    <row r="11880" spans="1:2" x14ac:dyDescent="0.35">
      <c r="A11880" s="34">
        <v>49101613</v>
      </c>
      <c r="B11880" s="35" t="s">
        <v>13337</v>
      </c>
    </row>
    <row r="11881" spans="1:2" x14ac:dyDescent="0.35">
      <c r="A11881" s="34">
        <v>49101701</v>
      </c>
      <c r="B11881" s="35" t="s">
        <v>3824</v>
      </c>
    </row>
    <row r="11882" spans="1:2" x14ac:dyDescent="0.35">
      <c r="A11882" s="34">
        <v>49101702</v>
      </c>
      <c r="B11882" s="35" t="s">
        <v>12515</v>
      </c>
    </row>
    <row r="11883" spans="1:2" x14ac:dyDescent="0.35">
      <c r="A11883" s="34">
        <v>49101704</v>
      </c>
      <c r="B11883" s="35" t="s">
        <v>12651</v>
      </c>
    </row>
    <row r="11884" spans="1:2" x14ac:dyDescent="0.35">
      <c r="A11884" s="34">
        <v>49101705</v>
      </c>
      <c r="B11884" s="35" t="s">
        <v>2020</v>
      </c>
    </row>
    <row r="11885" spans="1:2" x14ac:dyDescent="0.35">
      <c r="A11885" s="34">
        <v>49101706</v>
      </c>
      <c r="B11885" s="35" t="s">
        <v>18199</v>
      </c>
    </row>
    <row r="11886" spans="1:2" x14ac:dyDescent="0.35">
      <c r="A11886" s="34">
        <v>49101707</v>
      </c>
      <c r="B11886" s="35" t="s">
        <v>1944</v>
      </c>
    </row>
    <row r="11887" spans="1:2" x14ac:dyDescent="0.35">
      <c r="A11887" s="34">
        <v>49101708</v>
      </c>
      <c r="B11887" s="35" t="s">
        <v>12109</v>
      </c>
    </row>
    <row r="11888" spans="1:2" x14ac:dyDescent="0.35">
      <c r="A11888" s="34">
        <v>49121502</v>
      </c>
      <c r="B11888" s="35" t="s">
        <v>6656</v>
      </c>
    </row>
    <row r="11889" spans="1:2" x14ac:dyDescent="0.35">
      <c r="A11889" s="34">
        <v>49121503</v>
      </c>
      <c r="B11889" s="35" t="s">
        <v>19247</v>
      </c>
    </row>
    <row r="11890" spans="1:2" x14ac:dyDescent="0.35">
      <c r="A11890" s="34">
        <v>49121504</v>
      </c>
      <c r="B11890" s="35" t="s">
        <v>2962</v>
      </c>
    </row>
    <row r="11891" spans="1:2" x14ac:dyDescent="0.35">
      <c r="A11891" s="34">
        <v>49121505</v>
      </c>
      <c r="B11891" s="35" t="s">
        <v>2966</v>
      </c>
    </row>
    <row r="11892" spans="1:2" x14ac:dyDescent="0.35">
      <c r="A11892" s="34">
        <v>49121506</v>
      </c>
      <c r="B11892" s="35" t="s">
        <v>19447</v>
      </c>
    </row>
    <row r="11893" spans="1:2" x14ac:dyDescent="0.35">
      <c r="A11893" s="34">
        <v>49121507</v>
      </c>
      <c r="B11893" s="35" t="s">
        <v>8109</v>
      </c>
    </row>
    <row r="11894" spans="1:2" x14ac:dyDescent="0.35">
      <c r="A11894" s="34">
        <v>49121508</v>
      </c>
      <c r="B11894" s="35" t="s">
        <v>13520</v>
      </c>
    </row>
    <row r="11895" spans="1:2" x14ac:dyDescent="0.35">
      <c r="A11895" s="34">
        <v>49121509</v>
      </c>
      <c r="B11895" s="35" t="s">
        <v>11244</v>
      </c>
    </row>
    <row r="11896" spans="1:2" x14ac:dyDescent="0.35">
      <c r="A11896" s="34">
        <v>49121510</v>
      </c>
      <c r="B11896" s="35" t="s">
        <v>15519</v>
      </c>
    </row>
    <row r="11897" spans="1:2" x14ac:dyDescent="0.35">
      <c r="A11897" s="34">
        <v>49121601</v>
      </c>
      <c r="B11897" s="35" t="s">
        <v>3862</v>
      </c>
    </row>
    <row r="11898" spans="1:2" x14ac:dyDescent="0.35">
      <c r="A11898" s="34">
        <v>49121602</v>
      </c>
      <c r="B11898" s="35" t="s">
        <v>14789</v>
      </c>
    </row>
    <row r="11899" spans="1:2" x14ac:dyDescent="0.35">
      <c r="A11899" s="34">
        <v>49121603</v>
      </c>
      <c r="B11899" s="35" t="s">
        <v>10223</v>
      </c>
    </row>
    <row r="11900" spans="1:2" x14ac:dyDescent="0.35">
      <c r="A11900" s="34">
        <v>49131501</v>
      </c>
      <c r="B11900" s="35" t="s">
        <v>5112</v>
      </c>
    </row>
    <row r="11901" spans="1:2" x14ac:dyDescent="0.35">
      <c r="A11901" s="34">
        <v>49131502</v>
      </c>
      <c r="B11901" s="35" t="s">
        <v>15526</v>
      </c>
    </row>
    <row r="11902" spans="1:2" x14ac:dyDescent="0.35">
      <c r="A11902" s="34">
        <v>49131503</v>
      </c>
      <c r="B11902" s="35" t="s">
        <v>17750</v>
      </c>
    </row>
    <row r="11903" spans="1:2" x14ac:dyDescent="0.35">
      <c r="A11903" s="34">
        <v>49131504</v>
      </c>
      <c r="B11903" s="35" t="s">
        <v>5216</v>
      </c>
    </row>
    <row r="11904" spans="1:2" x14ac:dyDescent="0.35">
      <c r="A11904" s="34">
        <v>49131505</v>
      </c>
      <c r="B11904" s="35" t="s">
        <v>16270</v>
      </c>
    </row>
    <row r="11905" spans="1:2" x14ac:dyDescent="0.35">
      <c r="A11905" s="34">
        <v>49131506</v>
      </c>
      <c r="B11905" s="35" t="s">
        <v>11021</v>
      </c>
    </row>
    <row r="11906" spans="1:2" x14ac:dyDescent="0.35">
      <c r="A11906" s="34">
        <v>49131601</v>
      </c>
      <c r="B11906" s="35" t="s">
        <v>7278</v>
      </c>
    </row>
    <row r="11907" spans="1:2" x14ac:dyDescent="0.35">
      <c r="A11907" s="34">
        <v>49131602</v>
      </c>
      <c r="B11907" s="35" t="s">
        <v>9874</v>
      </c>
    </row>
    <row r="11908" spans="1:2" x14ac:dyDescent="0.35">
      <c r="A11908" s="34">
        <v>49131603</v>
      </c>
      <c r="B11908" s="35" t="s">
        <v>16676</v>
      </c>
    </row>
    <row r="11909" spans="1:2" x14ac:dyDescent="0.35">
      <c r="A11909" s="34">
        <v>49131604</v>
      </c>
      <c r="B11909" s="35" t="s">
        <v>3677</v>
      </c>
    </row>
    <row r="11910" spans="1:2" x14ac:dyDescent="0.35">
      <c r="A11910" s="34">
        <v>49131605</v>
      </c>
      <c r="B11910" s="35" t="s">
        <v>19311</v>
      </c>
    </row>
    <row r="11911" spans="1:2" x14ac:dyDescent="0.35">
      <c r="A11911" s="34">
        <v>49131606</v>
      </c>
      <c r="B11911" s="35" t="s">
        <v>11980</v>
      </c>
    </row>
    <row r="11912" spans="1:2" x14ac:dyDescent="0.35">
      <c r="A11912" s="34">
        <v>49131607</v>
      </c>
      <c r="B11912" s="35" t="s">
        <v>1342</v>
      </c>
    </row>
    <row r="11913" spans="1:2" x14ac:dyDescent="0.35">
      <c r="A11913" s="34">
        <v>49141501</v>
      </c>
      <c r="B11913" s="35" t="s">
        <v>10080</v>
      </c>
    </row>
    <row r="11914" spans="1:2" x14ac:dyDescent="0.35">
      <c r="A11914" s="34">
        <v>49141502</v>
      </c>
      <c r="B11914" s="35" t="s">
        <v>619</v>
      </c>
    </row>
    <row r="11915" spans="1:2" x14ac:dyDescent="0.35">
      <c r="A11915" s="34">
        <v>49141503</v>
      </c>
      <c r="B11915" s="35" t="s">
        <v>6941</v>
      </c>
    </row>
    <row r="11916" spans="1:2" x14ac:dyDescent="0.35">
      <c r="A11916" s="34">
        <v>49141504</v>
      </c>
      <c r="B11916" s="35" t="s">
        <v>6757</v>
      </c>
    </row>
    <row r="11917" spans="1:2" x14ac:dyDescent="0.35">
      <c r="A11917" s="34">
        <v>49141505</v>
      </c>
      <c r="B11917" s="35" t="s">
        <v>13095</v>
      </c>
    </row>
    <row r="11918" spans="1:2" x14ac:dyDescent="0.35">
      <c r="A11918" s="34">
        <v>49141506</v>
      </c>
      <c r="B11918" s="35" t="s">
        <v>1180</v>
      </c>
    </row>
    <row r="11919" spans="1:2" x14ac:dyDescent="0.35">
      <c r="A11919" s="34">
        <v>49141507</v>
      </c>
      <c r="B11919" s="35" t="s">
        <v>1424</v>
      </c>
    </row>
    <row r="11920" spans="1:2" x14ac:dyDescent="0.35">
      <c r="A11920" s="34">
        <v>49141602</v>
      </c>
      <c r="B11920" s="35" t="s">
        <v>2449</v>
      </c>
    </row>
    <row r="11921" spans="1:2" x14ac:dyDescent="0.35">
      <c r="A11921" s="34">
        <v>49141603</v>
      </c>
      <c r="B11921" s="35" t="s">
        <v>6916</v>
      </c>
    </row>
    <row r="11922" spans="1:2" x14ac:dyDescent="0.35">
      <c r="A11922" s="34">
        <v>49141604</v>
      </c>
      <c r="B11922" s="35" t="s">
        <v>17173</v>
      </c>
    </row>
    <row r="11923" spans="1:2" x14ac:dyDescent="0.35">
      <c r="A11923" s="34">
        <v>49141605</v>
      </c>
      <c r="B11923" s="35" t="s">
        <v>17573</v>
      </c>
    </row>
    <row r="11924" spans="1:2" x14ac:dyDescent="0.35">
      <c r="A11924" s="34">
        <v>49141606</v>
      </c>
      <c r="B11924" s="35" t="s">
        <v>1867</v>
      </c>
    </row>
    <row r="11925" spans="1:2" x14ac:dyDescent="0.35">
      <c r="A11925" s="34">
        <v>49141607</v>
      </c>
      <c r="B11925" s="35" t="s">
        <v>13602</v>
      </c>
    </row>
    <row r="11926" spans="1:2" x14ac:dyDescent="0.35">
      <c r="A11926" s="34">
        <v>49151501</v>
      </c>
      <c r="B11926" s="35" t="s">
        <v>16314</v>
      </c>
    </row>
    <row r="11927" spans="1:2" x14ac:dyDescent="0.35">
      <c r="A11927" s="34">
        <v>49151502</v>
      </c>
      <c r="B11927" s="35" t="s">
        <v>4199</v>
      </c>
    </row>
    <row r="11928" spans="1:2" x14ac:dyDescent="0.35">
      <c r="A11928" s="34">
        <v>49151503</v>
      </c>
      <c r="B11928" s="35" t="s">
        <v>15710</v>
      </c>
    </row>
    <row r="11929" spans="1:2" x14ac:dyDescent="0.35">
      <c r="A11929" s="34">
        <v>49151504</v>
      </c>
      <c r="B11929" s="35" t="s">
        <v>17606</v>
      </c>
    </row>
    <row r="11930" spans="1:2" x14ac:dyDescent="0.35">
      <c r="A11930" s="34">
        <v>49151505</v>
      </c>
      <c r="B11930" s="35" t="s">
        <v>5258</v>
      </c>
    </row>
    <row r="11931" spans="1:2" x14ac:dyDescent="0.35">
      <c r="A11931" s="34">
        <v>49151601</v>
      </c>
      <c r="B11931" s="35" t="s">
        <v>10518</v>
      </c>
    </row>
    <row r="11932" spans="1:2" x14ac:dyDescent="0.35">
      <c r="A11932" s="34">
        <v>49151602</v>
      </c>
      <c r="B11932" s="35" t="s">
        <v>17836</v>
      </c>
    </row>
    <row r="11933" spans="1:2" x14ac:dyDescent="0.35">
      <c r="A11933" s="34">
        <v>49151603</v>
      </c>
      <c r="B11933" s="35" t="s">
        <v>14017</v>
      </c>
    </row>
    <row r="11934" spans="1:2" x14ac:dyDescent="0.35">
      <c r="A11934" s="34">
        <v>49161501</v>
      </c>
      <c r="B11934" s="35" t="s">
        <v>6342</v>
      </c>
    </row>
    <row r="11935" spans="1:2" x14ac:dyDescent="0.35">
      <c r="A11935" s="34">
        <v>49161502</v>
      </c>
      <c r="B11935" s="35" t="s">
        <v>8433</v>
      </c>
    </row>
    <row r="11936" spans="1:2" x14ac:dyDescent="0.35">
      <c r="A11936" s="34">
        <v>49161503</v>
      </c>
      <c r="B11936" s="35" t="s">
        <v>12081</v>
      </c>
    </row>
    <row r="11937" spans="1:2" x14ac:dyDescent="0.35">
      <c r="A11937" s="34">
        <v>49161504</v>
      </c>
      <c r="B11937" s="35" t="s">
        <v>8746</v>
      </c>
    </row>
    <row r="11938" spans="1:2" x14ac:dyDescent="0.35">
      <c r="A11938" s="34">
        <v>49161505</v>
      </c>
      <c r="B11938" s="35" t="s">
        <v>18559</v>
      </c>
    </row>
    <row r="11939" spans="1:2" x14ac:dyDescent="0.35">
      <c r="A11939" s="34">
        <v>49161506</v>
      </c>
      <c r="B11939" s="35" t="s">
        <v>9180</v>
      </c>
    </row>
    <row r="11940" spans="1:2" x14ac:dyDescent="0.35">
      <c r="A11940" s="34">
        <v>49161507</v>
      </c>
      <c r="B11940" s="35" t="s">
        <v>2610</v>
      </c>
    </row>
    <row r="11941" spans="1:2" x14ac:dyDescent="0.35">
      <c r="A11941" s="34">
        <v>49161508</v>
      </c>
      <c r="B11941" s="35" t="s">
        <v>8844</v>
      </c>
    </row>
    <row r="11942" spans="1:2" x14ac:dyDescent="0.35">
      <c r="A11942" s="34">
        <v>49161509</v>
      </c>
      <c r="B11942" s="35" t="s">
        <v>17191</v>
      </c>
    </row>
    <row r="11943" spans="1:2" x14ac:dyDescent="0.35">
      <c r="A11943" s="34">
        <v>49161510</v>
      </c>
      <c r="B11943" s="35" t="s">
        <v>19055</v>
      </c>
    </row>
    <row r="11944" spans="1:2" x14ac:dyDescent="0.35">
      <c r="A11944" s="34">
        <v>49161511</v>
      </c>
      <c r="B11944" s="35" t="s">
        <v>7898</v>
      </c>
    </row>
    <row r="11945" spans="1:2" x14ac:dyDescent="0.35">
      <c r="A11945" s="34">
        <v>49161512</v>
      </c>
      <c r="B11945" s="35" t="s">
        <v>2510</v>
      </c>
    </row>
    <row r="11946" spans="1:2" x14ac:dyDescent="0.35">
      <c r="A11946" s="34">
        <v>49161513</v>
      </c>
      <c r="B11946" s="35" t="s">
        <v>3384</v>
      </c>
    </row>
    <row r="11947" spans="1:2" x14ac:dyDescent="0.35">
      <c r="A11947" s="34">
        <v>49161514</v>
      </c>
      <c r="B11947" s="35" t="s">
        <v>6998</v>
      </c>
    </row>
    <row r="11948" spans="1:2" x14ac:dyDescent="0.35">
      <c r="A11948" s="34">
        <v>49161515</v>
      </c>
      <c r="B11948" s="35" t="s">
        <v>8281</v>
      </c>
    </row>
    <row r="11949" spans="1:2" x14ac:dyDescent="0.35">
      <c r="A11949" s="34">
        <v>49161516</v>
      </c>
      <c r="B11949" s="35" t="s">
        <v>17177</v>
      </c>
    </row>
    <row r="11950" spans="1:2" x14ac:dyDescent="0.35">
      <c r="A11950" s="34">
        <v>49161517</v>
      </c>
      <c r="B11950" s="35" t="s">
        <v>13199</v>
      </c>
    </row>
    <row r="11951" spans="1:2" x14ac:dyDescent="0.35">
      <c r="A11951" s="34">
        <v>49161518</v>
      </c>
      <c r="B11951" s="35" t="s">
        <v>19565</v>
      </c>
    </row>
    <row r="11952" spans="1:2" x14ac:dyDescent="0.35">
      <c r="A11952" s="34">
        <v>49161519</v>
      </c>
      <c r="B11952" s="35" t="s">
        <v>11789</v>
      </c>
    </row>
    <row r="11953" spans="1:2" x14ac:dyDescent="0.35">
      <c r="A11953" s="34">
        <v>49161520</v>
      </c>
      <c r="B11953" s="35" t="s">
        <v>8006</v>
      </c>
    </row>
    <row r="11954" spans="1:2" x14ac:dyDescent="0.35">
      <c r="A11954" s="34">
        <v>49161521</v>
      </c>
      <c r="B11954" s="35" t="s">
        <v>12226</v>
      </c>
    </row>
    <row r="11955" spans="1:2" x14ac:dyDescent="0.35">
      <c r="A11955" s="34">
        <v>49161522</v>
      </c>
      <c r="B11955" s="35" t="s">
        <v>7809</v>
      </c>
    </row>
    <row r="11956" spans="1:2" x14ac:dyDescent="0.35">
      <c r="A11956" s="34">
        <v>49161523</v>
      </c>
      <c r="B11956" s="35" t="s">
        <v>12377</v>
      </c>
    </row>
    <row r="11957" spans="1:2" x14ac:dyDescent="0.35">
      <c r="A11957" s="34">
        <v>49161524</v>
      </c>
      <c r="B11957" s="35" t="s">
        <v>3229</v>
      </c>
    </row>
    <row r="11958" spans="1:2" x14ac:dyDescent="0.35">
      <c r="A11958" s="34">
        <v>49161525</v>
      </c>
      <c r="B11958" s="35" t="s">
        <v>7980</v>
      </c>
    </row>
    <row r="11959" spans="1:2" x14ac:dyDescent="0.35">
      <c r="A11959" s="34">
        <v>49161526</v>
      </c>
      <c r="B11959" s="35" t="s">
        <v>16443</v>
      </c>
    </row>
    <row r="11960" spans="1:2" x14ac:dyDescent="0.35">
      <c r="A11960" s="34">
        <v>49161601</v>
      </c>
      <c r="B11960" s="35" t="s">
        <v>7556</v>
      </c>
    </row>
    <row r="11961" spans="1:2" x14ac:dyDescent="0.35">
      <c r="A11961" s="34">
        <v>49161602</v>
      </c>
      <c r="B11961" s="35" t="s">
        <v>434</v>
      </c>
    </row>
    <row r="11962" spans="1:2" x14ac:dyDescent="0.35">
      <c r="A11962" s="34">
        <v>49161603</v>
      </c>
      <c r="B11962" s="35" t="s">
        <v>5941</v>
      </c>
    </row>
    <row r="11963" spans="1:2" x14ac:dyDescent="0.35">
      <c r="A11963" s="34">
        <v>49161604</v>
      </c>
      <c r="B11963" s="35" t="s">
        <v>17732</v>
      </c>
    </row>
    <row r="11964" spans="1:2" x14ac:dyDescent="0.35">
      <c r="A11964" s="34">
        <v>49161605</v>
      </c>
      <c r="B11964" s="35" t="s">
        <v>7901</v>
      </c>
    </row>
    <row r="11965" spans="1:2" x14ac:dyDescent="0.35">
      <c r="A11965" s="34">
        <v>49161606</v>
      </c>
      <c r="B11965" s="35" t="s">
        <v>18299</v>
      </c>
    </row>
    <row r="11966" spans="1:2" x14ac:dyDescent="0.35">
      <c r="A11966" s="34">
        <v>49161607</v>
      </c>
      <c r="B11966" s="35" t="s">
        <v>13906</v>
      </c>
    </row>
    <row r="11967" spans="1:2" x14ac:dyDescent="0.35">
      <c r="A11967" s="34">
        <v>49161608</v>
      </c>
      <c r="B11967" s="35" t="s">
        <v>3722</v>
      </c>
    </row>
    <row r="11968" spans="1:2" x14ac:dyDescent="0.35">
      <c r="A11968" s="34">
        <v>49161609</v>
      </c>
      <c r="B11968" s="35" t="s">
        <v>6535</v>
      </c>
    </row>
    <row r="11969" spans="1:2" x14ac:dyDescent="0.35">
      <c r="A11969" s="34">
        <v>49161610</v>
      </c>
      <c r="B11969" s="35" t="s">
        <v>13265</v>
      </c>
    </row>
    <row r="11970" spans="1:2" x14ac:dyDescent="0.35">
      <c r="A11970" s="34">
        <v>49161611</v>
      </c>
      <c r="B11970" s="35" t="s">
        <v>9875</v>
      </c>
    </row>
    <row r="11971" spans="1:2" x14ac:dyDescent="0.35">
      <c r="A11971" s="34">
        <v>49161612</v>
      </c>
      <c r="B11971" s="35" t="s">
        <v>10766</v>
      </c>
    </row>
    <row r="11972" spans="1:2" x14ac:dyDescent="0.35">
      <c r="A11972" s="34">
        <v>49161613</v>
      </c>
      <c r="B11972" s="35" t="s">
        <v>8381</v>
      </c>
    </row>
    <row r="11973" spans="1:2" x14ac:dyDescent="0.35">
      <c r="A11973" s="34">
        <v>49161614</v>
      </c>
      <c r="B11973" s="35" t="s">
        <v>1332</v>
      </c>
    </row>
    <row r="11974" spans="1:2" x14ac:dyDescent="0.35">
      <c r="A11974" s="34">
        <v>49161615</v>
      </c>
      <c r="B11974" s="35" t="s">
        <v>10978</v>
      </c>
    </row>
    <row r="11975" spans="1:2" x14ac:dyDescent="0.35">
      <c r="A11975" s="34">
        <v>49161616</v>
      </c>
      <c r="B11975" s="35" t="s">
        <v>9374</v>
      </c>
    </row>
    <row r="11976" spans="1:2" x14ac:dyDescent="0.35">
      <c r="A11976" s="34">
        <v>49161617</v>
      </c>
      <c r="B11976" s="35" t="s">
        <v>17560</v>
      </c>
    </row>
    <row r="11977" spans="1:2" x14ac:dyDescent="0.35">
      <c r="A11977" s="34">
        <v>49161618</v>
      </c>
      <c r="B11977" s="35" t="s">
        <v>15855</v>
      </c>
    </row>
    <row r="11978" spans="1:2" x14ac:dyDescent="0.35">
      <c r="A11978" s="34">
        <v>49161619</v>
      </c>
      <c r="B11978" s="35" t="s">
        <v>18644</v>
      </c>
    </row>
    <row r="11979" spans="1:2" x14ac:dyDescent="0.35">
      <c r="A11979" s="34">
        <v>49161620</v>
      </c>
      <c r="B11979" s="35" t="s">
        <v>419</v>
      </c>
    </row>
    <row r="11980" spans="1:2" x14ac:dyDescent="0.35">
      <c r="A11980" s="34">
        <v>49161701</v>
      </c>
      <c r="B11980" s="35" t="s">
        <v>18663</v>
      </c>
    </row>
    <row r="11981" spans="1:2" x14ac:dyDescent="0.35">
      <c r="A11981" s="34">
        <v>49161702</v>
      </c>
      <c r="B11981" s="35" t="s">
        <v>14158</v>
      </c>
    </row>
    <row r="11982" spans="1:2" x14ac:dyDescent="0.35">
      <c r="A11982" s="34">
        <v>49161703</v>
      </c>
      <c r="B11982" s="35" t="s">
        <v>10961</v>
      </c>
    </row>
    <row r="11983" spans="1:2" x14ac:dyDescent="0.35">
      <c r="A11983" s="34">
        <v>49161704</v>
      </c>
      <c r="B11983" s="35" t="s">
        <v>9346</v>
      </c>
    </row>
    <row r="11984" spans="1:2" x14ac:dyDescent="0.35">
      <c r="A11984" s="34">
        <v>49161705</v>
      </c>
      <c r="B11984" s="35" t="s">
        <v>3707</v>
      </c>
    </row>
    <row r="11985" spans="1:2" x14ac:dyDescent="0.35">
      <c r="A11985" s="34">
        <v>49161706</v>
      </c>
      <c r="B11985" s="35" t="s">
        <v>19259</v>
      </c>
    </row>
    <row r="11986" spans="1:2" x14ac:dyDescent="0.35">
      <c r="A11986" s="34">
        <v>49161707</v>
      </c>
      <c r="B11986" s="35" t="s">
        <v>3935</v>
      </c>
    </row>
    <row r="11987" spans="1:2" x14ac:dyDescent="0.35">
      <c r="A11987" s="34">
        <v>49171501</v>
      </c>
      <c r="B11987" s="35" t="s">
        <v>4355</v>
      </c>
    </row>
    <row r="11988" spans="1:2" x14ac:dyDescent="0.35">
      <c r="A11988" s="34">
        <v>49171502</v>
      </c>
      <c r="B11988" s="35" t="s">
        <v>793</v>
      </c>
    </row>
    <row r="11989" spans="1:2" x14ac:dyDescent="0.35">
      <c r="A11989" s="34">
        <v>49171503</v>
      </c>
      <c r="B11989" s="35" t="s">
        <v>9525</v>
      </c>
    </row>
    <row r="11990" spans="1:2" x14ac:dyDescent="0.35">
      <c r="A11990" s="34">
        <v>49171504</v>
      </c>
      <c r="B11990" s="35" t="s">
        <v>806</v>
      </c>
    </row>
    <row r="11991" spans="1:2" x14ac:dyDescent="0.35">
      <c r="A11991" s="34">
        <v>49171505</v>
      </c>
      <c r="B11991" s="35" t="s">
        <v>784</v>
      </c>
    </row>
    <row r="11992" spans="1:2" x14ac:dyDescent="0.35">
      <c r="A11992" s="34">
        <v>49171601</v>
      </c>
      <c r="B11992" s="35" t="s">
        <v>13248</v>
      </c>
    </row>
    <row r="11993" spans="1:2" x14ac:dyDescent="0.35">
      <c r="A11993" s="34">
        <v>49171602</v>
      </c>
      <c r="B11993" s="35" t="s">
        <v>7112</v>
      </c>
    </row>
    <row r="11994" spans="1:2" x14ac:dyDescent="0.35">
      <c r="A11994" s="34">
        <v>49171603</v>
      </c>
      <c r="B11994" s="35" t="s">
        <v>14947</v>
      </c>
    </row>
    <row r="11995" spans="1:2" x14ac:dyDescent="0.35">
      <c r="A11995" s="34">
        <v>49181501</v>
      </c>
      <c r="B11995" s="35" t="s">
        <v>10563</v>
      </c>
    </row>
    <row r="11996" spans="1:2" x14ac:dyDescent="0.35">
      <c r="A11996" s="34">
        <v>49181502</v>
      </c>
      <c r="B11996" s="35" t="s">
        <v>13519</v>
      </c>
    </row>
    <row r="11997" spans="1:2" x14ac:dyDescent="0.35">
      <c r="A11997" s="34">
        <v>49181503</v>
      </c>
      <c r="B11997" s="35" t="s">
        <v>12606</v>
      </c>
    </row>
    <row r="11998" spans="1:2" x14ac:dyDescent="0.35">
      <c r="A11998" s="34">
        <v>49181504</v>
      </c>
      <c r="B11998" s="35" t="s">
        <v>19485</v>
      </c>
    </row>
    <row r="11999" spans="1:2" x14ac:dyDescent="0.35">
      <c r="A11999" s="34">
        <v>49181505</v>
      </c>
      <c r="B11999" s="35" t="s">
        <v>12035</v>
      </c>
    </row>
    <row r="12000" spans="1:2" x14ac:dyDescent="0.35">
      <c r="A12000" s="34">
        <v>49181506</v>
      </c>
      <c r="B12000" s="35" t="s">
        <v>18337</v>
      </c>
    </row>
    <row r="12001" spans="1:2" x14ac:dyDescent="0.35">
      <c r="A12001" s="34">
        <v>49181507</v>
      </c>
      <c r="B12001" s="35" t="s">
        <v>15344</v>
      </c>
    </row>
    <row r="12002" spans="1:2" x14ac:dyDescent="0.35">
      <c r="A12002" s="34">
        <v>49181508</v>
      </c>
      <c r="B12002" s="35" t="s">
        <v>1729</v>
      </c>
    </row>
    <row r="12003" spans="1:2" x14ac:dyDescent="0.35">
      <c r="A12003" s="34">
        <v>49181509</v>
      </c>
      <c r="B12003" s="35" t="s">
        <v>13828</v>
      </c>
    </row>
    <row r="12004" spans="1:2" x14ac:dyDescent="0.35">
      <c r="A12004" s="34">
        <v>49181510</v>
      </c>
      <c r="B12004" s="35" t="s">
        <v>3768</v>
      </c>
    </row>
    <row r="12005" spans="1:2" x14ac:dyDescent="0.35">
      <c r="A12005" s="34">
        <v>49181511</v>
      </c>
      <c r="B12005" s="35" t="s">
        <v>18727</v>
      </c>
    </row>
    <row r="12006" spans="1:2" x14ac:dyDescent="0.35">
      <c r="A12006" s="34">
        <v>49181512</v>
      </c>
      <c r="B12006" s="35" t="s">
        <v>6406</v>
      </c>
    </row>
    <row r="12007" spans="1:2" x14ac:dyDescent="0.35">
      <c r="A12007" s="34">
        <v>49181513</v>
      </c>
      <c r="B12007" s="35" t="s">
        <v>14652</v>
      </c>
    </row>
    <row r="12008" spans="1:2" x14ac:dyDescent="0.35">
      <c r="A12008" s="34">
        <v>49181514</v>
      </c>
      <c r="B12008" s="35" t="s">
        <v>12704</v>
      </c>
    </row>
    <row r="12009" spans="1:2" x14ac:dyDescent="0.35">
      <c r="A12009" s="34">
        <v>49181515</v>
      </c>
      <c r="B12009" s="35" t="s">
        <v>14697</v>
      </c>
    </row>
    <row r="12010" spans="1:2" x14ac:dyDescent="0.35">
      <c r="A12010" s="34">
        <v>49181601</v>
      </c>
      <c r="B12010" s="35" t="s">
        <v>9761</v>
      </c>
    </row>
    <row r="12011" spans="1:2" x14ac:dyDescent="0.35">
      <c r="A12011" s="34">
        <v>49181602</v>
      </c>
      <c r="B12011" s="35" t="s">
        <v>18812</v>
      </c>
    </row>
    <row r="12012" spans="1:2" x14ac:dyDescent="0.35">
      <c r="A12012" s="34">
        <v>49181603</v>
      </c>
      <c r="B12012" s="35" t="s">
        <v>6519</v>
      </c>
    </row>
    <row r="12013" spans="1:2" x14ac:dyDescent="0.35">
      <c r="A12013" s="34">
        <v>49181604</v>
      </c>
      <c r="B12013" s="35" t="s">
        <v>6805</v>
      </c>
    </row>
    <row r="12014" spans="1:2" x14ac:dyDescent="0.35">
      <c r="A12014" s="34">
        <v>49181605</v>
      </c>
      <c r="B12014" s="35" t="s">
        <v>8802</v>
      </c>
    </row>
    <row r="12015" spans="1:2" x14ac:dyDescent="0.35">
      <c r="A12015" s="34">
        <v>49181606</v>
      </c>
      <c r="B12015" s="35" t="s">
        <v>3350</v>
      </c>
    </row>
    <row r="12016" spans="1:2" x14ac:dyDescent="0.35">
      <c r="A12016" s="34">
        <v>49181607</v>
      </c>
      <c r="B12016" s="35" t="s">
        <v>2810</v>
      </c>
    </row>
    <row r="12017" spans="1:2" x14ac:dyDescent="0.35">
      <c r="A12017" s="34">
        <v>49181608</v>
      </c>
      <c r="B12017" s="35" t="s">
        <v>2431</v>
      </c>
    </row>
    <row r="12018" spans="1:2" x14ac:dyDescent="0.35">
      <c r="A12018" s="34">
        <v>49181609</v>
      </c>
      <c r="B12018" s="35" t="s">
        <v>15121</v>
      </c>
    </row>
    <row r="12019" spans="1:2" x14ac:dyDescent="0.35">
      <c r="A12019" s="34">
        <v>49181610</v>
      </c>
      <c r="B12019" s="35" t="s">
        <v>6528</v>
      </c>
    </row>
    <row r="12020" spans="1:2" x14ac:dyDescent="0.35">
      <c r="A12020" s="34">
        <v>49181611</v>
      </c>
      <c r="B12020" s="35" t="s">
        <v>13849</v>
      </c>
    </row>
    <row r="12021" spans="1:2" x14ac:dyDescent="0.35">
      <c r="A12021" s="34">
        <v>49181612</v>
      </c>
      <c r="B12021" s="35" t="s">
        <v>3111</v>
      </c>
    </row>
    <row r="12022" spans="1:2" x14ac:dyDescent="0.35">
      <c r="A12022" s="34">
        <v>49201501</v>
      </c>
      <c r="B12022" s="35" t="s">
        <v>3608</v>
      </c>
    </row>
    <row r="12023" spans="1:2" x14ac:dyDescent="0.35">
      <c r="A12023" s="34">
        <v>49201502</v>
      </c>
      <c r="B12023" s="35" t="s">
        <v>15774</v>
      </c>
    </row>
    <row r="12024" spans="1:2" x14ac:dyDescent="0.35">
      <c r="A12024" s="34">
        <v>49201503</v>
      </c>
      <c r="B12024" s="35" t="s">
        <v>4511</v>
      </c>
    </row>
    <row r="12025" spans="1:2" x14ac:dyDescent="0.35">
      <c r="A12025" s="34">
        <v>49201504</v>
      </c>
      <c r="B12025" s="35" t="s">
        <v>16486</v>
      </c>
    </row>
    <row r="12026" spans="1:2" x14ac:dyDescent="0.35">
      <c r="A12026" s="34">
        <v>49201512</v>
      </c>
      <c r="B12026" s="35" t="s">
        <v>564</v>
      </c>
    </row>
    <row r="12027" spans="1:2" x14ac:dyDescent="0.35">
      <c r="A12027" s="34">
        <v>49201513</v>
      </c>
      <c r="B12027" s="35" t="s">
        <v>2315</v>
      </c>
    </row>
    <row r="12028" spans="1:2" x14ac:dyDescent="0.35">
      <c r="A12028" s="34">
        <v>49201514</v>
      </c>
      <c r="B12028" s="35" t="s">
        <v>6285</v>
      </c>
    </row>
    <row r="12029" spans="1:2" x14ac:dyDescent="0.35">
      <c r="A12029" s="34">
        <v>49201515</v>
      </c>
      <c r="B12029" s="35" t="s">
        <v>11089</v>
      </c>
    </row>
    <row r="12030" spans="1:2" x14ac:dyDescent="0.35">
      <c r="A12030" s="34">
        <v>49201516</v>
      </c>
      <c r="B12030" s="35" t="s">
        <v>10675</v>
      </c>
    </row>
    <row r="12031" spans="1:2" x14ac:dyDescent="0.35">
      <c r="A12031" s="34">
        <v>49201601</v>
      </c>
      <c r="B12031" s="35" t="s">
        <v>8184</v>
      </c>
    </row>
    <row r="12032" spans="1:2" x14ac:dyDescent="0.35">
      <c r="A12032" s="34">
        <v>49201602</v>
      </c>
      <c r="B12032" s="35" t="s">
        <v>1835</v>
      </c>
    </row>
    <row r="12033" spans="1:2" x14ac:dyDescent="0.35">
      <c r="A12033" s="34">
        <v>49201603</v>
      </c>
      <c r="B12033" s="35" t="s">
        <v>4491</v>
      </c>
    </row>
    <row r="12034" spans="1:2" x14ac:dyDescent="0.35">
      <c r="A12034" s="34">
        <v>49201604</v>
      </c>
      <c r="B12034" s="35" t="s">
        <v>4505</v>
      </c>
    </row>
    <row r="12035" spans="1:2" x14ac:dyDescent="0.35">
      <c r="A12035" s="34">
        <v>49201605</v>
      </c>
      <c r="B12035" s="35" t="s">
        <v>7600</v>
      </c>
    </row>
    <row r="12036" spans="1:2" x14ac:dyDescent="0.35">
      <c r="A12036" s="34">
        <v>49201606</v>
      </c>
      <c r="B12036" s="35" t="s">
        <v>15040</v>
      </c>
    </row>
    <row r="12037" spans="1:2" x14ac:dyDescent="0.35">
      <c r="A12037" s="34">
        <v>49201607</v>
      </c>
      <c r="B12037" s="35" t="s">
        <v>5964</v>
      </c>
    </row>
    <row r="12038" spans="1:2" x14ac:dyDescent="0.35">
      <c r="A12038" s="34">
        <v>49201608</v>
      </c>
      <c r="B12038" s="35" t="s">
        <v>1506</v>
      </c>
    </row>
    <row r="12039" spans="1:2" x14ac:dyDescent="0.35">
      <c r="A12039" s="34">
        <v>49201609</v>
      </c>
      <c r="B12039" s="35" t="s">
        <v>15968</v>
      </c>
    </row>
    <row r="12040" spans="1:2" x14ac:dyDescent="0.35">
      <c r="A12040" s="34">
        <v>49201610</v>
      </c>
      <c r="B12040" s="35" t="s">
        <v>19571</v>
      </c>
    </row>
    <row r="12041" spans="1:2" x14ac:dyDescent="0.35">
      <c r="A12041" s="34">
        <v>49201611</v>
      </c>
      <c r="B12041" s="35" t="s">
        <v>16409</v>
      </c>
    </row>
    <row r="12042" spans="1:2" x14ac:dyDescent="0.35">
      <c r="A12042" s="34">
        <v>49211601</v>
      </c>
      <c r="B12042" s="35" t="s">
        <v>1878</v>
      </c>
    </row>
    <row r="12043" spans="1:2" x14ac:dyDescent="0.35">
      <c r="A12043" s="34">
        <v>49211602</v>
      </c>
      <c r="B12043" s="35" t="s">
        <v>14268</v>
      </c>
    </row>
    <row r="12044" spans="1:2" x14ac:dyDescent="0.35">
      <c r="A12044" s="34">
        <v>49211603</v>
      </c>
      <c r="B12044" s="35" t="s">
        <v>8483</v>
      </c>
    </row>
    <row r="12045" spans="1:2" x14ac:dyDescent="0.35">
      <c r="A12045" s="34">
        <v>49211604</v>
      </c>
      <c r="B12045" s="35" t="s">
        <v>14009</v>
      </c>
    </row>
    <row r="12046" spans="1:2" x14ac:dyDescent="0.35">
      <c r="A12046" s="34">
        <v>49211605</v>
      </c>
      <c r="B12046" s="35" t="s">
        <v>4703</v>
      </c>
    </row>
    <row r="12047" spans="1:2" x14ac:dyDescent="0.35">
      <c r="A12047" s="34">
        <v>49211606</v>
      </c>
      <c r="B12047" s="35" t="s">
        <v>11875</v>
      </c>
    </row>
    <row r="12048" spans="1:2" x14ac:dyDescent="0.35">
      <c r="A12048" s="34">
        <v>49211607</v>
      </c>
      <c r="B12048" s="35" t="s">
        <v>87</v>
      </c>
    </row>
    <row r="12049" spans="1:2" x14ac:dyDescent="0.35">
      <c r="A12049" s="34">
        <v>49211608</v>
      </c>
      <c r="B12049" s="35" t="s">
        <v>5820</v>
      </c>
    </row>
    <row r="12050" spans="1:2" x14ac:dyDescent="0.35">
      <c r="A12050" s="34">
        <v>49211609</v>
      </c>
      <c r="B12050" s="35" t="s">
        <v>6417</v>
      </c>
    </row>
    <row r="12051" spans="1:2" x14ac:dyDescent="0.35">
      <c r="A12051" s="34">
        <v>49211701</v>
      </c>
      <c r="B12051" s="35" t="s">
        <v>10937</v>
      </c>
    </row>
    <row r="12052" spans="1:2" x14ac:dyDescent="0.35">
      <c r="A12052" s="34">
        <v>49211702</v>
      </c>
      <c r="B12052" s="35" t="s">
        <v>3105</v>
      </c>
    </row>
    <row r="12053" spans="1:2" x14ac:dyDescent="0.35">
      <c r="A12053" s="34">
        <v>49211703</v>
      </c>
      <c r="B12053" s="35" t="s">
        <v>12540</v>
      </c>
    </row>
    <row r="12054" spans="1:2" x14ac:dyDescent="0.35">
      <c r="A12054" s="34">
        <v>49211801</v>
      </c>
      <c r="B12054" s="35" t="s">
        <v>11901</v>
      </c>
    </row>
    <row r="12055" spans="1:2" x14ac:dyDescent="0.35">
      <c r="A12055" s="34">
        <v>49211802</v>
      </c>
      <c r="B12055" s="35" t="s">
        <v>4849</v>
      </c>
    </row>
    <row r="12056" spans="1:2" x14ac:dyDescent="0.35">
      <c r="A12056" s="34">
        <v>49211803</v>
      </c>
      <c r="B12056" s="35" t="s">
        <v>13861</v>
      </c>
    </row>
    <row r="12057" spans="1:2" x14ac:dyDescent="0.35">
      <c r="A12057" s="34">
        <v>49211804</v>
      </c>
      <c r="B12057" s="35" t="s">
        <v>14005</v>
      </c>
    </row>
    <row r="12058" spans="1:2" x14ac:dyDescent="0.35">
      <c r="A12058" s="34">
        <v>49211805</v>
      </c>
      <c r="B12058" s="35" t="s">
        <v>4042</v>
      </c>
    </row>
    <row r="12059" spans="1:2" x14ac:dyDescent="0.35">
      <c r="A12059" s="34">
        <v>49211806</v>
      </c>
      <c r="B12059" s="35" t="s">
        <v>3181</v>
      </c>
    </row>
    <row r="12060" spans="1:2" x14ac:dyDescent="0.35">
      <c r="A12060" s="34">
        <v>49211807</v>
      </c>
      <c r="B12060" s="35" t="s">
        <v>10792</v>
      </c>
    </row>
    <row r="12061" spans="1:2" x14ac:dyDescent="0.35">
      <c r="A12061" s="34">
        <v>49221501</v>
      </c>
      <c r="B12061" s="35" t="s">
        <v>9792</v>
      </c>
    </row>
    <row r="12062" spans="1:2" x14ac:dyDescent="0.35">
      <c r="A12062" s="34">
        <v>49221502</v>
      </c>
      <c r="B12062" s="35" t="s">
        <v>14827</v>
      </c>
    </row>
    <row r="12063" spans="1:2" x14ac:dyDescent="0.35">
      <c r="A12063" s="34">
        <v>49221503</v>
      </c>
      <c r="B12063" s="35" t="s">
        <v>7500</v>
      </c>
    </row>
    <row r="12064" spans="1:2" x14ac:dyDescent="0.35">
      <c r="A12064" s="34">
        <v>49221504</v>
      </c>
      <c r="B12064" s="35" t="s">
        <v>12853</v>
      </c>
    </row>
    <row r="12065" spans="1:2" x14ac:dyDescent="0.35">
      <c r="A12065" s="34">
        <v>49221505</v>
      </c>
      <c r="B12065" s="35" t="s">
        <v>2995</v>
      </c>
    </row>
    <row r="12066" spans="1:2" x14ac:dyDescent="0.35">
      <c r="A12066" s="34">
        <v>49221506</v>
      </c>
      <c r="B12066" s="35" t="s">
        <v>17624</v>
      </c>
    </row>
    <row r="12067" spans="1:2" x14ac:dyDescent="0.35">
      <c r="A12067" s="34">
        <v>49221507</v>
      </c>
      <c r="B12067" s="35" t="s">
        <v>5150</v>
      </c>
    </row>
    <row r="12068" spans="1:2" x14ac:dyDescent="0.35">
      <c r="A12068" s="34">
        <v>49221508</v>
      </c>
      <c r="B12068" s="35" t="s">
        <v>11332</v>
      </c>
    </row>
    <row r="12069" spans="1:2" x14ac:dyDescent="0.35">
      <c r="A12069" s="34">
        <v>49221509</v>
      </c>
      <c r="B12069" s="35" t="s">
        <v>3706</v>
      </c>
    </row>
    <row r="12070" spans="1:2" x14ac:dyDescent="0.35">
      <c r="A12070" s="34">
        <v>49221510</v>
      </c>
      <c r="B12070" s="35" t="s">
        <v>15322</v>
      </c>
    </row>
    <row r="12071" spans="1:2" x14ac:dyDescent="0.35">
      <c r="A12071" s="34">
        <v>49221511</v>
      </c>
      <c r="B12071" s="35" t="s">
        <v>15032</v>
      </c>
    </row>
    <row r="12072" spans="1:2" x14ac:dyDescent="0.35">
      <c r="A12072" s="34">
        <v>49241501</v>
      </c>
      <c r="B12072" s="35" t="s">
        <v>17137</v>
      </c>
    </row>
    <row r="12073" spans="1:2" x14ac:dyDescent="0.35">
      <c r="A12073" s="34">
        <v>49241502</v>
      </c>
      <c r="B12073" s="35" t="s">
        <v>17912</v>
      </c>
    </row>
    <row r="12074" spans="1:2" x14ac:dyDescent="0.35">
      <c r="A12074" s="34">
        <v>49241503</v>
      </c>
      <c r="B12074" s="35" t="s">
        <v>242</v>
      </c>
    </row>
    <row r="12075" spans="1:2" x14ac:dyDescent="0.35">
      <c r="A12075" s="34">
        <v>49241504</v>
      </c>
      <c r="B12075" s="35" t="s">
        <v>3367</v>
      </c>
    </row>
    <row r="12076" spans="1:2" x14ac:dyDescent="0.35">
      <c r="A12076" s="34">
        <v>49241505</v>
      </c>
      <c r="B12076" s="35" t="s">
        <v>14750</v>
      </c>
    </row>
    <row r="12077" spans="1:2" x14ac:dyDescent="0.35">
      <c r="A12077" s="34">
        <v>49241506</v>
      </c>
      <c r="B12077" s="35" t="s">
        <v>1355</v>
      </c>
    </row>
    <row r="12078" spans="1:2" x14ac:dyDescent="0.35">
      <c r="A12078" s="34">
        <v>49241507</v>
      </c>
      <c r="B12078" s="35" t="s">
        <v>1981</v>
      </c>
    </row>
    <row r="12079" spans="1:2" x14ac:dyDescent="0.35">
      <c r="A12079" s="34">
        <v>49241508</v>
      </c>
      <c r="B12079" s="35" t="s">
        <v>8354</v>
      </c>
    </row>
    <row r="12080" spans="1:2" x14ac:dyDescent="0.35">
      <c r="A12080" s="34">
        <v>49241509</v>
      </c>
      <c r="B12080" s="35" t="s">
        <v>13194</v>
      </c>
    </row>
    <row r="12081" spans="1:2" x14ac:dyDescent="0.35">
      <c r="A12081" s="34">
        <v>49241510</v>
      </c>
      <c r="B12081" s="35" t="s">
        <v>10142</v>
      </c>
    </row>
    <row r="12082" spans="1:2" x14ac:dyDescent="0.35">
      <c r="A12082" s="34">
        <v>49241601</v>
      </c>
      <c r="B12082" s="35" t="s">
        <v>4445</v>
      </c>
    </row>
    <row r="12083" spans="1:2" x14ac:dyDescent="0.35">
      <c r="A12083" s="34">
        <v>49241602</v>
      </c>
      <c r="B12083" s="35" t="s">
        <v>7862</v>
      </c>
    </row>
    <row r="12084" spans="1:2" x14ac:dyDescent="0.35">
      <c r="A12084" s="34">
        <v>49241603</v>
      </c>
      <c r="B12084" s="35" t="s">
        <v>1147</v>
      </c>
    </row>
    <row r="12085" spans="1:2" x14ac:dyDescent="0.35">
      <c r="A12085" s="34">
        <v>49241604</v>
      </c>
      <c r="B12085" s="35" t="s">
        <v>395</v>
      </c>
    </row>
    <row r="12086" spans="1:2" x14ac:dyDescent="0.35">
      <c r="A12086" s="34">
        <v>49241701</v>
      </c>
      <c r="B12086" s="35" t="s">
        <v>3227</v>
      </c>
    </row>
    <row r="12087" spans="1:2" x14ac:dyDescent="0.35">
      <c r="A12087" s="34">
        <v>49241702</v>
      </c>
      <c r="B12087" s="35" t="s">
        <v>15137</v>
      </c>
    </row>
    <row r="12088" spans="1:2" x14ac:dyDescent="0.35">
      <c r="A12088" s="34">
        <v>49241703</v>
      </c>
      <c r="B12088" s="35" t="s">
        <v>18113</v>
      </c>
    </row>
    <row r="12089" spans="1:2" x14ac:dyDescent="0.35">
      <c r="A12089" s="34">
        <v>49241704</v>
      </c>
      <c r="B12089" s="35" t="s">
        <v>6731</v>
      </c>
    </row>
    <row r="12090" spans="1:2" x14ac:dyDescent="0.35">
      <c r="A12090" s="34">
        <v>49241705</v>
      </c>
      <c r="B12090" s="35" t="s">
        <v>6605</v>
      </c>
    </row>
    <row r="12091" spans="1:2" x14ac:dyDescent="0.35">
      <c r="A12091" s="34">
        <v>49241706</v>
      </c>
      <c r="B12091" s="35" t="s">
        <v>10867</v>
      </c>
    </row>
    <row r="12092" spans="1:2" x14ac:dyDescent="0.35">
      <c r="A12092" s="34">
        <v>49241707</v>
      </c>
      <c r="B12092" s="35" t="s">
        <v>17960</v>
      </c>
    </row>
    <row r="12093" spans="1:2" x14ac:dyDescent="0.35">
      <c r="A12093" s="34">
        <v>49241708</v>
      </c>
      <c r="B12093" s="35" t="s">
        <v>14041</v>
      </c>
    </row>
    <row r="12094" spans="1:2" x14ac:dyDescent="0.35">
      <c r="A12094" s="34">
        <v>49241709</v>
      </c>
      <c r="B12094" s="35" t="s">
        <v>3450</v>
      </c>
    </row>
    <row r="12095" spans="1:2" x14ac:dyDescent="0.35">
      <c r="A12095" s="34">
        <v>50101538</v>
      </c>
      <c r="B12095" s="35" t="s">
        <v>1658</v>
      </c>
    </row>
    <row r="12096" spans="1:2" x14ac:dyDescent="0.35">
      <c r="A12096" s="34">
        <v>50101539</v>
      </c>
      <c r="B12096" s="35" t="s">
        <v>10815</v>
      </c>
    </row>
    <row r="12097" spans="1:2" x14ac:dyDescent="0.35">
      <c r="A12097" s="34">
        <v>50101540</v>
      </c>
      <c r="B12097" s="35" t="s">
        <v>4846</v>
      </c>
    </row>
    <row r="12098" spans="1:2" x14ac:dyDescent="0.35">
      <c r="A12098" s="34">
        <v>50101541</v>
      </c>
      <c r="B12098" s="35" t="s">
        <v>3650</v>
      </c>
    </row>
    <row r="12099" spans="1:2" x14ac:dyDescent="0.35">
      <c r="A12099" s="34">
        <v>50101542</v>
      </c>
      <c r="B12099" s="35" t="s">
        <v>43</v>
      </c>
    </row>
    <row r="12100" spans="1:2" x14ac:dyDescent="0.35">
      <c r="A12100" s="34">
        <v>50101543</v>
      </c>
      <c r="B12100" s="35" t="s">
        <v>1700</v>
      </c>
    </row>
    <row r="12101" spans="1:2" x14ac:dyDescent="0.35">
      <c r="A12101" s="34">
        <v>50101544</v>
      </c>
      <c r="B12101" s="35" t="s">
        <v>11152</v>
      </c>
    </row>
    <row r="12102" spans="1:2" x14ac:dyDescent="0.35">
      <c r="A12102" s="34">
        <v>50101545</v>
      </c>
      <c r="B12102" s="35" t="s">
        <v>17399</v>
      </c>
    </row>
    <row r="12103" spans="1:2" x14ac:dyDescent="0.35">
      <c r="A12103" s="34">
        <v>50101634</v>
      </c>
      <c r="B12103" s="35" t="s">
        <v>5603</v>
      </c>
    </row>
    <row r="12104" spans="1:2" x14ac:dyDescent="0.35">
      <c r="A12104" s="34">
        <v>50101635</v>
      </c>
      <c r="B12104" s="35" t="s">
        <v>546</v>
      </c>
    </row>
    <row r="12105" spans="1:2" x14ac:dyDescent="0.35">
      <c r="A12105" s="34">
        <v>50101636</v>
      </c>
      <c r="B12105" s="35" t="s">
        <v>1304</v>
      </c>
    </row>
    <row r="12106" spans="1:2" x14ac:dyDescent="0.35">
      <c r="A12106" s="34">
        <v>50101716</v>
      </c>
      <c r="B12106" s="35" t="s">
        <v>6844</v>
      </c>
    </row>
    <row r="12107" spans="1:2" x14ac:dyDescent="0.35">
      <c r="A12107" s="34">
        <v>50101717</v>
      </c>
      <c r="B12107" s="35" t="s">
        <v>18219</v>
      </c>
    </row>
    <row r="12108" spans="1:2" x14ac:dyDescent="0.35">
      <c r="A12108" s="34">
        <v>50111510</v>
      </c>
      <c r="B12108" s="35" t="s">
        <v>11900</v>
      </c>
    </row>
    <row r="12109" spans="1:2" x14ac:dyDescent="0.35">
      <c r="A12109" s="34">
        <v>50111511</v>
      </c>
      <c r="B12109" s="35" t="s">
        <v>5177</v>
      </c>
    </row>
    <row r="12110" spans="1:2" x14ac:dyDescent="0.35">
      <c r="A12110" s="34">
        <v>50111512</v>
      </c>
      <c r="B12110" s="35" t="s">
        <v>18443</v>
      </c>
    </row>
    <row r="12111" spans="1:2" x14ac:dyDescent="0.35">
      <c r="A12111" s="34">
        <v>50112001</v>
      </c>
      <c r="B12111" s="35" t="s">
        <v>14961</v>
      </c>
    </row>
    <row r="12112" spans="1:2" x14ac:dyDescent="0.35">
      <c r="A12112" s="34">
        <v>50112002</v>
      </c>
      <c r="B12112" s="35" t="s">
        <v>7312</v>
      </c>
    </row>
    <row r="12113" spans="1:2" x14ac:dyDescent="0.35">
      <c r="A12113" s="34">
        <v>50112003</v>
      </c>
      <c r="B12113" s="35" t="s">
        <v>3949</v>
      </c>
    </row>
    <row r="12114" spans="1:2" x14ac:dyDescent="0.35">
      <c r="A12114" s="34">
        <v>50121537</v>
      </c>
      <c r="B12114" s="35" t="s">
        <v>2830</v>
      </c>
    </row>
    <row r="12115" spans="1:2" x14ac:dyDescent="0.35">
      <c r="A12115" s="34">
        <v>50121538</v>
      </c>
      <c r="B12115" s="35" t="s">
        <v>15493</v>
      </c>
    </row>
    <row r="12116" spans="1:2" x14ac:dyDescent="0.35">
      <c r="A12116" s="34">
        <v>50121539</v>
      </c>
      <c r="B12116" s="35" t="s">
        <v>4133</v>
      </c>
    </row>
    <row r="12117" spans="1:2" x14ac:dyDescent="0.35">
      <c r="A12117" s="34">
        <v>50121611</v>
      </c>
      <c r="B12117" s="35" t="s">
        <v>1269</v>
      </c>
    </row>
    <row r="12118" spans="1:2" x14ac:dyDescent="0.35">
      <c r="A12118" s="34">
        <v>50121612</v>
      </c>
      <c r="B12118" s="35" t="s">
        <v>2749</v>
      </c>
    </row>
    <row r="12119" spans="1:2" x14ac:dyDescent="0.35">
      <c r="A12119" s="34">
        <v>50121613</v>
      </c>
      <c r="B12119" s="35" t="s">
        <v>10203</v>
      </c>
    </row>
    <row r="12120" spans="1:2" x14ac:dyDescent="0.35">
      <c r="A12120" s="34">
        <v>50121705</v>
      </c>
      <c r="B12120" s="35" t="s">
        <v>7438</v>
      </c>
    </row>
    <row r="12121" spans="1:2" x14ac:dyDescent="0.35">
      <c r="A12121" s="34">
        <v>50121706</v>
      </c>
      <c r="B12121" s="35" t="s">
        <v>11232</v>
      </c>
    </row>
    <row r="12122" spans="1:2" x14ac:dyDescent="0.35">
      <c r="A12122" s="34">
        <v>50121707</v>
      </c>
      <c r="B12122" s="35" t="s">
        <v>4674</v>
      </c>
    </row>
    <row r="12123" spans="1:2" x14ac:dyDescent="0.35">
      <c r="A12123" s="34">
        <v>50121802</v>
      </c>
      <c r="B12123" s="35" t="s">
        <v>7224</v>
      </c>
    </row>
    <row r="12124" spans="1:2" x14ac:dyDescent="0.35">
      <c r="A12124" s="34">
        <v>50121803</v>
      </c>
      <c r="B12124" s="35" t="s">
        <v>10321</v>
      </c>
    </row>
    <row r="12125" spans="1:2" x14ac:dyDescent="0.35">
      <c r="A12125" s="34">
        <v>50121804</v>
      </c>
      <c r="B12125" s="35" t="s">
        <v>11677</v>
      </c>
    </row>
    <row r="12126" spans="1:2" x14ac:dyDescent="0.35">
      <c r="A12126" s="34">
        <v>50131606</v>
      </c>
      <c r="B12126" s="35" t="s">
        <v>11948</v>
      </c>
    </row>
    <row r="12127" spans="1:2" x14ac:dyDescent="0.35">
      <c r="A12127" s="34">
        <v>50131607</v>
      </c>
      <c r="B12127" s="35" t="s">
        <v>14747</v>
      </c>
    </row>
    <row r="12128" spans="1:2" x14ac:dyDescent="0.35">
      <c r="A12128" s="34">
        <v>50131608</v>
      </c>
      <c r="B12128" s="35" t="s">
        <v>15623</v>
      </c>
    </row>
    <row r="12129" spans="1:2" x14ac:dyDescent="0.35">
      <c r="A12129" s="34">
        <v>50131609</v>
      </c>
      <c r="B12129" s="35" t="s">
        <v>12670</v>
      </c>
    </row>
    <row r="12130" spans="1:2" x14ac:dyDescent="0.35">
      <c r="A12130" s="34">
        <v>50131610</v>
      </c>
      <c r="B12130" s="35" t="s">
        <v>372</v>
      </c>
    </row>
    <row r="12131" spans="1:2" x14ac:dyDescent="0.35">
      <c r="A12131" s="34">
        <v>50131611</v>
      </c>
      <c r="B12131" s="35" t="s">
        <v>17363</v>
      </c>
    </row>
    <row r="12132" spans="1:2" x14ac:dyDescent="0.35">
      <c r="A12132" s="34">
        <v>50131701</v>
      </c>
      <c r="B12132" s="35" t="s">
        <v>241</v>
      </c>
    </row>
    <row r="12133" spans="1:2" x14ac:dyDescent="0.35">
      <c r="A12133" s="34">
        <v>50131702</v>
      </c>
      <c r="B12133" s="35" t="s">
        <v>10311</v>
      </c>
    </row>
    <row r="12134" spans="1:2" x14ac:dyDescent="0.35">
      <c r="A12134" s="34">
        <v>50131703</v>
      </c>
      <c r="B12134" s="35" t="s">
        <v>13243</v>
      </c>
    </row>
    <row r="12135" spans="1:2" x14ac:dyDescent="0.35">
      <c r="A12135" s="34">
        <v>50131801</v>
      </c>
      <c r="B12135" s="35" t="s">
        <v>19215</v>
      </c>
    </row>
    <row r="12136" spans="1:2" x14ac:dyDescent="0.35">
      <c r="A12136" s="34">
        <v>50131802</v>
      </c>
      <c r="B12136" s="35" t="s">
        <v>16148</v>
      </c>
    </row>
    <row r="12137" spans="1:2" x14ac:dyDescent="0.35">
      <c r="A12137" s="34">
        <v>50131803</v>
      </c>
      <c r="B12137" s="35" t="s">
        <v>8699</v>
      </c>
    </row>
    <row r="12138" spans="1:2" x14ac:dyDescent="0.35">
      <c r="A12138" s="34">
        <v>50151513</v>
      </c>
      <c r="B12138" s="35" t="s">
        <v>18659</v>
      </c>
    </row>
    <row r="12139" spans="1:2" x14ac:dyDescent="0.35">
      <c r="A12139" s="34">
        <v>50151514</v>
      </c>
      <c r="B12139" s="35" t="s">
        <v>11879</v>
      </c>
    </row>
    <row r="12140" spans="1:2" x14ac:dyDescent="0.35">
      <c r="A12140" s="34">
        <v>50151604</v>
      </c>
      <c r="B12140" s="35" t="s">
        <v>3369</v>
      </c>
    </row>
    <row r="12141" spans="1:2" x14ac:dyDescent="0.35">
      <c r="A12141" s="34">
        <v>50151605</v>
      </c>
      <c r="B12141" s="35" t="s">
        <v>13957</v>
      </c>
    </row>
    <row r="12142" spans="1:2" x14ac:dyDescent="0.35">
      <c r="A12142" s="34">
        <v>50161509</v>
      </c>
      <c r="B12142" s="35" t="s">
        <v>14383</v>
      </c>
    </row>
    <row r="12143" spans="1:2" x14ac:dyDescent="0.35">
      <c r="A12143" s="34">
        <v>50161510</v>
      </c>
      <c r="B12143" s="35" t="s">
        <v>12963</v>
      </c>
    </row>
    <row r="12144" spans="1:2" x14ac:dyDescent="0.35">
      <c r="A12144" s="34">
        <v>50161511</v>
      </c>
      <c r="B12144" s="35" t="s">
        <v>12072</v>
      </c>
    </row>
    <row r="12145" spans="1:2" x14ac:dyDescent="0.35">
      <c r="A12145" s="34">
        <v>50161512</v>
      </c>
      <c r="B12145" s="35" t="s">
        <v>8815</v>
      </c>
    </row>
    <row r="12146" spans="1:2" x14ac:dyDescent="0.35">
      <c r="A12146" s="34">
        <v>50161813</v>
      </c>
      <c r="B12146" s="35" t="s">
        <v>16482</v>
      </c>
    </row>
    <row r="12147" spans="1:2" x14ac:dyDescent="0.35">
      <c r="A12147" s="34">
        <v>50161814</v>
      </c>
      <c r="B12147" s="35" t="s">
        <v>17608</v>
      </c>
    </row>
    <row r="12148" spans="1:2" x14ac:dyDescent="0.35">
      <c r="A12148" s="34">
        <v>50161815</v>
      </c>
      <c r="B12148" s="35" t="s">
        <v>6935</v>
      </c>
    </row>
    <row r="12149" spans="1:2" x14ac:dyDescent="0.35">
      <c r="A12149" s="34">
        <v>50171548</v>
      </c>
      <c r="B12149" s="35" t="s">
        <v>9618</v>
      </c>
    </row>
    <row r="12150" spans="1:2" x14ac:dyDescent="0.35">
      <c r="A12150" s="34">
        <v>50171549</v>
      </c>
      <c r="B12150" s="35" t="s">
        <v>11183</v>
      </c>
    </row>
    <row r="12151" spans="1:2" x14ac:dyDescent="0.35">
      <c r="A12151" s="34">
        <v>50171550</v>
      </c>
      <c r="B12151" s="35" t="s">
        <v>9929</v>
      </c>
    </row>
    <row r="12152" spans="1:2" x14ac:dyDescent="0.35">
      <c r="A12152" s="34">
        <v>50171551</v>
      </c>
      <c r="B12152" s="35" t="s">
        <v>158</v>
      </c>
    </row>
    <row r="12153" spans="1:2" x14ac:dyDescent="0.35">
      <c r="A12153" s="34">
        <v>50171552</v>
      </c>
      <c r="B12153" s="35" t="s">
        <v>15997</v>
      </c>
    </row>
    <row r="12154" spans="1:2" x14ac:dyDescent="0.35">
      <c r="A12154" s="34">
        <v>50171707</v>
      </c>
      <c r="B12154" s="35" t="s">
        <v>17017</v>
      </c>
    </row>
    <row r="12155" spans="1:2" x14ac:dyDescent="0.35">
      <c r="A12155" s="34">
        <v>50171708</v>
      </c>
      <c r="B12155" s="35" t="s">
        <v>4622</v>
      </c>
    </row>
    <row r="12156" spans="1:2" x14ac:dyDescent="0.35">
      <c r="A12156" s="34">
        <v>50171830</v>
      </c>
      <c r="B12156" s="35" t="s">
        <v>5178</v>
      </c>
    </row>
    <row r="12157" spans="1:2" x14ac:dyDescent="0.35">
      <c r="A12157" s="34">
        <v>50171831</v>
      </c>
      <c r="B12157" s="35" t="s">
        <v>19196</v>
      </c>
    </row>
    <row r="12158" spans="1:2" x14ac:dyDescent="0.35">
      <c r="A12158" s="34">
        <v>50171832</v>
      </c>
      <c r="B12158" s="35" t="s">
        <v>325</v>
      </c>
    </row>
    <row r="12159" spans="1:2" x14ac:dyDescent="0.35">
      <c r="A12159" s="34">
        <v>50171833</v>
      </c>
      <c r="B12159" s="35" t="s">
        <v>16462</v>
      </c>
    </row>
    <row r="12160" spans="1:2" x14ac:dyDescent="0.35">
      <c r="A12160" s="34">
        <v>50171901</v>
      </c>
      <c r="B12160" s="35" t="s">
        <v>4296</v>
      </c>
    </row>
    <row r="12161" spans="1:2" x14ac:dyDescent="0.35">
      <c r="A12161" s="34">
        <v>50171902</v>
      </c>
      <c r="B12161" s="35" t="s">
        <v>2591</v>
      </c>
    </row>
    <row r="12162" spans="1:2" x14ac:dyDescent="0.35">
      <c r="A12162" s="34">
        <v>50171903</v>
      </c>
      <c r="B12162" s="35" t="s">
        <v>14717</v>
      </c>
    </row>
    <row r="12163" spans="1:2" x14ac:dyDescent="0.35">
      <c r="A12163" s="34">
        <v>50171904</v>
      </c>
      <c r="B12163" s="35" t="s">
        <v>17971</v>
      </c>
    </row>
    <row r="12164" spans="1:2" x14ac:dyDescent="0.35">
      <c r="A12164" s="34">
        <v>50181708</v>
      </c>
      <c r="B12164" s="35" t="s">
        <v>9548</v>
      </c>
    </row>
    <row r="12165" spans="1:2" x14ac:dyDescent="0.35">
      <c r="A12165" s="34">
        <v>50181709</v>
      </c>
      <c r="B12165" s="35" t="s">
        <v>9198</v>
      </c>
    </row>
    <row r="12166" spans="1:2" x14ac:dyDescent="0.35">
      <c r="A12166" s="34">
        <v>50181901</v>
      </c>
      <c r="B12166" s="35" t="s">
        <v>12225</v>
      </c>
    </row>
    <row r="12167" spans="1:2" x14ac:dyDescent="0.35">
      <c r="A12167" s="34">
        <v>50181902</v>
      </c>
      <c r="B12167" s="35" t="s">
        <v>12059</v>
      </c>
    </row>
    <row r="12168" spans="1:2" x14ac:dyDescent="0.35">
      <c r="A12168" s="34">
        <v>50181903</v>
      </c>
      <c r="B12168" s="35" t="s">
        <v>828</v>
      </c>
    </row>
    <row r="12169" spans="1:2" x14ac:dyDescent="0.35">
      <c r="A12169" s="34">
        <v>50181904</v>
      </c>
      <c r="B12169" s="35" t="s">
        <v>16630</v>
      </c>
    </row>
    <row r="12170" spans="1:2" x14ac:dyDescent="0.35">
      <c r="A12170" s="34">
        <v>50181905</v>
      </c>
      <c r="B12170" s="35" t="s">
        <v>1027</v>
      </c>
    </row>
    <row r="12171" spans="1:2" x14ac:dyDescent="0.35">
      <c r="A12171" s="34">
        <v>50181906</v>
      </c>
      <c r="B12171" s="35" t="s">
        <v>18722</v>
      </c>
    </row>
    <row r="12172" spans="1:2" x14ac:dyDescent="0.35">
      <c r="A12172" s="34">
        <v>50181907</v>
      </c>
      <c r="B12172" s="35" t="s">
        <v>1688</v>
      </c>
    </row>
    <row r="12173" spans="1:2" x14ac:dyDescent="0.35">
      <c r="A12173" s="34">
        <v>50181908</v>
      </c>
      <c r="B12173" s="35" t="s">
        <v>9889</v>
      </c>
    </row>
    <row r="12174" spans="1:2" x14ac:dyDescent="0.35">
      <c r="A12174" s="34">
        <v>50181909</v>
      </c>
      <c r="B12174" s="35" t="s">
        <v>5703</v>
      </c>
    </row>
    <row r="12175" spans="1:2" x14ac:dyDescent="0.35">
      <c r="A12175" s="34">
        <v>50182001</v>
      </c>
      <c r="B12175" s="35" t="s">
        <v>11101</v>
      </c>
    </row>
    <row r="12176" spans="1:2" x14ac:dyDescent="0.35">
      <c r="A12176" s="34">
        <v>50182002</v>
      </c>
      <c r="B12176" s="35" t="s">
        <v>7708</v>
      </c>
    </row>
    <row r="12177" spans="1:2" x14ac:dyDescent="0.35">
      <c r="A12177" s="34">
        <v>50182003</v>
      </c>
      <c r="B12177" s="35" t="s">
        <v>10248</v>
      </c>
    </row>
    <row r="12178" spans="1:2" x14ac:dyDescent="0.35">
      <c r="A12178" s="34">
        <v>50182004</v>
      </c>
      <c r="B12178" s="35" t="s">
        <v>18354</v>
      </c>
    </row>
    <row r="12179" spans="1:2" x14ac:dyDescent="0.35">
      <c r="A12179" s="34">
        <v>50191505</v>
      </c>
      <c r="B12179" s="35" t="s">
        <v>12398</v>
      </c>
    </row>
    <row r="12180" spans="1:2" x14ac:dyDescent="0.35">
      <c r="A12180" s="34">
        <v>50191506</v>
      </c>
      <c r="B12180" s="35" t="s">
        <v>12339</v>
      </c>
    </row>
    <row r="12181" spans="1:2" x14ac:dyDescent="0.35">
      <c r="A12181" s="34">
        <v>50191507</v>
      </c>
      <c r="B12181" s="35" t="s">
        <v>18015</v>
      </c>
    </row>
    <row r="12182" spans="1:2" x14ac:dyDescent="0.35">
      <c r="A12182" s="34">
        <v>50192109</v>
      </c>
      <c r="B12182" s="35" t="s">
        <v>4201</v>
      </c>
    </row>
    <row r="12183" spans="1:2" x14ac:dyDescent="0.35">
      <c r="A12183" s="34">
        <v>50192110</v>
      </c>
      <c r="B12183" s="35" t="s">
        <v>3940</v>
      </c>
    </row>
    <row r="12184" spans="1:2" x14ac:dyDescent="0.35">
      <c r="A12184" s="34">
        <v>50192111</v>
      </c>
      <c r="B12184" s="35" t="s">
        <v>17509</v>
      </c>
    </row>
    <row r="12185" spans="1:2" x14ac:dyDescent="0.35">
      <c r="A12185" s="34">
        <v>50192112</v>
      </c>
      <c r="B12185" s="35" t="s">
        <v>3570</v>
      </c>
    </row>
    <row r="12186" spans="1:2" x14ac:dyDescent="0.35">
      <c r="A12186" s="34">
        <v>50192301</v>
      </c>
      <c r="B12186" s="35" t="s">
        <v>19595</v>
      </c>
    </row>
    <row r="12187" spans="1:2" x14ac:dyDescent="0.35">
      <c r="A12187" s="34">
        <v>50192302</v>
      </c>
      <c r="B12187" s="35" t="s">
        <v>15578</v>
      </c>
    </row>
    <row r="12188" spans="1:2" x14ac:dyDescent="0.35">
      <c r="A12188" s="34">
        <v>50192303</v>
      </c>
      <c r="B12188" s="35" t="s">
        <v>18101</v>
      </c>
    </row>
    <row r="12189" spans="1:2" x14ac:dyDescent="0.35">
      <c r="A12189" s="34">
        <v>50192304</v>
      </c>
      <c r="B12189" s="35" t="s">
        <v>14243</v>
      </c>
    </row>
    <row r="12190" spans="1:2" x14ac:dyDescent="0.35">
      <c r="A12190" s="34">
        <v>50192401</v>
      </c>
      <c r="B12190" s="35" t="s">
        <v>10635</v>
      </c>
    </row>
    <row r="12191" spans="1:2" x14ac:dyDescent="0.35">
      <c r="A12191" s="34">
        <v>50192402</v>
      </c>
      <c r="B12191" s="35" t="s">
        <v>14402</v>
      </c>
    </row>
    <row r="12192" spans="1:2" x14ac:dyDescent="0.35">
      <c r="A12192" s="34">
        <v>50192403</v>
      </c>
      <c r="B12192" s="35" t="s">
        <v>2467</v>
      </c>
    </row>
    <row r="12193" spans="1:2" x14ac:dyDescent="0.35">
      <c r="A12193" s="34">
        <v>50192404</v>
      </c>
      <c r="B12193" s="35" t="s">
        <v>10163</v>
      </c>
    </row>
    <row r="12194" spans="1:2" x14ac:dyDescent="0.35">
      <c r="A12194" s="34">
        <v>50192501</v>
      </c>
      <c r="B12194" s="35" t="s">
        <v>11558</v>
      </c>
    </row>
    <row r="12195" spans="1:2" x14ac:dyDescent="0.35">
      <c r="A12195" s="34">
        <v>50192502</v>
      </c>
      <c r="B12195" s="35" t="s">
        <v>2441</v>
      </c>
    </row>
    <row r="12196" spans="1:2" x14ac:dyDescent="0.35">
      <c r="A12196" s="34">
        <v>50192503</v>
      </c>
      <c r="B12196" s="35" t="s">
        <v>4685</v>
      </c>
    </row>
    <row r="12197" spans="1:2" x14ac:dyDescent="0.35">
      <c r="A12197" s="34">
        <v>50192504</v>
      </c>
      <c r="B12197" s="35" t="s">
        <v>13611</v>
      </c>
    </row>
    <row r="12198" spans="1:2" x14ac:dyDescent="0.35">
      <c r="A12198" s="34">
        <v>50192601</v>
      </c>
      <c r="B12198" s="35" t="s">
        <v>18097</v>
      </c>
    </row>
    <row r="12199" spans="1:2" x14ac:dyDescent="0.35">
      <c r="A12199" s="34">
        <v>50192602</v>
      </c>
      <c r="B12199" s="35" t="s">
        <v>11354</v>
      </c>
    </row>
    <row r="12200" spans="1:2" x14ac:dyDescent="0.35">
      <c r="A12200" s="34">
        <v>50192603</v>
      </c>
      <c r="B12200" s="35" t="s">
        <v>364</v>
      </c>
    </row>
    <row r="12201" spans="1:2" x14ac:dyDescent="0.35">
      <c r="A12201" s="34">
        <v>50192701</v>
      </c>
      <c r="B12201" s="35" t="s">
        <v>2633</v>
      </c>
    </row>
    <row r="12202" spans="1:2" x14ac:dyDescent="0.35">
      <c r="A12202" s="34">
        <v>50192702</v>
      </c>
      <c r="B12202" s="35" t="s">
        <v>15103</v>
      </c>
    </row>
    <row r="12203" spans="1:2" x14ac:dyDescent="0.35">
      <c r="A12203" s="34">
        <v>50192703</v>
      </c>
      <c r="B12203" s="35" t="s">
        <v>10891</v>
      </c>
    </row>
    <row r="12204" spans="1:2" x14ac:dyDescent="0.35">
      <c r="A12204" s="34">
        <v>50192801</v>
      </c>
      <c r="B12204" s="35" t="s">
        <v>14572</v>
      </c>
    </row>
    <row r="12205" spans="1:2" x14ac:dyDescent="0.35">
      <c r="A12205" s="34">
        <v>50192802</v>
      </c>
      <c r="B12205" s="35" t="s">
        <v>15006</v>
      </c>
    </row>
    <row r="12206" spans="1:2" x14ac:dyDescent="0.35">
      <c r="A12206" s="34">
        <v>50192803</v>
      </c>
      <c r="B12206" s="35" t="s">
        <v>19464</v>
      </c>
    </row>
    <row r="12207" spans="1:2" x14ac:dyDescent="0.35">
      <c r="A12207" s="34">
        <v>50192901</v>
      </c>
      <c r="B12207" s="35" t="s">
        <v>10940</v>
      </c>
    </row>
    <row r="12208" spans="1:2" x14ac:dyDescent="0.35">
      <c r="A12208" s="34">
        <v>50192902</v>
      </c>
      <c r="B12208" s="35" t="s">
        <v>8792</v>
      </c>
    </row>
    <row r="12209" spans="1:2" x14ac:dyDescent="0.35">
      <c r="A12209" s="34">
        <v>50193001</v>
      </c>
      <c r="B12209" s="35" t="s">
        <v>4707</v>
      </c>
    </row>
    <row r="12210" spans="1:2" x14ac:dyDescent="0.35">
      <c r="A12210" s="34">
        <v>50193002</v>
      </c>
      <c r="B12210" s="35" t="s">
        <v>12312</v>
      </c>
    </row>
    <row r="12211" spans="1:2" x14ac:dyDescent="0.35">
      <c r="A12211" s="34">
        <v>50193101</v>
      </c>
      <c r="B12211" s="35" t="s">
        <v>1593</v>
      </c>
    </row>
    <row r="12212" spans="1:2" x14ac:dyDescent="0.35">
      <c r="A12212" s="34">
        <v>50193102</v>
      </c>
      <c r="B12212" s="35" t="s">
        <v>16005</v>
      </c>
    </row>
    <row r="12213" spans="1:2" x14ac:dyDescent="0.35">
      <c r="A12213" s="34">
        <v>50193103</v>
      </c>
      <c r="B12213" s="35" t="s">
        <v>3631</v>
      </c>
    </row>
    <row r="12214" spans="1:2" x14ac:dyDescent="0.35">
      <c r="A12214" s="34">
        <v>50193104</v>
      </c>
      <c r="B12214" s="35" t="s">
        <v>2779</v>
      </c>
    </row>
    <row r="12215" spans="1:2" x14ac:dyDescent="0.35">
      <c r="A12215" s="34">
        <v>50193105</v>
      </c>
      <c r="B12215" s="35" t="s">
        <v>11799</v>
      </c>
    </row>
    <row r="12216" spans="1:2" x14ac:dyDescent="0.35">
      <c r="A12216" s="34">
        <v>50193201</v>
      </c>
      <c r="B12216" s="35" t="s">
        <v>4227</v>
      </c>
    </row>
    <row r="12217" spans="1:2" x14ac:dyDescent="0.35">
      <c r="A12217" s="34">
        <v>50193202</v>
      </c>
      <c r="B12217" s="35" t="s">
        <v>16307</v>
      </c>
    </row>
    <row r="12218" spans="1:2" x14ac:dyDescent="0.35">
      <c r="A12218" s="34">
        <v>50193203</v>
      </c>
      <c r="B12218" s="35" t="s">
        <v>10907</v>
      </c>
    </row>
    <row r="12219" spans="1:2" x14ac:dyDescent="0.35">
      <c r="A12219" s="34">
        <v>50201706</v>
      </c>
      <c r="B12219" s="35" t="s">
        <v>1669</v>
      </c>
    </row>
    <row r="12220" spans="1:2" x14ac:dyDescent="0.35">
      <c r="A12220" s="34">
        <v>50201707</v>
      </c>
      <c r="B12220" s="35" t="s">
        <v>4051</v>
      </c>
    </row>
    <row r="12221" spans="1:2" x14ac:dyDescent="0.35">
      <c r="A12221" s="34">
        <v>50201708</v>
      </c>
      <c r="B12221" s="35" t="s">
        <v>10861</v>
      </c>
    </row>
    <row r="12222" spans="1:2" x14ac:dyDescent="0.35">
      <c r="A12222" s="34">
        <v>50201709</v>
      </c>
      <c r="B12222" s="35" t="s">
        <v>7229</v>
      </c>
    </row>
    <row r="12223" spans="1:2" x14ac:dyDescent="0.35">
      <c r="A12223" s="34">
        <v>50201710</v>
      </c>
      <c r="B12223" s="35" t="s">
        <v>13056</v>
      </c>
    </row>
    <row r="12224" spans="1:2" x14ac:dyDescent="0.35">
      <c r="A12224" s="34">
        <v>50201711</v>
      </c>
      <c r="B12224" s="35" t="s">
        <v>5996</v>
      </c>
    </row>
    <row r="12225" spans="1:2" x14ac:dyDescent="0.35">
      <c r="A12225" s="34">
        <v>50201712</v>
      </c>
      <c r="B12225" s="35" t="s">
        <v>1468</v>
      </c>
    </row>
    <row r="12226" spans="1:2" x14ac:dyDescent="0.35">
      <c r="A12226" s="34">
        <v>50201713</v>
      </c>
      <c r="B12226" s="35" t="s">
        <v>7999</v>
      </c>
    </row>
    <row r="12227" spans="1:2" x14ac:dyDescent="0.35">
      <c r="A12227" s="34">
        <v>50201714</v>
      </c>
      <c r="B12227" s="35" t="s">
        <v>4572</v>
      </c>
    </row>
    <row r="12228" spans="1:2" x14ac:dyDescent="0.35">
      <c r="A12228" s="34">
        <v>50202201</v>
      </c>
      <c r="B12228" s="35" t="s">
        <v>951</v>
      </c>
    </row>
    <row r="12229" spans="1:2" x14ac:dyDescent="0.35">
      <c r="A12229" s="34">
        <v>50202202</v>
      </c>
      <c r="B12229" s="35" t="s">
        <v>9712</v>
      </c>
    </row>
    <row r="12230" spans="1:2" x14ac:dyDescent="0.35">
      <c r="A12230" s="34">
        <v>50202203</v>
      </c>
      <c r="B12230" s="35" t="s">
        <v>7703</v>
      </c>
    </row>
    <row r="12231" spans="1:2" x14ac:dyDescent="0.35">
      <c r="A12231" s="34">
        <v>50202204</v>
      </c>
      <c r="B12231" s="35" t="s">
        <v>8099</v>
      </c>
    </row>
    <row r="12232" spans="1:2" x14ac:dyDescent="0.35">
      <c r="A12232" s="34">
        <v>50202205</v>
      </c>
      <c r="B12232" s="35" t="s">
        <v>12049</v>
      </c>
    </row>
    <row r="12233" spans="1:2" x14ac:dyDescent="0.35">
      <c r="A12233" s="34">
        <v>50202206</v>
      </c>
      <c r="B12233" s="35" t="s">
        <v>3410</v>
      </c>
    </row>
    <row r="12234" spans="1:2" x14ac:dyDescent="0.35">
      <c r="A12234" s="34">
        <v>50202207</v>
      </c>
      <c r="B12234" s="35" t="s">
        <v>8192</v>
      </c>
    </row>
    <row r="12235" spans="1:2" x14ac:dyDescent="0.35">
      <c r="A12235" s="34">
        <v>50202301</v>
      </c>
      <c r="B12235" s="35" t="s">
        <v>1928</v>
      </c>
    </row>
    <row r="12236" spans="1:2" x14ac:dyDescent="0.35">
      <c r="A12236" s="34">
        <v>50202302</v>
      </c>
      <c r="B12236" s="35" t="s">
        <v>15126</v>
      </c>
    </row>
    <row r="12237" spans="1:2" x14ac:dyDescent="0.35">
      <c r="A12237" s="34">
        <v>50202303</v>
      </c>
      <c r="B12237" s="35" t="s">
        <v>1841</v>
      </c>
    </row>
    <row r="12238" spans="1:2" x14ac:dyDescent="0.35">
      <c r="A12238" s="34">
        <v>50202304</v>
      </c>
      <c r="B12238" s="35" t="s">
        <v>15053</v>
      </c>
    </row>
    <row r="12239" spans="1:2" x14ac:dyDescent="0.35">
      <c r="A12239" s="34">
        <v>50202305</v>
      </c>
      <c r="B12239" s="35" t="s">
        <v>6559</v>
      </c>
    </row>
    <row r="12240" spans="1:2" x14ac:dyDescent="0.35">
      <c r="A12240" s="34">
        <v>50202306</v>
      </c>
      <c r="B12240" s="35" t="s">
        <v>2850</v>
      </c>
    </row>
    <row r="12241" spans="1:2" x14ac:dyDescent="0.35">
      <c r="A12241" s="34">
        <v>50202307</v>
      </c>
      <c r="B12241" s="35" t="s">
        <v>9742</v>
      </c>
    </row>
    <row r="12242" spans="1:2" x14ac:dyDescent="0.35">
      <c r="A12242" s="34">
        <v>50202308</v>
      </c>
      <c r="B12242" s="35" t="s">
        <v>18632</v>
      </c>
    </row>
    <row r="12243" spans="1:2" x14ac:dyDescent="0.35">
      <c r="A12243" s="34">
        <v>50202309</v>
      </c>
      <c r="B12243" s="35" t="s">
        <v>12367</v>
      </c>
    </row>
    <row r="12244" spans="1:2" x14ac:dyDescent="0.35">
      <c r="A12244" s="34">
        <v>50202310</v>
      </c>
      <c r="B12244" s="35" t="s">
        <v>1794</v>
      </c>
    </row>
    <row r="12245" spans="1:2" x14ac:dyDescent="0.35">
      <c r="A12245" s="34">
        <v>50202311</v>
      </c>
      <c r="B12245" s="35" t="s">
        <v>1650</v>
      </c>
    </row>
    <row r="12246" spans="1:2" x14ac:dyDescent="0.35">
      <c r="A12246" s="34">
        <v>50211502</v>
      </c>
      <c r="B12246" s="35" t="s">
        <v>15185</v>
      </c>
    </row>
    <row r="12247" spans="1:2" x14ac:dyDescent="0.35">
      <c r="A12247" s="34">
        <v>50211503</v>
      </c>
      <c r="B12247" s="35" t="s">
        <v>16831</v>
      </c>
    </row>
    <row r="12248" spans="1:2" x14ac:dyDescent="0.35">
      <c r="A12248" s="34">
        <v>50211504</v>
      </c>
      <c r="B12248" s="35" t="s">
        <v>3492</v>
      </c>
    </row>
    <row r="12249" spans="1:2" x14ac:dyDescent="0.35">
      <c r="A12249" s="34">
        <v>50211505</v>
      </c>
      <c r="B12249" s="35" t="s">
        <v>18109</v>
      </c>
    </row>
    <row r="12250" spans="1:2" x14ac:dyDescent="0.35">
      <c r="A12250" s="34">
        <v>50211506</v>
      </c>
      <c r="B12250" s="35" t="s">
        <v>1384</v>
      </c>
    </row>
    <row r="12251" spans="1:2" x14ac:dyDescent="0.35">
      <c r="A12251" s="34">
        <v>50211607</v>
      </c>
      <c r="B12251" s="35" t="s">
        <v>2600</v>
      </c>
    </row>
    <row r="12252" spans="1:2" x14ac:dyDescent="0.35">
      <c r="A12252" s="34">
        <v>50211608</v>
      </c>
      <c r="B12252" s="35" t="s">
        <v>17104</v>
      </c>
    </row>
    <row r="12253" spans="1:2" x14ac:dyDescent="0.35">
      <c r="A12253" s="34">
        <v>50211609</v>
      </c>
      <c r="B12253" s="35" t="s">
        <v>4368</v>
      </c>
    </row>
    <row r="12254" spans="1:2" x14ac:dyDescent="0.35">
      <c r="A12254" s="34">
        <v>50211610</v>
      </c>
      <c r="B12254" s="35" t="s">
        <v>3697</v>
      </c>
    </row>
    <row r="12255" spans="1:2" x14ac:dyDescent="0.35">
      <c r="A12255" s="34">
        <v>50211611</v>
      </c>
      <c r="B12255" s="35" t="s">
        <v>13978</v>
      </c>
    </row>
    <row r="12256" spans="1:2" x14ac:dyDescent="0.35">
      <c r="A12256" s="34">
        <v>50211612</v>
      </c>
      <c r="B12256" s="35" t="s">
        <v>6887</v>
      </c>
    </row>
    <row r="12257" spans="1:2" x14ac:dyDescent="0.35">
      <c r="A12257" s="34">
        <v>50221001</v>
      </c>
      <c r="B12257" s="35" t="s">
        <v>4609</v>
      </c>
    </row>
    <row r="12258" spans="1:2" x14ac:dyDescent="0.35">
      <c r="A12258" s="34">
        <v>50221002</v>
      </c>
      <c r="B12258" s="35" t="s">
        <v>14019</v>
      </c>
    </row>
    <row r="12259" spans="1:2" x14ac:dyDescent="0.35">
      <c r="A12259" s="34">
        <v>50221101</v>
      </c>
      <c r="B12259" s="35" t="s">
        <v>7071</v>
      </c>
    </row>
    <row r="12260" spans="1:2" x14ac:dyDescent="0.35">
      <c r="A12260" s="34">
        <v>50221102</v>
      </c>
      <c r="B12260" s="35" t="s">
        <v>18352</v>
      </c>
    </row>
    <row r="12261" spans="1:2" x14ac:dyDescent="0.35">
      <c r="A12261" s="34">
        <v>50221201</v>
      </c>
      <c r="B12261" s="35" t="s">
        <v>737</v>
      </c>
    </row>
    <row r="12262" spans="1:2" x14ac:dyDescent="0.35">
      <c r="A12262" s="34">
        <v>50221202</v>
      </c>
      <c r="B12262" s="35" t="s">
        <v>8500</v>
      </c>
    </row>
    <row r="12263" spans="1:2" x14ac:dyDescent="0.35">
      <c r="A12263" s="34">
        <v>51101503</v>
      </c>
      <c r="B12263" s="35" t="s">
        <v>1598</v>
      </c>
    </row>
    <row r="12264" spans="1:2" x14ac:dyDescent="0.35">
      <c r="A12264" s="34">
        <v>51101504</v>
      </c>
      <c r="B12264" s="35" t="s">
        <v>16466</v>
      </c>
    </row>
    <row r="12265" spans="1:2" x14ac:dyDescent="0.35">
      <c r="A12265" s="34">
        <v>51101507</v>
      </c>
      <c r="B12265" s="35" t="s">
        <v>576</v>
      </c>
    </row>
    <row r="12266" spans="1:2" x14ac:dyDescent="0.35">
      <c r="A12266" s="34">
        <v>51101508</v>
      </c>
      <c r="B12266" s="35" t="s">
        <v>10537</v>
      </c>
    </row>
    <row r="12267" spans="1:2" x14ac:dyDescent="0.35">
      <c r="A12267" s="34">
        <v>51101509</v>
      </c>
      <c r="B12267" s="35" t="s">
        <v>10210</v>
      </c>
    </row>
    <row r="12268" spans="1:2" x14ac:dyDescent="0.35">
      <c r="A12268" s="34">
        <v>51101510</v>
      </c>
      <c r="B12268" s="35" t="s">
        <v>3023</v>
      </c>
    </row>
    <row r="12269" spans="1:2" x14ac:dyDescent="0.35">
      <c r="A12269" s="34">
        <v>51101511</v>
      </c>
      <c r="B12269" s="35" t="s">
        <v>15169</v>
      </c>
    </row>
    <row r="12270" spans="1:2" x14ac:dyDescent="0.35">
      <c r="A12270" s="34">
        <v>51101512</v>
      </c>
      <c r="B12270" s="35" t="s">
        <v>6837</v>
      </c>
    </row>
    <row r="12271" spans="1:2" x14ac:dyDescent="0.35">
      <c r="A12271" s="34">
        <v>51101513</v>
      </c>
      <c r="B12271" s="35" t="s">
        <v>16066</v>
      </c>
    </row>
    <row r="12272" spans="1:2" x14ac:dyDescent="0.35">
      <c r="A12272" s="34">
        <v>51101514</v>
      </c>
      <c r="B12272" s="35" t="s">
        <v>9524</v>
      </c>
    </row>
    <row r="12273" spans="1:2" x14ac:dyDescent="0.35">
      <c r="A12273" s="34">
        <v>51101515</v>
      </c>
      <c r="B12273" s="35" t="s">
        <v>18084</v>
      </c>
    </row>
    <row r="12274" spans="1:2" x14ac:dyDescent="0.35">
      <c r="A12274" s="34">
        <v>51101516</v>
      </c>
      <c r="B12274" s="35" t="s">
        <v>13176</v>
      </c>
    </row>
    <row r="12275" spans="1:2" x14ac:dyDescent="0.35">
      <c r="A12275" s="34">
        <v>51101518</v>
      </c>
      <c r="B12275" s="35" t="s">
        <v>8254</v>
      </c>
    </row>
    <row r="12276" spans="1:2" x14ac:dyDescent="0.35">
      <c r="A12276" s="34">
        <v>51101519</v>
      </c>
      <c r="B12276" s="35" t="s">
        <v>18701</v>
      </c>
    </row>
    <row r="12277" spans="1:2" x14ac:dyDescent="0.35">
      <c r="A12277" s="34">
        <v>51101521</v>
      </c>
      <c r="B12277" s="35" t="s">
        <v>4762</v>
      </c>
    </row>
    <row r="12278" spans="1:2" x14ac:dyDescent="0.35">
      <c r="A12278" s="34">
        <v>51101522</v>
      </c>
      <c r="B12278" s="35" t="s">
        <v>7041</v>
      </c>
    </row>
    <row r="12279" spans="1:2" x14ac:dyDescent="0.35">
      <c r="A12279" s="34">
        <v>51101523</v>
      </c>
      <c r="B12279" s="35" t="s">
        <v>3718</v>
      </c>
    </row>
    <row r="12280" spans="1:2" x14ac:dyDescent="0.35">
      <c r="A12280" s="34">
        <v>51101524</v>
      </c>
      <c r="B12280" s="35" t="s">
        <v>10780</v>
      </c>
    </row>
    <row r="12281" spans="1:2" x14ac:dyDescent="0.35">
      <c r="A12281" s="34">
        <v>51101525</v>
      </c>
      <c r="B12281" s="35" t="s">
        <v>12972</v>
      </c>
    </row>
    <row r="12282" spans="1:2" x14ac:dyDescent="0.35">
      <c r="A12282" s="34">
        <v>51101526</v>
      </c>
      <c r="B12282" s="35" t="s">
        <v>15352</v>
      </c>
    </row>
    <row r="12283" spans="1:2" x14ac:dyDescent="0.35">
      <c r="A12283" s="34">
        <v>51101527</v>
      </c>
      <c r="B12283" s="35" t="s">
        <v>805</v>
      </c>
    </row>
    <row r="12284" spans="1:2" x14ac:dyDescent="0.35">
      <c r="A12284" s="34">
        <v>51101528</v>
      </c>
      <c r="B12284" s="35" t="s">
        <v>4267</v>
      </c>
    </row>
    <row r="12285" spans="1:2" x14ac:dyDescent="0.35">
      <c r="A12285" s="34">
        <v>51101530</v>
      </c>
      <c r="B12285" s="35" t="s">
        <v>13096</v>
      </c>
    </row>
    <row r="12286" spans="1:2" x14ac:dyDescent="0.35">
      <c r="A12286" s="34">
        <v>51101531</v>
      </c>
      <c r="B12286" s="35" t="s">
        <v>4022</v>
      </c>
    </row>
    <row r="12287" spans="1:2" x14ac:dyDescent="0.35">
      <c r="A12287" s="34">
        <v>51101532</v>
      </c>
      <c r="B12287" s="35" t="s">
        <v>18963</v>
      </c>
    </row>
    <row r="12288" spans="1:2" x14ac:dyDescent="0.35">
      <c r="A12288" s="34">
        <v>51101533</v>
      </c>
      <c r="B12288" s="35" t="s">
        <v>12949</v>
      </c>
    </row>
    <row r="12289" spans="1:2" x14ac:dyDescent="0.35">
      <c r="A12289" s="34">
        <v>51101534</v>
      </c>
      <c r="B12289" s="35" t="s">
        <v>18066</v>
      </c>
    </row>
    <row r="12290" spans="1:2" x14ac:dyDescent="0.35">
      <c r="A12290" s="34">
        <v>51101535</v>
      </c>
      <c r="B12290" s="35" t="s">
        <v>7287</v>
      </c>
    </row>
    <row r="12291" spans="1:2" x14ac:dyDescent="0.35">
      <c r="A12291" s="34">
        <v>51101536</v>
      </c>
      <c r="B12291" s="35" t="s">
        <v>17899</v>
      </c>
    </row>
    <row r="12292" spans="1:2" x14ac:dyDescent="0.35">
      <c r="A12292" s="34">
        <v>51101537</v>
      </c>
      <c r="B12292" s="35" t="s">
        <v>8891</v>
      </c>
    </row>
    <row r="12293" spans="1:2" x14ac:dyDescent="0.35">
      <c r="A12293" s="34">
        <v>51101538</v>
      </c>
      <c r="B12293" s="35" t="s">
        <v>10762</v>
      </c>
    </row>
    <row r="12294" spans="1:2" x14ac:dyDescent="0.35">
      <c r="A12294" s="34">
        <v>51101539</v>
      </c>
      <c r="B12294" s="35" t="s">
        <v>18604</v>
      </c>
    </row>
    <row r="12295" spans="1:2" x14ac:dyDescent="0.35">
      <c r="A12295" s="34">
        <v>51101540</v>
      </c>
      <c r="B12295" s="35" t="s">
        <v>10281</v>
      </c>
    </row>
    <row r="12296" spans="1:2" x14ac:dyDescent="0.35">
      <c r="A12296" s="34">
        <v>51101541</v>
      </c>
      <c r="B12296" s="35" t="s">
        <v>9101</v>
      </c>
    </row>
    <row r="12297" spans="1:2" x14ac:dyDescent="0.35">
      <c r="A12297" s="34">
        <v>51101542</v>
      </c>
      <c r="B12297" s="35" t="s">
        <v>4298</v>
      </c>
    </row>
    <row r="12298" spans="1:2" x14ac:dyDescent="0.35">
      <c r="A12298" s="34">
        <v>51101543</v>
      </c>
      <c r="B12298" s="35" t="s">
        <v>16693</v>
      </c>
    </row>
    <row r="12299" spans="1:2" x14ac:dyDescent="0.35">
      <c r="A12299" s="34">
        <v>51101544</v>
      </c>
      <c r="B12299" s="35" t="s">
        <v>13904</v>
      </c>
    </row>
    <row r="12300" spans="1:2" x14ac:dyDescent="0.35">
      <c r="A12300" s="34">
        <v>51101545</v>
      </c>
      <c r="B12300" s="35" t="s">
        <v>10574</v>
      </c>
    </row>
    <row r="12301" spans="1:2" x14ac:dyDescent="0.35">
      <c r="A12301" s="34">
        <v>51101546</v>
      </c>
      <c r="B12301" s="35" t="s">
        <v>2250</v>
      </c>
    </row>
    <row r="12302" spans="1:2" x14ac:dyDescent="0.35">
      <c r="A12302" s="34">
        <v>51101547</v>
      </c>
      <c r="B12302" s="35" t="s">
        <v>10082</v>
      </c>
    </row>
    <row r="12303" spans="1:2" x14ac:dyDescent="0.35">
      <c r="A12303" s="34">
        <v>51101548</v>
      </c>
      <c r="B12303" s="35" t="s">
        <v>12767</v>
      </c>
    </row>
    <row r="12304" spans="1:2" x14ac:dyDescent="0.35">
      <c r="A12304" s="34">
        <v>51101549</v>
      </c>
      <c r="B12304" s="35" t="s">
        <v>10754</v>
      </c>
    </row>
    <row r="12305" spans="1:2" x14ac:dyDescent="0.35">
      <c r="A12305" s="34">
        <v>51101550</v>
      </c>
      <c r="B12305" s="35" t="s">
        <v>8875</v>
      </c>
    </row>
    <row r="12306" spans="1:2" x14ac:dyDescent="0.35">
      <c r="A12306" s="34">
        <v>51101551</v>
      </c>
      <c r="B12306" s="35" t="s">
        <v>11932</v>
      </c>
    </row>
    <row r="12307" spans="1:2" x14ac:dyDescent="0.35">
      <c r="A12307" s="34">
        <v>51101552</v>
      </c>
      <c r="B12307" s="35" t="s">
        <v>337</v>
      </c>
    </row>
    <row r="12308" spans="1:2" x14ac:dyDescent="0.35">
      <c r="A12308" s="34">
        <v>51101553</v>
      </c>
      <c r="B12308" s="35" t="s">
        <v>11565</v>
      </c>
    </row>
    <row r="12309" spans="1:2" x14ac:dyDescent="0.35">
      <c r="A12309" s="34">
        <v>51101554</v>
      </c>
      <c r="B12309" s="35" t="s">
        <v>11630</v>
      </c>
    </row>
    <row r="12310" spans="1:2" x14ac:dyDescent="0.35">
      <c r="A12310" s="34">
        <v>51101555</v>
      </c>
      <c r="B12310" s="35" t="s">
        <v>16348</v>
      </c>
    </row>
    <row r="12311" spans="1:2" x14ac:dyDescent="0.35">
      <c r="A12311" s="34">
        <v>51101556</v>
      </c>
      <c r="B12311" s="35" t="s">
        <v>1660</v>
      </c>
    </row>
    <row r="12312" spans="1:2" x14ac:dyDescent="0.35">
      <c r="A12312" s="34">
        <v>51101557</v>
      </c>
      <c r="B12312" s="35" t="s">
        <v>18465</v>
      </c>
    </row>
    <row r="12313" spans="1:2" x14ac:dyDescent="0.35">
      <c r="A12313" s="34">
        <v>51101558</v>
      </c>
      <c r="B12313" s="35" t="s">
        <v>393</v>
      </c>
    </row>
    <row r="12314" spans="1:2" x14ac:dyDescent="0.35">
      <c r="A12314" s="34">
        <v>51101559</v>
      </c>
      <c r="B12314" s="35" t="s">
        <v>1883</v>
      </c>
    </row>
    <row r="12315" spans="1:2" x14ac:dyDescent="0.35">
      <c r="A12315" s="34">
        <v>51101560</v>
      </c>
      <c r="B12315" s="35" t="s">
        <v>1170</v>
      </c>
    </row>
    <row r="12316" spans="1:2" x14ac:dyDescent="0.35">
      <c r="A12316" s="34">
        <v>51101561</v>
      </c>
      <c r="B12316" s="35" t="s">
        <v>3381</v>
      </c>
    </row>
    <row r="12317" spans="1:2" x14ac:dyDescent="0.35">
      <c r="A12317" s="34">
        <v>51101562</v>
      </c>
      <c r="B12317" s="35" t="s">
        <v>3627</v>
      </c>
    </row>
    <row r="12318" spans="1:2" x14ac:dyDescent="0.35">
      <c r="A12318" s="34">
        <v>51101563</v>
      </c>
      <c r="B12318" s="35" t="s">
        <v>16241</v>
      </c>
    </row>
    <row r="12319" spans="1:2" x14ac:dyDescent="0.35">
      <c r="A12319" s="34">
        <v>51101564</v>
      </c>
      <c r="B12319" s="35" t="s">
        <v>14854</v>
      </c>
    </row>
    <row r="12320" spans="1:2" x14ac:dyDescent="0.35">
      <c r="A12320" s="34">
        <v>51101565</v>
      </c>
      <c r="B12320" s="35" t="s">
        <v>17708</v>
      </c>
    </row>
    <row r="12321" spans="1:2" x14ac:dyDescent="0.35">
      <c r="A12321" s="34">
        <v>51101566</v>
      </c>
      <c r="B12321" s="35" t="s">
        <v>17698</v>
      </c>
    </row>
    <row r="12322" spans="1:2" x14ac:dyDescent="0.35">
      <c r="A12322" s="34">
        <v>51101567</v>
      </c>
      <c r="B12322" s="35" t="s">
        <v>18661</v>
      </c>
    </row>
    <row r="12323" spans="1:2" x14ac:dyDescent="0.35">
      <c r="A12323" s="34">
        <v>51101568</v>
      </c>
      <c r="B12323" s="35" t="s">
        <v>4960</v>
      </c>
    </row>
    <row r="12324" spans="1:2" x14ac:dyDescent="0.35">
      <c r="A12324" s="34">
        <v>51101569</v>
      </c>
      <c r="B12324" s="35" t="s">
        <v>12187</v>
      </c>
    </row>
    <row r="12325" spans="1:2" x14ac:dyDescent="0.35">
      <c r="A12325" s="34">
        <v>51101570</v>
      </c>
      <c r="B12325" s="35" t="s">
        <v>19387</v>
      </c>
    </row>
    <row r="12326" spans="1:2" x14ac:dyDescent="0.35">
      <c r="A12326" s="34">
        <v>51101571</v>
      </c>
      <c r="B12326" s="35" t="s">
        <v>12341</v>
      </c>
    </row>
    <row r="12327" spans="1:2" x14ac:dyDescent="0.35">
      <c r="A12327" s="34">
        <v>51101572</v>
      </c>
      <c r="B12327" s="35" t="s">
        <v>10046</v>
      </c>
    </row>
    <row r="12328" spans="1:2" x14ac:dyDescent="0.35">
      <c r="A12328" s="34">
        <v>51101573</v>
      </c>
      <c r="B12328" s="35" t="s">
        <v>13722</v>
      </c>
    </row>
    <row r="12329" spans="1:2" x14ac:dyDescent="0.35">
      <c r="A12329" s="34">
        <v>51101574</v>
      </c>
      <c r="B12329" s="35" t="s">
        <v>16033</v>
      </c>
    </row>
    <row r="12330" spans="1:2" x14ac:dyDescent="0.35">
      <c r="A12330" s="34">
        <v>51101575</v>
      </c>
      <c r="B12330" s="35" t="s">
        <v>11049</v>
      </c>
    </row>
    <row r="12331" spans="1:2" x14ac:dyDescent="0.35">
      <c r="A12331" s="34">
        <v>51101576</v>
      </c>
      <c r="B12331" s="35" t="s">
        <v>428</v>
      </c>
    </row>
    <row r="12332" spans="1:2" x14ac:dyDescent="0.35">
      <c r="A12332" s="34">
        <v>51101577</v>
      </c>
      <c r="B12332" s="35" t="s">
        <v>16861</v>
      </c>
    </row>
    <row r="12333" spans="1:2" x14ac:dyDescent="0.35">
      <c r="A12333" s="34">
        <v>51101578</v>
      </c>
      <c r="B12333" s="35" t="s">
        <v>14476</v>
      </c>
    </row>
    <row r="12334" spans="1:2" x14ac:dyDescent="0.35">
      <c r="A12334" s="34">
        <v>51101579</v>
      </c>
      <c r="B12334" s="35" t="s">
        <v>8056</v>
      </c>
    </row>
    <row r="12335" spans="1:2" x14ac:dyDescent="0.35">
      <c r="A12335" s="34">
        <v>51101580</v>
      </c>
      <c r="B12335" s="35" t="s">
        <v>7251</v>
      </c>
    </row>
    <row r="12336" spans="1:2" x14ac:dyDescent="0.35">
      <c r="A12336" s="34">
        <v>51101581</v>
      </c>
      <c r="B12336" s="35" t="s">
        <v>496</v>
      </c>
    </row>
    <row r="12337" spans="1:2" x14ac:dyDescent="0.35">
      <c r="A12337" s="34">
        <v>51101582</v>
      </c>
      <c r="B12337" s="35" t="s">
        <v>3539</v>
      </c>
    </row>
    <row r="12338" spans="1:2" x14ac:dyDescent="0.35">
      <c r="A12338" s="34">
        <v>51101583</v>
      </c>
      <c r="B12338" s="35" t="s">
        <v>16862</v>
      </c>
    </row>
    <row r="12339" spans="1:2" x14ac:dyDescent="0.35">
      <c r="A12339" s="34">
        <v>51101584</v>
      </c>
      <c r="B12339" s="35" t="s">
        <v>5197</v>
      </c>
    </row>
    <row r="12340" spans="1:2" x14ac:dyDescent="0.35">
      <c r="A12340" s="34">
        <v>51101585</v>
      </c>
      <c r="B12340" s="35" t="s">
        <v>5056</v>
      </c>
    </row>
    <row r="12341" spans="1:2" x14ac:dyDescent="0.35">
      <c r="A12341" s="34">
        <v>51101586</v>
      </c>
      <c r="B12341" s="35" t="s">
        <v>1</v>
      </c>
    </row>
    <row r="12342" spans="1:2" x14ac:dyDescent="0.35">
      <c r="A12342" s="34">
        <v>51101587</v>
      </c>
      <c r="B12342" s="35" t="s">
        <v>14113</v>
      </c>
    </row>
    <row r="12343" spans="1:2" x14ac:dyDescent="0.35">
      <c r="A12343" s="34">
        <v>51101588</v>
      </c>
      <c r="B12343" s="35" t="s">
        <v>1053</v>
      </c>
    </row>
    <row r="12344" spans="1:2" x14ac:dyDescent="0.35">
      <c r="A12344" s="34">
        <v>51101589</v>
      </c>
      <c r="B12344" s="35" t="s">
        <v>9754</v>
      </c>
    </row>
    <row r="12345" spans="1:2" x14ac:dyDescent="0.35">
      <c r="A12345" s="34">
        <v>51101590</v>
      </c>
      <c r="B12345" s="35" t="s">
        <v>4420</v>
      </c>
    </row>
    <row r="12346" spans="1:2" x14ac:dyDescent="0.35">
      <c r="A12346" s="34">
        <v>51101591</v>
      </c>
      <c r="B12346" s="35" t="s">
        <v>14029</v>
      </c>
    </row>
    <row r="12347" spans="1:2" x14ac:dyDescent="0.35">
      <c r="A12347" s="34">
        <v>51101592</v>
      </c>
      <c r="B12347" s="35" t="s">
        <v>6985</v>
      </c>
    </row>
    <row r="12348" spans="1:2" x14ac:dyDescent="0.35">
      <c r="A12348" s="34">
        <v>51101593</v>
      </c>
      <c r="B12348" s="35" t="s">
        <v>1196</v>
      </c>
    </row>
    <row r="12349" spans="1:2" x14ac:dyDescent="0.35">
      <c r="A12349" s="34">
        <v>51101594</v>
      </c>
      <c r="B12349" s="35" t="s">
        <v>8003</v>
      </c>
    </row>
    <row r="12350" spans="1:2" x14ac:dyDescent="0.35">
      <c r="A12350" s="34">
        <v>51101595</v>
      </c>
      <c r="B12350" s="35" t="s">
        <v>14541</v>
      </c>
    </row>
    <row r="12351" spans="1:2" x14ac:dyDescent="0.35">
      <c r="A12351" s="34">
        <v>51101596</v>
      </c>
      <c r="B12351" s="35" t="s">
        <v>5537</v>
      </c>
    </row>
    <row r="12352" spans="1:2" x14ac:dyDescent="0.35">
      <c r="A12352" s="34">
        <v>51101597</v>
      </c>
      <c r="B12352" s="35" t="s">
        <v>159</v>
      </c>
    </row>
    <row r="12353" spans="1:2" x14ac:dyDescent="0.35">
      <c r="A12353" s="34">
        <v>51101598</v>
      </c>
      <c r="B12353" s="35" t="s">
        <v>18482</v>
      </c>
    </row>
    <row r="12354" spans="1:2" x14ac:dyDescent="0.35">
      <c r="A12354" s="34">
        <v>51101599</v>
      </c>
      <c r="B12354" s="35" t="s">
        <v>16143</v>
      </c>
    </row>
    <row r="12355" spans="1:2" x14ac:dyDescent="0.35">
      <c r="A12355" s="34">
        <v>51101601</v>
      </c>
      <c r="B12355" s="35" t="s">
        <v>13277</v>
      </c>
    </row>
    <row r="12356" spans="1:2" x14ac:dyDescent="0.35">
      <c r="A12356" s="34">
        <v>51101602</v>
      </c>
      <c r="B12356" s="35" t="s">
        <v>19087</v>
      </c>
    </row>
    <row r="12357" spans="1:2" x14ac:dyDescent="0.35">
      <c r="A12357" s="34">
        <v>51101603</v>
      </c>
      <c r="B12357" s="35" t="s">
        <v>4154</v>
      </c>
    </row>
    <row r="12358" spans="1:2" x14ac:dyDescent="0.35">
      <c r="A12358" s="34">
        <v>51101604</v>
      </c>
      <c r="B12358" s="35" t="s">
        <v>10233</v>
      </c>
    </row>
    <row r="12359" spans="1:2" x14ac:dyDescent="0.35">
      <c r="A12359" s="34">
        <v>51101606</v>
      </c>
      <c r="B12359" s="35" t="s">
        <v>13560</v>
      </c>
    </row>
    <row r="12360" spans="1:2" x14ac:dyDescent="0.35">
      <c r="A12360" s="34">
        <v>51101607</v>
      </c>
      <c r="B12360" s="35" t="s">
        <v>17286</v>
      </c>
    </row>
    <row r="12361" spans="1:2" x14ac:dyDescent="0.35">
      <c r="A12361" s="34">
        <v>51101610</v>
      </c>
      <c r="B12361" s="35" t="s">
        <v>17810</v>
      </c>
    </row>
    <row r="12362" spans="1:2" x14ac:dyDescent="0.35">
      <c r="A12362" s="34">
        <v>51101611</v>
      </c>
      <c r="B12362" s="35" t="s">
        <v>4397</v>
      </c>
    </row>
    <row r="12363" spans="1:2" x14ac:dyDescent="0.35">
      <c r="A12363" s="34">
        <v>51101612</v>
      </c>
      <c r="B12363" s="35" t="s">
        <v>16029</v>
      </c>
    </row>
    <row r="12364" spans="1:2" x14ac:dyDescent="0.35">
      <c r="A12364" s="34">
        <v>51101613</v>
      </c>
      <c r="B12364" s="35" t="s">
        <v>222</v>
      </c>
    </row>
    <row r="12365" spans="1:2" x14ac:dyDescent="0.35">
      <c r="A12365" s="34">
        <v>51101614</v>
      </c>
      <c r="B12365" s="35" t="s">
        <v>6427</v>
      </c>
    </row>
    <row r="12366" spans="1:2" x14ac:dyDescent="0.35">
      <c r="A12366" s="34">
        <v>51101616</v>
      </c>
      <c r="B12366" s="35" t="s">
        <v>17975</v>
      </c>
    </row>
    <row r="12367" spans="1:2" x14ac:dyDescent="0.35">
      <c r="A12367" s="34">
        <v>51101617</v>
      </c>
      <c r="B12367" s="35" t="s">
        <v>4471</v>
      </c>
    </row>
    <row r="12368" spans="1:2" x14ac:dyDescent="0.35">
      <c r="A12368" s="34">
        <v>51101618</v>
      </c>
      <c r="B12368" s="35" t="s">
        <v>9710</v>
      </c>
    </row>
    <row r="12369" spans="1:2" x14ac:dyDescent="0.35">
      <c r="A12369" s="34">
        <v>51101619</v>
      </c>
      <c r="B12369" s="35" t="s">
        <v>4053</v>
      </c>
    </row>
    <row r="12370" spans="1:2" x14ac:dyDescent="0.35">
      <c r="A12370" s="34">
        <v>51101620</v>
      </c>
      <c r="B12370" s="35" t="s">
        <v>16891</v>
      </c>
    </row>
    <row r="12371" spans="1:2" x14ac:dyDescent="0.35">
      <c r="A12371" s="34">
        <v>51101624</v>
      </c>
      <c r="B12371" s="35" t="s">
        <v>2166</v>
      </c>
    </row>
    <row r="12372" spans="1:2" x14ac:dyDescent="0.35">
      <c r="A12372" s="34">
        <v>51101625</v>
      </c>
      <c r="B12372" s="35" t="s">
        <v>4623</v>
      </c>
    </row>
    <row r="12373" spans="1:2" x14ac:dyDescent="0.35">
      <c r="A12373" s="34">
        <v>51101629</v>
      </c>
      <c r="B12373" s="35" t="s">
        <v>11619</v>
      </c>
    </row>
    <row r="12374" spans="1:2" x14ac:dyDescent="0.35">
      <c r="A12374" s="34">
        <v>51101630</v>
      </c>
      <c r="B12374" s="35" t="s">
        <v>15205</v>
      </c>
    </row>
    <row r="12375" spans="1:2" x14ac:dyDescent="0.35">
      <c r="A12375" s="34">
        <v>51101701</v>
      </c>
      <c r="B12375" s="35" t="s">
        <v>2560</v>
      </c>
    </row>
    <row r="12376" spans="1:2" x14ac:dyDescent="0.35">
      <c r="A12376" s="34">
        <v>51101702</v>
      </c>
      <c r="B12376" s="35" t="s">
        <v>3857</v>
      </c>
    </row>
    <row r="12377" spans="1:2" x14ac:dyDescent="0.35">
      <c r="A12377" s="34">
        <v>51101703</v>
      </c>
      <c r="B12377" s="35" t="s">
        <v>8510</v>
      </c>
    </row>
    <row r="12378" spans="1:2" x14ac:dyDescent="0.35">
      <c r="A12378" s="34">
        <v>51101704</v>
      </c>
      <c r="B12378" s="35" t="s">
        <v>3046</v>
      </c>
    </row>
    <row r="12379" spans="1:2" x14ac:dyDescent="0.35">
      <c r="A12379" s="34">
        <v>51101705</v>
      </c>
      <c r="B12379" s="35" t="s">
        <v>10111</v>
      </c>
    </row>
    <row r="12380" spans="1:2" x14ac:dyDescent="0.35">
      <c r="A12380" s="34">
        <v>51101706</v>
      </c>
      <c r="B12380" s="35" t="s">
        <v>12212</v>
      </c>
    </row>
    <row r="12381" spans="1:2" x14ac:dyDescent="0.35">
      <c r="A12381" s="34">
        <v>51101707</v>
      </c>
      <c r="B12381" s="35" t="s">
        <v>10979</v>
      </c>
    </row>
    <row r="12382" spans="1:2" x14ac:dyDescent="0.35">
      <c r="A12382" s="34">
        <v>51101708</v>
      </c>
      <c r="B12382" s="35" t="s">
        <v>6229</v>
      </c>
    </row>
    <row r="12383" spans="1:2" x14ac:dyDescent="0.35">
      <c r="A12383" s="34">
        <v>51101709</v>
      </c>
      <c r="B12383" s="35" t="s">
        <v>15402</v>
      </c>
    </row>
    <row r="12384" spans="1:2" x14ac:dyDescent="0.35">
      <c r="A12384" s="34">
        <v>51101710</v>
      </c>
      <c r="B12384" s="35" t="s">
        <v>10538</v>
      </c>
    </row>
    <row r="12385" spans="1:2" x14ac:dyDescent="0.35">
      <c r="A12385" s="34">
        <v>51101711</v>
      </c>
      <c r="B12385" s="35" t="s">
        <v>16302</v>
      </c>
    </row>
    <row r="12386" spans="1:2" x14ac:dyDescent="0.35">
      <c r="A12386" s="34">
        <v>51101712</v>
      </c>
      <c r="B12386" s="35" t="s">
        <v>10911</v>
      </c>
    </row>
    <row r="12387" spans="1:2" x14ac:dyDescent="0.35">
      <c r="A12387" s="34">
        <v>51101713</v>
      </c>
      <c r="B12387" s="35" t="s">
        <v>11114</v>
      </c>
    </row>
    <row r="12388" spans="1:2" x14ac:dyDescent="0.35">
      <c r="A12388" s="34">
        <v>51101714</v>
      </c>
      <c r="B12388" s="35" t="s">
        <v>17221</v>
      </c>
    </row>
    <row r="12389" spans="1:2" x14ac:dyDescent="0.35">
      <c r="A12389" s="34">
        <v>51101715</v>
      </c>
      <c r="B12389" s="35" t="s">
        <v>8040</v>
      </c>
    </row>
    <row r="12390" spans="1:2" x14ac:dyDescent="0.35">
      <c r="A12390" s="34">
        <v>51101716</v>
      </c>
      <c r="B12390" s="35" t="s">
        <v>18182</v>
      </c>
    </row>
    <row r="12391" spans="1:2" x14ac:dyDescent="0.35">
      <c r="A12391" s="34">
        <v>51101717</v>
      </c>
      <c r="B12391" s="35" t="s">
        <v>7188</v>
      </c>
    </row>
    <row r="12392" spans="1:2" x14ac:dyDescent="0.35">
      <c r="A12392" s="34">
        <v>51101718</v>
      </c>
      <c r="B12392" s="35" t="s">
        <v>5019</v>
      </c>
    </row>
    <row r="12393" spans="1:2" x14ac:dyDescent="0.35">
      <c r="A12393" s="34">
        <v>51101719</v>
      </c>
      <c r="B12393" s="35" t="s">
        <v>10432</v>
      </c>
    </row>
    <row r="12394" spans="1:2" x14ac:dyDescent="0.35">
      <c r="A12394" s="34">
        <v>51101720</v>
      </c>
      <c r="B12394" s="35" t="s">
        <v>604</v>
      </c>
    </row>
    <row r="12395" spans="1:2" x14ac:dyDescent="0.35">
      <c r="A12395" s="34">
        <v>51101801</v>
      </c>
      <c r="B12395" s="35" t="s">
        <v>2133</v>
      </c>
    </row>
    <row r="12396" spans="1:2" x14ac:dyDescent="0.35">
      <c r="A12396" s="34">
        <v>51101802</v>
      </c>
      <c r="B12396" s="35" t="s">
        <v>10086</v>
      </c>
    </row>
    <row r="12397" spans="1:2" x14ac:dyDescent="0.35">
      <c r="A12397" s="34">
        <v>51101803</v>
      </c>
      <c r="B12397" s="35" t="s">
        <v>14695</v>
      </c>
    </row>
    <row r="12398" spans="1:2" x14ac:dyDescent="0.35">
      <c r="A12398" s="34">
        <v>51101804</v>
      </c>
      <c r="B12398" s="35" t="s">
        <v>14788</v>
      </c>
    </row>
    <row r="12399" spans="1:2" x14ac:dyDescent="0.35">
      <c r="A12399" s="34">
        <v>51101805</v>
      </c>
      <c r="B12399" s="35" t="s">
        <v>16412</v>
      </c>
    </row>
    <row r="12400" spans="1:2" x14ac:dyDescent="0.35">
      <c r="A12400" s="34">
        <v>51101806</v>
      </c>
      <c r="B12400" s="35" t="s">
        <v>18606</v>
      </c>
    </row>
    <row r="12401" spans="1:2" x14ac:dyDescent="0.35">
      <c r="A12401" s="34">
        <v>51101807</v>
      </c>
      <c r="B12401" s="35" t="s">
        <v>9348</v>
      </c>
    </row>
    <row r="12402" spans="1:2" x14ac:dyDescent="0.35">
      <c r="A12402" s="34">
        <v>51101808</v>
      </c>
      <c r="B12402" s="35" t="s">
        <v>13079</v>
      </c>
    </row>
    <row r="12403" spans="1:2" x14ac:dyDescent="0.35">
      <c r="A12403" s="34">
        <v>51101809</v>
      </c>
      <c r="B12403" s="35" t="s">
        <v>4289</v>
      </c>
    </row>
    <row r="12404" spans="1:2" x14ac:dyDescent="0.35">
      <c r="A12404" s="34">
        <v>51101810</v>
      </c>
      <c r="B12404" s="35" t="s">
        <v>5746</v>
      </c>
    </row>
    <row r="12405" spans="1:2" x14ac:dyDescent="0.35">
      <c r="A12405" s="34">
        <v>51101811</v>
      </c>
      <c r="B12405" s="35" t="s">
        <v>3483</v>
      </c>
    </row>
    <row r="12406" spans="1:2" x14ac:dyDescent="0.35">
      <c r="A12406" s="34">
        <v>51101812</v>
      </c>
      <c r="B12406" s="35" t="s">
        <v>6349</v>
      </c>
    </row>
    <row r="12407" spans="1:2" x14ac:dyDescent="0.35">
      <c r="A12407" s="34">
        <v>51101813</v>
      </c>
      <c r="B12407" s="35" t="s">
        <v>15295</v>
      </c>
    </row>
    <row r="12408" spans="1:2" x14ac:dyDescent="0.35">
      <c r="A12408" s="34">
        <v>51101814</v>
      </c>
      <c r="B12408" s="35" t="s">
        <v>13379</v>
      </c>
    </row>
    <row r="12409" spans="1:2" x14ac:dyDescent="0.35">
      <c r="A12409" s="34">
        <v>51101815</v>
      </c>
      <c r="B12409" s="35" t="s">
        <v>18037</v>
      </c>
    </row>
    <row r="12410" spans="1:2" x14ac:dyDescent="0.35">
      <c r="A12410" s="34">
        <v>51101816</v>
      </c>
      <c r="B12410" s="35" t="s">
        <v>10344</v>
      </c>
    </row>
    <row r="12411" spans="1:2" x14ac:dyDescent="0.35">
      <c r="A12411" s="34">
        <v>51101817</v>
      </c>
      <c r="B12411" s="35" t="s">
        <v>15935</v>
      </c>
    </row>
    <row r="12412" spans="1:2" x14ac:dyDescent="0.35">
      <c r="A12412" s="34">
        <v>51101818</v>
      </c>
      <c r="B12412" s="35" t="s">
        <v>12451</v>
      </c>
    </row>
    <row r="12413" spans="1:2" x14ac:dyDescent="0.35">
      <c r="A12413" s="34">
        <v>51101819</v>
      </c>
      <c r="B12413" s="35" t="s">
        <v>9174</v>
      </c>
    </row>
    <row r="12414" spans="1:2" x14ac:dyDescent="0.35">
      <c r="A12414" s="34">
        <v>51101820</v>
      </c>
      <c r="B12414" s="35" t="s">
        <v>2152</v>
      </c>
    </row>
    <row r="12415" spans="1:2" x14ac:dyDescent="0.35">
      <c r="A12415" s="34">
        <v>51101821</v>
      </c>
      <c r="B12415" s="35" t="s">
        <v>8935</v>
      </c>
    </row>
    <row r="12416" spans="1:2" x14ac:dyDescent="0.35">
      <c r="A12416" s="34">
        <v>51101824</v>
      </c>
      <c r="B12416" s="35" t="s">
        <v>4704</v>
      </c>
    </row>
    <row r="12417" spans="1:2" x14ac:dyDescent="0.35">
      <c r="A12417" s="34">
        <v>51101825</v>
      </c>
      <c r="B12417" s="35" t="s">
        <v>11642</v>
      </c>
    </row>
    <row r="12418" spans="1:2" x14ac:dyDescent="0.35">
      <c r="A12418" s="34">
        <v>51101826</v>
      </c>
      <c r="B12418" s="35" t="s">
        <v>3399</v>
      </c>
    </row>
    <row r="12419" spans="1:2" x14ac:dyDescent="0.35">
      <c r="A12419" s="34">
        <v>51101827</v>
      </c>
      <c r="B12419" s="35" t="s">
        <v>10682</v>
      </c>
    </row>
    <row r="12420" spans="1:2" x14ac:dyDescent="0.35">
      <c r="A12420" s="34">
        <v>51101828</v>
      </c>
      <c r="B12420" s="35" t="s">
        <v>19188</v>
      </c>
    </row>
    <row r="12421" spans="1:2" x14ac:dyDescent="0.35">
      <c r="A12421" s="34">
        <v>51101829</v>
      </c>
      <c r="B12421" s="35" t="s">
        <v>7354</v>
      </c>
    </row>
    <row r="12422" spans="1:2" x14ac:dyDescent="0.35">
      <c r="A12422" s="34">
        <v>51101830</v>
      </c>
      <c r="B12422" s="35" t="s">
        <v>9282</v>
      </c>
    </row>
    <row r="12423" spans="1:2" x14ac:dyDescent="0.35">
      <c r="A12423" s="34">
        <v>51101831</v>
      </c>
      <c r="B12423" s="35" t="s">
        <v>5053</v>
      </c>
    </row>
    <row r="12424" spans="1:2" x14ac:dyDescent="0.35">
      <c r="A12424" s="34">
        <v>51101832</v>
      </c>
      <c r="B12424" s="35" t="s">
        <v>13770</v>
      </c>
    </row>
    <row r="12425" spans="1:2" x14ac:dyDescent="0.35">
      <c r="A12425" s="34">
        <v>51101834</v>
      </c>
      <c r="B12425" s="35" t="s">
        <v>8814</v>
      </c>
    </row>
    <row r="12426" spans="1:2" x14ac:dyDescent="0.35">
      <c r="A12426" s="34">
        <v>51101835</v>
      </c>
      <c r="B12426" s="35" t="s">
        <v>2497</v>
      </c>
    </row>
    <row r="12427" spans="1:2" x14ac:dyDescent="0.35">
      <c r="A12427" s="34">
        <v>51101836</v>
      </c>
      <c r="B12427" s="35" t="s">
        <v>13327</v>
      </c>
    </row>
    <row r="12428" spans="1:2" x14ac:dyDescent="0.35">
      <c r="A12428" s="34">
        <v>51101901</v>
      </c>
      <c r="B12428" s="35" t="s">
        <v>754</v>
      </c>
    </row>
    <row r="12429" spans="1:2" x14ac:dyDescent="0.35">
      <c r="A12429" s="34">
        <v>51101902</v>
      </c>
      <c r="B12429" s="35" t="s">
        <v>16201</v>
      </c>
    </row>
    <row r="12430" spans="1:2" x14ac:dyDescent="0.35">
      <c r="A12430" s="34">
        <v>51101903</v>
      </c>
      <c r="B12430" s="35" t="s">
        <v>5682</v>
      </c>
    </row>
    <row r="12431" spans="1:2" x14ac:dyDescent="0.35">
      <c r="A12431" s="34">
        <v>51101904</v>
      </c>
      <c r="B12431" s="35" t="s">
        <v>3273</v>
      </c>
    </row>
    <row r="12432" spans="1:2" x14ac:dyDescent="0.35">
      <c r="A12432" s="34">
        <v>51101905</v>
      </c>
      <c r="B12432" s="35" t="s">
        <v>15888</v>
      </c>
    </row>
    <row r="12433" spans="1:2" x14ac:dyDescent="0.35">
      <c r="A12433" s="34">
        <v>51101906</v>
      </c>
      <c r="B12433" s="35" t="s">
        <v>16855</v>
      </c>
    </row>
    <row r="12434" spans="1:2" x14ac:dyDescent="0.35">
      <c r="A12434" s="34">
        <v>51101907</v>
      </c>
      <c r="B12434" s="35" t="s">
        <v>4733</v>
      </c>
    </row>
    <row r="12435" spans="1:2" x14ac:dyDescent="0.35">
      <c r="A12435" s="34">
        <v>51101908</v>
      </c>
      <c r="B12435" s="35" t="s">
        <v>6632</v>
      </c>
    </row>
    <row r="12436" spans="1:2" x14ac:dyDescent="0.35">
      <c r="A12436" s="34">
        <v>51101909</v>
      </c>
      <c r="B12436" s="35" t="s">
        <v>12776</v>
      </c>
    </row>
    <row r="12437" spans="1:2" x14ac:dyDescent="0.35">
      <c r="A12437" s="34">
        <v>51101910</v>
      </c>
      <c r="B12437" s="35" t="s">
        <v>17231</v>
      </c>
    </row>
    <row r="12438" spans="1:2" x14ac:dyDescent="0.35">
      <c r="A12438" s="34">
        <v>51101911</v>
      </c>
      <c r="B12438" s="35" t="s">
        <v>10888</v>
      </c>
    </row>
    <row r="12439" spans="1:2" x14ac:dyDescent="0.35">
      <c r="A12439" s="34">
        <v>51101912</v>
      </c>
      <c r="B12439" s="35" t="s">
        <v>17725</v>
      </c>
    </row>
    <row r="12440" spans="1:2" x14ac:dyDescent="0.35">
      <c r="A12440" s="34">
        <v>51102001</v>
      </c>
      <c r="B12440" s="35" t="s">
        <v>15348</v>
      </c>
    </row>
    <row r="12441" spans="1:2" x14ac:dyDescent="0.35">
      <c r="A12441" s="34">
        <v>51102002</v>
      </c>
      <c r="B12441" s="35" t="s">
        <v>8892</v>
      </c>
    </row>
    <row r="12442" spans="1:2" x14ac:dyDescent="0.35">
      <c r="A12442" s="34">
        <v>51102003</v>
      </c>
      <c r="B12442" s="35" t="s">
        <v>8840</v>
      </c>
    </row>
    <row r="12443" spans="1:2" x14ac:dyDescent="0.35">
      <c r="A12443" s="34">
        <v>51102004</v>
      </c>
      <c r="B12443" s="35" t="s">
        <v>17214</v>
      </c>
    </row>
    <row r="12444" spans="1:2" x14ac:dyDescent="0.35">
      <c r="A12444" s="34">
        <v>51102005</v>
      </c>
      <c r="B12444" s="35" t="s">
        <v>2143</v>
      </c>
    </row>
    <row r="12445" spans="1:2" x14ac:dyDescent="0.35">
      <c r="A12445" s="34">
        <v>51102006</v>
      </c>
      <c r="B12445" s="35" t="s">
        <v>14133</v>
      </c>
    </row>
    <row r="12446" spans="1:2" x14ac:dyDescent="0.35">
      <c r="A12446" s="34">
        <v>51102007</v>
      </c>
      <c r="B12446" s="35" t="s">
        <v>15709</v>
      </c>
    </row>
    <row r="12447" spans="1:2" x14ac:dyDescent="0.35">
      <c r="A12447" s="34">
        <v>51102008</v>
      </c>
      <c r="B12447" s="35" t="s">
        <v>11537</v>
      </c>
    </row>
    <row r="12448" spans="1:2" x14ac:dyDescent="0.35">
      <c r="A12448" s="34">
        <v>51102009</v>
      </c>
      <c r="B12448" s="35" t="s">
        <v>12966</v>
      </c>
    </row>
    <row r="12449" spans="1:2" x14ac:dyDescent="0.35">
      <c r="A12449" s="34">
        <v>51102101</v>
      </c>
      <c r="B12449" s="35" t="s">
        <v>15071</v>
      </c>
    </row>
    <row r="12450" spans="1:2" x14ac:dyDescent="0.35">
      <c r="A12450" s="34">
        <v>51102102</v>
      </c>
      <c r="B12450" s="35" t="s">
        <v>6701</v>
      </c>
    </row>
    <row r="12451" spans="1:2" x14ac:dyDescent="0.35">
      <c r="A12451" s="34">
        <v>51102201</v>
      </c>
      <c r="B12451" s="35" t="s">
        <v>6889</v>
      </c>
    </row>
    <row r="12452" spans="1:2" x14ac:dyDescent="0.35">
      <c r="A12452" s="34">
        <v>51102202</v>
      </c>
      <c r="B12452" s="35" t="s">
        <v>3247</v>
      </c>
    </row>
    <row r="12453" spans="1:2" x14ac:dyDescent="0.35">
      <c r="A12453" s="34">
        <v>51102203</v>
      </c>
      <c r="B12453" s="35" t="s">
        <v>6728</v>
      </c>
    </row>
    <row r="12454" spans="1:2" x14ac:dyDescent="0.35">
      <c r="A12454" s="34">
        <v>51102204</v>
      </c>
      <c r="B12454" s="35" t="s">
        <v>9908</v>
      </c>
    </row>
    <row r="12455" spans="1:2" x14ac:dyDescent="0.35">
      <c r="A12455" s="34">
        <v>51102205</v>
      </c>
      <c r="B12455" s="35" t="s">
        <v>5392</v>
      </c>
    </row>
    <row r="12456" spans="1:2" x14ac:dyDescent="0.35">
      <c r="A12456" s="34">
        <v>51102206</v>
      </c>
      <c r="B12456" s="35" t="s">
        <v>10271</v>
      </c>
    </row>
    <row r="12457" spans="1:2" x14ac:dyDescent="0.35">
      <c r="A12457" s="34">
        <v>51102207</v>
      </c>
      <c r="B12457" s="35" t="s">
        <v>4599</v>
      </c>
    </row>
    <row r="12458" spans="1:2" x14ac:dyDescent="0.35">
      <c r="A12458" s="34">
        <v>51102208</v>
      </c>
      <c r="B12458" s="35" t="s">
        <v>11330</v>
      </c>
    </row>
    <row r="12459" spans="1:2" x14ac:dyDescent="0.35">
      <c r="A12459" s="34">
        <v>51102209</v>
      </c>
      <c r="B12459" s="35" t="s">
        <v>5195</v>
      </c>
    </row>
    <row r="12460" spans="1:2" x14ac:dyDescent="0.35">
      <c r="A12460" s="34">
        <v>51102211</v>
      </c>
      <c r="B12460" s="35" t="s">
        <v>5737</v>
      </c>
    </row>
    <row r="12461" spans="1:2" x14ac:dyDescent="0.35">
      <c r="A12461" s="34">
        <v>51102212</v>
      </c>
      <c r="B12461" s="35" t="s">
        <v>16688</v>
      </c>
    </row>
    <row r="12462" spans="1:2" x14ac:dyDescent="0.35">
      <c r="A12462" s="34">
        <v>51102213</v>
      </c>
      <c r="B12462" s="35" t="s">
        <v>13328</v>
      </c>
    </row>
    <row r="12463" spans="1:2" x14ac:dyDescent="0.35">
      <c r="A12463" s="34">
        <v>51102301</v>
      </c>
      <c r="B12463" s="35" t="s">
        <v>18754</v>
      </c>
    </row>
    <row r="12464" spans="1:2" x14ac:dyDescent="0.35">
      <c r="A12464" s="34">
        <v>51102302</v>
      </c>
      <c r="B12464" s="35" t="s">
        <v>17036</v>
      </c>
    </row>
    <row r="12465" spans="1:2" x14ac:dyDescent="0.35">
      <c r="A12465" s="34">
        <v>51102304</v>
      </c>
      <c r="B12465" s="35" t="s">
        <v>10913</v>
      </c>
    </row>
    <row r="12466" spans="1:2" x14ac:dyDescent="0.35">
      <c r="A12466" s="34">
        <v>51102305</v>
      </c>
      <c r="B12466" s="35" t="s">
        <v>13829</v>
      </c>
    </row>
    <row r="12467" spans="1:2" x14ac:dyDescent="0.35">
      <c r="A12467" s="34">
        <v>51102306</v>
      </c>
      <c r="B12467" s="35" t="s">
        <v>10999</v>
      </c>
    </row>
    <row r="12468" spans="1:2" x14ac:dyDescent="0.35">
      <c r="A12468" s="34">
        <v>51102307</v>
      </c>
      <c r="B12468" s="35" t="s">
        <v>12284</v>
      </c>
    </row>
    <row r="12469" spans="1:2" x14ac:dyDescent="0.35">
      <c r="A12469" s="34">
        <v>51102308</v>
      </c>
      <c r="B12469" s="35" t="s">
        <v>18086</v>
      </c>
    </row>
    <row r="12470" spans="1:2" x14ac:dyDescent="0.35">
      <c r="A12470" s="34">
        <v>51102309</v>
      </c>
      <c r="B12470" s="35" t="s">
        <v>7642</v>
      </c>
    </row>
    <row r="12471" spans="1:2" x14ac:dyDescent="0.35">
      <c r="A12471" s="34">
        <v>51102310</v>
      </c>
      <c r="B12471" s="35" t="s">
        <v>638</v>
      </c>
    </row>
    <row r="12472" spans="1:2" x14ac:dyDescent="0.35">
      <c r="A12472" s="34">
        <v>51102311</v>
      </c>
      <c r="B12472" s="35" t="s">
        <v>10068</v>
      </c>
    </row>
    <row r="12473" spans="1:2" x14ac:dyDescent="0.35">
      <c r="A12473" s="34">
        <v>51102312</v>
      </c>
      <c r="B12473" s="35" t="s">
        <v>9878</v>
      </c>
    </row>
    <row r="12474" spans="1:2" x14ac:dyDescent="0.35">
      <c r="A12474" s="34">
        <v>51102313</v>
      </c>
      <c r="B12474" s="35" t="s">
        <v>153</v>
      </c>
    </row>
    <row r="12475" spans="1:2" x14ac:dyDescent="0.35">
      <c r="A12475" s="34">
        <v>51102314</v>
      </c>
      <c r="B12475" s="35" t="s">
        <v>8734</v>
      </c>
    </row>
    <row r="12476" spans="1:2" x14ac:dyDescent="0.35">
      <c r="A12476" s="34">
        <v>51102315</v>
      </c>
      <c r="B12476" s="35" t="s">
        <v>9625</v>
      </c>
    </row>
    <row r="12477" spans="1:2" x14ac:dyDescent="0.35">
      <c r="A12477" s="34">
        <v>51102316</v>
      </c>
      <c r="B12477" s="35" t="s">
        <v>9820</v>
      </c>
    </row>
    <row r="12478" spans="1:2" x14ac:dyDescent="0.35">
      <c r="A12478" s="34">
        <v>51102317</v>
      </c>
      <c r="B12478" s="35" t="s">
        <v>10442</v>
      </c>
    </row>
    <row r="12479" spans="1:2" x14ac:dyDescent="0.35">
      <c r="A12479" s="34">
        <v>51102318</v>
      </c>
      <c r="B12479" s="35" t="s">
        <v>1690</v>
      </c>
    </row>
    <row r="12480" spans="1:2" x14ac:dyDescent="0.35">
      <c r="A12480" s="34">
        <v>51102319</v>
      </c>
      <c r="B12480" s="35" t="s">
        <v>11240</v>
      </c>
    </row>
    <row r="12481" spans="1:2" x14ac:dyDescent="0.35">
      <c r="A12481" s="34">
        <v>51102320</v>
      </c>
      <c r="B12481" s="35" t="s">
        <v>14962</v>
      </c>
    </row>
    <row r="12482" spans="1:2" x14ac:dyDescent="0.35">
      <c r="A12482" s="34">
        <v>51102321</v>
      </c>
      <c r="B12482" s="35" t="s">
        <v>4331</v>
      </c>
    </row>
    <row r="12483" spans="1:2" x14ac:dyDescent="0.35">
      <c r="A12483" s="34">
        <v>51102322</v>
      </c>
      <c r="B12483" s="35" t="s">
        <v>17116</v>
      </c>
    </row>
    <row r="12484" spans="1:2" x14ac:dyDescent="0.35">
      <c r="A12484" s="34">
        <v>51102323</v>
      </c>
      <c r="B12484" s="35" t="s">
        <v>38</v>
      </c>
    </row>
    <row r="12485" spans="1:2" x14ac:dyDescent="0.35">
      <c r="A12485" s="34">
        <v>51102324</v>
      </c>
      <c r="B12485" s="35" t="s">
        <v>9158</v>
      </c>
    </row>
    <row r="12486" spans="1:2" x14ac:dyDescent="0.35">
      <c r="A12486" s="34">
        <v>51102325</v>
      </c>
      <c r="B12486" s="35" t="s">
        <v>19647</v>
      </c>
    </row>
    <row r="12487" spans="1:2" x14ac:dyDescent="0.35">
      <c r="A12487" s="34">
        <v>51102326</v>
      </c>
      <c r="B12487" s="35" t="s">
        <v>5721</v>
      </c>
    </row>
    <row r="12488" spans="1:2" x14ac:dyDescent="0.35">
      <c r="A12488" s="34">
        <v>51102327</v>
      </c>
      <c r="B12488" s="35" t="s">
        <v>18746</v>
      </c>
    </row>
    <row r="12489" spans="1:2" x14ac:dyDescent="0.35">
      <c r="A12489" s="34">
        <v>51102328</v>
      </c>
      <c r="B12489" s="35" t="s">
        <v>2911</v>
      </c>
    </row>
    <row r="12490" spans="1:2" x14ac:dyDescent="0.35">
      <c r="A12490" s="34">
        <v>51102329</v>
      </c>
      <c r="B12490" s="35" t="s">
        <v>18972</v>
      </c>
    </row>
    <row r="12491" spans="1:2" x14ac:dyDescent="0.35">
      <c r="A12491" s="34">
        <v>51102330</v>
      </c>
      <c r="B12491" s="35" t="s">
        <v>17355</v>
      </c>
    </row>
    <row r="12492" spans="1:2" x14ac:dyDescent="0.35">
      <c r="A12492" s="34">
        <v>51102331</v>
      </c>
      <c r="B12492" s="35" t="s">
        <v>4249</v>
      </c>
    </row>
    <row r="12493" spans="1:2" x14ac:dyDescent="0.35">
      <c r="A12493" s="34">
        <v>51102332</v>
      </c>
      <c r="B12493" s="35" t="s">
        <v>2247</v>
      </c>
    </row>
    <row r="12494" spans="1:2" x14ac:dyDescent="0.35">
      <c r="A12494" s="34">
        <v>51102333</v>
      </c>
      <c r="B12494" s="35" t="s">
        <v>15773</v>
      </c>
    </row>
    <row r="12495" spans="1:2" x14ac:dyDescent="0.35">
      <c r="A12495" s="34">
        <v>51102334</v>
      </c>
      <c r="B12495" s="35" t="s">
        <v>238</v>
      </c>
    </row>
    <row r="12496" spans="1:2" x14ac:dyDescent="0.35">
      <c r="A12496" s="34">
        <v>51102335</v>
      </c>
      <c r="B12496" s="35" t="s">
        <v>14985</v>
      </c>
    </row>
    <row r="12497" spans="1:2" x14ac:dyDescent="0.35">
      <c r="A12497" s="34">
        <v>51102336</v>
      </c>
      <c r="B12497" s="35" t="s">
        <v>3900</v>
      </c>
    </row>
    <row r="12498" spans="1:2" x14ac:dyDescent="0.35">
      <c r="A12498" s="34">
        <v>51102402</v>
      </c>
      <c r="B12498" s="35" t="s">
        <v>19505</v>
      </c>
    </row>
    <row r="12499" spans="1:2" x14ac:dyDescent="0.35">
      <c r="A12499" s="34">
        <v>51102501</v>
      </c>
      <c r="B12499" s="35" t="s">
        <v>4508</v>
      </c>
    </row>
    <row r="12500" spans="1:2" x14ac:dyDescent="0.35">
      <c r="A12500" s="34">
        <v>51102502</v>
      </c>
      <c r="B12500" s="35" t="s">
        <v>13195</v>
      </c>
    </row>
    <row r="12501" spans="1:2" x14ac:dyDescent="0.35">
      <c r="A12501" s="34">
        <v>51102503</v>
      </c>
      <c r="B12501" s="35" t="s">
        <v>16863</v>
      </c>
    </row>
    <row r="12502" spans="1:2" x14ac:dyDescent="0.35">
      <c r="A12502" s="34">
        <v>51102505</v>
      </c>
      <c r="B12502" s="35" t="s">
        <v>7526</v>
      </c>
    </row>
    <row r="12503" spans="1:2" x14ac:dyDescent="0.35">
      <c r="A12503" s="34">
        <v>51102506</v>
      </c>
      <c r="B12503" s="35" t="s">
        <v>12934</v>
      </c>
    </row>
    <row r="12504" spans="1:2" x14ac:dyDescent="0.35">
      <c r="A12504" s="34">
        <v>51102507</v>
      </c>
      <c r="B12504" s="35" t="s">
        <v>4365</v>
      </c>
    </row>
    <row r="12505" spans="1:2" x14ac:dyDescent="0.35">
      <c r="A12505" s="34">
        <v>51102601</v>
      </c>
      <c r="B12505" s="35" t="s">
        <v>19253</v>
      </c>
    </row>
    <row r="12506" spans="1:2" x14ac:dyDescent="0.35">
      <c r="A12506" s="34">
        <v>51102701</v>
      </c>
      <c r="B12506" s="35" t="s">
        <v>15372</v>
      </c>
    </row>
    <row r="12507" spans="1:2" x14ac:dyDescent="0.35">
      <c r="A12507" s="34">
        <v>51102702</v>
      </c>
      <c r="B12507" s="35" t="s">
        <v>2495</v>
      </c>
    </row>
    <row r="12508" spans="1:2" x14ac:dyDescent="0.35">
      <c r="A12508" s="34">
        <v>51102705</v>
      </c>
      <c r="B12508" s="35" t="s">
        <v>3712</v>
      </c>
    </row>
    <row r="12509" spans="1:2" x14ac:dyDescent="0.35">
      <c r="A12509" s="34">
        <v>51102706</v>
      </c>
      <c r="B12509" s="35" t="s">
        <v>12907</v>
      </c>
    </row>
    <row r="12510" spans="1:2" x14ac:dyDescent="0.35">
      <c r="A12510" s="34">
        <v>51102707</v>
      </c>
      <c r="B12510" s="35" t="s">
        <v>16561</v>
      </c>
    </row>
    <row r="12511" spans="1:2" x14ac:dyDescent="0.35">
      <c r="A12511" s="34">
        <v>51102708</v>
      </c>
      <c r="B12511" s="35" t="s">
        <v>5596</v>
      </c>
    </row>
    <row r="12512" spans="1:2" x14ac:dyDescent="0.35">
      <c r="A12512" s="34">
        <v>51102709</v>
      </c>
      <c r="B12512" s="35" t="s">
        <v>18875</v>
      </c>
    </row>
    <row r="12513" spans="1:2" x14ac:dyDescent="0.35">
      <c r="A12513" s="34">
        <v>51102710</v>
      </c>
      <c r="B12513" s="35" t="s">
        <v>2796</v>
      </c>
    </row>
    <row r="12514" spans="1:2" x14ac:dyDescent="0.35">
      <c r="A12514" s="34">
        <v>51102711</v>
      </c>
      <c r="B12514" s="35" t="s">
        <v>16673</v>
      </c>
    </row>
    <row r="12515" spans="1:2" x14ac:dyDescent="0.35">
      <c r="A12515" s="34">
        <v>51102712</v>
      </c>
      <c r="B12515" s="35" t="s">
        <v>13780</v>
      </c>
    </row>
    <row r="12516" spans="1:2" x14ac:dyDescent="0.35">
      <c r="A12516" s="34">
        <v>51102713</v>
      </c>
      <c r="B12516" s="35" t="s">
        <v>15521</v>
      </c>
    </row>
    <row r="12517" spans="1:2" x14ac:dyDescent="0.35">
      <c r="A12517" s="34">
        <v>51102714</v>
      </c>
      <c r="B12517" s="35" t="s">
        <v>19170</v>
      </c>
    </row>
    <row r="12518" spans="1:2" x14ac:dyDescent="0.35">
      <c r="A12518" s="34">
        <v>51102715</v>
      </c>
      <c r="B12518" s="35" t="s">
        <v>12611</v>
      </c>
    </row>
    <row r="12519" spans="1:2" x14ac:dyDescent="0.35">
      <c r="A12519" s="34">
        <v>51102717</v>
      </c>
      <c r="B12519" s="35" t="s">
        <v>9179</v>
      </c>
    </row>
    <row r="12520" spans="1:2" x14ac:dyDescent="0.35">
      <c r="A12520" s="34">
        <v>51102718</v>
      </c>
      <c r="B12520" s="35" t="s">
        <v>10660</v>
      </c>
    </row>
    <row r="12521" spans="1:2" x14ac:dyDescent="0.35">
      <c r="A12521" s="34">
        <v>51102719</v>
      </c>
      <c r="B12521" s="35" t="s">
        <v>3523</v>
      </c>
    </row>
    <row r="12522" spans="1:2" x14ac:dyDescent="0.35">
      <c r="A12522" s="34">
        <v>51102720</v>
      </c>
      <c r="B12522" s="35" t="s">
        <v>15286</v>
      </c>
    </row>
    <row r="12523" spans="1:2" x14ac:dyDescent="0.35">
      <c r="A12523" s="34">
        <v>51102721</v>
      </c>
      <c r="B12523" s="35" t="s">
        <v>8736</v>
      </c>
    </row>
    <row r="12524" spans="1:2" x14ac:dyDescent="0.35">
      <c r="A12524" s="34">
        <v>51102722</v>
      </c>
      <c r="B12524" s="35" t="s">
        <v>3865</v>
      </c>
    </row>
    <row r="12525" spans="1:2" x14ac:dyDescent="0.35">
      <c r="A12525" s="34">
        <v>51102723</v>
      </c>
      <c r="B12525" s="35" t="s">
        <v>18497</v>
      </c>
    </row>
    <row r="12526" spans="1:2" x14ac:dyDescent="0.35">
      <c r="A12526" s="34">
        <v>51102724</v>
      </c>
      <c r="B12526" s="35" t="s">
        <v>7848</v>
      </c>
    </row>
    <row r="12527" spans="1:2" x14ac:dyDescent="0.35">
      <c r="A12527" s="34">
        <v>51102725</v>
      </c>
      <c r="B12527" s="35" t="s">
        <v>14056</v>
      </c>
    </row>
    <row r="12528" spans="1:2" x14ac:dyDescent="0.35">
      <c r="A12528" s="34">
        <v>51102726</v>
      </c>
      <c r="B12528" s="35" t="s">
        <v>7353</v>
      </c>
    </row>
    <row r="12529" spans="1:2" x14ac:dyDescent="0.35">
      <c r="A12529" s="34">
        <v>51102727</v>
      </c>
      <c r="B12529" s="35" t="s">
        <v>1209</v>
      </c>
    </row>
    <row r="12530" spans="1:2" x14ac:dyDescent="0.35">
      <c r="A12530" s="34">
        <v>51102728</v>
      </c>
      <c r="B12530" s="35" t="s">
        <v>19402</v>
      </c>
    </row>
    <row r="12531" spans="1:2" x14ac:dyDescent="0.35">
      <c r="A12531" s="34">
        <v>51102729</v>
      </c>
      <c r="B12531" s="35" t="s">
        <v>17446</v>
      </c>
    </row>
    <row r="12532" spans="1:2" x14ac:dyDescent="0.35">
      <c r="A12532" s="34">
        <v>51102730</v>
      </c>
      <c r="B12532" s="35" t="s">
        <v>11528</v>
      </c>
    </row>
    <row r="12533" spans="1:2" x14ac:dyDescent="0.35">
      <c r="A12533" s="34">
        <v>51111501</v>
      </c>
      <c r="B12533" s="35" t="s">
        <v>11705</v>
      </c>
    </row>
    <row r="12534" spans="1:2" x14ac:dyDescent="0.35">
      <c r="A12534" s="34">
        <v>51111502</v>
      </c>
      <c r="B12534" s="35" t="s">
        <v>6109</v>
      </c>
    </row>
    <row r="12535" spans="1:2" x14ac:dyDescent="0.35">
      <c r="A12535" s="34">
        <v>51111503</v>
      </c>
      <c r="B12535" s="35" t="s">
        <v>7152</v>
      </c>
    </row>
    <row r="12536" spans="1:2" x14ac:dyDescent="0.35">
      <c r="A12536" s="34">
        <v>51111504</v>
      </c>
      <c r="B12536" s="35" t="s">
        <v>11136</v>
      </c>
    </row>
    <row r="12537" spans="1:2" x14ac:dyDescent="0.35">
      <c r="A12537" s="34">
        <v>51111505</v>
      </c>
      <c r="B12537" s="35" t="s">
        <v>15725</v>
      </c>
    </row>
    <row r="12538" spans="1:2" x14ac:dyDescent="0.35">
      <c r="A12538" s="34">
        <v>51111506</v>
      </c>
      <c r="B12538" s="35" t="s">
        <v>9227</v>
      </c>
    </row>
    <row r="12539" spans="1:2" x14ac:dyDescent="0.35">
      <c r="A12539" s="34">
        <v>51111507</v>
      </c>
      <c r="B12539" s="35" t="s">
        <v>11016</v>
      </c>
    </row>
    <row r="12540" spans="1:2" x14ac:dyDescent="0.35">
      <c r="A12540" s="34">
        <v>51111508</v>
      </c>
      <c r="B12540" s="35" t="s">
        <v>5300</v>
      </c>
    </row>
    <row r="12541" spans="1:2" x14ac:dyDescent="0.35">
      <c r="A12541" s="34">
        <v>51111509</v>
      </c>
      <c r="B12541" s="35" t="s">
        <v>12136</v>
      </c>
    </row>
    <row r="12542" spans="1:2" x14ac:dyDescent="0.35">
      <c r="A12542" s="34">
        <v>51111510</v>
      </c>
      <c r="B12542" s="35" t="s">
        <v>12847</v>
      </c>
    </row>
    <row r="12543" spans="1:2" x14ac:dyDescent="0.35">
      <c r="A12543" s="34">
        <v>51111511</v>
      </c>
      <c r="B12543" s="35" t="s">
        <v>530</v>
      </c>
    </row>
    <row r="12544" spans="1:2" x14ac:dyDescent="0.35">
      <c r="A12544" s="34">
        <v>51111512</v>
      </c>
      <c r="B12544" s="35" t="s">
        <v>18301</v>
      </c>
    </row>
    <row r="12545" spans="1:2" x14ac:dyDescent="0.35">
      <c r="A12545" s="34">
        <v>51111513</v>
      </c>
      <c r="B12545" s="35" t="s">
        <v>2183</v>
      </c>
    </row>
    <row r="12546" spans="1:2" x14ac:dyDescent="0.35">
      <c r="A12546" s="34">
        <v>51111514</v>
      </c>
      <c r="B12546" s="35" t="s">
        <v>16717</v>
      </c>
    </row>
    <row r="12547" spans="1:2" x14ac:dyDescent="0.35">
      <c r="A12547" s="34">
        <v>51111515</v>
      </c>
      <c r="B12547" s="35" t="s">
        <v>19321</v>
      </c>
    </row>
    <row r="12548" spans="1:2" x14ac:dyDescent="0.35">
      <c r="A12548" s="34">
        <v>51111516</v>
      </c>
      <c r="B12548" s="35" t="s">
        <v>18848</v>
      </c>
    </row>
    <row r="12549" spans="1:2" x14ac:dyDescent="0.35">
      <c r="A12549" s="34">
        <v>51111517</v>
      </c>
      <c r="B12549" s="35" t="s">
        <v>8724</v>
      </c>
    </row>
    <row r="12550" spans="1:2" x14ac:dyDescent="0.35">
      <c r="A12550" s="34">
        <v>51111518</v>
      </c>
      <c r="B12550" s="35" t="s">
        <v>16493</v>
      </c>
    </row>
    <row r="12551" spans="1:2" x14ac:dyDescent="0.35">
      <c r="A12551" s="34">
        <v>51111519</v>
      </c>
      <c r="B12551" s="35" t="s">
        <v>5021</v>
      </c>
    </row>
    <row r="12552" spans="1:2" x14ac:dyDescent="0.35">
      <c r="A12552" s="34">
        <v>51111520</v>
      </c>
      <c r="B12552" s="35" t="s">
        <v>18918</v>
      </c>
    </row>
    <row r="12553" spans="1:2" x14ac:dyDescent="0.35">
      <c r="A12553" s="34">
        <v>51111521</v>
      </c>
      <c r="B12553" s="35" t="s">
        <v>16479</v>
      </c>
    </row>
    <row r="12554" spans="1:2" x14ac:dyDescent="0.35">
      <c r="A12554" s="34">
        <v>51111601</v>
      </c>
      <c r="B12554" s="35" t="s">
        <v>19656</v>
      </c>
    </row>
    <row r="12555" spans="1:2" x14ac:dyDescent="0.35">
      <c r="A12555" s="34">
        <v>51111602</v>
      </c>
      <c r="B12555" s="35" t="s">
        <v>12974</v>
      </c>
    </row>
    <row r="12556" spans="1:2" x14ac:dyDescent="0.35">
      <c r="A12556" s="34">
        <v>51111603</v>
      </c>
      <c r="B12556" s="35" t="s">
        <v>5139</v>
      </c>
    </row>
    <row r="12557" spans="1:2" x14ac:dyDescent="0.35">
      <c r="A12557" s="34">
        <v>51111604</v>
      </c>
      <c r="B12557" s="35" t="s">
        <v>15186</v>
      </c>
    </row>
    <row r="12558" spans="1:2" x14ac:dyDescent="0.35">
      <c r="A12558" s="34">
        <v>51111605</v>
      </c>
      <c r="B12558" s="35" t="s">
        <v>3898</v>
      </c>
    </row>
    <row r="12559" spans="1:2" x14ac:dyDescent="0.35">
      <c r="A12559" s="34">
        <v>51111606</v>
      </c>
      <c r="B12559" s="35" t="s">
        <v>6854</v>
      </c>
    </row>
    <row r="12560" spans="1:2" x14ac:dyDescent="0.35">
      <c r="A12560" s="34">
        <v>51111609</v>
      </c>
      <c r="B12560" s="35" t="s">
        <v>9271</v>
      </c>
    </row>
    <row r="12561" spans="1:2" x14ac:dyDescent="0.35">
      <c r="A12561" s="34">
        <v>51111610</v>
      </c>
      <c r="B12561" s="35" t="s">
        <v>219</v>
      </c>
    </row>
    <row r="12562" spans="1:2" x14ac:dyDescent="0.35">
      <c r="A12562" s="34">
        <v>51111611</v>
      </c>
      <c r="B12562" s="35" t="s">
        <v>5410</v>
      </c>
    </row>
    <row r="12563" spans="1:2" x14ac:dyDescent="0.35">
      <c r="A12563" s="34">
        <v>51111612</v>
      </c>
      <c r="B12563" s="35" t="s">
        <v>1731</v>
      </c>
    </row>
    <row r="12564" spans="1:2" x14ac:dyDescent="0.35">
      <c r="A12564" s="34">
        <v>51111613</v>
      </c>
      <c r="B12564" s="35" t="s">
        <v>10063</v>
      </c>
    </row>
    <row r="12565" spans="1:2" x14ac:dyDescent="0.35">
      <c r="A12565" s="34">
        <v>51111614</v>
      </c>
      <c r="B12565" s="35" t="s">
        <v>17312</v>
      </c>
    </row>
    <row r="12566" spans="1:2" x14ac:dyDescent="0.35">
      <c r="A12566" s="34">
        <v>51111615</v>
      </c>
      <c r="B12566" s="35" t="s">
        <v>3485</v>
      </c>
    </row>
    <row r="12567" spans="1:2" x14ac:dyDescent="0.35">
      <c r="A12567" s="34">
        <v>51111616</v>
      </c>
      <c r="B12567" s="35" t="s">
        <v>7269</v>
      </c>
    </row>
    <row r="12568" spans="1:2" x14ac:dyDescent="0.35">
      <c r="A12568" s="34">
        <v>51111617</v>
      </c>
      <c r="B12568" s="35" t="s">
        <v>8346</v>
      </c>
    </row>
    <row r="12569" spans="1:2" x14ac:dyDescent="0.35">
      <c r="A12569" s="34">
        <v>51111618</v>
      </c>
      <c r="B12569" s="35" t="s">
        <v>2827</v>
      </c>
    </row>
    <row r="12570" spans="1:2" x14ac:dyDescent="0.35">
      <c r="A12570" s="34">
        <v>51111701</v>
      </c>
      <c r="B12570" s="35" t="s">
        <v>4895</v>
      </c>
    </row>
    <row r="12571" spans="1:2" x14ac:dyDescent="0.35">
      <c r="A12571" s="34">
        <v>51111702</v>
      </c>
      <c r="B12571" s="35" t="s">
        <v>5450</v>
      </c>
    </row>
    <row r="12572" spans="1:2" x14ac:dyDescent="0.35">
      <c r="A12572" s="34">
        <v>51111703</v>
      </c>
      <c r="B12572" s="35" t="s">
        <v>12314</v>
      </c>
    </row>
    <row r="12573" spans="1:2" x14ac:dyDescent="0.35">
      <c r="A12573" s="34">
        <v>51111704</v>
      </c>
      <c r="B12573" s="35" t="s">
        <v>16769</v>
      </c>
    </row>
    <row r="12574" spans="1:2" x14ac:dyDescent="0.35">
      <c r="A12574" s="34">
        <v>51111705</v>
      </c>
      <c r="B12574" s="35" t="s">
        <v>2337</v>
      </c>
    </row>
    <row r="12575" spans="1:2" x14ac:dyDescent="0.35">
      <c r="A12575" s="34">
        <v>51111706</v>
      </c>
      <c r="B12575" s="35" t="s">
        <v>12403</v>
      </c>
    </row>
    <row r="12576" spans="1:2" x14ac:dyDescent="0.35">
      <c r="A12576" s="34">
        <v>51111707</v>
      </c>
      <c r="B12576" s="35" t="s">
        <v>12299</v>
      </c>
    </row>
    <row r="12577" spans="1:2" x14ac:dyDescent="0.35">
      <c r="A12577" s="34">
        <v>51111708</v>
      </c>
      <c r="B12577" s="35" t="s">
        <v>2462</v>
      </c>
    </row>
    <row r="12578" spans="1:2" x14ac:dyDescent="0.35">
      <c r="A12578" s="34">
        <v>51111709</v>
      </c>
      <c r="B12578" s="35" t="s">
        <v>6468</v>
      </c>
    </row>
    <row r="12579" spans="1:2" x14ac:dyDescent="0.35">
      <c r="A12579" s="34">
        <v>51111710</v>
      </c>
      <c r="B12579" s="35" t="s">
        <v>1427</v>
      </c>
    </row>
    <row r="12580" spans="1:2" x14ac:dyDescent="0.35">
      <c r="A12580" s="34">
        <v>51111711</v>
      </c>
      <c r="B12580" s="35" t="s">
        <v>11007</v>
      </c>
    </row>
    <row r="12581" spans="1:2" x14ac:dyDescent="0.35">
      <c r="A12581" s="34">
        <v>51111712</v>
      </c>
      <c r="B12581" s="35" t="s">
        <v>11082</v>
      </c>
    </row>
    <row r="12582" spans="1:2" x14ac:dyDescent="0.35">
      <c r="A12582" s="34">
        <v>51111713</v>
      </c>
      <c r="B12582" s="35" t="s">
        <v>17235</v>
      </c>
    </row>
    <row r="12583" spans="1:2" x14ac:dyDescent="0.35">
      <c r="A12583" s="34">
        <v>51111714</v>
      </c>
      <c r="B12583" s="35" t="s">
        <v>8024</v>
      </c>
    </row>
    <row r="12584" spans="1:2" x14ac:dyDescent="0.35">
      <c r="A12584" s="34">
        <v>51111715</v>
      </c>
      <c r="B12584" s="35" t="s">
        <v>9090</v>
      </c>
    </row>
    <row r="12585" spans="1:2" x14ac:dyDescent="0.35">
      <c r="A12585" s="34">
        <v>51111716</v>
      </c>
      <c r="B12585" s="35" t="s">
        <v>6758</v>
      </c>
    </row>
    <row r="12586" spans="1:2" x14ac:dyDescent="0.35">
      <c r="A12586" s="34">
        <v>51111717</v>
      </c>
      <c r="B12586" s="35" t="s">
        <v>458</v>
      </c>
    </row>
    <row r="12587" spans="1:2" x14ac:dyDescent="0.35">
      <c r="A12587" s="34">
        <v>51111718</v>
      </c>
      <c r="B12587" s="35" t="s">
        <v>8090</v>
      </c>
    </row>
    <row r="12588" spans="1:2" x14ac:dyDescent="0.35">
      <c r="A12588" s="34">
        <v>51111719</v>
      </c>
      <c r="B12588" s="35" t="s">
        <v>17439</v>
      </c>
    </row>
    <row r="12589" spans="1:2" x14ac:dyDescent="0.35">
      <c r="A12589" s="34">
        <v>51111801</v>
      </c>
      <c r="B12589" s="35" t="s">
        <v>3665</v>
      </c>
    </row>
    <row r="12590" spans="1:2" x14ac:dyDescent="0.35">
      <c r="A12590" s="34">
        <v>51111802</v>
      </c>
      <c r="B12590" s="35" t="s">
        <v>13674</v>
      </c>
    </row>
    <row r="12591" spans="1:2" x14ac:dyDescent="0.35">
      <c r="A12591" s="34">
        <v>51111803</v>
      </c>
      <c r="B12591" s="35" t="s">
        <v>8004</v>
      </c>
    </row>
    <row r="12592" spans="1:2" x14ac:dyDescent="0.35">
      <c r="A12592" s="34">
        <v>51111804</v>
      </c>
      <c r="B12592" s="35" t="s">
        <v>5980</v>
      </c>
    </row>
    <row r="12593" spans="1:2" x14ac:dyDescent="0.35">
      <c r="A12593" s="34">
        <v>51111805</v>
      </c>
      <c r="B12593" s="35" t="s">
        <v>5895</v>
      </c>
    </row>
    <row r="12594" spans="1:2" x14ac:dyDescent="0.35">
      <c r="A12594" s="34">
        <v>51111806</v>
      </c>
      <c r="B12594" s="35" t="s">
        <v>10085</v>
      </c>
    </row>
    <row r="12595" spans="1:2" x14ac:dyDescent="0.35">
      <c r="A12595" s="34">
        <v>51111807</v>
      </c>
      <c r="B12595" s="35" t="s">
        <v>14752</v>
      </c>
    </row>
    <row r="12596" spans="1:2" x14ac:dyDescent="0.35">
      <c r="A12596" s="34">
        <v>51111808</v>
      </c>
      <c r="B12596" s="35" t="s">
        <v>19141</v>
      </c>
    </row>
    <row r="12597" spans="1:2" x14ac:dyDescent="0.35">
      <c r="A12597" s="34">
        <v>51111809</v>
      </c>
      <c r="B12597" s="35" t="s">
        <v>15399</v>
      </c>
    </row>
    <row r="12598" spans="1:2" x14ac:dyDescent="0.35">
      <c r="A12598" s="34">
        <v>51111810</v>
      </c>
      <c r="B12598" s="35" t="s">
        <v>19619</v>
      </c>
    </row>
    <row r="12599" spans="1:2" x14ac:dyDescent="0.35">
      <c r="A12599" s="34">
        <v>51111811</v>
      </c>
      <c r="B12599" s="35" t="s">
        <v>15531</v>
      </c>
    </row>
    <row r="12600" spans="1:2" x14ac:dyDescent="0.35">
      <c r="A12600" s="34">
        <v>51111812</v>
      </c>
      <c r="B12600" s="35" t="s">
        <v>5025</v>
      </c>
    </row>
    <row r="12601" spans="1:2" x14ac:dyDescent="0.35">
      <c r="A12601" s="34">
        <v>51111813</v>
      </c>
      <c r="B12601" s="35" t="s">
        <v>6468</v>
      </c>
    </row>
    <row r="12602" spans="1:2" x14ac:dyDescent="0.35">
      <c r="A12602" s="34">
        <v>51111814</v>
      </c>
      <c r="B12602" s="35" t="s">
        <v>11399</v>
      </c>
    </row>
    <row r="12603" spans="1:2" x14ac:dyDescent="0.35">
      <c r="A12603" s="34">
        <v>51111815</v>
      </c>
      <c r="B12603" s="35" t="s">
        <v>13342</v>
      </c>
    </row>
    <row r="12604" spans="1:2" x14ac:dyDescent="0.35">
      <c r="A12604" s="34">
        <v>51111816</v>
      </c>
      <c r="B12604" s="35" t="s">
        <v>18445</v>
      </c>
    </row>
    <row r="12605" spans="1:2" x14ac:dyDescent="0.35">
      <c r="A12605" s="34">
        <v>51111817</v>
      </c>
      <c r="B12605" s="35" t="s">
        <v>14215</v>
      </c>
    </row>
    <row r="12606" spans="1:2" x14ac:dyDescent="0.35">
      <c r="A12606" s="34">
        <v>51111818</v>
      </c>
      <c r="B12606" s="35" t="s">
        <v>10589</v>
      </c>
    </row>
    <row r="12607" spans="1:2" x14ac:dyDescent="0.35">
      <c r="A12607" s="34">
        <v>51111819</v>
      </c>
      <c r="B12607" s="35" t="s">
        <v>9776</v>
      </c>
    </row>
    <row r="12608" spans="1:2" x14ac:dyDescent="0.35">
      <c r="A12608" s="34">
        <v>51111820</v>
      </c>
      <c r="B12608" s="35" t="s">
        <v>14939</v>
      </c>
    </row>
    <row r="12609" spans="1:2" x14ac:dyDescent="0.35">
      <c r="A12609" s="34">
        <v>51111821</v>
      </c>
      <c r="B12609" s="35" t="s">
        <v>5905</v>
      </c>
    </row>
    <row r="12610" spans="1:2" x14ac:dyDescent="0.35">
      <c r="A12610" s="34">
        <v>51111901</v>
      </c>
      <c r="B12610" s="35" t="s">
        <v>7639</v>
      </c>
    </row>
    <row r="12611" spans="1:2" x14ac:dyDescent="0.35">
      <c r="A12611" s="34">
        <v>51111902</v>
      </c>
      <c r="B12611" s="35" t="s">
        <v>2699</v>
      </c>
    </row>
    <row r="12612" spans="1:2" x14ac:dyDescent="0.35">
      <c r="A12612" s="34">
        <v>51111904</v>
      </c>
      <c r="B12612" s="35" t="s">
        <v>10332</v>
      </c>
    </row>
    <row r="12613" spans="1:2" x14ac:dyDescent="0.35">
      <c r="A12613" s="34">
        <v>51111905</v>
      </c>
      <c r="B12613" s="35" t="s">
        <v>9642</v>
      </c>
    </row>
    <row r="12614" spans="1:2" x14ac:dyDescent="0.35">
      <c r="A12614" s="34">
        <v>51111906</v>
      </c>
      <c r="B12614" s="35" t="s">
        <v>1060</v>
      </c>
    </row>
    <row r="12615" spans="1:2" x14ac:dyDescent="0.35">
      <c r="A12615" s="34">
        <v>51111907</v>
      </c>
      <c r="B12615" s="35" t="s">
        <v>19501</v>
      </c>
    </row>
    <row r="12616" spans="1:2" x14ac:dyDescent="0.35">
      <c r="A12616" s="34">
        <v>51121501</v>
      </c>
      <c r="B12616" s="35" t="s">
        <v>17688</v>
      </c>
    </row>
    <row r="12617" spans="1:2" x14ac:dyDescent="0.35">
      <c r="A12617" s="34">
        <v>51121502</v>
      </c>
      <c r="B12617" s="35" t="s">
        <v>10448</v>
      </c>
    </row>
    <row r="12618" spans="1:2" x14ac:dyDescent="0.35">
      <c r="A12618" s="34">
        <v>51121503</v>
      </c>
      <c r="B12618" s="35" t="s">
        <v>6186</v>
      </c>
    </row>
    <row r="12619" spans="1:2" x14ac:dyDescent="0.35">
      <c r="A12619" s="34">
        <v>51121504</v>
      </c>
      <c r="B12619" s="35" t="s">
        <v>14361</v>
      </c>
    </row>
    <row r="12620" spans="1:2" x14ac:dyDescent="0.35">
      <c r="A12620" s="34">
        <v>51121506</v>
      </c>
      <c r="B12620" s="35" t="s">
        <v>11530</v>
      </c>
    </row>
    <row r="12621" spans="1:2" x14ac:dyDescent="0.35">
      <c r="A12621" s="34">
        <v>51121507</v>
      </c>
      <c r="B12621" s="35" t="s">
        <v>6727</v>
      </c>
    </row>
    <row r="12622" spans="1:2" x14ac:dyDescent="0.35">
      <c r="A12622" s="34">
        <v>51121509</v>
      </c>
      <c r="B12622" s="35" t="s">
        <v>1517</v>
      </c>
    </row>
    <row r="12623" spans="1:2" x14ac:dyDescent="0.35">
      <c r="A12623" s="34">
        <v>51121510</v>
      </c>
      <c r="B12623" s="35" t="s">
        <v>10901</v>
      </c>
    </row>
    <row r="12624" spans="1:2" x14ac:dyDescent="0.35">
      <c r="A12624" s="34">
        <v>51121511</v>
      </c>
      <c r="B12624" s="35" t="s">
        <v>13261</v>
      </c>
    </row>
    <row r="12625" spans="1:2" x14ac:dyDescent="0.35">
      <c r="A12625" s="34">
        <v>51121512</v>
      </c>
      <c r="B12625" s="35" t="s">
        <v>17042</v>
      </c>
    </row>
    <row r="12626" spans="1:2" x14ac:dyDescent="0.35">
      <c r="A12626" s="34">
        <v>51121513</v>
      </c>
      <c r="B12626" s="35" t="s">
        <v>14477</v>
      </c>
    </row>
    <row r="12627" spans="1:2" x14ac:dyDescent="0.35">
      <c r="A12627" s="34">
        <v>51121514</v>
      </c>
      <c r="B12627" s="35" t="s">
        <v>14698</v>
      </c>
    </row>
    <row r="12628" spans="1:2" x14ac:dyDescent="0.35">
      <c r="A12628" s="34">
        <v>51121515</v>
      </c>
      <c r="B12628" s="35" t="s">
        <v>10006</v>
      </c>
    </row>
    <row r="12629" spans="1:2" x14ac:dyDescent="0.35">
      <c r="A12629" s="34">
        <v>51121516</v>
      </c>
      <c r="B12629" s="35" t="s">
        <v>15120</v>
      </c>
    </row>
    <row r="12630" spans="1:2" x14ac:dyDescent="0.35">
      <c r="A12630" s="34">
        <v>51121517</v>
      </c>
      <c r="B12630" s="35" t="s">
        <v>17243</v>
      </c>
    </row>
    <row r="12631" spans="1:2" x14ac:dyDescent="0.35">
      <c r="A12631" s="34">
        <v>51121518</v>
      </c>
      <c r="B12631" s="35" t="s">
        <v>11673</v>
      </c>
    </row>
    <row r="12632" spans="1:2" x14ac:dyDescent="0.35">
      <c r="A12632" s="34">
        <v>51121519</v>
      </c>
      <c r="B12632" s="35" t="s">
        <v>1827</v>
      </c>
    </row>
    <row r="12633" spans="1:2" x14ac:dyDescent="0.35">
      <c r="A12633" s="34">
        <v>51121520</v>
      </c>
      <c r="B12633" s="35" t="s">
        <v>4890</v>
      </c>
    </row>
    <row r="12634" spans="1:2" x14ac:dyDescent="0.35">
      <c r="A12634" s="34">
        <v>51121521</v>
      </c>
      <c r="B12634" s="35" t="s">
        <v>4140</v>
      </c>
    </row>
    <row r="12635" spans="1:2" x14ac:dyDescent="0.35">
      <c r="A12635" s="34">
        <v>51121522</v>
      </c>
      <c r="B12635" s="35" t="s">
        <v>7016</v>
      </c>
    </row>
    <row r="12636" spans="1:2" x14ac:dyDescent="0.35">
      <c r="A12636" s="34">
        <v>51121523</v>
      </c>
      <c r="B12636" s="35" t="s">
        <v>15938</v>
      </c>
    </row>
    <row r="12637" spans="1:2" x14ac:dyDescent="0.35">
      <c r="A12637" s="34">
        <v>51121601</v>
      </c>
      <c r="B12637" s="35" t="s">
        <v>11793</v>
      </c>
    </row>
    <row r="12638" spans="1:2" x14ac:dyDescent="0.35">
      <c r="A12638" s="34">
        <v>51121602</v>
      </c>
      <c r="B12638" s="35" t="s">
        <v>3011</v>
      </c>
    </row>
    <row r="12639" spans="1:2" x14ac:dyDescent="0.35">
      <c r="A12639" s="34">
        <v>51121603</v>
      </c>
      <c r="B12639" s="35" t="s">
        <v>14117</v>
      </c>
    </row>
    <row r="12640" spans="1:2" x14ac:dyDescent="0.35">
      <c r="A12640" s="34">
        <v>51121604</v>
      </c>
      <c r="B12640" s="35" t="s">
        <v>2986</v>
      </c>
    </row>
    <row r="12641" spans="1:2" x14ac:dyDescent="0.35">
      <c r="A12641" s="34">
        <v>51121607</v>
      </c>
      <c r="B12641" s="35" t="s">
        <v>607</v>
      </c>
    </row>
    <row r="12642" spans="1:2" x14ac:dyDescent="0.35">
      <c r="A12642" s="34">
        <v>51121608</v>
      </c>
      <c r="B12642" s="35" t="s">
        <v>18150</v>
      </c>
    </row>
    <row r="12643" spans="1:2" x14ac:dyDescent="0.35">
      <c r="A12643" s="34">
        <v>51121609</v>
      </c>
      <c r="B12643" s="35" t="s">
        <v>12556</v>
      </c>
    </row>
    <row r="12644" spans="1:2" x14ac:dyDescent="0.35">
      <c r="A12644" s="34">
        <v>51121610</v>
      </c>
      <c r="B12644" s="35" t="s">
        <v>2825</v>
      </c>
    </row>
    <row r="12645" spans="1:2" x14ac:dyDescent="0.35">
      <c r="A12645" s="34">
        <v>51121611</v>
      </c>
      <c r="B12645" s="35" t="s">
        <v>12369</v>
      </c>
    </row>
    <row r="12646" spans="1:2" x14ac:dyDescent="0.35">
      <c r="A12646" s="34">
        <v>51121614</v>
      </c>
      <c r="B12646" s="35" t="s">
        <v>8745</v>
      </c>
    </row>
    <row r="12647" spans="1:2" x14ac:dyDescent="0.35">
      <c r="A12647" s="34">
        <v>51121615</v>
      </c>
      <c r="B12647" s="35" t="s">
        <v>13118</v>
      </c>
    </row>
    <row r="12648" spans="1:2" x14ac:dyDescent="0.35">
      <c r="A12648" s="34">
        <v>51121616</v>
      </c>
      <c r="B12648" s="35" t="s">
        <v>10393</v>
      </c>
    </row>
    <row r="12649" spans="1:2" x14ac:dyDescent="0.35">
      <c r="A12649" s="34">
        <v>51121701</v>
      </c>
      <c r="B12649" s="35" t="s">
        <v>13332</v>
      </c>
    </row>
    <row r="12650" spans="1:2" x14ac:dyDescent="0.35">
      <c r="A12650" s="34">
        <v>51121702</v>
      </c>
      <c r="B12650" s="35" t="s">
        <v>11890</v>
      </c>
    </row>
    <row r="12651" spans="1:2" x14ac:dyDescent="0.35">
      <c r="A12651" s="34">
        <v>51121703</v>
      </c>
      <c r="B12651" s="35" t="s">
        <v>13273</v>
      </c>
    </row>
    <row r="12652" spans="1:2" x14ac:dyDescent="0.35">
      <c r="A12652" s="34">
        <v>51121704</v>
      </c>
      <c r="B12652" s="35" t="s">
        <v>17796</v>
      </c>
    </row>
    <row r="12653" spans="1:2" x14ac:dyDescent="0.35">
      <c r="A12653" s="34">
        <v>51121705</v>
      </c>
      <c r="B12653" s="35" t="s">
        <v>16680</v>
      </c>
    </row>
    <row r="12654" spans="1:2" x14ac:dyDescent="0.35">
      <c r="A12654" s="34">
        <v>51121706</v>
      </c>
      <c r="B12654" s="35" t="s">
        <v>11055</v>
      </c>
    </row>
    <row r="12655" spans="1:2" x14ac:dyDescent="0.35">
      <c r="A12655" s="34">
        <v>51121707</v>
      </c>
      <c r="B12655" s="35" t="s">
        <v>5087</v>
      </c>
    </row>
    <row r="12656" spans="1:2" x14ac:dyDescent="0.35">
      <c r="A12656" s="34">
        <v>51121708</v>
      </c>
      <c r="B12656" s="35" t="s">
        <v>14380</v>
      </c>
    </row>
    <row r="12657" spans="1:2" x14ac:dyDescent="0.35">
      <c r="A12657" s="34">
        <v>51121709</v>
      </c>
      <c r="B12657" s="35" t="s">
        <v>13821</v>
      </c>
    </row>
    <row r="12658" spans="1:2" x14ac:dyDescent="0.35">
      <c r="A12658" s="34">
        <v>51121710</v>
      </c>
      <c r="B12658" s="35" t="s">
        <v>11095</v>
      </c>
    </row>
    <row r="12659" spans="1:2" x14ac:dyDescent="0.35">
      <c r="A12659" s="34">
        <v>51121711</v>
      </c>
      <c r="B12659" s="35" t="s">
        <v>13736</v>
      </c>
    </row>
    <row r="12660" spans="1:2" x14ac:dyDescent="0.35">
      <c r="A12660" s="34">
        <v>51121713</v>
      </c>
      <c r="B12660" s="35" t="s">
        <v>17680</v>
      </c>
    </row>
    <row r="12661" spans="1:2" x14ac:dyDescent="0.35">
      <c r="A12661" s="34">
        <v>51121714</v>
      </c>
      <c r="B12661" s="35" t="s">
        <v>9997</v>
      </c>
    </row>
    <row r="12662" spans="1:2" x14ac:dyDescent="0.35">
      <c r="A12662" s="34">
        <v>51121715</v>
      </c>
      <c r="B12662" s="35" t="s">
        <v>19131</v>
      </c>
    </row>
    <row r="12663" spans="1:2" x14ac:dyDescent="0.35">
      <c r="A12663" s="34">
        <v>51121716</v>
      </c>
      <c r="B12663" s="35" t="s">
        <v>17568</v>
      </c>
    </row>
    <row r="12664" spans="1:2" x14ac:dyDescent="0.35">
      <c r="A12664" s="34">
        <v>51121717</v>
      </c>
      <c r="B12664" s="35" t="s">
        <v>7448</v>
      </c>
    </row>
    <row r="12665" spans="1:2" x14ac:dyDescent="0.35">
      <c r="A12665" s="34">
        <v>51121718</v>
      </c>
      <c r="B12665" s="35" t="s">
        <v>15844</v>
      </c>
    </row>
    <row r="12666" spans="1:2" x14ac:dyDescent="0.35">
      <c r="A12666" s="34">
        <v>51121721</v>
      </c>
      <c r="B12666" s="35" t="s">
        <v>7670</v>
      </c>
    </row>
    <row r="12667" spans="1:2" x14ac:dyDescent="0.35">
      <c r="A12667" s="34">
        <v>51121722</v>
      </c>
      <c r="B12667" s="35" t="s">
        <v>19319</v>
      </c>
    </row>
    <row r="12668" spans="1:2" x14ac:dyDescent="0.35">
      <c r="A12668" s="34">
        <v>51121724</v>
      </c>
      <c r="B12668" s="35" t="s">
        <v>16408</v>
      </c>
    </row>
    <row r="12669" spans="1:2" x14ac:dyDescent="0.35">
      <c r="A12669" s="34">
        <v>51121725</v>
      </c>
      <c r="B12669" s="35" t="s">
        <v>2740</v>
      </c>
    </row>
    <row r="12670" spans="1:2" x14ac:dyDescent="0.35">
      <c r="A12670" s="34">
        <v>51121726</v>
      </c>
      <c r="B12670" s="35" t="s">
        <v>5209</v>
      </c>
    </row>
    <row r="12671" spans="1:2" x14ac:dyDescent="0.35">
      <c r="A12671" s="34">
        <v>51121727</v>
      </c>
      <c r="B12671" s="35" t="s">
        <v>1151</v>
      </c>
    </row>
    <row r="12672" spans="1:2" x14ac:dyDescent="0.35">
      <c r="A12672" s="34">
        <v>51121728</v>
      </c>
      <c r="B12672" s="35" t="s">
        <v>16342</v>
      </c>
    </row>
    <row r="12673" spans="1:2" x14ac:dyDescent="0.35">
      <c r="A12673" s="34">
        <v>51121729</v>
      </c>
      <c r="B12673" s="35" t="s">
        <v>16178</v>
      </c>
    </row>
    <row r="12674" spans="1:2" x14ac:dyDescent="0.35">
      <c r="A12674" s="34">
        <v>51121730</v>
      </c>
      <c r="B12674" s="35" t="s">
        <v>1844</v>
      </c>
    </row>
    <row r="12675" spans="1:2" x14ac:dyDescent="0.35">
      <c r="A12675" s="34">
        <v>51121731</v>
      </c>
      <c r="B12675" s="35" t="s">
        <v>17432</v>
      </c>
    </row>
    <row r="12676" spans="1:2" x14ac:dyDescent="0.35">
      <c r="A12676" s="34">
        <v>51121732</v>
      </c>
      <c r="B12676" s="35" t="s">
        <v>1214</v>
      </c>
    </row>
    <row r="12677" spans="1:2" x14ac:dyDescent="0.35">
      <c r="A12677" s="34">
        <v>51121733</v>
      </c>
      <c r="B12677" s="35" t="s">
        <v>8413</v>
      </c>
    </row>
    <row r="12678" spans="1:2" x14ac:dyDescent="0.35">
      <c r="A12678" s="34">
        <v>51121734</v>
      </c>
      <c r="B12678" s="35" t="s">
        <v>11623</v>
      </c>
    </row>
    <row r="12679" spans="1:2" x14ac:dyDescent="0.35">
      <c r="A12679" s="34">
        <v>51121735</v>
      </c>
      <c r="B12679" s="35" t="s">
        <v>18906</v>
      </c>
    </row>
    <row r="12680" spans="1:2" x14ac:dyDescent="0.35">
      <c r="A12680" s="34">
        <v>51121737</v>
      </c>
      <c r="B12680" s="35" t="s">
        <v>18743</v>
      </c>
    </row>
    <row r="12681" spans="1:2" x14ac:dyDescent="0.35">
      <c r="A12681" s="34">
        <v>51121738</v>
      </c>
      <c r="B12681" s="35" t="s">
        <v>17479</v>
      </c>
    </row>
    <row r="12682" spans="1:2" x14ac:dyDescent="0.35">
      <c r="A12682" s="34">
        <v>51121739</v>
      </c>
      <c r="B12682" s="35" t="s">
        <v>16913</v>
      </c>
    </row>
    <row r="12683" spans="1:2" x14ac:dyDescent="0.35">
      <c r="A12683" s="34">
        <v>51121740</v>
      </c>
      <c r="B12683" s="35" t="s">
        <v>17277</v>
      </c>
    </row>
    <row r="12684" spans="1:2" x14ac:dyDescent="0.35">
      <c r="A12684" s="34">
        <v>51121741</v>
      </c>
      <c r="B12684" s="35" t="s">
        <v>7960</v>
      </c>
    </row>
    <row r="12685" spans="1:2" x14ac:dyDescent="0.35">
      <c r="A12685" s="34">
        <v>51121742</v>
      </c>
      <c r="B12685" s="35" t="s">
        <v>6025</v>
      </c>
    </row>
    <row r="12686" spans="1:2" x14ac:dyDescent="0.35">
      <c r="A12686" s="34">
        <v>51121743</v>
      </c>
      <c r="B12686" s="35" t="s">
        <v>416</v>
      </c>
    </row>
    <row r="12687" spans="1:2" x14ac:dyDescent="0.35">
      <c r="A12687" s="34">
        <v>51121744</v>
      </c>
      <c r="B12687" s="35" t="s">
        <v>4364</v>
      </c>
    </row>
    <row r="12688" spans="1:2" x14ac:dyDescent="0.35">
      <c r="A12688" s="34">
        <v>51121745</v>
      </c>
      <c r="B12688" s="35" t="s">
        <v>3573</v>
      </c>
    </row>
    <row r="12689" spans="1:2" x14ac:dyDescent="0.35">
      <c r="A12689" s="34">
        <v>51121746</v>
      </c>
      <c r="B12689" s="35" t="s">
        <v>4081</v>
      </c>
    </row>
    <row r="12690" spans="1:2" x14ac:dyDescent="0.35">
      <c r="A12690" s="34">
        <v>51121747</v>
      </c>
      <c r="B12690" s="35" t="s">
        <v>16104</v>
      </c>
    </row>
    <row r="12691" spans="1:2" x14ac:dyDescent="0.35">
      <c r="A12691" s="34">
        <v>51121748</v>
      </c>
      <c r="B12691" s="35" t="s">
        <v>1791</v>
      </c>
    </row>
    <row r="12692" spans="1:2" x14ac:dyDescent="0.35">
      <c r="A12692" s="34">
        <v>51121749</v>
      </c>
      <c r="B12692" s="35" t="s">
        <v>19355</v>
      </c>
    </row>
    <row r="12693" spans="1:2" x14ac:dyDescent="0.35">
      <c r="A12693" s="34">
        <v>51121750</v>
      </c>
      <c r="B12693" s="35" t="s">
        <v>15279</v>
      </c>
    </row>
    <row r="12694" spans="1:2" x14ac:dyDescent="0.35">
      <c r="A12694" s="34">
        <v>51121751</v>
      </c>
      <c r="B12694" s="35" t="s">
        <v>15436</v>
      </c>
    </row>
    <row r="12695" spans="1:2" x14ac:dyDescent="0.35">
      <c r="A12695" s="34">
        <v>51121752</v>
      </c>
      <c r="B12695" s="35" t="s">
        <v>17931</v>
      </c>
    </row>
    <row r="12696" spans="1:2" x14ac:dyDescent="0.35">
      <c r="A12696" s="34">
        <v>51121753</v>
      </c>
      <c r="B12696" s="35" t="s">
        <v>12637</v>
      </c>
    </row>
    <row r="12697" spans="1:2" x14ac:dyDescent="0.35">
      <c r="A12697" s="34">
        <v>51121754</v>
      </c>
      <c r="B12697" s="35" t="s">
        <v>8073</v>
      </c>
    </row>
    <row r="12698" spans="1:2" x14ac:dyDescent="0.35">
      <c r="A12698" s="34">
        <v>51121755</v>
      </c>
      <c r="B12698" s="35" t="s">
        <v>13931</v>
      </c>
    </row>
    <row r="12699" spans="1:2" x14ac:dyDescent="0.35">
      <c r="A12699" s="34">
        <v>51121756</v>
      </c>
      <c r="B12699" s="35" t="s">
        <v>12967</v>
      </c>
    </row>
    <row r="12700" spans="1:2" x14ac:dyDescent="0.35">
      <c r="A12700" s="34">
        <v>51121757</v>
      </c>
      <c r="B12700" s="35" t="s">
        <v>14033</v>
      </c>
    </row>
    <row r="12701" spans="1:2" x14ac:dyDescent="0.35">
      <c r="A12701" s="34">
        <v>51121758</v>
      </c>
      <c r="B12701" s="35" t="s">
        <v>18090</v>
      </c>
    </row>
    <row r="12702" spans="1:2" x14ac:dyDescent="0.35">
      <c r="A12702" s="34">
        <v>51121759</v>
      </c>
      <c r="B12702" s="35" t="s">
        <v>9952</v>
      </c>
    </row>
    <row r="12703" spans="1:2" x14ac:dyDescent="0.35">
      <c r="A12703" s="34">
        <v>51121760</v>
      </c>
      <c r="B12703" s="35" t="s">
        <v>7139</v>
      </c>
    </row>
    <row r="12704" spans="1:2" x14ac:dyDescent="0.35">
      <c r="A12704" s="34">
        <v>51121761</v>
      </c>
      <c r="B12704" s="35" t="s">
        <v>14046</v>
      </c>
    </row>
    <row r="12705" spans="1:2" x14ac:dyDescent="0.35">
      <c r="A12705" s="34">
        <v>51121762</v>
      </c>
      <c r="B12705" s="35" t="s">
        <v>9047</v>
      </c>
    </row>
    <row r="12706" spans="1:2" x14ac:dyDescent="0.35">
      <c r="A12706" s="34">
        <v>51121763</v>
      </c>
      <c r="B12706" s="35" t="s">
        <v>3690</v>
      </c>
    </row>
    <row r="12707" spans="1:2" x14ac:dyDescent="0.35">
      <c r="A12707" s="34">
        <v>51121764</v>
      </c>
      <c r="B12707" s="35" t="s">
        <v>12643</v>
      </c>
    </row>
    <row r="12708" spans="1:2" x14ac:dyDescent="0.35">
      <c r="A12708" s="34">
        <v>51121765</v>
      </c>
      <c r="B12708" s="35" t="s">
        <v>6852</v>
      </c>
    </row>
    <row r="12709" spans="1:2" x14ac:dyDescent="0.35">
      <c r="A12709" s="34">
        <v>51121801</v>
      </c>
      <c r="B12709" s="35" t="s">
        <v>5669</v>
      </c>
    </row>
    <row r="12710" spans="1:2" x14ac:dyDescent="0.35">
      <c r="A12710" s="34">
        <v>51121802</v>
      </c>
      <c r="B12710" s="35" t="s">
        <v>19033</v>
      </c>
    </row>
    <row r="12711" spans="1:2" x14ac:dyDescent="0.35">
      <c r="A12711" s="34">
        <v>51121803</v>
      </c>
      <c r="B12711" s="35" t="s">
        <v>18184</v>
      </c>
    </row>
    <row r="12712" spans="1:2" x14ac:dyDescent="0.35">
      <c r="A12712" s="34">
        <v>51121804</v>
      </c>
      <c r="B12712" s="35" t="s">
        <v>4427</v>
      </c>
    </row>
    <row r="12713" spans="1:2" x14ac:dyDescent="0.35">
      <c r="A12713" s="34">
        <v>51121805</v>
      </c>
      <c r="B12713" s="35" t="s">
        <v>11491</v>
      </c>
    </row>
    <row r="12714" spans="1:2" x14ac:dyDescent="0.35">
      <c r="A12714" s="34">
        <v>51121806</v>
      </c>
      <c r="B12714" s="35" t="s">
        <v>7853</v>
      </c>
    </row>
    <row r="12715" spans="1:2" x14ac:dyDescent="0.35">
      <c r="A12715" s="34">
        <v>51121807</v>
      </c>
      <c r="B12715" s="35" t="s">
        <v>7234</v>
      </c>
    </row>
    <row r="12716" spans="1:2" x14ac:dyDescent="0.35">
      <c r="A12716" s="34">
        <v>51121808</v>
      </c>
      <c r="B12716" s="35" t="s">
        <v>15024</v>
      </c>
    </row>
    <row r="12717" spans="1:2" x14ac:dyDescent="0.35">
      <c r="A12717" s="34">
        <v>51121809</v>
      </c>
      <c r="B12717" s="35" t="s">
        <v>8553</v>
      </c>
    </row>
    <row r="12718" spans="1:2" x14ac:dyDescent="0.35">
      <c r="A12718" s="34">
        <v>51121810</v>
      </c>
      <c r="B12718" s="35" t="s">
        <v>18681</v>
      </c>
    </row>
    <row r="12719" spans="1:2" x14ac:dyDescent="0.35">
      <c r="A12719" s="34">
        <v>51121811</v>
      </c>
      <c r="B12719" s="35" t="s">
        <v>8761</v>
      </c>
    </row>
    <row r="12720" spans="1:2" x14ac:dyDescent="0.35">
      <c r="A12720" s="34">
        <v>51121812</v>
      </c>
      <c r="B12720" s="35" t="s">
        <v>3032</v>
      </c>
    </row>
    <row r="12721" spans="1:2" x14ac:dyDescent="0.35">
      <c r="A12721" s="34">
        <v>51121813</v>
      </c>
      <c r="B12721" s="35" t="s">
        <v>16254</v>
      </c>
    </row>
    <row r="12722" spans="1:2" x14ac:dyDescent="0.35">
      <c r="A12722" s="34">
        <v>51121814</v>
      </c>
      <c r="B12722" s="35" t="s">
        <v>14945</v>
      </c>
    </row>
    <row r="12723" spans="1:2" x14ac:dyDescent="0.35">
      <c r="A12723" s="34">
        <v>51121815</v>
      </c>
      <c r="B12723" s="35" t="s">
        <v>4268</v>
      </c>
    </row>
    <row r="12724" spans="1:2" x14ac:dyDescent="0.35">
      <c r="A12724" s="34">
        <v>51121816</v>
      </c>
      <c r="B12724" s="35" t="s">
        <v>15001</v>
      </c>
    </row>
    <row r="12725" spans="1:2" x14ac:dyDescent="0.35">
      <c r="A12725" s="34">
        <v>51121817</v>
      </c>
      <c r="B12725" s="35" t="s">
        <v>4071</v>
      </c>
    </row>
    <row r="12726" spans="1:2" x14ac:dyDescent="0.35">
      <c r="A12726" s="34">
        <v>51121818</v>
      </c>
      <c r="B12726" s="35" t="s">
        <v>14179</v>
      </c>
    </row>
    <row r="12727" spans="1:2" x14ac:dyDescent="0.35">
      <c r="A12727" s="34">
        <v>51121819</v>
      </c>
      <c r="B12727" s="35" t="s">
        <v>19277</v>
      </c>
    </row>
    <row r="12728" spans="1:2" x14ac:dyDescent="0.35">
      <c r="A12728" s="34">
        <v>51121820</v>
      </c>
      <c r="B12728" s="35" t="s">
        <v>10245</v>
      </c>
    </row>
    <row r="12729" spans="1:2" x14ac:dyDescent="0.35">
      <c r="A12729" s="34">
        <v>51121901</v>
      </c>
      <c r="B12729" s="35" t="s">
        <v>14375</v>
      </c>
    </row>
    <row r="12730" spans="1:2" x14ac:dyDescent="0.35">
      <c r="A12730" s="34">
        <v>51121902</v>
      </c>
      <c r="B12730" s="35" t="s">
        <v>17338</v>
      </c>
    </row>
    <row r="12731" spans="1:2" x14ac:dyDescent="0.35">
      <c r="A12731" s="34">
        <v>51121903</v>
      </c>
      <c r="B12731" s="35" t="s">
        <v>11259</v>
      </c>
    </row>
    <row r="12732" spans="1:2" x14ac:dyDescent="0.35">
      <c r="A12732" s="34">
        <v>51121904</v>
      </c>
      <c r="B12732" s="35" t="s">
        <v>11052</v>
      </c>
    </row>
    <row r="12733" spans="1:2" x14ac:dyDescent="0.35">
      <c r="A12733" s="34">
        <v>51121905</v>
      </c>
      <c r="B12733" s="35" t="s">
        <v>14622</v>
      </c>
    </row>
    <row r="12734" spans="1:2" x14ac:dyDescent="0.35">
      <c r="A12734" s="34">
        <v>51121906</v>
      </c>
      <c r="B12734" s="35" t="s">
        <v>18946</v>
      </c>
    </row>
    <row r="12735" spans="1:2" x14ac:dyDescent="0.35">
      <c r="A12735" s="34">
        <v>51121907</v>
      </c>
      <c r="B12735" s="35" t="s">
        <v>4015</v>
      </c>
    </row>
    <row r="12736" spans="1:2" x14ac:dyDescent="0.35">
      <c r="A12736" s="34">
        <v>51121908</v>
      </c>
      <c r="B12736" s="35" t="s">
        <v>290</v>
      </c>
    </row>
    <row r="12737" spans="1:2" x14ac:dyDescent="0.35">
      <c r="A12737" s="34">
        <v>51122101</v>
      </c>
      <c r="B12737" s="35" t="s">
        <v>2264</v>
      </c>
    </row>
    <row r="12738" spans="1:2" x14ac:dyDescent="0.35">
      <c r="A12738" s="34">
        <v>51122102</v>
      </c>
      <c r="B12738" s="35" t="s">
        <v>4389</v>
      </c>
    </row>
    <row r="12739" spans="1:2" x14ac:dyDescent="0.35">
      <c r="A12739" s="34">
        <v>51122103</v>
      </c>
      <c r="B12739" s="35" t="s">
        <v>12721</v>
      </c>
    </row>
    <row r="12740" spans="1:2" x14ac:dyDescent="0.35">
      <c r="A12740" s="34">
        <v>51122104</v>
      </c>
      <c r="B12740" s="35" t="s">
        <v>10522</v>
      </c>
    </row>
    <row r="12741" spans="1:2" x14ac:dyDescent="0.35">
      <c r="A12741" s="34">
        <v>51122105</v>
      </c>
      <c r="B12741" s="35" t="s">
        <v>3719</v>
      </c>
    </row>
    <row r="12742" spans="1:2" x14ac:dyDescent="0.35">
      <c r="A12742" s="34">
        <v>51122107</v>
      </c>
      <c r="B12742" s="35" t="s">
        <v>7609</v>
      </c>
    </row>
    <row r="12743" spans="1:2" x14ac:dyDescent="0.35">
      <c r="A12743" s="34">
        <v>51122108</v>
      </c>
      <c r="B12743" s="35" t="s">
        <v>3864</v>
      </c>
    </row>
    <row r="12744" spans="1:2" x14ac:dyDescent="0.35">
      <c r="A12744" s="34">
        <v>51122109</v>
      </c>
      <c r="B12744" s="35" t="s">
        <v>13701</v>
      </c>
    </row>
    <row r="12745" spans="1:2" x14ac:dyDescent="0.35">
      <c r="A12745" s="34">
        <v>51122110</v>
      </c>
      <c r="B12745" s="35" t="s">
        <v>1573</v>
      </c>
    </row>
    <row r="12746" spans="1:2" x14ac:dyDescent="0.35">
      <c r="A12746" s="34">
        <v>51122111</v>
      </c>
      <c r="B12746" s="35" t="s">
        <v>2281</v>
      </c>
    </row>
    <row r="12747" spans="1:2" x14ac:dyDescent="0.35">
      <c r="A12747" s="34">
        <v>51122112</v>
      </c>
      <c r="B12747" s="35" t="s">
        <v>15505</v>
      </c>
    </row>
    <row r="12748" spans="1:2" x14ac:dyDescent="0.35">
      <c r="A12748" s="34">
        <v>51122201</v>
      </c>
      <c r="B12748" s="35" t="s">
        <v>5708</v>
      </c>
    </row>
    <row r="12749" spans="1:2" x14ac:dyDescent="0.35">
      <c r="A12749" s="34">
        <v>51122301</v>
      </c>
      <c r="B12749" s="35" t="s">
        <v>4188</v>
      </c>
    </row>
    <row r="12750" spans="1:2" x14ac:dyDescent="0.35">
      <c r="A12750" s="34">
        <v>51131501</v>
      </c>
      <c r="B12750" s="35" t="s">
        <v>17496</v>
      </c>
    </row>
    <row r="12751" spans="1:2" x14ac:dyDescent="0.35">
      <c r="A12751" s="34">
        <v>51131502</v>
      </c>
      <c r="B12751" s="35" t="s">
        <v>12302</v>
      </c>
    </row>
    <row r="12752" spans="1:2" x14ac:dyDescent="0.35">
      <c r="A12752" s="34">
        <v>51131503</v>
      </c>
      <c r="B12752" s="35" t="s">
        <v>15779</v>
      </c>
    </row>
    <row r="12753" spans="1:2" x14ac:dyDescent="0.35">
      <c r="A12753" s="34">
        <v>51131504</v>
      </c>
      <c r="B12753" s="35" t="s">
        <v>521</v>
      </c>
    </row>
    <row r="12754" spans="1:2" x14ac:dyDescent="0.35">
      <c r="A12754" s="34">
        <v>51131505</v>
      </c>
      <c r="B12754" s="35" t="s">
        <v>9172</v>
      </c>
    </row>
    <row r="12755" spans="1:2" x14ac:dyDescent="0.35">
      <c r="A12755" s="34">
        <v>51131506</v>
      </c>
      <c r="B12755" s="35" t="s">
        <v>11115</v>
      </c>
    </row>
    <row r="12756" spans="1:2" x14ac:dyDescent="0.35">
      <c r="A12756" s="34">
        <v>51131507</v>
      </c>
      <c r="B12756" s="35" t="s">
        <v>6167</v>
      </c>
    </row>
    <row r="12757" spans="1:2" x14ac:dyDescent="0.35">
      <c r="A12757" s="34">
        <v>51131508</v>
      </c>
      <c r="B12757" s="35" t="s">
        <v>4417</v>
      </c>
    </row>
    <row r="12758" spans="1:2" x14ac:dyDescent="0.35">
      <c r="A12758" s="34">
        <v>51131509</v>
      </c>
      <c r="B12758" s="35" t="s">
        <v>13307</v>
      </c>
    </row>
    <row r="12759" spans="1:2" x14ac:dyDescent="0.35">
      <c r="A12759" s="34">
        <v>51131510</v>
      </c>
      <c r="B12759" s="35" t="s">
        <v>5800</v>
      </c>
    </row>
    <row r="12760" spans="1:2" x14ac:dyDescent="0.35">
      <c r="A12760" s="34">
        <v>51131511</v>
      </c>
      <c r="B12760" s="35" t="s">
        <v>3404</v>
      </c>
    </row>
    <row r="12761" spans="1:2" x14ac:dyDescent="0.35">
      <c r="A12761" s="34">
        <v>51131512</v>
      </c>
      <c r="B12761" s="35" t="s">
        <v>16505</v>
      </c>
    </row>
    <row r="12762" spans="1:2" x14ac:dyDescent="0.35">
      <c r="A12762" s="34">
        <v>51131513</v>
      </c>
      <c r="B12762" s="35" t="s">
        <v>9480</v>
      </c>
    </row>
    <row r="12763" spans="1:2" x14ac:dyDescent="0.35">
      <c r="A12763" s="34">
        <v>51131514</v>
      </c>
      <c r="B12763" s="35" t="s">
        <v>18112</v>
      </c>
    </row>
    <row r="12764" spans="1:2" x14ac:dyDescent="0.35">
      <c r="A12764" s="34">
        <v>51131515</v>
      </c>
      <c r="B12764" s="35" t="s">
        <v>5897</v>
      </c>
    </row>
    <row r="12765" spans="1:2" x14ac:dyDescent="0.35">
      <c r="A12765" s="34">
        <v>51131516</v>
      </c>
      <c r="B12765" s="35" t="s">
        <v>15328</v>
      </c>
    </row>
    <row r="12766" spans="1:2" x14ac:dyDescent="0.35">
      <c r="A12766" s="34">
        <v>51131601</v>
      </c>
      <c r="B12766" s="35" t="s">
        <v>854</v>
      </c>
    </row>
    <row r="12767" spans="1:2" x14ac:dyDescent="0.35">
      <c r="A12767" s="34">
        <v>51131602</v>
      </c>
      <c r="B12767" s="35" t="s">
        <v>13925</v>
      </c>
    </row>
    <row r="12768" spans="1:2" x14ac:dyDescent="0.35">
      <c r="A12768" s="34">
        <v>51131603</v>
      </c>
      <c r="B12768" s="35" t="s">
        <v>3891</v>
      </c>
    </row>
    <row r="12769" spans="1:2" x14ac:dyDescent="0.35">
      <c r="A12769" s="34">
        <v>51131604</v>
      </c>
      <c r="B12769" s="35" t="s">
        <v>12709</v>
      </c>
    </row>
    <row r="12770" spans="1:2" x14ac:dyDescent="0.35">
      <c r="A12770" s="34">
        <v>51131605</v>
      </c>
      <c r="B12770" s="35" t="s">
        <v>12207</v>
      </c>
    </row>
    <row r="12771" spans="1:2" x14ac:dyDescent="0.35">
      <c r="A12771" s="34">
        <v>51131606</v>
      </c>
      <c r="B12771" s="35" t="s">
        <v>1281</v>
      </c>
    </row>
    <row r="12772" spans="1:2" x14ac:dyDescent="0.35">
      <c r="A12772" s="34">
        <v>51131607</v>
      </c>
      <c r="B12772" s="35" t="s">
        <v>1410</v>
      </c>
    </row>
    <row r="12773" spans="1:2" x14ac:dyDescent="0.35">
      <c r="A12773" s="34">
        <v>51131608</v>
      </c>
      <c r="B12773" s="35" t="s">
        <v>18591</v>
      </c>
    </row>
    <row r="12774" spans="1:2" x14ac:dyDescent="0.35">
      <c r="A12774" s="34">
        <v>51131609</v>
      </c>
      <c r="B12774" s="35" t="s">
        <v>19147</v>
      </c>
    </row>
    <row r="12775" spans="1:2" x14ac:dyDescent="0.35">
      <c r="A12775" s="34">
        <v>51131610</v>
      </c>
      <c r="B12775" s="35" t="s">
        <v>936</v>
      </c>
    </row>
    <row r="12776" spans="1:2" x14ac:dyDescent="0.35">
      <c r="A12776" s="34">
        <v>51131611</v>
      </c>
      <c r="B12776" s="35" t="s">
        <v>7108</v>
      </c>
    </row>
    <row r="12777" spans="1:2" x14ac:dyDescent="0.35">
      <c r="A12777" s="34">
        <v>51131612</v>
      </c>
      <c r="B12777" s="35" t="s">
        <v>10946</v>
      </c>
    </row>
    <row r="12778" spans="1:2" x14ac:dyDescent="0.35">
      <c r="A12778" s="34">
        <v>51131613</v>
      </c>
      <c r="B12778" s="35" t="s">
        <v>2807</v>
      </c>
    </row>
    <row r="12779" spans="1:2" x14ac:dyDescent="0.35">
      <c r="A12779" s="34">
        <v>51131614</v>
      </c>
      <c r="B12779" s="35" t="s">
        <v>7167</v>
      </c>
    </row>
    <row r="12780" spans="1:2" x14ac:dyDescent="0.35">
      <c r="A12780" s="34">
        <v>51131615</v>
      </c>
      <c r="B12780" s="35" t="s">
        <v>17724</v>
      </c>
    </row>
    <row r="12781" spans="1:2" x14ac:dyDescent="0.35">
      <c r="A12781" s="34">
        <v>51131616</v>
      </c>
      <c r="B12781" s="35" t="s">
        <v>11925</v>
      </c>
    </row>
    <row r="12782" spans="1:2" x14ac:dyDescent="0.35">
      <c r="A12782" s="34">
        <v>51131617</v>
      </c>
      <c r="B12782" s="35" t="s">
        <v>2997</v>
      </c>
    </row>
    <row r="12783" spans="1:2" x14ac:dyDescent="0.35">
      <c r="A12783" s="34">
        <v>51131701</v>
      </c>
      <c r="B12783" s="35" t="s">
        <v>16640</v>
      </c>
    </row>
    <row r="12784" spans="1:2" x14ac:dyDescent="0.35">
      <c r="A12784" s="34">
        <v>51131702</v>
      </c>
      <c r="B12784" s="35" t="s">
        <v>1341</v>
      </c>
    </row>
    <row r="12785" spans="1:2" x14ac:dyDescent="0.35">
      <c r="A12785" s="34">
        <v>51131703</v>
      </c>
      <c r="B12785" s="35" t="s">
        <v>19579</v>
      </c>
    </row>
    <row r="12786" spans="1:2" x14ac:dyDescent="0.35">
      <c r="A12786" s="34">
        <v>51131704</v>
      </c>
      <c r="B12786" s="35" t="s">
        <v>11994</v>
      </c>
    </row>
    <row r="12787" spans="1:2" x14ac:dyDescent="0.35">
      <c r="A12787" s="34">
        <v>51131705</v>
      </c>
      <c r="B12787" s="35" t="s">
        <v>11268</v>
      </c>
    </row>
    <row r="12788" spans="1:2" x14ac:dyDescent="0.35">
      <c r="A12788" s="34">
        <v>51131706</v>
      </c>
      <c r="B12788" s="35" t="s">
        <v>4115</v>
      </c>
    </row>
    <row r="12789" spans="1:2" x14ac:dyDescent="0.35">
      <c r="A12789" s="34">
        <v>51131707</v>
      </c>
      <c r="B12789" s="35" t="s">
        <v>8498</v>
      </c>
    </row>
    <row r="12790" spans="1:2" x14ac:dyDescent="0.35">
      <c r="A12790" s="34">
        <v>51131708</v>
      </c>
      <c r="B12790" s="35" t="s">
        <v>11121</v>
      </c>
    </row>
    <row r="12791" spans="1:2" x14ac:dyDescent="0.35">
      <c r="A12791" s="34">
        <v>51131709</v>
      </c>
      <c r="B12791" s="35" t="s">
        <v>2018</v>
      </c>
    </row>
    <row r="12792" spans="1:2" x14ac:dyDescent="0.35">
      <c r="A12792" s="34">
        <v>51131710</v>
      </c>
      <c r="B12792" s="35" t="s">
        <v>14936</v>
      </c>
    </row>
    <row r="12793" spans="1:2" x14ac:dyDescent="0.35">
      <c r="A12793" s="34">
        <v>51131711</v>
      </c>
      <c r="B12793" s="35" t="s">
        <v>12674</v>
      </c>
    </row>
    <row r="12794" spans="1:2" x14ac:dyDescent="0.35">
      <c r="A12794" s="34">
        <v>51131712</v>
      </c>
      <c r="B12794" s="35" t="s">
        <v>11096</v>
      </c>
    </row>
    <row r="12795" spans="1:2" x14ac:dyDescent="0.35">
      <c r="A12795" s="34">
        <v>51131713</v>
      </c>
      <c r="B12795" s="35" t="s">
        <v>9018</v>
      </c>
    </row>
    <row r="12796" spans="1:2" x14ac:dyDescent="0.35">
      <c r="A12796" s="34">
        <v>51131714</v>
      </c>
      <c r="B12796" s="35" t="s">
        <v>3233</v>
      </c>
    </row>
    <row r="12797" spans="1:2" x14ac:dyDescent="0.35">
      <c r="A12797" s="34">
        <v>51131715</v>
      </c>
      <c r="B12797" s="35" t="s">
        <v>5510</v>
      </c>
    </row>
    <row r="12798" spans="1:2" x14ac:dyDescent="0.35">
      <c r="A12798" s="34">
        <v>51131716</v>
      </c>
      <c r="B12798" s="35" t="s">
        <v>2579</v>
      </c>
    </row>
    <row r="12799" spans="1:2" x14ac:dyDescent="0.35">
      <c r="A12799" s="34">
        <v>51131801</v>
      </c>
      <c r="B12799" s="35" t="s">
        <v>1442</v>
      </c>
    </row>
    <row r="12800" spans="1:2" x14ac:dyDescent="0.35">
      <c r="A12800" s="34">
        <v>51131802</v>
      </c>
      <c r="B12800" s="35" t="s">
        <v>7975</v>
      </c>
    </row>
    <row r="12801" spans="1:2" x14ac:dyDescent="0.35">
      <c r="A12801" s="34">
        <v>51131803</v>
      </c>
      <c r="B12801" s="35" t="s">
        <v>7044</v>
      </c>
    </row>
    <row r="12802" spans="1:2" x14ac:dyDescent="0.35">
      <c r="A12802" s="34">
        <v>51131804</v>
      </c>
      <c r="B12802" s="35" t="s">
        <v>12896</v>
      </c>
    </row>
    <row r="12803" spans="1:2" x14ac:dyDescent="0.35">
      <c r="A12803" s="34">
        <v>51131805</v>
      </c>
      <c r="B12803" s="35" t="s">
        <v>13697</v>
      </c>
    </row>
    <row r="12804" spans="1:2" x14ac:dyDescent="0.35">
      <c r="A12804" s="34">
        <v>51131806</v>
      </c>
      <c r="B12804" s="35" t="s">
        <v>16110</v>
      </c>
    </row>
    <row r="12805" spans="1:2" x14ac:dyDescent="0.35">
      <c r="A12805" s="34">
        <v>51131807</v>
      </c>
      <c r="B12805" s="35" t="s">
        <v>11208</v>
      </c>
    </row>
    <row r="12806" spans="1:2" x14ac:dyDescent="0.35">
      <c r="A12806" s="34">
        <v>51131808</v>
      </c>
      <c r="B12806" s="35" t="s">
        <v>4518</v>
      </c>
    </row>
    <row r="12807" spans="1:2" x14ac:dyDescent="0.35">
      <c r="A12807" s="34">
        <v>51131809</v>
      </c>
      <c r="B12807" s="35" t="s">
        <v>18423</v>
      </c>
    </row>
    <row r="12808" spans="1:2" x14ac:dyDescent="0.35">
      <c r="A12808" s="34">
        <v>51131901</v>
      </c>
      <c r="B12808" s="35" t="s">
        <v>1275</v>
      </c>
    </row>
    <row r="12809" spans="1:2" x14ac:dyDescent="0.35">
      <c r="A12809" s="34">
        <v>51131903</v>
      </c>
      <c r="B12809" s="35" t="s">
        <v>15737</v>
      </c>
    </row>
    <row r="12810" spans="1:2" x14ac:dyDescent="0.35">
      <c r="A12810" s="34">
        <v>51131904</v>
      </c>
      <c r="B12810" s="35" t="s">
        <v>13579</v>
      </c>
    </row>
    <row r="12811" spans="1:2" x14ac:dyDescent="0.35">
      <c r="A12811" s="34">
        <v>51131905</v>
      </c>
      <c r="B12811" s="35" t="s">
        <v>1575</v>
      </c>
    </row>
    <row r="12812" spans="1:2" x14ac:dyDescent="0.35">
      <c r="A12812" s="34">
        <v>51131906</v>
      </c>
      <c r="B12812" s="35" t="s">
        <v>19077</v>
      </c>
    </row>
    <row r="12813" spans="1:2" x14ac:dyDescent="0.35">
      <c r="A12813" s="34">
        <v>51131907</v>
      </c>
      <c r="B12813" s="35" t="s">
        <v>4177</v>
      </c>
    </row>
    <row r="12814" spans="1:2" x14ac:dyDescent="0.35">
      <c r="A12814" s="34">
        <v>51131908</v>
      </c>
      <c r="B12814" s="35" t="s">
        <v>15272</v>
      </c>
    </row>
    <row r="12815" spans="1:2" x14ac:dyDescent="0.35">
      <c r="A12815" s="34">
        <v>51131909</v>
      </c>
      <c r="B12815" s="35" t="s">
        <v>19269</v>
      </c>
    </row>
    <row r="12816" spans="1:2" x14ac:dyDescent="0.35">
      <c r="A12816" s="34">
        <v>51131910</v>
      </c>
      <c r="B12816" s="35" t="s">
        <v>9630</v>
      </c>
    </row>
    <row r="12817" spans="1:2" x14ac:dyDescent="0.35">
      <c r="A12817" s="34">
        <v>51132001</v>
      </c>
      <c r="B12817" s="35" t="s">
        <v>2309</v>
      </c>
    </row>
    <row r="12818" spans="1:2" x14ac:dyDescent="0.35">
      <c r="A12818" s="34">
        <v>51141501</v>
      </c>
      <c r="B12818" s="35" t="s">
        <v>14320</v>
      </c>
    </row>
    <row r="12819" spans="1:2" x14ac:dyDescent="0.35">
      <c r="A12819" s="34">
        <v>51141502</v>
      </c>
      <c r="B12819" s="35" t="s">
        <v>9571</v>
      </c>
    </row>
    <row r="12820" spans="1:2" x14ac:dyDescent="0.35">
      <c r="A12820" s="34">
        <v>51141503</v>
      </c>
      <c r="B12820" s="35" t="s">
        <v>7931</v>
      </c>
    </row>
    <row r="12821" spans="1:2" x14ac:dyDescent="0.35">
      <c r="A12821" s="34">
        <v>51141504</v>
      </c>
      <c r="B12821" s="35" t="s">
        <v>14734</v>
      </c>
    </row>
    <row r="12822" spans="1:2" x14ac:dyDescent="0.35">
      <c r="A12822" s="34">
        <v>51141505</v>
      </c>
      <c r="B12822" s="35" t="s">
        <v>403</v>
      </c>
    </row>
    <row r="12823" spans="1:2" x14ac:dyDescent="0.35">
      <c r="A12823" s="34">
        <v>51141506</v>
      </c>
      <c r="B12823" s="35" t="s">
        <v>4630</v>
      </c>
    </row>
    <row r="12824" spans="1:2" x14ac:dyDescent="0.35">
      <c r="A12824" s="34">
        <v>51141507</v>
      </c>
      <c r="B12824" s="35" t="s">
        <v>8069</v>
      </c>
    </row>
    <row r="12825" spans="1:2" x14ac:dyDescent="0.35">
      <c r="A12825" s="34">
        <v>51141508</v>
      </c>
      <c r="B12825" s="35" t="s">
        <v>13469</v>
      </c>
    </row>
    <row r="12826" spans="1:2" x14ac:dyDescent="0.35">
      <c r="A12826" s="34">
        <v>51141509</v>
      </c>
      <c r="B12826" s="35" t="s">
        <v>1303</v>
      </c>
    </row>
    <row r="12827" spans="1:2" x14ac:dyDescent="0.35">
      <c r="A12827" s="34">
        <v>51141510</v>
      </c>
      <c r="B12827" s="35" t="s">
        <v>1164</v>
      </c>
    </row>
    <row r="12828" spans="1:2" x14ac:dyDescent="0.35">
      <c r="A12828" s="34">
        <v>51141511</v>
      </c>
      <c r="B12828" s="35" t="s">
        <v>16041</v>
      </c>
    </row>
    <row r="12829" spans="1:2" x14ac:dyDescent="0.35">
      <c r="A12829" s="34">
        <v>51141512</v>
      </c>
      <c r="B12829" s="35" t="s">
        <v>17000</v>
      </c>
    </row>
    <row r="12830" spans="1:2" x14ac:dyDescent="0.35">
      <c r="A12830" s="34">
        <v>51141513</v>
      </c>
      <c r="B12830" s="35" t="s">
        <v>13554</v>
      </c>
    </row>
    <row r="12831" spans="1:2" x14ac:dyDescent="0.35">
      <c r="A12831" s="34">
        <v>51141514</v>
      </c>
      <c r="B12831" s="35" t="s">
        <v>15665</v>
      </c>
    </row>
    <row r="12832" spans="1:2" x14ac:dyDescent="0.35">
      <c r="A12832" s="34">
        <v>51141515</v>
      </c>
      <c r="B12832" s="35" t="s">
        <v>5374</v>
      </c>
    </row>
    <row r="12833" spans="1:2" x14ac:dyDescent="0.35">
      <c r="A12833" s="34">
        <v>51141516</v>
      </c>
      <c r="B12833" s="35" t="s">
        <v>7659</v>
      </c>
    </row>
    <row r="12834" spans="1:2" x14ac:dyDescent="0.35">
      <c r="A12834" s="34">
        <v>51141517</v>
      </c>
      <c r="B12834" s="35" t="s">
        <v>14594</v>
      </c>
    </row>
    <row r="12835" spans="1:2" x14ac:dyDescent="0.35">
      <c r="A12835" s="34">
        <v>51141518</v>
      </c>
      <c r="B12835" s="35" t="s">
        <v>7153</v>
      </c>
    </row>
    <row r="12836" spans="1:2" x14ac:dyDescent="0.35">
      <c r="A12836" s="34">
        <v>51141519</v>
      </c>
      <c r="B12836" s="35" t="s">
        <v>3678</v>
      </c>
    </row>
    <row r="12837" spans="1:2" x14ac:dyDescent="0.35">
      <c r="A12837" s="34">
        <v>51141520</v>
      </c>
      <c r="B12837" s="35" t="s">
        <v>8649</v>
      </c>
    </row>
    <row r="12838" spans="1:2" x14ac:dyDescent="0.35">
      <c r="A12838" s="34">
        <v>51141521</v>
      </c>
      <c r="B12838" s="35" t="s">
        <v>8749</v>
      </c>
    </row>
    <row r="12839" spans="1:2" x14ac:dyDescent="0.35">
      <c r="A12839" s="34">
        <v>51141522</v>
      </c>
      <c r="B12839" s="35" t="s">
        <v>15599</v>
      </c>
    </row>
    <row r="12840" spans="1:2" x14ac:dyDescent="0.35">
      <c r="A12840" s="34">
        <v>51141523</v>
      </c>
      <c r="B12840" s="35" t="s">
        <v>2393</v>
      </c>
    </row>
    <row r="12841" spans="1:2" x14ac:dyDescent="0.35">
      <c r="A12841" s="34">
        <v>51141524</v>
      </c>
      <c r="B12841" s="35" t="s">
        <v>4645</v>
      </c>
    </row>
    <row r="12842" spans="1:2" x14ac:dyDescent="0.35">
      <c r="A12842" s="34">
        <v>51141525</v>
      </c>
      <c r="B12842" s="35" t="s">
        <v>16323</v>
      </c>
    </row>
    <row r="12843" spans="1:2" x14ac:dyDescent="0.35">
      <c r="A12843" s="34">
        <v>51141526</v>
      </c>
      <c r="B12843" s="35" t="s">
        <v>3395</v>
      </c>
    </row>
    <row r="12844" spans="1:2" x14ac:dyDescent="0.35">
      <c r="A12844" s="34">
        <v>51141527</v>
      </c>
      <c r="B12844" s="35" t="s">
        <v>4346</v>
      </c>
    </row>
    <row r="12845" spans="1:2" x14ac:dyDescent="0.35">
      <c r="A12845" s="34">
        <v>51141528</v>
      </c>
      <c r="B12845" s="35" t="s">
        <v>7337</v>
      </c>
    </row>
    <row r="12846" spans="1:2" x14ac:dyDescent="0.35">
      <c r="A12846" s="34">
        <v>51141529</v>
      </c>
      <c r="B12846" s="35" t="s">
        <v>16975</v>
      </c>
    </row>
    <row r="12847" spans="1:2" x14ac:dyDescent="0.35">
      <c r="A12847" s="34">
        <v>51141530</v>
      </c>
      <c r="B12847" s="35" t="s">
        <v>3157</v>
      </c>
    </row>
    <row r="12848" spans="1:2" x14ac:dyDescent="0.35">
      <c r="A12848" s="34">
        <v>51141531</v>
      </c>
      <c r="B12848" s="35" t="s">
        <v>834</v>
      </c>
    </row>
    <row r="12849" spans="1:2" x14ac:dyDescent="0.35">
      <c r="A12849" s="34">
        <v>51141532</v>
      </c>
      <c r="B12849" s="35" t="s">
        <v>11733</v>
      </c>
    </row>
    <row r="12850" spans="1:2" x14ac:dyDescent="0.35">
      <c r="A12850" s="34">
        <v>51141533</v>
      </c>
      <c r="B12850" s="35" t="s">
        <v>5945</v>
      </c>
    </row>
    <row r="12851" spans="1:2" x14ac:dyDescent="0.35">
      <c r="A12851" s="34">
        <v>51141601</v>
      </c>
      <c r="B12851" s="35" t="s">
        <v>285</v>
      </c>
    </row>
    <row r="12852" spans="1:2" x14ac:dyDescent="0.35">
      <c r="A12852" s="34">
        <v>51141602</v>
      </c>
      <c r="B12852" s="35" t="s">
        <v>8027</v>
      </c>
    </row>
    <row r="12853" spans="1:2" x14ac:dyDescent="0.35">
      <c r="A12853" s="34">
        <v>51141603</v>
      </c>
      <c r="B12853" s="35" t="s">
        <v>11389</v>
      </c>
    </row>
    <row r="12854" spans="1:2" x14ac:dyDescent="0.35">
      <c r="A12854" s="34">
        <v>51141604</v>
      </c>
      <c r="B12854" s="35" t="s">
        <v>7718</v>
      </c>
    </row>
    <row r="12855" spans="1:2" x14ac:dyDescent="0.35">
      <c r="A12855" s="34">
        <v>51141605</v>
      </c>
      <c r="B12855" s="35" t="s">
        <v>9132</v>
      </c>
    </row>
    <row r="12856" spans="1:2" x14ac:dyDescent="0.35">
      <c r="A12856" s="34">
        <v>51141606</v>
      </c>
      <c r="B12856" s="35" t="s">
        <v>14469</v>
      </c>
    </row>
    <row r="12857" spans="1:2" x14ac:dyDescent="0.35">
      <c r="A12857" s="34">
        <v>51141607</v>
      </c>
      <c r="B12857" s="35" t="s">
        <v>3326</v>
      </c>
    </row>
    <row r="12858" spans="1:2" x14ac:dyDescent="0.35">
      <c r="A12858" s="34">
        <v>51141608</v>
      </c>
      <c r="B12858" s="35" t="s">
        <v>15395</v>
      </c>
    </row>
    <row r="12859" spans="1:2" x14ac:dyDescent="0.35">
      <c r="A12859" s="34">
        <v>51141609</v>
      </c>
      <c r="B12859" s="35" t="s">
        <v>7498</v>
      </c>
    </row>
    <row r="12860" spans="1:2" x14ac:dyDescent="0.35">
      <c r="A12860" s="34">
        <v>51141610</v>
      </c>
      <c r="B12860" s="35" t="s">
        <v>12660</v>
      </c>
    </row>
    <row r="12861" spans="1:2" x14ac:dyDescent="0.35">
      <c r="A12861" s="34">
        <v>51141611</v>
      </c>
      <c r="B12861" s="35" t="s">
        <v>8752</v>
      </c>
    </row>
    <row r="12862" spans="1:2" x14ac:dyDescent="0.35">
      <c r="A12862" s="34">
        <v>51141612</v>
      </c>
      <c r="B12862" s="35" t="s">
        <v>16649</v>
      </c>
    </row>
    <row r="12863" spans="1:2" x14ac:dyDescent="0.35">
      <c r="A12863" s="34">
        <v>51141613</v>
      </c>
      <c r="B12863" s="35" t="s">
        <v>19038</v>
      </c>
    </row>
    <row r="12864" spans="1:2" x14ac:dyDescent="0.35">
      <c r="A12864" s="34">
        <v>51141614</v>
      </c>
      <c r="B12864" s="35" t="s">
        <v>3259</v>
      </c>
    </row>
    <row r="12865" spans="1:2" x14ac:dyDescent="0.35">
      <c r="A12865" s="34">
        <v>51141615</v>
      </c>
      <c r="B12865" s="35" t="s">
        <v>10925</v>
      </c>
    </row>
    <row r="12866" spans="1:2" x14ac:dyDescent="0.35">
      <c r="A12866" s="34">
        <v>51141616</v>
      </c>
      <c r="B12866" s="35" t="s">
        <v>15305</v>
      </c>
    </row>
    <row r="12867" spans="1:2" x14ac:dyDescent="0.35">
      <c r="A12867" s="34">
        <v>51141617</v>
      </c>
      <c r="B12867" s="35" t="s">
        <v>6877</v>
      </c>
    </row>
    <row r="12868" spans="1:2" x14ac:dyDescent="0.35">
      <c r="A12868" s="34">
        <v>51141618</v>
      </c>
      <c r="B12868" s="35" t="s">
        <v>4801</v>
      </c>
    </row>
    <row r="12869" spans="1:2" x14ac:dyDescent="0.35">
      <c r="A12869" s="34">
        <v>51141619</v>
      </c>
      <c r="B12869" s="35" t="s">
        <v>9157</v>
      </c>
    </row>
    <row r="12870" spans="1:2" x14ac:dyDescent="0.35">
      <c r="A12870" s="34">
        <v>51141620</v>
      </c>
      <c r="B12870" s="35" t="s">
        <v>14707</v>
      </c>
    </row>
    <row r="12871" spans="1:2" x14ac:dyDescent="0.35">
      <c r="A12871" s="34">
        <v>51141621</v>
      </c>
      <c r="B12871" s="35" t="s">
        <v>3571</v>
      </c>
    </row>
    <row r="12872" spans="1:2" x14ac:dyDescent="0.35">
      <c r="A12872" s="34">
        <v>51141622</v>
      </c>
      <c r="B12872" s="35" t="s">
        <v>5276</v>
      </c>
    </row>
    <row r="12873" spans="1:2" x14ac:dyDescent="0.35">
      <c r="A12873" s="34">
        <v>51141623</v>
      </c>
      <c r="B12873" s="35" t="s">
        <v>8853</v>
      </c>
    </row>
    <row r="12874" spans="1:2" x14ac:dyDescent="0.35">
      <c r="A12874" s="34">
        <v>51141624</v>
      </c>
      <c r="B12874" s="35" t="s">
        <v>84</v>
      </c>
    </row>
    <row r="12875" spans="1:2" x14ac:dyDescent="0.35">
      <c r="A12875" s="34">
        <v>51141625</v>
      </c>
      <c r="B12875" s="35" t="s">
        <v>5665</v>
      </c>
    </row>
    <row r="12876" spans="1:2" x14ac:dyDescent="0.35">
      <c r="A12876" s="34">
        <v>51141626</v>
      </c>
      <c r="B12876" s="35" t="s">
        <v>6533</v>
      </c>
    </row>
    <row r="12877" spans="1:2" x14ac:dyDescent="0.35">
      <c r="A12877" s="34">
        <v>51141627</v>
      </c>
      <c r="B12877" s="35" t="s">
        <v>15253</v>
      </c>
    </row>
    <row r="12878" spans="1:2" x14ac:dyDescent="0.35">
      <c r="A12878" s="34">
        <v>51141628</v>
      </c>
      <c r="B12878" s="35" t="s">
        <v>409</v>
      </c>
    </row>
    <row r="12879" spans="1:2" x14ac:dyDescent="0.35">
      <c r="A12879" s="34">
        <v>51141629</v>
      </c>
      <c r="B12879" s="35" t="s">
        <v>5308</v>
      </c>
    </row>
    <row r="12880" spans="1:2" x14ac:dyDescent="0.35">
      <c r="A12880" s="34">
        <v>51141630</v>
      </c>
      <c r="B12880" s="35" t="s">
        <v>18582</v>
      </c>
    </row>
    <row r="12881" spans="1:2" x14ac:dyDescent="0.35">
      <c r="A12881" s="34">
        <v>51141631</v>
      </c>
      <c r="B12881" s="35" t="s">
        <v>6071</v>
      </c>
    </row>
    <row r="12882" spans="1:2" x14ac:dyDescent="0.35">
      <c r="A12882" s="34">
        <v>51141632</v>
      </c>
      <c r="B12882" s="35" t="s">
        <v>13420</v>
      </c>
    </row>
    <row r="12883" spans="1:2" x14ac:dyDescent="0.35">
      <c r="A12883" s="34">
        <v>51141633</v>
      </c>
      <c r="B12883" s="35" t="s">
        <v>16353</v>
      </c>
    </row>
    <row r="12884" spans="1:2" x14ac:dyDescent="0.35">
      <c r="A12884" s="34">
        <v>51141701</v>
      </c>
      <c r="B12884" s="35" t="s">
        <v>16538</v>
      </c>
    </row>
    <row r="12885" spans="1:2" x14ac:dyDescent="0.35">
      <c r="A12885" s="34">
        <v>51141702</v>
      </c>
      <c r="B12885" s="35" t="s">
        <v>15759</v>
      </c>
    </row>
    <row r="12886" spans="1:2" x14ac:dyDescent="0.35">
      <c r="A12886" s="34">
        <v>51141703</v>
      </c>
      <c r="B12886" s="35" t="s">
        <v>3393</v>
      </c>
    </row>
    <row r="12887" spans="1:2" x14ac:dyDescent="0.35">
      <c r="A12887" s="34">
        <v>51141704</v>
      </c>
      <c r="B12887" s="35" t="s">
        <v>2801</v>
      </c>
    </row>
    <row r="12888" spans="1:2" x14ac:dyDescent="0.35">
      <c r="A12888" s="34">
        <v>51141705</v>
      </c>
      <c r="B12888" s="35" t="s">
        <v>1266</v>
      </c>
    </row>
    <row r="12889" spans="1:2" x14ac:dyDescent="0.35">
      <c r="A12889" s="34">
        <v>51141706</v>
      </c>
      <c r="B12889" s="35" t="s">
        <v>15905</v>
      </c>
    </row>
    <row r="12890" spans="1:2" x14ac:dyDescent="0.35">
      <c r="A12890" s="34">
        <v>51141707</v>
      </c>
      <c r="B12890" s="35" t="s">
        <v>16761</v>
      </c>
    </row>
    <row r="12891" spans="1:2" x14ac:dyDescent="0.35">
      <c r="A12891" s="34">
        <v>51141708</v>
      </c>
      <c r="B12891" s="35" t="s">
        <v>10493</v>
      </c>
    </row>
    <row r="12892" spans="1:2" x14ac:dyDescent="0.35">
      <c r="A12892" s="34">
        <v>51141709</v>
      </c>
      <c r="B12892" s="35" t="s">
        <v>17189</v>
      </c>
    </row>
    <row r="12893" spans="1:2" x14ac:dyDescent="0.35">
      <c r="A12893" s="34">
        <v>51141710</v>
      </c>
      <c r="B12893" s="35" t="s">
        <v>1687</v>
      </c>
    </row>
    <row r="12894" spans="1:2" x14ac:dyDescent="0.35">
      <c r="A12894" s="34">
        <v>51141711</v>
      </c>
      <c r="B12894" s="35" t="s">
        <v>536</v>
      </c>
    </row>
    <row r="12895" spans="1:2" x14ac:dyDescent="0.35">
      <c r="A12895" s="34">
        <v>51141712</v>
      </c>
      <c r="B12895" s="35" t="s">
        <v>9106</v>
      </c>
    </row>
    <row r="12896" spans="1:2" x14ac:dyDescent="0.35">
      <c r="A12896" s="34">
        <v>51141713</v>
      </c>
      <c r="B12896" s="35" t="s">
        <v>3601</v>
      </c>
    </row>
    <row r="12897" spans="1:2" x14ac:dyDescent="0.35">
      <c r="A12897" s="34">
        <v>51141714</v>
      </c>
      <c r="B12897" s="35" t="s">
        <v>18968</v>
      </c>
    </row>
    <row r="12898" spans="1:2" x14ac:dyDescent="0.35">
      <c r="A12898" s="34">
        <v>51141715</v>
      </c>
      <c r="B12898" s="35" t="s">
        <v>904</v>
      </c>
    </row>
    <row r="12899" spans="1:2" x14ac:dyDescent="0.35">
      <c r="A12899" s="34">
        <v>51141716</v>
      </c>
      <c r="B12899" s="35" t="s">
        <v>17588</v>
      </c>
    </row>
    <row r="12900" spans="1:2" x14ac:dyDescent="0.35">
      <c r="A12900" s="34">
        <v>51141717</v>
      </c>
      <c r="B12900" s="35" t="s">
        <v>1880</v>
      </c>
    </row>
    <row r="12901" spans="1:2" x14ac:dyDescent="0.35">
      <c r="A12901" s="34">
        <v>51141718</v>
      </c>
      <c r="B12901" s="35" t="s">
        <v>360</v>
      </c>
    </row>
    <row r="12902" spans="1:2" x14ac:dyDescent="0.35">
      <c r="A12902" s="34">
        <v>51141719</v>
      </c>
      <c r="B12902" s="35" t="s">
        <v>7660</v>
      </c>
    </row>
    <row r="12903" spans="1:2" x14ac:dyDescent="0.35">
      <c r="A12903" s="34">
        <v>51141720</v>
      </c>
      <c r="B12903" s="35" t="s">
        <v>11278</v>
      </c>
    </row>
    <row r="12904" spans="1:2" x14ac:dyDescent="0.35">
      <c r="A12904" s="34">
        <v>51141721</v>
      </c>
      <c r="B12904" s="35" t="s">
        <v>19231</v>
      </c>
    </row>
    <row r="12905" spans="1:2" x14ac:dyDescent="0.35">
      <c r="A12905" s="34">
        <v>51141722</v>
      </c>
      <c r="B12905" s="35" t="s">
        <v>17776</v>
      </c>
    </row>
    <row r="12906" spans="1:2" x14ac:dyDescent="0.35">
      <c r="A12906" s="34">
        <v>51141723</v>
      </c>
      <c r="B12906" s="35" t="s">
        <v>15263</v>
      </c>
    </row>
    <row r="12907" spans="1:2" x14ac:dyDescent="0.35">
      <c r="A12907" s="34">
        <v>51141724</v>
      </c>
      <c r="B12907" s="35" t="s">
        <v>17894</v>
      </c>
    </row>
    <row r="12908" spans="1:2" x14ac:dyDescent="0.35">
      <c r="A12908" s="34">
        <v>51141725</v>
      </c>
      <c r="B12908" s="35" t="s">
        <v>1016</v>
      </c>
    </row>
    <row r="12909" spans="1:2" x14ac:dyDescent="0.35">
      <c r="A12909" s="34">
        <v>51141726</v>
      </c>
      <c r="B12909" s="35" t="s">
        <v>5281</v>
      </c>
    </row>
    <row r="12910" spans="1:2" x14ac:dyDescent="0.35">
      <c r="A12910" s="34">
        <v>51141727</v>
      </c>
      <c r="B12910" s="35" t="s">
        <v>18725</v>
      </c>
    </row>
    <row r="12911" spans="1:2" x14ac:dyDescent="0.35">
      <c r="A12911" s="34">
        <v>51141728</v>
      </c>
      <c r="B12911" s="35" t="s">
        <v>15881</v>
      </c>
    </row>
    <row r="12912" spans="1:2" x14ac:dyDescent="0.35">
      <c r="A12912" s="34">
        <v>51141729</v>
      </c>
      <c r="B12912" s="35" t="s">
        <v>7382</v>
      </c>
    </row>
    <row r="12913" spans="1:2" x14ac:dyDescent="0.35">
      <c r="A12913" s="34">
        <v>51141801</v>
      </c>
      <c r="B12913" s="35" t="s">
        <v>2064</v>
      </c>
    </row>
    <row r="12914" spans="1:2" x14ac:dyDescent="0.35">
      <c r="A12914" s="34">
        <v>51141802</v>
      </c>
      <c r="B12914" s="35" t="s">
        <v>13369</v>
      </c>
    </row>
    <row r="12915" spans="1:2" x14ac:dyDescent="0.35">
      <c r="A12915" s="34">
        <v>51141803</v>
      </c>
      <c r="B12915" s="35" t="s">
        <v>4083</v>
      </c>
    </row>
    <row r="12916" spans="1:2" x14ac:dyDescent="0.35">
      <c r="A12916" s="34">
        <v>51141804</v>
      </c>
      <c r="B12916" s="35" t="s">
        <v>10778</v>
      </c>
    </row>
    <row r="12917" spans="1:2" x14ac:dyDescent="0.35">
      <c r="A12917" s="34">
        <v>51141805</v>
      </c>
      <c r="B12917" s="35" t="s">
        <v>15476</v>
      </c>
    </row>
    <row r="12918" spans="1:2" x14ac:dyDescent="0.35">
      <c r="A12918" s="34">
        <v>51141806</v>
      </c>
      <c r="B12918" s="35" t="s">
        <v>12470</v>
      </c>
    </row>
    <row r="12919" spans="1:2" x14ac:dyDescent="0.35">
      <c r="A12919" s="34">
        <v>51141807</v>
      </c>
      <c r="B12919" s="35" t="s">
        <v>12119</v>
      </c>
    </row>
    <row r="12920" spans="1:2" x14ac:dyDescent="0.35">
      <c r="A12920" s="34">
        <v>51141808</v>
      </c>
      <c r="B12920" s="35" t="s">
        <v>11944</v>
      </c>
    </row>
    <row r="12921" spans="1:2" x14ac:dyDescent="0.35">
      <c r="A12921" s="34">
        <v>51141809</v>
      </c>
      <c r="B12921" s="35" t="s">
        <v>6299</v>
      </c>
    </row>
    <row r="12922" spans="1:2" x14ac:dyDescent="0.35">
      <c r="A12922" s="34">
        <v>51141810</v>
      </c>
      <c r="B12922" s="35" t="s">
        <v>2814</v>
      </c>
    </row>
    <row r="12923" spans="1:2" x14ac:dyDescent="0.35">
      <c r="A12923" s="34">
        <v>51141811</v>
      </c>
      <c r="B12923" s="35" t="s">
        <v>15652</v>
      </c>
    </row>
    <row r="12924" spans="1:2" x14ac:dyDescent="0.35">
      <c r="A12924" s="34">
        <v>51141812</v>
      </c>
      <c r="B12924" s="35" t="s">
        <v>11952</v>
      </c>
    </row>
    <row r="12925" spans="1:2" x14ac:dyDescent="0.35">
      <c r="A12925" s="34">
        <v>51141813</v>
      </c>
      <c r="B12925" s="35" t="s">
        <v>7083</v>
      </c>
    </row>
    <row r="12926" spans="1:2" x14ac:dyDescent="0.35">
      <c r="A12926" s="34">
        <v>51141814</v>
      </c>
      <c r="B12926" s="35" t="s">
        <v>2836</v>
      </c>
    </row>
    <row r="12927" spans="1:2" x14ac:dyDescent="0.35">
      <c r="A12927" s="34">
        <v>51141815</v>
      </c>
      <c r="B12927" s="35" t="s">
        <v>6456</v>
      </c>
    </row>
    <row r="12928" spans="1:2" x14ac:dyDescent="0.35">
      <c r="A12928" s="34">
        <v>51141816</v>
      </c>
      <c r="B12928" s="35" t="s">
        <v>7310</v>
      </c>
    </row>
    <row r="12929" spans="1:2" x14ac:dyDescent="0.35">
      <c r="A12929" s="34">
        <v>51141817</v>
      </c>
      <c r="B12929" s="35" t="s">
        <v>2147</v>
      </c>
    </row>
    <row r="12930" spans="1:2" x14ac:dyDescent="0.35">
      <c r="A12930" s="34">
        <v>51141818</v>
      </c>
      <c r="B12930" s="35" t="s">
        <v>14288</v>
      </c>
    </row>
    <row r="12931" spans="1:2" x14ac:dyDescent="0.35">
      <c r="A12931" s="34">
        <v>51141819</v>
      </c>
      <c r="B12931" s="35" t="s">
        <v>7068</v>
      </c>
    </row>
    <row r="12932" spans="1:2" x14ac:dyDescent="0.35">
      <c r="A12932" s="34">
        <v>51141820</v>
      </c>
      <c r="B12932" s="35" t="s">
        <v>9748</v>
      </c>
    </row>
    <row r="12933" spans="1:2" x14ac:dyDescent="0.35">
      <c r="A12933" s="34">
        <v>51141821</v>
      </c>
      <c r="B12933" s="35" t="s">
        <v>6322</v>
      </c>
    </row>
    <row r="12934" spans="1:2" x14ac:dyDescent="0.35">
      <c r="A12934" s="34">
        <v>51141822</v>
      </c>
      <c r="B12934" s="35" t="s">
        <v>13593</v>
      </c>
    </row>
    <row r="12935" spans="1:2" x14ac:dyDescent="0.35">
      <c r="A12935" s="34">
        <v>51141903</v>
      </c>
      <c r="B12935" s="35" t="s">
        <v>14284</v>
      </c>
    </row>
    <row r="12936" spans="1:2" x14ac:dyDescent="0.35">
      <c r="A12936" s="34">
        <v>51141904</v>
      </c>
      <c r="B12936" s="35" t="s">
        <v>11322</v>
      </c>
    </row>
    <row r="12937" spans="1:2" x14ac:dyDescent="0.35">
      <c r="A12937" s="34">
        <v>51141907</v>
      </c>
      <c r="B12937" s="35" t="s">
        <v>19279</v>
      </c>
    </row>
    <row r="12938" spans="1:2" x14ac:dyDescent="0.35">
      <c r="A12938" s="34">
        <v>51141908</v>
      </c>
      <c r="B12938" s="35" t="s">
        <v>10696</v>
      </c>
    </row>
    <row r="12939" spans="1:2" x14ac:dyDescent="0.35">
      <c r="A12939" s="34">
        <v>51141910</v>
      </c>
      <c r="B12939" s="35" t="s">
        <v>7793</v>
      </c>
    </row>
    <row r="12940" spans="1:2" x14ac:dyDescent="0.35">
      <c r="A12940" s="34">
        <v>51141911</v>
      </c>
      <c r="B12940" s="35" t="s">
        <v>6506</v>
      </c>
    </row>
    <row r="12941" spans="1:2" x14ac:dyDescent="0.35">
      <c r="A12941" s="34">
        <v>51141912</v>
      </c>
      <c r="B12941" s="35" t="s">
        <v>3960</v>
      </c>
    </row>
    <row r="12942" spans="1:2" x14ac:dyDescent="0.35">
      <c r="A12942" s="34">
        <v>51141913</v>
      </c>
      <c r="B12942" s="35" t="s">
        <v>11467</v>
      </c>
    </row>
    <row r="12943" spans="1:2" x14ac:dyDescent="0.35">
      <c r="A12943" s="34">
        <v>51141914</v>
      </c>
      <c r="B12943" s="35" t="s">
        <v>19303</v>
      </c>
    </row>
    <row r="12944" spans="1:2" x14ac:dyDescent="0.35">
      <c r="A12944" s="34">
        <v>51141915</v>
      </c>
      <c r="B12944" s="35" t="s">
        <v>16791</v>
      </c>
    </row>
    <row r="12945" spans="1:2" x14ac:dyDescent="0.35">
      <c r="A12945" s="34">
        <v>51141916</v>
      </c>
      <c r="B12945" s="35" t="s">
        <v>7464</v>
      </c>
    </row>
    <row r="12946" spans="1:2" x14ac:dyDescent="0.35">
      <c r="A12946" s="34">
        <v>51141917</v>
      </c>
      <c r="B12946" s="35" t="s">
        <v>17102</v>
      </c>
    </row>
    <row r="12947" spans="1:2" x14ac:dyDescent="0.35">
      <c r="A12947" s="34">
        <v>51141918</v>
      </c>
      <c r="B12947" s="35" t="s">
        <v>11213</v>
      </c>
    </row>
    <row r="12948" spans="1:2" x14ac:dyDescent="0.35">
      <c r="A12948" s="34">
        <v>51141919</v>
      </c>
      <c r="B12948" s="35" t="s">
        <v>14142</v>
      </c>
    </row>
    <row r="12949" spans="1:2" x14ac:dyDescent="0.35">
      <c r="A12949" s="34">
        <v>51141920</v>
      </c>
      <c r="B12949" s="35" t="s">
        <v>14844</v>
      </c>
    </row>
    <row r="12950" spans="1:2" x14ac:dyDescent="0.35">
      <c r="A12950" s="34">
        <v>51141921</v>
      </c>
      <c r="B12950" s="35" t="s">
        <v>2175</v>
      </c>
    </row>
    <row r="12951" spans="1:2" x14ac:dyDescent="0.35">
      <c r="A12951" s="34">
        <v>51141922</v>
      </c>
      <c r="B12951" s="35" t="s">
        <v>17320</v>
      </c>
    </row>
    <row r="12952" spans="1:2" x14ac:dyDescent="0.35">
      <c r="A12952" s="34">
        <v>51142001</v>
      </c>
      <c r="B12952" s="35" t="s">
        <v>3270</v>
      </c>
    </row>
    <row r="12953" spans="1:2" x14ac:dyDescent="0.35">
      <c r="A12953" s="34">
        <v>51142002</v>
      </c>
      <c r="B12953" s="35" t="s">
        <v>2387</v>
      </c>
    </row>
    <row r="12954" spans="1:2" x14ac:dyDescent="0.35">
      <c r="A12954" s="34">
        <v>51142003</v>
      </c>
      <c r="B12954" s="35" t="s">
        <v>14108</v>
      </c>
    </row>
    <row r="12955" spans="1:2" x14ac:dyDescent="0.35">
      <c r="A12955" s="34">
        <v>51142004</v>
      </c>
      <c r="B12955" s="35" t="s">
        <v>4040</v>
      </c>
    </row>
    <row r="12956" spans="1:2" x14ac:dyDescent="0.35">
      <c r="A12956" s="34">
        <v>51142005</v>
      </c>
      <c r="B12956" s="35" t="s">
        <v>14627</v>
      </c>
    </row>
    <row r="12957" spans="1:2" x14ac:dyDescent="0.35">
      <c r="A12957" s="34">
        <v>51142006</v>
      </c>
      <c r="B12957" s="35" t="s">
        <v>16683</v>
      </c>
    </row>
    <row r="12958" spans="1:2" x14ac:dyDescent="0.35">
      <c r="A12958" s="34">
        <v>51142009</v>
      </c>
      <c r="B12958" s="35" t="s">
        <v>3667</v>
      </c>
    </row>
    <row r="12959" spans="1:2" x14ac:dyDescent="0.35">
      <c r="A12959" s="34">
        <v>51142010</v>
      </c>
      <c r="B12959" s="35" t="s">
        <v>5974</v>
      </c>
    </row>
    <row r="12960" spans="1:2" x14ac:dyDescent="0.35">
      <c r="A12960" s="34">
        <v>51142011</v>
      </c>
      <c r="B12960" s="35" t="s">
        <v>7574</v>
      </c>
    </row>
    <row r="12961" spans="1:2" x14ac:dyDescent="0.35">
      <c r="A12961" s="34">
        <v>51142012</v>
      </c>
      <c r="B12961" s="35" t="s">
        <v>17411</v>
      </c>
    </row>
    <row r="12962" spans="1:2" x14ac:dyDescent="0.35">
      <c r="A12962" s="34">
        <v>51142013</v>
      </c>
      <c r="B12962" s="35" t="s">
        <v>16207</v>
      </c>
    </row>
    <row r="12963" spans="1:2" x14ac:dyDescent="0.35">
      <c r="A12963" s="34">
        <v>51142014</v>
      </c>
      <c r="B12963" s="35" t="s">
        <v>4894</v>
      </c>
    </row>
    <row r="12964" spans="1:2" x14ac:dyDescent="0.35">
      <c r="A12964" s="34">
        <v>51142015</v>
      </c>
      <c r="B12964" s="35" t="s">
        <v>8342</v>
      </c>
    </row>
    <row r="12965" spans="1:2" x14ac:dyDescent="0.35">
      <c r="A12965" s="34">
        <v>51142016</v>
      </c>
      <c r="B12965" s="35" t="s">
        <v>7829</v>
      </c>
    </row>
    <row r="12966" spans="1:2" x14ac:dyDescent="0.35">
      <c r="A12966" s="34">
        <v>51142017</v>
      </c>
      <c r="B12966" s="35" t="s">
        <v>12926</v>
      </c>
    </row>
    <row r="12967" spans="1:2" x14ac:dyDescent="0.35">
      <c r="A12967" s="34">
        <v>51142018</v>
      </c>
      <c r="B12967" s="35" t="s">
        <v>9210</v>
      </c>
    </row>
    <row r="12968" spans="1:2" x14ac:dyDescent="0.35">
      <c r="A12968" s="34">
        <v>51142101</v>
      </c>
      <c r="B12968" s="35" t="s">
        <v>7815</v>
      </c>
    </row>
    <row r="12969" spans="1:2" x14ac:dyDescent="0.35">
      <c r="A12969" s="34">
        <v>51142102</v>
      </c>
      <c r="B12969" s="35" t="s">
        <v>19589</v>
      </c>
    </row>
    <row r="12970" spans="1:2" x14ac:dyDescent="0.35">
      <c r="A12970" s="34">
        <v>51142103</v>
      </c>
      <c r="B12970" s="35" t="s">
        <v>11554</v>
      </c>
    </row>
    <row r="12971" spans="1:2" x14ac:dyDescent="0.35">
      <c r="A12971" s="34">
        <v>51142104</v>
      </c>
      <c r="B12971" s="35" t="s">
        <v>2802</v>
      </c>
    </row>
    <row r="12972" spans="1:2" x14ac:dyDescent="0.35">
      <c r="A12972" s="34">
        <v>51142105</v>
      </c>
      <c r="B12972" s="35" t="s">
        <v>10735</v>
      </c>
    </row>
    <row r="12973" spans="1:2" x14ac:dyDescent="0.35">
      <c r="A12973" s="34">
        <v>51142106</v>
      </c>
      <c r="B12973" s="35" t="s">
        <v>7193</v>
      </c>
    </row>
    <row r="12974" spans="1:2" x14ac:dyDescent="0.35">
      <c r="A12974" s="34">
        <v>51142107</v>
      </c>
      <c r="B12974" s="35" t="s">
        <v>5330</v>
      </c>
    </row>
    <row r="12975" spans="1:2" x14ac:dyDescent="0.35">
      <c r="A12975" s="34">
        <v>51142108</v>
      </c>
      <c r="B12975" s="35" t="s">
        <v>16910</v>
      </c>
    </row>
    <row r="12976" spans="1:2" x14ac:dyDescent="0.35">
      <c r="A12976" s="34">
        <v>51142109</v>
      </c>
      <c r="B12976" s="35" t="s">
        <v>1920</v>
      </c>
    </row>
    <row r="12977" spans="1:2" x14ac:dyDescent="0.35">
      <c r="A12977" s="34">
        <v>51142110</v>
      </c>
      <c r="B12977" s="35" t="s">
        <v>6769</v>
      </c>
    </row>
    <row r="12978" spans="1:2" x14ac:dyDescent="0.35">
      <c r="A12978" s="34">
        <v>51142111</v>
      </c>
      <c r="B12978" s="35" t="s">
        <v>3599</v>
      </c>
    </row>
    <row r="12979" spans="1:2" x14ac:dyDescent="0.35">
      <c r="A12979" s="34">
        <v>51142112</v>
      </c>
      <c r="B12979" s="35" t="s">
        <v>7008</v>
      </c>
    </row>
    <row r="12980" spans="1:2" x14ac:dyDescent="0.35">
      <c r="A12980" s="34">
        <v>51142113</v>
      </c>
      <c r="B12980" s="35" t="s">
        <v>6432</v>
      </c>
    </row>
    <row r="12981" spans="1:2" x14ac:dyDescent="0.35">
      <c r="A12981" s="34">
        <v>51142114</v>
      </c>
      <c r="B12981" s="35" t="s">
        <v>16456</v>
      </c>
    </row>
    <row r="12982" spans="1:2" x14ac:dyDescent="0.35">
      <c r="A12982" s="34">
        <v>51142116</v>
      </c>
      <c r="B12982" s="35" t="s">
        <v>16580</v>
      </c>
    </row>
    <row r="12983" spans="1:2" x14ac:dyDescent="0.35">
      <c r="A12983" s="34">
        <v>51142117</v>
      </c>
      <c r="B12983" s="35" t="s">
        <v>15770</v>
      </c>
    </row>
    <row r="12984" spans="1:2" x14ac:dyDescent="0.35">
      <c r="A12984" s="34">
        <v>51142118</v>
      </c>
      <c r="B12984" s="35" t="s">
        <v>11255</v>
      </c>
    </row>
    <row r="12985" spans="1:2" x14ac:dyDescent="0.35">
      <c r="A12985" s="34">
        <v>51142119</v>
      </c>
      <c r="B12985" s="35" t="s">
        <v>9535</v>
      </c>
    </row>
    <row r="12986" spans="1:2" x14ac:dyDescent="0.35">
      <c r="A12986" s="34">
        <v>51142120</v>
      </c>
      <c r="B12986" s="35" t="s">
        <v>16721</v>
      </c>
    </row>
    <row r="12987" spans="1:2" x14ac:dyDescent="0.35">
      <c r="A12987" s="34">
        <v>51142121</v>
      </c>
      <c r="B12987" s="35" t="s">
        <v>15022</v>
      </c>
    </row>
    <row r="12988" spans="1:2" x14ac:dyDescent="0.35">
      <c r="A12988" s="34">
        <v>51142122</v>
      </c>
      <c r="B12988" s="35" t="s">
        <v>13743</v>
      </c>
    </row>
    <row r="12989" spans="1:2" x14ac:dyDescent="0.35">
      <c r="A12989" s="34">
        <v>51142123</v>
      </c>
      <c r="B12989" s="35" t="s">
        <v>10662</v>
      </c>
    </row>
    <row r="12990" spans="1:2" x14ac:dyDescent="0.35">
      <c r="A12990" s="34">
        <v>51142124</v>
      </c>
      <c r="B12990" s="35" t="s">
        <v>16929</v>
      </c>
    </row>
    <row r="12991" spans="1:2" x14ac:dyDescent="0.35">
      <c r="A12991" s="34">
        <v>51142125</v>
      </c>
      <c r="B12991" s="35" t="s">
        <v>12382</v>
      </c>
    </row>
    <row r="12992" spans="1:2" x14ac:dyDescent="0.35">
      <c r="A12992" s="34">
        <v>51142126</v>
      </c>
      <c r="B12992" s="35" t="s">
        <v>17923</v>
      </c>
    </row>
    <row r="12993" spans="1:2" x14ac:dyDescent="0.35">
      <c r="A12993" s="34">
        <v>51142127</v>
      </c>
      <c r="B12993" s="35" t="s">
        <v>17360</v>
      </c>
    </row>
    <row r="12994" spans="1:2" x14ac:dyDescent="0.35">
      <c r="A12994" s="34">
        <v>51142128</v>
      </c>
      <c r="B12994" s="35" t="s">
        <v>13670</v>
      </c>
    </row>
    <row r="12995" spans="1:2" x14ac:dyDescent="0.35">
      <c r="A12995" s="34">
        <v>51142129</v>
      </c>
      <c r="B12995" s="35" t="s">
        <v>10584</v>
      </c>
    </row>
    <row r="12996" spans="1:2" x14ac:dyDescent="0.35">
      <c r="A12996" s="34">
        <v>51142130</v>
      </c>
      <c r="B12996" s="35" t="s">
        <v>2059</v>
      </c>
    </row>
    <row r="12997" spans="1:2" x14ac:dyDescent="0.35">
      <c r="A12997" s="34">
        <v>51142131</v>
      </c>
      <c r="B12997" s="35" t="s">
        <v>16854</v>
      </c>
    </row>
    <row r="12998" spans="1:2" x14ac:dyDescent="0.35">
      <c r="A12998" s="34">
        <v>51142132</v>
      </c>
      <c r="B12998" s="35" t="s">
        <v>508</v>
      </c>
    </row>
    <row r="12999" spans="1:2" x14ac:dyDescent="0.35">
      <c r="A12999" s="34">
        <v>51142133</v>
      </c>
      <c r="B12999" s="35" t="s">
        <v>11113</v>
      </c>
    </row>
    <row r="13000" spans="1:2" x14ac:dyDescent="0.35">
      <c r="A13000" s="34">
        <v>51142134</v>
      </c>
      <c r="B13000" s="35" t="s">
        <v>3192</v>
      </c>
    </row>
    <row r="13001" spans="1:2" x14ac:dyDescent="0.35">
      <c r="A13001" s="34">
        <v>51142135</v>
      </c>
      <c r="B13001" s="35" t="s">
        <v>9357</v>
      </c>
    </row>
    <row r="13002" spans="1:2" x14ac:dyDescent="0.35">
      <c r="A13002" s="34">
        <v>51142136</v>
      </c>
      <c r="B13002" s="35" t="s">
        <v>568</v>
      </c>
    </row>
    <row r="13003" spans="1:2" x14ac:dyDescent="0.35">
      <c r="A13003" s="34">
        <v>51142137</v>
      </c>
      <c r="B13003" s="35" t="s">
        <v>10693</v>
      </c>
    </row>
    <row r="13004" spans="1:2" x14ac:dyDescent="0.35">
      <c r="A13004" s="34">
        <v>51142138</v>
      </c>
      <c r="B13004" s="35" t="s">
        <v>3649</v>
      </c>
    </row>
    <row r="13005" spans="1:2" x14ac:dyDescent="0.35">
      <c r="A13005" s="34">
        <v>51142139</v>
      </c>
      <c r="B13005" s="35" t="s">
        <v>8543</v>
      </c>
    </row>
    <row r="13006" spans="1:2" x14ac:dyDescent="0.35">
      <c r="A13006" s="34">
        <v>51142140</v>
      </c>
      <c r="B13006" s="35" t="s">
        <v>12095</v>
      </c>
    </row>
    <row r="13007" spans="1:2" x14ac:dyDescent="0.35">
      <c r="A13007" s="34">
        <v>51142141</v>
      </c>
      <c r="B13007" s="35" t="s">
        <v>1610</v>
      </c>
    </row>
    <row r="13008" spans="1:2" x14ac:dyDescent="0.35">
      <c r="A13008" s="34">
        <v>51142142</v>
      </c>
      <c r="B13008" s="35" t="s">
        <v>15860</v>
      </c>
    </row>
    <row r="13009" spans="1:2" x14ac:dyDescent="0.35">
      <c r="A13009" s="34">
        <v>51142143</v>
      </c>
      <c r="B13009" s="35" t="s">
        <v>2991</v>
      </c>
    </row>
    <row r="13010" spans="1:2" x14ac:dyDescent="0.35">
      <c r="A13010" s="34">
        <v>51142144</v>
      </c>
      <c r="B13010" s="35" t="s">
        <v>10101</v>
      </c>
    </row>
    <row r="13011" spans="1:2" x14ac:dyDescent="0.35">
      <c r="A13011" s="34">
        <v>51142145</v>
      </c>
      <c r="B13011" s="35" t="s">
        <v>12482</v>
      </c>
    </row>
    <row r="13012" spans="1:2" x14ac:dyDescent="0.35">
      <c r="A13012" s="34">
        <v>51142146</v>
      </c>
      <c r="B13012" s="35" t="s">
        <v>10460</v>
      </c>
    </row>
    <row r="13013" spans="1:2" x14ac:dyDescent="0.35">
      <c r="A13013" s="34">
        <v>51142147</v>
      </c>
      <c r="B13013" s="35" t="s">
        <v>6235</v>
      </c>
    </row>
    <row r="13014" spans="1:2" x14ac:dyDescent="0.35">
      <c r="A13014" s="34">
        <v>51142148</v>
      </c>
      <c r="B13014" s="35" t="s">
        <v>16841</v>
      </c>
    </row>
    <row r="13015" spans="1:2" x14ac:dyDescent="0.35">
      <c r="A13015" s="34">
        <v>51142149</v>
      </c>
      <c r="B13015" s="35" t="s">
        <v>9298</v>
      </c>
    </row>
    <row r="13016" spans="1:2" x14ac:dyDescent="0.35">
      <c r="A13016" s="34">
        <v>51142201</v>
      </c>
      <c r="B13016" s="35" t="s">
        <v>4388</v>
      </c>
    </row>
    <row r="13017" spans="1:2" x14ac:dyDescent="0.35">
      <c r="A13017" s="34">
        <v>51142202</v>
      </c>
      <c r="B13017" s="35" t="s">
        <v>8839</v>
      </c>
    </row>
    <row r="13018" spans="1:2" x14ac:dyDescent="0.35">
      <c r="A13018" s="34">
        <v>51142203</v>
      </c>
      <c r="B13018" s="35" t="s">
        <v>12396</v>
      </c>
    </row>
    <row r="13019" spans="1:2" x14ac:dyDescent="0.35">
      <c r="A13019" s="34">
        <v>51142205</v>
      </c>
      <c r="B13019" s="35" t="s">
        <v>6940</v>
      </c>
    </row>
    <row r="13020" spans="1:2" x14ac:dyDescent="0.35">
      <c r="A13020" s="34">
        <v>51142206</v>
      </c>
      <c r="B13020" s="35" t="s">
        <v>12415</v>
      </c>
    </row>
    <row r="13021" spans="1:2" x14ac:dyDescent="0.35">
      <c r="A13021" s="34">
        <v>51142207</v>
      </c>
      <c r="B13021" s="35" t="s">
        <v>11119</v>
      </c>
    </row>
    <row r="13022" spans="1:2" x14ac:dyDescent="0.35">
      <c r="A13022" s="34">
        <v>51142208</v>
      </c>
      <c r="B13022" s="35" t="s">
        <v>2783</v>
      </c>
    </row>
    <row r="13023" spans="1:2" x14ac:dyDescent="0.35">
      <c r="A13023" s="34">
        <v>51142209</v>
      </c>
      <c r="B13023" s="35" t="s">
        <v>16819</v>
      </c>
    </row>
    <row r="13024" spans="1:2" x14ac:dyDescent="0.35">
      <c r="A13024" s="34">
        <v>51142210</v>
      </c>
      <c r="B13024" s="35" t="s">
        <v>15886</v>
      </c>
    </row>
    <row r="13025" spans="1:2" x14ac:dyDescent="0.35">
      <c r="A13025" s="34">
        <v>51142211</v>
      </c>
      <c r="B13025" s="35" t="s">
        <v>7003</v>
      </c>
    </row>
    <row r="13026" spans="1:2" x14ac:dyDescent="0.35">
      <c r="A13026" s="34">
        <v>51142212</v>
      </c>
      <c r="B13026" s="35" t="s">
        <v>11193</v>
      </c>
    </row>
    <row r="13027" spans="1:2" x14ac:dyDescent="0.35">
      <c r="A13027" s="34">
        <v>51142213</v>
      </c>
      <c r="B13027" s="35" t="s">
        <v>7536</v>
      </c>
    </row>
    <row r="13028" spans="1:2" x14ac:dyDescent="0.35">
      <c r="A13028" s="34">
        <v>51142214</v>
      </c>
      <c r="B13028" s="35" t="s">
        <v>11436</v>
      </c>
    </row>
    <row r="13029" spans="1:2" x14ac:dyDescent="0.35">
      <c r="A13029" s="34">
        <v>51142215</v>
      </c>
      <c r="B13029" s="35" t="s">
        <v>464</v>
      </c>
    </row>
    <row r="13030" spans="1:2" x14ac:dyDescent="0.35">
      <c r="A13030" s="34">
        <v>51142216</v>
      </c>
      <c r="B13030" s="35" t="s">
        <v>11035</v>
      </c>
    </row>
    <row r="13031" spans="1:2" x14ac:dyDescent="0.35">
      <c r="A13031" s="34">
        <v>51142217</v>
      </c>
      <c r="B13031" s="35" t="s">
        <v>7858</v>
      </c>
    </row>
    <row r="13032" spans="1:2" x14ac:dyDescent="0.35">
      <c r="A13032" s="34">
        <v>51142218</v>
      </c>
      <c r="B13032" s="35" t="s">
        <v>2419</v>
      </c>
    </row>
    <row r="13033" spans="1:2" x14ac:dyDescent="0.35">
      <c r="A13033" s="34">
        <v>51142219</v>
      </c>
      <c r="B13033" s="35" t="s">
        <v>5477</v>
      </c>
    </row>
    <row r="13034" spans="1:2" x14ac:dyDescent="0.35">
      <c r="A13034" s="34">
        <v>51142220</v>
      </c>
      <c r="B13034" s="35" t="s">
        <v>1776</v>
      </c>
    </row>
    <row r="13035" spans="1:2" x14ac:dyDescent="0.35">
      <c r="A13035" s="34">
        <v>51142221</v>
      </c>
      <c r="B13035" s="35" t="s">
        <v>1416</v>
      </c>
    </row>
    <row r="13036" spans="1:2" x14ac:dyDescent="0.35">
      <c r="A13036" s="34">
        <v>51142222</v>
      </c>
      <c r="B13036" s="35" t="s">
        <v>16527</v>
      </c>
    </row>
    <row r="13037" spans="1:2" x14ac:dyDescent="0.35">
      <c r="A13037" s="34">
        <v>51142223</v>
      </c>
      <c r="B13037" s="35" t="s">
        <v>5383</v>
      </c>
    </row>
    <row r="13038" spans="1:2" x14ac:dyDescent="0.35">
      <c r="A13038" s="34">
        <v>51142224</v>
      </c>
      <c r="B13038" s="35" t="s">
        <v>15847</v>
      </c>
    </row>
    <row r="13039" spans="1:2" x14ac:dyDescent="0.35">
      <c r="A13039" s="34">
        <v>51142225</v>
      </c>
      <c r="B13039" s="35" t="s">
        <v>12133</v>
      </c>
    </row>
    <row r="13040" spans="1:2" x14ac:dyDescent="0.35">
      <c r="A13040" s="34">
        <v>51142226</v>
      </c>
      <c r="B13040" s="35" t="s">
        <v>16492</v>
      </c>
    </row>
    <row r="13041" spans="1:2" x14ac:dyDescent="0.35">
      <c r="A13041" s="34">
        <v>51142227</v>
      </c>
      <c r="B13041" s="35" t="s">
        <v>15236</v>
      </c>
    </row>
    <row r="13042" spans="1:2" x14ac:dyDescent="0.35">
      <c r="A13042" s="34">
        <v>51142228</v>
      </c>
      <c r="B13042" s="35" t="s">
        <v>18338</v>
      </c>
    </row>
    <row r="13043" spans="1:2" x14ac:dyDescent="0.35">
      <c r="A13043" s="34">
        <v>51142229</v>
      </c>
      <c r="B13043" s="35" t="s">
        <v>8163</v>
      </c>
    </row>
    <row r="13044" spans="1:2" x14ac:dyDescent="0.35">
      <c r="A13044" s="34">
        <v>51142230</v>
      </c>
      <c r="B13044" s="35" t="s">
        <v>9007</v>
      </c>
    </row>
    <row r="13045" spans="1:2" x14ac:dyDescent="0.35">
      <c r="A13045" s="34">
        <v>51142231</v>
      </c>
      <c r="B13045" s="35" t="s">
        <v>17154</v>
      </c>
    </row>
    <row r="13046" spans="1:2" x14ac:dyDescent="0.35">
      <c r="A13046" s="34">
        <v>51142232</v>
      </c>
      <c r="B13046" s="35" t="s">
        <v>2459</v>
      </c>
    </row>
    <row r="13047" spans="1:2" x14ac:dyDescent="0.35">
      <c r="A13047" s="34">
        <v>51142233</v>
      </c>
      <c r="B13047" s="35" t="s">
        <v>8783</v>
      </c>
    </row>
    <row r="13048" spans="1:2" x14ac:dyDescent="0.35">
      <c r="A13048" s="34">
        <v>51142234</v>
      </c>
      <c r="B13048" s="35" t="s">
        <v>12645</v>
      </c>
    </row>
    <row r="13049" spans="1:2" x14ac:dyDescent="0.35">
      <c r="A13049" s="34">
        <v>51142235</v>
      </c>
      <c r="B13049" s="35" t="s">
        <v>12584</v>
      </c>
    </row>
    <row r="13050" spans="1:2" x14ac:dyDescent="0.35">
      <c r="A13050" s="34">
        <v>51142236</v>
      </c>
      <c r="B13050" s="35" t="s">
        <v>5368</v>
      </c>
    </row>
    <row r="13051" spans="1:2" x14ac:dyDescent="0.35">
      <c r="A13051" s="34">
        <v>51142237</v>
      </c>
      <c r="B13051" s="35" t="s">
        <v>1862</v>
      </c>
    </row>
    <row r="13052" spans="1:2" x14ac:dyDescent="0.35">
      <c r="A13052" s="34">
        <v>51142301</v>
      </c>
      <c r="B13052" s="35" t="s">
        <v>9019</v>
      </c>
    </row>
    <row r="13053" spans="1:2" x14ac:dyDescent="0.35">
      <c r="A13053" s="34">
        <v>51142302</v>
      </c>
      <c r="B13053" s="35" t="s">
        <v>17906</v>
      </c>
    </row>
    <row r="13054" spans="1:2" x14ac:dyDescent="0.35">
      <c r="A13054" s="34">
        <v>51142303</v>
      </c>
      <c r="B13054" s="35" t="s">
        <v>651</v>
      </c>
    </row>
    <row r="13055" spans="1:2" x14ac:dyDescent="0.35">
      <c r="A13055" s="34">
        <v>51142304</v>
      </c>
      <c r="B13055" s="35" t="s">
        <v>19299</v>
      </c>
    </row>
    <row r="13056" spans="1:2" x14ac:dyDescent="0.35">
      <c r="A13056" s="34">
        <v>51142305</v>
      </c>
      <c r="B13056" s="35" t="s">
        <v>11054</v>
      </c>
    </row>
    <row r="13057" spans="1:2" x14ac:dyDescent="0.35">
      <c r="A13057" s="34">
        <v>51142401</v>
      </c>
      <c r="B13057" s="35" t="s">
        <v>1571</v>
      </c>
    </row>
    <row r="13058" spans="1:2" x14ac:dyDescent="0.35">
      <c r="A13058" s="34">
        <v>51142402</v>
      </c>
      <c r="B13058" s="35" t="s">
        <v>16159</v>
      </c>
    </row>
    <row r="13059" spans="1:2" x14ac:dyDescent="0.35">
      <c r="A13059" s="34">
        <v>51142403</v>
      </c>
      <c r="B13059" s="35" t="s">
        <v>6439</v>
      </c>
    </row>
    <row r="13060" spans="1:2" x14ac:dyDescent="0.35">
      <c r="A13060" s="34">
        <v>51142404</v>
      </c>
      <c r="B13060" s="35" t="s">
        <v>16994</v>
      </c>
    </row>
    <row r="13061" spans="1:2" x14ac:dyDescent="0.35">
      <c r="A13061" s="34">
        <v>51142405</v>
      </c>
      <c r="B13061" s="35" t="s">
        <v>10866</v>
      </c>
    </row>
    <row r="13062" spans="1:2" x14ac:dyDescent="0.35">
      <c r="A13062" s="34">
        <v>51142406</v>
      </c>
      <c r="B13062" s="35" t="s">
        <v>5212</v>
      </c>
    </row>
    <row r="13063" spans="1:2" x14ac:dyDescent="0.35">
      <c r="A13063" s="34">
        <v>51142407</v>
      </c>
      <c r="B13063" s="35" t="s">
        <v>15308</v>
      </c>
    </row>
    <row r="13064" spans="1:2" x14ac:dyDescent="0.35">
      <c r="A13064" s="34">
        <v>51142408</v>
      </c>
      <c r="B13064" s="35" t="s">
        <v>8057</v>
      </c>
    </row>
    <row r="13065" spans="1:2" x14ac:dyDescent="0.35">
      <c r="A13065" s="34">
        <v>51142409</v>
      </c>
      <c r="B13065" s="35" t="s">
        <v>2784</v>
      </c>
    </row>
    <row r="13066" spans="1:2" x14ac:dyDescent="0.35">
      <c r="A13066" s="34">
        <v>51142410</v>
      </c>
      <c r="B13066" s="35" t="s">
        <v>15867</v>
      </c>
    </row>
    <row r="13067" spans="1:2" x14ac:dyDescent="0.35">
      <c r="A13067" s="34">
        <v>51142411</v>
      </c>
      <c r="B13067" s="35" t="s">
        <v>3433</v>
      </c>
    </row>
    <row r="13068" spans="1:2" x14ac:dyDescent="0.35">
      <c r="A13068" s="34">
        <v>51142412</v>
      </c>
      <c r="B13068" s="35" t="s">
        <v>5480</v>
      </c>
    </row>
    <row r="13069" spans="1:2" x14ac:dyDescent="0.35">
      <c r="A13069" s="34">
        <v>51142413</v>
      </c>
      <c r="B13069" s="35" t="s">
        <v>3605</v>
      </c>
    </row>
    <row r="13070" spans="1:2" x14ac:dyDescent="0.35">
      <c r="A13070" s="34">
        <v>51142414</v>
      </c>
      <c r="B13070" s="35" t="s">
        <v>5185</v>
      </c>
    </row>
    <row r="13071" spans="1:2" x14ac:dyDescent="0.35">
      <c r="A13071" s="34">
        <v>51142501</v>
      </c>
      <c r="B13071" s="35" t="s">
        <v>12594</v>
      </c>
    </row>
    <row r="13072" spans="1:2" x14ac:dyDescent="0.35">
      <c r="A13072" s="34">
        <v>51142502</v>
      </c>
      <c r="B13072" s="35" t="s">
        <v>9532</v>
      </c>
    </row>
    <row r="13073" spans="1:2" x14ac:dyDescent="0.35">
      <c r="A13073" s="34">
        <v>51142503</v>
      </c>
      <c r="B13073" s="35" t="s">
        <v>6694</v>
      </c>
    </row>
    <row r="13074" spans="1:2" x14ac:dyDescent="0.35">
      <c r="A13074" s="34">
        <v>51142504</v>
      </c>
      <c r="B13074" s="35" t="s">
        <v>15288</v>
      </c>
    </row>
    <row r="13075" spans="1:2" x14ac:dyDescent="0.35">
      <c r="A13075" s="34">
        <v>51142505</v>
      </c>
      <c r="B13075" s="35" t="s">
        <v>19130</v>
      </c>
    </row>
    <row r="13076" spans="1:2" x14ac:dyDescent="0.35">
      <c r="A13076" s="34">
        <v>51142506</v>
      </c>
      <c r="B13076" s="35" t="s">
        <v>5951</v>
      </c>
    </row>
    <row r="13077" spans="1:2" x14ac:dyDescent="0.35">
      <c r="A13077" s="34">
        <v>51142507</v>
      </c>
      <c r="B13077" s="35" t="s">
        <v>12258</v>
      </c>
    </row>
    <row r="13078" spans="1:2" x14ac:dyDescent="0.35">
      <c r="A13078" s="34">
        <v>51142508</v>
      </c>
      <c r="B13078" s="35" t="s">
        <v>17893</v>
      </c>
    </row>
    <row r="13079" spans="1:2" x14ac:dyDescent="0.35">
      <c r="A13079" s="34">
        <v>51142509</v>
      </c>
      <c r="B13079" s="35" t="s">
        <v>5950</v>
      </c>
    </row>
    <row r="13080" spans="1:2" x14ac:dyDescent="0.35">
      <c r="A13080" s="34">
        <v>51142510</v>
      </c>
      <c r="B13080" s="35" t="s">
        <v>3577</v>
      </c>
    </row>
    <row r="13081" spans="1:2" x14ac:dyDescent="0.35">
      <c r="A13081" s="34">
        <v>51142601</v>
      </c>
      <c r="B13081" s="35" t="s">
        <v>75</v>
      </c>
    </row>
    <row r="13082" spans="1:2" x14ac:dyDescent="0.35">
      <c r="A13082" s="34">
        <v>51142602</v>
      </c>
      <c r="B13082" s="35" t="s">
        <v>18697</v>
      </c>
    </row>
    <row r="13083" spans="1:2" x14ac:dyDescent="0.35">
      <c r="A13083" s="34">
        <v>51142603</v>
      </c>
      <c r="B13083" s="35" t="s">
        <v>12246</v>
      </c>
    </row>
    <row r="13084" spans="1:2" x14ac:dyDescent="0.35">
      <c r="A13084" s="34">
        <v>51142604</v>
      </c>
      <c r="B13084" s="35" t="s">
        <v>10521</v>
      </c>
    </row>
    <row r="13085" spans="1:2" x14ac:dyDescent="0.35">
      <c r="A13085" s="34">
        <v>51142605</v>
      </c>
      <c r="B13085" s="35" t="s">
        <v>15788</v>
      </c>
    </row>
    <row r="13086" spans="1:2" x14ac:dyDescent="0.35">
      <c r="A13086" s="34">
        <v>51142606</v>
      </c>
      <c r="B13086" s="35" t="s">
        <v>7933</v>
      </c>
    </row>
    <row r="13087" spans="1:2" x14ac:dyDescent="0.35">
      <c r="A13087" s="34">
        <v>51142607</v>
      </c>
      <c r="B13087" s="35" t="s">
        <v>14260</v>
      </c>
    </row>
    <row r="13088" spans="1:2" x14ac:dyDescent="0.35">
      <c r="A13088" s="34">
        <v>51142608</v>
      </c>
      <c r="B13088" s="35" t="s">
        <v>12173</v>
      </c>
    </row>
    <row r="13089" spans="1:2" x14ac:dyDescent="0.35">
      <c r="A13089" s="34">
        <v>51142609</v>
      </c>
      <c r="B13089" s="35" t="s">
        <v>5086</v>
      </c>
    </row>
    <row r="13090" spans="1:2" x14ac:dyDescent="0.35">
      <c r="A13090" s="34">
        <v>51142610</v>
      </c>
      <c r="B13090" s="35" t="s">
        <v>3368</v>
      </c>
    </row>
    <row r="13091" spans="1:2" x14ac:dyDescent="0.35">
      <c r="A13091" s="34">
        <v>51142611</v>
      </c>
      <c r="B13091" s="35" t="s">
        <v>13258</v>
      </c>
    </row>
    <row r="13092" spans="1:2" x14ac:dyDescent="0.35">
      <c r="A13092" s="34">
        <v>51142612</v>
      </c>
      <c r="B13092" s="35" t="s">
        <v>11500</v>
      </c>
    </row>
    <row r="13093" spans="1:2" x14ac:dyDescent="0.35">
      <c r="A13093" s="34">
        <v>51142613</v>
      </c>
      <c r="B13093" s="35" t="s">
        <v>17720</v>
      </c>
    </row>
    <row r="13094" spans="1:2" x14ac:dyDescent="0.35">
      <c r="A13094" s="34">
        <v>51142614</v>
      </c>
      <c r="B13094" s="35" t="s">
        <v>11909</v>
      </c>
    </row>
    <row r="13095" spans="1:2" x14ac:dyDescent="0.35">
      <c r="A13095" s="34">
        <v>51142615</v>
      </c>
      <c r="B13095" s="35" t="s">
        <v>17442</v>
      </c>
    </row>
    <row r="13096" spans="1:2" x14ac:dyDescent="0.35">
      <c r="A13096" s="34">
        <v>51142616</v>
      </c>
      <c r="B13096" s="35" t="s">
        <v>932</v>
      </c>
    </row>
    <row r="13097" spans="1:2" x14ac:dyDescent="0.35">
      <c r="A13097" s="34">
        <v>51142617</v>
      </c>
      <c r="B13097" s="35" t="s">
        <v>18637</v>
      </c>
    </row>
    <row r="13098" spans="1:2" x14ac:dyDescent="0.35">
      <c r="A13098" s="34">
        <v>51142618</v>
      </c>
      <c r="B13098" s="35" t="s">
        <v>3201</v>
      </c>
    </row>
    <row r="13099" spans="1:2" x14ac:dyDescent="0.35">
      <c r="A13099" s="34">
        <v>51142619</v>
      </c>
      <c r="B13099" s="35" t="s">
        <v>2678</v>
      </c>
    </row>
    <row r="13100" spans="1:2" x14ac:dyDescent="0.35">
      <c r="A13100" s="34">
        <v>51142701</v>
      </c>
      <c r="B13100" s="35" t="s">
        <v>2888</v>
      </c>
    </row>
    <row r="13101" spans="1:2" x14ac:dyDescent="0.35">
      <c r="A13101" s="34">
        <v>51142702</v>
      </c>
      <c r="B13101" s="35" t="s">
        <v>8511</v>
      </c>
    </row>
    <row r="13102" spans="1:2" x14ac:dyDescent="0.35">
      <c r="A13102" s="34">
        <v>51142801</v>
      </c>
      <c r="B13102" s="35" t="s">
        <v>15200</v>
      </c>
    </row>
    <row r="13103" spans="1:2" x14ac:dyDescent="0.35">
      <c r="A13103" s="34">
        <v>51142901</v>
      </c>
      <c r="B13103" s="35" t="s">
        <v>5081</v>
      </c>
    </row>
    <row r="13104" spans="1:2" x14ac:dyDescent="0.35">
      <c r="A13104" s="34">
        <v>51142902</v>
      </c>
      <c r="B13104" s="35" t="s">
        <v>14226</v>
      </c>
    </row>
    <row r="13105" spans="1:2" x14ac:dyDescent="0.35">
      <c r="A13105" s="34">
        <v>51142903</v>
      </c>
      <c r="B13105" s="35" t="s">
        <v>3545</v>
      </c>
    </row>
    <row r="13106" spans="1:2" x14ac:dyDescent="0.35">
      <c r="A13106" s="34">
        <v>51142904</v>
      </c>
      <c r="B13106" s="35" t="s">
        <v>17982</v>
      </c>
    </row>
    <row r="13107" spans="1:2" x14ac:dyDescent="0.35">
      <c r="A13107" s="34">
        <v>51142905</v>
      </c>
      <c r="B13107" s="35" t="s">
        <v>13781</v>
      </c>
    </row>
    <row r="13108" spans="1:2" x14ac:dyDescent="0.35">
      <c r="A13108" s="34">
        <v>51142906</v>
      </c>
      <c r="B13108" s="35" t="s">
        <v>6771</v>
      </c>
    </row>
    <row r="13109" spans="1:2" x14ac:dyDescent="0.35">
      <c r="A13109" s="34">
        <v>51142907</v>
      </c>
      <c r="B13109" s="35" t="s">
        <v>1306</v>
      </c>
    </row>
    <row r="13110" spans="1:2" x14ac:dyDescent="0.35">
      <c r="A13110" s="34">
        <v>51142908</v>
      </c>
      <c r="B13110" s="35" t="s">
        <v>19585</v>
      </c>
    </row>
    <row r="13111" spans="1:2" x14ac:dyDescent="0.35">
      <c r="A13111" s="34">
        <v>51142909</v>
      </c>
      <c r="B13111" s="35" t="s">
        <v>1511</v>
      </c>
    </row>
    <row r="13112" spans="1:2" x14ac:dyDescent="0.35">
      <c r="A13112" s="34">
        <v>51142910</v>
      </c>
      <c r="B13112" s="35" t="s">
        <v>10286</v>
      </c>
    </row>
    <row r="13113" spans="1:2" x14ac:dyDescent="0.35">
      <c r="A13113" s="34">
        <v>51142911</v>
      </c>
      <c r="B13113" s="35" t="s">
        <v>15241</v>
      </c>
    </row>
    <row r="13114" spans="1:2" x14ac:dyDescent="0.35">
      <c r="A13114" s="34">
        <v>51142912</v>
      </c>
      <c r="B13114" s="35" t="s">
        <v>1050</v>
      </c>
    </row>
    <row r="13115" spans="1:2" x14ac:dyDescent="0.35">
      <c r="A13115" s="34">
        <v>51142913</v>
      </c>
      <c r="B13115" s="35" t="s">
        <v>6690</v>
      </c>
    </row>
    <row r="13116" spans="1:2" x14ac:dyDescent="0.35">
      <c r="A13116" s="34">
        <v>51142914</v>
      </c>
      <c r="B13116" s="35" t="s">
        <v>14299</v>
      </c>
    </row>
    <row r="13117" spans="1:2" x14ac:dyDescent="0.35">
      <c r="A13117" s="34">
        <v>51142915</v>
      </c>
      <c r="B13117" s="35" t="s">
        <v>13274</v>
      </c>
    </row>
    <row r="13118" spans="1:2" x14ac:dyDescent="0.35">
      <c r="A13118" s="34">
        <v>51142916</v>
      </c>
      <c r="B13118" s="35" t="s">
        <v>8045</v>
      </c>
    </row>
    <row r="13119" spans="1:2" x14ac:dyDescent="0.35">
      <c r="A13119" s="34">
        <v>51142917</v>
      </c>
      <c r="B13119" s="35" t="s">
        <v>10500</v>
      </c>
    </row>
    <row r="13120" spans="1:2" x14ac:dyDescent="0.35">
      <c r="A13120" s="34">
        <v>51142918</v>
      </c>
      <c r="B13120" s="35" t="s">
        <v>8391</v>
      </c>
    </row>
    <row r="13121" spans="1:2" x14ac:dyDescent="0.35">
      <c r="A13121" s="34">
        <v>51142919</v>
      </c>
      <c r="B13121" s="35" t="s">
        <v>11461</v>
      </c>
    </row>
    <row r="13122" spans="1:2" x14ac:dyDescent="0.35">
      <c r="A13122" s="34">
        <v>51142920</v>
      </c>
      <c r="B13122" s="35" t="s">
        <v>2394</v>
      </c>
    </row>
    <row r="13123" spans="1:2" x14ac:dyDescent="0.35">
      <c r="A13123" s="34">
        <v>51142921</v>
      </c>
      <c r="B13123" s="35" t="s">
        <v>15116</v>
      </c>
    </row>
    <row r="13124" spans="1:2" x14ac:dyDescent="0.35">
      <c r="A13124" s="34">
        <v>51142922</v>
      </c>
      <c r="B13124" s="35" t="s">
        <v>7059</v>
      </c>
    </row>
    <row r="13125" spans="1:2" x14ac:dyDescent="0.35">
      <c r="A13125" s="34">
        <v>51142923</v>
      </c>
      <c r="B13125" s="35" t="s">
        <v>3464</v>
      </c>
    </row>
    <row r="13126" spans="1:2" x14ac:dyDescent="0.35">
      <c r="A13126" s="34">
        <v>51142924</v>
      </c>
      <c r="B13126" s="35" t="s">
        <v>5649</v>
      </c>
    </row>
    <row r="13127" spans="1:2" x14ac:dyDescent="0.35">
      <c r="A13127" s="34">
        <v>51142925</v>
      </c>
      <c r="B13127" s="35" t="s">
        <v>19392</v>
      </c>
    </row>
    <row r="13128" spans="1:2" x14ac:dyDescent="0.35">
      <c r="A13128" s="34">
        <v>51142926</v>
      </c>
      <c r="B13128" s="35" t="s">
        <v>191</v>
      </c>
    </row>
    <row r="13129" spans="1:2" x14ac:dyDescent="0.35">
      <c r="A13129" s="34">
        <v>51142927</v>
      </c>
      <c r="B13129" s="35" t="s">
        <v>11241</v>
      </c>
    </row>
    <row r="13130" spans="1:2" x14ac:dyDescent="0.35">
      <c r="A13130" s="34">
        <v>51142928</v>
      </c>
      <c r="B13130" s="35" t="s">
        <v>5858</v>
      </c>
    </row>
    <row r="13131" spans="1:2" x14ac:dyDescent="0.35">
      <c r="A13131" s="34">
        <v>51142929</v>
      </c>
      <c r="B13131" s="35" t="s">
        <v>7990</v>
      </c>
    </row>
    <row r="13132" spans="1:2" x14ac:dyDescent="0.35">
      <c r="A13132" s="34">
        <v>51142930</v>
      </c>
      <c r="B13132" s="35" t="s">
        <v>19140</v>
      </c>
    </row>
    <row r="13133" spans="1:2" x14ac:dyDescent="0.35">
      <c r="A13133" s="34">
        <v>51142931</v>
      </c>
      <c r="B13133" s="35" t="s">
        <v>2650</v>
      </c>
    </row>
    <row r="13134" spans="1:2" x14ac:dyDescent="0.35">
      <c r="A13134" s="34">
        <v>51142932</v>
      </c>
      <c r="B13134" s="35" t="s">
        <v>3102</v>
      </c>
    </row>
    <row r="13135" spans="1:2" x14ac:dyDescent="0.35">
      <c r="A13135" s="34">
        <v>51142933</v>
      </c>
      <c r="B13135" s="35" t="s">
        <v>4946</v>
      </c>
    </row>
    <row r="13136" spans="1:2" x14ac:dyDescent="0.35">
      <c r="A13136" s="34">
        <v>51142934</v>
      </c>
      <c r="B13136" s="35" t="s">
        <v>6046</v>
      </c>
    </row>
    <row r="13137" spans="1:2" x14ac:dyDescent="0.35">
      <c r="A13137" s="34">
        <v>51142935</v>
      </c>
      <c r="B13137" s="35" t="s">
        <v>4747</v>
      </c>
    </row>
    <row r="13138" spans="1:2" x14ac:dyDescent="0.35">
      <c r="A13138" s="34">
        <v>51142936</v>
      </c>
      <c r="B13138" s="35" t="s">
        <v>16528</v>
      </c>
    </row>
    <row r="13139" spans="1:2" x14ac:dyDescent="0.35">
      <c r="A13139" s="34">
        <v>51142937</v>
      </c>
      <c r="B13139" s="35" t="s">
        <v>2672</v>
      </c>
    </row>
    <row r="13140" spans="1:2" x14ac:dyDescent="0.35">
      <c r="A13140" s="34">
        <v>51142938</v>
      </c>
      <c r="B13140" s="35" t="s">
        <v>12494</v>
      </c>
    </row>
    <row r="13141" spans="1:2" x14ac:dyDescent="0.35">
      <c r="A13141" s="34">
        <v>51142939</v>
      </c>
      <c r="B13141" s="35" t="s">
        <v>15422</v>
      </c>
    </row>
    <row r="13142" spans="1:2" x14ac:dyDescent="0.35">
      <c r="A13142" s="34">
        <v>51142940</v>
      </c>
      <c r="B13142" s="35" t="s">
        <v>18558</v>
      </c>
    </row>
    <row r="13143" spans="1:2" x14ac:dyDescent="0.35">
      <c r="A13143" s="34">
        <v>51142941</v>
      </c>
      <c r="B13143" s="35" t="s">
        <v>11996</v>
      </c>
    </row>
    <row r="13144" spans="1:2" x14ac:dyDescent="0.35">
      <c r="A13144" s="34">
        <v>51142942</v>
      </c>
      <c r="B13144" s="35" t="s">
        <v>3586</v>
      </c>
    </row>
    <row r="13145" spans="1:2" x14ac:dyDescent="0.35">
      <c r="A13145" s="34">
        <v>51142943</v>
      </c>
      <c r="B13145" s="35" t="s">
        <v>10158</v>
      </c>
    </row>
    <row r="13146" spans="1:2" x14ac:dyDescent="0.35">
      <c r="A13146" s="34">
        <v>51142944</v>
      </c>
      <c r="B13146" s="35" t="s">
        <v>2369</v>
      </c>
    </row>
    <row r="13147" spans="1:2" x14ac:dyDescent="0.35">
      <c r="A13147" s="34">
        <v>51142945</v>
      </c>
      <c r="B13147" s="35" t="s">
        <v>5914</v>
      </c>
    </row>
    <row r="13148" spans="1:2" x14ac:dyDescent="0.35">
      <c r="A13148" s="34">
        <v>51142946</v>
      </c>
      <c r="B13148" s="35" t="s">
        <v>5006</v>
      </c>
    </row>
    <row r="13149" spans="1:2" x14ac:dyDescent="0.35">
      <c r="A13149" s="34">
        <v>51142947</v>
      </c>
      <c r="B13149" s="35" t="s">
        <v>13213</v>
      </c>
    </row>
    <row r="13150" spans="1:2" x14ac:dyDescent="0.35">
      <c r="A13150" s="34">
        <v>51151501</v>
      </c>
      <c r="B13150" s="35" t="s">
        <v>6965</v>
      </c>
    </row>
    <row r="13151" spans="1:2" x14ac:dyDescent="0.35">
      <c r="A13151" s="34">
        <v>51151502</v>
      </c>
      <c r="B13151" s="35" t="s">
        <v>3109</v>
      </c>
    </row>
    <row r="13152" spans="1:2" x14ac:dyDescent="0.35">
      <c r="A13152" s="34">
        <v>51151503</v>
      </c>
      <c r="B13152" s="35" t="s">
        <v>4620</v>
      </c>
    </row>
    <row r="13153" spans="1:2" x14ac:dyDescent="0.35">
      <c r="A13153" s="34">
        <v>51151504</v>
      </c>
      <c r="B13153" s="35" t="s">
        <v>17713</v>
      </c>
    </row>
    <row r="13154" spans="1:2" x14ac:dyDescent="0.35">
      <c r="A13154" s="34">
        <v>51151505</v>
      </c>
      <c r="B13154" s="35" t="s">
        <v>16057</v>
      </c>
    </row>
    <row r="13155" spans="1:2" x14ac:dyDescent="0.35">
      <c r="A13155" s="34">
        <v>51151506</v>
      </c>
      <c r="B13155" s="35" t="s">
        <v>7692</v>
      </c>
    </row>
    <row r="13156" spans="1:2" x14ac:dyDescent="0.35">
      <c r="A13156" s="34">
        <v>51151507</v>
      </c>
      <c r="B13156" s="35" t="s">
        <v>6083</v>
      </c>
    </row>
    <row r="13157" spans="1:2" x14ac:dyDescent="0.35">
      <c r="A13157" s="34">
        <v>51151508</v>
      </c>
      <c r="B13157" s="35" t="s">
        <v>4465</v>
      </c>
    </row>
    <row r="13158" spans="1:2" x14ac:dyDescent="0.35">
      <c r="A13158" s="34">
        <v>51151509</v>
      </c>
      <c r="B13158" s="35" t="s">
        <v>19276</v>
      </c>
    </row>
    <row r="13159" spans="1:2" x14ac:dyDescent="0.35">
      <c r="A13159" s="34">
        <v>51151510</v>
      </c>
      <c r="B13159" s="35" t="s">
        <v>13940</v>
      </c>
    </row>
    <row r="13160" spans="1:2" x14ac:dyDescent="0.35">
      <c r="A13160" s="34">
        <v>51151511</v>
      </c>
      <c r="B13160" s="35" t="s">
        <v>18438</v>
      </c>
    </row>
    <row r="13161" spans="1:2" x14ac:dyDescent="0.35">
      <c r="A13161" s="34">
        <v>51151512</v>
      </c>
      <c r="B13161" s="35" t="s">
        <v>3194</v>
      </c>
    </row>
    <row r="13162" spans="1:2" x14ac:dyDescent="0.35">
      <c r="A13162" s="34">
        <v>51151513</v>
      </c>
      <c r="B13162" s="35" t="s">
        <v>1331</v>
      </c>
    </row>
    <row r="13163" spans="1:2" x14ac:dyDescent="0.35">
      <c r="A13163" s="34">
        <v>51151514</v>
      </c>
      <c r="B13163" s="35" t="s">
        <v>11607</v>
      </c>
    </row>
    <row r="13164" spans="1:2" x14ac:dyDescent="0.35">
      <c r="A13164" s="34">
        <v>51151515</v>
      </c>
      <c r="B13164" s="35" t="s">
        <v>12308</v>
      </c>
    </row>
    <row r="13165" spans="1:2" x14ac:dyDescent="0.35">
      <c r="A13165" s="34">
        <v>51151516</v>
      </c>
      <c r="B13165" s="35" t="s">
        <v>12366</v>
      </c>
    </row>
    <row r="13166" spans="1:2" x14ac:dyDescent="0.35">
      <c r="A13166" s="34">
        <v>51151517</v>
      </c>
      <c r="B13166" s="35" t="s">
        <v>16915</v>
      </c>
    </row>
    <row r="13167" spans="1:2" x14ac:dyDescent="0.35">
      <c r="A13167" s="34">
        <v>51151518</v>
      </c>
      <c r="B13167" s="35" t="s">
        <v>11830</v>
      </c>
    </row>
    <row r="13168" spans="1:2" x14ac:dyDescent="0.35">
      <c r="A13168" s="34">
        <v>51151601</v>
      </c>
      <c r="B13168" s="35" t="s">
        <v>16899</v>
      </c>
    </row>
    <row r="13169" spans="1:2" x14ac:dyDescent="0.35">
      <c r="A13169" s="34">
        <v>51151602</v>
      </c>
      <c r="B13169" s="35" t="s">
        <v>4443</v>
      </c>
    </row>
    <row r="13170" spans="1:2" x14ac:dyDescent="0.35">
      <c r="A13170" s="34">
        <v>51151603</v>
      </c>
      <c r="B13170" s="35" t="s">
        <v>5773</v>
      </c>
    </row>
    <row r="13171" spans="1:2" x14ac:dyDescent="0.35">
      <c r="A13171" s="34">
        <v>51151604</v>
      </c>
      <c r="B13171" s="35" t="s">
        <v>9945</v>
      </c>
    </row>
    <row r="13172" spans="1:2" x14ac:dyDescent="0.35">
      <c r="A13172" s="34">
        <v>51151605</v>
      </c>
      <c r="B13172" s="35" t="s">
        <v>10217</v>
      </c>
    </row>
    <row r="13173" spans="1:2" x14ac:dyDescent="0.35">
      <c r="A13173" s="34">
        <v>51151606</v>
      </c>
      <c r="B13173" s="35" t="s">
        <v>2846</v>
      </c>
    </row>
    <row r="13174" spans="1:2" x14ac:dyDescent="0.35">
      <c r="A13174" s="34">
        <v>51151607</v>
      </c>
      <c r="B13174" s="35" t="s">
        <v>1414</v>
      </c>
    </row>
    <row r="13175" spans="1:2" x14ac:dyDescent="0.35">
      <c r="A13175" s="34">
        <v>51151608</v>
      </c>
      <c r="B13175" s="35" t="s">
        <v>10596</v>
      </c>
    </row>
    <row r="13176" spans="1:2" x14ac:dyDescent="0.35">
      <c r="A13176" s="34">
        <v>51151609</v>
      </c>
      <c r="B13176" s="35" t="s">
        <v>5412</v>
      </c>
    </row>
    <row r="13177" spans="1:2" x14ac:dyDescent="0.35">
      <c r="A13177" s="34">
        <v>51151610</v>
      </c>
      <c r="B13177" s="35" t="s">
        <v>1243</v>
      </c>
    </row>
    <row r="13178" spans="1:2" x14ac:dyDescent="0.35">
      <c r="A13178" s="34">
        <v>51151611</v>
      </c>
      <c r="B13178" s="35" t="s">
        <v>4821</v>
      </c>
    </row>
    <row r="13179" spans="1:2" x14ac:dyDescent="0.35">
      <c r="A13179" s="34">
        <v>51151612</v>
      </c>
      <c r="B13179" s="35" t="s">
        <v>19420</v>
      </c>
    </row>
    <row r="13180" spans="1:2" x14ac:dyDescent="0.35">
      <c r="A13180" s="34">
        <v>51151613</v>
      </c>
      <c r="B13180" s="35" t="s">
        <v>13449</v>
      </c>
    </row>
    <row r="13181" spans="1:2" x14ac:dyDescent="0.35">
      <c r="A13181" s="34">
        <v>51151614</v>
      </c>
      <c r="B13181" s="35" t="s">
        <v>5305</v>
      </c>
    </row>
    <row r="13182" spans="1:2" x14ac:dyDescent="0.35">
      <c r="A13182" s="34">
        <v>51151615</v>
      </c>
      <c r="B13182" s="35" t="s">
        <v>2374</v>
      </c>
    </row>
    <row r="13183" spans="1:2" x14ac:dyDescent="0.35">
      <c r="A13183" s="34">
        <v>51151616</v>
      </c>
      <c r="B13183" s="35" t="s">
        <v>17828</v>
      </c>
    </row>
    <row r="13184" spans="1:2" x14ac:dyDescent="0.35">
      <c r="A13184" s="34">
        <v>51151701</v>
      </c>
      <c r="B13184" s="35" t="s">
        <v>8365</v>
      </c>
    </row>
    <row r="13185" spans="1:2" x14ac:dyDescent="0.35">
      <c r="A13185" s="34">
        <v>51151702</v>
      </c>
      <c r="B13185" s="35" t="s">
        <v>2647</v>
      </c>
    </row>
    <row r="13186" spans="1:2" x14ac:dyDescent="0.35">
      <c r="A13186" s="34">
        <v>51151703</v>
      </c>
      <c r="B13186" s="35" t="s">
        <v>9660</v>
      </c>
    </row>
    <row r="13187" spans="1:2" x14ac:dyDescent="0.35">
      <c r="A13187" s="34">
        <v>51151704</v>
      </c>
      <c r="B13187" s="35" t="s">
        <v>3339</v>
      </c>
    </row>
    <row r="13188" spans="1:2" x14ac:dyDescent="0.35">
      <c r="A13188" s="34">
        <v>51151705</v>
      </c>
      <c r="B13188" s="35" t="s">
        <v>3902</v>
      </c>
    </row>
    <row r="13189" spans="1:2" x14ac:dyDescent="0.35">
      <c r="A13189" s="34">
        <v>51151706</v>
      </c>
      <c r="B13189" s="35" t="s">
        <v>3183</v>
      </c>
    </row>
    <row r="13190" spans="1:2" x14ac:dyDescent="0.35">
      <c r="A13190" s="34">
        <v>51151707</v>
      </c>
      <c r="B13190" s="35" t="s">
        <v>13325</v>
      </c>
    </row>
    <row r="13191" spans="1:2" x14ac:dyDescent="0.35">
      <c r="A13191" s="34">
        <v>51151708</v>
      </c>
      <c r="B13191" s="35" t="s">
        <v>2230</v>
      </c>
    </row>
    <row r="13192" spans="1:2" x14ac:dyDescent="0.35">
      <c r="A13192" s="34">
        <v>51151709</v>
      </c>
      <c r="B13192" s="35" t="s">
        <v>2416</v>
      </c>
    </row>
    <row r="13193" spans="1:2" x14ac:dyDescent="0.35">
      <c r="A13193" s="34">
        <v>51151710</v>
      </c>
      <c r="B13193" s="35" t="s">
        <v>9951</v>
      </c>
    </row>
    <row r="13194" spans="1:2" x14ac:dyDescent="0.35">
      <c r="A13194" s="34">
        <v>51151711</v>
      </c>
      <c r="B13194" s="35" t="s">
        <v>6295</v>
      </c>
    </row>
    <row r="13195" spans="1:2" x14ac:dyDescent="0.35">
      <c r="A13195" s="34">
        <v>51151712</v>
      </c>
      <c r="B13195" s="35" t="s">
        <v>10083</v>
      </c>
    </row>
    <row r="13196" spans="1:2" x14ac:dyDescent="0.35">
      <c r="A13196" s="34">
        <v>51151713</v>
      </c>
      <c r="B13196" s="35" t="s">
        <v>3203</v>
      </c>
    </row>
    <row r="13197" spans="1:2" x14ac:dyDescent="0.35">
      <c r="A13197" s="34">
        <v>51151714</v>
      </c>
      <c r="B13197" s="35" t="s">
        <v>5303</v>
      </c>
    </row>
    <row r="13198" spans="1:2" x14ac:dyDescent="0.35">
      <c r="A13198" s="34">
        <v>51151715</v>
      </c>
      <c r="B13198" s="35" t="s">
        <v>15596</v>
      </c>
    </row>
    <row r="13199" spans="1:2" x14ac:dyDescent="0.35">
      <c r="A13199" s="34">
        <v>51151716</v>
      </c>
      <c r="B13199" s="35" t="s">
        <v>16151</v>
      </c>
    </row>
    <row r="13200" spans="1:2" x14ac:dyDescent="0.35">
      <c r="A13200" s="34">
        <v>51151717</v>
      </c>
      <c r="B13200" s="35" t="s">
        <v>16705</v>
      </c>
    </row>
    <row r="13201" spans="1:2" x14ac:dyDescent="0.35">
      <c r="A13201" s="34">
        <v>51151718</v>
      </c>
      <c r="B13201" s="35" t="s">
        <v>9430</v>
      </c>
    </row>
    <row r="13202" spans="1:2" x14ac:dyDescent="0.35">
      <c r="A13202" s="34">
        <v>51151719</v>
      </c>
      <c r="B13202" s="35" t="s">
        <v>5208</v>
      </c>
    </row>
    <row r="13203" spans="1:2" x14ac:dyDescent="0.35">
      <c r="A13203" s="34">
        <v>51151720</v>
      </c>
      <c r="B13203" s="35" t="s">
        <v>3260</v>
      </c>
    </row>
    <row r="13204" spans="1:2" x14ac:dyDescent="0.35">
      <c r="A13204" s="34">
        <v>51151721</v>
      </c>
      <c r="B13204" s="35" t="s">
        <v>3114</v>
      </c>
    </row>
    <row r="13205" spans="1:2" x14ac:dyDescent="0.35">
      <c r="A13205" s="34">
        <v>51151722</v>
      </c>
      <c r="B13205" s="35" t="s">
        <v>17642</v>
      </c>
    </row>
    <row r="13206" spans="1:2" x14ac:dyDescent="0.35">
      <c r="A13206" s="34">
        <v>51151723</v>
      </c>
      <c r="B13206" s="35" t="s">
        <v>15332</v>
      </c>
    </row>
    <row r="13207" spans="1:2" x14ac:dyDescent="0.35">
      <c r="A13207" s="34">
        <v>51151724</v>
      </c>
      <c r="B13207" s="35" t="s">
        <v>709</v>
      </c>
    </row>
    <row r="13208" spans="1:2" x14ac:dyDescent="0.35">
      <c r="A13208" s="34">
        <v>51151725</v>
      </c>
      <c r="B13208" s="35" t="s">
        <v>5803</v>
      </c>
    </row>
    <row r="13209" spans="1:2" x14ac:dyDescent="0.35">
      <c r="A13209" s="34">
        <v>51151726</v>
      </c>
      <c r="B13209" s="35" t="s">
        <v>11867</v>
      </c>
    </row>
    <row r="13210" spans="1:2" x14ac:dyDescent="0.35">
      <c r="A13210" s="34">
        <v>51151727</v>
      </c>
      <c r="B13210" s="35" t="s">
        <v>7948</v>
      </c>
    </row>
    <row r="13211" spans="1:2" x14ac:dyDescent="0.35">
      <c r="A13211" s="34">
        <v>51151728</v>
      </c>
      <c r="B13211" s="35" t="s">
        <v>16844</v>
      </c>
    </row>
    <row r="13212" spans="1:2" x14ac:dyDescent="0.35">
      <c r="A13212" s="34">
        <v>51151729</v>
      </c>
      <c r="B13212" s="35" t="s">
        <v>14657</v>
      </c>
    </row>
    <row r="13213" spans="1:2" x14ac:dyDescent="0.35">
      <c r="A13213" s="34">
        <v>51151730</v>
      </c>
      <c r="B13213" s="35" t="s">
        <v>13412</v>
      </c>
    </row>
    <row r="13214" spans="1:2" x14ac:dyDescent="0.35">
      <c r="A13214" s="34">
        <v>51151731</v>
      </c>
      <c r="B13214" s="35" t="s">
        <v>10890</v>
      </c>
    </row>
    <row r="13215" spans="1:2" x14ac:dyDescent="0.35">
      <c r="A13215" s="34">
        <v>51151732</v>
      </c>
      <c r="B13215" s="35" t="s">
        <v>17398</v>
      </c>
    </row>
    <row r="13216" spans="1:2" x14ac:dyDescent="0.35">
      <c r="A13216" s="34">
        <v>51151733</v>
      </c>
      <c r="B13216" s="35" t="s">
        <v>3067</v>
      </c>
    </row>
    <row r="13217" spans="1:2" x14ac:dyDescent="0.35">
      <c r="A13217" s="34">
        <v>51151734</v>
      </c>
      <c r="B13217" s="35" t="s">
        <v>15913</v>
      </c>
    </row>
    <row r="13218" spans="1:2" x14ac:dyDescent="0.35">
      <c r="A13218" s="34">
        <v>51151735</v>
      </c>
      <c r="B13218" s="35" t="s">
        <v>2035</v>
      </c>
    </row>
    <row r="13219" spans="1:2" x14ac:dyDescent="0.35">
      <c r="A13219" s="34">
        <v>51151736</v>
      </c>
      <c r="B13219" s="35" t="s">
        <v>62</v>
      </c>
    </row>
    <row r="13220" spans="1:2" x14ac:dyDescent="0.35">
      <c r="A13220" s="34">
        <v>51151737</v>
      </c>
      <c r="B13220" s="35" t="s">
        <v>7336</v>
      </c>
    </row>
    <row r="13221" spans="1:2" x14ac:dyDescent="0.35">
      <c r="A13221" s="34">
        <v>51151738</v>
      </c>
      <c r="B13221" s="35" t="s">
        <v>2300</v>
      </c>
    </row>
    <row r="13222" spans="1:2" x14ac:dyDescent="0.35">
      <c r="A13222" s="34">
        <v>51151739</v>
      </c>
      <c r="B13222" s="35" t="s">
        <v>18800</v>
      </c>
    </row>
    <row r="13223" spans="1:2" x14ac:dyDescent="0.35">
      <c r="A13223" s="34">
        <v>51151740</v>
      </c>
      <c r="B13223" s="35" t="s">
        <v>8205</v>
      </c>
    </row>
    <row r="13224" spans="1:2" x14ac:dyDescent="0.35">
      <c r="A13224" s="34">
        <v>51151741</v>
      </c>
      <c r="B13224" s="35" t="s">
        <v>12182</v>
      </c>
    </row>
    <row r="13225" spans="1:2" x14ac:dyDescent="0.35">
      <c r="A13225" s="34">
        <v>51151742</v>
      </c>
      <c r="B13225" s="35" t="s">
        <v>3807</v>
      </c>
    </row>
    <row r="13226" spans="1:2" x14ac:dyDescent="0.35">
      <c r="A13226" s="34">
        <v>51151743</v>
      </c>
      <c r="B13226" s="35" t="s">
        <v>6493</v>
      </c>
    </row>
    <row r="13227" spans="1:2" x14ac:dyDescent="0.35">
      <c r="A13227" s="34">
        <v>51151744</v>
      </c>
      <c r="B13227" s="35" t="s">
        <v>5312</v>
      </c>
    </row>
    <row r="13228" spans="1:2" x14ac:dyDescent="0.35">
      <c r="A13228" s="34">
        <v>51151745</v>
      </c>
      <c r="B13228" s="35" t="s">
        <v>12327</v>
      </c>
    </row>
    <row r="13229" spans="1:2" x14ac:dyDescent="0.35">
      <c r="A13229" s="34">
        <v>51151746</v>
      </c>
      <c r="B13229" s="35" t="s">
        <v>13035</v>
      </c>
    </row>
    <row r="13230" spans="1:2" x14ac:dyDescent="0.35">
      <c r="A13230" s="34">
        <v>51151747</v>
      </c>
      <c r="B13230" s="35" t="s">
        <v>5745</v>
      </c>
    </row>
    <row r="13231" spans="1:2" x14ac:dyDescent="0.35">
      <c r="A13231" s="34">
        <v>51151748</v>
      </c>
      <c r="B13231" s="35" t="s">
        <v>16037</v>
      </c>
    </row>
    <row r="13232" spans="1:2" x14ac:dyDescent="0.35">
      <c r="A13232" s="34">
        <v>51151749</v>
      </c>
      <c r="B13232" s="35" t="s">
        <v>14250</v>
      </c>
    </row>
    <row r="13233" spans="1:2" x14ac:dyDescent="0.35">
      <c r="A13233" s="34">
        <v>51151801</v>
      </c>
      <c r="B13233" s="35" t="s">
        <v>8547</v>
      </c>
    </row>
    <row r="13234" spans="1:2" x14ac:dyDescent="0.35">
      <c r="A13234" s="34">
        <v>51151802</v>
      </c>
      <c r="B13234" s="35" t="s">
        <v>18652</v>
      </c>
    </row>
    <row r="13235" spans="1:2" x14ac:dyDescent="0.35">
      <c r="A13235" s="34">
        <v>51151803</v>
      </c>
      <c r="B13235" s="35" t="s">
        <v>7443</v>
      </c>
    </row>
    <row r="13236" spans="1:2" x14ac:dyDescent="0.35">
      <c r="A13236" s="34">
        <v>51151804</v>
      </c>
      <c r="B13236" s="35" t="s">
        <v>15326</v>
      </c>
    </row>
    <row r="13237" spans="1:2" x14ac:dyDescent="0.35">
      <c r="A13237" s="34">
        <v>51151805</v>
      </c>
      <c r="B13237" s="35" t="s">
        <v>5353</v>
      </c>
    </row>
    <row r="13238" spans="1:2" x14ac:dyDescent="0.35">
      <c r="A13238" s="34">
        <v>51151810</v>
      </c>
      <c r="B13238" s="35" t="s">
        <v>16369</v>
      </c>
    </row>
    <row r="13239" spans="1:2" x14ac:dyDescent="0.35">
      <c r="A13239" s="34">
        <v>51151811</v>
      </c>
      <c r="B13239" s="35" t="s">
        <v>13086</v>
      </c>
    </row>
    <row r="13240" spans="1:2" x14ac:dyDescent="0.35">
      <c r="A13240" s="34">
        <v>51151812</v>
      </c>
      <c r="B13240" s="35" t="s">
        <v>11873</v>
      </c>
    </row>
    <row r="13241" spans="1:2" x14ac:dyDescent="0.35">
      <c r="A13241" s="34">
        <v>51151813</v>
      </c>
      <c r="B13241" s="35" t="s">
        <v>15066</v>
      </c>
    </row>
    <row r="13242" spans="1:2" x14ac:dyDescent="0.35">
      <c r="A13242" s="34">
        <v>51151814</v>
      </c>
      <c r="B13242" s="35" t="s">
        <v>11774</v>
      </c>
    </row>
    <row r="13243" spans="1:2" x14ac:dyDescent="0.35">
      <c r="A13243" s="34">
        <v>51151815</v>
      </c>
      <c r="B13243" s="35" t="s">
        <v>4574</v>
      </c>
    </row>
    <row r="13244" spans="1:2" x14ac:dyDescent="0.35">
      <c r="A13244" s="34">
        <v>51151816</v>
      </c>
      <c r="B13244" s="35" t="s">
        <v>10557</v>
      </c>
    </row>
    <row r="13245" spans="1:2" x14ac:dyDescent="0.35">
      <c r="A13245" s="34">
        <v>51151817</v>
      </c>
      <c r="B13245" s="35" t="s">
        <v>13365</v>
      </c>
    </row>
    <row r="13246" spans="1:2" x14ac:dyDescent="0.35">
      <c r="A13246" s="34">
        <v>51151818</v>
      </c>
      <c r="B13246" s="35" t="s">
        <v>10535</v>
      </c>
    </row>
    <row r="13247" spans="1:2" x14ac:dyDescent="0.35">
      <c r="A13247" s="34">
        <v>51151819</v>
      </c>
      <c r="B13247" s="35" t="s">
        <v>17557</v>
      </c>
    </row>
    <row r="13248" spans="1:2" x14ac:dyDescent="0.35">
      <c r="A13248" s="34">
        <v>51151820</v>
      </c>
      <c r="B13248" s="35" t="s">
        <v>8994</v>
      </c>
    </row>
    <row r="13249" spans="1:2" x14ac:dyDescent="0.35">
      <c r="A13249" s="34">
        <v>51151821</v>
      </c>
      <c r="B13249" s="35" t="s">
        <v>18324</v>
      </c>
    </row>
    <row r="13250" spans="1:2" x14ac:dyDescent="0.35">
      <c r="A13250" s="34">
        <v>51151822</v>
      </c>
      <c r="B13250" s="35" t="s">
        <v>15159</v>
      </c>
    </row>
    <row r="13251" spans="1:2" x14ac:dyDescent="0.35">
      <c r="A13251" s="34">
        <v>51151823</v>
      </c>
      <c r="B13251" s="35" t="s">
        <v>17967</v>
      </c>
    </row>
    <row r="13252" spans="1:2" x14ac:dyDescent="0.35">
      <c r="A13252" s="34">
        <v>51151824</v>
      </c>
      <c r="B13252" s="35" t="s">
        <v>8551</v>
      </c>
    </row>
    <row r="13253" spans="1:2" x14ac:dyDescent="0.35">
      <c r="A13253" s="34">
        <v>51151825</v>
      </c>
      <c r="B13253" s="35" t="s">
        <v>9789</v>
      </c>
    </row>
    <row r="13254" spans="1:2" x14ac:dyDescent="0.35">
      <c r="A13254" s="34">
        <v>51151901</v>
      </c>
      <c r="B13254" s="35" t="s">
        <v>12003</v>
      </c>
    </row>
    <row r="13255" spans="1:2" x14ac:dyDescent="0.35">
      <c r="A13255" s="34">
        <v>51151902</v>
      </c>
      <c r="B13255" s="35" t="s">
        <v>8600</v>
      </c>
    </row>
    <row r="13256" spans="1:2" x14ac:dyDescent="0.35">
      <c r="A13256" s="34">
        <v>51151903</v>
      </c>
      <c r="B13256" s="35" t="s">
        <v>13624</v>
      </c>
    </row>
    <row r="13257" spans="1:2" x14ac:dyDescent="0.35">
      <c r="A13257" s="34">
        <v>51151904</v>
      </c>
      <c r="B13257" s="35" t="s">
        <v>9291</v>
      </c>
    </row>
    <row r="13258" spans="1:2" x14ac:dyDescent="0.35">
      <c r="A13258" s="34">
        <v>51151905</v>
      </c>
      <c r="B13258" s="35" t="s">
        <v>883</v>
      </c>
    </row>
    <row r="13259" spans="1:2" x14ac:dyDescent="0.35">
      <c r="A13259" s="34">
        <v>51151906</v>
      </c>
      <c r="B13259" s="35" t="s">
        <v>4088</v>
      </c>
    </row>
    <row r="13260" spans="1:2" x14ac:dyDescent="0.35">
      <c r="A13260" s="34">
        <v>51151907</v>
      </c>
      <c r="B13260" s="35" t="s">
        <v>8623</v>
      </c>
    </row>
    <row r="13261" spans="1:2" x14ac:dyDescent="0.35">
      <c r="A13261" s="34">
        <v>51151908</v>
      </c>
      <c r="B13261" s="35" t="s">
        <v>18044</v>
      </c>
    </row>
    <row r="13262" spans="1:2" x14ac:dyDescent="0.35">
      <c r="A13262" s="34">
        <v>51151910</v>
      </c>
      <c r="B13262" s="35" t="s">
        <v>5778</v>
      </c>
    </row>
    <row r="13263" spans="1:2" x14ac:dyDescent="0.35">
      <c r="A13263" s="34">
        <v>51151911</v>
      </c>
      <c r="B13263" s="35" t="s">
        <v>704</v>
      </c>
    </row>
    <row r="13264" spans="1:2" x14ac:dyDescent="0.35">
      <c r="A13264" s="34">
        <v>51151912</v>
      </c>
      <c r="B13264" s="35" t="s">
        <v>5361</v>
      </c>
    </row>
    <row r="13265" spans="1:2" x14ac:dyDescent="0.35">
      <c r="A13265" s="34">
        <v>51151913</v>
      </c>
      <c r="B13265" s="35" t="s">
        <v>6104</v>
      </c>
    </row>
    <row r="13266" spans="1:2" x14ac:dyDescent="0.35">
      <c r="A13266" s="34">
        <v>51151914</v>
      </c>
      <c r="B13266" s="35" t="s">
        <v>11105</v>
      </c>
    </row>
    <row r="13267" spans="1:2" x14ac:dyDescent="0.35">
      <c r="A13267" s="34">
        <v>51151915</v>
      </c>
      <c r="B13267" s="35" t="s">
        <v>18169</v>
      </c>
    </row>
    <row r="13268" spans="1:2" x14ac:dyDescent="0.35">
      <c r="A13268" s="34">
        <v>51151916</v>
      </c>
      <c r="B13268" s="35" t="s">
        <v>4250</v>
      </c>
    </row>
    <row r="13269" spans="1:2" x14ac:dyDescent="0.35">
      <c r="A13269" s="34">
        <v>51151917</v>
      </c>
      <c r="B13269" s="35" t="s">
        <v>5349</v>
      </c>
    </row>
    <row r="13270" spans="1:2" x14ac:dyDescent="0.35">
      <c r="A13270" s="34">
        <v>51152001</v>
      </c>
      <c r="B13270" s="35" t="s">
        <v>2686</v>
      </c>
    </row>
    <row r="13271" spans="1:2" x14ac:dyDescent="0.35">
      <c r="A13271" s="34">
        <v>51152002</v>
      </c>
      <c r="B13271" s="35" t="s">
        <v>7469</v>
      </c>
    </row>
    <row r="13272" spans="1:2" x14ac:dyDescent="0.35">
      <c r="A13272" s="34">
        <v>51152003</v>
      </c>
      <c r="B13272" s="35" t="s">
        <v>15990</v>
      </c>
    </row>
    <row r="13273" spans="1:2" x14ac:dyDescent="0.35">
      <c r="A13273" s="34">
        <v>51152004</v>
      </c>
      <c r="B13273" s="35" t="s">
        <v>5085</v>
      </c>
    </row>
    <row r="13274" spans="1:2" x14ac:dyDescent="0.35">
      <c r="A13274" s="34">
        <v>51152005</v>
      </c>
      <c r="B13274" s="35" t="s">
        <v>18297</v>
      </c>
    </row>
    <row r="13275" spans="1:2" x14ac:dyDescent="0.35">
      <c r="A13275" s="34">
        <v>51152006</v>
      </c>
      <c r="B13275" s="35" t="s">
        <v>4696</v>
      </c>
    </row>
    <row r="13276" spans="1:2" x14ac:dyDescent="0.35">
      <c r="A13276" s="34">
        <v>51152007</v>
      </c>
      <c r="B13276" s="35" t="s">
        <v>17970</v>
      </c>
    </row>
    <row r="13277" spans="1:2" x14ac:dyDescent="0.35">
      <c r="A13277" s="34">
        <v>51152008</v>
      </c>
      <c r="B13277" s="35" t="s">
        <v>16094</v>
      </c>
    </row>
    <row r="13278" spans="1:2" x14ac:dyDescent="0.35">
      <c r="A13278" s="34">
        <v>51152009</v>
      </c>
      <c r="B13278" s="35" t="s">
        <v>4282</v>
      </c>
    </row>
    <row r="13279" spans="1:2" x14ac:dyDescent="0.35">
      <c r="A13279" s="34">
        <v>51152010</v>
      </c>
      <c r="B13279" s="35" t="s">
        <v>88</v>
      </c>
    </row>
    <row r="13280" spans="1:2" x14ac:dyDescent="0.35">
      <c r="A13280" s="34">
        <v>51152011</v>
      </c>
      <c r="B13280" s="35" t="s">
        <v>13223</v>
      </c>
    </row>
    <row r="13281" spans="1:2" x14ac:dyDescent="0.35">
      <c r="A13281" s="34">
        <v>51152012</v>
      </c>
      <c r="B13281" s="35" t="s">
        <v>7522</v>
      </c>
    </row>
    <row r="13282" spans="1:2" x14ac:dyDescent="0.35">
      <c r="A13282" s="34">
        <v>51161501</v>
      </c>
      <c r="B13282" s="35" t="s">
        <v>16153</v>
      </c>
    </row>
    <row r="13283" spans="1:2" x14ac:dyDescent="0.35">
      <c r="A13283" s="34">
        <v>51161502</v>
      </c>
      <c r="B13283" s="35" t="s">
        <v>6820</v>
      </c>
    </row>
    <row r="13284" spans="1:2" x14ac:dyDescent="0.35">
      <c r="A13284" s="34">
        <v>51161503</v>
      </c>
      <c r="B13284" s="35" t="s">
        <v>6878</v>
      </c>
    </row>
    <row r="13285" spans="1:2" x14ac:dyDescent="0.35">
      <c r="A13285" s="34">
        <v>51161504</v>
      </c>
      <c r="B13285" s="35" t="s">
        <v>18867</v>
      </c>
    </row>
    <row r="13286" spans="1:2" x14ac:dyDescent="0.35">
      <c r="A13286" s="34">
        <v>51161505</v>
      </c>
      <c r="B13286" s="35" t="s">
        <v>17502</v>
      </c>
    </row>
    <row r="13287" spans="1:2" x14ac:dyDescent="0.35">
      <c r="A13287" s="34">
        <v>51161506</v>
      </c>
      <c r="B13287" s="35" t="s">
        <v>3771</v>
      </c>
    </row>
    <row r="13288" spans="1:2" x14ac:dyDescent="0.35">
      <c r="A13288" s="34">
        <v>51161507</v>
      </c>
      <c r="B13288" s="35" t="s">
        <v>4813</v>
      </c>
    </row>
    <row r="13289" spans="1:2" x14ac:dyDescent="0.35">
      <c r="A13289" s="34">
        <v>51161508</v>
      </c>
      <c r="B13289" s="35" t="s">
        <v>12171</v>
      </c>
    </row>
    <row r="13290" spans="1:2" x14ac:dyDescent="0.35">
      <c r="A13290" s="34">
        <v>51161510</v>
      </c>
      <c r="B13290" s="35" t="s">
        <v>17502</v>
      </c>
    </row>
    <row r="13291" spans="1:2" x14ac:dyDescent="0.35">
      <c r="A13291" s="34">
        <v>51161511</v>
      </c>
      <c r="B13291" s="35" t="s">
        <v>4325</v>
      </c>
    </row>
    <row r="13292" spans="1:2" x14ac:dyDescent="0.35">
      <c r="A13292" s="34">
        <v>51161513</v>
      </c>
      <c r="B13292" s="35" t="s">
        <v>14616</v>
      </c>
    </row>
    <row r="13293" spans="1:2" x14ac:dyDescent="0.35">
      <c r="A13293" s="34">
        <v>51161514</v>
      </c>
      <c r="B13293" s="35" t="s">
        <v>14554</v>
      </c>
    </row>
    <row r="13294" spans="1:2" x14ac:dyDescent="0.35">
      <c r="A13294" s="34">
        <v>51161515</v>
      </c>
      <c r="B13294" s="35" t="s">
        <v>4470</v>
      </c>
    </row>
    <row r="13295" spans="1:2" x14ac:dyDescent="0.35">
      <c r="A13295" s="34">
        <v>51161516</v>
      </c>
      <c r="B13295" s="35" t="s">
        <v>11508</v>
      </c>
    </row>
    <row r="13296" spans="1:2" x14ac:dyDescent="0.35">
      <c r="A13296" s="34">
        <v>51161517</v>
      </c>
      <c r="B13296" s="35" t="s">
        <v>16300</v>
      </c>
    </row>
    <row r="13297" spans="1:2" x14ac:dyDescent="0.35">
      <c r="A13297" s="34">
        <v>51161601</v>
      </c>
      <c r="B13297" s="35" t="s">
        <v>19153</v>
      </c>
    </row>
    <row r="13298" spans="1:2" x14ac:dyDescent="0.35">
      <c r="A13298" s="34">
        <v>51161602</v>
      </c>
      <c r="B13298" s="35" t="s">
        <v>18510</v>
      </c>
    </row>
    <row r="13299" spans="1:2" x14ac:dyDescent="0.35">
      <c r="A13299" s="34">
        <v>51161603</v>
      </c>
      <c r="B13299" s="35" t="s">
        <v>14767</v>
      </c>
    </row>
    <row r="13300" spans="1:2" x14ac:dyDescent="0.35">
      <c r="A13300" s="34">
        <v>51161605</v>
      </c>
      <c r="B13300" s="35" t="s">
        <v>14321</v>
      </c>
    </row>
    <row r="13301" spans="1:2" x14ac:dyDescent="0.35">
      <c r="A13301" s="34">
        <v>51161606</v>
      </c>
      <c r="B13301" s="35" t="s">
        <v>17552</v>
      </c>
    </row>
    <row r="13302" spans="1:2" x14ac:dyDescent="0.35">
      <c r="A13302" s="34">
        <v>51161607</v>
      </c>
      <c r="B13302" s="35" t="s">
        <v>8758</v>
      </c>
    </row>
    <row r="13303" spans="1:2" x14ac:dyDescent="0.35">
      <c r="A13303" s="34">
        <v>51161608</v>
      </c>
      <c r="B13303" s="35" t="s">
        <v>11664</v>
      </c>
    </row>
    <row r="13304" spans="1:2" x14ac:dyDescent="0.35">
      <c r="A13304" s="34">
        <v>51161609</v>
      </c>
      <c r="B13304" s="35" t="s">
        <v>5428</v>
      </c>
    </row>
    <row r="13305" spans="1:2" x14ac:dyDescent="0.35">
      <c r="A13305" s="34">
        <v>51161610</v>
      </c>
      <c r="B13305" s="35" t="s">
        <v>6058</v>
      </c>
    </row>
    <row r="13306" spans="1:2" x14ac:dyDescent="0.35">
      <c r="A13306" s="34">
        <v>51161611</v>
      </c>
      <c r="B13306" s="35" t="s">
        <v>17671</v>
      </c>
    </row>
    <row r="13307" spans="1:2" x14ac:dyDescent="0.35">
      <c r="A13307" s="34">
        <v>51161612</v>
      </c>
      <c r="B13307" s="35" t="s">
        <v>1676</v>
      </c>
    </row>
    <row r="13308" spans="1:2" x14ac:dyDescent="0.35">
      <c r="A13308" s="34">
        <v>51161613</v>
      </c>
      <c r="B13308" s="35" t="s">
        <v>6530</v>
      </c>
    </row>
    <row r="13309" spans="1:2" x14ac:dyDescent="0.35">
      <c r="A13309" s="34">
        <v>51161614</v>
      </c>
      <c r="B13309" s="35" t="s">
        <v>8272</v>
      </c>
    </row>
    <row r="13310" spans="1:2" x14ac:dyDescent="0.35">
      <c r="A13310" s="34">
        <v>51161615</v>
      </c>
      <c r="B13310" s="35" t="s">
        <v>9841</v>
      </c>
    </row>
    <row r="13311" spans="1:2" x14ac:dyDescent="0.35">
      <c r="A13311" s="34">
        <v>51161616</v>
      </c>
      <c r="B13311" s="35" t="s">
        <v>7866</v>
      </c>
    </row>
    <row r="13312" spans="1:2" x14ac:dyDescent="0.35">
      <c r="A13312" s="34">
        <v>51161617</v>
      </c>
      <c r="B13312" s="35" t="s">
        <v>12374</v>
      </c>
    </row>
    <row r="13313" spans="1:2" x14ac:dyDescent="0.35">
      <c r="A13313" s="34">
        <v>51161618</v>
      </c>
      <c r="B13313" s="35" t="s">
        <v>13614</v>
      </c>
    </row>
    <row r="13314" spans="1:2" x14ac:dyDescent="0.35">
      <c r="A13314" s="34">
        <v>51161619</v>
      </c>
      <c r="B13314" s="35" t="s">
        <v>13728</v>
      </c>
    </row>
    <row r="13315" spans="1:2" x14ac:dyDescent="0.35">
      <c r="A13315" s="34">
        <v>51161620</v>
      </c>
      <c r="B13315" s="35" t="s">
        <v>18929</v>
      </c>
    </row>
    <row r="13316" spans="1:2" x14ac:dyDescent="0.35">
      <c r="A13316" s="34">
        <v>51161621</v>
      </c>
      <c r="B13316" s="35" t="s">
        <v>17103</v>
      </c>
    </row>
    <row r="13317" spans="1:2" x14ac:dyDescent="0.35">
      <c r="A13317" s="34">
        <v>51161622</v>
      </c>
      <c r="B13317" s="35" t="s">
        <v>4325</v>
      </c>
    </row>
    <row r="13318" spans="1:2" x14ac:dyDescent="0.35">
      <c r="A13318" s="34">
        <v>51161623</v>
      </c>
      <c r="B13318" s="35" t="s">
        <v>19608</v>
      </c>
    </row>
    <row r="13319" spans="1:2" x14ac:dyDescent="0.35">
      <c r="A13319" s="34">
        <v>51161624</v>
      </c>
      <c r="B13319" s="35" t="s">
        <v>18789</v>
      </c>
    </row>
    <row r="13320" spans="1:2" x14ac:dyDescent="0.35">
      <c r="A13320" s="34">
        <v>51161625</v>
      </c>
      <c r="B13320" s="35" t="s">
        <v>4598</v>
      </c>
    </row>
    <row r="13321" spans="1:2" x14ac:dyDescent="0.35">
      <c r="A13321" s="34">
        <v>51161626</v>
      </c>
      <c r="B13321" s="35" t="s">
        <v>5189</v>
      </c>
    </row>
    <row r="13322" spans="1:2" x14ac:dyDescent="0.35">
      <c r="A13322" s="34">
        <v>51161627</v>
      </c>
      <c r="B13322" s="35" t="s">
        <v>15790</v>
      </c>
    </row>
    <row r="13323" spans="1:2" x14ac:dyDescent="0.35">
      <c r="A13323" s="34">
        <v>51161628</v>
      </c>
      <c r="B13323" s="35" t="s">
        <v>8493</v>
      </c>
    </row>
    <row r="13324" spans="1:2" x14ac:dyDescent="0.35">
      <c r="A13324" s="34">
        <v>51161629</v>
      </c>
      <c r="B13324" s="35" t="s">
        <v>19348</v>
      </c>
    </row>
    <row r="13325" spans="1:2" x14ac:dyDescent="0.35">
      <c r="A13325" s="34">
        <v>51161630</v>
      </c>
      <c r="B13325" s="35" t="s">
        <v>8387</v>
      </c>
    </row>
    <row r="13326" spans="1:2" x14ac:dyDescent="0.35">
      <c r="A13326" s="34">
        <v>51161631</v>
      </c>
      <c r="B13326" s="35" t="s">
        <v>16835</v>
      </c>
    </row>
    <row r="13327" spans="1:2" x14ac:dyDescent="0.35">
      <c r="A13327" s="34">
        <v>51161632</v>
      </c>
      <c r="B13327" s="35" t="s">
        <v>10495</v>
      </c>
    </row>
    <row r="13328" spans="1:2" x14ac:dyDescent="0.35">
      <c r="A13328" s="34">
        <v>51161633</v>
      </c>
      <c r="B13328" s="35" t="s">
        <v>15528</v>
      </c>
    </row>
    <row r="13329" spans="1:2" x14ac:dyDescent="0.35">
      <c r="A13329" s="34">
        <v>51161634</v>
      </c>
      <c r="B13329" s="35" t="s">
        <v>15716</v>
      </c>
    </row>
    <row r="13330" spans="1:2" x14ac:dyDescent="0.35">
      <c r="A13330" s="34">
        <v>51161635</v>
      </c>
      <c r="B13330" s="35" t="s">
        <v>11387</v>
      </c>
    </row>
    <row r="13331" spans="1:2" x14ac:dyDescent="0.35">
      <c r="A13331" s="34">
        <v>51161636</v>
      </c>
      <c r="B13331" s="35" t="s">
        <v>18172</v>
      </c>
    </row>
    <row r="13332" spans="1:2" x14ac:dyDescent="0.35">
      <c r="A13332" s="34">
        <v>51161637</v>
      </c>
      <c r="B13332" s="35" t="s">
        <v>8300</v>
      </c>
    </row>
    <row r="13333" spans="1:2" x14ac:dyDescent="0.35">
      <c r="A13333" s="34">
        <v>51161638</v>
      </c>
      <c r="B13333" s="35" t="s">
        <v>13237</v>
      </c>
    </row>
    <row r="13334" spans="1:2" x14ac:dyDescent="0.35">
      <c r="A13334" s="34">
        <v>51161639</v>
      </c>
      <c r="B13334" s="35" t="s">
        <v>7803</v>
      </c>
    </row>
    <row r="13335" spans="1:2" x14ac:dyDescent="0.35">
      <c r="A13335" s="34">
        <v>51161640</v>
      </c>
      <c r="B13335" s="35" t="s">
        <v>5595</v>
      </c>
    </row>
    <row r="13336" spans="1:2" x14ac:dyDescent="0.35">
      <c r="A13336" s="34">
        <v>51161646</v>
      </c>
      <c r="B13336" s="35" t="s">
        <v>11718</v>
      </c>
    </row>
    <row r="13337" spans="1:2" x14ac:dyDescent="0.35">
      <c r="A13337" s="34">
        <v>51161647</v>
      </c>
      <c r="B13337" s="35" t="s">
        <v>15629</v>
      </c>
    </row>
    <row r="13338" spans="1:2" x14ac:dyDescent="0.35">
      <c r="A13338" s="34">
        <v>51161648</v>
      </c>
      <c r="B13338" s="35" t="s">
        <v>7527</v>
      </c>
    </row>
    <row r="13339" spans="1:2" x14ac:dyDescent="0.35">
      <c r="A13339" s="34">
        <v>51161649</v>
      </c>
      <c r="B13339" s="35" t="s">
        <v>18684</v>
      </c>
    </row>
    <row r="13340" spans="1:2" x14ac:dyDescent="0.35">
      <c r="A13340" s="34">
        <v>51161650</v>
      </c>
      <c r="B13340" s="35" t="s">
        <v>6797</v>
      </c>
    </row>
    <row r="13341" spans="1:2" x14ac:dyDescent="0.35">
      <c r="A13341" s="34">
        <v>51161651</v>
      </c>
      <c r="B13341" s="35" t="s">
        <v>15749</v>
      </c>
    </row>
    <row r="13342" spans="1:2" x14ac:dyDescent="0.35">
      <c r="A13342" s="34">
        <v>51161701</v>
      </c>
      <c r="B13342" s="35" t="s">
        <v>13556</v>
      </c>
    </row>
    <row r="13343" spans="1:2" x14ac:dyDescent="0.35">
      <c r="A13343" s="34">
        <v>51161702</v>
      </c>
      <c r="B13343" s="35" t="s">
        <v>13427</v>
      </c>
    </row>
    <row r="13344" spans="1:2" x14ac:dyDescent="0.35">
      <c r="A13344" s="34">
        <v>51161703</v>
      </c>
      <c r="B13344" s="35" t="s">
        <v>13426</v>
      </c>
    </row>
    <row r="13345" spans="1:2" x14ac:dyDescent="0.35">
      <c r="A13345" s="34">
        <v>51161704</v>
      </c>
      <c r="B13345" s="35" t="s">
        <v>17127</v>
      </c>
    </row>
    <row r="13346" spans="1:2" x14ac:dyDescent="0.35">
      <c r="A13346" s="34">
        <v>51161705</v>
      </c>
      <c r="B13346" s="35" t="s">
        <v>14091</v>
      </c>
    </row>
    <row r="13347" spans="1:2" x14ac:dyDescent="0.35">
      <c r="A13347" s="34">
        <v>51161706</v>
      </c>
      <c r="B13347" s="35" t="s">
        <v>2751</v>
      </c>
    </row>
    <row r="13348" spans="1:2" x14ac:dyDescent="0.35">
      <c r="A13348" s="34">
        <v>51161707</v>
      </c>
      <c r="B13348" s="35" t="s">
        <v>642</v>
      </c>
    </row>
    <row r="13349" spans="1:2" x14ac:dyDescent="0.35">
      <c r="A13349" s="34">
        <v>51161708</v>
      </c>
      <c r="B13349" s="35" t="s">
        <v>7599</v>
      </c>
    </row>
    <row r="13350" spans="1:2" x14ac:dyDescent="0.35">
      <c r="A13350" s="34">
        <v>51161709</v>
      </c>
      <c r="B13350" s="35" t="s">
        <v>9633</v>
      </c>
    </row>
    <row r="13351" spans="1:2" x14ac:dyDescent="0.35">
      <c r="A13351" s="34">
        <v>51161710</v>
      </c>
      <c r="B13351" s="35" t="s">
        <v>14722</v>
      </c>
    </row>
    <row r="13352" spans="1:2" x14ac:dyDescent="0.35">
      <c r="A13352" s="34">
        <v>51161801</v>
      </c>
      <c r="B13352" s="35" t="s">
        <v>17818</v>
      </c>
    </row>
    <row r="13353" spans="1:2" x14ac:dyDescent="0.35">
      <c r="A13353" s="34">
        <v>51161802</v>
      </c>
      <c r="B13353" s="35" t="s">
        <v>19377</v>
      </c>
    </row>
    <row r="13354" spans="1:2" x14ac:dyDescent="0.35">
      <c r="A13354" s="34">
        <v>51161803</v>
      </c>
      <c r="B13354" s="35" t="s">
        <v>5886</v>
      </c>
    </row>
    <row r="13355" spans="1:2" x14ac:dyDescent="0.35">
      <c r="A13355" s="34">
        <v>51161805</v>
      </c>
      <c r="B13355" s="35" t="s">
        <v>1481</v>
      </c>
    </row>
    <row r="13356" spans="1:2" x14ac:dyDescent="0.35">
      <c r="A13356" s="34">
        <v>51161806</v>
      </c>
      <c r="B13356" s="35" t="s">
        <v>9786</v>
      </c>
    </row>
    <row r="13357" spans="1:2" x14ac:dyDescent="0.35">
      <c r="A13357" s="34">
        <v>51161808</v>
      </c>
      <c r="B13357" s="35" t="s">
        <v>9804</v>
      </c>
    </row>
    <row r="13358" spans="1:2" x14ac:dyDescent="0.35">
      <c r="A13358" s="34">
        <v>51161809</v>
      </c>
      <c r="B13358" s="35" t="s">
        <v>10333</v>
      </c>
    </row>
    <row r="13359" spans="1:2" x14ac:dyDescent="0.35">
      <c r="A13359" s="34">
        <v>51161810</v>
      </c>
      <c r="B13359" s="35" t="s">
        <v>10837</v>
      </c>
    </row>
    <row r="13360" spans="1:2" x14ac:dyDescent="0.35">
      <c r="A13360" s="34">
        <v>51161811</v>
      </c>
      <c r="B13360" s="35" t="s">
        <v>6149</v>
      </c>
    </row>
    <row r="13361" spans="1:2" x14ac:dyDescent="0.35">
      <c r="A13361" s="34">
        <v>51161812</v>
      </c>
      <c r="B13361" s="35" t="s">
        <v>16794</v>
      </c>
    </row>
    <row r="13362" spans="1:2" x14ac:dyDescent="0.35">
      <c r="A13362" s="34">
        <v>51161813</v>
      </c>
      <c r="B13362" s="35" t="s">
        <v>1020</v>
      </c>
    </row>
    <row r="13363" spans="1:2" x14ac:dyDescent="0.35">
      <c r="A13363" s="34">
        <v>51161814</v>
      </c>
      <c r="B13363" s="35" t="s">
        <v>3852</v>
      </c>
    </row>
    <row r="13364" spans="1:2" x14ac:dyDescent="0.35">
      <c r="A13364" s="34">
        <v>51161815</v>
      </c>
      <c r="B13364" s="35" t="s">
        <v>11276</v>
      </c>
    </row>
    <row r="13365" spans="1:2" x14ac:dyDescent="0.35">
      <c r="A13365" s="34">
        <v>51161817</v>
      </c>
      <c r="B13365" s="35" t="s">
        <v>9520</v>
      </c>
    </row>
    <row r="13366" spans="1:2" x14ac:dyDescent="0.35">
      <c r="A13366" s="34">
        <v>51161818</v>
      </c>
      <c r="B13366" s="35" t="s">
        <v>15076</v>
      </c>
    </row>
    <row r="13367" spans="1:2" x14ac:dyDescent="0.35">
      <c r="A13367" s="34">
        <v>51161819</v>
      </c>
      <c r="B13367" s="35" t="s">
        <v>13406</v>
      </c>
    </row>
    <row r="13368" spans="1:2" x14ac:dyDescent="0.35">
      <c r="A13368" s="34">
        <v>51161820</v>
      </c>
      <c r="B13368" s="35" t="s">
        <v>14866</v>
      </c>
    </row>
    <row r="13369" spans="1:2" x14ac:dyDescent="0.35">
      <c r="A13369" s="34">
        <v>51161901</v>
      </c>
      <c r="B13369" s="35" t="s">
        <v>8981</v>
      </c>
    </row>
    <row r="13370" spans="1:2" x14ac:dyDescent="0.35">
      <c r="A13370" s="34">
        <v>51161903</v>
      </c>
      <c r="B13370" s="35" t="s">
        <v>18703</v>
      </c>
    </row>
    <row r="13371" spans="1:2" x14ac:dyDescent="0.35">
      <c r="A13371" s="34">
        <v>51171501</v>
      </c>
      <c r="B13371" s="35" t="s">
        <v>4809</v>
      </c>
    </row>
    <row r="13372" spans="1:2" x14ac:dyDescent="0.35">
      <c r="A13372" s="34">
        <v>51171502</v>
      </c>
      <c r="B13372" s="35" t="s">
        <v>13458</v>
      </c>
    </row>
    <row r="13373" spans="1:2" x14ac:dyDescent="0.35">
      <c r="A13373" s="34">
        <v>51171503</v>
      </c>
      <c r="B13373" s="35" t="s">
        <v>2961</v>
      </c>
    </row>
    <row r="13374" spans="1:2" x14ac:dyDescent="0.35">
      <c r="A13374" s="34">
        <v>51171504</v>
      </c>
      <c r="B13374" s="35" t="s">
        <v>6505</v>
      </c>
    </row>
    <row r="13375" spans="1:2" x14ac:dyDescent="0.35">
      <c r="A13375" s="34">
        <v>51171505</v>
      </c>
      <c r="B13375" s="35" t="s">
        <v>3907</v>
      </c>
    </row>
    <row r="13376" spans="1:2" x14ac:dyDescent="0.35">
      <c r="A13376" s="34">
        <v>51171507</v>
      </c>
      <c r="B13376" s="35" t="s">
        <v>14727</v>
      </c>
    </row>
    <row r="13377" spans="1:2" x14ac:dyDescent="0.35">
      <c r="A13377" s="34">
        <v>51171508</v>
      </c>
      <c r="B13377" s="35" t="s">
        <v>685</v>
      </c>
    </row>
    <row r="13378" spans="1:2" x14ac:dyDescent="0.35">
      <c r="A13378" s="34">
        <v>51171509</v>
      </c>
      <c r="B13378" s="35" t="s">
        <v>5061</v>
      </c>
    </row>
    <row r="13379" spans="1:2" x14ac:dyDescent="0.35">
      <c r="A13379" s="34">
        <v>51171510</v>
      </c>
      <c r="B13379" s="35" t="s">
        <v>14532</v>
      </c>
    </row>
    <row r="13380" spans="1:2" x14ac:dyDescent="0.35">
      <c r="A13380" s="34">
        <v>51171511</v>
      </c>
      <c r="B13380" s="35" t="s">
        <v>2660</v>
      </c>
    </row>
    <row r="13381" spans="1:2" x14ac:dyDescent="0.35">
      <c r="A13381" s="34">
        <v>51171513</v>
      </c>
      <c r="B13381" s="35" t="s">
        <v>12940</v>
      </c>
    </row>
    <row r="13382" spans="1:2" x14ac:dyDescent="0.35">
      <c r="A13382" s="34">
        <v>51171601</v>
      </c>
      <c r="B13382" s="35" t="s">
        <v>17761</v>
      </c>
    </row>
    <row r="13383" spans="1:2" x14ac:dyDescent="0.35">
      <c r="A13383" s="34">
        <v>51171602</v>
      </c>
      <c r="B13383" s="35" t="s">
        <v>6449</v>
      </c>
    </row>
    <row r="13384" spans="1:2" x14ac:dyDescent="0.35">
      <c r="A13384" s="34">
        <v>51171603</v>
      </c>
      <c r="B13384" s="35" t="s">
        <v>6145</v>
      </c>
    </row>
    <row r="13385" spans="1:2" x14ac:dyDescent="0.35">
      <c r="A13385" s="34">
        <v>51171604</v>
      </c>
      <c r="B13385" s="35" t="s">
        <v>5828</v>
      </c>
    </row>
    <row r="13386" spans="1:2" x14ac:dyDescent="0.35">
      <c r="A13386" s="34">
        <v>51171605</v>
      </c>
      <c r="B13386" s="35" t="s">
        <v>15196</v>
      </c>
    </row>
    <row r="13387" spans="1:2" x14ac:dyDescent="0.35">
      <c r="A13387" s="34">
        <v>51171606</v>
      </c>
      <c r="B13387" s="35" t="s">
        <v>5532</v>
      </c>
    </row>
    <row r="13388" spans="1:2" x14ac:dyDescent="0.35">
      <c r="A13388" s="34">
        <v>51171607</v>
      </c>
      <c r="B13388" s="35" t="s">
        <v>8504</v>
      </c>
    </row>
    <row r="13389" spans="1:2" x14ac:dyDescent="0.35">
      <c r="A13389" s="34">
        <v>51171608</v>
      </c>
      <c r="B13389" s="35" t="s">
        <v>8544</v>
      </c>
    </row>
    <row r="13390" spans="1:2" x14ac:dyDescent="0.35">
      <c r="A13390" s="34">
        <v>51171609</v>
      </c>
      <c r="B13390" s="35" t="s">
        <v>2176</v>
      </c>
    </row>
    <row r="13391" spans="1:2" x14ac:dyDescent="0.35">
      <c r="A13391" s="34">
        <v>51171610</v>
      </c>
      <c r="B13391" s="35" t="s">
        <v>12036</v>
      </c>
    </row>
    <row r="13392" spans="1:2" x14ac:dyDescent="0.35">
      <c r="A13392" s="34">
        <v>51171611</v>
      </c>
      <c r="B13392" s="35" t="s">
        <v>8142</v>
      </c>
    </row>
    <row r="13393" spans="1:2" x14ac:dyDescent="0.35">
      <c r="A13393" s="34">
        <v>51171612</v>
      </c>
      <c r="B13393" s="35" t="s">
        <v>1393</v>
      </c>
    </row>
    <row r="13394" spans="1:2" x14ac:dyDescent="0.35">
      <c r="A13394" s="34">
        <v>51171613</v>
      </c>
      <c r="B13394" s="35" t="s">
        <v>9466</v>
      </c>
    </row>
    <row r="13395" spans="1:2" x14ac:dyDescent="0.35">
      <c r="A13395" s="34">
        <v>51171614</v>
      </c>
      <c r="B13395" s="35" t="s">
        <v>5339</v>
      </c>
    </row>
    <row r="13396" spans="1:2" x14ac:dyDescent="0.35">
      <c r="A13396" s="34">
        <v>51171615</v>
      </c>
      <c r="B13396" s="35" t="s">
        <v>6544</v>
      </c>
    </row>
    <row r="13397" spans="1:2" x14ac:dyDescent="0.35">
      <c r="A13397" s="34">
        <v>51171616</v>
      </c>
      <c r="B13397" s="35" t="s">
        <v>9849</v>
      </c>
    </row>
    <row r="13398" spans="1:2" x14ac:dyDescent="0.35">
      <c r="A13398" s="34">
        <v>51171617</v>
      </c>
      <c r="B13398" s="35" t="s">
        <v>14295</v>
      </c>
    </row>
    <row r="13399" spans="1:2" x14ac:dyDescent="0.35">
      <c r="A13399" s="34">
        <v>51171618</v>
      </c>
      <c r="B13399" s="35" t="s">
        <v>8565</v>
      </c>
    </row>
    <row r="13400" spans="1:2" x14ac:dyDescent="0.35">
      <c r="A13400" s="34">
        <v>51171619</v>
      </c>
      <c r="B13400" s="35" t="s">
        <v>4098</v>
      </c>
    </row>
    <row r="13401" spans="1:2" x14ac:dyDescent="0.35">
      <c r="A13401" s="34">
        <v>51171620</v>
      </c>
      <c r="B13401" s="35" t="s">
        <v>19119</v>
      </c>
    </row>
    <row r="13402" spans="1:2" x14ac:dyDescent="0.35">
      <c r="A13402" s="34">
        <v>51171621</v>
      </c>
      <c r="B13402" s="35" t="s">
        <v>13356</v>
      </c>
    </row>
    <row r="13403" spans="1:2" x14ac:dyDescent="0.35">
      <c r="A13403" s="34">
        <v>51171622</v>
      </c>
      <c r="B13403" s="35" t="s">
        <v>12468</v>
      </c>
    </row>
    <row r="13404" spans="1:2" x14ac:dyDescent="0.35">
      <c r="A13404" s="34">
        <v>51171623</v>
      </c>
      <c r="B13404" s="35" t="s">
        <v>13421</v>
      </c>
    </row>
    <row r="13405" spans="1:2" x14ac:dyDescent="0.35">
      <c r="A13405" s="34">
        <v>51171624</v>
      </c>
      <c r="B13405" s="35" t="s">
        <v>9899</v>
      </c>
    </row>
    <row r="13406" spans="1:2" x14ac:dyDescent="0.35">
      <c r="A13406" s="34">
        <v>51171626</v>
      </c>
      <c r="B13406" s="35" t="s">
        <v>250</v>
      </c>
    </row>
    <row r="13407" spans="1:2" x14ac:dyDescent="0.35">
      <c r="A13407" s="34">
        <v>51171627</v>
      </c>
      <c r="B13407" s="35" t="s">
        <v>6494</v>
      </c>
    </row>
    <row r="13408" spans="1:2" x14ac:dyDescent="0.35">
      <c r="A13408" s="34">
        <v>51171628</v>
      </c>
      <c r="B13408" s="35" t="s">
        <v>16593</v>
      </c>
    </row>
    <row r="13409" spans="1:2" x14ac:dyDescent="0.35">
      <c r="A13409" s="34">
        <v>51171629</v>
      </c>
      <c r="B13409" s="35" t="s">
        <v>9683</v>
      </c>
    </row>
    <row r="13410" spans="1:2" x14ac:dyDescent="0.35">
      <c r="A13410" s="34">
        <v>51171630</v>
      </c>
      <c r="B13410" s="35" t="s">
        <v>4769</v>
      </c>
    </row>
    <row r="13411" spans="1:2" x14ac:dyDescent="0.35">
      <c r="A13411" s="34">
        <v>51171631</v>
      </c>
      <c r="B13411" s="35" t="s">
        <v>1520</v>
      </c>
    </row>
    <row r="13412" spans="1:2" x14ac:dyDescent="0.35">
      <c r="A13412" s="34">
        <v>51171632</v>
      </c>
      <c r="B13412" s="35" t="s">
        <v>11837</v>
      </c>
    </row>
    <row r="13413" spans="1:2" x14ac:dyDescent="0.35">
      <c r="A13413" s="34">
        <v>51171701</v>
      </c>
      <c r="B13413" s="35" t="s">
        <v>2162</v>
      </c>
    </row>
    <row r="13414" spans="1:2" x14ac:dyDescent="0.35">
      <c r="A13414" s="34">
        <v>51171702</v>
      </c>
      <c r="B13414" s="35" t="s">
        <v>18732</v>
      </c>
    </row>
    <row r="13415" spans="1:2" x14ac:dyDescent="0.35">
      <c r="A13415" s="34">
        <v>51171703</v>
      </c>
      <c r="B13415" s="35" t="s">
        <v>8392</v>
      </c>
    </row>
    <row r="13416" spans="1:2" x14ac:dyDescent="0.35">
      <c r="A13416" s="34">
        <v>51171704</v>
      </c>
      <c r="B13416" s="35" t="s">
        <v>7757</v>
      </c>
    </row>
    <row r="13417" spans="1:2" x14ac:dyDescent="0.35">
      <c r="A13417" s="34">
        <v>51171706</v>
      </c>
      <c r="B13417" s="35" t="s">
        <v>12533</v>
      </c>
    </row>
    <row r="13418" spans="1:2" x14ac:dyDescent="0.35">
      <c r="A13418" s="34">
        <v>51171707</v>
      </c>
      <c r="B13418" s="35" t="s">
        <v>3239</v>
      </c>
    </row>
    <row r="13419" spans="1:2" x14ac:dyDescent="0.35">
      <c r="A13419" s="34">
        <v>51171708</v>
      </c>
      <c r="B13419" s="35" t="s">
        <v>4907</v>
      </c>
    </row>
    <row r="13420" spans="1:2" x14ac:dyDescent="0.35">
      <c r="A13420" s="34">
        <v>51171709</v>
      </c>
      <c r="B13420" s="35" t="s">
        <v>138</v>
      </c>
    </row>
    <row r="13421" spans="1:2" x14ac:dyDescent="0.35">
      <c r="A13421" s="34">
        <v>51171710</v>
      </c>
      <c r="B13421" s="35" t="s">
        <v>10325</v>
      </c>
    </row>
    <row r="13422" spans="1:2" x14ac:dyDescent="0.35">
      <c r="A13422" s="34">
        <v>51171711</v>
      </c>
      <c r="B13422" s="35" t="s">
        <v>18790</v>
      </c>
    </row>
    <row r="13423" spans="1:2" x14ac:dyDescent="0.35">
      <c r="A13423" s="34">
        <v>51171712</v>
      </c>
      <c r="B13423" s="35" t="s">
        <v>13429</v>
      </c>
    </row>
    <row r="13424" spans="1:2" x14ac:dyDescent="0.35">
      <c r="A13424" s="34">
        <v>51171801</v>
      </c>
      <c r="B13424" s="35" t="s">
        <v>769</v>
      </c>
    </row>
    <row r="13425" spans="1:2" x14ac:dyDescent="0.35">
      <c r="A13425" s="34">
        <v>51171802</v>
      </c>
      <c r="B13425" s="35" t="s">
        <v>2754</v>
      </c>
    </row>
    <row r="13426" spans="1:2" x14ac:dyDescent="0.35">
      <c r="A13426" s="34">
        <v>51171803</v>
      </c>
      <c r="B13426" s="35" t="s">
        <v>291</v>
      </c>
    </row>
    <row r="13427" spans="1:2" x14ac:dyDescent="0.35">
      <c r="A13427" s="34">
        <v>51171804</v>
      </c>
      <c r="B13427" s="35" t="s">
        <v>11236</v>
      </c>
    </row>
    <row r="13428" spans="1:2" x14ac:dyDescent="0.35">
      <c r="A13428" s="34">
        <v>51171805</v>
      </c>
      <c r="B13428" s="35" t="s">
        <v>4441</v>
      </c>
    </row>
    <row r="13429" spans="1:2" x14ac:dyDescent="0.35">
      <c r="A13429" s="34">
        <v>51171806</v>
      </c>
      <c r="B13429" s="35" t="s">
        <v>5568</v>
      </c>
    </row>
    <row r="13430" spans="1:2" x14ac:dyDescent="0.35">
      <c r="A13430" s="34">
        <v>51171807</v>
      </c>
      <c r="B13430" s="35" t="s">
        <v>19490</v>
      </c>
    </row>
    <row r="13431" spans="1:2" x14ac:dyDescent="0.35">
      <c r="A13431" s="34">
        <v>51171808</v>
      </c>
      <c r="B13431" s="35" t="s">
        <v>10499</v>
      </c>
    </row>
    <row r="13432" spans="1:2" x14ac:dyDescent="0.35">
      <c r="A13432" s="34">
        <v>51171809</v>
      </c>
      <c r="B13432" s="35" t="s">
        <v>12587</v>
      </c>
    </row>
    <row r="13433" spans="1:2" x14ac:dyDescent="0.35">
      <c r="A13433" s="34">
        <v>51171811</v>
      </c>
      <c r="B13433" s="35" t="s">
        <v>3436</v>
      </c>
    </row>
    <row r="13434" spans="1:2" x14ac:dyDescent="0.35">
      <c r="A13434" s="34">
        <v>51171812</v>
      </c>
      <c r="B13434" s="35" t="s">
        <v>2302</v>
      </c>
    </row>
    <row r="13435" spans="1:2" x14ac:dyDescent="0.35">
      <c r="A13435" s="34">
        <v>51171813</v>
      </c>
      <c r="B13435" s="35" t="s">
        <v>1960</v>
      </c>
    </row>
    <row r="13436" spans="1:2" x14ac:dyDescent="0.35">
      <c r="A13436" s="34">
        <v>51171814</v>
      </c>
      <c r="B13436" s="35" t="s">
        <v>16297</v>
      </c>
    </row>
    <row r="13437" spans="1:2" x14ac:dyDescent="0.35">
      <c r="A13437" s="34">
        <v>51171815</v>
      </c>
      <c r="B13437" s="35" t="s">
        <v>1521</v>
      </c>
    </row>
    <row r="13438" spans="1:2" x14ac:dyDescent="0.35">
      <c r="A13438" s="34">
        <v>51171816</v>
      </c>
      <c r="B13438" s="35" t="s">
        <v>5252</v>
      </c>
    </row>
    <row r="13439" spans="1:2" x14ac:dyDescent="0.35">
      <c r="A13439" s="34">
        <v>51171817</v>
      </c>
      <c r="B13439" s="35" t="s">
        <v>114</v>
      </c>
    </row>
    <row r="13440" spans="1:2" x14ac:dyDescent="0.35">
      <c r="A13440" s="34">
        <v>51171818</v>
      </c>
      <c r="B13440" s="35" t="s">
        <v>15444</v>
      </c>
    </row>
    <row r="13441" spans="1:2" x14ac:dyDescent="0.35">
      <c r="A13441" s="34">
        <v>51171819</v>
      </c>
      <c r="B13441" s="35" t="s">
        <v>13584</v>
      </c>
    </row>
    <row r="13442" spans="1:2" x14ac:dyDescent="0.35">
      <c r="A13442" s="34">
        <v>51171820</v>
      </c>
      <c r="B13442" s="35" t="s">
        <v>461</v>
      </c>
    </row>
    <row r="13443" spans="1:2" x14ac:dyDescent="0.35">
      <c r="A13443" s="34">
        <v>51171821</v>
      </c>
      <c r="B13443" s="35" t="s">
        <v>1807</v>
      </c>
    </row>
    <row r="13444" spans="1:2" x14ac:dyDescent="0.35">
      <c r="A13444" s="34">
        <v>51171822</v>
      </c>
      <c r="B13444" s="35" t="s">
        <v>11921</v>
      </c>
    </row>
    <row r="13445" spans="1:2" x14ac:dyDescent="0.35">
      <c r="A13445" s="34">
        <v>51171901</v>
      </c>
      <c r="B13445" s="35" t="s">
        <v>15013</v>
      </c>
    </row>
    <row r="13446" spans="1:2" x14ac:dyDescent="0.35">
      <c r="A13446" s="34">
        <v>51171902</v>
      </c>
      <c r="B13446" s="35" t="s">
        <v>7647</v>
      </c>
    </row>
    <row r="13447" spans="1:2" x14ac:dyDescent="0.35">
      <c r="A13447" s="34">
        <v>51171903</v>
      </c>
      <c r="B13447" s="35" t="s">
        <v>321</v>
      </c>
    </row>
    <row r="13448" spans="1:2" x14ac:dyDescent="0.35">
      <c r="A13448" s="34">
        <v>51171904</v>
      </c>
      <c r="B13448" s="35" t="s">
        <v>4647</v>
      </c>
    </row>
    <row r="13449" spans="1:2" x14ac:dyDescent="0.35">
      <c r="A13449" s="34">
        <v>51171905</v>
      </c>
      <c r="B13449" s="35" t="s">
        <v>7578</v>
      </c>
    </row>
    <row r="13450" spans="1:2" x14ac:dyDescent="0.35">
      <c r="A13450" s="34">
        <v>51171906</v>
      </c>
      <c r="B13450" s="35" t="s">
        <v>12411</v>
      </c>
    </row>
    <row r="13451" spans="1:2" x14ac:dyDescent="0.35">
      <c r="A13451" s="34">
        <v>51171907</v>
      </c>
      <c r="B13451" s="35" t="s">
        <v>11451</v>
      </c>
    </row>
    <row r="13452" spans="1:2" x14ac:dyDescent="0.35">
      <c r="A13452" s="34">
        <v>51171908</v>
      </c>
      <c r="B13452" s="35" t="s">
        <v>7430</v>
      </c>
    </row>
    <row r="13453" spans="1:2" x14ac:dyDescent="0.35">
      <c r="A13453" s="34">
        <v>51171909</v>
      </c>
      <c r="B13453" s="35" t="s">
        <v>16936</v>
      </c>
    </row>
    <row r="13454" spans="1:2" x14ac:dyDescent="0.35">
      <c r="A13454" s="34">
        <v>51171910</v>
      </c>
      <c r="B13454" s="35" t="s">
        <v>17851</v>
      </c>
    </row>
    <row r="13455" spans="1:2" x14ac:dyDescent="0.35">
      <c r="A13455" s="34">
        <v>51171911</v>
      </c>
      <c r="B13455" s="35" t="s">
        <v>12159</v>
      </c>
    </row>
    <row r="13456" spans="1:2" x14ac:dyDescent="0.35">
      <c r="A13456" s="34">
        <v>51171912</v>
      </c>
      <c r="B13456" s="35" t="s">
        <v>16768</v>
      </c>
    </row>
    <row r="13457" spans="1:2" x14ac:dyDescent="0.35">
      <c r="A13457" s="34">
        <v>51171913</v>
      </c>
      <c r="B13457" s="35" t="s">
        <v>10199</v>
      </c>
    </row>
    <row r="13458" spans="1:2" x14ac:dyDescent="0.35">
      <c r="A13458" s="34">
        <v>51171914</v>
      </c>
      <c r="B13458" s="35" t="s">
        <v>12757</v>
      </c>
    </row>
    <row r="13459" spans="1:2" x14ac:dyDescent="0.35">
      <c r="A13459" s="34">
        <v>51171915</v>
      </c>
      <c r="B13459" s="35" t="s">
        <v>9409</v>
      </c>
    </row>
    <row r="13460" spans="1:2" x14ac:dyDescent="0.35">
      <c r="A13460" s="34">
        <v>51171916</v>
      </c>
      <c r="B13460" s="35" t="s">
        <v>17978</v>
      </c>
    </row>
    <row r="13461" spans="1:2" x14ac:dyDescent="0.35">
      <c r="A13461" s="34">
        <v>51171917</v>
      </c>
      <c r="B13461" s="35" t="s">
        <v>12208</v>
      </c>
    </row>
    <row r="13462" spans="1:2" x14ac:dyDescent="0.35">
      <c r="A13462" s="34">
        <v>51171918</v>
      </c>
      <c r="B13462" s="35" t="s">
        <v>11107</v>
      </c>
    </row>
    <row r="13463" spans="1:2" x14ac:dyDescent="0.35">
      <c r="A13463" s="34">
        <v>51172001</v>
      </c>
      <c r="B13463" s="35" t="s">
        <v>2490</v>
      </c>
    </row>
    <row r="13464" spans="1:2" x14ac:dyDescent="0.35">
      <c r="A13464" s="34">
        <v>51172002</v>
      </c>
      <c r="B13464" s="35" t="s">
        <v>16481</v>
      </c>
    </row>
    <row r="13465" spans="1:2" x14ac:dyDescent="0.35">
      <c r="A13465" s="34">
        <v>51172003</v>
      </c>
      <c r="B13465" s="35" t="s">
        <v>4367</v>
      </c>
    </row>
    <row r="13466" spans="1:2" x14ac:dyDescent="0.35">
      <c r="A13466" s="34">
        <v>51172004</v>
      </c>
      <c r="B13466" s="35" t="s">
        <v>13158</v>
      </c>
    </row>
    <row r="13467" spans="1:2" x14ac:dyDescent="0.35">
      <c r="A13467" s="34">
        <v>51172101</v>
      </c>
      <c r="B13467" s="35" t="s">
        <v>10329</v>
      </c>
    </row>
    <row r="13468" spans="1:2" x14ac:dyDescent="0.35">
      <c r="A13468" s="34">
        <v>51172102</v>
      </c>
      <c r="B13468" s="35" t="s">
        <v>9344</v>
      </c>
    </row>
    <row r="13469" spans="1:2" x14ac:dyDescent="0.35">
      <c r="A13469" s="34">
        <v>51172103</v>
      </c>
      <c r="B13469" s="35" t="s">
        <v>4011</v>
      </c>
    </row>
    <row r="13470" spans="1:2" x14ac:dyDescent="0.35">
      <c r="A13470" s="34">
        <v>51172105</v>
      </c>
      <c r="B13470" s="35" t="s">
        <v>17826</v>
      </c>
    </row>
    <row r="13471" spans="1:2" x14ac:dyDescent="0.35">
      <c r="A13471" s="34">
        <v>51172106</v>
      </c>
      <c r="B13471" s="35" t="s">
        <v>12605</v>
      </c>
    </row>
    <row r="13472" spans="1:2" x14ac:dyDescent="0.35">
      <c r="A13472" s="34">
        <v>51172107</v>
      </c>
      <c r="B13472" s="35" t="s">
        <v>8450</v>
      </c>
    </row>
    <row r="13473" spans="1:2" x14ac:dyDescent="0.35">
      <c r="A13473" s="34">
        <v>51172108</v>
      </c>
      <c r="B13473" s="35" t="s">
        <v>14905</v>
      </c>
    </row>
    <row r="13474" spans="1:2" x14ac:dyDescent="0.35">
      <c r="A13474" s="34">
        <v>51172109</v>
      </c>
      <c r="B13474" s="35" t="s">
        <v>16310</v>
      </c>
    </row>
    <row r="13475" spans="1:2" x14ac:dyDescent="0.35">
      <c r="A13475" s="34">
        <v>51172110</v>
      </c>
      <c r="B13475" s="35" t="s">
        <v>16496</v>
      </c>
    </row>
    <row r="13476" spans="1:2" x14ac:dyDescent="0.35">
      <c r="A13476" s="34">
        <v>51172111</v>
      </c>
      <c r="B13476" s="35" t="s">
        <v>16623</v>
      </c>
    </row>
    <row r="13477" spans="1:2" x14ac:dyDescent="0.35">
      <c r="A13477" s="34">
        <v>51181501</v>
      </c>
      <c r="B13477" s="35" t="s">
        <v>6340</v>
      </c>
    </row>
    <row r="13478" spans="1:2" x14ac:dyDescent="0.35">
      <c r="A13478" s="34">
        <v>51181502</v>
      </c>
      <c r="B13478" s="35" t="s">
        <v>4349</v>
      </c>
    </row>
    <row r="13479" spans="1:2" x14ac:dyDescent="0.35">
      <c r="A13479" s="34">
        <v>51181503</v>
      </c>
      <c r="B13479" s="35" t="s">
        <v>14467</v>
      </c>
    </row>
    <row r="13480" spans="1:2" x14ac:dyDescent="0.35">
      <c r="A13480" s="34">
        <v>51181504</v>
      </c>
      <c r="B13480" s="35" t="s">
        <v>17031</v>
      </c>
    </row>
    <row r="13481" spans="1:2" x14ac:dyDescent="0.35">
      <c r="A13481" s="34">
        <v>51181505</v>
      </c>
      <c r="B13481" s="35" t="s">
        <v>6252</v>
      </c>
    </row>
    <row r="13482" spans="1:2" x14ac:dyDescent="0.35">
      <c r="A13482" s="34">
        <v>51181506</v>
      </c>
      <c r="B13482" s="35" t="s">
        <v>4840</v>
      </c>
    </row>
    <row r="13483" spans="1:2" x14ac:dyDescent="0.35">
      <c r="A13483" s="34">
        <v>51181508</v>
      </c>
      <c r="B13483" s="35" t="s">
        <v>15080</v>
      </c>
    </row>
    <row r="13484" spans="1:2" x14ac:dyDescent="0.35">
      <c r="A13484" s="34">
        <v>51181509</v>
      </c>
      <c r="B13484" s="35" t="s">
        <v>13127</v>
      </c>
    </row>
    <row r="13485" spans="1:2" x14ac:dyDescent="0.35">
      <c r="A13485" s="34">
        <v>51181510</v>
      </c>
      <c r="B13485" s="35" t="s">
        <v>15927</v>
      </c>
    </row>
    <row r="13486" spans="1:2" x14ac:dyDescent="0.35">
      <c r="A13486" s="34">
        <v>51181511</v>
      </c>
      <c r="B13486" s="35" t="s">
        <v>4883</v>
      </c>
    </row>
    <row r="13487" spans="1:2" x14ac:dyDescent="0.35">
      <c r="A13487" s="34">
        <v>51181513</v>
      </c>
      <c r="B13487" s="35" t="s">
        <v>18221</v>
      </c>
    </row>
    <row r="13488" spans="1:2" x14ac:dyDescent="0.35">
      <c r="A13488" s="34">
        <v>51181514</v>
      </c>
      <c r="B13488" s="35" t="s">
        <v>5551</v>
      </c>
    </row>
    <row r="13489" spans="1:2" x14ac:dyDescent="0.35">
      <c r="A13489" s="34">
        <v>51181515</v>
      </c>
      <c r="B13489" s="35" t="s">
        <v>4782</v>
      </c>
    </row>
    <row r="13490" spans="1:2" x14ac:dyDescent="0.35">
      <c r="A13490" s="34">
        <v>51181516</v>
      </c>
      <c r="B13490" s="35" t="s">
        <v>14920</v>
      </c>
    </row>
    <row r="13491" spans="1:2" x14ac:dyDescent="0.35">
      <c r="A13491" s="34">
        <v>51181517</v>
      </c>
      <c r="B13491" s="35" t="s">
        <v>14412</v>
      </c>
    </row>
    <row r="13492" spans="1:2" x14ac:dyDescent="0.35">
      <c r="A13492" s="34">
        <v>51181519</v>
      </c>
      <c r="B13492" s="35" t="s">
        <v>14049</v>
      </c>
    </row>
    <row r="13493" spans="1:2" x14ac:dyDescent="0.35">
      <c r="A13493" s="34">
        <v>51181520</v>
      </c>
      <c r="B13493" s="35" t="s">
        <v>11351</v>
      </c>
    </row>
    <row r="13494" spans="1:2" x14ac:dyDescent="0.35">
      <c r="A13494" s="34">
        <v>51181521</v>
      </c>
      <c r="B13494" s="35" t="s">
        <v>6477</v>
      </c>
    </row>
    <row r="13495" spans="1:2" x14ac:dyDescent="0.35">
      <c r="A13495" s="34">
        <v>51181522</v>
      </c>
      <c r="B13495" s="35" t="s">
        <v>13385</v>
      </c>
    </row>
    <row r="13496" spans="1:2" x14ac:dyDescent="0.35">
      <c r="A13496" s="34">
        <v>51181523</v>
      </c>
      <c r="B13496" s="35" t="s">
        <v>8331</v>
      </c>
    </row>
    <row r="13497" spans="1:2" x14ac:dyDescent="0.35">
      <c r="A13497" s="34">
        <v>51181524</v>
      </c>
      <c r="B13497" s="35" t="s">
        <v>19580</v>
      </c>
    </row>
    <row r="13498" spans="1:2" x14ac:dyDescent="0.35">
      <c r="A13498" s="34">
        <v>51181601</v>
      </c>
      <c r="B13498" s="35" t="s">
        <v>2879</v>
      </c>
    </row>
    <row r="13499" spans="1:2" x14ac:dyDescent="0.35">
      <c r="A13499" s="34">
        <v>51181602</v>
      </c>
      <c r="B13499" s="35" t="s">
        <v>3097</v>
      </c>
    </row>
    <row r="13500" spans="1:2" x14ac:dyDescent="0.35">
      <c r="A13500" s="34">
        <v>51181603</v>
      </c>
      <c r="B13500" s="35" t="s">
        <v>13855</v>
      </c>
    </row>
    <row r="13501" spans="1:2" x14ac:dyDescent="0.35">
      <c r="A13501" s="34">
        <v>51181604</v>
      </c>
      <c r="B13501" s="35" t="s">
        <v>5174</v>
      </c>
    </row>
    <row r="13502" spans="1:2" x14ac:dyDescent="0.35">
      <c r="A13502" s="34">
        <v>51181605</v>
      </c>
      <c r="B13502" s="35" t="s">
        <v>8112</v>
      </c>
    </row>
    <row r="13503" spans="1:2" x14ac:dyDescent="0.35">
      <c r="A13503" s="34">
        <v>51181606</v>
      </c>
      <c r="B13503" s="35" t="s">
        <v>6288</v>
      </c>
    </row>
    <row r="13504" spans="1:2" x14ac:dyDescent="0.35">
      <c r="A13504" s="34">
        <v>51181607</v>
      </c>
      <c r="B13504" s="35" t="s">
        <v>6080</v>
      </c>
    </row>
    <row r="13505" spans="1:2" x14ac:dyDescent="0.35">
      <c r="A13505" s="34">
        <v>51181608</v>
      </c>
      <c r="B13505" s="35" t="s">
        <v>10976</v>
      </c>
    </row>
    <row r="13506" spans="1:2" x14ac:dyDescent="0.35">
      <c r="A13506" s="34">
        <v>51181609</v>
      </c>
      <c r="B13506" s="35" t="s">
        <v>11311</v>
      </c>
    </row>
    <row r="13507" spans="1:2" x14ac:dyDescent="0.35">
      <c r="A13507" s="34">
        <v>51181701</v>
      </c>
      <c r="B13507" s="35" t="s">
        <v>12596</v>
      </c>
    </row>
    <row r="13508" spans="1:2" x14ac:dyDescent="0.35">
      <c r="A13508" s="34">
        <v>51181702</v>
      </c>
      <c r="B13508" s="35" t="s">
        <v>2694</v>
      </c>
    </row>
    <row r="13509" spans="1:2" x14ac:dyDescent="0.35">
      <c r="A13509" s="34">
        <v>51181703</v>
      </c>
      <c r="B13509" s="35" t="s">
        <v>4919</v>
      </c>
    </row>
    <row r="13510" spans="1:2" x14ac:dyDescent="0.35">
      <c r="A13510" s="34">
        <v>51181704</v>
      </c>
      <c r="B13510" s="35" t="s">
        <v>17555</v>
      </c>
    </row>
    <row r="13511" spans="1:2" x14ac:dyDescent="0.35">
      <c r="A13511" s="34">
        <v>51181705</v>
      </c>
      <c r="B13511" s="35" t="s">
        <v>1567</v>
      </c>
    </row>
    <row r="13512" spans="1:2" x14ac:dyDescent="0.35">
      <c r="A13512" s="34">
        <v>51181706</v>
      </c>
      <c r="B13512" s="35" t="s">
        <v>17566</v>
      </c>
    </row>
    <row r="13513" spans="1:2" x14ac:dyDescent="0.35">
      <c r="A13513" s="34">
        <v>51181707</v>
      </c>
      <c r="B13513" s="35" t="s">
        <v>7998</v>
      </c>
    </row>
    <row r="13514" spans="1:2" x14ac:dyDescent="0.35">
      <c r="A13514" s="34">
        <v>51181708</v>
      </c>
      <c r="B13514" s="35" t="s">
        <v>14621</v>
      </c>
    </row>
    <row r="13515" spans="1:2" x14ac:dyDescent="0.35">
      <c r="A13515" s="34">
        <v>51181709</v>
      </c>
      <c r="B13515" s="35" t="s">
        <v>12650</v>
      </c>
    </row>
    <row r="13516" spans="1:2" x14ac:dyDescent="0.35">
      <c r="A13516" s="34">
        <v>51181710</v>
      </c>
      <c r="B13516" s="35" t="s">
        <v>14370</v>
      </c>
    </row>
    <row r="13517" spans="1:2" x14ac:dyDescent="0.35">
      <c r="A13517" s="34">
        <v>51181711</v>
      </c>
      <c r="B13517" s="35" t="s">
        <v>5001</v>
      </c>
    </row>
    <row r="13518" spans="1:2" x14ac:dyDescent="0.35">
      <c r="A13518" s="34">
        <v>51181712</v>
      </c>
      <c r="B13518" s="35" t="s">
        <v>13541</v>
      </c>
    </row>
    <row r="13519" spans="1:2" x14ac:dyDescent="0.35">
      <c r="A13519" s="34">
        <v>51181713</v>
      </c>
      <c r="B13519" s="35" t="s">
        <v>13279</v>
      </c>
    </row>
    <row r="13520" spans="1:2" x14ac:dyDescent="0.35">
      <c r="A13520" s="34">
        <v>51181714</v>
      </c>
      <c r="B13520" s="35" t="s">
        <v>2160</v>
      </c>
    </row>
    <row r="13521" spans="1:2" x14ac:dyDescent="0.35">
      <c r="A13521" s="34">
        <v>51181715</v>
      </c>
      <c r="B13521" s="35" t="s">
        <v>11098</v>
      </c>
    </row>
    <row r="13522" spans="1:2" x14ac:dyDescent="0.35">
      <c r="A13522" s="34">
        <v>51181716</v>
      </c>
      <c r="B13522" s="35" t="s">
        <v>847</v>
      </c>
    </row>
    <row r="13523" spans="1:2" x14ac:dyDescent="0.35">
      <c r="A13523" s="34">
        <v>51181717</v>
      </c>
      <c r="B13523" s="35" t="s">
        <v>2664</v>
      </c>
    </row>
    <row r="13524" spans="1:2" x14ac:dyDescent="0.35">
      <c r="A13524" s="34">
        <v>51181718</v>
      </c>
      <c r="B13524" s="35" t="s">
        <v>12722</v>
      </c>
    </row>
    <row r="13525" spans="1:2" x14ac:dyDescent="0.35">
      <c r="A13525" s="34">
        <v>51181719</v>
      </c>
      <c r="B13525" s="35" t="s">
        <v>13405</v>
      </c>
    </row>
    <row r="13526" spans="1:2" x14ac:dyDescent="0.35">
      <c r="A13526" s="34">
        <v>51181720</v>
      </c>
      <c r="B13526" s="35" t="s">
        <v>15313</v>
      </c>
    </row>
    <row r="13527" spans="1:2" x14ac:dyDescent="0.35">
      <c r="A13527" s="34">
        <v>51181721</v>
      </c>
      <c r="B13527" s="35" t="s">
        <v>2023</v>
      </c>
    </row>
    <row r="13528" spans="1:2" x14ac:dyDescent="0.35">
      <c r="A13528" s="34">
        <v>51181722</v>
      </c>
      <c r="B13528" s="35" t="s">
        <v>18921</v>
      </c>
    </row>
    <row r="13529" spans="1:2" x14ac:dyDescent="0.35">
      <c r="A13529" s="34">
        <v>51181723</v>
      </c>
      <c r="B13529" s="35" t="s">
        <v>15145</v>
      </c>
    </row>
    <row r="13530" spans="1:2" x14ac:dyDescent="0.35">
      <c r="A13530" s="34">
        <v>51181724</v>
      </c>
      <c r="B13530" s="35" t="s">
        <v>17911</v>
      </c>
    </row>
    <row r="13531" spans="1:2" x14ac:dyDescent="0.35">
      <c r="A13531" s="34">
        <v>51181725</v>
      </c>
      <c r="B13531" s="35" t="s">
        <v>97</v>
      </c>
    </row>
    <row r="13532" spans="1:2" x14ac:dyDescent="0.35">
      <c r="A13532" s="34">
        <v>51181726</v>
      </c>
      <c r="B13532" s="35" t="s">
        <v>481</v>
      </c>
    </row>
    <row r="13533" spans="1:2" x14ac:dyDescent="0.35">
      <c r="A13533" s="34">
        <v>51181727</v>
      </c>
      <c r="B13533" s="35" t="s">
        <v>16775</v>
      </c>
    </row>
    <row r="13534" spans="1:2" x14ac:dyDescent="0.35">
      <c r="A13534" s="34">
        <v>51181728</v>
      </c>
      <c r="B13534" s="35" t="s">
        <v>9514</v>
      </c>
    </row>
    <row r="13535" spans="1:2" x14ac:dyDescent="0.35">
      <c r="A13535" s="34">
        <v>51181729</v>
      </c>
      <c r="B13535" s="35" t="s">
        <v>10457</v>
      </c>
    </row>
    <row r="13536" spans="1:2" x14ac:dyDescent="0.35">
      <c r="A13536" s="34">
        <v>51181730</v>
      </c>
      <c r="B13536" s="35" t="s">
        <v>4545</v>
      </c>
    </row>
    <row r="13537" spans="1:2" x14ac:dyDescent="0.35">
      <c r="A13537" s="34">
        <v>51181731</v>
      </c>
      <c r="B13537" s="35" t="s">
        <v>8245</v>
      </c>
    </row>
    <row r="13538" spans="1:2" x14ac:dyDescent="0.35">
      <c r="A13538" s="34">
        <v>51181732</v>
      </c>
      <c r="B13538" s="35" t="s">
        <v>2040</v>
      </c>
    </row>
    <row r="13539" spans="1:2" x14ac:dyDescent="0.35">
      <c r="A13539" s="34">
        <v>51181733</v>
      </c>
      <c r="B13539" s="35" t="s">
        <v>2371</v>
      </c>
    </row>
    <row r="13540" spans="1:2" x14ac:dyDescent="0.35">
      <c r="A13540" s="34">
        <v>51181734</v>
      </c>
      <c r="B13540" s="35" t="s">
        <v>11051</v>
      </c>
    </row>
    <row r="13541" spans="1:2" x14ac:dyDescent="0.35">
      <c r="A13541" s="34">
        <v>51181735</v>
      </c>
      <c r="B13541" s="35" t="s">
        <v>8490</v>
      </c>
    </row>
    <row r="13542" spans="1:2" x14ac:dyDescent="0.35">
      <c r="A13542" s="34">
        <v>51181736</v>
      </c>
      <c r="B13542" s="35" t="s">
        <v>18263</v>
      </c>
    </row>
    <row r="13543" spans="1:2" x14ac:dyDescent="0.35">
      <c r="A13543" s="34">
        <v>51181737</v>
      </c>
      <c r="B13543" s="35" t="s">
        <v>627</v>
      </c>
    </row>
    <row r="13544" spans="1:2" x14ac:dyDescent="0.35">
      <c r="A13544" s="34">
        <v>51181738</v>
      </c>
      <c r="B13544" s="35" t="s">
        <v>13733</v>
      </c>
    </row>
    <row r="13545" spans="1:2" x14ac:dyDescent="0.35">
      <c r="A13545" s="34">
        <v>51181739</v>
      </c>
      <c r="B13545" s="35" t="s">
        <v>6127</v>
      </c>
    </row>
    <row r="13546" spans="1:2" x14ac:dyDescent="0.35">
      <c r="A13546" s="34">
        <v>51181740</v>
      </c>
      <c r="B13546" s="35" t="s">
        <v>2580</v>
      </c>
    </row>
    <row r="13547" spans="1:2" x14ac:dyDescent="0.35">
      <c r="A13547" s="34">
        <v>51181741</v>
      </c>
      <c r="B13547" s="35" t="s">
        <v>5278</v>
      </c>
    </row>
    <row r="13548" spans="1:2" x14ac:dyDescent="0.35">
      <c r="A13548" s="34">
        <v>51181742</v>
      </c>
      <c r="B13548" s="35" t="s">
        <v>12801</v>
      </c>
    </row>
    <row r="13549" spans="1:2" x14ac:dyDescent="0.35">
      <c r="A13549" s="34">
        <v>51181743</v>
      </c>
      <c r="B13549" s="35" t="s">
        <v>11661</v>
      </c>
    </row>
    <row r="13550" spans="1:2" x14ac:dyDescent="0.35">
      <c r="A13550" s="34">
        <v>51181744</v>
      </c>
      <c r="B13550" s="35" t="s">
        <v>628</v>
      </c>
    </row>
    <row r="13551" spans="1:2" x14ac:dyDescent="0.35">
      <c r="A13551" s="34">
        <v>51181745</v>
      </c>
      <c r="B13551" s="35" t="s">
        <v>13499</v>
      </c>
    </row>
    <row r="13552" spans="1:2" x14ac:dyDescent="0.35">
      <c r="A13552" s="34">
        <v>51181746</v>
      </c>
      <c r="B13552" s="35" t="s">
        <v>11931</v>
      </c>
    </row>
    <row r="13553" spans="1:2" x14ac:dyDescent="0.35">
      <c r="A13553" s="34">
        <v>51181747</v>
      </c>
      <c r="B13553" s="35" t="s">
        <v>17247</v>
      </c>
    </row>
    <row r="13554" spans="1:2" x14ac:dyDescent="0.35">
      <c r="A13554" s="34">
        <v>51181748</v>
      </c>
      <c r="B13554" s="35" t="s">
        <v>8554</v>
      </c>
    </row>
    <row r="13555" spans="1:2" x14ac:dyDescent="0.35">
      <c r="A13555" s="34">
        <v>51181749</v>
      </c>
      <c r="B13555" s="35" t="s">
        <v>2624</v>
      </c>
    </row>
    <row r="13556" spans="1:2" x14ac:dyDescent="0.35">
      <c r="A13556" s="34">
        <v>51181750</v>
      </c>
      <c r="B13556" s="35" t="s">
        <v>15005</v>
      </c>
    </row>
    <row r="13557" spans="1:2" x14ac:dyDescent="0.35">
      <c r="A13557" s="34">
        <v>51181751</v>
      </c>
      <c r="B13557" s="35" t="s">
        <v>15878</v>
      </c>
    </row>
    <row r="13558" spans="1:2" x14ac:dyDescent="0.35">
      <c r="A13558" s="34">
        <v>51181752</v>
      </c>
      <c r="B13558" s="35" t="s">
        <v>19625</v>
      </c>
    </row>
    <row r="13559" spans="1:2" x14ac:dyDescent="0.35">
      <c r="A13559" s="34">
        <v>51181753</v>
      </c>
      <c r="B13559" s="35" t="s">
        <v>13617</v>
      </c>
    </row>
    <row r="13560" spans="1:2" x14ac:dyDescent="0.35">
      <c r="A13560" s="34">
        <v>51181754</v>
      </c>
      <c r="B13560" s="35" t="s">
        <v>19167</v>
      </c>
    </row>
    <row r="13561" spans="1:2" x14ac:dyDescent="0.35">
      <c r="A13561" s="34">
        <v>51181755</v>
      </c>
      <c r="B13561" s="35" t="s">
        <v>7330</v>
      </c>
    </row>
    <row r="13562" spans="1:2" x14ac:dyDescent="0.35">
      <c r="A13562" s="34">
        <v>51181801</v>
      </c>
      <c r="B13562" s="35" t="s">
        <v>16587</v>
      </c>
    </row>
    <row r="13563" spans="1:2" x14ac:dyDescent="0.35">
      <c r="A13563" s="34">
        <v>51181802</v>
      </c>
      <c r="B13563" s="35" t="s">
        <v>19220</v>
      </c>
    </row>
    <row r="13564" spans="1:2" x14ac:dyDescent="0.35">
      <c r="A13564" s="34">
        <v>51181803</v>
      </c>
      <c r="B13564" s="35" t="s">
        <v>2909</v>
      </c>
    </row>
    <row r="13565" spans="1:2" x14ac:dyDescent="0.35">
      <c r="A13565" s="34">
        <v>51181804</v>
      </c>
      <c r="B13565" s="35" t="s">
        <v>13652</v>
      </c>
    </row>
    <row r="13566" spans="1:2" x14ac:dyDescent="0.35">
      <c r="A13566" s="34">
        <v>51181805</v>
      </c>
      <c r="B13566" s="35" t="s">
        <v>1399</v>
      </c>
    </row>
    <row r="13567" spans="1:2" x14ac:dyDescent="0.35">
      <c r="A13567" s="34">
        <v>51181806</v>
      </c>
      <c r="B13567" s="35" t="s">
        <v>766</v>
      </c>
    </row>
    <row r="13568" spans="1:2" x14ac:dyDescent="0.35">
      <c r="A13568" s="34">
        <v>51181807</v>
      </c>
      <c r="B13568" s="35" t="s">
        <v>10467</v>
      </c>
    </row>
    <row r="13569" spans="1:2" x14ac:dyDescent="0.35">
      <c r="A13569" s="34">
        <v>51181808</v>
      </c>
      <c r="B13569" s="35" t="s">
        <v>6650</v>
      </c>
    </row>
    <row r="13570" spans="1:2" x14ac:dyDescent="0.35">
      <c r="A13570" s="34">
        <v>51181810</v>
      </c>
      <c r="B13570" s="35" t="s">
        <v>8604</v>
      </c>
    </row>
    <row r="13571" spans="1:2" x14ac:dyDescent="0.35">
      <c r="A13571" s="34">
        <v>51181811</v>
      </c>
      <c r="B13571" s="35" t="s">
        <v>10478</v>
      </c>
    </row>
    <row r="13572" spans="1:2" x14ac:dyDescent="0.35">
      <c r="A13572" s="34">
        <v>51181812</v>
      </c>
      <c r="B13572" s="35" t="s">
        <v>16922</v>
      </c>
    </row>
    <row r="13573" spans="1:2" x14ac:dyDescent="0.35">
      <c r="A13573" s="34">
        <v>51181813</v>
      </c>
      <c r="B13573" s="35" t="s">
        <v>145</v>
      </c>
    </row>
    <row r="13574" spans="1:2" x14ac:dyDescent="0.35">
      <c r="A13574" s="34">
        <v>51181814</v>
      </c>
      <c r="B13574" s="35" t="s">
        <v>1538</v>
      </c>
    </row>
    <row r="13575" spans="1:2" x14ac:dyDescent="0.35">
      <c r="A13575" s="34">
        <v>51181815</v>
      </c>
      <c r="B13575" s="35" t="s">
        <v>10098</v>
      </c>
    </row>
    <row r="13576" spans="1:2" x14ac:dyDescent="0.35">
      <c r="A13576" s="34">
        <v>51181816</v>
      </c>
      <c r="B13576" s="35" t="s">
        <v>15873</v>
      </c>
    </row>
    <row r="13577" spans="1:2" x14ac:dyDescent="0.35">
      <c r="A13577" s="34">
        <v>51181817</v>
      </c>
      <c r="B13577" s="35" t="s">
        <v>4697</v>
      </c>
    </row>
    <row r="13578" spans="1:2" x14ac:dyDescent="0.35">
      <c r="A13578" s="34">
        <v>51181818</v>
      </c>
      <c r="B13578" s="35" t="s">
        <v>3499</v>
      </c>
    </row>
    <row r="13579" spans="1:2" x14ac:dyDescent="0.35">
      <c r="A13579" s="34">
        <v>51181819</v>
      </c>
      <c r="B13579" s="35" t="s">
        <v>17451</v>
      </c>
    </row>
    <row r="13580" spans="1:2" x14ac:dyDescent="0.35">
      <c r="A13580" s="34">
        <v>51181820</v>
      </c>
      <c r="B13580" s="35" t="s">
        <v>14116</v>
      </c>
    </row>
    <row r="13581" spans="1:2" x14ac:dyDescent="0.35">
      <c r="A13581" s="34">
        <v>51181821</v>
      </c>
      <c r="B13581" s="35" t="s">
        <v>11702</v>
      </c>
    </row>
    <row r="13582" spans="1:2" x14ac:dyDescent="0.35">
      <c r="A13582" s="34">
        <v>51181822</v>
      </c>
      <c r="B13582" s="35" t="s">
        <v>3107</v>
      </c>
    </row>
    <row r="13583" spans="1:2" x14ac:dyDescent="0.35">
      <c r="A13583" s="34">
        <v>51181823</v>
      </c>
      <c r="B13583" s="35" t="s">
        <v>17615</v>
      </c>
    </row>
    <row r="13584" spans="1:2" x14ac:dyDescent="0.35">
      <c r="A13584" s="34">
        <v>51181824</v>
      </c>
      <c r="B13584" s="35" t="s">
        <v>17626</v>
      </c>
    </row>
    <row r="13585" spans="1:2" x14ac:dyDescent="0.35">
      <c r="A13585" s="34">
        <v>51181825</v>
      </c>
      <c r="B13585" s="35" t="s">
        <v>15148</v>
      </c>
    </row>
    <row r="13586" spans="1:2" x14ac:dyDescent="0.35">
      <c r="A13586" s="34">
        <v>51181826</v>
      </c>
      <c r="B13586" s="35" t="s">
        <v>9746</v>
      </c>
    </row>
    <row r="13587" spans="1:2" x14ac:dyDescent="0.35">
      <c r="A13587" s="34">
        <v>51181827</v>
      </c>
      <c r="B13587" s="35" t="s">
        <v>19540</v>
      </c>
    </row>
    <row r="13588" spans="1:2" x14ac:dyDescent="0.35">
      <c r="A13588" s="34">
        <v>51181828</v>
      </c>
      <c r="B13588" s="35" t="s">
        <v>15926</v>
      </c>
    </row>
    <row r="13589" spans="1:2" x14ac:dyDescent="0.35">
      <c r="A13589" s="34">
        <v>51181829</v>
      </c>
      <c r="B13589" s="35" t="s">
        <v>11302</v>
      </c>
    </row>
    <row r="13590" spans="1:2" x14ac:dyDescent="0.35">
      <c r="A13590" s="34">
        <v>51181830</v>
      </c>
      <c r="B13590" s="35" t="s">
        <v>4241</v>
      </c>
    </row>
    <row r="13591" spans="1:2" x14ac:dyDescent="0.35">
      <c r="A13591" s="34">
        <v>51181831</v>
      </c>
      <c r="B13591" s="35" t="s">
        <v>14307</v>
      </c>
    </row>
    <row r="13592" spans="1:2" x14ac:dyDescent="0.35">
      <c r="A13592" s="34">
        <v>51181832</v>
      </c>
      <c r="B13592" s="35" t="s">
        <v>8703</v>
      </c>
    </row>
    <row r="13593" spans="1:2" x14ac:dyDescent="0.35">
      <c r="A13593" s="34">
        <v>51181833</v>
      </c>
      <c r="B13593" s="35" t="s">
        <v>16988</v>
      </c>
    </row>
    <row r="13594" spans="1:2" x14ac:dyDescent="0.35">
      <c r="A13594" s="34">
        <v>51181834</v>
      </c>
      <c r="B13594" s="35" t="s">
        <v>1426</v>
      </c>
    </row>
    <row r="13595" spans="1:2" x14ac:dyDescent="0.35">
      <c r="A13595" s="34">
        <v>51181901</v>
      </c>
      <c r="B13595" s="35" t="s">
        <v>9733</v>
      </c>
    </row>
    <row r="13596" spans="1:2" x14ac:dyDescent="0.35">
      <c r="A13596" s="34">
        <v>51181902</v>
      </c>
      <c r="B13596" s="35" t="s">
        <v>15267</v>
      </c>
    </row>
    <row r="13597" spans="1:2" x14ac:dyDescent="0.35">
      <c r="A13597" s="34">
        <v>51181903</v>
      </c>
      <c r="B13597" s="35" t="s">
        <v>10211</v>
      </c>
    </row>
    <row r="13598" spans="1:2" x14ac:dyDescent="0.35">
      <c r="A13598" s="34">
        <v>51181904</v>
      </c>
      <c r="B13598" s="35" t="s">
        <v>581</v>
      </c>
    </row>
    <row r="13599" spans="1:2" x14ac:dyDescent="0.35">
      <c r="A13599" s="34">
        <v>51181905</v>
      </c>
      <c r="B13599" s="35" t="s">
        <v>14801</v>
      </c>
    </row>
    <row r="13600" spans="1:2" x14ac:dyDescent="0.35">
      <c r="A13600" s="34">
        <v>51181906</v>
      </c>
      <c r="B13600" s="35" t="s">
        <v>1545</v>
      </c>
    </row>
    <row r="13601" spans="1:2" x14ac:dyDescent="0.35">
      <c r="A13601" s="34">
        <v>51181908</v>
      </c>
      <c r="B13601" s="35" t="s">
        <v>8666</v>
      </c>
    </row>
    <row r="13602" spans="1:2" x14ac:dyDescent="0.35">
      <c r="A13602" s="34">
        <v>51181911</v>
      </c>
      <c r="B13602" s="35" t="s">
        <v>14084</v>
      </c>
    </row>
    <row r="13603" spans="1:2" x14ac:dyDescent="0.35">
      <c r="A13603" s="34">
        <v>51181912</v>
      </c>
      <c r="B13603" s="35" t="s">
        <v>14188</v>
      </c>
    </row>
    <row r="13604" spans="1:2" x14ac:dyDescent="0.35">
      <c r="A13604" s="34">
        <v>51181913</v>
      </c>
      <c r="B13604" s="35" t="s">
        <v>1270</v>
      </c>
    </row>
    <row r="13605" spans="1:2" x14ac:dyDescent="0.35">
      <c r="A13605" s="34">
        <v>51182001</v>
      </c>
      <c r="B13605" s="35" t="s">
        <v>9273</v>
      </c>
    </row>
    <row r="13606" spans="1:2" x14ac:dyDescent="0.35">
      <c r="A13606" s="34">
        <v>51182002</v>
      </c>
      <c r="B13606" s="35" t="s">
        <v>15254</v>
      </c>
    </row>
    <row r="13607" spans="1:2" x14ac:dyDescent="0.35">
      <c r="A13607" s="34">
        <v>51182003</v>
      </c>
      <c r="B13607" s="35" t="s">
        <v>5554</v>
      </c>
    </row>
    <row r="13608" spans="1:2" x14ac:dyDescent="0.35">
      <c r="A13608" s="34">
        <v>51182004</v>
      </c>
      <c r="B13608" s="35" t="s">
        <v>7953</v>
      </c>
    </row>
    <row r="13609" spans="1:2" x14ac:dyDescent="0.35">
      <c r="A13609" s="34">
        <v>51182005</v>
      </c>
      <c r="B13609" s="35" t="s">
        <v>8341</v>
      </c>
    </row>
    <row r="13610" spans="1:2" x14ac:dyDescent="0.35">
      <c r="A13610" s="34">
        <v>51182006</v>
      </c>
      <c r="B13610" s="35" t="s">
        <v>4987</v>
      </c>
    </row>
    <row r="13611" spans="1:2" x14ac:dyDescent="0.35">
      <c r="A13611" s="34">
        <v>51182007</v>
      </c>
      <c r="B13611" s="35" t="s">
        <v>10420</v>
      </c>
    </row>
    <row r="13612" spans="1:2" x14ac:dyDescent="0.35">
      <c r="A13612" s="34">
        <v>51182008</v>
      </c>
      <c r="B13612" s="35" t="s">
        <v>18353</v>
      </c>
    </row>
    <row r="13613" spans="1:2" x14ac:dyDescent="0.35">
      <c r="A13613" s="34">
        <v>51182009</v>
      </c>
      <c r="B13613" s="35" t="s">
        <v>58</v>
      </c>
    </row>
    <row r="13614" spans="1:2" x14ac:dyDescent="0.35">
      <c r="A13614" s="34">
        <v>51182010</v>
      </c>
      <c r="B13614" s="35" t="s">
        <v>4753</v>
      </c>
    </row>
    <row r="13615" spans="1:2" x14ac:dyDescent="0.35">
      <c r="A13615" s="34">
        <v>51182011</v>
      </c>
      <c r="B13615" s="35" t="s">
        <v>11711</v>
      </c>
    </row>
    <row r="13616" spans="1:2" x14ac:dyDescent="0.35">
      <c r="A13616" s="34">
        <v>51182012</v>
      </c>
      <c r="B13616" s="35" t="s">
        <v>7210</v>
      </c>
    </row>
    <row r="13617" spans="1:2" x14ac:dyDescent="0.35">
      <c r="A13617" s="34">
        <v>51182013</v>
      </c>
      <c r="B13617" s="35" t="s">
        <v>11808</v>
      </c>
    </row>
    <row r="13618" spans="1:2" x14ac:dyDescent="0.35">
      <c r="A13618" s="34">
        <v>51182014</v>
      </c>
      <c r="B13618" s="35" t="s">
        <v>10712</v>
      </c>
    </row>
    <row r="13619" spans="1:2" x14ac:dyDescent="0.35">
      <c r="A13619" s="34">
        <v>51182101</v>
      </c>
      <c r="B13619" s="35" t="s">
        <v>12798</v>
      </c>
    </row>
    <row r="13620" spans="1:2" x14ac:dyDescent="0.35">
      <c r="A13620" s="34">
        <v>51182102</v>
      </c>
      <c r="B13620" s="35" t="s">
        <v>8100</v>
      </c>
    </row>
    <row r="13621" spans="1:2" x14ac:dyDescent="0.35">
      <c r="A13621" s="34">
        <v>51182201</v>
      </c>
      <c r="B13621" s="35" t="s">
        <v>3057</v>
      </c>
    </row>
    <row r="13622" spans="1:2" x14ac:dyDescent="0.35">
      <c r="A13622" s="34">
        <v>51182202</v>
      </c>
      <c r="B13622" s="35" t="s">
        <v>16</v>
      </c>
    </row>
    <row r="13623" spans="1:2" x14ac:dyDescent="0.35">
      <c r="A13623" s="34">
        <v>51182203</v>
      </c>
      <c r="B13623" s="35" t="s">
        <v>1802</v>
      </c>
    </row>
    <row r="13624" spans="1:2" x14ac:dyDescent="0.35">
      <c r="A13624" s="34">
        <v>51182204</v>
      </c>
      <c r="B13624" s="35" t="s">
        <v>12077</v>
      </c>
    </row>
    <row r="13625" spans="1:2" x14ac:dyDescent="0.35">
      <c r="A13625" s="34">
        <v>51182301</v>
      </c>
      <c r="B13625" s="35" t="s">
        <v>15921</v>
      </c>
    </row>
    <row r="13626" spans="1:2" x14ac:dyDescent="0.35">
      <c r="A13626" s="34">
        <v>51182302</v>
      </c>
      <c r="B13626" s="35" t="s">
        <v>12524</v>
      </c>
    </row>
    <row r="13627" spans="1:2" x14ac:dyDescent="0.35">
      <c r="A13627" s="34">
        <v>51182303</v>
      </c>
      <c r="B13627" s="35" t="s">
        <v>7808</v>
      </c>
    </row>
    <row r="13628" spans="1:2" x14ac:dyDescent="0.35">
      <c r="A13628" s="34">
        <v>51182304</v>
      </c>
      <c r="B13628" s="35" t="s">
        <v>7985</v>
      </c>
    </row>
    <row r="13629" spans="1:2" x14ac:dyDescent="0.35">
      <c r="A13629" s="34">
        <v>51182401</v>
      </c>
      <c r="B13629" s="35" t="s">
        <v>12780</v>
      </c>
    </row>
    <row r="13630" spans="1:2" x14ac:dyDescent="0.35">
      <c r="A13630" s="34">
        <v>51182403</v>
      </c>
      <c r="B13630" s="35" t="s">
        <v>13567</v>
      </c>
    </row>
    <row r="13631" spans="1:2" x14ac:dyDescent="0.35">
      <c r="A13631" s="34">
        <v>51182404</v>
      </c>
      <c r="B13631" s="35" t="s">
        <v>13013</v>
      </c>
    </row>
    <row r="13632" spans="1:2" x14ac:dyDescent="0.35">
      <c r="A13632" s="34">
        <v>51182405</v>
      </c>
      <c r="B13632" s="35" t="s">
        <v>12478</v>
      </c>
    </row>
    <row r="13633" spans="1:2" x14ac:dyDescent="0.35">
      <c r="A13633" s="34">
        <v>51182406</v>
      </c>
      <c r="B13633" s="35" t="s">
        <v>8147</v>
      </c>
    </row>
    <row r="13634" spans="1:2" x14ac:dyDescent="0.35">
      <c r="A13634" s="34">
        <v>51182407</v>
      </c>
      <c r="B13634" s="35" t="s">
        <v>3310</v>
      </c>
    </row>
    <row r="13635" spans="1:2" x14ac:dyDescent="0.35">
      <c r="A13635" s="34">
        <v>51182408</v>
      </c>
      <c r="B13635" s="35" t="s">
        <v>12536</v>
      </c>
    </row>
    <row r="13636" spans="1:2" x14ac:dyDescent="0.35">
      <c r="A13636" s="34">
        <v>51182409</v>
      </c>
      <c r="B13636" s="35" t="s">
        <v>3469</v>
      </c>
    </row>
    <row r="13637" spans="1:2" x14ac:dyDescent="0.35">
      <c r="A13637" s="34">
        <v>51182410</v>
      </c>
      <c r="B13637" s="35" t="s">
        <v>16568</v>
      </c>
    </row>
    <row r="13638" spans="1:2" x14ac:dyDescent="0.35">
      <c r="A13638" s="34">
        <v>51182411</v>
      </c>
      <c r="B13638" s="35" t="s">
        <v>16284</v>
      </c>
    </row>
    <row r="13639" spans="1:2" x14ac:dyDescent="0.35">
      <c r="A13639" s="34">
        <v>51182412</v>
      </c>
      <c r="B13639" s="35" t="s">
        <v>2688</v>
      </c>
    </row>
    <row r="13640" spans="1:2" x14ac:dyDescent="0.35">
      <c r="A13640" s="34">
        <v>51182413</v>
      </c>
      <c r="B13640" s="35" t="s">
        <v>4799</v>
      </c>
    </row>
    <row r="13641" spans="1:2" x14ac:dyDescent="0.35">
      <c r="A13641" s="34">
        <v>51182415</v>
      </c>
      <c r="B13641" s="35" t="s">
        <v>17512</v>
      </c>
    </row>
    <row r="13642" spans="1:2" x14ac:dyDescent="0.35">
      <c r="A13642" s="34">
        <v>51182416</v>
      </c>
      <c r="B13642" s="35" t="s">
        <v>16103</v>
      </c>
    </row>
    <row r="13643" spans="1:2" x14ac:dyDescent="0.35">
      <c r="A13643" s="34">
        <v>51182417</v>
      </c>
      <c r="B13643" s="35" t="s">
        <v>10710</v>
      </c>
    </row>
    <row r="13644" spans="1:2" x14ac:dyDescent="0.35">
      <c r="A13644" s="34">
        <v>51182418</v>
      </c>
      <c r="B13644" s="35" t="s">
        <v>7030</v>
      </c>
    </row>
    <row r="13645" spans="1:2" x14ac:dyDescent="0.35">
      <c r="A13645" s="34">
        <v>51182419</v>
      </c>
      <c r="B13645" s="35" t="s">
        <v>6796</v>
      </c>
    </row>
    <row r="13646" spans="1:2" x14ac:dyDescent="0.35">
      <c r="A13646" s="34">
        <v>51182420</v>
      </c>
      <c r="B13646" s="35" t="s">
        <v>11597</v>
      </c>
    </row>
    <row r="13647" spans="1:2" x14ac:dyDescent="0.35">
      <c r="A13647" s="34">
        <v>51191501</v>
      </c>
      <c r="B13647" s="35" t="s">
        <v>4916</v>
      </c>
    </row>
    <row r="13648" spans="1:2" x14ac:dyDescent="0.35">
      <c r="A13648" s="34">
        <v>51191502</v>
      </c>
      <c r="B13648" s="35" t="s">
        <v>371</v>
      </c>
    </row>
    <row r="13649" spans="1:2" x14ac:dyDescent="0.35">
      <c r="A13649" s="34">
        <v>51191503</v>
      </c>
      <c r="B13649" s="35" t="s">
        <v>8986</v>
      </c>
    </row>
    <row r="13650" spans="1:2" x14ac:dyDescent="0.35">
      <c r="A13650" s="34">
        <v>51191504</v>
      </c>
      <c r="B13650" s="35" t="s">
        <v>11827</v>
      </c>
    </row>
    <row r="13651" spans="1:2" x14ac:dyDescent="0.35">
      <c r="A13651" s="34">
        <v>51191505</v>
      </c>
      <c r="B13651" s="35" t="s">
        <v>5034</v>
      </c>
    </row>
    <row r="13652" spans="1:2" x14ac:dyDescent="0.35">
      <c r="A13652" s="34">
        <v>51191506</v>
      </c>
      <c r="B13652" s="35" t="s">
        <v>16373</v>
      </c>
    </row>
    <row r="13653" spans="1:2" x14ac:dyDescent="0.35">
      <c r="A13653" s="34">
        <v>51191507</v>
      </c>
      <c r="B13653" s="35" t="s">
        <v>19281</v>
      </c>
    </row>
    <row r="13654" spans="1:2" x14ac:dyDescent="0.35">
      <c r="A13654" s="34">
        <v>51191508</v>
      </c>
      <c r="B13654" s="35" t="s">
        <v>8738</v>
      </c>
    </row>
    <row r="13655" spans="1:2" x14ac:dyDescent="0.35">
      <c r="A13655" s="34">
        <v>51191509</v>
      </c>
      <c r="B13655" s="35" t="s">
        <v>18129</v>
      </c>
    </row>
    <row r="13656" spans="1:2" x14ac:dyDescent="0.35">
      <c r="A13656" s="34">
        <v>51191510</v>
      </c>
      <c r="B13656" s="35" t="s">
        <v>9954</v>
      </c>
    </row>
    <row r="13657" spans="1:2" x14ac:dyDescent="0.35">
      <c r="A13657" s="34">
        <v>51191511</v>
      </c>
      <c r="B13657" s="35" t="s">
        <v>6374</v>
      </c>
    </row>
    <row r="13658" spans="1:2" x14ac:dyDescent="0.35">
      <c r="A13658" s="34">
        <v>51191512</v>
      </c>
      <c r="B13658" s="35" t="s">
        <v>2523</v>
      </c>
    </row>
    <row r="13659" spans="1:2" x14ac:dyDescent="0.35">
      <c r="A13659" s="34">
        <v>51191513</v>
      </c>
      <c r="B13659" s="35" t="s">
        <v>17984</v>
      </c>
    </row>
    <row r="13660" spans="1:2" x14ac:dyDescent="0.35">
      <c r="A13660" s="34">
        <v>51191514</v>
      </c>
      <c r="B13660" s="35" t="s">
        <v>11531</v>
      </c>
    </row>
    <row r="13661" spans="1:2" x14ac:dyDescent="0.35">
      <c r="A13661" s="34">
        <v>51191515</v>
      </c>
      <c r="B13661" s="35" t="s">
        <v>11978</v>
      </c>
    </row>
    <row r="13662" spans="1:2" x14ac:dyDescent="0.35">
      <c r="A13662" s="34">
        <v>51191516</v>
      </c>
      <c r="B13662" s="35" t="s">
        <v>14146</v>
      </c>
    </row>
    <row r="13663" spans="1:2" x14ac:dyDescent="0.35">
      <c r="A13663" s="34">
        <v>51191517</v>
      </c>
      <c r="B13663" s="35" t="s">
        <v>14807</v>
      </c>
    </row>
    <row r="13664" spans="1:2" x14ac:dyDescent="0.35">
      <c r="A13664" s="34">
        <v>51191518</v>
      </c>
      <c r="B13664" s="35" t="s">
        <v>16099</v>
      </c>
    </row>
    <row r="13665" spans="1:2" x14ac:dyDescent="0.35">
      <c r="A13665" s="34">
        <v>51191519</v>
      </c>
      <c r="B13665" s="35" t="s">
        <v>6933</v>
      </c>
    </row>
    <row r="13666" spans="1:2" x14ac:dyDescent="0.35">
      <c r="A13666" s="34">
        <v>51191520</v>
      </c>
      <c r="B13666" s="35" t="s">
        <v>16376</v>
      </c>
    </row>
    <row r="13667" spans="1:2" x14ac:dyDescent="0.35">
      <c r="A13667" s="34">
        <v>51191521</v>
      </c>
      <c r="B13667" s="35" t="s">
        <v>5583</v>
      </c>
    </row>
    <row r="13668" spans="1:2" x14ac:dyDescent="0.35">
      <c r="A13668" s="34">
        <v>51191522</v>
      </c>
      <c r="B13668" s="35" t="s">
        <v>1344</v>
      </c>
    </row>
    <row r="13669" spans="1:2" x14ac:dyDescent="0.35">
      <c r="A13669" s="34">
        <v>51191523</v>
      </c>
      <c r="B13669" s="35" t="s">
        <v>18419</v>
      </c>
    </row>
    <row r="13670" spans="1:2" x14ac:dyDescent="0.35">
      <c r="A13670" s="34">
        <v>51191601</v>
      </c>
      <c r="B13670" s="35" t="s">
        <v>17774</v>
      </c>
    </row>
    <row r="13671" spans="1:2" x14ac:dyDescent="0.35">
      <c r="A13671" s="34">
        <v>51191602</v>
      </c>
      <c r="B13671" s="35" t="s">
        <v>1282</v>
      </c>
    </row>
    <row r="13672" spans="1:2" x14ac:dyDescent="0.35">
      <c r="A13672" s="34">
        <v>51191603</v>
      </c>
      <c r="B13672" s="35" t="s">
        <v>7458</v>
      </c>
    </row>
    <row r="13673" spans="1:2" x14ac:dyDescent="0.35">
      <c r="A13673" s="34">
        <v>51191604</v>
      </c>
      <c r="B13673" s="35" t="s">
        <v>19400</v>
      </c>
    </row>
    <row r="13674" spans="1:2" x14ac:dyDescent="0.35">
      <c r="A13674" s="34">
        <v>51191701</v>
      </c>
      <c r="B13674" s="35" t="s">
        <v>4330</v>
      </c>
    </row>
    <row r="13675" spans="1:2" x14ac:dyDescent="0.35">
      <c r="A13675" s="34">
        <v>51191702</v>
      </c>
      <c r="B13675" s="35" t="s">
        <v>17481</v>
      </c>
    </row>
    <row r="13676" spans="1:2" x14ac:dyDescent="0.35">
      <c r="A13676" s="34">
        <v>51191703</v>
      </c>
      <c r="B13676" s="35" t="s">
        <v>5143</v>
      </c>
    </row>
    <row r="13677" spans="1:2" x14ac:dyDescent="0.35">
      <c r="A13677" s="34">
        <v>51191704</v>
      </c>
      <c r="B13677" s="35" t="s">
        <v>7305</v>
      </c>
    </row>
    <row r="13678" spans="1:2" x14ac:dyDescent="0.35">
      <c r="A13678" s="34">
        <v>51191705</v>
      </c>
      <c r="B13678" s="35" t="s">
        <v>13097</v>
      </c>
    </row>
    <row r="13679" spans="1:2" x14ac:dyDescent="0.35">
      <c r="A13679" s="34">
        <v>51191706</v>
      </c>
      <c r="B13679" s="35" t="s">
        <v>19246</v>
      </c>
    </row>
    <row r="13680" spans="1:2" x14ac:dyDescent="0.35">
      <c r="A13680" s="34">
        <v>51191801</v>
      </c>
      <c r="B13680" s="35" t="s">
        <v>1732</v>
      </c>
    </row>
    <row r="13681" spans="1:2" x14ac:dyDescent="0.35">
      <c r="A13681" s="34">
        <v>51191802</v>
      </c>
      <c r="B13681" s="35" t="s">
        <v>10918</v>
      </c>
    </row>
    <row r="13682" spans="1:2" x14ac:dyDescent="0.35">
      <c r="A13682" s="34">
        <v>51191803</v>
      </c>
      <c r="B13682" s="35" t="s">
        <v>4744</v>
      </c>
    </row>
    <row r="13683" spans="1:2" x14ac:dyDescent="0.35">
      <c r="A13683" s="34">
        <v>51191804</v>
      </c>
      <c r="B13683" s="35" t="s">
        <v>16895</v>
      </c>
    </row>
    <row r="13684" spans="1:2" x14ac:dyDescent="0.35">
      <c r="A13684" s="34">
        <v>51191805</v>
      </c>
      <c r="B13684" s="35" t="s">
        <v>19519</v>
      </c>
    </row>
    <row r="13685" spans="1:2" x14ac:dyDescent="0.35">
      <c r="A13685" s="34">
        <v>51191901</v>
      </c>
      <c r="B13685" s="35" t="s">
        <v>9011</v>
      </c>
    </row>
    <row r="13686" spans="1:2" x14ac:dyDescent="0.35">
      <c r="A13686" s="34">
        <v>51191902</v>
      </c>
      <c r="B13686" s="35" t="s">
        <v>3547</v>
      </c>
    </row>
    <row r="13687" spans="1:2" x14ac:dyDescent="0.35">
      <c r="A13687" s="34">
        <v>51191903</v>
      </c>
      <c r="B13687" s="35" t="s">
        <v>2691</v>
      </c>
    </row>
    <row r="13688" spans="1:2" x14ac:dyDescent="0.35">
      <c r="A13688" s="34">
        <v>51191904</v>
      </c>
      <c r="B13688" s="35" t="s">
        <v>8609</v>
      </c>
    </row>
    <row r="13689" spans="1:2" x14ac:dyDescent="0.35">
      <c r="A13689" s="34">
        <v>51191905</v>
      </c>
      <c r="B13689" s="35" t="s">
        <v>7491</v>
      </c>
    </row>
    <row r="13690" spans="1:2" x14ac:dyDescent="0.35">
      <c r="A13690" s="34">
        <v>51191906</v>
      </c>
      <c r="B13690" s="35" t="s">
        <v>6036</v>
      </c>
    </row>
    <row r="13691" spans="1:2" x14ac:dyDescent="0.35">
      <c r="A13691" s="34">
        <v>51191907</v>
      </c>
      <c r="B13691" s="35" t="s">
        <v>4619</v>
      </c>
    </row>
    <row r="13692" spans="1:2" x14ac:dyDescent="0.35">
      <c r="A13692" s="34">
        <v>51201501</v>
      </c>
      <c r="B13692" s="35" t="s">
        <v>7709</v>
      </c>
    </row>
    <row r="13693" spans="1:2" x14ac:dyDescent="0.35">
      <c r="A13693" s="34">
        <v>51201502</v>
      </c>
      <c r="B13693" s="35" t="s">
        <v>16516</v>
      </c>
    </row>
    <row r="13694" spans="1:2" x14ac:dyDescent="0.35">
      <c r="A13694" s="34">
        <v>51201503</v>
      </c>
      <c r="B13694" s="35" t="s">
        <v>16553</v>
      </c>
    </row>
    <row r="13695" spans="1:2" x14ac:dyDescent="0.35">
      <c r="A13695" s="34">
        <v>51201504</v>
      </c>
      <c r="B13695" s="35" t="s">
        <v>2094</v>
      </c>
    </row>
    <row r="13696" spans="1:2" x14ac:dyDescent="0.35">
      <c r="A13696" s="34">
        <v>51201505</v>
      </c>
      <c r="B13696" s="35" t="s">
        <v>13596</v>
      </c>
    </row>
    <row r="13697" spans="1:2" x14ac:dyDescent="0.35">
      <c r="A13697" s="34">
        <v>51201506</v>
      </c>
      <c r="B13697" s="35" t="s">
        <v>12271</v>
      </c>
    </row>
    <row r="13698" spans="1:2" x14ac:dyDescent="0.35">
      <c r="A13698" s="34">
        <v>51201507</v>
      </c>
      <c r="B13698" s="35" t="s">
        <v>11392</v>
      </c>
    </row>
    <row r="13699" spans="1:2" x14ac:dyDescent="0.35">
      <c r="A13699" s="34">
        <v>51201508</v>
      </c>
      <c r="B13699" s="35" t="s">
        <v>1373</v>
      </c>
    </row>
    <row r="13700" spans="1:2" x14ac:dyDescent="0.35">
      <c r="A13700" s="34">
        <v>51201509</v>
      </c>
      <c r="B13700" s="35" t="s">
        <v>489</v>
      </c>
    </row>
    <row r="13701" spans="1:2" x14ac:dyDescent="0.35">
      <c r="A13701" s="34">
        <v>51201510</v>
      </c>
      <c r="B13701" s="35" t="s">
        <v>15479</v>
      </c>
    </row>
    <row r="13702" spans="1:2" x14ac:dyDescent="0.35">
      <c r="A13702" s="34">
        <v>51201511</v>
      </c>
      <c r="B13702" s="35" t="s">
        <v>978</v>
      </c>
    </row>
    <row r="13703" spans="1:2" x14ac:dyDescent="0.35">
      <c r="A13703" s="34">
        <v>51201512</v>
      </c>
      <c r="B13703" s="35" t="s">
        <v>6774</v>
      </c>
    </row>
    <row r="13704" spans="1:2" x14ac:dyDescent="0.35">
      <c r="A13704" s="34">
        <v>51201513</v>
      </c>
      <c r="B13704" s="35" t="s">
        <v>10703</v>
      </c>
    </row>
    <row r="13705" spans="1:2" x14ac:dyDescent="0.35">
      <c r="A13705" s="34">
        <v>51201514</v>
      </c>
      <c r="B13705" s="35" t="s">
        <v>15448</v>
      </c>
    </row>
    <row r="13706" spans="1:2" x14ac:dyDescent="0.35">
      <c r="A13706" s="34">
        <v>51201515</v>
      </c>
      <c r="B13706" s="35" t="s">
        <v>17197</v>
      </c>
    </row>
    <row r="13707" spans="1:2" x14ac:dyDescent="0.35">
      <c r="A13707" s="34">
        <v>51201516</v>
      </c>
      <c r="B13707" s="35" t="s">
        <v>8859</v>
      </c>
    </row>
    <row r="13708" spans="1:2" x14ac:dyDescent="0.35">
      <c r="A13708" s="34">
        <v>51201517</v>
      </c>
      <c r="B13708" s="35" t="s">
        <v>2204</v>
      </c>
    </row>
    <row r="13709" spans="1:2" x14ac:dyDescent="0.35">
      <c r="A13709" s="34">
        <v>51201518</v>
      </c>
      <c r="B13709" s="35" t="s">
        <v>3062</v>
      </c>
    </row>
    <row r="13710" spans="1:2" x14ac:dyDescent="0.35">
      <c r="A13710" s="34">
        <v>51201519</v>
      </c>
      <c r="B13710" s="35" t="s">
        <v>5799</v>
      </c>
    </row>
    <row r="13711" spans="1:2" x14ac:dyDescent="0.35">
      <c r="A13711" s="34">
        <v>51201520</v>
      </c>
      <c r="B13711" s="35" t="s">
        <v>5799</v>
      </c>
    </row>
    <row r="13712" spans="1:2" x14ac:dyDescent="0.35">
      <c r="A13712" s="34">
        <v>51201521</v>
      </c>
      <c r="B13712" s="35" t="s">
        <v>5799</v>
      </c>
    </row>
    <row r="13713" spans="1:2" x14ac:dyDescent="0.35">
      <c r="A13713" s="34">
        <v>51201522</v>
      </c>
      <c r="B13713" s="35" t="s">
        <v>5799</v>
      </c>
    </row>
    <row r="13714" spans="1:2" x14ac:dyDescent="0.35">
      <c r="A13714" s="34">
        <v>51201523</v>
      </c>
      <c r="B13714" s="35" t="s">
        <v>6235</v>
      </c>
    </row>
    <row r="13715" spans="1:2" x14ac:dyDescent="0.35">
      <c r="A13715" s="34">
        <v>51201524</v>
      </c>
      <c r="B13715" s="35" t="s">
        <v>5799</v>
      </c>
    </row>
    <row r="13716" spans="1:2" x14ac:dyDescent="0.35">
      <c r="A13716" s="34">
        <v>51201525</v>
      </c>
      <c r="B13716" s="35" t="s">
        <v>5799</v>
      </c>
    </row>
    <row r="13717" spans="1:2" x14ac:dyDescent="0.35">
      <c r="A13717" s="34">
        <v>51201526</v>
      </c>
      <c r="B13717" s="35" t="s">
        <v>5799</v>
      </c>
    </row>
    <row r="13718" spans="1:2" x14ac:dyDescent="0.35">
      <c r="A13718" s="34">
        <v>51201527</v>
      </c>
      <c r="B13718" s="35" t="s">
        <v>5799</v>
      </c>
    </row>
    <row r="13719" spans="1:2" x14ac:dyDescent="0.35">
      <c r="A13719" s="34">
        <v>51201528</v>
      </c>
      <c r="B13719" s="35" t="s">
        <v>5799</v>
      </c>
    </row>
    <row r="13720" spans="1:2" x14ac:dyDescent="0.35">
      <c r="A13720" s="34">
        <v>51201529</v>
      </c>
      <c r="B13720" s="35" t="s">
        <v>5799</v>
      </c>
    </row>
    <row r="13721" spans="1:2" x14ac:dyDescent="0.35">
      <c r="A13721" s="34">
        <v>51201530</v>
      </c>
      <c r="B13721" s="35" t="s">
        <v>5799</v>
      </c>
    </row>
    <row r="13722" spans="1:2" x14ac:dyDescent="0.35">
      <c r="A13722" s="34">
        <v>51201531</v>
      </c>
      <c r="B13722" s="35" t="s">
        <v>5799</v>
      </c>
    </row>
    <row r="13723" spans="1:2" x14ac:dyDescent="0.35">
      <c r="A13723" s="34">
        <v>51201532</v>
      </c>
      <c r="B13723" s="35" t="s">
        <v>5799</v>
      </c>
    </row>
    <row r="13724" spans="1:2" x14ac:dyDescent="0.35">
      <c r="A13724" s="34">
        <v>51201533</v>
      </c>
      <c r="B13724" s="35" t="s">
        <v>5799</v>
      </c>
    </row>
    <row r="13725" spans="1:2" x14ac:dyDescent="0.35">
      <c r="A13725" s="34">
        <v>51201534</v>
      </c>
      <c r="B13725" s="35" t="s">
        <v>5799</v>
      </c>
    </row>
    <row r="13726" spans="1:2" x14ac:dyDescent="0.35">
      <c r="A13726" s="34">
        <v>51201535</v>
      </c>
      <c r="B13726" s="35" t="s">
        <v>5799</v>
      </c>
    </row>
    <row r="13727" spans="1:2" x14ac:dyDescent="0.35">
      <c r="A13727" s="34">
        <v>51201536</v>
      </c>
      <c r="B13727" s="35" t="s">
        <v>2400</v>
      </c>
    </row>
    <row r="13728" spans="1:2" x14ac:dyDescent="0.35">
      <c r="A13728" s="34">
        <v>51201537</v>
      </c>
      <c r="B13728" s="35" t="s">
        <v>5799</v>
      </c>
    </row>
    <row r="13729" spans="1:2" x14ac:dyDescent="0.35">
      <c r="A13729" s="34">
        <v>51201538</v>
      </c>
      <c r="B13729" s="35" t="s">
        <v>5799</v>
      </c>
    </row>
    <row r="13730" spans="1:2" x14ac:dyDescent="0.35">
      <c r="A13730" s="34">
        <v>51201539</v>
      </c>
      <c r="B13730" s="35" t="s">
        <v>5799</v>
      </c>
    </row>
    <row r="13731" spans="1:2" x14ac:dyDescent="0.35">
      <c r="A13731" s="34">
        <v>51201540</v>
      </c>
      <c r="B13731" s="35" t="s">
        <v>5799</v>
      </c>
    </row>
    <row r="13732" spans="1:2" x14ac:dyDescent="0.35">
      <c r="A13732" s="34">
        <v>51201541</v>
      </c>
      <c r="B13732" s="35" t="s">
        <v>5799</v>
      </c>
    </row>
    <row r="13733" spans="1:2" x14ac:dyDescent="0.35">
      <c r="A13733" s="34">
        <v>51201542</v>
      </c>
      <c r="B13733" s="35" t="s">
        <v>5799</v>
      </c>
    </row>
    <row r="13734" spans="1:2" x14ac:dyDescent="0.35">
      <c r="A13734" s="34">
        <v>51201543</v>
      </c>
      <c r="B13734" s="35" t="s">
        <v>5799</v>
      </c>
    </row>
    <row r="13735" spans="1:2" x14ac:dyDescent="0.35">
      <c r="A13735" s="34">
        <v>51201544</v>
      </c>
      <c r="B13735" s="35" t="s">
        <v>4878</v>
      </c>
    </row>
    <row r="13736" spans="1:2" x14ac:dyDescent="0.35">
      <c r="A13736" s="34">
        <v>51201545</v>
      </c>
      <c r="B13736" s="35" t="s">
        <v>5799</v>
      </c>
    </row>
    <row r="13737" spans="1:2" x14ac:dyDescent="0.35">
      <c r="A13737" s="34">
        <v>51201546</v>
      </c>
      <c r="B13737" s="35" t="s">
        <v>5799</v>
      </c>
    </row>
    <row r="13738" spans="1:2" x14ac:dyDescent="0.35">
      <c r="A13738" s="34">
        <v>51201547</v>
      </c>
      <c r="B13738" s="35" t="s">
        <v>16152</v>
      </c>
    </row>
    <row r="13739" spans="1:2" x14ac:dyDescent="0.35">
      <c r="A13739" s="34">
        <v>51201548</v>
      </c>
      <c r="B13739" s="35" t="s">
        <v>5799</v>
      </c>
    </row>
    <row r="13740" spans="1:2" x14ac:dyDescent="0.35">
      <c r="A13740" s="34">
        <v>51201549</v>
      </c>
      <c r="B13740" s="35" t="s">
        <v>5799</v>
      </c>
    </row>
    <row r="13741" spans="1:2" x14ac:dyDescent="0.35">
      <c r="A13741" s="34">
        <v>51201550</v>
      </c>
      <c r="B13741" s="35" t="s">
        <v>5799</v>
      </c>
    </row>
    <row r="13742" spans="1:2" x14ac:dyDescent="0.35">
      <c r="A13742" s="34">
        <v>51201551</v>
      </c>
      <c r="B13742" s="35" t="s">
        <v>5799</v>
      </c>
    </row>
    <row r="13743" spans="1:2" x14ac:dyDescent="0.35">
      <c r="A13743" s="34">
        <v>51201552</v>
      </c>
      <c r="B13743" s="35" t="s">
        <v>5799</v>
      </c>
    </row>
    <row r="13744" spans="1:2" x14ac:dyDescent="0.35">
      <c r="A13744" s="34">
        <v>51201553</v>
      </c>
      <c r="B13744" s="35" t="s">
        <v>5799</v>
      </c>
    </row>
    <row r="13745" spans="1:2" x14ac:dyDescent="0.35">
      <c r="A13745" s="34">
        <v>51201554</v>
      </c>
      <c r="B13745" s="35" t="s">
        <v>5799</v>
      </c>
    </row>
    <row r="13746" spans="1:2" x14ac:dyDescent="0.35">
      <c r="A13746" s="34">
        <v>51201555</v>
      </c>
      <c r="B13746" s="35" t="s">
        <v>5799</v>
      </c>
    </row>
    <row r="13747" spans="1:2" x14ac:dyDescent="0.35">
      <c r="A13747" s="34">
        <v>51201556</v>
      </c>
      <c r="B13747" s="35" t="s">
        <v>5799</v>
      </c>
    </row>
    <row r="13748" spans="1:2" x14ac:dyDescent="0.35">
      <c r="A13748" s="34">
        <v>51201557</v>
      </c>
      <c r="B13748" s="35" t="s">
        <v>5799</v>
      </c>
    </row>
    <row r="13749" spans="1:2" x14ac:dyDescent="0.35">
      <c r="A13749" s="34">
        <v>51201558</v>
      </c>
      <c r="B13749" s="35" t="s">
        <v>5799</v>
      </c>
    </row>
    <row r="13750" spans="1:2" x14ac:dyDescent="0.35">
      <c r="A13750" s="34">
        <v>51201559</v>
      </c>
      <c r="B13750" s="35" t="s">
        <v>5799</v>
      </c>
    </row>
    <row r="13751" spans="1:2" x14ac:dyDescent="0.35">
      <c r="A13751" s="34">
        <v>51201560</v>
      </c>
      <c r="B13751" s="35" t="s">
        <v>5799</v>
      </c>
    </row>
    <row r="13752" spans="1:2" x14ac:dyDescent="0.35">
      <c r="A13752" s="34">
        <v>51201561</v>
      </c>
      <c r="B13752" s="35" t="s">
        <v>5799</v>
      </c>
    </row>
    <row r="13753" spans="1:2" x14ac:dyDescent="0.35">
      <c r="A13753" s="34">
        <v>51201562</v>
      </c>
      <c r="B13753" s="35" t="s">
        <v>5799</v>
      </c>
    </row>
    <row r="13754" spans="1:2" x14ac:dyDescent="0.35">
      <c r="A13754" s="34">
        <v>51201563</v>
      </c>
      <c r="B13754" s="35" t="s">
        <v>5799</v>
      </c>
    </row>
    <row r="13755" spans="1:2" x14ac:dyDescent="0.35">
      <c r="A13755" s="34">
        <v>51201564</v>
      </c>
      <c r="B13755" s="35" t="s">
        <v>2612</v>
      </c>
    </row>
    <row r="13756" spans="1:2" x14ac:dyDescent="0.35">
      <c r="A13756" s="34">
        <v>51201565</v>
      </c>
      <c r="B13756" s="35" t="s">
        <v>5799</v>
      </c>
    </row>
    <row r="13757" spans="1:2" x14ac:dyDescent="0.35">
      <c r="A13757" s="34">
        <v>51201566</v>
      </c>
      <c r="B13757" s="35" t="s">
        <v>5799</v>
      </c>
    </row>
    <row r="13758" spans="1:2" x14ac:dyDescent="0.35">
      <c r="A13758" s="34">
        <v>51201567</v>
      </c>
      <c r="B13758" s="35" t="s">
        <v>5799</v>
      </c>
    </row>
    <row r="13759" spans="1:2" x14ac:dyDescent="0.35">
      <c r="A13759" s="34">
        <v>51201568</v>
      </c>
      <c r="B13759" s="35" t="s">
        <v>5799</v>
      </c>
    </row>
    <row r="13760" spans="1:2" x14ac:dyDescent="0.35">
      <c r="A13760" s="34">
        <v>51201569</v>
      </c>
      <c r="B13760" s="35" t="s">
        <v>3468</v>
      </c>
    </row>
    <row r="13761" spans="1:2" x14ac:dyDescent="0.35">
      <c r="A13761" s="34">
        <v>51201601</v>
      </c>
      <c r="B13761" s="35" t="s">
        <v>1544</v>
      </c>
    </row>
    <row r="13762" spans="1:2" x14ac:dyDescent="0.35">
      <c r="A13762" s="34">
        <v>51201602</v>
      </c>
      <c r="B13762" s="35" t="s">
        <v>12935</v>
      </c>
    </row>
    <row r="13763" spans="1:2" x14ac:dyDescent="0.35">
      <c r="A13763" s="34">
        <v>51201603</v>
      </c>
      <c r="B13763" s="35" t="s">
        <v>8487</v>
      </c>
    </row>
    <row r="13764" spans="1:2" x14ac:dyDescent="0.35">
      <c r="A13764" s="34">
        <v>51201604</v>
      </c>
      <c r="B13764" s="35" t="s">
        <v>16935</v>
      </c>
    </row>
    <row r="13765" spans="1:2" x14ac:dyDescent="0.35">
      <c r="A13765" s="34">
        <v>51201605</v>
      </c>
      <c r="B13765" s="35" t="s">
        <v>5256</v>
      </c>
    </row>
    <row r="13766" spans="1:2" x14ac:dyDescent="0.35">
      <c r="A13766" s="34">
        <v>51201606</v>
      </c>
      <c r="B13766" s="35" t="s">
        <v>3793</v>
      </c>
    </row>
    <row r="13767" spans="1:2" x14ac:dyDescent="0.35">
      <c r="A13767" s="34">
        <v>51201607</v>
      </c>
      <c r="B13767" s="35" t="s">
        <v>12769</v>
      </c>
    </row>
    <row r="13768" spans="1:2" x14ac:dyDescent="0.35">
      <c r="A13768" s="34">
        <v>51201608</v>
      </c>
      <c r="B13768" s="35" t="s">
        <v>16754</v>
      </c>
    </row>
    <row r="13769" spans="1:2" x14ac:dyDescent="0.35">
      <c r="A13769" s="34">
        <v>51201609</v>
      </c>
      <c r="B13769" s="35" t="s">
        <v>8901</v>
      </c>
    </row>
    <row r="13770" spans="1:2" x14ac:dyDescent="0.35">
      <c r="A13770" s="34">
        <v>51201610</v>
      </c>
      <c r="B13770" s="35" t="s">
        <v>16952</v>
      </c>
    </row>
    <row r="13771" spans="1:2" x14ac:dyDescent="0.35">
      <c r="A13771" s="34">
        <v>51201611</v>
      </c>
      <c r="B13771" s="35" t="s">
        <v>728</v>
      </c>
    </row>
    <row r="13772" spans="1:2" x14ac:dyDescent="0.35">
      <c r="A13772" s="34">
        <v>51201612</v>
      </c>
      <c r="B13772" s="35" t="s">
        <v>16070</v>
      </c>
    </row>
    <row r="13773" spans="1:2" x14ac:dyDescent="0.35">
      <c r="A13773" s="34">
        <v>51201613</v>
      </c>
      <c r="B13773" s="35" t="s">
        <v>18668</v>
      </c>
    </row>
    <row r="13774" spans="1:2" x14ac:dyDescent="0.35">
      <c r="A13774" s="34">
        <v>51201614</v>
      </c>
      <c r="B13774" s="35" t="s">
        <v>8790</v>
      </c>
    </row>
    <row r="13775" spans="1:2" x14ac:dyDescent="0.35">
      <c r="A13775" s="34">
        <v>51201615</v>
      </c>
      <c r="B13775" s="35" t="s">
        <v>3554</v>
      </c>
    </row>
    <row r="13776" spans="1:2" x14ac:dyDescent="0.35">
      <c r="A13776" s="34">
        <v>51201616</v>
      </c>
      <c r="B13776" s="35" t="s">
        <v>11076</v>
      </c>
    </row>
    <row r="13777" spans="1:2" x14ac:dyDescent="0.35">
      <c r="A13777" s="34">
        <v>51201617</v>
      </c>
      <c r="B13777" s="35" t="s">
        <v>1502</v>
      </c>
    </row>
    <row r="13778" spans="1:2" x14ac:dyDescent="0.35">
      <c r="A13778" s="34">
        <v>51201618</v>
      </c>
      <c r="B13778" s="35" t="s">
        <v>8283</v>
      </c>
    </row>
    <row r="13779" spans="1:2" x14ac:dyDescent="0.35">
      <c r="A13779" s="34">
        <v>51201619</v>
      </c>
      <c r="B13779" s="35" t="s">
        <v>4843</v>
      </c>
    </row>
    <row r="13780" spans="1:2" x14ac:dyDescent="0.35">
      <c r="A13780" s="34">
        <v>51201620</v>
      </c>
      <c r="B13780" s="35" t="s">
        <v>18959</v>
      </c>
    </row>
    <row r="13781" spans="1:2" x14ac:dyDescent="0.35">
      <c r="A13781" s="34">
        <v>51201621</v>
      </c>
      <c r="B13781" s="35" t="s">
        <v>516</v>
      </c>
    </row>
    <row r="13782" spans="1:2" x14ac:dyDescent="0.35">
      <c r="A13782" s="34">
        <v>51201622</v>
      </c>
      <c r="B13782" s="35" t="s">
        <v>15338</v>
      </c>
    </row>
    <row r="13783" spans="1:2" x14ac:dyDescent="0.35">
      <c r="A13783" s="34">
        <v>51201623</v>
      </c>
      <c r="B13783" s="35" t="s">
        <v>15912</v>
      </c>
    </row>
    <row r="13784" spans="1:2" x14ac:dyDescent="0.35">
      <c r="A13784" s="34">
        <v>51201624</v>
      </c>
      <c r="B13784" s="35" t="s">
        <v>5744</v>
      </c>
    </row>
    <row r="13785" spans="1:2" x14ac:dyDescent="0.35">
      <c r="A13785" s="34">
        <v>51201625</v>
      </c>
      <c r="B13785" s="35" t="s">
        <v>2526</v>
      </c>
    </row>
    <row r="13786" spans="1:2" x14ac:dyDescent="0.35">
      <c r="A13786" s="34">
        <v>51201626</v>
      </c>
      <c r="B13786" s="35" t="s">
        <v>2589</v>
      </c>
    </row>
    <row r="13787" spans="1:2" x14ac:dyDescent="0.35">
      <c r="A13787" s="34">
        <v>51201627</v>
      </c>
      <c r="B13787" s="35" t="s">
        <v>6140</v>
      </c>
    </row>
    <row r="13788" spans="1:2" x14ac:dyDescent="0.35">
      <c r="A13788" s="34">
        <v>51201628</v>
      </c>
      <c r="B13788" s="35" t="s">
        <v>1500</v>
      </c>
    </row>
    <row r="13789" spans="1:2" x14ac:dyDescent="0.35">
      <c r="A13789" s="34">
        <v>51201629</v>
      </c>
      <c r="B13789" s="35" t="s">
        <v>10640</v>
      </c>
    </row>
    <row r="13790" spans="1:2" x14ac:dyDescent="0.35">
      <c r="A13790" s="34">
        <v>51201631</v>
      </c>
      <c r="B13790" s="35" t="s">
        <v>1157</v>
      </c>
    </row>
    <row r="13791" spans="1:2" x14ac:dyDescent="0.35">
      <c r="A13791" s="34">
        <v>51201632</v>
      </c>
      <c r="B13791" s="35" t="s">
        <v>1762</v>
      </c>
    </row>
    <row r="13792" spans="1:2" x14ac:dyDescent="0.35">
      <c r="A13792" s="34">
        <v>51201633</v>
      </c>
      <c r="B13792" s="35" t="s">
        <v>6452</v>
      </c>
    </row>
    <row r="13793" spans="1:2" x14ac:dyDescent="0.35">
      <c r="A13793" s="34">
        <v>51201634</v>
      </c>
      <c r="B13793" s="35" t="s">
        <v>13659</v>
      </c>
    </row>
    <row r="13794" spans="1:2" x14ac:dyDescent="0.35">
      <c r="A13794" s="34">
        <v>51201635</v>
      </c>
      <c r="B13794" s="35" t="s">
        <v>7344</v>
      </c>
    </row>
    <row r="13795" spans="1:2" x14ac:dyDescent="0.35">
      <c r="A13795" s="34">
        <v>51201636</v>
      </c>
      <c r="B13795" s="35" t="s">
        <v>1724</v>
      </c>
    </row>
    <row r="13796" spans="1:2" x14ac:dyDescent="0.35">
      <c r="A13796" s="34">
        <v>51201638</v>
      </c>
      <c r="B13796" s="35" t="s">
        <v>2273</v>
      </c>
    </row>
    <row r="13797" spans="1:2" x14ac:dyDescent="0.35">
      <c r="A13797" s="34">
        <v>51201639</v>
      </c>
      <c r="B13797" s="35" t="s">
        <v>3071</v>
      </c>
    </row>
    <row r="13798" spans="1:2" x14ac:dyDescent="0.35">
      <c r="A13798" s="34">
        <v>51201646</v>
      </c>
      <c r="B13798" s="35" t="s">
        <v>16928</v>
      </c>
    </row>
    <row r="13799" spans="1:2" x14ac:dyDescent="0.35">
      <c r="A13799" s="34">
        <v>51201647</v>
      </c>
      <c r="B13799" s="35" t="s">
        <v>5656</v>
      </c>
    </row>
    <row r="13800" spans="1:2" x14ac:dyDescent="0.35">
      <c r="A13800" s="34">
        <v>51201648</v>
      </c>
      <c r="B13800" s="35" t="s">
        <v>1993</v>
      </c>
    </row>
    <row r="13801" spans="1:2" x14ac:dyDescent="0.35">
      <c r="A13801" s="34">
        <v>51201701</v>
      </c>
      <c r="B13801" s="35" t="s">
        <v>12007</v>
      </c>
    </row>
    <row r="13802" spans="1:2" x14ac:dyDescent="0.35">
      <c r="A13802" s="34">
        <v>51201702</v>
      </c>
      <c r="B13802" s="35" t="s">
        <v>665</v>
      </c>
    </row>
    <row r="13803" spans="1:2" x14ac:dyDescent="0.35">
      <c r="A13803" s="34">
        <v>51201703</v>
      </c>
      <c r="B13803" s="35" t="s">
        <v>5350</v>
      </c>
    </row>
    <row r="13804" spans="1:2" x14ac:dyDescent="0.35">
      <c r="A13804" s="34">
        <v>51201704</v>
      </c>
      <c r="B13804" s="35" t="s">
        <v>12338</v>
      </c>
    </row>
    <row r="13805" spans="1:2" x14ac:dyDescent="0.35">
      <c r="A13805" s="34">
        <v>51201705</v>
      </c>
      <c r="B13805" s="35" t="s">
        <v>2575</v>
      </c>
    </row>
    <row r="13806" spans="1:2" x14ac:dyDescent="0.35">
      <c r="A13806" s="34">
        <v>51201801</v>
      </c>
      <c r="B13806" s="35" t="s">
        <v>19492</v>
      </c>
    </row>
    <row r="13807" spans="1:2" x14ac:dyDescent="0.35">
      <c r="A13807" s="34">
        <v>51201802</v>
      </c>
      <c r="B13807" s="35" t="s">
        <v>13566</v>
      </c>
    </row>
    <row r="13808" spans="1:2" x14ac:dyDescent="0.35">
      <c r="A13808" s="34">
        <v>51201803</v>
      </c>
      <c r="B13808" s="35" t="s">
        <v>8658</v>
      </c>
    </row>
    <row r="13809" spans="1:2" x14ac:dyDescent="0.35">
      <c r="A13809" s="34">
        <v>51201804</v>
      </c>
      <c r="B13809" s="35" t="s">
        <v>16591</v>
      </c>
    </row>
    <row r="13810" spans="1:2" x14ac:dyDescent="0.35">
      <c r="A13810" s="34">
        <v>51201805</v>
      </c>
      <c r="B13810" s="35" t="s">
        <v>15042</v>
      </c>
    </row>
    <row r="13811" spans="1:2" x14ac:dyDescent="0.35">
      <c r="A13811" s="34">
        <v>51201806</v>
      </c>
      <c r="B13811" s="35" t="s">
        <v>14472</v>
      </c>
    </row>
    <row r="13812" spans="1:2" x14ac:dyDescent="0.35">
      <c r="A13812" s="34">
        <v>51201807</v>
      </c>
      <c r="B13812" s="35" t="s">
        <v>18470</v>
      </c>
    </row>
    <row r="13813" spans="1:2" x14ac:dyDescent="0.35">
      <c r="A13813" s="34">
        <v>51201808</v>
      </c>
      <c r="B13813" s="35" t="s">
        <v>2226</v>
      </c>
    </row>
    <row r="13814" spans="1:2" x14ac:dyDescent="0.35">
      <c r="A13814" s="34">
        <v>51201809</v>
      </c>
      <c r="B13814" s="35" t="s">
        <v>13123</v>
      </c>
    </row>
    <row r="13815" spans="1:2" x14ac:dyDescent="0.35">
      <c r="A13815" s="34">
        <v>51201901</v>
      </c>
      <c r="B13815" s="35" t="s">
        <v>16847</v>
      </c>
    </row>
    <row r="13816" spans="1:2" x14ac:dyDescent="0.35">
      <c r="A13816" s="34">
        <v>51211501</v>
      </c>
      <c r="B13816" s="35" t="s">
        <v>11858</v>
      </c>
    </row>
    <row r="13817" spans="1:2" x14ac:dyDescent="0.35">
      <c r="A13817" s="34">
        <v>51211502</v>
      </c>
      <c r="B13817" s="35" t="s">
        <v>16990</v>
      </c>
    </row>
    <row r="13818" spans="1:2" x14ac:dyDescent="0.35">
      <c r="A13818" s="34">
        <v>51211503</v>
      </c>
      <c r="B13818" s="35" t="s">
        <v>2345</v>
      </c>
    </row>
    <row r="13819" spans="1:2" x14ac:dyDescent="0.35">
      <c r="A13819" s="34">
        <v>51211504</v>
      </c>
      <c r="B13819" s="35" t="s">
        <v>10577</v>
      </c>
    </row>
    <row r="13820" spans="1:2" x14ac:dyDescent="0.35">
      <c r="A13820" s="34">
        <v>51211505</v>
      </c>
      <c r="B13820" s="35" t="s">
        <v>2811</v>
      </c>
    </row>
    <row r="13821" spans="1:2" x14ac:dyDescent="0.35">
      <c r="A13821" s="34">
        <v>51211601</v>
      </c>
      <c r="B13821" s="35" t="s">
        <v>17402</v>
      </c>
    </row>
    <row r="13822" spans="1:2" x14ac:dyDescent="0.35">
      <c r="A13822" s="34">
        <v>51211602</v>
      </c>
      <c r="B13822" s="35" t="s">
        <v>11022</v>
      </c>
    </row>
    <row r="13823" spans="1:2" x14ac:dyDescent="0.35">
      <c r="A13823" s="34">
        <v>51211603</v>
      </c>
      <c r="B13823" s="35" t="s">
        <v>19254</v>
      </c>
    </row>
    <row r="13824" spans="1:2" x14ac:dyDescent="0.35">
      <c r="A13824" s="34">
        <v>51211604</v>
      </c>
      <c r="B13824" s="35" t="s">
        <v>1636</v>
      </c>
    </row>
    <row r="13825" spans="1:2" x14ac:dyDescent="0.35">
      <c r="A13825" s="34">
        <v>51211605</v>
      </c>
      <c r="B13825" s="35" t="s">
        <v>13167</v>
      </c>
    </row>
    <row r="13826" spans="1:2" x14ac:dyDescent="0.35">
      <c r="A13826" s="34">
        <v>51211606</v>
      </c>
      <c r="B13826" s="35" t="s">
        <v>15713</v>
      </c>
    </row>
    <row r="13827" spans="1:2" x14ac:dyDescent="0.35">
      <c r="A13827" s="34">
        <v>51211607</v>
      </c>
      <c r="B13827" s="35" t="s">
        <v>12923</v>
      </c>
    </row>
    <row r="13828" spans="1:2" x14ac:dyDescent="0.35">
      <c r="A13828" s="34">
        <v>51211608</v>
      </c>
      <c r="B13828" s="35" t="s">
        <v>18744</v>
      </c>
    </row>
    <row r="13829" spans="1:2" x14ac:dyDescent="0.35">
      <c r="A13829" s="34">
        <v>51211609</v>
      </c>
      <c r="B13829" s="35" t="s">
        <v>574</v>
      </c>
    </row>
    <row r="13830" spans="1:2" x14ac:dyDescent="0.35">
      <c r="A13830" s="34">
        <v>51211610</v>
      </c>
      <c r="B13830" s="35" t="s">
        <v>18279</v>
      </c>
    </row>
    <row r="13831" spans="1:2" x14ac:dyDescent="0.35">
      <c r="A13831" s="34">
        <v>51211611</v>
      </c>
      <c r="B13831" s="35" t="s">
        <v>14699</v>
      </c>
    </row>
    <row r="13832" spans="1:2" x14ac:dyDescent="0.35">
      <c r="A13832" s="34">
        <v>51211612</v>
      </c>
      <c r="B13832" s="35" t="s">
        <v>7673</v>
      </c>
    </row>
    <row r="13833" spans="1:2" x14ac:dyDescent="0.35">
      <c r="A13833" s="34">
        <v>51211613</v>
      </c>
      <c r="B13833" s="35" t="s">
        <v>10196</v>
      </c>
    </row>
    <row r="13834" spans="1:2" x14ac:dyDescent="0.35">
      <c r="A13834" s="34">
        <v>51211615</v>
      </c>
      <c r="B13834" s="35" t="s">
        <v>5389</v>
      </c>
    </row>
    <row r="13835" spans="1:2" x14ac:dyDescent="0.35">
      <c r="A13835" s="34">
        <v>51211616</v>
      </c>
      <c r="B13835" s="35" t="s">
        <v>11372</v>
      </c>
    </row>
    <row r="13836" spans="1:2" x14ac:dyDescent="0.35">
      <c r="A13836" s="34">
        <v>51211617</v>
      </c>
      <c r="B13836" s="35" t="s">
        <v>7066</v>
      </c>
    </row>
    <row r="13837" spans="1:2" x14ac:dyDescent="0.35">
      <c r="A13837" s="34">
        <v>51211618</v>
      </c>
      <c r="B13837" s="35" t="s">
        <v>16807</v>
      </c>
    </row>
    <row r="13838" spans="1:2" x14ac:dyDescent="0.35">
      <c r="A13838" s="34">
        <v>51211619</v>
      </c>
      <c r="B13838" s="35" t="s">
        <v>9235</v>
      </c>
    </row>
    <row r="13839" spans="1:2" x14ac:dyDescent="0.35">
      <c r="A13839" s="34">
        <v>51211620</v>
      </c>
      <c r="B13839" s="35" t="s">
        <v>15763</v>
      </c>
    </row>
    <row r="13840" spans="1:2" x14ac:dyDescent="0.35">
      <c r="A13840" s="34">
        <v>51211621</v>
      </c>
      <c r="B13840" s="35" t="s">
        <v>3841</v>
      </c>
    </row>
    <row r="13841" spans="1:2" x14ac:dyDescent="0.35">
      <c r="A13841" s="34">
        <v>51211622</v>
      </c>
      <c r="B13841" s="35" t="s">
        <v>10698</v>
      </c>
    </row>
    <row r="13842" spans="1:2" x14ac:dyDescent="0.35">
      <c r="A13842" s="34">
        <v>51211623</v>
      </c>
      <c r="B13842" s="35" t="s">
        <v>14329</v>
      </c>
    </row>
    <row r="13843" spans="1:2" x14ac:dyDescent="0.35">
      <c r="A13843" s="34">
        <v>51211624</v>
      </c>
      <c r="B13843" s="35" t="s">
        <v>14765</v>
      </c>
    </row>
    <row r="13844" spans="1:2" x14ac:dyDescent="0.35">
      <c r="A13844" s="34">
        <v>51211625</v>
      </c>
      <c r="B13844" s="35" t="s">
        <v>10599</v>
      </c>
    </row>
    <row r="13845" spans="1:2" x14ac:dyDescent="0.35">
      <c r="A13845" s="34">
        <v>51211901</v>
      </c>
      <c r="B13845" s="35" t="s">
        <v>8893</v>
      </c>
    </row>
    <row r="13846" spans="1:2" x14ac:dyDescent="0.35">
      <c r="A13846" s="34">
        <v>51212001</v>
      </c>
      <c r="B13846" s="35" t="s">
        <v>15115</v>
      </c>
    </row>
    <row r="13847" spans="1:2" x14ac:dyDescent="0.35">
      <c r="A13847" s="34">
        <v>51212002</v>
      </c>
      <c r="B13847" s="35" t="s">
        <v>7681</v>
      </c>
    </row>
    <row r="13848" spans="1:2" x14ac:dyDescent="0.35">
      <c r="A13848" s="34">
        <v>51212003</v>
      </c>
      <c r="B13848" s="35" t="s">
        <v>16266</v>
      </c>
    </row>
    <row r="13849" spans="1:2" x14ac:dyDescent="0.35">
      <c r="A13849" s="34">
        <v>51212004</v>
      </c>
      <c r="B13849" s="35" t="s">
        <v>2855</v>
      </c>
    </row>
    <row r="13850" spans="1:2" x14ac:dyDescent="0.35">
      <c r="A13850" s="34">
        <v>51212005</v>
      </c>
      <c r="B13850" s="35" t="s">
        <v>11961</v>
      </c>
    </row>
    <row r="13851" spans="1:2" x14ac:dyDescent="0.35">
      <c r="A13851" s="34">
        <v>51212006</v>
      </c>
      <c r="B13851" s="35" t="s">
        <v>12010</v>
      </c>
    </row>
    <row r="13852" spans="1:2" x14ac:dyDescent="0.35">
      <c r="A13852" s="34">
        <v>51212007</v>
      </c>
      <c r="B13852" s="35" t="s">
        <v>7166</v>
      </c>
    </row>
    <row r="13853" spans="1:2" x14ac:dyDescent="0.35">
      <c r="A13853" s="34">
        <v>51212008</v>
      </c>
      <c r="B13853" s="35" t="s">
        <v>3975</v>
      </c>
    </row>
    <row r="13854" spans="1:2" x14ac:dyDescent="0.35">
      <c r="A13854" s="34">
        <v>51212009</v>
      </c>
      <c r="B13854" s="35" t="s">
        <v>3435</v>
      </c>
    </row>
    <row r="13855" spans="1:2" x14ac:dyDescent="0.35">
      <c r="A13855" s="34">
        <v>51212010</v>
      </c>
      <c r="B13855" s="35" t="s">
        <v>265</v>
      </c>
    </row>
    <row r="13856" spans="1:2" x14ac:dyDescent="0.35">
      <c r="A13856" s="34">
        <v>51212011</v>
      </c>
      <c r="B13856" s="35" t="s">
        <v>11985</v>
      </c>
    </row>
    <row r="13857" spans="1:2" x14ac:dyDescent="0.35">
      <c r="A13857" s="34">
        <v>51212012</v>
      </c>
      <c r="B13857" s="35" t="s">
        <v>8627</v>
      </c>
    </row>
    <row r="13858" spans="1:2" x14ac:dyDescent="0.35">
      <c r="A13858" s="34">
        <v>51212013</v>
      </c>
      <c r="B13858" s="35" t="s">
        <v>3679</v>
      </c>
    </row>
    <row r="13859" spans="1:2" x14ac:dyDescent="0.35">
      <c r="A13859" s="34">
        <v>51212014</v>
      </c>
      <c r="B13859" s="35" t="s">
        <v>13166</v>
      </c>
    </row>
    <row r="13860" spans="1:2" x14ac:dyDescent="0.35">
      <c r="A13860" s="34">
        <v>51212015</v>
      </c>
      <c r="B13860" s="35" t="s">
        <v>14137</v>
      </c>
    </row>
    <row r="13861" spans="1:2" x14ac:dyDescent="0.35">
      <c r="A13861" s="34">
        <v>51212016</v>
      </c>
      <c r="B13861" s="35" t="s">
        <v>5336</v>
      </c>
    </row>
    <row r="13862" spans="1:2" x14ac:dyDescent="0.35">
      <c r="A13862" s="34">
        <v>51212017</v>
      </c>
      <c r="B13862" s="35" t="s">
        <v>19117</v>
      </c>
    </row>
    <row r="13863" spans="1:2" x14ac:dyDescent="0.35">
      <c r="A13863" s="34">
        <v>51212018</v>
      </c>
      <c r="B13863" s="35" t="s">
        <v>2025</v>
      </c>
    </row>
    <row r="13864" spans="1:2" x14ac:dyDescent="0.35">
      <c r="A13864" s="34">
        <v>51212020</v>
      </c>
      <c r="B13864" s="35" t="s">
        <v>17373</v>
      </c>
    </row>
    <row r="13865" spans="1:2" x14ac:dyDescent="0.35">
      <c r="A13865" s="34">
        <v>51212021</v>
      </c>
      <c r="B13865" s="35" t="s">
        <v>19473</v>
      </c>
    </row>
    <row r="13866" spans="1:2" x14ac:dyDescent="0.35">
      <c r="A13866" s="34">
        <v>51212022</v>
      </c>
      <c r="B13866" s="35" t="s">
        <v>12755</v>
      </c>
    </row>
    <row r="13867" spans="1:2" x14ac:dyDescent="0.35">
      <c r="A13867" s="34">
        <v>51212023</v>
      </c>
      <c r="B13867" s="35" t="s">
        <v>5242</v>
      </c>
    </row>
    <row r="13868" spans="1:2" x14ac:dyDescent="0.35">
      <c r="A13868" s="34">
        <v>51212024</v>
      </c>
      <c r="B13868" s="35" t="s">
        <v>16256</v>
      </c>
    </row>
    <row r="13869" spans="1:2" x14ac:dyDescent="0.35">
      <c r="A13869" s="34">
        <v>51212025</v>
      </c>
      <c r="B13869" s="35" t="s">
        <v>17006</v>
      </c>
    </row>
    <row r="13870" spans="1:2" x14ac:dyDescent="0.35">
      <c r="A13870" s="34">
        <v>51212026</v>
      </c>
      <c r="B13870" s="35" t="s">
        <v>15937</v>
      </c>
    </row>
    <row r="13871" spans="1:2" x14ac:dyDescent="0.35">
      <c r="A13871" s="34">
        <v>51212027</v>
      </c>
      <c r="B13871" s="35" t="s">
        <v>1759</v>
      </c>
    </row>
    <row r="13872" spans="1:2" x14ac:dyDescent="0.35">
      <c r="A13872" s="34">
        <v>51212028</v>
      </c>
      <c r="B13872" s="35" t="s">
        <v>18715</v>
      </c>
    </row>
    <row r="13873" spans="1:2" x14ac:dyDescent="0.35">
      <c r="A13873" s="34">
        <v>51212029</v>
      </c>
      <c r="B13873" s="35" t="s">
        <v>9297</v>
      </c>
    </row>
    <row r="13874" spans="1:2" x14ac:dyDescent="0.35">
      <c r="A13874" s="34">
        <v>51212030</v>
      </c>
      <c r="B13874" s="35" t="s">
        <v>7798</v>
      </c>
    </row>
    <row r="13875" spans="1:2" x14ac:dyDescent="0.35">
      <c r="A13875" s="34">
        <v>51212031</v>
      </c>
      <c r="B13875" s="35" t="s">
        <v>535</v>
      </c>
    </row>
    <row r="13876" spans="1:2" x14ac:dyDescent="0.35">
      <c r="A13876" s="34">
        <v>51212032</v>
      </c>
      <c r="B13876" s="35" t="s">
        <v>2032</v>
      </c>
    </row>
    <row r="13877" spans="1:2" x14ac:dyDescent="0.35">
      <c r="A13877" s="34">
        <v>51212033</v>
      </c>
      <c r="B13877" s="35" t="s">
        <v>17257</v>
      </c>
    </row>
    <row r="13878" spans="1:2" x14ac:dyDescent="0.35">
      <c r="A13878" s="34">
        <v>51212034</v>
      </c>
      <c r="B13878" s="35" t="s">
        <v>6738</v>
      </c>
    </row>
    <row r="13879" spans="1:2" x14ac:dyDescent="0.35">
      <c r="A13879" s="34">
        <v>51212035</v>
      </c>
      <c r="B13879" s="35" t="s">
        <v>2000</v>
      </c>
    </row>
    <row r="13880" spans="1:2" x14ac:dyDescent="0.35">
      <c r="A13880" s="34">
        <v>51212036</v>
      </c>
      <c r="B13880" s="35" t="s">
        <v>6177</v>
      </c>
    </row>
    <row r="13881" spans="1:2" x14ac:dyDescent="0.35">
      <c r="A13881" s="34">
        <v>51212101</v>
      </c>
      <c r="B13881" s="35" t="s">
        <v>18302</v>
      </c>
    </row>
    <row r="13882" spans="1:2" x14ac:dyDescent="0.35">
      <c r="A13882" s="34">
        <v>51212201</v>
      </c>
      <c r="B13882" s="35" t="s">
        <v>17495</v>
      </c>
    </row>
    <row r="13883" spans="1:2" x14ac:dyDescent="0.35">
      <c r="A13883" s="34">
        <v>51212202</v>
      </c>
      <c r="B13883" s="35" t="s">
        <v>14266</v>
      </c>
    </row>
    <row r="13884" spans="1:2" x14ac:dyDescent="0.35">
      <c r="A13884" s="34">
        <v>51212203</v>
      </c>
      <c r="B13884" s="35" t="s">
        <v>1460</v>
      </c>
    </row>
    <row r="13885" spans="1:2" x14ac:dyDescent="0.35">
      <c r="A13885" s="34">
        <v>51212301</v>
      </c>
      <c r="B13885" s="35" t="s">
        <v>5172</v>
      </c>
    </row>
    <row r="13886" spans="1:2" x14ac:dyDescent="0.35">
      <c r="A13886" s="34">
        <v>51212302</v>
      </c>
      <c r="B13886" s="35" t="s">
        <v>10427</v>
      </c>
    </row>
    <row r="13887" spans="1:2" x14ac:dyDescent="0.35">
      <c r="A13887" s="34">
        <v>51212303</v>
      </c>
      <c r="B13887" s="35" t="s">
        <v>5144</v>
      </c>
    </row>
    <row r="13888" spans="1:2" x14ac:dyDescent="0.35">
      <c r="A13888" s="34">
        <v>51212304</v>
      </c>
      <c r="B13888" s="35" t="s">
        <v>10650</v>
      </c>
    </row>
    <row r="13889" spans="1:2" x14ac:dyDescent="0.35">
      <c r="A13889" s="34">
        <v>51212305</v>
      </c>
      <c r="B13889" s="35" t="s">
        <v>3255</v>
      </c>
    </row>
    <row r="13890" spans="1:2" x14ac:dyDescent="0.35">
      <c r="A13890" s="34">
        <v>51212306</v>
      </c>
      <c r="B13890" s="35" t="s">
        <v>6588</v>
      </c>
    </row>
    <row r="13891" spans="1:2" x14ac:dyDescent="0.35">
      <c r="A13891" s="34">
        <v>51212307</v>
      </c>
      <c r="B13891" s="35" t="s">
        <v>6377</v>
      </c>
    </row>
    <row r="13892" spans="1:2" x14ac:dyDescent="0.35">
      <c r="A13892" s="34">
        <v>51212308</v>
      </c>
      <c r="B13892" s="35" t="s">
        <v>16612</v>
      </c>
    </row>
    <row r="13893" spans="1:2" x14ac:dyDescent="0.35">
      <c r="A13893" s="34">
        <v>51212309</v>
      </c>
      <c r="B13893" s="35" t="s">
        <v>8378</v>
      </c>
    </row>
    <row r="13894" spans="1:2" x14ac:dyDescent="0.35">
      <c r="A13894" s="34">
        <v>51212401</v>
      </c>
      <c r="B13894" s="35" t="s">
        <v>6121</v>
      </c>
    </row>
    <row r="13895" spans="1:2" x14ac:dyDescent="0.35">
      <c r="A13895" s="34">
        <v>51212402</v>
      </c>
      <c r="B13895" s="35" t="s">
        <v>1932</v>
      </c>
    </row>
    <row r="13896" spans="1:2" x14ac:dyDescent="0.35">
      <c r="A13896" s="34">
        <v>51241001</v>
      </c>
      <c r="B13896" s="35" t="s">
        <v>2149</v>
      </c>
    </row>
    <row r="13897" spans="1:2" x14ac:dyDescent="0.35">
      <c r="A13897" s="34">
        <v>51241002</v>
      </c>
      <c r="B13897" s="35" t="s">
        <v>9601</v>
      </c>
    </row>
    <row r="13898" spans="1:2" x14ac:dyDescent="0.35">
      <c r="A13898" s="34">
        <v>51241101</v>
      </c>
      <c r="B13898" s="35" t="s">
        <v>4578</v>
      </c>
    </row>
    <row r="13899" spans="1:2" x14ac:dyDescent="0.35">
      <c r="A13899" s="34">
        <v>51241102</v>
      </c>
      <c r="B13899" s="35" t="s">
        <v>16958</v>
      </c>
    </row>
    <row r="13900" spans="1:2" x14ac:dyDescent="0.35">
      <c r="A13900" s="34">
        <v>51241103</v>
      </c>
      <c r="B13900" s="35" t="s">
        <v>19346</v>
      </c>
    </row>
    <row r="13901" spans="1:2" x14ac:dyDescent="0.35">
      <c r="A13901" s="34">
        <v>51241104</v>
      </c>
      <c r="B13901" s="35" t="s">
        <v>9248</v>
      </c>
    </row>
    <row r="13902" spans="1:2" x14ac:dyDescent="0.35">
      <c r="A13902" s="34">
        <v>51241105</v>
      </c>
      <c r="B13902" s="35" t="s">
        <v>11957</v>
      </c>
    </row>
    <row r="13903" spans="1:2" x14ac:dyDescent="0.35">
      <c r="A13903" s="34">
        <v>51241106</v>
      </c>
      <c r="B13903" s="35" t="s">
        <v>2376</v>
      </c>
    </row>
    <row r="13904" spans="1:2" x14ac:dyDescent="0.35">
      <c r="A13904" s="34">
        <v>51241107</v>
      </c>
      <c r="B13904" s="35" t="s">
        <v>13137</v>
      </c>
    </row>
    <row r="13905" spans="1:2" x14ac:dyDescent="0.35">
      <c r="A13905" s="34">
        <v>51241108</v>
      </c>
      <c r="B13905" s="35" t="s">
        <v>15285</v>
      </c>
    </row>
    <row r="13906" spans="1:2" x14ac:dyDescent="0.35">
      <c r="A13906" s="34">
        <v>51241109</v>
      </c>
      <c r="B13906" s="35" t="s">
        <v>187</v>
      </c>
    </row>
    <row r="13907" spans="1:2" x14ac:dyDescent="0.35">
      <c r="A13907" s="34">
        <v>51241110</v>
      </c>
      <c r="B13907" s="35" t="s">
        <v>12193</v>
      </c>
    </row>
    <row r="13908" spans="1:2" x14ac:dyDescent="0.35">
      <c r="A13908" s="34">
        <v>51241111</v>
      </c>
      <c r="B13908" s="35" t="s">
        <v>4925</v>
      </c>
    </row>
    <row r="13909" spans="1:2" x14ac:dyDescent="0.35">
      <c r="A13909" s="34">
        <v>51241112</v>
      </c>
      <c r="B13909" s="35" t="s">
        <v>2943</v>
      </c>
    </row>
    <row r="13910" spans="1:2" x14ac:dyDescent="0.35">
      <c r="A13910" s="34">
        <v>51241113</v>
      </c>
      <c r="B13910" s="35" t="s">
        <v>15694</v>
      </c>
    </row>
    <row r="13911" spans="1:2" x14ac:dyDescent="0.35">
      <c r="A13911" s="34">
        <v>51241114</v>
      </c>
      <c r="B13911" s="35" t="s">
        <v>5533</v>
      </c>
    </row>
    <row r="13912" spans="1:2" x14ac:dyDescent="0.35">
      <c r="A13912" s="34">
        <v>51241115</v>
      </c>
      <c r="B13912" s="35" t="s">
        <v>3226</v>
      </c>
    </row>
    <row r="13913" spans="1:2" x14ac:dyDescent="0.35">
      <c r="A13913" s="34">
        <v>51241116</v>
      </c>
      <c r="B13913" s="35" t="s">
        <v>5084</v>
      </c>
    </row>
    <row r="13914" spans="1:2" x14ac:dyDescent="0.35">
      <c r="A13914" s="34">
        <v>51241117</v>
      </c>
      <c r="B13914" s="35" t="s">
        <v>12649</v>
      </c>
    </row>
    <row r="13915" spans="1:2" x14ac:dyDescent="0.35">
      <c r="A13915" s="34">
        <v>51241118</v>
      </c>
      <c r="B13915" s="35" t="s">
        <v>11573</v>
      </c>
    </row>
    <row r="13916" spans="1:2" x14ac:dyDescent="0.35">
      <c r="A13916" s="34">
        <v>51241119</v>
      </c>
      <c r="B13916" s="35" t="s">
        <v>18117</v>
      </c>
    </row>
    <row r="13917" spans="1:2" x14ac:dyDescent="0.35">
      <c r="A13917" s="34">
        <v>51241120</v>
      </c>
      <c r="B13917" s="35" t="s">
        <v>9353</v>
      </c>
    </row>
    <row r="13918" spans="1:2" x14ac:dyDescent="0.35">
      <c r="A13918" s="34">
        <v>51241201</v>
      </c>
      <c r="B13918" s="35" t="s">
        <v>10669</v>
      </c>
    </row>
    <row r="13919" spans="1:2" x14ac:dyDescent="0.35">
      <c r="A13919" s="34">
        <v>51241202</v>
      </c>
      <c r="B13919" s="35" t="s">
        <v>13923</v>
      </c>
    </row>
    <row r="13920" spans="1:2" x14ac:dyDescent="0.35">
      <c r="A13920" s="34">
        <v>51241203</v>
      </c>
      <c r="B13920" s="35" t="s">
        <v>7665</v>
      </c>
    </row>
    <row r="13921" spans="1:2" x14ac:dyDescent="0.35">
      <c r="A13921" s="34">
        <v>51241204</v>
      </c>
      <c r="B13921" s="35" t="s">
        <v>14626</v>
      </c>
    </row>
    <row r="13922" spans="1:2" x14ac:dyDescent="0.35">
      <c r="A13922" s="34">
        <v>51241205</v>
      </c>
      <c r="B13922" s="35" t="s">
        <v>1978</v>
      </c>
    </row>
    <row r="13923" spans="1:2" x14ac:dyDescent="0.35">
      <c r="A13923" s="34">
        <v>51241206</v>
      </c>
      <c r="B13923" s="35" t="s">
        <v>118</v>
      </c>
    </row>
    <row r="13924" spans="1:2" x14ac:dyDescent="0.35">
      <c r="A13924" s="34">
        <v>51241207</v>
      </c>
      <c r="B13924" s="35" t="s">
        <v>10178</v>
      </c>
    </row>
    <row r="13925" spans="1:2" x14ac:dyDescent="0.35">
      <c r="A13925" s="34">
        <v>51241208</v>
      </c>
      <c r="B13925" s="35" t="s">
        <v>42</v>
      </c>
    </row>
    <row r="13926" spans="1:2" x14ac:dyDescent="0.35">
      <c r="A13926" s="34">
        <v>51241209</v>
      </c>
      <c r="B13926" s="35" t="s">
        <v>6052</v>
      </c>
    </row>
    <row r="13927" spans="1:2" x14ac:dyDescent="0.35">
      <c r="A13927" s="34">
        <v>51241210</v>
      </c>
      <c r="B13927" s="35" t="s">
        <v>9244</v>
      </c>
    </row>
    <row r="13928" spans="1:2" x14ac:dyDescent="0.35">
      <c r="A13928" s="34">
        <v>51241211</v>
      </c>
      <c r="B13928" s="35" t="s">
        <v>7991</v>
      </c>
    </row>
    <row r="13929" spans="1:2" x14ac:dyDescent="0.35">
      <c r="A13929" s="34">
        <v>51241212</v>
      </c>
      <c r="B13929" s="35" t="s">
        <v>17264</v>
      </c>
    </row>
    <row r="13930" spans="1:2" x14ac:dyDescent="0.35">
      <c r="A13930" s="34">
        <v>51241213</v>
      </c>
      <c r="B13930" s="35" t="s">
        <v>14840</v>
      </c>
    </row>
    <row r="13931" spans="1:2" x14ac:dyDescent="0.35">
      <c r="A13931" s="34">
        <v>51241214</v>
      </c>
      <c r="B13931" s="35" t="s">
        <v>6538</v>
      </c>
    </row>
    <row r="13932" spans="1:2" x14ac:dyDescent="0.35">
      <c r="A13932" s="34">
        <v>51241215</v>
      </c>
      <c r="B13932" s="35" t="s">
        <v>19640</v>
      </c>
    </row>
    <row r="13933" spans="1:2" x14ac:dyDescent="0.35">
      <c r="A13933" s="34">
        <v>51241216</v>
      </c>
      <c r="B13933" s="35" t="s">
        <v>5251</v>
      </c>
    </row>
    <row r="13934" spans="1:2" x14ac:dyDescent="0.35">
      <c r="A13934" s="34">
        <v>51241217</v>
      </c>
      <c r="B13934" s="35" t="s">
        <v>11720</v>
      </c>
    </row>
    <row r="13935" spans="1:2" x14ac:dyDescent="0.35">
      <c r="A13935" s="34">
        <v>51241218</v>
      </c>
      <c r="B13935" s="35" t="s">
        <v>743</v>
      </c>
    </row>
    <row r="13936" spans="1:2" x14ac:dyDescent="0.35">
      <c r="A13936" s="34">
        <v>51241219</v>
      </c>
      <c r="B13936" s="35" t="s">
        <v>4543</v>
      </c>
    </row>
    <row r="13937" spans="1:2" x14ac:dyDescent="0.35">
      <c r="A13937" s="34">
        <v>51241220</v>
      </c>
      <c r="B13937" s="35" t="s">
        <v>17464</v>
      </c>
    </row>
    <row r="13938" spans="1:2" x14ac:dyDescent="0.35">
      <c r="A13938" s="34">
        <v>51241221</v>
      </c>
      <c r="B13938" s="35" t="s">
        <v>13355</v>
      </c>
    </row>
    <row r="13939" spans="1:2" x14ac:dyDescent="0.35">
      <c r="A13939" s="34">
        <v>51241222</v>
      </c>
      <c r="B13939" s="35" t="s">
        <v>2364</v>
      </c>
    </row>
    <row r="13940" spans="1:2" x14ac:dyDescent="0.35">
      <c r="A13940" s="34">
        <v>51241223</v>
      </c>
      <c r="B13940" s="35" t="s">
        <v>2333</v>
      </c>
    </row>
    <row r="13941" spans="1:2" x14ac:dyDescent="0.35">
      <c r="A13941" s="34">
        <v>51241224</v>
      </c>
      <c r="B13941" s="35" t="s">
        <v>12234</v>
      </c>
    </row>
    <row r="13942" spans="1:2" x14ac:dyDescent="0.35">
      <c r="A13942" s="34">
        <v>51241225</v>
      </c>
      <c r="B13942" s="35" t="s">
        <v>422</v>
      </c>
    </row>
    <row r="13943" spans="1:2" x14ac:dyDescent="0.35">
      <c r="A13943" s="34">
        <v>51241226</v>
      </c>
      <c r="B13943" s="35" t="s">
        <v>4876</v>
      </c>
    </row>
    <row r="13944" spans="1:2" x14ac:dyDescent="0.35">
      <c r="A13944" s="34">
        <v>51241227</v>
      </c>
      <c r="B13944" s="35" t="s">
        <v>9121</v>
      </c>
    </row>
    <row r="13945" spans="1:2" x14ac:dyDescent="0.35">
      <c r="A13945" s="34">
        <v>51241228</v>
      </c>
      <c r="B13945" s="35" t="s">
        <v>17973</v>
      </c>
    </row>
    <row r="13946" spans="1:2" x14ac:dyDescent="0.35">
      <c r="A13946" s="34">
        <v>51241229</v>
      </c>
      <c r="B13946" s="35" t="s">
        <v>14719</v>
      </c>
    </row>
    <row r="13947" spans="1:2" x14ac:dyDescent="0.35">
      <c r="A13947" s="34">
        <v>51241301</v>
      </c>
      <c r="B13947" s="35" t="s">
        <v>18402</v>
      </c>
    </row>
    <row r="13948" spans="1:2" x14ac:dyDescent="0.35">
      <c r="A13948" s="34">
        <v>51241302</v>
      </c>
      <c r="B13948" s="35" t="s">
        <v>9707</v>
      </c>
    </row>
    <row r="13949" spans="1:2" x14ac:dyDescent="0.35">
      <c r="A13949" s="34">
        <v>51241303</v>
      </c>
      <c r="B13949" s="35" t="s">
        <v>15875</v>
      </c>
    </row>
    <row r="13950" spans="1:2" x14ac:dyDescent="0.35">
      <c r="A13950" s="34">
        <v>51241304</v>
      </c>
      <c r="B13950" s="35" t="s">
        <v>16257</v>
      </c>
    </row>
    <row r="13951" spans="1:2" x14ac:dyDescent="0.35">
      <c r="A13951" s="34">
        <v>51241305</v>
      </c>
      <c r="B13951" s="35" t="s">
        <v>12800</v>
      </c>
    </row>
    <row r="13952" spans="1:2" x14ac:dyDescent="0.35">
      <c r="A13952" s="34">
        <v>51251001</v>
      </c>
      <c r="B13952" s="35" t="s">
        <v>18528</v>
      </c>
    </row>
    <row r="13953" spans="1:2" x14ac:dyDescent="0.35">
      <c r="A13953" s="34">
        <v>52101501</v>
      </c>
      <c r="B13953" s="35" t="s">
        <v>2231</v>
      </c>
    </row>
    <row r="13954" spans="1:2" x14ac:dyDescent="0.35">
      <c r="A13954" s="34">
        <v>52101502</v>
      </c>
      <c r="B13954" s="35" t="s">
        <v>19483</v>
      </c>
    </row>
    <row r="13955" spans="1:2" x14ac:dyDescent="0.35">
      <c r="A13955" s="34">
        <v>52101503</v>
      </c>
      <c r="B13955" s="35" t="s">
        <v>6279</v>
      </c>
    </row>
    <row r="13956" spans="1:2" x14ac:dyDescent="0.35">
      <c r="A13956" s="34">
        <v>52101504</v>
      </c>
      <c r="B13956" s="35" t="s">
        <v>11632</v>
      </c>
    </row>
    <row r="13957" spans="1:2" x14ac:dyDescent="0.35">
      <c r="A13957" s="34">
        <v>52101505</v>
      </c>
      <c r="B13957" s="35" t="s">
        <v>2992</v>
      </c>
    </row>
    <row r="13958" spans="1:2" x14ac:dyDescent="0.35">
      <c r="A13958" s="34">
        <v>52101506</v>
      </c>
      <c r="B13958" s="35" t="s">
        <v>11019</v>
      </c>
    </row>
    <row r="13959" spans="1:2" x14ac:dyDescent="0.35">
      <c r="A13959" s="34">
        <v>52101507</v>
      </c>
      <c r="B13959" s="35" t="s">
        <v>5626</v>
      </c>
    </row>
    <row r="13960" spans="1:2" x14ac:dyDescent="0.35">
      <c r="A13960" s="34">
        <v>52101508</v>
      </c>
      <c r="B13960" s="35" t="s">
        <v>14247</v>
      </c>
    </row>
    <row r="13961" spans="1:2" x14ac:dyDescent="0.35">
      <c r="A13961" s="34">
        <v>52101509</v>
      </c>
      <c r="B13961" s="35" t="s">
        <v>3334</v>
      </c>
    </row>
    <row r="13962" spans="1:2" x14ac:dyDescent="0.35">
      <c r="A13962" s="34">
        <v>52101510</v>
      </c>
      <c r="B13962" s="35" t="s">
        <v>12194</v>
      </c>
    </row>
    <row r="13963" spans="1:2" x14ac:dyDescent="0.35">
      <c r="A13963" s="34">
        <v>52101511</v>
      </c>
      <c r="B13963" s="35" t="s">
        <v>5590</v>
      </c>
    </row>
    <row r="13964" spans="1:2" x14ac:dyDescent="0.35">
      <c r="A13964" s="34">
        <v>52101512</v>
      </c>
      <c r="B13964" s="35" t="s">
        <v>6994</v>
      </c>
    </row>
    <row r="13965" spans="1:2" x14ac:dyDescent="0.35">
      <c r="A13965" s="34">
        <v>52101513</v>
      </c>
      <c r="B13965" s="35" t="s">
        <v>12699</v>
      </c>
    </row>
    <row r="13966" spans="1:2" x14ac:dyDescent="0.35">
      <c r="A13966" s="34">
        <v>52121501</v>
      </c>
      <c r="B13966" s="35" t="s">
        <v>16523</v>
      </c>
    </row>
    <row r="13967" spans="1:2" x14ac:dyDescent="0.35">
      <c r="A13967" s="34">
        <v>52121502</v>
      </c>
      <c r="B13967" s="35" t="s">
        <v>8896</v>
      </c>
    </row>
    <row r="13968" spans="1:2" x14ac:dyDescent="0.35">
      <c r="A13968" s="34">
        <v>52121503</v>
      </c>
      <c r="B13968" s="35" t="s">
        <v>16609</v>
      </c>
    </row>
    <row r="13969" spans="1:2" x14ac:dyDescent="0.35">
      <c r="A13969" s="34">
        <v>52121504</v>
      </c>
      <c r="B13969" s="35" t="s">
        <v>16984</v>
      </c>
    </row>
    <row r="13970" spans="1:2" x14ac:dyDescent="0.35">
      <c r="A13970" s="34">
        <v>52121505</v>
      </c>
      <c r="B13970" s="35" t="s">
        <v>6049</v>
      </c>
    </row>
    <row r="13971" spans="1:2" x14ac:dyDescent="0.35">
      <c r="A13971" s="34">
        <v>52121506</v>
      </c>
      <c r="B13971" s="35" t="s">
        <v>18519</v>
      </c>
    </row>
    <row r="13972" spans="1:2" x14ac:dyDescent="0.35">
      <c r="A13972" s="34">
        <v>52121507</v>
      </c>
      <c r="B13972" s="35" t="s">
        <v>56</v>
      </c>
    </row>
    <row r="13973" spans="1:2" x14ac:dyDescent="0.35">
      <c r="A13973" s="34">
        <v>52121508</v>
      </c>
      <c r="B13973" s="35" t="s">
        <v>1356</v>
      </c>
    </row>
    <row r="13974" spans="1:2" x14ac:dyDescent="0.35">
      <c r="A13974" s="34">
        <v>52121509</v>
      </c>
      <c r="B13974" s="35" t="s">
        <v>6070</v>
      </c>
    </row>
    <row r="13975" spans="1:2" x14ac:dyDescent="0.35">
      <c r="A13975" s="34">
        <v>52121510</v>
      </c>
      <c r="B13975" s="35" t="s">
        <v>7371</v>
      </c>
    </row>
    <row r="13976" spans="1:2" x14ac:dyDescent="0.35">
      <c r="A13976" s="34">
        <v>52121511</v>
      </c>
      <c r="B13976" s="35" t="s">
        <v>8610</v>
      </c>
    </row>
    <row r="13977" spans="1:2" x14ac:dyDescent="0.35">
      <c r="A13977" s="34">
        <v>52121512</v>
      </c>
      <c r="B13977" s="35" t="s">
        <v>2454</v>
      </c>
    </row>
    <row r="13978" spans="1:2" x14ac:dyDescent="0.35">
      <c r="A13978" s="34">
        <v>52121513</v>
      </c>
      <c r="B13978" s="35" t="s">
        <v>13503</v>
      </c>
    </row>
    <row r="13979" spans="1:2" x14ac:dyDescent="0.35">
      <c r="A13979" s="34">
        <v>52121601</v>
      </c>
      <c r="B13979" s="35" t="s">
        <v>18478</v>
      </c>
    </row>
    <row r="13980" spans="1:2" x14ac:dyDescent="0.35">
      <c r="A13980" s="34">
        <v>52121602</v>
      </c>
      <c r="B13980" s="35" t="s">
        <v>15188</v>
      </c>
    </row>
    <row r="13981" spans="1:2" x14ac:dyDescent="0.35">
      <c r="A13981" s="34">
        <v>52121603</v>
      </c>
      <c r="B13981" s="35" t="s">
        <v>11033</v>
      </c>
    </row>
    <row r="13982" spans="1:2" x14ac:dyDescent="0.35">
      <c r="A13982" s="34">
        <v>52121604</v>
      </c>
      <c r="B13982" s="35" t="s">
        <v>3305</v>
      </c>
    </row>
    <row r="13983" spans="1:2" x14ac:dyDescent="0.35">
      <c r="A13983" s="34">
        <v>52121605</v>
      </c>
      <c r="B13983" s="35" t="s">
        <v>7891</v>
      </c>
    </row>
    <row r="13984" spans="1:2" x14ac:dyDescent="0.35">
      <c r="A13984" s="34">
        <v>52121606</v>
      </c>
      <c r="B13984" s="35" t="s">
        <v>5912</v>
      </c>
    </row>
    <row r="13985" spans="1:2" x14ac:dyDescent="0.35">
      <c r="A13985" s="34">
        <v>52121607</v>
      </c>
      <c r="B13985" s="35" t="s">
        <v>402</v>
      </c>
    </row>
    <row r="13986" spans="1:2" x14ac:dyDescent="0.35">
      <c r="A13986" s="34">
        <v>52121608</v>
      </c>
      <c r="B13986" s="35" t="s">
        <v>5701</v>
      </c>
    </row>
    <row r="13987" spans="1:2" x14ac:dyDescent="0.35">
      <c r="A13987" s="34">
        <v>52121701</v>
      </c>
      <c r="B13987" s="35" t="s">
        <v>4831</v>
      </c>
    </row>
    <row r="13988" spans="1:2" x14ac:dyDescent="0.35">
      <c r="A13988" s="34">
        <v>52121702</v>
      </c>
      <c r="B13988" s="35" t="s">
        <v>4063</v>
      </c>
    </row>
    <row r="13989" spans="1:2" x14ac:dyDescent="0.35">
      <c r="A13989" s="34">
        <v>52121703</v>
      </c>
      <c r="B13989" s="35" t="s">
        <v>13664</v>
      </c>
    </row>
    <row r="13990" spans="1:2" x14ac:dyDescent="0.35">
      <c r="A13990" s="34">
        <v>52121704</v>
      </c>
      <c r="B13990" s="35" t="s">
        <v>7620</v>
      </c>
    </row>
    <row r="13991" spans="1:2" x14ac:dyDescent="0.35">
      <c r="A13991" s="34">
        <v>52131501</v>
      </c>
      <c r="B13991" s="35" t="s">
        <v>14583</v>
      </c>
    </row>
    <row r="13992" spans="1:2" x14ac:dyDescent="0.35">
      <c r="A13992" s="34">
        <v>52131503</v>
      </c>
      <c r="B13992" s="35" t="s">
        <v>3209</v>
      </c>
    </row>
    <row r="13993" spans="1:2" x14ac:dyDescent="0.35">
      <c r="A13993" s="34">
        <v>52131601</v>
      </c>
      <c r="B13993" s="35" t="s">
        <v>14768</v>
      </c>
    </row>
    <row r="13994" spans="1:2" x14ac:dyDescent="0.35">
      <c r="A13994" s="34">
        <v>52131602</v>
      </c>
      <c r="B13994" s="35" t="s">
        <v>7263</v>
      </c>
    </row>
    <row r="13995" spans="1:2" x14ac:dyDescent="0.35">
      <c r="A13995" s="34">
        <v>52131603</v>
      </c>
      <c r="B13995" s="35" t="s">
        <v>6331</v>
      </c>
    </row>
    <row r="13996" spans="1:2" x14ac:dyDescent="0.35">
      <c r="A13996" s="34">
        <v>52131604</v>
      </c>
      <c r="B13996" s="35" t="s">
        <v>1078</v>
      </c>
    </row>
    <row r="13997" spans="1:2" x14ac:dyDescent="0.35">
      <c r="A13997" s="34">
        <v>52131701</v>
      </c>
      <c r="B13997" s="35" t="s">
        <v>18151</v>
      </c>
    </row>
    <row r="13998" spans="1:2" x14ac:dyDescent="0.35">
      <c r="A13998" s="34">
        <v>52131702</v>
      </c>
      <c r="B13998" s="35" t="s">
        <v>15857</v>
      </c>
    </row>
    <row r="13999" spans="1:2" x14ac:dyDescent="0.35">
      <c r="A13999" s="34">
        <v>52131703</v>
      </c>
      <c r="B13999" s="35" t="s">
        <v>9540</v>
      </c>
    </row>
    <row r="14000" spans="1:2" x14ac:dyDescent="0.35">
      <c r="A14000" s="34">
        <v>52131704</v>
      </c>
      <c r="B14000" s="35" t="s">
        <v>10869</v>
      </c>
    </row>
    <row r="14001" spans="1:2" x14ac:dyDescent="0.35">
      <c r="A14001" s="34">
        <v>52141501</v>
      </c>
      <c r="B14001" s="35" t="s">
        <v>8187</v>
      </c>
    </row>
    <row r="14002" spans="1:2" x14ac:dyDescent="0.35">
      <c r="A14002" s="34">
        <v>52141502</v>
      </c>
      <c r="B14002" s="35" t="s">
        <v>3884</v>
      </c>
    </row>
    <row r="14003" spans="1:2" x14ac:dyDescent="0.35">
      <c r="A14003" s="34">
        <v>52141503</v>
      </c>
      <c r="B14003" s="35" t="s">
        <v>7539</v>
      </c>
    </row>
    <row r="14004" spans="1:2" x14ac:dyDescent="0.35">
      <c r="A14004" s="34">
        <v>52141504</v>
      </c>
      <c r="B14004" s="35" t="s">
        <v>14713</v>
      </c>
    </row>
    <row r="14005" spans="1:2" x14ac:dyDescent="0.35">
      <c r="A14005" s="34">
        <v>52141505</v>
      </c>
      <c r="B14005" s="35" t="s">
        <v>6185</v>
      </c>
    </row>
    <row r="14006" spans="1:2" x14ac:dyDescent="0.35">
      <c r="A14006" s="34">
        <v>52141506</v>
      </c>
      <c r="B14006" s="35" t="s">
        <v>5777</v>
      </c>
    </row>
    <row r="14007" spans="1:2" x14ac:dyDescent="0.35">
      <c r="A14007" s="34">
        <v>52141507</v>
      </c>
      <c r="B14007" s="35" t="s">
        <v>7887</v>
      </c>
    </row>
    <row r="14008" spans="1:2" x14ac:dyDescent="0.35">
      <c r="A14008" s="34">
        <v>52141508</v>
      </c>
      <c r="B14008" s="35" t="s">
        <v>720</v>
      </c>
    </row>
    <row r="14009" spans="1:2" x14ac:dyDescent="0.35">
      <c r="A14009" s="34">
        <v>52141509</v>
      </c>
      <c r="B14009" s="35" t="s">
        <v>2003</v>
      </c>
    </row>
    <row r="14010" spans="1:2" x14ac:dyDescent="0.35">
      <c r="A14010" s="34">
        <v>52141510</v>
      </c>
      <c r="B14010" s="35" t="s">
        <v>12282</v>
      </c>
    </row>
    <row r="14011" spans="1:2" x14ac:dyDescent="0.35">
      <c r="A14011" s="34">
        <v>52141511</v>
      </c>
      <c r="B14011" s="35" t="s">
        <v>3535</v>
      </c>
    </row>
    <row r="14012" spans="1:2" x14ac:dyDescent="0.35">
      <c r="A14012" s="34">
        <v>52141512</v>
      </c>
      <c r="B14012" s="35" t="s">
        <v>8409</v>
      </c>
    </row>
    <row r="14013" spans="1:2" x14ac:dyDescent="0.35">
      <c r="A14013" s="34">
        <v>52141513</v>
      </c>
      <c r="B14013" s="35" t="s">
        <v>2937</v>
      </c>
    </row>
    <row r="14014" spans="1:2" x14ac:dyDescent="0.35">
      <c r="A14014" s="34">
        <v>52141514</v>
      </c>
      <c r="B14014" s="35" t="s">
        <v>2577</v>
      </c>
    </row>
    <row r="14015" spans="1:2" x14ac:dyDescent="0.35">
      <c r="A14015" s="34">
        <v>52141515</v>
      </c>
      <c r="B14015" s="35" t="s">
        <v>14955</v>
      </c>
    </row>
    <row r="14016" spans="1:2" x14ac:dyDescent="0.35">
      <c r="A14016" s="34">
        <v>52141516</v>
      </c>
      <c r="B14016" s="35" t="s">
        <v>6260</v>
      </c>
    </row>
    <row r="14017" spans="1:2" x14ac:dyDescent="0.35">
      <c r="A14017" s="34">
        <v>52141517</v>
      </c>
      <c r="B14017" s="35" t="s">
        <v>18607</v>
      </c>
    </row>
    <row r="14018" spans="1:2" x14ac:dyDescent="0.35">
      <c r="A14018" s="34">
        <v>52141518</v>
      </c>
      <c r="B14018" s="35" t="s">
        <v>15508</v>
      </c>
    </row>
    <row r="14019" spans="1:2" x14ac:dyDescent="0.35">
      <c r="A14019" s="34">
        <v>52141519</v>
      </c>
      <c r="B14019" s="35" t="s">
        <v>7950</v>
      </c>
    </row>
    <row r="14020" spans="1:2" x14ac:dyDescent="0.35">
      <c r="A14020" s="34">
        <v>52141520</v>
      </c>
      <c r="B14020" s="35" t="s">
        <v>2110</v>
      </c>
    </row>
    <row r="14021" spans="1:2" x14ac:dyDescent="0.35">
      <c r="A14021" s="34">
        <v>52141521</v>
      </c>
      <c r="B14021" s="35" t="s">
        <v>9299</v>
      </c>
    </row>
    <row r="14022" spans="1:2" x14ac:dyDescent="0.35">
      <c r="A14022" s="34">
        <v>52141522</v>
      </c>
      <c r="B14022" s="35" t="s">
        <v>12070</v>
      </c>
    </row>
    <row r="14023" spans="1:2" x14ac:dyDescent="0.35">
      <c r="A14023" s="34">
        <v>52141523</v>
      </c>
      <c r="B14023" s="35" t="s">
        <v>15384</v>
      </c>
    </row>
    <row r="14024" spans="1:2" x14ac:dyDescent="0.35">
      <c r="A14024" s="34">
        <v>52141524</v>
      </c>
      <c r="B14024" s="35" t="s">
        <v>17408</v>
      </c>
    </row>
    <row r="14025" spans="1:2" x14ac:dyDescent="0.35">
      <c r="A14025" s="34">
        <v>52141525</v>
      </c>
      <c r="B14025" s="35" t="s">
        <v>1900</v>
      </c>
    </row>
    <row r="14026" spans="1:2" x14ac:dyDescent="0.35">
      <c r="A14026" s="34">
        <v>52141526</v>
      </c>
      <c r="B14026" s="35" t="s">
        <v>212</v>
      </c>
    </row>
    <row r="14027" spans="1:2" x14ac:dyDescent="0.35">
      <c r="A14027" s="34">
        <v>52141527</v>
      </c>
      <c r="B14027" s="35" t="s">
        <v>2083</v>
      </c>
    </row>
    <row r="14028" spans="1:2" x14ac:dyDescent="0.35">
      <c r="A14028" s="34">
        <v>52141528</v>
      </c>
      <c r="B14028" s="35" t="s">
        <v>16402</v>
      </c>
    </row>
    <row r="14029" spans="1:2" x14ac:dyDescent="0.35">
      <c r="A14029" s="34">
        <v>52141529</v>
      </c>
      <c r="B14029" s="35" t="s">
        <v>5802</v>
      </c>
    </row>
    <row r="14030" spans="1:2" x14ac:dyDescent="0.35">
      <c r="A14030" s="34">
        <v>52141530</v>
      </c>
      <c r="B14030" s="35" t="s">
        <v>11489</v>
      </c>
    </row>
    <row r="14031" spans="1:2" x14ac:dyDescent="0.35">
      <c r="A14031" s="34">
        <v>52141531</v>
      </c>
      <c r="B14031" s="35" t="s">
        <v>1535</v>
      </c>
    </row>
    <row r="14032" spans="1:2" x14ac:dyDescent="0.35">
      <c r="A14032" s="34">
        <v>52141532</v>
      </c>
      <c r="B14032" s="35" t="s">
        <v>3655</v>
      </c>
    </row>
    <row r="14033" spans="1:2" x14ac:dyDescent="0.35">
      <c r="A14033" s="34">
        <v>52141533</v>
      </c>
      <c r="B14033" s="35" t="s">
        <v>8978</v>
      </c>
    </row>
    <row r="14034" spans="1:2" x14ac:dyDescent="0.35">
      <c r="A14034" s="34">
        <v>52141534</v>
      </c>
      <c r="B14034" s="35" t="s">
        <v>8828</v>
      </c>
    </row>
    <row r="14035" spans="1:2" x14ac:dyDescent="0.35">
      <c r="A14035" s="34">
        <v>52141535</v>
      </c>
      <c r="B14035" s="35" t="s">
        <v>13847</v>
      </c>
    </row>
    <row r="14036" spans="1:2" x14ac:dyDescent="0.35">
      <c r="A14036" s="34">
        <v>52141536</v>
      </c>
      <c r="B14036" s="35" t="s">
        <v>5641</v>
      </c>
    </row>
    <row r="14037" spans="1:2" x14ac:dyDescent="0.35">
      <c r="A14037" s="34">
        <v>52141537</v>
      </c>
      <c r="B14037" s="35" t="s">
        <v>16577</v>
      </c>
    </row>
    <row r="14038" spans="1:2" x14ac:dyDescent="0.35">
      <c r="A14038" s="34">
        <v>52141538</v>
      </c>
      <c r="B14038" s="35" t="s">
        <v>19056</v>
      </c>
    </row>
    <row r="14039" spans="1:2" x14ac:dyDescent="0.35">
      <c r="A14039" s="34">
        <v>52141539</v>
      </c>
      <c r="B14039" s="35" t="s">
        <v>15861</v>
      </c>
    </row>
    <row r="14040" spans="1:2" x14ac:dyDescent="0.35">
      <c r="A14040" s="34">
        <v>52141540</v>
      </c>
      <c r="B14040" s="35" t="s">
        <v>7249</v>
      </c>
    </row>
    <row r="14041" spans="1:2" x14ac:dyDescent="0.35">
      <c r="A14041" s="34">
        <v>52141541</v>
      </c>
      <c r="B14041" s="35" t="s">
        <v>13425</v>
      </c>
    </row>
    <row r="14042" spans="1:2" x14ac:dyDescent="0.35">
      <c r="A14042" s="34">
        <v>52141542</v>
      </c>
      <c r="B14042" s="35" t="s">
        <v>18175</v>
      </c>
    </row>
    <row r="14043" spans="1:2" x14ac:dyDescent="0.35">
      <c r="A14043" s="34">
        <v>52141543</v>
      </c>
      <c r="B14043" s="35" t="s">
        <v>18645</v>
      </c>
    </row>
    <row r="14044" spans="1:2" x14ac:dyDescent="0.35">
      <c r="A14044" s="34">
        <v>52141544</v>
      </c>
      <c r="B14044" s="35" t="s">
        <v>11492</v>
      </c>
    </row>
    <row r="14045" spans="1:2" x14ac:dyDescent="0.35">
      <c r="A14045" s="34">
        <v>52141545</v>
      </c>
      <c r="B14045" s="35" t="s">
        <v>16744</v>
      </c>
    </row>
    <row r="14046" spans="1:2" x14ac:dyDescent="0.35">
      <c r="A14046" s="34">
        <v>52141546</v>
      </c>
      <c r="B14046" s="35" t="s">
        <v>19267</v>
      </c>
    </row>
    <row r="14047" spans="1:2" x14ac:dyDescent="0.35">
      <c r="A14047" s="34">
        <v>52141601</v>
      </c>
      <c r="B14047" s="35" t="s">
        <v>1277</v>
      </c>
    </row>
    <row r="14048" spans="1:2" x14ac:dyDescent="0.35">
      <c r="A14048" s="34">
        <v>52141602</v>
      </c>
      <c r="B14048" s="35" t="s">
        <v>12448</v>
      </c>
    </row>
    <row r="14049" spans="1:2" x14ac:dyDescent="0.35">
      <c r="A14049" s="34">
        <v>52141603</v>
      </c>
      <c r="B14049" s="35" t="s">
        <v>10985</v>
      </c>
    </row>
    <row r="14050" spans="1:2" x14ac:dyDescent="0.35">
      <c r="A14050" s="34">
        <v>52141604</v>
      </c>
      <c r="B14050" s="35" t="s">
        <v>13281</v>
      </c>
    </row>
    <row r="14051" spans="1:2" x14ac:dyDescent="0.35">
      <c r="A14051" s="34">
        <v>52141605</v>
      </c>
      <c r="B14051" s="35" t="s">
        <v>12777</v>
      </c>
    </row>
    <row r="14052" spans="1:2" x14ac:dyDescent="0.35">
      <c r="A14052" s="34">
        <v>52141606</v>
      </c>
      <c r="B14052" s="35" t="s">
        <v>9914</v>
      </c>
    </row>
    <row r="14053" spans="1:2" x14ac:dyDescent="0.35">
      <c r="A14053" s="34">
        <v>52141607</v>
      </c>
      <c r="B14053" s="35" t="s">
        <v>6155</v>
      </c>
    </row>
    <row r="14054" spans="1:2" x14ac:dyDescent="0.35">
      <c r="A14054" s="34">
        <v>52141608</v>
      </c>
      <c r="B14054" s="35" t="s">
        <v>12294</v>
      </c>
    </row>
    <row r="14055" spans="1:2" x14ac:dyDescent="0.35">
      <c r="A14055" s="34">
        <v>52141701</v>
      </c>
      <c r="B14055" s="35" t="s">
        <v>842</v>
      </c>
    </row>
    <row r="14056" spans="1:2" x14ac:dyDescent="0.35">
      <c r="A14056" s="34">
        <v>52141703</v>
      </c>
      <c r="B14056" s="35" t="s">
        <v>13512</v>
      </c>
    </row>
    <row r="14057" spans="1:2" x14ac:dyDescent="0.35">
      <c r="A14057" s="34">
        <v>52141704</v>
      </c>
      <c r="B14057" s="35" t="s">
        <v>12862</v>
      </c>
    </row>
    <row r="14058" spans="1:2" x14ac:dyDescent="0.35">
      <c r="A14058" s="34">
        <v>52141705</v>
      </c>
      <c r="B14058" s="35" t="s">
        <v>7497</v>
      </c>
    </row>
    <row r="14059" spans="1:2" x14ac:dyDescent="0.35">
      <c r="A14059" s="34">
        <v>52141706</v>
      </c>
      <c r="B14059" s="35" t="s">
        <v>13510</v>
      </c>
    </row>
    <row r="14060" spans="1:2" x14ac:dyDescent="0.35">
      <c r="A14060" s="34">
        <v>52141801</v>
      </c>
      <c r="B14060" s="35" t="s">
        <v>18904</v>
      </c>
    </row>
    <row r="14061" spans="1:2" x14ac:dyDescent="0.35">
      <c r="A14061" s="34">
        <v>52141802</v>
      </c>
      <c r="B14061" s="35" t="s">
        <v>3475</v>
      </c>
    </row>
    <row r="14062" spans="1:2" x14ac:dyDescent="0.35">
      <c r="A14062" s="34">
        <v>52141803</v>
      </c>
      <c r="B14062" s="35" t="s">
        <v>11803</v>
      </c>
    </row>
    <row r="14063" spans="1:2" x14ac:dyDescent="0.35">
      <c r="A14063" s="34">
        <v>52151501</v>
      </c>
      <c r="B14063" s="35" t="s">
        <v>14421</v>
      </c>
    </row>
    <row r="14064" spans="1:2" x14ac:dyDescent="0.35">
      <c r="A14064" s="34">
        <v>52151502</v>
      </c>
      <c r="B14064" s="35" t="s">
        <v>19042</v>
      </c>
    </row>
    <row r="14065" spans="1:2" x14ac:dyDescent="0.35">
      <c r="A14065" s="34">
        <v>52151503</v>
      </c>
      <c r="B14065" s="35" t="s">
        <v>3909</v>
      </c>
    </row>
    <row r="14066" spans="1:2" x14ac:dyDescent="0.35">
      <c r="A14066" s="34">
        <v>52151504</v>
      </c>
      <c r="B14066" s="35" t="s">
        <v>7850</v>
      </c>
    </row>
    <row r="14067" spans="1:2" x14ac:dyDescent="0.35">
      <c r="A14067" s="34">
        <v>52151505</v>
      </c>
      <c r="B14067" s="35" t="s">
        <v>16602</v>
      </c>
    </row>
    <row r="14068" spans="1:2" x14ac:dyDescent="0.35">
      <c r="A14068" s="34">
        <v>52151506</v>
      </c>
      <c r="B14068" s="35" t="s">
        <v>16233</v>
      </c>
    </row>
    <row r="14069" spans="1:2" x14ac:dyDescent="0.35">
      <c r="A14069" s="34">
        <v>52151507</v>
      </c>
      <c r="B14069" s="35" t="s">
        <v>1248</v>
      </c>
    </row>
    <row r="14070" spans="1:2" x14ac:dyDescent="0.35">
      <c r="A14070" s="34">
        <v>52151601</v>
      </c>
      <c r="B14070" s="35" t="s">
        <v>18010</v>
      </c>
    </row>
    <row r="14071" spans="1:2" x14ac:dyDescent="0.35">
      <c r="A14071" s="34">
        <v>52151602</v>
      </c>
      <c r="B14071" s="35" t="s">
        <v>13537</v>
      </c>
    </row>
    <row r="14072" spans="1:2" x14ac:dyDescent="0.35">
      <c r="A14072" s="34">
        <v>52151603</v>
      </c>
      <c r="B14072" s="35" t="s">
        <v>12713</v>
      </c>
    </row>
    <row r="14073" spans="1:2" x14ac:dyDescent="0.35">
      <c r="A14073" s="34">
        <v>52151604</v>
      </c>
      <c r="B14073" s="35" t="s">
        <v>9014</v>
      </c>
    </row>
    <row r="14074" spans="1:2" x14ac:dyDescent="0.35">
      <c r="A14074" s="34">
        <v>52151605</v>
      </c>
      <c r="B14074" s="35" t="s">
        <v>9910</v>
      </c>
    </row>
    <row r="14075" spans="1:2" x14ac:dyDescent="0.35">
      <c r="A14075" s="34">
        <v>52151606</v>
      </c>
      <c r="B14075" s="35" t="s">
        <v>10862</v>
      </c>
    </row>
    <row r="14076" spans="1:2" x14ac:dyDescent="0.35">
      <c r="A14076" s="34">
        <v>52151607</v>
      </c>
      <c r="B14076" s="35" t="s">
        <v>10451</v>
      </c>
    </row>
    <row r="14077" spans="1:2" x14ac:dyDescent="0.35">
      <c r="A14077" s="34">
        <v>52151608</v>
      </c>
      <c r="B14077" s="35" t="s">
        <v>7641</v>
      </c>
    </row>
    <row r="14078" spans="1:2" x14ac:dyDescent="0.35">
      <c r="A14078" s="34">
        <v>52151609</v>
      </c>
      <c r="B14078" s="35" t="s">
        <v>14602</v>
      </c>
    </row>
    <row r="14079" spans="1:2" x14ac:dyDescent="0.35">
      <c r="A14079" s="34">
        <v>52151610</v>
      </c>
      <c r="B14079" s="35" t="s">
        <v>14129</v>
      </c>
    </row>
    <row r="14080" spans="1:2" x14ac:dyDescent="0.35">
      <c r="A14080" s="34">
        <v>52151611</v>
      </c>
      <c r="B14080" s="35" t="s">
        <v>7359</v>
      </c>
    </row>
    <row r="14081" spans="1:2" x14ac:dyDescent="0.35">
      <c r="A14081" s="34">
        <v>52151612</v>
      </c>
      <c r="B14081" s="35" t="s">
        <v>4243</v>
      </c>
    </row>
    <row r="14082" spans="1:2" x14ac:dyDescent="0.35">
      <c r="A14082" s="34">
        <v>52151613</v>
      </c>
      <c r="B14082" s="35" t="s">
        <v>16852</v>
      </c>
    </row>
    <row r="14083" spans="1:2" x14ac:dyDescent="0.35">
      <c r="A14083" s="34">
        <v>52151614</v>
      </c>
      <c r="B14083" s="35" t="s">
        <v>18008</v>
      </c>
    </row>
    <row r="14084" spans="1:2" x14ac:dyDescent="0.35">
      <c r="A14084" s="34">
        <v>52151615</v>
      </c>
      <c r="B14084" s="35" t="s">
        <v>10833</v>
      </c>
    </row>
    <row r="14085" spans="1:2" x14ac:dyDescent="0.35">
      <c r="A14085" s="34">
        <v>52151616</v>
      </c>
      <c r="B14085" s="35" t="s">
        <v>9052</v>
      </c>
    </row>
    <row r="14086" spans="1:2" x14ac:dyDescent="0.35">
      <c r="A14086" s="34">
        <v>52151617</v>
      </c>
      <c r="B14086" s="35" t="s">
        <v>15894</v>
      </c>
    </row>
    <row r="14087" spans="1:2" x14ac:dyDescent="0.35">
      <c r="A14087" s="34">
        <v>52151618</v>
      </c>
      <c r="B14087" s="35" t="s">
        <v>17510</v>
      </c>
    </row>
    <row r="14088" spans="1:2" x14ac:dyDescent="0.35">
      <c r="A14088" s="34">
        <v>52151619</v>
      </c>
      <c r="B14088" s="35" t="s">
        <v>14724</v>
      </c>
    </row>
    <row r="14089" spans="1:2" x14ac:dyDescent="0.35">
      <c r="A14089" s="34">
        <v>52151620</v>
      </c>
      <c r="B14089" s="35" t="s">
        <v>1935</v>
      </c>
    </row>
    <row r="14090" spans="1:2" x14ac:dyDescent="0.35">
      <c r="A14090" s="34">
        <v>52151621</v>
      </c>
      <c r="B14090" s="35" t="s">
        <v>12998</v>
      </c>
    </row>
    <row r="14091" spans="1:2" x14ac:dyDescent="0.35">
      <c r="A14091" s="34">
        <v>52151622</v>
      </c>
      <c r="B14091" s="35" t="s">
        <v>2733</v>
      </c>
    </row>
    <row r="14092" spans="1:2" x14ac:dyDescent="0.35">
      <c r="A14092" s="34">
        <v>52151623</v>
      </c>
      <c r="B14092" s="35" t="s">
        <v>19557</v>
      </c>
    </row>
    <row r="14093" spans="1:2" x14ac:dyDescent="0.35">
      <c r="A14093" s="34">
        <v>52151624</v>
      </c>
      <c r="B14093" s="35" t="s">
        <v>12677</v>
      </c>
    </row>
    <row r="14094" spans="1:2" x14ac:dyDescent="0.35">
      <c r="A14094" s="34">
        <v>52151625</v>
      </c>
      <c r="B14094" s="35" t="s">
        <v>417</v>
      </c>
    </row>
    <row r="14095" spans="1:2" x14ac:dyDescent="0.35">
      <c r="A14095" s="34">
        <v>52151626</v>
      </c>
      <c r="B14095" s="35" t="s">
        <v>11080</v>
      </c>
    </row>
    <row r="14096" spans="1:2" x14ac:dyDescent="0.35">
      <c r="A14096" s="34">
        <v>52151627</v>
      </c>
      <c r="B14096" s="35" t="s">
        <v>10246</v>
      </c>
    </row>
    <row r="14097" spans="1:2" x14ac:dyDescent="0.35">
      <c r="A14097" s="34">
        <v>52151628</v>
      </c>
      <c r="B14097" s="35" t="s">
        <v>19432</v>
      </c>
    </row>
    <row r="14098" spans="1:2" x14ac:dyDescent="0.35">
      <c r="A14098" s="34">
        <v>52151629</v>
      </c>
      <c r="B14098" s="35" t="s">
        <v>2514</v>
      </c>
    </row>
    <row r="14099" spans="1:2" x14ac:dyDescent="0.35">
      <c r="A14099" s="34">
        <v>52151630</v>
      </c>
      <c r="B14099" s="35" t="s">
        <v>19053</v>
      </c>
    </row>
    <row r="14100" spans="1:2" x14ac:dyDescent="0.35">
      <c r="A14100" s="34">
        <v>52151631</v>
      </c>
      <c r="B14100" s="35" t="s">
        <v>192</v>
      </c>
    </row>
    <row r="14101" spans="1:2" x14ac:dyDescent="0.35">
      <c r="A14101" s="34">
        <v>52151632</v>
      </c>
      <c r="B14101" s="35" t="s">
        <v>2898</v>
      </c>
    </row>
    <row r="14102" spans="1:2" x14ac:dyDescent="0.35">
      <c r="A14102" s="34">
        <v>52151633</v>
      </c>
      <c r="B14102" s="35" t="s">
        <v>11460</v>
      </c>
    </row>
    <row r="14103" spans="1:2" x14ac:dyDescent="0.35">
      <c r="A14103" s="34">
        <v>52151634</v>
      </c>
      <c r="B14103" s="35" t="s">
        <v>6319</v>
      </c>
    </row>
    <row r="14104" spans="1:2" x14ac:dyDescent="0.35">
      <c r="A14104" s="34">
        <v>52151635</v>
      </c>
      <c r="B14104" s="35" t="s">
        <v>5292</v>
      </c>
    </row>
    <row r="14105" spans="1:2" x14ac:dyDescent="0.35">
      <c r="A14105" s="34">
        <v>52151636</v>
      </c>
      <c r="B14105" s="35" t="s">
        <v>14334</v>
      </c>
    </row>
    <row r="14106" spans="1:2" x14ac:dyDescent="0.35">
      <c r="A14106" s="34">
        <v>52151637</v>
      </c>
      <c r="B14106" s="35" t="s">
        <v>12603</v>
      </c>
    </row>
    <row r="14107" spans="1:2" x14ac:dyDescent="0.35">
      <c r="A14107" s="34">
        <v>52151638</v>
      </c>
      <c r="B14107" s="35" t="s">
        <v>7592</v>
      </c>
    </row>
    <row r="14108" spans="1:2" x14ac:dyDescent="0.35">
      <c r="A14108" s="34">
        <v>52151639</v>
      </c>
      <c r="B14108" s="35" t="s">
        <v>12042</v>
      </c>
    </row>
    <row r="14109" spans="1:2" x14ac:dyDescent="0.35">
      <c r="A14109" s="34">
        <v>52151640</v>
      </c>
      <c r="B14109" s="35" t="s">
        <v>18296</v>
      </c>
    </row>
    <row r="14110" spans="1:2" x14ac:dyDescent="0.35">
      <c r="A14110" s="34">
        <v>52151641</v>
      </c>
      <c r="B14110" s="35" t="s">
        <v>3189</v>
      </c>
    </row>
    <row r="14111" spans="1:2" x14ac:dyDescent="0.35">
      <c r="A14111" s="34">
        <v>52151642</v>
      </c>
      <c r="B14111" s="35" t="s">
        <v>8182</v>
      </c>
    </row>
    <row r="14112" spans="1:2" x14ac:dyDescent="0.35">
      <c r="A14112" s="34">
        <v>52151643</v>
      </c>
      <c r="B14112" s="35" t="s">
        <v>18414</v>
      </c>
    </row>
    <row r="14113" spans="1:2" x14ac:dyDescent="0.35">
      <c r="A14113" s="34">
        <v>52151644</v>
      </c>
      <c r="B14113" s="35" t="s">
        <v>14876</v>
      </c>
    </row>
    <row r="14114" spans="1:2" x14ac:dyDescent="0.35">
      <c r="A14114" s="34">
        <v>52151645</v>
      </c>
      <c r="B14114" s="35" t="s">
        <v>16286</v>
      </c>
    </row>
    <row r="14115" spans="1:2" x14ac:dyDescent="0.35">
      <c r="A14115" s="34">
        <v>52151646</v>
      </c>
      <c r="B14115" s="35" t="s">
        <v>14815</v>
      </c>
    </row>
    <row r="14116" spans="1:2" x14ac:dyDescent="0.35">
      <c r="A14116" s="34">
        <v>52151647</v>
      </c>
      <c r="B14116" s="35" t="s">
        <v>16304</v>
      </c>
    </row>
    <row r="14117" spans="1:2" x14ac:dyDescent="0.35">
      <c r="A14117" s="34">
        <v>52151648</v>
      </c>
      <c r="B14117" s="35" t="s">
        <v>16086</v>
      </c>
    </row>
    <row r="14118" spans="1:2" x14ac:dyDescent="0.35">
      <c r="A14118" s="34">
        <v>52151649</v>
      </c>
      <c r="B14118" s="35" t="s">
        <v>10043</v>
      </c>
    </row>
    <row r="14119" spans="1:2" x14ac:dyDescent="0.35">
      <c r="A14119" s="34">
        <v>52151650</v>
      </c>
      <c r="B14119" s="35" t="s">
        <v>17337</v>
      </c>
    </row>
    <row r="14120" spans="1:2" x14ac:dyDescent="0.35">
      <c r="A14120" s="34">
        <v>52151701</v>
      </c>
      <c r="B14120" s="35" t="s">
        <v>17637</v>
      </c>
    </row>
    <row r="14121" spans="1:2" x14ac:dyDescent="0.35">
      <c r="A14121" s="34">
        <v>52151702</v>
      </c>
      <c r="B14121" s="35" t="s">
        <v>6826</v>
      </c>
    </row>
    <row r="14122" spans="1:2" x14ac:dyDescent="0.35">
      <c r="A14122" s="34">
        <v>52151703</v>
      </c>
      <c r="B14122" s="35" t="s">
        <v>5128</v>
      </c>
    </row>
    <row r="14123" spans="1:2" x14ac:dyDescent="0.35">
      <c r="A14123" s="34">
        <v>52151704</v>
      </c>
      <c r="B14123" s="35" t="s">
        <v>643</v>
      </c>
    </row>
    <row r="14124" spans="1:2" x14ac:dyDescent="0.35">
      <c r="A14124" s="34">
        <v>52151705</v>
      </c>
      <c r="B14124" s="35" t="s">
        <v>155</v>
      </c>
    </row>
    <row r="14125" spans="1:2" x14ac:dyDescent="0.35">
      <c r="A14125" s="34">
        <v>52151706</v>
      </c>
      <c r="B14125" s="35" t="s">
        <v>17875</v>
      </c>
    </row>
    <row r="14126" spans="1:2" x14ac:dyDescent="0.35">
      <c r="A14126" s="34">
        <v>52151707</v>
      </c>
      <c r="B14126" s="35" t="s">
        <v>1845</v>
      </c>
    </row>
    <row r="14127" spans="1:2" x14ac:dyDescent="0.35">
      <c r="A14127" s="34">
        <v>52151708</v>
      </c>
      <c r="B14127" s="35" t="s">
        <v>14868</v>
      </c>
    </row>
    <row r="14128" spans="1:2" x14ac:dyDescent="0.35">
      <c r="A14128" s="34">
        <v>52151709</v>
      </c>
      <c r="B14128" s="35" t="s">
        <v>9056</v>
      </c>
    </row>
    <row r="14129" spans="1:2" x14ac:dyDescent="0.35">
      <c r="A14129" s="34">
        <v>52151801</v>
      </c>
      <c r="B14129" s="35" t="s">
        <v>10428</v>
      </c>
    </row>
    <row r="14130" spans="1:2" x14ac:dyDescent="0.35">
      <c r="A14130" s="34">
        <v>52151802</v>
      </c>
      <c r="B14130" s="35" t="s">
        <v>18711</v>
      </c>
    </row>
    <row r="14131" spans="1:2" x14ac:dyDescent="0.35">
      <c r="A14131" s="34">
        <v>52151803</v>
      </c>
      <c r="B14131" s="35" t="s">
        <v>16488</v>
      </c>
    </row>
    <row r="14132" spans="1:2" x14ac:dyDescent="0.35">
      <c r="A14132" s="34">
        <v>52151804</v>
      </c>
      <c r="B14132" s="35" t="s">
        <v>19592</v>
      </c>
    </row>
    <row r="14133" spans="1:2" x14ac:dyDescent="0.35">
      <c r="A14133" s="34">
        <v>52151805</v>
      </c>
      <c r="B14133" s="35" t="s">
        <v>5282</v>
      </c>
    </row>
    <row r="14134" spans="1:2" x14ac:dyDescent="0.35">
      <c r="A14134" s="34">
        <v>52151806</v>
      </c>
      <c r="B14134" s="35" t="s">
        <v>2536</v>
      </c>
    </row>
    <row r="14135" spans="1:2" x14ac:dyDescent="0.35">
      <c r="A14135" s="34">
        <v>52151807</v>
      </c>
      <c r="B14135" s="35" t="s">
        <v>11092</v>
      </c>
    </row>
    <row r="14136" spans="1:2" x14ac:dyDescent="0.35">
      <c r="A14136" s="34">
        <v>52151808</v>
      </c>
      <c r="B14136" s="35" t="s">
        <v>7744</v>
      </c>
    </row>
    <row r="14137" spans="1:2" x14ac:dyDescent="0.35">
      <c r="A14137" s="34">
        <v>52151809</v>
      </c>
      <c r="B14137" s="35" t="s">
        <v>16025</v>
      </c>
    </row>
    <row r="14138" spans="1:2" x14ac:dyDescent="0.35">
      <c r="A14138" s="34">
        <v>52151810</v>
      </c>
      <c r="B14138" s="35" t="s">
        <v>6389</v>
      </c>
    </row>
    <row r="14139" spans="1:2" x14ac:dyDescent="0.35">
      <c r="A14139" s="34">
        <v>52151811</v>
      </c>
      <c r="B14139" s="35" t="s">
        <v>8690</v>
      </c>
    </row>
    <row r="14140" spans="1:2" x14ac:dyDescent="0.35">
      <c r="A14140" s="34">
        <v>52151812</v>
      </c>
      <c r="B14140" s="35" t="s">
        <v>6411</v>
      </c>
    </row>
    <row r="14141" spans="1:2" x14ac:dyDescent="0.35">
      <c r="A14141" s="34">
        <v>52151813</v>
      </c>
      <c r="B14141" s="35" t="s">
        <v>18917</v>
      </c>
    </row>
    <row r="14142" spans="1:2" x14ac:dyDescent="0.35">
      <c r="A14142" s="34">
        <v>52151901</v>
      </c>
      <c r="B14142" s="35" t="s">
        <v>12321</v>
      </c>
    </row>
    <row r="14143" spans="1:2" x14ac:dyDescent="0.35">
      <c r="A14143" s="34">
        <v>52151902</v>
      </c>
      <c r="B14143" s="35" t="s">
        <v>4667</v>
      </c>
    </row>
    <row r="14144" spans="1:2" x14ac:dyDescent="0.35">
      <c r="A14144" s="34">
        <v>52151903</v>
      </c>
      <c r="B14144" s="35" t="s">
        <v>17854</v>
      </c>
    </row>
    <row r="14145" spans="1:2" x14ac:dyDescent="0.35">
      <c r="A14145" s="34">
        <v>52151904</v>
      </c>
      <c r="B14145" s="35" t="s">
        <v>6388</v>
      </c>
    </row>
    <row r="14146" spans="1:2" x14ac:dyDescent="0.35">
      <c r="A14146" s="34">
        <v>52151905</v>
      </c>
      <c r="B14146" s="35" t="s">
        <v>9251</v>
      </c>
    </row>
    <row r="14147" spans="1:2" x14ac:dyDescent="0.35">
      <c r="A14147" s="34">
        <v>52151906</v>
      </c>
      <c r="B14147" s="35" t="s">
        <v>13817</v>
      </c>
    </row>
    <row r="14148" spans="1:2" x14ac:dyDescent="0.35">
      <c r="A14148" s="34">
        <v>52151907</v>
      </c>
      <c r="B14148" s="35" t="s">
        <v>14024</v>
      </c>
    </row>
    <row r="14149" spans="1:2" x14ac:dyDescent="0.35">
      <c r="A14149" s="34">
        <v>52151908</v>
      </c>
      <c r="B14149" s="35" t="s">
        <v>18179</v>
      </c>
    </row>
    <row r="14150" spans="1:2" x14ac:dyDescent="0.35">
      <c r="A14150" s="34">
        <v>52151909</v>
      </c>
      <c r="B14150" s="35" t="s">
        <v>6114</v>
      </c>
    </row>
    <row r="14151" spans="1:2" x14ac:dyDescent="0.35">
      <c r="A14151" s="34">
        <v>52152001</v>
      </c>
      <c r="B14151" s="35" t="s">
        <v>1837</v>
      </c>
    </row>
    <row r="14152" spans="1:2" x14ac:dyDescent="0.35">
      <c r="A14152" s="34">
        <v>52152002</v>
      </c>
      <c r="B14152" s="35" t="s">
        <v>7873</v>
      </c>
    </row>
    <row r="14153" spans="1:2" x14ac:dyDescent="0.35">
      <c r="A14153" s="34">
        <v>52152003</v>
      </c>
      <c r="B14153" s="35" t="s">
        <v>9741</v>
      </c>
    </row>
    <row r="14154" spans="1:2" x14ac:dyDescent="0.35">
      <c r="A14154" s="34">
        <v>52152004</v>
      </c>
      <c r="B14154" s="35" t="s">
        <v>10742</v>
      </c>
    </row>
    <row r="14155" spans="1:2" x14ac:dyDescent="0.35">
      <c r="A14155" s="34">
        <v>52152005</v>
      </c>
      <c r="B14155" s="35" t="s">
        <v>190</v>
      </c>
    </row>
    <row r="14156" spans="1:2" x14ac:dyDescent="0.35">
      <c r="A14156" s="34">
        <v>52152006</v>
      </c>
      <c r="B14156" s="35" t="s">
        <v>3470</v>
      </c>
    </row>
    <row r="14157" spans="1:2" x14ac:dyDescent="0.35">
      <c r="A14157" s="34">
        <v>52152007</v>
      </c>
      <c r="B14157" s="35" t="s">
        <v>5443</v>
      </c>
    </row>
    <row r="14158" spans="1:2" x14ac:dyDescent="0.35">
      <c r="A14158" s="34">
        <v>52152008</v>
      </c>
      <c r="B14158" s="35" t="s">
        <v>8081</v>
      </c>
    </row>
    <row r="14159" spans="1:2" x14ac:dyDescent="0.35">
      <c r="A14159" s="34">
        <v>52152009</v>
      </c>
      <c r="B14159" s="35" t="s">
        <v>10993</v>
      </c>
    </row>
    <row r="14160" spans="1:2" x14ac:dyDescent="0.35">
      <c r="A14160" s="34">
        <v>52152010</v>
      </c>
      <c r="B14160" s="35" t="s">
        <v>15187</v>
      </c>
    </row>
    <row r="14161" spans="1:2" x14ac:dyDescent="0.35">
      <c r="A14161" s="34">
        <v>52152011</v>
      </c>
      <c r="B14161" s="35" t="s">
        <v>4113</v>
      </c>
    </row>
    <row r="14162" spans="1:2" x14ac:dyDescent="0.35">
      <c r="A14162" s="34">
        <v>52152012</v>
      </c>
      <c r="B14162" s="35" t="s">
        <v>9169</v>
      </c>
    </row>
    <row r="14163" spans="1:2" x14ac:dyDescent="0.35">
      <c r="A14163" s="34">
        <v>52152013</v>
      </c>
      <c r="B14163" s="35" t="s">
        <v>1163</v>
      </c>
    </row>
    <row r="14164" spans="1:2" x14ac:dyDescent="0.35">
      <c r="A14164" s="34">
        <v>52152014</v>
      </c>
      <c r="B14164" s="35" t="s">
        <v>14308</v>
      </c>
    </row>
    <row r="14165" spans="1:2" x14ac:dyDescent="0.35">
      <c r="A14165" s="34">
        <v>52152015</v>
      </c>
      <c r="B14165" s="35" t="s">
        <v>9044</v>
      </c>
    </row>
    <row r="14166" spans="1:2" x14ac:dyDescent="0.35">
      <c r="A14166" s="34">
        <v>52152016</v>
      </c>
      <c r="B14166" s="35" t="s">
        <v>4861</v>
      </c>
    </row>
    <row r="14167" spans="1:2" x14ac:dyDescent="0.35">
      <c r="A14167" s="34">
        <v>52152101</v>
      </c>
      <c r="B14167" s="35" t="s">
        <v>7479</v>
      </c>
    </row>
    <row r="14168" spans="1:2" x14ac:dyDescent="0.35">
      <c r="A14168" s="34">
        <v>52152102</v>
      </c>
      <c r="B14168" s="35" t="s">
        <v>6726</v>
      </c>
    </row>
    <row r="14169" spans="1:2" x14ac:dyDescent="0.35">
      <c r="A14169" s="34">
        <v>52152103</v>
      </c>
      <c r="B14169" s="35" t="s">
        <v>11874</v>
      </c>
    </row>
    <row r="14170" spans="1:2" x14ac:dyDescent="0.35">
      <c r="A14170" s="34">
        <v>52152104</v>
      </c>
      <c r="B14170" s="35" t="s">
        <v>10990</v>
      </c>
    </row>
    <row r="14171" spans="1:2" x14ac:dyDescent="0.35">
      <c r="A14171" s="34">
        <v>52152105</v>
      </c>
      <c r="B14171" s="35" t="s">
        <v>17354</v>
      </c>
    </row>
    <row r="14172" spans="1:2" x14ac:dyDescent="0.35">
      <c r="A14172" s="34">
        <v>52152201</v>
      </c>
      <c r="B14172" s="35" t="s">
        <v>11459</v>
      </c>
    </row>
    <row r="14173" spans="1:2" x14ac:dyDescent="0.35">
      <c r="A14173" s="34">
        <v>52152202</v>
      </c>
      <c r="B14173" s="35" t="s">
        <v>11285</v>
      </c>
    </row>
    <row r="14174" spans="1:2" x14ac:dyDescent="0.35">
      <c r="A14174" s="34">
        <v>52152203</v>
      </c>
      <c r="B14174" s="35" t="s">
        <v>15067</v>
      </c>
    </row>
    <row r="14175" spans="1:2" x14ac:dyDescent="0.35">
      <c r="A14175" s="34">
        <v>52161502</v>
      </c>
      <c r="B14175" s="35" t="s">
        <v>11806</v>
      </c>
    </row>
    <row r="14176" spans="1:2" x14ac:dyDescent="0.35">
      <c r="A14176" s="34">
        <v>52161505</v>
      </c>
      <c r="B14176" s="35" t="s">
        <v>10826</v>
      </c>
    </row>
    <row r="14177" spans="1:2" x14ac:dyDescent="0.35">
      <c r="A14177" s="34">
        <v>52161507</v>
      </c>
      <c r="B14177" s="35" t="s">
        <v>17915</v>
      </c>
    </row>
    <row r="14178" spans="1:2" x14ac:dyDescent="0.35">
      <c r="A14178" s="34">
        <v>52161508</v>
      </c>
      <c r="B14178" s="35" t="s">
        <v>15482</v>
      </c>
    </row>
    <row r="14179" spans="1:2" x14ac:dyDescent="0.35">
      <c r="A14179" s="34">
        <v>52161509</v>
      </c>
      <c r="B14179" s="35" t="s">
        <v>9185</v>
      </c>
    </row>
    <row r="14180" spans="1:2" x14ac:dyDescent="0.35">
      <c r="A14180" s="34">
        <v>52161510</v>
      </c>
      <c r="B14180" s="35" t="s">
        <v>11794</v>
      </c>
    </row>
    <row r="14181" spans="1:2" x14ac:dyDescent="0.35">
      <c r="A14181" s="34">
        <v>52161511</v>
      </c>
      <c r="B14181" s="35" t="s">
        <v>4132</v>
      </c>
    </row>
    <row r="14182" spans="1:2" x14ac:dyDescent="0.35">
      <c r="A14182" s="34">
        <v>52161512</v>
      </c>
      <c r="B14182" s="35" t="s">
        <v>7435</v>
      </c>
    </row>
    <row r="14183" spans="1:2" x14ac:dyDescent="0.35">
      <c r="A14183" s="34">
        <v>52161513</v>
      </c>
      <c r="B14183" s="35" t="s">
        <v>5722</v>
      </c>
    </row>
    <row r="14184" spans="1:2" x14ac:dyDescent="0.35">
      <c r="A14184" s="34">
        <v>52161514</v>
      </c>
      <c r="B14184" s="35" t="s">
        <v>13514</v>
      </c>
    </row>
    <row r="14185" spans="1:2" x14ac:dyDescent="0.35">
      <c r="A14185" s="34">
        <v>52161515</v>
      </c>
      <c r="B14185" s="35" t="s">
        <v>6685</v>
      </c>
    </row>
    <row r="14186" spans="1:2" x14ac:dyDescent="0.35">
      <c r="A14186" s="34">
        <v>52161516</v>
      </c>
      <c r="B14186" s="35" t="s">
        <v>11178</v>
      </c>
    </row>
    <row r="14187" spans="1:2" x14ac:dyDescent="0.35">
      <c r="A14187" s="34">
        <v>52161517</v>
      </c>
      <c r="B14187" s="35" t="s">
        <v>1803</v>
      </c>
    </row>
    <row r="14188" spans="1:2" x14ac:dyDescent="0.35">
      <c r="A14188" s="34">
        <v>52161518</v>
      </c>
      <c r="B14188" s="35" t="s">
        <v>4748</v>
      </c>
    </row>
    <row r="14189" spans="1:2" x14ac:dyDescent="0.35">
      <c r="A14189" s="34">
        <v>52161520</v>
      </c>
      <c r="B14189" s="35" t="s">
        <v>10648</v>
      </c>
    </row>
    <row r="14190" spans="1:2" x14ac:dyDescent="0.35">
      <c r="A14190" s="34">
        <v>52161521</v>
      </c>
      <c r="B14190" s="35" t="s">
        <v>3715</v>
      </c>
    </row>
    <row r="14191" spans="1:2" x14ac:dyDescent="0.35">
      <c r="A14191" s="34">
        <v>52161522</v>
      </c>
      <c r="B14191" s="35" t="s">
        <v>15636</v>
      </c>
    </row>
    <row r="14192" spans="1:2" x14ac:dyDescent="0.35">
      <c r="A14192" s="34">
        <v>52161523</v>
      </c>
      <c r="B14192" s="35" t="s">
        <v>11345</v>
      </c>
    </row>
    <row r="14193" spans="1:2" x14ac:dyDescent="0.35">
      <c r="A14193" s="34">
        <v>52161524</v>
      </c>
      <c r="B14193" s="35" t="s">
        <v>10854</v>
      </c>
    </row>
    <row r="14194" spans="1:2" x14ac:dyDescent="0.35">
      <c r="A14194" s="34">
        <v>52161525</v>
      </c>
      <c r="B14194" s="35" t="s">
        <v>19475</v>
      </c>
    </row>
    <row r="14195" spans="1:2" x14ac:dyDescent="0.35">
      <c r="A14195" s="34">
        <v>52161526</v>
      </c>
      <c r="B14195" s="35" t="s">
        <v>10341</v>
      </c>
    </row>
    <row r="14196" spans="1:2" x14ac:dyDescent="0.35">
      <c r="A14196" s="34">
        <v>52161527</v>
      </c>
      <c r="B14196" s="35" t="s">
        <v>8268</v>
      </c>
    </row>
    <row r="14197" spans="1:2" x14ac:dyDescent="0.35">
      <c r="A14197" s="34">
        <v>52161529</v>
      </c>
      <c r="B14197" s="35" t="s">
        <v>4082</v>
      </c>
    </row>
    <row r="14198" spans="1:2" x14ac:dyDescent="0.35">
      <c r="A14198" s="34">
        <v>52161531</v>
      </c>
      <c r="B14198" s="35" t="s">
        <v>7187</v>
      </c>
    </row>
    <row r="14199" spans="1:2" x14ac:dyDescent="0.35">
      <c r="A14199" s="34">
        <v>52161532</v>
      </c>
      <c r="B14199" s="35" t="s">
        <v>3415</v>
      </c>
    </row>
    <row r="14200" spans="1:2" x14ac:dyDescent="0.35">
      <c r="A14200" s="34">
        <v>52161533</v>
      </c>
      <c r="B14200" s="35" t="s">
        <v>7481</v>
      </c>
    </row>
    <row r="14201" spans="1:2" x14ac:dyDescent="0.35">
      <c r="A14201" s="34">
        <v>52161534</v>
      </c>
      <c r="B14201" s="35" t="s">
        <v>263</v>
      </c>
    </row>
    <row r="14202" spans="1:2" x14ac:dyDescent="0.35">
      <c r="A14202" s="34">
        <v>52161535</v>
      </c>
      <c r="B14202" s="35" t="s">
        <v>6353</v>
      </c>
    </row>
    <row r="14203" spans="1:2" x14ac:dyDescent="0.35">
      <c r="A14203" s="34">
        <v>52161536</v>
      </c>
      <c r="B14203" s="35" t="s">
        <v>4386</v>
      </c>
    </row>
    <row r="14204" spans="1:2" x14ac:dyDescent="0.35">
      <c r="A14204" s="34">
        <v>52161537</v>
      </c>
      <c r="B14204" s="35" t="s">
        <v>13958</v>
      </c>
    </row>
    <row r="14205" spans="1:2" x14ac:dyDescent="0.35">
      <c r="A14205" s="34">
        <v>52161538</v>
      </c>
      <c r="B14205" s="35" t="s">
        <v>1856</v>
      </c>
    </row>
    <row r="14206" spans="1:2" x14ac:dyDescent="0.35">
      <c r="A14206" s="34">
        <v>52161539</v>
      </c>
      <c r="B14206" s="35" t="s">
        <v>16720</v>
      </c>
    </row>
    <row r="14207" spans="1:2" x14ac:dyDescent="0.35">
      <c r="A14207" s="34">
        <v>52161540</v>
      </c>
      <c r="B14207" s="35" t="s">
        <v>3353</v>
      </c>
    </row>
    <row r="14208" spans="1:2" x14ac:dyDescent="0.35">
      <c r="A14208" s="34">
        <v>52161541</v>
      </c>
      <c r="B14208" s="35" t="s">
        <v>3673</v>
      </c>
    </row>
    <row r="14209" spans="1:2" x14ac:dyDescent="0.35">
      <c r="A14209" s="34">
        <v>52161542</v>
      </c>
      <c r="B14209" s="35" t="s">
        <v>7654</v>
      </c>
    </row>
    <row r="14210" spans="1:2" x14ac:dyDescent="0.35">
      <c r="A14210" s="34">
        <v>52161543</v>
      </c>
      <c r="B14210" s="35" t="s">
        <v>16964</v>
      </c>
    </row>
    <row r="14211" spans="1:2" x14ac:dyDescent="0.35">
      <c r="A14211" s="34">
        <v>52161544</v>
      </c>
      <c r="B14211" s="35" t="s">
        <v>19224</v>
      </c>
    </row>
    <row r="14212" spans="1:2" x14ac:dyDescent="0.35">
      <c r="A14212" s="34">
        <v>52161601</v>
      </c>
      <c r="B14212" s="35" t="s">
        <v>14847</v>
      </c>
    </row>
    <row r="14213" spans="1:2" x14ac:dyDescent="0.35">
      <c r="A14213" s="34">
        <v>52161602</v>
      </c>
      <c r="B14213" s="35" t="s">
        <v>18245</v>
      </c>
    </row>
    <row r="14214" spans="1:2" x14ac:dyDescent="0.35">
      <c r="A14214" s="34">
        <v>52161603</v>
      </c>
      <c r="B14214" s="35" t="s">
        <v>10079</v>
      </c>
    </row>
    <row r="14215" spans="1:2" x14ac:dyDescent="0.35">
      <c r="A14215" s="34">
        <v>52161604</v>
      </c>
      <c r="B14215" s="35" t="s">
        <v>7075</v>
      </c>
    </row>
    <row r="14216" spans="1:2" x14ac:dyDescent="0.35">
      <c r="A14216" s="34">
        <v>52161605</v>
      </c>
      <c r="B14216" s="35" t="s">
        <v>2550</v>
      </c>
    </row>
    <row r="14217" spans="1:2" x14ac:dyDescent="0.35">
      <c r="A14217" s="34">
        <v>52161606</v>
      </c>
      <c r="B14217" s="35" t="s">
        <v>1597</v>
      </c>
    </row>
    <row r="14218" spans="1:2" x14ac:dyDescent="0.35">
      <c r="A14218" s="34">
        <v>52161607</v>
      </c>
      <c r="B14218" s="35" t="s">
        <v>4226</v>
      </c>
    </row>
    <row r="14219" spans="1:2" x14ac:dyDescent="0.35">
      <c r="A14219" s="34">
        <v>52161608</v>
      </c>
      <c r="B14219" s="35" t="s">
        <v>459</v>
      </c>
    </row>
    <row r="14220" spans="1:2" x14ac:dyDescent="0.35">
      <c r="A14220" s="34">
        <v>52161609</v>
      </c>
      <c r="B14220" s="35" t="s">
        <v>11849</v>
      </c>
    </row>
    <row r="14221" spans="1:2" x14ac:dyDescent="0.35">
      <c r="A14221" s="34">
        <v>52161610</v>
      </c>
      <c r="B14221" s="35" t="s">
        <v>3045</v>
      </c>
    </row>
    <row r="14222" spans="1:2" x14ac:dyDescent="0.35">
      <c r="A14222" s="34">
        <v>52161611</v>
      </c>
      <c r="B14222" s="35" t="s">
        <v>7123</v>
      </c>
    </row>
    <row r="14223" spans="1:2" x14ac:dyDescent="0.35">
      <c r="A14223" s="34">
        <v>52171001</v>
      </c>
      <c r="B14223" s="35" t="s">
        <v>13450</v>
      </c>
    </row>
    <row r="14224" spans="1:2" x14ac:dyDescent="0.35">
      <c r="A14224" s="34">
        <v>53101501</v>
      </c>
      <c r="B14224" s="35" t="s">
        <v>8942</v>
      </c>
    </row>
    <row r="14225" spans="1:2" x14ac:dyDescent="0.35">
      <c r="A14225" s="34">
        <v>53101502</v>
      </c>
      <c r="B14225" s="35" t="s">
        <v>2753</v>
      </c>
    </row>
    <row r="14226" spans="1:2" x14ac:dyDescent="0.35">
      <c r="A14226" s="34">
        <v>53101503</v>
      </c>
      <c r="B14226" s="35" t="s">
        <v>8933</v>
      </c>
    </row>
    <row r="14227" spans="1:2" x14ac:dyDescent="0.35">
      <c r="A14227" s="34">
        <v>53101504</v>
      </c>
      <c r="B14227" s="35" t="s">
        <v>9233</v>
      </c>
    </row>
    <row r="14228" spans="1:2" x14ac:dyDescent="0.35">
      <c r="A14228" s="34">
        <v>53101505</v>
      </c>
      <c r="B14228" s="35" t="s">
        <v>15993</v>
      </c>
    </row>
    <row r="14229" spans="1:2" x14ac:dyDescent="0.35">
      <c r="A14229" s="34">
        <v>53101601</v>
      </c>
      <c r="B14229" s="35" t="s">
        <v>14365</v>
      </c>
    </row>
    <row r="14230" spans="1:2" x14ac:dyDescent="0.35">
      <c r="A14230" s="34">
        <v>53101602</v>
      </c>
      <c r="B14230" s="35" t="s">
        <v>17326</v>
      </c>
    </row>
    <row r="14231" spans="1:2" x14ac:dyDescent="0.35">
      <c r="A14231" s="34">
        <v>53101603</v>
      </c>
      <c r="B14231" s="35" t="s">
        <v>5672</v>
      </c>
    </row>
    <row r="14232" spans="1:2" x14ac:dyDescent="0.35">
      <c r="A14232" s="34">
        <v>53101604</v>
      </c>
      <c r="B14232" s="35" t="s">
        <v>13081</v>
      </c>
    </row>
    <row r="14233" spans="1:2" x14ac:dyDescent="0.35">
      <c r="A14233" s="34">
        <v>53101605</v>
      </c>
      <c r="B14233" s="35" t="s">
        <v>18631</v>
      </c>
    </row>
    <row r="14234" spans="1:2" x14ac:dyDescent="0.35">
      <c r="A14234" s="34">
        <v>53101701</v>
      </c>
      <c r="B14234" s="35" t="s">
        <v>741</v>
      </c>
    </row>
    <row r="14235" spans="1:2" x14ac:dyDescent="0.35">
      <c r="A14235" s="34">
        <v>53101702</v>
      </c>
      <c r="B14235" s="35" t="s">
        <v>13737</v>
      </c>
    </row>
    <row r="14236" spans="1:2" x14ac:dyDescent="0.35">
      <c r="A14236" s="34">
        <v>53101703</v>
      </c>
      <c r="B14236" s="35" t="s">
        <v>13749</v>
      </c>
    </row>
    <row r="14237" spans="1:2" x14ac:dyDescent="0.35">
      <c r="A14237" s="34">
        <v>53101704</v>
      </c>
      <c r="B14237" s="35" t="s">
        <v>18294</v>
      </c>
    </row>
    <row r="14238" spans="1:2" x14ac:dyDescent="0.35">
      <c r="A14238" s="34">
        <v>53101705</v>
      </c>
      <c r="B14238" s="35" t="s">
        <v>2862</v>
      </c>
    </row>
    <row r="14239" spans="1:2" x14ac:dyDescent="0.35">
      <c r="A14239" s="34">
        <v>53101801</v>
      </c>
      <c r="B14239" s="35" t="s">
        <v>13269</v>
      </c>
    </row>
    <row r="14240" spans="1:2" x14ac:dyDescent="0.35">
      <c r="A14240" s="34">
        <v>53101802</v>
      </c>
      <c r="B14240" s="35" t="s">
        <v>14971</v>
      </c>
    </row>
    <row r="14241" spans="1:2" x14ac:dyDescent="0.35">
      <c r="A14241" s="34">
        <v>53101803</v>
      </c>
      <c r="B14241" s="35" t="s">
        <v>13381</v>
      </c>
    </row>
    <row r="14242" spans="1:2" x14ac:dyDescent="0.35">
      <c r="A14242" s="34">
        <v>53101804</v>
      </c>
      <c r="B14242" s="35" t="s">
        <v>3753</v>
      </c>
    </row>
    <row r="14243" spans="1:2" x14ac:dyDescent="0.35">
      <c r="A14243" s="34">
        <v>53101805</v>
      </c>
      <c r="B14243" s="35" t="s">
        <v>18036</v>
      </c>
    </row>
    <row r="14244" spans="1:2" x14ac:dyDescent="0.35">
      <c r="A14244" s="34">
        <v>53101901</v>
      </c>
      <c r="B14244" s="35" t="s">
        <v>12615</v>
      </c>
    </row>
    <row r="14245" spans="1:2" x14ac:dyDescent="0.35">
      <c r="A14245" s="34">
        <v>53101902</v>
      </c>
      <c r="B14245" s="35" t="s">
        <v>4673</v>
      </c>
    </row>
    <row r="14246" spans="1:2" x14ac:dyDescent="0.35">
      <c r="A14246" s="34">
        <v>53101903</v>
      </c>
      <c r="B14246" s="35" t="s">
        <v>13772</v>
      </c>
    </row>
    <row r="14247" spans="1:2" x14ac:dyDescent="0.35">
      <c r="A14247" s="34">
        <v>53101904</v>
      </c>
      <c r="B14247" s="35" t="s">
        <v>9690</v>
      </c>
    </row>
    <row r="14248" spans="1:2" x14ac:dyDescent="0.35">
      <c r="A14248" s="34">
        <v>53101905</v>
      </c>
      <c r="B14248" s="35" t="s">
        <v>15677</v>
      </c>
    </row>
    <row r="14249" spans="1:2" x14ac:dyDescent="0.35">
      <c r="A14249" s="34">
        <v>53102001</v>
      </c>
      <c r="B14249" s="35" t="s">
        <v>7763</v>
      </c>
    </row>
    <row r="14250" spans="1:2" x14ac:dyDescent="0.35">
      <c r="A14250" s="34">
        <v>53102002</v>
      </c>
      <c r="B14250" s="35" t="s">
        <v>15135</v>
      </c>
    </row>
    <row r="14251" spans="1:2" x14ac:dyDescent="0.35">
      <c r="A14251" s="34">
        <v>53102003</v>
      </c>
      <c r="B14251" s="35" t="s">
        <v>10011</v>
      </c>
    </row>
    <row r="14252" spans="1:2" x14ac:dyDescent="0.35">
      <c r="A14252" s="34">
        <v>53102101</v>
      </c>
      <c r="B14252" s="35" t="s">
        <v>10314</v>
      </c>
    </row>
    <row r="14253" spans="1:2" x14ac:dyDescent="0.35">
      <c r="A14253" s="34">
        <v>53102102</v>
      </c>
      <c r="B14253" s="35" t="s">
        <v>15087</v>
      </c>
    </row>
    <row r="14254" spans="1:2" x14ac:dyDescent="0.35">
      <c r="A14254" s="34">
        <v>53102103</v>
      </c>
      <c r="B14254" s="35" t="s">
        <v>10873</v>
      </c>
    </row>
    <row r="14255" spans="1:2" x14ac:dyDescent="0.35">
      <c r="A14255" s="34">
        <v>53102104</v>
      </c>
      <c r="B14255" s="35" t="s">
        <v>1929</v>
      </c>
    </row>
    <row r="14256" spans="1:2" x14ac:dyDescent="0.35">
      <c r="A14256" s="34">
        <v>53102105</v>
      </c>
      <c r="B14256" s="35" t="s">
        <v>2217</v>
      </c>
    </row>
    <row r="14257" spans="1:2" x14ac:dyDescent="0.35">
      <c r="A14257" s="34">
        <v>53102201</v>
      </c>
      <c r="B14257" s="35" t="s">
        <v>15153</v>
      </c>
    </row>
    <row r="14258" spans="1:2" x14ac:dyDescent="0.35">
      <c r="A14258" s="34">
        <v>53102202</v>
      </c>
      <c r="B14258" s="35" t="s">
        <v>12174</v>
      </c>
    </row>
    <row r="14259" spans="1:2" x14ac:dyDescent="0.35">
      <c r="A14259" s="34">
        <v>53102203</v>
      </c>
      <c r="B14259" s="35" t="s">
        <v>6137</v>
      </c>
    </row>
    <row r="14260" spans="1:2" x14ac:dyDescent="0.35">
      <c r="A14260" s="34">
        <v>53102204</v>
      </c>
      <c r="B14260" s="35" t="s">
        <v>415</v>
      </c>
    </row>
    <row r="14261" spans="1:2" x14ac:dyDescent="0.35">
      <c r="A14261" s="34">
        <v>53102205</v>
      </c>
      <c r="B14261" s="35" t="s">
        <v>12053</v>
      </c>
    </row>
    <row r="14262" spans="1:2" x14ac:dyDescent="0.35">
      <c r="A14262" s="34">
        <v>53102301</v>
      </c>
      <c r="B14262" s="35" t="s">
        <v>4265</v>
      </c>
    </row>
    <row r="14263" spans="1:2" x14ac:dyDescent="0.35">
      <c r="A14263" s="34">
        <v>53102302</v>
      </c>
      <c r="B14263" s="35" t="s">
        <v>8897</v>
      </c>
    </row>
    <row r="14264" spans="1:2" x14ac:dyDescent="0.35">
      <c r="A14264" s="34">
        <v>53102303</v>
      </c>
      <c r="B14264" s="35" t="s">
        <v>6638</v>
      </c>
    </row>
    <row r="14265" spans="1:2" x14ac:dyDescent="0.35">
      <c r="A14265" s="34">
        <v>53102304</v>
      </c>
      <c r="B14265" s="35" t="s">
        <v>5275</v>
      </c>
    </row>
    <row r="14266" spans="1:2" x14ac:dyDescent="0.35">
      <c r="A14266" s="34">
        <v>53102305</v>
      </c>
      <c r="B14266" s="35" t="s">
        <v>1746</v>
      </c>
    </row>
    <row r="14267" spans="1:2" x14ac:dyDescent="0.35">
      <c r="A14267" s="34">
        <v>53102306</v>
      </c>
      <c r="B14267" s="35" t="s">
        <v>3851</v>
      </c>
    </row>
    <row r="14268" spans="1:2" x14ac:dyDescent="0.35">
      <c r="A14268" s="34">
        <v>53102307</v>
      </c>
      <c r="B14268" s="35" t="s">
        <v>11662</v>
      </c>
    </row>
    <row r="14269" spans="1:2" x14ac:dyDescent="0.35">
      <c r="A14269" s="34">
        <v>53102308</v>
      </c>
      <c r="B14269" s="35" t="s">
        <v>3780</v>
      </c>
    </row>
    <row r="14270" spans="1:2" x14ac:dyDescent="0.35">
      <c r="A14270" s="34">
        <v>53102401</v>
      </c>
      <c r="B14270" s="35" t="s">
        <v>15635</v>
      </c>
    </row>
    <row r="14271" spans="1:2" x14ac:dyDescent="0.35">
      <c r="A14271" s="34">
        <v>53102402</v>
      </c>
      <c r="B14271" s="35" t="s">
        <v>6596</v>
      </c>
    </row>
    <row r="14272" spans="1:2" x14ac:dyDescent="0.35">
      <c r="A14272" s="34">
        <v>53102403</v>
      </c>
      <c r="B14272" s="35" t="s">
        <v>7398</v>
      </c>
    </row>
    <row r="14273" spans="1:2" x14ac:dyDescent="0.35">
      <c r="A14273" s="34">
        <v>53102404</v>
      </c>
      <c r="B14273" s="35" t="s">
        <v>17400</v>
      </c>
    </row>
    <row r="14274" spans="1:2" x14ac:dyDescent="0.35">
      <c r="A14274" s="34">
        <v>53102501</v>
      </c>
      <c r="B14274" s="35" t="s">
        <v>16336</v>
      </c>
    </row>
    <row r="14275" spans="1:2" x14ac:dyDescent="0.35">
      <c r="A14275" s="34">
        <v>53102502</v>
      </c>
      <c r="B14275" s="35" t="s">
        <v>18802</v>
      </c>
    </row>
    <row r="14276" spans="1:2" x14ac:dyDescent="0.35">
      <c r="A14276" s="34">
        <v>53102503</v>
      </c>
      <c r="B14276" s="35" t="s">
        <v>4973</v>
      </c>
    </row>
    <row r="14277" spans="1:2" x14ac:dyDescent="0.35">
      <c r="A14277" s="34">
        <v>53102504</v>
      </c>
      <c r="B14277" s="35" t="s">
        <v>1565</v>
      </c>
    </row>
    <row r="14278" spans="1:2" x14ac:dyDescent="0.35">
      <c r="A14278" s="34">
        <v>53102505</v>
      </c>
      <c r="B14278" s="35" t="s">
        <v>12720</v>
      </c>
    </row>
    <row r="14279" spans="1:2" x14ac:dyDescent="0.35">
      <c r="A14279" s="34">
        <v>53102506</v>
      </c>
      <c r="B14279" s="35" t="s">
        <v>3214</v>
      </c>
    </row>
    <row r="14280" spans="1:2" x14ac:dyDescent="0.35">
      <c r="A14280" s="34">
        <v>53102507</v>
      </c>
      <c r="B14280" s="35" t="s">
        <v>454</v>
      </c>
    </row>
    <row r="14281" spans="1:2" x14ac:dyDescent="0.35">
      <c r="A14281" s="34">
        <v>53102508</v>
      </c>
      <c r="B14281" s="35" t="s">
        <v>690</v>
      </c>
    </row>
    <row r="14282" spans="1:2" x14ac:dyDescent="0.35">
      <c r="A14282" s="34">
        <v>53102509</v>
      </c>
      <c r="B14282" s="35" t="s">
        <v>15112</v>
      </c>
    </row>
    <row r="14283" spans="1:2" x14ac:dyDescent="0.35">
      <c r="A14283" s="34">
        <v>53102510</v>
      </c>
      <c r="B14283" s="35" t="s">
        <v>15584</v>
      </c>
    </row>
    <row r="14284" spans="1:2" x14ac:dyDescent="0.35">
      <c r="A14284" s="34">
        <v>53102511</v>
      </c>
      <c r="B14284" s="35" t="s">
        <v>3072</v>
      </c>
    </row>
    <row r="14285" spans="1:2" x14ac:dyDescent="0.35">
      <c r="A14285" s="34">
        <v>53102512</v>
      </c>
      <c r="B14285" s="35" t="s">
        <v>6606</v>
      </c>
    </row>
    <row r="14286" spans="1:2" x14ac:dyDescent="0.35">
      <c r="A14286" s="34">
        <v>53102513</v>
      </c>
      <c r="B14286" s="35" t="s">
        <v>6628</v>
      </c>
    </row>
    <row r="14287" spans="1:2" x14ac:dyDescent="0.35">
      <c r="A14287" s="34">
        <v>53102514</v>
      </c>
      <c r="B14287" s="35" t="s">
        <v>5241</v>
      </c>
    </row>
    <row r="14288" spans="1:2" x14ac:dyDescent="0.35">
      <c r="A14288" s="34">
        <v>53102515</v>
      </c>
      <c r="B14288" s="35" t="s">
        <v>12544</v>
      </c>
    </row>
    <row r="14289" spans="1:2" x14ac:dyDescent="0.35">
      <c r="A14289" s="34">
        <v>53102516</v>
      </c>
      <c r="B14289" s="35" t="s">
        <v>19344</v>
      </c>
    </row>
    <row r="14290" spans="1:2" x14ac:dyDescent="0.35">
      <c r="A14290" s="34">
        <v>53102517</v>
      </c>
      <c r="B14290" s="35" t="s">
        <v>16977</v>
      </c>
    </row>
    <row r="14291" spans="1:2" x14ac:dyDescent="0.35">
      <c r="A14291" s="34">
        <v>53102518</v>
      </c>
      <c r="B14291" s="35" t="s">
        <v>7804</v>
      </c>
    </row>
    <row r="14292" spans="1:2" x14ac:dyDescent="0.35">
      <c r="A14292" s="34">
        <v>53102519</v>
      </c>
      <c r="B14292" s="35" t="s">
        <v>4316</v>
      </c>
    </row>
    <row r="14293" spans="1:2" x14ac:dyDescent="0.35">
      <c r="A14293" s="34">
        <v>53102520</v>
      </c>
      <c r="B14293" s="35" t="s">
        <v>19331</v>
      </c>
    </row>
    <row r="14294" spans="1:2" x14ac:dyDescent="0.35">
      <c r="A14294" s="34">
        <v>53102601</v>
      </c>
      <c r="B14294" s="35" t="s">
        <v>345</v>
      </c>
    </row>
    <row r="14295" spans="1:2" x14ac:dyDescent="0.35">
      <c r="A14295" s="34">
        <v>53102602</v>
      </c>
      <c r="B14295" s="35" t="s">
        <v>18134</v>
      </c>
    </row>
    <row r="14296" spans="1:2" x14ac:dyDescent="0.35">
      <c r="A14296" s="34">
        <v>53102603</v>
      </c>
      <c r="B14296" s="35" t="s">
        <v>348</v>
      </c>
    </row>
    <row r="14297" spans="1:2" x14ac:dyDescent="0.35">
      <c r="A14297" s="34">
        <v>53102604</v>
      </c>
      <c r="B14297" s="35" t="s">
        <v>17829</v>
      </c>
    </row>
    <row r="14298" spans="1:2" x14ac:dyDescent="0.35">
      <c r="A14298" s="34">
        <v>53102605</v>
      </c>
      <c r="B14298" s="35" t="s">
        <v>19343</v>
      </c>
    </row>
    <row r="14299" spans="1:2" x14ac:dyDescent="0.35">
      <c r="A14299" s="34">
        <v>53102606</v>
      </c>
      <c r="B14299" s="35" t="s">
        <v>17210</v>
      </c>
    </row>
    <row r="14300" spans="1:2" x14ac:dyDescent="0.35">
      <c r="A14300" s="34">
        <v>53102701</v>
      </c>
      <c r="B14300" s="35" t="s">
        <v>7405</v>
      </c>
    </row>
    <row r="14301" spans="1:2" x14ac:dyDescent="0.35">
      <c r="A14301" s="34">
        <v>53102702</v>
      </c>
      <c r="B14301" s="35" t="s">
        <v>249</v>
      </c>
    </row>
    <row r="14302" spans="1:2" x14ac:dyDescent="0.35">
      <c r="A14302" s="34">
        <v>53102703</v>
      </c>
      <c r="B14302" s="35" t="s">
        <v>7529</v>
      </c>
    </row>
    <row r="14303" spans="1:2" x14ac:dyDescent="0.35">
      <c r="A14303" s="34">
        <v>53102704</v>
      </c>
      <c r="B14303" s="35" t="s">
        <v>1582</v>
      </c>
    </row>
    <row r="14304" spans="1:2" x14ac:dyDescent="0.35">
      <c r="A14304" s="34">
        <v>53102705</v>
      </c>
      <c r="B14304" s="35" t="s">
        <v>15231</v>
      </c>
    </row>
    <row r="14305" spans="1:2" x14ac:dyDescent="0.35">
      <c r="A14305" s="34">
        <v>53102706</v>
      </c>
      <c r="B14305" s="35" t="s">
        <v>17430</v>
      </c>
    </row>
    <row r="14306" spans="1:2" x14ac:dyDescent="0.35">
      <c r="A14306" s="34">
        <v>53102707</v>
      </c>
      <c r="B14306" s="35" t="s">
        <v>15642</v>
      </c>
    </row>
    <row r="14307" spans="1:2" x14ac:dyDescent="0.35">
      <c r="A14307" s="34">
        <v>53102708</v>
      </c>
      <c r="B14307" s="35" t="s">
        <v>18228</v>
      </c>
    </row>
    <row r="14308" spans="1:2" x14ac:dyDescent="0.35">
      <c r="A14308" s="34">
        <v>53102709</v>
      </c>
      <c r="B14308" s="35" t="s">
        <v>15625</v>
      </c>
    </row>
    <row r="14309" spans="1:2" x14ac:dyDescent="0.35">
      <c r="A14309" s="34">
        <v>53102710</v>
      </c>
      <c r="B14309" s="35" t="s">
        <v>6274</v>
      </c>
    </row>
    <row r="14310" spans="1:2" x14ac:dyDescent="0.35">
      <c r="A14310" s="34">
        <v>53102711</v>
      </c>
      <c r="B14310" s="35" t="s">
        <v>10932</v>
      </c>
    </row>
    <row r="14311" spans="1:2" x14ac:dyDescent="0.35">
      <c r="A14311" s="34">
        <v>53102712</v>
      </c>
      <c r="B14311" s="35" t="s">
        <v>7042</v>
      </c>
    </row>
    <row r="14312" spans="1:2" x14ac:dyDescent="0.35">
      <c r="A14312" s="34">
        <v>53102801</v>
      </c>
      <c r="B14312" s="35" t="s">
        <v>17910</v>
      </c>
    </row>
    <row r="14313" spans="1:2" x14ac:dyDescent="0.35">
      <c r="A14313" s="34">
        <v>53102802</v>
      </c>
      <c r="B14313" s="35" t="s">
        <v>18335</v>
      </c>
    </row>
    <row r="14314" spans="1:2" x14ac:dyDescent="0.35">
      <c r="A14314" s="34">
        <v>53102803</v>
      </c>
      <c r="B14314" s="35" t="s">
        <v>13294</v>
      </c>
    </row>
    <row r="14315" spans="1:2" x14ac:dyDescent="0.35">
      <c r="A14315" s="34">
        <v>53102804</v>
      </c>
      <c r="B14315" s="35" t="s">
        <v>4266</v>
      </c>
    </row>
    <row r="14316" spans="1:2" x14ac:dyDescent="0.35">
      <c r="A14316" s="34">
        <v>53102805</v>
      </c>
      <c r="B14316" s="35" t="s">
        <v>16966</v>
      </c>
    </row>
    <row r="14317" spans="1:2" x14ac:dyDescent="0.35">
      <c r="A14317" s="34">
        <v>53102901</v>
      </c>
      <c r="B14317" s="35" t="s">
        <v>17705</v>
      </c>
    </row>
    <row r="14318" spans="1:2" x14ac:dyDescent="0.35">
      <c r="A14318" s="34">
        <v>53102902</v>
      </c>
      <c r="B14318" s="35" t="s">
        <v>14865</v>
      </c>
    </row>
    <row r="14319" spans="1:2" x14ac:dyDescent="0.35">
      <c r="A14319" s="34">
        <v>53102903</v>
      </c>
      <c r="B14319" s="35" t="s">
        <v>1594</v>
      </c>
    </row>
    <row r="14320" spans="1:2" x14ac:dyDescent="0.35">
      <c r="A14320" s="34">
        <v>53102904</v>
      </c>
      <c r="B14320" s="35" t="s">
        <v>3763</v>
      </c>
    </row>
    <row r="14321" spans="1:2" x14ac:dyDescent="0.35">
      <c r="A14321" s="34">
        <v>53103001</v>
      </c>
      <c r="B14321" s="35" t="s">
        <v>15817</v>
      </c>
    </row>
    <row r="14322" spans="1:2" x14ac:dyDescent="0.35">
      <c r="A14322" s="34">
        <v>53103101</v>
      </c>
      <c r="B14322" s="35" t="s">
        <v>9256</v>
      </c>
    </row>
    <row r="14323" spans="1:2" x14ac:dyDescent="0.35">
      <c r="A14323" s="34">
        <v>53111501</v>
      </c>
      <c r="B14323" s="35" t="s">
        <v>5635</v>
      </c>
    </row>
    <row r="14324" spans="1:2" x14ac:dyDescent="0.35">
      <c r="A14324" s="34">
        <v>53111502</v>
      </c>
      <c r="B14324" s="35" t="s">
        <v>4090</v>
      </c>
    </row>
    <row r="14325" spans="1:2" x14ac:dyDescent="0.35">
      <c r="A14325" s="34">
        <v>53111503</v>
      </c>
      <c r="B14325" s="35" t="s">
        <v>4315</v>
      </c>
    </row>
    <row r="14326" spans="1:2" x14ac:dyDescent="0.35">
      <c r="A14326" s="34">
        <v>53111504</v>
      </c>
      <c r="B14326" s="35" t="s">
        <v>12262</v>
      </c>
    </row>
    <row r="14327" spans="1:2" x14ac:dyDescent="0.35">
      <c r="A14327" s="34">
        <v>53111505</v>
      </c>
      <c r="B14327" s="35" t="s">
        <v>5947</v>
      </c>
    </row>
    <row r="14328" spans="1:2" x14ac:dyDescent="0.35">
      <c r="A14328" s="34">
        <v>53111601</v>
      </c>
      <c r="B14328" s="35" t="s">
        <v>5867</v>
      </c>
    </row>
    <row r="14329" spans="1:2" x14ac:dyDescent="0.35">
      <c r="A14329" s="34">
        <v>53111602</v>
      </c>
      <c r="B14329" s="35" t="s">
        <v>18060</v>
      </c>
    </row>
    <row r="14330" spans="1:2" x14ac:dyDescent="0.35">
      <c r="A14330" s="34">
        <v>53111603</v>
      </c>
      <c r="B14330" s="35" t="s">
        <v>532</v>
      </c>
    </row>
    <row r="14331" spans="1:2" x14ac:dyDescent="0.35">
      <c r="A14331" s="34">
        <v>53111604</v>
      </c>
      <c r="B14331" s="35" t="s">
        <v>540</v>
      </c>
    </row>
    <row r="14332" spans="1:2" x14ac:dyDescent="0.35">
      <c r="A14332" s="34">
        <v>53111605</v>
      </c>
      <c r="B14332" s="35" t="s">
        <v>7697</v>
      </c>
    </row>
    <row r="14333" spans="1:2" x14ac:dyDescent="0.35">
      <c r="A14333" s="34">
        <v>53111701</v>
      </c>
      <c r="B14333" s="35" t="s">
        <v>9779</v>
      </c>
    </row>
    <row r="14334" spans="1:2" x14ac:dyDescent="0.35">
      <c r="A14334" s="34">
        <v>53111702</v>
      </c>
      <c r="B14334" s="35" t="s">
        <v>7401</v>
      </c>
    </row>
    <row r="14335" spans="1:2" x14ac:dyDescent="0.35">
      <c r="A14335" s="34">
        <v>53111703</v>
      </c>
      <c r="B14335" s="35" t="s">
        <v>8170</v>
      </c>
    </row>
    <row r="14336" spans="1:2" x14ac:dyDescent="0.35">
      <c r="A14336" s="34">
        <v>53111704</v>
      </c>
      <c r="B14336" s="35" t="s">
        <v>10942</v>
      </c>
    </row>
    <row r="14337" spans="1:2" x14ac:dyDescent="0.35">
      <c r="A14337" s="34">
        <v>53111705</v>
      </c>
      <c r="B14337" s="35" t="s">
        <v>14839</v>
      </c>
    </row>
    <row r="14338" spans="1:2" x14ac:dyDescent="0.35">
      <c r="A14338" s="34">
        <v>53111801</v>
      </c>
      <c r="B14338" s="35" t="s">
        <v>12461</v>
      </c>
    </row>
    <row r="14339" spans="1:2" x14ac:dyDescent="0.35">
      <c r="A14339" s="34">
        <v>53111802</v>
      </c>
      <c r="B14339" s="35" t="s">
        <v>10470</v>
      </c>
    </row>
    <row r="14340" spans="1:2" x14ac:dyDescent="0.35">
      <c r="A14340" s="34">
        <v>53111803</v>
      </c>
      <c r="B14340" s="35" t="s">
        <v>15655</v>
      </c>
    </row>
    <row r="14341" spans="1:2" x14ac:dyDescent="0.35">
      <c r="A14341" s="34">
        <v>53111804</v>
      </c>
      <c r="B14341" s="35" t="s">
        <v>15654</v>
      </c>
    </row>
    <row r="14342" spans="1:2" x14ac:dyDescent="0.35">
      <c r="A14342" s="34">
        <v>53111805</v>
      </c>
      <c r="B14342" s="35" t="s">
        <v>527</v>
      </c>
    </row>
    <row r="14343" spans="1:2" x14ac:dyDescent="0.35">
      <c r="A14343" s="34">
        <v>53111901</v>
      </c>
      <c r="B14343" s="35" t="s">
        <v>1541</v>
      </c>
    </row>
    <row r="14344" spans="1:2" x14ac:dyDescent="0.35">
      <c r="A14344" s="34">
        <v>53111902</v>
      </c>
      <c r="B14344" s="35" t="s">
        <v>18891</v>
      </c>
    </row>
    <row r="14345" spans="1:2" x14ac:dyDescent="0.35">
      <c r="A14345" s="34">
        <v>53111903</v>
      </c>
      <c r="B14345" s="35" t="s">
        <v>11169</v>
      </c>
    </row>
    <row r="14346" spans="1:2" x14ac:dyDescent="0.35">
      <c r="A14346" s="34">
        <v>53111904</v>
      </c>
      <c r="B14346" s="35" t="s">
        <v>10343</v>
      </c>
    </row>
    <row r="14347" spans="1:2" x14ac:dyDescent="0.35">
      <c r="A14347" s="34">
        <v>53111905</v>
      </c>
      <c r="B14347" s="35" t="s">
        <v>976</v>
      </c>
    </row>
    <row r="14348" spans="1:2" x14ac:dyDescent="0.35">
      <c r="A14348" s="34">
        <v>53112001</v>
      </c>
      <c r="B14348" s="35" t="s">
        <v>15204</v>
      </c>
    </row>
    <row r="14349" spans="1:2" x14ac:dyDescent="0.35">
      <c r="A14349" s="34">
        <v>53112002</v>
      </c>
      <c r="B14349" s="35" t="s">
        <v>13916</v>
      </c>
    </row>
    <row r="14350" spans="1:2" x14ac:dyDescent="0.35">
      <c r="A14350" s="34">
        <v>53112003</v>
      </c>
      <c r="B14350" s="35" t="s">
        <v>5901</v>
      </c>
    </row>
    <row r="14351" spans="1:2" x14ac:dyDescent="0.35">
      <c r="A14351" s="34">
        <v>53112004</v>
      </c>
      <c r="B14351" s="35" t="s">
        <v>8404</v>
      </c>
    </row>
    <row r="14352" spans="1:2" x14ac:dyDescent="0.35">
      <c r="A14352" s="34">
        <v>53112005</v>
      </c>
      <c r="B14352" s="35" t="s">
        <v>6460</v>
      </c>
    </row>
    <row r="14353" spans="1:2" x14ac:dyDescent="0.35">
      <c r="A14353" s="34">
        <v>53112101</v>
      </c>
      <c r="B14353" s="35" t="s">
        <v>16258</v>
      </c>
    </row>
    <row r="14354" spans="1:2" x14ac:dyDescent="0.35">
      <c r="A14354" s="34">
        <v>53112102</v>
      </c>
      <c r="B14354" s="35" t="s">
        <v>5234</v>
      </c>
    </row>
    <row r="14355" spans="1:2" x14ac:dyDescent="0.35">
      <c r="A14355" s="34">
        <v>53112103</v>
      </c>
      <c r="B14355" s="35" t="s">
        <v>5441</v>
      </c>
    </row>
    <row r="14356" spans="1:2" x14ac:dyDescent="0.35">
      <c r="A14356" s="34">
        <v>53112104</v>
      </c>
      <c r="B14356" s="35" t="s">
        <v>5436</v>
      </c>
    </row>
    <row r="14357" spans="1:2" x14ac:dyDescent="0.35">
      <c r="A14357" s="34">
        <v>53112105</v>
      </c>
      <c r="B14357" s="35" t="s">
        <v>3051</v>
      </c>
    </row>
    <row r="14358" spans="1:2" x14ac:dyDescent="0.35">
      <c r="A14358" s="34">
        <v>53121501</v>
      </c>
      <c r="B14358" s="35" t="s">
        <v>5298</v>
      </c>
    </row>
    <row r="14359" spans="1:2" x14ac:dyDescent="0.35">
      <c r="A14359" s="34">
        <v>53121502</v>
      </c>
      <c r="B14359" s="35" t="s">
        <v>11226</v>
      </c>
    </row>
    <row r="14360" spans="1:2" x14ac:dyDescent="0.35">
      <c r="A14360" s="34">
        <v>53121503</v>
      </c>
      <c r="B14360" s="35" t="s">
        <v>14174</v>
      </c>
    </row>
    <row r="14361" spans="1:2" x14ac:dyDescent="0.35">
      <c r="A14361" s="34">
        <v>53121601</v>
      </c>
      <c r="B14361" s="35" t="s">
        <v>11294</v>
      </c>
    </row>
    <row r="14362" spans="1:2" x14ac:dyDescent="0.35">
      <c r="A14362" s="34">
        <v>53121602</v>
      </c>
      <c r="B14362" s="35" t="s">
        <v>2016</v>
      </c>
    </row>
    <row r="14363" spans="1:2" x14ac:dyDescent="0.35">
      <c r="A14363" s="34">
        <v>53121603</v>
      </c>
      <c r="B14363" s="35" t="s">
        <v>16694</v>
      </c>
    </row>
    <row r="14364" spans="1:2" x14ac:dyDescent="0.35">
      <c r="A14364" s="34">
        <v>53121605</v>
      </c>
      <c r="B14364" s="35" t="s">
        <v>9694</v>
      </c>
    </row>
    <row r="14365" spans="1:2" x14ac:dyDescent="0.35">
      <c r="A14365" s="34">
        <v>53121606</v>
      </c>
      <c r="B14365" s="35" t="s">
        <v>5332</v>
      </c>
    </row>
    <row r="14366" spans="1:2" x14ac:dyDescent="0.35">
      <c r="A14366" s="34">
        <v>53121607</v>
      </c>
      <c r="B14366" s="35" t="s">
        <v>6240</v>
      </c>
    </row>
    <row r="14367" spans="1:2" x14ac:dyDescent="0.35">
      <c r="A14367" s="34">
        <v>53121608</v>
      </c>
      <c r="B14367" s="35" t="s">
        <v>9242</v>
      </c>
    </row>
    <row r="14368" spans="1:2" x14ac:dyDescent="0.35">
      <c r="A14368" s="34">
        <v>53121701</v>
      </c>
      <c r="B14368" s="35" t="s">
        <v>11046</v>
      </c>
    </row>
    <row r="14369" spans="1:2" x14ac:dyDescent="0.35">
      <c r="A14369" s="34">
        <v>53121702</v>
      </c>
      <c r="B14369" s="35" t="s">
        <v>18676</v>
      </c>
    </row>
    <row r="14370" spans="1:2" x14ac:dyDescent="0.35">
      <c r="A14370" s="34">
        <v>53121704</v>
      </c>
      <c r="B14370" s="35" t="s">
        <v>6420</v>
      </c>
    </row>
    <row r="14371" spans="1:2" x14ac:dyDescent="0.35">
      <c r="A14371" s="34">
        <v>53121705</v>
      </c>
      <c r="B14371" s="35" t="s">
        <v>3878</v>
      </c>
    </row>
    <row r="14372" spans="1:2" x14ac:dyDescent="0.35">
      <c r="A14372" s="34">
        <v>53121706</v>
      </c>
      <c r="B14372" s="35" t="s">
        <v>12936</v>
      </c>
    </row>
    <row r="14373" spans="1:2" x14ac:dyDescent="0.35">
      <c r="A14373" s="34">
        <v>53121801</v>
      </c>
      <c r="B14373" s="35" t="s">
        <v>9948</v>
      </c>
    </row>
    <row r="14374" spans="1:2" x14ac:dyDescent="0.35">
      <c r="A14374" s="34">
        <v>53121802</v>
      </c>
      <c r="B14374" s="35" t="s">
        <v>12083</v>
      </c>
    </row>
    <row r="14375" spans="1:2" x14ac:dyDescent="0.35">
      <c r="A14375" s="34">
        <v>53121803</v>
      </c>
      <c r="B14375" s="35" t="s">
        <v>4122</v>
      </c>
    </row>
    <row r="14376" spans="1:2" x14ac:dyDescent="0.35">
      <c r="A14376" s="34">
        <v>53121804</v>
      </c>
      <c r="B14376" s="35" t="s">
        <v>15023</v>
      </c>
    </row>
    <row r="14377" spans="1:2" x14ac:dyDescent="0.35">
      <c r="A14377" s="34">
        <v>53131501</v>
      </c>
      <c r="B14377" s="35" t="s">
        <v>7029</v>
      </c>
    </row>
    <row r="14378" spans="1:2" x14ac:dyDescent="0.35">
      <c r="A14378" s="34">
        <v>53131502</v>
      </c>
      <c r="B14378" s="35" t="s">
        <v>7830</v>
      </c>
    </row>
    <row r="14379" spans="1:2" x14ac:dyDescent="0.35">
      <c r="A14379" s="34">
        <v>53131503</v>
      </c>
      <c r="B14379" s="35" t="s">
        <v>8717</v>
      </c>
    </row>
    <row r="14380" spans="1:2" x14ac:dyDescent="0.35">
      <c r="A14380" s="34">
        <v>53131504</v>
      </c>
      <c r="B14380" s="35" t="s">
        <v>18621</v>
      </c>
    </row>
    <row r="14381" spans="1:2" x14ac:dyDescent="0.35">
      <c r="A14381" s="34">
        <v>53131505</v>
      </c>
      <c r="B14381" s="35" t="s">
        <v>5940</v>
      </c>
    </row>
    <row r="14382" spans="1:2" x14ac:dyDescent="0.35">
      <c r="A14382" s="34">
        <v>53131506</v>
      </c>
      <c r="B14382" s="35" t="s">
        <v>1002</v>
      </c>
    </row>
    <row r="14383" spans="1:2" x14ac:dyDescent="0.35">
      <c r="A14383" s="34">
        <v>53131507</v>
      </c>
      <c r="B14383" s="35" t="s">
        <v>1642</v>
      </c>
    </row>
    <row r="14384" spans="1:2" x14ac:dyDescent="0.35">
      <c r="A14384" s="34">
        <v>53131508</v>
      </c>
      <c r="B14384" s="35" t="s">
        <v>7462</v>
      </c>
    </row>
    <row r="14385" spans="1:2" x14ac:dyDescent="0.35">
      <c r="A14385" s="34">
        <v>53131509</v>
      </c>
      <c r="B14385" s="35" t="s">
        <v>19210</v>
      </c>
    </row>
    <row r="14386" spans="1:2" x14ac:dyDescent="0.35">
      <c r="A14386" s="34">
        <v>53131601</v>
      </c>
      <c r="B14386" s="35" t="s">
        <v>2407</v>
      </c>
    </row>
    <row r="14387" spans="1:2" x14ac:dyDescent="0.35">
      <c r="A14387" s="34">
        <v>53131602</v>
      </c>
      <c r="B14387" s="35" t="s">
        <v>15252</v>
      </c>
    </row>
    <row r="14388" spans="1:2" x14ac:dyDescent="0.35">
      <c r="A14388" s="34">
        <v>53131603</v>
      </c>
      <c r="B14388" s="35" t="s">
        <v>3551</v>
      </c>
    </row>
    <row r="14389" spans="1:2" x14ac:dyDescent="0.35">
      <c r="A14389" s="34">
        <v>53131604</v>
      </c>
      <c r="B14389" s="35" t="s">
        <v>14176</v>
      </c>
    </row>
    <row r="14390" spans="1:2" x14ac:dyDescent="0.35">
      <c r="A14390" s="34">
        <v>53131605</v>
      </c>
      <c r="B14390" s="35" t="s">
        <v>12641</v>
      </c>
    </row>
    <row r="14391" spans="1:2" x14ac:dyDescent="0.35">
      <c r="A14391" s="34">
        <v>53131606</v>
      </c>
      <c r="B14391" s="35" t="s">
        <v>5468</v>
      </c>
    </row>
    <row r="14392" spans="1:2" x14ac:dyDescent="0.35">
      <c r="A14392" s="34">
        <v>53131607</v>
      </c>
      <c r="B14392" s="35" t="s">
        <v>7741</v>
      </c>
    </row>
    <row r="14393" spans="1:2" x14ac:dyDescent="0.35">
      <c r="A14393" s="34">
        <v>53131608</v>
      </c>
      <c r="B14393" s="35" t="s">
        <v>11886</v>
      </c>
    </row>
    <row r="14394" spans="1:2" x14ac:dyDescent="0.35">
      <c r="A14394" s="34">
        <v>53131609</v>
      </c>
      <c r="B14394" s="35" t="s">
        <v>5345</v>
      </c>
    </row>
    <row r="14395" spans="1:2" x14ac:dyDescent="0.35">
      <c r="A14395" s="34">
        <v>53131610</v>
      </c>
      <c r="B14395" s="35" t="s">
        <v>14396</v>
      </c>
    </row>
    <row r="14396" spans="1:2" x14ac:dyDescent="0.35">
      <c r="A14396" s="34">
        <v>53131611</v>
      </c>
      <c r="B14396" s="35" t="s">
        <v>4862</v>
      </c>
    </row>
    <row r="14397" spans="1:2" x14ac:dyDescent="0.35">
      <c r="A14397" s="34">
        <v>53131612</v>
      </c>
      <c r="B14397" s="35" t="s">
        <v>2173</v>
      </c>
    </row>
    <row r="14398" spans="1:2" x14ac:dyDescent="0.35">
      <c r="A14398" s="34">
        <v>53131613</v>
      </c>
      <c r="B14398" s="35" t="s">
        <v>802</v>
      </c>
    </row>
    <row r="14399" spans="1:2" x14ac:dyDescent="0.35">
      <c r="A14399" s="34">
        <v>53131614</v>
      </c>
      <c r="B14399" s="35" t="s">
        <v>12993</v>
      </c>
    </row>
    <row r="14400" spans="1:2" x14ac:dyDescent="0.35">
      <c r="A14400" s="34">
        <v>53131615</v>
      </c>
      <c r="B14400" s="35" t="s">
        <v>11787</v>
      </c>
    </row>
    <row r="14401" spans="1:2" x14ac:dyDescent="0.35">
      <c r="A14401" s="34">
        <v>53131616</v>
      </c>
      <c r="B14401" s="35" t="s">
        <v>13293</v>
      </c>
    </row>
    <row r="14402" spans="1:2" x14ac:dyDescent="0.35">
      <c r="A14402" s="34">
        <v>53131617</v>
      </c>
      <c r="B14402" s="35" t="s">
        <v>19561</v>
      </c>
    </row>
    <row r="14403" spans="1:2" x14ac:dyDescent="0.35">
      <c r="A14403" s="34">
        <v>53131618</v>
      </c>
      <c r="B14403" s="35" t="s">
        <v>7058</v>
      </c>
    </row>
    <row r="14404" spans="1:2" x14ac:dyDescent="0.35">
      <c r="A14404" s="34">
        <v>53131619</v>
      </c>
      <c r="B14404" s="35" t="s">
        <v>10045</v>
      </c>
    </row>
    <row r="14405" spans="1:2" x14ac:dyDescent="0.35">
      <c r="A14405" s="34">
        <v>53131620</v>
      </c>
      <c r="B14405" s="35" t="s">
        <v>6115</v>
      </c>
    </row>
    <row r="14406" spans="1:2" x14ac:dyDescent="0.35">
      <c r="A14406" s="34">
        <v>53131621</v>
      </c>
      <c r="B14406" s="35" t="s">
        <v>16963</v>
      </c>
    </row>
    <row r="14407" spans="1:2" x14ac:dyDescent="0.35">
      <c r="A14407" s="34">
        <v>53131622</v>
      </c>
      <c r="B14407" s="35" t="s">
        <v>5576</v>
      </c>
    </row>
    <row r="14408" spans="1:2" x14ac:dyDescent="0.35">
      <c r="A14408" s="34">
        <v>53131623</v>
      </c>
      <c r="B14408" s="35" t="s">
        <v>1368</v>
      </c>
    </row>
    <row r="14409" spans="1:2" x14ac:dyDescent="0.35">
      <c r="A14409" s="34">
        <v>53131624</v>
      </c>
      <c r="B14409" s="35" t="s">
        <v>2182</v>
      </c>
    </row>
    <row r="14410" spans="1:2" x14ac:dyDescent="0.35">
      <c r="A14410" s="34">
        <v>53131625</v>
      </c>
      <c r="B14410" s="35" t="s">
        <v>15175</v>
      </c>
    </row>
    <row r="14411" spans="1:2" x14ac:dyDescent="0.35">
      <c r="A14411" s="34">
        <v>53131626</v>
      </c>
      <c r="B14411" s="35" t="s">
        <v>5219</v>
      </c>
    </row>
    <row r="14412" spans="1:2" x14ac:dyDescent="0.35">
      <c r="A14412" s="34">
        <v>53131627</v>
      </c>
      <c r="B14412" s="35" t="s">
        <v>7055</v>
      </c>
    </row>
    <row r="14413" spans="1:2" x14ac:dyDescent="0.35">
      <c r="A14413" s="34">
        <v>53131628</v>
      </c>
      <c r="B14413" s="35" t="s">
        <v>8106</v>
      </c>
    </row>
    <row r="14414" spans="1:2" x14ac:dyDescent="0.35">
      <c r="A14414" s="34">
        <v>53131629</v>
      </c>
      <c r="B14414" s="35" t="s">
        <v>19658</v>
      </c>
    </row>
    <row r="14415" spans="1:2" x14ac:dyDescent="0.35">
      <c r="A14415" s="34">
        <v>53131630</v>
      </c>
      <c r="B14415" s="35" t="s">
        <v>17867</v>
      </c>
    </row>
    <row r="14416" spans="1:2" x14ac:dyDescent="0.35">
      <c r="A14416" s="34">
        <v>53131631</v>
      </c>
      <c r="B14416" s="35" t="s">
        <v>15728</v>
      </c>
    </row>
    <row r="14417" spans="1:2" x14ac:dyDescent="0.35">
      <c r="A14417" s="34">
        <v>53131632</v>
      </c>
      <c r="B14417" s="35" t="s">
        <v>9830</v>
      </c>
    </row>
    <row r="14418" spans="1:2" x14ac:dyDescent="0.35">
      <c r="A14418" s="34">
        <v>53131633</v>
      </c>
      <c r="B14418" s="35" t="s">
        <v>19258</v>
      </c>
    </row>
    <row r="14419" spans="1:2" x14ac:dyDescent="0.35">
      <c r="A14419" s="34">
        <v>53131634</v>
      </c>
      <c r="B14419" s="35" t="s">
        <v>1553</v>
      </c>
    </row>
    <row r="14420" spans="1:2" x14ac:dyDescent="0.35">
      <c r="A14420" s="34">
        <v>53131635</v>
      </c>
      <c r="B14420" s="35" t="s">
        <v>6517</v>
      </c>
    </row>
    <row r="14421" spans="1:2" x14ac:dyDescent="0.35">
      <c r="A14421" s="34">
        <v>53131636</v>
      </c>
      <c r="B14421" s="35" t="s">
        <v>15141</v>
      </c>
    </row>
    <row r="14422" spans="1:2" x14ac:dyDescent="0.35">
      <c r="A14422" s="34">
        <v>53131637</v>
      </c>
      <c r="B14422" s="35" t="s">
        <v>2671</v>
      </c>
    </row>
    <row r="14423" spans="1:2" x14ac:dyDescent="0.35">
      <c r="A14423" s="34">
        <v>53131638</v>
      </c>
      <c r="B14423" s="35" t="s">
        <v>14105</v>
      </c>
    </row>
    <row r="14424" spans="1:2" x14ac:dyDescent="0.35">
      <c r="A14424" s="34">
        <v>53141501</v>
      </c>
      <c r="B14424" s="35" t="s">
        <v>404</v>
      </c>
    </row>
    <row r="14425" spans="1:2" x14ac:dyDescent="0.35">
      <c r="A14425" s="34">
        <v>53141502</v>
      </c>
      <c r="B14425" s="35" t="s">
        <v>6500</v>
      </c>
    </row>
    <row r="14426" spans="1:2" x14ac:dyDescent="0.35">
      <c r="A14426" s="34">
        <v>53141503</v>
      </c>
      <c r="B14426" s="35" t="s">
        <v>18685</v>
      </c>
    </row>
    <row r="14427" spans="1:2" x14ac:dyDescent="0.35">
      <c r="A14427" s="34">
        <v>53141504</v>
      </c>
      <c r="B14427" s="35" t="s">
        <v>4055</v>
      </c>
    </row>
    <row r="14428" spans="1:2" x14ac:dyDescent="0.35">
      <c r="A14428" s="34">
        <v>53141505</v>
      </c>
      <c r="B14428" s="35" t="s">
        <v>6537</v>
      </c>
    </row>
    <row r="14429" spans="1:2" x14ac:dyDescent="0.35">
      <c r="A14429" s="34">
        <v>53141506</v>
      </c>
      <c r="B14429" s="35" t="s">
        <v>11449</v>
      </c>
    </row>
    <row r="14430" spans="1:2" x14ac:dyDescent="0.35">
      <c r="A14430" s="34">
        <v>53141507</v>
      </c>
      <c r="B14430" s="35" t="s">
        <v>4996</v>
      </c>
    </row>
    <row r="14431" spans="1:2" x14ac:dyDescent="0.35">
      <c r="A14431" s="34">
        <v>53141508</v>
      </c>
      <c r="B14431" s="35" t="s">
        <v>9316</v>
      </c>
    </row>
    <row r="14432" spans="1:2" x14ac:dyDescent="0.35">
      <c r="A14432" s="34">
        <v>53141601</v>
      </c>
      <c r="B14432" s="35" t="s">
        <v>4969</v>
      </c>
    </row>
    <row r="14433" spans="1:2" x14ac:dyDescent="0.35">
      <c r="A14433" s="34">
        <v>53141602</v>
      </c>
      <c r="B14433" s="35" t="s">
        <v>635</v>
      </c>
    </row>
    <row r="14434" spans="1:2" x14ac:dyDescent="0.35">
      <c r="A14434" s="34">
        <v>53141603</v>
      </c>
      <c r="B14434" s="35" t="s">
        <v>2336</v>
      </c>
    </row>
    <row r="14435" spans="1:2" x14ac:dyDescent="0.35">
      <c r="A14435" s="34">
        <v>53141604</v>
      </c>
      <c r="B14435" s="35" t="s">
        <v>13913</v>
      </c>
    </row>
    <row r="14436" spans="1:2" x14ac:dyDescent="0.35">
      <c r="A14436" s="34">
        <v>53141605</v>
      </c>
      <c r="B14436" s="35" t="s">
        <v>7355</v>
      </c>
    </row>
    <row r="14437" spans="1:2" x14ac:dyDescent="0.35">
      <c r="A14437" s="34">
        <v>53141606</v>
      </c>
      <c r="B14437" s="35" t="s">
        <v>18293</v>
      </c>
    </row>
    <row r="14438" spans="1:2" x14ac:dyDescent="0.35">
      <c r="A14438" s="34">
        <v>53141607</v>
      </c>
      <c r="B14438" s="35" t="s">
        <v>7417</v>
      </c>
    </row>
    <row r="14439" spans="1:2" x14ac:dyDescent="0.35">
      <c r="A14439" s="34">
        <v>53141608</v>
      </c>
      <c r="B14439" s="35" t="s">
        <v>2399</v>
      </c>
    </row>
    <row r="14440" spans="1:2" x14ac:dyDescent="0.35">
      <c r="A14440" s="34">
        <v>53141609</v>
      </c>
      <c r="B14440" s="35" t="s">
        <v>4528</v>
      </c>
    </row>
    <row r="14441" spans="1:2" x14ac:dyDescent="0.35">
      <c r="A14441" s="34">
        <v>53141610</v>
      </c>
      <c r="B14441" s="35" t="s">
        <v>14209</v>
      </c>
    </row>
    <row r="14442" spans="1:2" x14ac:dyDescent="0.35">
      <c r="A14442" s="34">
        <v>53141611</v>
      </c>
      <c r="B14442" s="35" t="s">
        <v>18026</v>
      </c>
    </row>
    <row r="14443" spans="1:2" x14ac:dyDescent="0.35">
      <c r="A14443" s="34">
        <v>53141612</v>
      </c>
      <c r="B14443" s="35" t="s">
        <v>6164</v>
      </c>
    </row>
    <row r="14444" spans="1:2" x14ac:dyDescent="0.35">
      <c r="A14444" s="34">
        <v>53141613</v>
      </c>
      <c r="B14444" s="35" t="s">
        <v>3491</v>
      </c>
    </row>
    <row r="14445" spans="1:2" x14ac:dyDescent="0.35">
      <c r="A14445" s="34">
        <v>53141614</v>
      </c>
      <c r="B14445" s="35" t="s">
        <v>4048</v>
      </c>
    </row>
    <row r="14446" spans="1:2" x14ac:dyDescent="0.35">
      <c r="A14446" s="34">
        <v>53141615</v>
      </c>
      <c r="B14446" s="35" t="s">
        <v>5200</v>
      </c>
    </row>
    <row r="14447" spans="1:2" x14ac:dyDescent="0.35">
      <c r="A14447" s="34">
        <v>53141616</v>
      </c>
      <c r="B14447" s="35" t="s">
        <v>7165</v>
      </c>
    </row>
    <row r="14448" spans="1:2" x14ac:dyDescent="0.35">
      <c r="A14448" s="34">
        <v>53141617</v>
      </c>
      <c r="B14448" s="35" t="s">
        <v>16182</v>
      </c>
    </row>
    <row r="14449" spans="1:2" x14ac:dyDescent="0.35">
      <c r="A14449" s="34">
        <v>53141618</v>
      </c>
      <c r="B14449" s="35" t="s">
        <v>11204</v>
      </c>
    </row>
    <row r="14450" spans="1:2" x14ac:dyDescent="0.35">
      <c r="A14450" s="34">
        <v>53141619</v>
      </c>
      <c r="B14450" s="35" t="s">
        <v>17019</v>
      </c>
    </row>
    <row r="14451" spans="1:2" x14ac:dyDescent="0.35">
      <c r="A14451" s="34">
        <v>53141620</v>
      </c>
      <c r="B14451" s="35" t="s">
        <v>14758</v>
      </c>
    </row>
    <row r="14452" spans="1:2" x14ac:dyDescent="0.35">
      <c r="A14452" s="34">
        <v>53141621</v>
      </c>
      <c r="B14452" s="35" t="s">
        <v>3061</v>
      </c>
    </row>
    <row r="14453" spans="1:2" x14ac:dyDescent="0.35">
      <c r="A14453" s="34">
        <v>53141622</v>
      </c>
      <c r="B14453" s="35" t="s">
        <v>3374</v>
      </c>
    </row>
    <row r="14454" spans="1:2" x14ac:dyDescent="0.35">
      <c r="A14454" s="34">
        <v>53141623</v>
      </c>
      <c r="B14454" s="35" t="s">
        <v>3734</v>
      </c>
    </row>
    <row r="14455" spans="1:2" x14ac:dyDescent="0.35">
      <c r="A14455" s="34">
        <v>53141624</v>
      </c>
      <c r="B14455" s="35" t="s">
        <v>12488</v>
      </c>
    </row>
    <row r="14456" spans="1:2" x14ac:dyDescent="0.35">
      <c r="A14456" s="34">
        <v>53141625</v>
      </c>
      <c r="B14456" s="35" t="s">
        <v>288</v>
      </c>
    </row>
    <row r="14457" spans="1:2" x14ac:dyDescent="0.35">
      <c r="A14457" s="34">
        <v>53141626</v>
      </c>
      <c r="B14457" s="35" t="s">
        <v>15041</v>
      </c>
    </row>
    <row r="14458" spans="1:2" x14ac:dyDescent="0.35">
      <c r="A14458" s="34">
        <v>53141627</v>
      </c>
      <c r="B14458" s="35" t="s">
        <v>12730</v>
      </c>
    </row>
    <row r="14459" spans="1:2" x14ac:dyDescent="0.35">
      <c r="A14459" s="34">
        <v>53141628</v>
      </c>
      <c r="B14459" s="35" t="s">
        <v>12870</v>
      </c>
    </row>
    <row r="14460" spans="1:2" x14ac:dyDescent="0.35">
      <c r="A14460" s="34">
        <v>53141629</v>
      </c>
      <c r="B14460" s="35" t="s">
        <v>17937</v>
      </c>
    </row>
    <row r="14461" spans="1:2" x14ac:dyDescent="0.35">
      <c r="A14461" s="34">
        <v>53141630</v>
      </c>
      <c r="B14461" s="35" t="s">
        <v>7872</v>
      </c>
    </row>
    <row r="14462" spans="1:2" x14ac:dyDescent="0.35">
      <c r="A14462" s="34">
        <v>54101501</v>
      </c>
      <c r="B14462" s="35" t="s">
        <v>16212</v>
      </c>
    </row>
    <row r="14463" spans="1:2" x14ac:dyDescent="0.35">
      <c r="A14463" s="34">
        <v>54101502</v>
      </c>
      <c r="B14463" s="35" t="s">
        <v>6992</v>
      </c>
    </row>
    <row r="14464" spans="1:2" x14ac:dyDescent="0.35">
      <c r="A14464" s="34">
        <v>54101503</v>
      </c>
      <c r="B14464" s="35" t="s">
        <v>12608</v>
      </c>
    </row>
    <row r="14465" spans="1:2" x14ac:dyDescent="0.35">
      <c r="A14465" s="34">
        <v>54101504</v>
      </c>
      <c r="B14465" s="35" t="s">
        <v>4270</v>
      </c>
    </row>
    <row r="14466" spans="1:2" x14ac:dyDescent="0.35">
      <c r="A14466" s="34">
        <v>54101505</v>
      </c>
      <c r="B14466" s="35" t="s">
        <v>1778</v>
      </c>
    </row>
    <row r="14467" spans="1:2" x14ac:dyDescent="0.35">
      <c r="A14467" s="34">
        <v>54101506</v>
      </c>
      <c r="B14467" s="35" t="s">
        <v>14611</v>
      </c>
    </row>
    <row r="14468" spans="1:2" x14ac:dyDescent="0.35">
      <c r="A14468" s="34">
        <v>54101507</v>
      </c>
      <c r="B14468" s="35" t="s">
        <v>12423</v>
      </c>
    </row>
    <row r="14469" spans="1:2" x14ac:dyDescent="0.35">
      <c r="A14469" s="34">
        <v>54101508</v>
      </c>
      <c r="B14469" s="35" t="s">
        <v>4726</v>
      </c>
    </row>
    <row r="14470" spans="1:2" x14ac:dyDescent="0.35">
      <c r="A14470" s="34">
        <v>54101509</v>
      </c>
      <c r="B14470" s="35" t="s">
        <v>16339</v>
      </c>
    </row>
    <row r="14471" spans="1:2" x14ac:dyDescent="0.35">
      <c r="A14471" s="34">
        <v>54101510</v>
      </c>
      <c r="B14471" s="35" t="s">
        <v>14927</v>
      </c>
    </row>
    <row r="14472" spans="1:2" x14ac:dyDescent="0.35">
      <c r="A14472" s="34">
        <v>54101511</v>
      </c>
      <c r="B14472" s="35" t="s">
        <v>5238</v>
      </c>
    </row>
    <row r="14473" spans="1:2" x14ac:dyDescent="0.35">
      <c r="A14473" s="34">
        <v>54101512</v>
      </c>
      <c r="B14473" s="35" t="s">
        <v>2996</v>
      </c>
    </row>
    <row r="14474" spans="1:2" x14ac:dyDescent="0.35">
      <c r="A14474" s="34">
        <v>54101601</v>
      </c>
      <c r="B14474" s="35" t="s">
        <v>2845</v>
      </c>
    </row>
    <row r="14475" spans="1:2" x14ac:dyDescent="0.35">
      <c r="A14475" s="34">
        <v>54101602</v>
      </c>
      <c r="B14475" s="35" t="s">
        <v>4181</v>
      </c>
    </row>
    <row r="14476" spans="1:2" x14ac:dyDescent="0.35">
      <c r="A14476" s="34">
        <v>54101603</v>
      </c>
      <c r="B14476" s="35" t="s">
        <v>15264</v>
      </c>
    </row>
    <row r="14477" spans="1:2" x14ac:dyDescent="0.35">
      <c r="A14477" s="34">
        <v>54101604</v>
      </c>
      <c r="B14477" s="35" t="s">
        <v>1824</v>
      </c>
    </row>
    <row r="14478" spans="1:2" x14ac:dyDescent="0.35">
      <c r="A14478" s="34">
        <v>54101605</v>
      </c>
      <c r="B14478" s="35" t="s">
        <v>8279</v>
      </c>
    </row>
    <row r="14479" spans="1:2" x14ac:dyDescent="0.35">
      <c r="A14479" s="34">
        <v>54101701</v>
      </c>
      <c r="B14479" s="35" t="s">
        <v>2960</v>
      </c>
    </row>
    <row r="14480" spans="1:2" x14ac:dyDescent="0.35">
      <c r="A14480" s="34">
        <v>54101702</v>
      </c>
      <c r="B14480" s="35" t="s">
        <v>18512</v>
      </c>
    </row>
    <row r="14481" spans="1:2" x14ac:dyDescent="0.35">
      <c r="A14481" s="34">
        <v>54101703</v>
      </c>
      <c r="B14481" s="35" t="s">
        <v>1001</v>
      </c>
    </row>
    <row r="14482" spans="1:2" x14ac:dyDescent="0.35">
      <c r="A14482" s="34">
        <v>54101704</v>
      </c>
      <c r="B14482" s="35" t="s">
        <v>17037</v>
      </c>
    </row>
    <row r="14483" spans="1:2" x14ac:dyDescent="0.35">
      <c r="A14483" s="34">
        <v>54101705</v>
      </c>
      <c r="B14483" s="35" t="s">
        <v>18094</v>
      </c>
    </row>
    <row r="14484" spans="1:2" x14ac:dyDescent="0.35">
      <c r="A14484" s="34">
        <v>54101706</v>
      </c>
      <c r="B14484" s="35" t="s">
        <v>19570</v>
      </c>
    </row>
    <row r="14485" spans="1:2" x14ac:dyDescent="0.35">
      <c r="A14485" s="34">
        <v>54111501</v>
      </c>
      <c r="B14485" s="35" t="s">
        <v>11458</v>
      </c>
    </row>
    <row r="14486" spans="1:2" x14ac:dyDescent="0.35">
      <c r="A14486" s="34">
        <v>54111502</v>
      </c>
      <c r="B14486" s="35" t="s">
        <v>362</v>
      </c>
    </row>
    <row r="14487" spans="1:2" x14ac:dyDescent="0.35">
      <c r="A14487" s="34">
        <v>54111601</v>
      </c>
      <c r="B14487" s="35" t="s">
        <v>6689</v>
      </c>
    </row>
    <row r="14488" spans="1:2" x14ac:dyDescent="0.35">
      <c r="A14488" s="34">
        <v>54111602</v>
      </c>
      <c r="B14488" s="35" t="s">
        <v>17832</v>
      </c>
    </row>
    <row r="14489" spans="1:2" x14ac:dyDescent="0.35">
      <c r="A14489" s="34">
        <v>54111603</v>
      </c>
      <c r="B14489" s="35" t="s">
        <v>12295</v>
      </c>
    </row>
    <row r="14490" spans="1:2" x14ac:dyDescent="0.35">
      <c r="A14490" s="34">
        <v>54111604</v>
      </c>
      <c r="B14490" s="35" t="s">
        <v>7292</v>
      </c>
    </row>
    <row r="14491" spans="1:2" x14ac:dyDescent="0.35">
      <c r="A14491" s="34">
        <v>54111701</v>
      </c>
      <c r="B14491" s="35" t="s">
        <v>7560</v>
      </c>
    </row>
    <row r="14492" spans="1:2" x14ac:dyDescent="0.35">
      <c r="A14492" s="34">
        <v>54111702</v>
      </c>
      <c r="B14492" s="35" t="s">
        <v>2484</v>
      </c>
    </row>
    <row r="14493" spans="1:2" x14ac:dyDescent="0.35">
      <c r="A14493" s="34">
        <v>54111703</v>
      </c>
      <c r="B14493" s="35" t="s">
        <v>9747</v>
      </c>
    </row>
    <row r="14494" spans="1:2" x14ac:dyDescent="0.35">
      <c r="A14494" s="34">
        <v>54111704</v>
      </c>
      <c r="B14494" s="35" t="s">
        <v>10308</v>
      </c>
    </row>
    <row r="14495" spans="1:2" x14ac:dyDescent="0.35">
      <c r="A14495" s="34">
        <v>54111705</v>
      </c>
      <c r="B14495" s="35" t="s">
        <v>5390</v>
      </c>
    </row>
    <row r="14496" spans="1:2" x14ac:dyDescent="0.35">
      <c r="A14496" s="34">
        <v>54111706</v>
      </c>
      <c r="B14496" s="35" t="s">
        <v>12566</v>
      </c>
    </row>
    <row r="14497" spans="1:2" x14ac:dyDescent="0.35">
      <c r="A14497" s="34">
        <v>54111707</v>
      </c>
      <c r="B14497" s="35" t="s">
        <v>5179</v>
      </c>
    </row>
    <row r="14498" spans="1:2" x14ac:dyDescent="0.35">
      <c r="A14498" s="34">
        <v>54111708</v>
      </c>
      <c r="B14498" s="35" t="s">
        <v>10405</v>
      </c>
    </row>
    <row r="14499" spans="1:2" x14ac:dyDescent="0.35">
      <c r="A14499" s="34">
        <v>54111709</v>
      </c>
      <c r="B14499" s="35" t="s">
        <v>9423</v>
      </c>
    </row>
    <row r="14500" spans="1:2" x14ac:dyDescent="0.35">
      <c r="A14500" s="34">
        <v>54121501</v>
      </c>
      <c r="B14500" s="35" t="s">
        <v>2645</v>
      </c>
    </row>
    <row r="14501" spans="1:2" x14ac:dyDescent="0.35">
      <c r="A14501" s="34">
        <v>54121502</v>
      </c>
      <c r="B14501" s="35" t="s">
        <v>8671</v>
      </c>
    </row>
    <row r="14502" spans="1:2" x14ac:dyDescent="0.35">
      <c r="A14502" s="34">
        <v>54121503</v>
      </c>
      <c r="B14502" s="35" t="s">
        <v>6730</v>
      </c>
    </row>
    <row r="14503" spans="1:2" x14ac:dyDescent="0.35">
      <c r="A14503" s="34">
        <v>54121504</v>
      </c>
      <c r="B14503" s="35" t="s">
        <v>8034</v>
      </c>
    </row>
    <row r="14504" spans="1:2" x14ac:dyDescent="0.35">
      <c r="A14504" s="34">
        <v>54121601</v>
      </c>
      <c r="B14504" s="35" t="s">
        <v>10177</v>
      </c>
    </row>
    <row r="14505" spans="1:2" x14ac:dyDescent="0.35">
      <c r="A14505" s="34">
        <v>54121602</v>
      </c>
      <c r="B14505" s="35" t="s">
        <v>18603</v>
      </c>
    </row>
    <row r="14506" spans="1:2" x14ac:dyDescent="0.35">
      <c r="A14506" s="34">
        <v>54121603</v>
      </c>
      <c r="B14506" s="35" t="s">
        <v>17571</v>
      </c>
    </row>
    <row r="14507" spans="1:2" x14ac:dyDescent="0.35">
      <c r="A14507" s="34">
        <v>54121701</v>
      </c>
      <c r="B14507" s="35" t="s">
        <v>2036</v>
      </c>
    </row>
    <row r="14508" spans="1:2" x14ac:dyDescent="0.35">
      <c r="A14508" s="34">
        <v>54121702</v>
      </c>
      <c r="B14508" s="35" t="s">
        <v>9425</v>
      </c>
    </row>
    <row r="14509" spans="1:2" x14ac:dyDescent="0.35">
      <c r="A14509" s="34">
        <v>54121801</v>
      </c>
      <c r="B14509" s="35" t="s">
        <v>6366</v>
      </c>
    </row>
    <row r="14510" spans="1:2" x14ac:dyDescent="0.35">
      <c r="A14510" s="34">
        <v>54121802</v>
      </c>
      <c r="B14510" s="35" t="s">
        <v>41</v>
      </c>
    </row>
    <row r="14511" spans="1:2" x14ac:dyDescent="0.35">
      <c r="A14511" s="34">
        <v>55101501</v>
      </c>
      <c r="B14511" s="35" t="s">
        <v>3945</v>
      </c>
    </row>
    <row r="14512" spans="1:2" x14ac:dyDescent="0.35">
      <c r="A14512" s="34">
        <v>55101502</v>
      </c>
      <c r="B14512" s="35" t="s">
        <v>7686</v>
      </c>
    </row>
    <row r="14513" spans="1:2" x14ac:dyDescent="0.35">
      <c r="A14513" s="34">
        <v>55101503</v>
      </c>
      <c r="B14513" s="35" t="s">
        <v>7668</v>
      </c>
    </row>
    <row r="14514" spans="1:2" x14ac:dyDescent="0.35">
      <c r="A14514" s="34">
        <v>55101504</v>
      </c>
      <c r="B14514" s="35" t="s">
        <v>646</v>
      </c>
    </row>
    <row r="14515" spans="1:2" x14ac:dyDescent="0.35">
      <c r="A14515" s="34">
        <v>55101505</v>
      </c>
      <c r="B14515" s="35" t="s">
        <v>3087</v>
      </c>
    </row>
    <row r="14516" spans="1:2" x14ac:dyDescent="0.35">
      <c r="A14516" s="34">
        <v>55101506</v>
      </c>
      <c r="B14516" s="35" t="s">
        <v>13656</v>
      </c>
    </row>
    <row r="14517" spans="1:2" x14ac:dyDescent="0.35">
      <c r="A14517" s="34">
        <v>55101507</v>
      </c>
      <c r="B14517" s="35" t="s">
        <v>17798</v>
      </c>
    </row>
    <row r="14518" spans="1:2" x14ac:dyDescent="0.35">
      <c r="A14518" s="34">
        <v>55101509</v>
      </c>
      <c r="B14518" s="35" t="s">
        <v>1529</v>
      </c>
    </row>
    <row r="14519" spans="1:2" x14ac:dyDescent="0.35">
      <c r="A14519" s="34">
        <v>55101510</v>
      </c>
      <c r="B14519" s="35" t="s">
        <v>4913</v>
      </c>
    </row>
    <row r="14520" spans="1:2" x14ac:dyDescent="0.35">
      <c r="A14520" s="34">
        <v>55101513</v>
      </c>
      <c r="B14520" s="35" t="s">
        <v>6309</v>
      </c>
    </row>
    <row r="14521" spans="1:2" x14ac:dyDescent="0.35">
      <c r="A14521" s="34">
        <v>55101514</v>
      </c>
      <c r="B14521" s="35" t="s">
        <v>845</v>
      </c>
    </row>
    <row r="14522" spans="1:2" x14ac:dyDescent="0.35">
      <c r="A14522" s="34">
        <v>55101515</v>
      </c>
      <c r="B14522" s="35" t="s">
        <v>7743</v>
      </c>
    </row>
    <row r="14523" spans="1:2" x14ac:dyDescent="0.35">
      <c r="A14523" s="34">
        <v>55101516</v>
      </c>
      <c r="B14523" s="35" t="s">
        <v>12532</v>
      </c>
    </row>
    <row r="14524" spans="1:2" x14ac:dyDescent="0.35">
      <c r="A14524" s="34">
        <v>55101517</v>
      </c>
      <c r="B14524" s="35" t="s">
        <v>18399</v>
      </c>
    </row>
    <row r="14525" spans="1:2" x14ac:dyDescent="0.35">
      <c r="A14525" s="34">
        <v>55101518</v>
      </c>
      <c r="B14525" s="35" t="s">
        <v>4664</v>
      </c>
    </row>
    <row r="14526" spans="1:2" x14ac:dyDescent="0.35">
      <c r="A14526" s="34">
        <v>55101519</v>
      </c>
      <c r="B14526" s="35" t="s">
        <v>17201</v>
      </c>
    </row>
    <row r="14527" spans="1:2" x14ac:dyDescent="0.35">
      <c r="A14527" s="34">
        <v>55101520</v>
      </c>
      <c r="B14527" s="35" t="s">
        <v>1452</v>
      </c>
    </row>
    <row r="14528" spans="1:2" x14ac:dyDescent="0.35">
      <c r="A14528" s="34">
        <v>55101521</v>
      </c>
      <c r="B14528" s="35" t="s">
        <v>17462</v>
      </c>
    </row>
    <row r="14529" spans="1:2" x14ac:dyDescent="0.35">
      <c r="A14529" s="34">
        <v>55101522</v>
      </c>
      <c r="B14529" s="35" t="s">
        <v>11253</v>
      </c>
    </row>
    <row r="14530" spans="1:2" x14ac:dyDescent="0.35">
      <c r="A14530" s="34">
        <v>55101523</v>
      </c>
      <c r="B14530" s="35" t="s">
        <v>17161</v>
      </c>
    </row>
    <row r="14531" spans="1:2" x14ac:dyDescent="0.35">
      <c r="A14531" s="34">
        <v>55101524</v>
      </c>
      <c r="B14531" s="35" t="s">
        <v>17343</v>
      </c>
    </row>
    <row r="14532" spans="1:2" x14ac:dyDescent="0.35">
      <c r="A14532" s="34">
        <v>55101525</v>
      </c>
      <c r="B14532" s="35" t="s">
        <v>10602</v>
      </c>
    </row>
    <row r="14533" spans="1:2" x14ac:dyDescent="0.35">
      <c r="A14533" s="34">
        <v>55101526</v>
      </c>
      <c r="B14533" s="35" t="s">
        <v>4207</v>
      </c>
    </row>
    <row r="14534" spans="1:2" x14ac:dyDescent="0.35">
      <c r="A14534" s="34">
        <v>55101527</v>
      </c>
      <c r="B14534" s="35" t="s">
        <v>18852</v>
      </c>
    </row>
    <row r="14535" spans="1:2" x14ac:dyDescent="0.35">
      <c r="A14535" s="34">
        <v>55101528</v>
      </c>
      <c r="B14535" s="35" t="s">
        <v>14251</v>
      </c>
    </row>
    <row r="14536" spans="1:2" x14ac:dyDescent="0.35">
      <c r="A14536" s="34">
        <v>55101529</v>
      </c>
      <c r="B14536" s="35" t="s">
        <v>14126</v>
      </c>
    </row>
    <row r="14537" spans="1:2" x14ac:dyDescent="0.35">
      <c r="A14537" s="34">
        <v>55101530</v>
      </c>
      <c r="B14537" s="35" t="s">
        <v>8888</v>
      </c>
    </row>
    <row r="14538" spans="1:2" x14ac:dyDescent="0.35">
      <c r="A14538" s="34">
        <v>55101531</v>
      </c>
      <c r="B14538" s="35" t="s">
        <v>13305</v>
      </c>
    </row>
    <row r="14539" spans="1:2" x14ac:dyDescent="0.35">
      <c r="A14539" s="34">
        <v>55111501</v>
      </c>
      <c r="B14539" s="35" t="s">
        <v>11012</v>
      </c>
    </row>
    <row r="14540" spans="1:2" x14ac:dyDescent="0.35">
      <c r="A14540" s="34">
        <v>55111502</v>
      </c>
      <c r="B14540" s="35" t="s">
        <v>6665</v>
      </c>
    </row>
    <row r="14541" spans="1:2" x14ac:dyDescent="0.35">
      <c r="A14541" s="34">
        <v>55111503</v>
      </c>
      <c r="B14541" s="35" t="s">
        <v>2662</v>
      </c>
    </row>
    <row r="14542" spans="1:2" x14ac:dyDescent="0.35">
      <c r="A14542" s="34">
        <v>55111504</v>
      </c>
      <c r="B14542" s="35" t="s">
        <v>13021</v>
      </c>
    </row>
    <row r="14543" spans="1:2" x14ac:dyDescent="0.35">
      <c r="A14543" s="34">
        <v>55111505</v>
      </c>
      <c r="B14543" s="35" t="s">
        <v>17687</v>
      </c>
    </row>
    <row r="14544" spans="1:2" x14ac:dyDescent="0.35">
      <c r="A14544" s="34">
        <v>55111506</v>
      </c>
      <c r="B14544" s="35" t="s">
        <v>6124</v>
      </c>
    </row>
    <row r="14545" spans="1:2" x14ac:dyDescent="0.35">
      <c r="A14545" s="34">
        <v>55111507</v>
      </c>
      <c r="B14545" s="35" t="s">
        <v>6208</v>
      </c>
    </row>
    <row r="14546" spans="1:2" x14ac:dyDescent="0.35">
      <c r="A14546" s="34">
        <v>55111508</v>
      </c>
      <c r="B14546" s="35" t="s">
        <v>6783</v>
      </c>
    </row>
    <row r="14547" spans="1:2" x14ac:dyDescent="0.35">
      <c r="A14547" s="34">
        <v>55111509</v>
      </c>
      <c r="B14547" s="35" t="s">
        <v>12867</v>
      </c>
    </row>
    <row r="14548" spans="1:2" x14ac:dyDescent="0.35">
      <c r="A14548" s="34">
        <v>55111510</v>
      </c>
      <c r="B14548" s="35" t="s">
        <v>17550</v>
      </c>
    </row>
    <row r="14549" spans="1:2" x14ac:dyDescent="0.35">
      <c r="A14549" s="34">
        <v>55111511</v>
      </c>
      <c r="B14549" s="35" t="s">
        <v>7368</v>
      </c>
    </row>
    <row r="14550" spans="1:2" x14ac:dyDescent="0.35">
      <c r="A14550" s="34">
        <v>55111512</v>
      </c>
      <c r="B14550" s="35" t="s">
        <v>16874</v>
      </c>
    </row>
    <row r="14551" spans="1:2" x14ac:dyDescent="0.35">
      <c r="A14551" s="34">
        <v>55111513</v>
      </c>
      <c r="B14551" s="35" t="s">
        <v>5961</v>
      </c>
    </row>
    <row r="14552" spans="1:2" x14ac:dyDescent="0.35">
      <c r="A14552" s="34">
        <v>55111514</v>
      </c>
      <c r="B14552" s="35" t="s">
        <v>12559</v>
      </c>
    </row>
    <row r="14553" spans="1:2" x14ac:dyDescent="0.35">
      <c r="A14553" s="34">
        <v>55111601</v>
      </c>
      <c r="B14553" s="35" t="s">
        <v>16162</v>
      </c>
    </row>
    <row r="14554" spans="1:2" x14ac:dyDescent="0.35">
      <c r="A14554" s="34">
        <v>55121501</v>
      </c>
      <c r="B14554" s="35" t="s">
        <v>622</v>
      </c>
    </row>
    <row r="14555" spans="1:2" x14ac:dyDescent="0.35">
      <c r="A14555" s="34">
        <v>55121502</v>
      </c>
      <c r="B14555" s="35" t="s">
        <v>3854</v>
      </c>
    </row>
    <row r="14556" spans="1:2" x14ac:dyDescent="0.35">
      <c r="A14556" s="34">
        <v>55121503</v>
      </c>
      <c r="B14556" s="35" t="s">
        <v>8406</v>
      </c>
    </row>
    <row r="14557" spans="1:2" x14ac:dyDescent="0.35">
      <c r="A14557" s="34">
        <v>55121504</v>
      </c>
      <c r="B14557" s="35" t="s">
        <v>342</v>
      </c>
    </row>
    <row r="14558" spans="1:2" x14ac:dyDescent="0.35">
      <c r="A14558" s="34">
        <v>55121505</v>
      </c>
      <c r="B14558" s="35" t="s">
        <v>6642</v>
      </c>
    </row>
    <row r="14559" spans="1:2" x14ac:dyDescent="0.35">
      <c r="A14559" s="34">
        <v>55121506</v>
      </c>
      <c r="B14559" s="35" t="s">
        <v>10997</v>
      </c>
    </row>
    <row r="14560" spans="1:2" x14ac:dyDescent="0.35">
      <c r="A14560" s="34">
        <v>55121601</v>
      </c>
      <c r="B14560" s="35" t="s">
        <v>17845</v>
      </c>
    </row>
    <row r="14561" spans="1:2" x14ac:dyDescent="0.35">
      <c r="A14561" s="34">
        <v>55121602</v>
      </c>
      <c r="B14561" s="35" t="s">
        <v>6950</v>
      </c>
    </row>
    <row r="14562" spans="1:2" x14ac:dyDescent="0.35">
      <c r="A14562" s="34">
        <v>55121604</v>
      </c>
      <c r="B14562" s="35" t="s">
        <v>13295</v>
      </c>
    </row>
    <row r="14563" spans="1:2" x14ac:dyDescent="0.35">
      <c r="A14563" s="34">
        <v>55121605</v>
      </c>
      <c r="B14563" s="35" t="s">
        <v>6670</v>
      </c>
    </row>
    <row r="14564" spans="1:2" x14ac:dyDescent="0.35">
      <c r="A14564" s="34">
        <v>55121606</v>
      </c>
      <c r="B14564" s="35" t="s">
        <v>4108</v>
      </c>
    </row>
    <row r="14565" spans="1:2" x14ac:dyDescent="0.35">
      <c r="A14565" s="34">
        <v>55121607</v>
      </c>
      <c r="B14565" s="35" t="s">
        <v>5524</v>
      </c>
    </row>
    <row r="14566" spans="1:2" x14ac:dyDescent="0.35">
      <c r="A14566" s="34">
        <v>55121608</v>
      </c>
      <c r="B14566" s="35" t="s">
        <v>12738</v>
      </c>
    </row>
    <row r="14567" spans="1:2" x14ac:dyDescent="0.35">
      <c r="A14567" s="34">
        <v>55121609</v>
      </c>
      <c r="B14567" s="35" t="s">
        <v>2412</v>
      </c>
    </row>
    <row r="14568" spans="1:2" x14ac:dyDescent="0.35">
      <c r="A14568" s="34">
        <v>55121610</v>
      </c>
      <c r="B14568" s="35" t="s">
        <v>1897</v>
      </c>
    </row>
    <row r="14569" spans="1:2" x14ac:dyDescent="0.35">
      <c r="A14569" s="34">
        <v>55121611</v>
      </c>
      <c r="B14569" s="35" t="s">
        <v>16606</v>
      </c>
    </row>
    <row r="14570" spans="1:2" x14ac:dyDescent="0.35">
      <c r="A14570" s="34">
        <v>55121612</v>
      </c>
      <c r="B14570" s="35" t="s">
        <v>15418</v>
      </c>
    </row>
    <row r="14571" spans="1:2" x14ac:dyDescent="0.35">
      <c r="A14571" s="34">
        <v>55121613</v>
      </c>
      <c r="B14571" s="35" t="s">
        <v>4210</v>
      </c>
    </row>
    <row r="14572" spans="1:2" x14ac:dyDescent="0.35">
      <c r="A14572" s="34">
        <v>55121614</v>
      </c>
      <c r="B14572" s="35" t="s">
        <v>2056</v>
      </c>
    </row>
    <row r="14573" spans="1:2" x14ac:dyDescent="0.35">
      <c r="A14573" s="34">
        <v>55121615</v>
      </c>
      <c r="B14573" s="35" t="s">
        <v>2352</v>
      </c>
    </row>
    <row r="14574" spans="1:2" x14ac:dyDescent="0.35">
      <c r="A14574" s="34">
        <v>55121616</v>
      </c>
      <c r="B14574" s="35" t="s">
        <v>8920</v>
      </c>
    </row>
    <row r="14575" spans="1:2" x14ac:dyDescent="0.35">
      <c r="A14575" s="34">
        <v>55121617</v>
      </c>
      <c r="B14575" s="35" t="s">
        <v>17068</v>
      </c>
    </row>
    <row r="14576" spans="1:2" x14ac:dyDescent="0.35">
      <c r="A14576" s="34">
        <v>55121618</v>
      </c>
      <c r="B14576" s="35" t="s">
        <v>4358</v>
      </c>
    </row>
    <row r="14577" spans="1:2" x14ac:dyDescent="0.35">
      <c r="A14577" s="34">
        <v>55121619</v>
      </c>
      <c r="B14577" s="35" t="s">
        <v>14290</v>
      </c>
    </row>
    <row r="14578" spans="1:2" x14ac:dyDescent="0.35">
      <c r="A14578" s="34">
        <v>55121620</v>
      </c>
      <c r="B14578" s="35" t="s">
        <v>17328</v>
      </c>
    </row>
    <row r="14579" spans="1:2" x14ac:dyDescent="0.35">
      <c r="A14579" s="34">
        <v>55121621</v>
      </c>
      <c r="B14579" s="35" t="s">
        <v>3597</v>
      </c>
    </row>
    <row r="14580" spans="1:2" x14ac:dyDescent="0.35">
      <c r="A14580" s="34">
        <v>55121701</v>
      </c>
      <c r="B14580" s="35" t="s">
        <v>5659</v>
      </c>
    </row>
    <row r="14581" spans="1:2" x14ac:dyDescent="0.35">
      <c r="A14581" s="34">
        <v>55121702</v>
      </c>
      <c r="B14581" s="35" t="s">
        <v>10312</v>
      </c>
    </row>
    <row r="14582" spans="1:2" x14ac:dyDescent="0.35">
      <c r="A14582" s="34">
        <v>55121703</v>
      </c>
      <c r="B14582" s="35" t="s">
        <v>19651</v>
      </c>
    </row>
    <row r="14583" spans="1:2" x14ac:dyDescent="0.35">
      <c r="A14583" s="34">
        <v>55121704</v>
      </c>
      <c r="B14583" s="35" t="s">
        <v>7726</v>
      </c>
    </row>
    <row r="14584" spans="1:2" x14ac:dyDescent="0.35">
      <c r="A14584" s="34">
        <v>55121705</v>
      </c>
      <c r="B14584" s="35" t="s">
        <v>4263</v>
      </c>
    </row>
    <row r="14585" spans="1:2" x14ac:dyDescent="0.35">
      <c r="A14585" s="34">
        <v>55121706</v>
      </c>
      <c r="B14585" s="35" t="s">
        <v>15801</v>
      </c>
    </row>
    <row r="14586" spans="1:2" x14ac:dyDescent="0.35">
      <c r="A14586" s="34">
        <v>55121707</v>
      </c>
      <c r="B14586" s="35" t="s">
        <v>7619</v>
      </c>
    </row>
    <row r="14587" spans="1:2" x14ac:dyDescent="0.35">
      <c r="A14587" s="34">
        <v>55121708</v>
      </c>
      <c r="B14587" s="35" t="s">
        <v>19273</v>
      </c>
    </row>
    <row r="14588" spans="1:2" x14ac:dyDescent="0.35">
      <c r="A14588" s="34">
        <v>55121709</v>
      </c>
      <c r="B14588" s="35" t="s">
        <v>299</v>
      </c>
    </row>
    <row r="14589" spans="1:2" x14ac:dyDescent="0.35">
      <c r="A14589" s="34">
        <v>55121710</v>
      </c>
      <c r="B14589" s="35" t="s">
        <v>9836</v>
      </c>
    </row>
    <row r="14590" spans="1:2" x14ac:dyDescent="0.35">
      <c r="A14590" s="34">
        <v>55121711</v>
      </c>
      <c r="B14590" s="35" t="s">
        <v>19057</v>
      </c>
    </row>
    <row r="14591" spans="1:2" x14ac:dyDescent="0.35">
      <c r="A14591" s="34">
        <v>55121712</v>
      </c>
      <c r="B14591" s="35" t="s">
        <v>11072</v>
      </c>
    </row>
    <row r="14592" spans="1:2" x14ac:dyDescent="0.35">
      <c r="A14592" s="34">
        <v>55121713</v>
      </c>
      <c r="B14592" s="35" t="s">
        <v>19176</v>
      </c>
    </row>
    <row r="14593" spans="1:2" x14ac:dyDescent="0.35">
      <c r="A14593" s="34">
        <v>55121714</v>
      </c>
      <c r="B14593" s="35" t="s">
        <v>16828</v>
      </c>
    </row>
    <row r="14594" spans="1:2" x14ac:dyDescent="0.35">
      <c r="A14594" s="34">
        <v>55121715</v>
      </c>
      <c r="B14594" s="35" t="s">
        <v>19448</v>
      </c>
    </row>
    <row r="14595" spans="1:2" x14ac:dyDescent="0.35">
      <c r="A14595" s="34">
        <v>55121716</v>
      </c>
      <c r="B14595" s="35" t="s">
        <v>15950</v>
      </c>
    </row>
    <row r="14596" spans="1:2" x14ac:dyDescent="0.35">
      <c r="A14596" s="34">
        <v>55121717</v>
      </c>
      <c r="B14596" s="35" t="s">
        <v>13524</v>
      </c>
    </row>
    <row r="14597" spans="1:2" x14ac:dyDescent="0.35">
      <c r="A14597" s="34">
        <v>55121718</v>
      </c>
      <c r="B14597" s="35" t="s">
        <v>6947</v>
      </c>
    </row>
    <row r="14598" spans="1:2" x14ac:dyDescent="0.35">
      <c r="A14598" s="34">
        <v>55121719</v>
      </c>
      <c r="B14598" s="35" t="s">
        <v>7290</v>
      </c>
    </row>
    <row r="14599" spans="1:2" x14ac:dyDescent="0.35">
      <c r="A14599" s="34">
        <v>55121720</v>
      </c>
      <c r="B14599" s="35" t="s">
        <v>16164</v>
      </c>
    </row>
    <row r="14600" spans="1:2" x14ac:dyDescent="0.35">
      <c r="A14600" s="34">
        <v>55121721</v>
      </c>
      <c r="B14600" s="35" t="s">
        <v>18217</v>
      </c>
    </row>
    <row r="14601" spans="1:2" x14ac:dyDescent="0.35">
      <c r="A14601" s="34">
        <v>55121722</v>
      </c>
      <c r="B14601" s="35" t="s">
        <v>12995</v>
      </c>
    </row>
    <row r="14602" spans="1:2" x14ac:dyDescent="0.35">
      <c r="A14602" s="34">
        <v>55121723</v>
      </c>
      <c r="B14602" s="35" t="s">
        <v>3356</v>
      </c>
    </row>
    <row r="14603" spans="1:2" x14ac:dyDescent="0.35">
      <c r="A14603" s="34">
        <v>55121724</v>
      </c>
      <c r="B14603" s="35" t="s">
        <v>4701</v>
      </c>
    </row>
    <row r="14604" spans="1:2" x14ac:dyDescent="0.35">
      <c r="A14604" s="34">
        <v>55121725</v>
      </c>
      <c r="B14604" s="35" t="s">
        <v>53</v>
      </c>
    </row>
    <row r="14605" spans="1:2" x14ac:dyDescent="0.35">
      <c r="A14605" s="34">
        <v>55121726</v>
      </c>
      <c r="B14605" s="35" t="s">
        <v>15316</v>
      </c>
    </row>
    <row r="14606" spans="1:2" x14ac:dyDescent="0.35">
      <c r="A14606" s="34">
        <v>55121727</v>
      </c>
      <c r="B14606" s="35" t="s">
        <v>485</v>
      </c>
    </row>
    <row r="14607" spans="1:2" x14ac:dyDescent="0.35">
      <c r="A14607" s="34">
        <v>55121728</v>
      </c>
      <c r="B14607" s="35" t="s">
        <v>3175</v>
      </c>
    </row>
    <row r="14608" spans="1:2" x14ac:dyDescent="0.35">
      <c r="A14608" s="34">
        <v>55121729</v>
      </c>
      <c r="B14608" s="35" t="s">
        <v>18027</v>
      </c>
    </row>
    <row r="14609" spans="1:2" x14ac:dyDescent="0.35">
      <c r="A14609" s="34">
        <v>55121730</v>
      </c>
      <c r="B14609" s="35" t="s">
        <v>13481</v>
      </c>
    </row>
    <row r="14610" spans="1:2" x14ac:dyDescent="0.35">
      <c r="A14610" s="34">
        <v>55121731</v>
      </c>
      <c r="B14610" s="35" t="s">
        <v>9196</v>
      </c>
    </row>
    <row r="14611" spans="1:2" x14ac:dyDescent="0.35">
      <c r="A14611" s="34">
        <v>55121732</v>
      </c>
      <c r="B14611" s="35" t="s">
        <v>10065</v>
      </c>
    </row>
    <row r="14612" spans="1:2" x14ac:dyDescent="0.35">
      <c r="A14612" s="34">
        <v>55121801</v>
      </c>
      <c r="B14612" s="35" t="s">
        <v>313</v>
      </c>
    </row>
    <row r="14613" spans="1:2" x14ac:dyDescent="0.35">
      <c r="A14613" s="34">
        <v>55121802</v>
      </c>
      <c r="B14613" s="35" t="s">
        <v>273</v>
      </c>
    </row>
    <row r="14614" spans="1:2" x14ac:dyDescent="0.35">
      <c r="A14614" s="34">
        <v>55121803</v>
      </c>
      <c r="B14614" s="35" t="s">
        <v>17004</v>
      </c>
    </row>
    <row r="14615" spans="1:2" x14ac:dyDescent="0.35">
      <c r="A14615" s="34">
        <v>55121804</v>
      </c>
      <c r="B14615" s="35" t="s">
        <v>8129</v>
      </c>
    </row>
    <row r="14616" spans="1:2" x14ac:dyDescent="0.35">
      <c r="A14616" s="34">
        <v>55121806</v>
      </c>
      <c r="B14616" s="35" t="s">
        <v>13750</v>
      </c>
    </row>
    <row r="14617" spans="1:2" x14ac:dyDescent="0.35">
      <c r="A14617" s="34">
        <v>55121807</v>
      </c>
      <c r="B14617" s="35" t="s">
        <v>7036</v>
      </c>
    </row>
    <row r="14618" spans="1:2" x14ac:dyDescent="0.35">
      <c r="A14618" s="34">
        <v>56101501</v>
      </c>
      <c r="B14618" s="35" t="s">
        <v>11899</v>
      </c>
    </row>
    <row r="14619" spans="1:2" x14ac:dyDescent="0.35">
      <c r="A14619" s="34">
        <v>56101502</v>
      </c>
      <c r="B14619" s="35" t="s">
        <v>13740</v>
      </c>
    </row>
    <row r="14620" spans="1:2" x14ac:dyDescent="0.35">
      <c r="A14620" s="34">
        <v>56101503</v>
      </c>
      <c r="B14620" s="35" t="s">
        <v>9046</v>
      </c>
    </row>
    <row r="14621" spans="1:2" x14ac:dyDescent="0.35">
      <c r="A14621" s="34">
        <v>56101504</v>
      </c>
      <c r="B14621" s="35" t="s">
        <v>7839</v>
      </c>
    </row>
    <row r="14622" spans="1:2" x14ac:dyDescent="0.35">
      <c r="A14622" s="34">
        <v>56101505</v>
      </c>
      <c r="B14622" s="35" t="s">
        <v>4171</v>
      </c>
    </row>
    <row r="14623" spans="1:2" x14ac:dyDescent="0.35">
      <c r="A14623" s="34">
        <v>56101506</v>
      </c>
      <c r="B14623" s="35" t="s">
        <v>5288</v>
      </c>
    </row>
    <row r="14624" spans="1:2" x14ac:dyDescent="0.35">
      <c r="A14624" s="34">
        <v>56101507</v>
      </c>
      <c r="B14624" s="35" t="s">
        <v>7591</v>
      </c>
    </row>
    <row r="14625" spans="1:2" x14ac:dyDescent="0.35">
      <c r="A14625" s="34">
        <v>56101508</v>
      </c>
      <c r="B14625" s="35" t="s">
        <v>19313</v>
      </c>
    </row>
    <row r="14626" spans="1:2" x14ac:dyDescent="0.35">
      <c r="A14626" s="34">
        <v>56101509</v>
      </c>
      <c r="B14626" s="35" t="s">
        <v>19477</v>
      </c>
    </row>
    <row r="14627" spans="1:2" x14ac:dyDescent="0.35">
      <c r="A14627" s="34">
        <v>56101510</v>
      </c>
      <c r="B14627" s="35" t="s">
        <v>17459</v>
      </c>
    </row>
    <row r="14628" spans="1:2" x14ac:dyDescent="0.35">
      <c r="A14628" s="34">
        <v>56101513</v>
      </c>
      <c r="B14628" s="35" t="s">
        <v>14885</v>
      </c>
    </row>
    <row r="14629" spans="1:2" x14ac:dyDescent="0.35">
      <c r="A14629" s="34">
        <v>56101514</v>
      </c>
      <c r="B14629" s="35" t="s">
        <v>16797</v>
      </c>
    </row>
    <row r="14630" spans="1:2" x14ac:dyDescent="0.35">
      <c r="A14630" s="34">
        <v>56101515</v>
      </c>
      <c r="B14630" s="35" t="s">
        <v>14805</v>
      </c>
    </row>
    <row r="14631" spans="1:2" x14ac:dyDescent="0.35">
      <c r="A14631" s="34">
        <v>56101516</v>
      </c>
      <c r="B14631" s="35" t="s">
        <v>17993</v>
      </c>
    </row>
    <row r="14632" spans="1:2" x14ac:dyDescent="0.35">
      <c r="A14632" s="34">
        <v>56101518</v>
      </c>
      <c r="B14632" s="35" t="s">
        <v>499</v>
      </c>
    </row>
    <row r="14633" spans="1:2" x14ac:dyDescent="0.35">
      <c r="A14633" s="34">
        <v>56101519</v>
      </c>
      <c r="B14633" s="35" t="s">
        <v>2774</v>
      </c>
    </row>
    <row r="14634" spans="1:2" x14ac:dyDescent="0.35">
      <c r="A14634" s="34">
        <v>56101520</v>
      </c>
      <c r="B14634" s="35" t="s">
        <v>11404</v>
      </c>
    </row>
    <row r="14635" spans="1:2" x14ac:dyDescent="0.35">
      <c r="A14635" s="34">
        <v>56101521</v>
      </c>
      <c r="B14635" s="35" t="s">
        <v>1379</v>
      </c>
    </row>
    <row r="14636" spans="1:2" x14ac:dyDescent="0.35">
      <c r="A14636" s="34">
        <v>56101522</v>
      </c>
      <c r="B14636" s="35" t="s">
        <v>14407</v>
      </c>
    </row>
    <row r="14637" spans="1:2" x14ac:dyDescent="0.35">
      <c r="A14637" s="34">
        <v>56101523</v>
      </c>
      <c r="B14637" s="35" t="s">
        <v>9082</v>
      </c>
    </row>
    <row r="14638" spans="1:2" x14ac:dyDescent="0.35">
      <c r="A14638" s="34">
        <v>56101524</v>
      </c>
      <c r="B14638" s="35" t="s">
        <v>8557</v>
      </c>
    </row>
    <row r="14639" spans="1:2" x14ac:dyDescent="0.35">
      <c r="A14639" s="34">
        <v>56101525</v>
      </c>
      <c r="B14639" s="35" t="s">
        <v>3293</v>
      </c>
    </row>
    <row r="14640" spans="1:2" x14ac:dyDescent="0.35">
      <c r="A14640" s="34">
        <v>56101526</v>
      </c>
      <c r="B14640" s="35" t="s">
        <v>12121</v>
      </c>
    </row>
    <row r="14641" spans="1:2" x14ac:dyDescent="0.35">
      <c r="A14641" s="34">
        <v>56101527</v>
      </c>
      <c r="B14641" s="35" t="s">
        <v>4395</v>
      </c>
    </row>
    <row r="14642" spans="1:2" x14ac:dyDescent="0.35">
      <c r="A14642" s="34">
        <v>56101528</v>
      </c>
      <c r="B14642" s="35" t="s">
        <v>17130</v>
      </c>
    </row>
    <row r="14643" spans="1:2" x14ac:dyDescent="0.35">
      <c r="A14643" s="34">
        <v>56101529</v>
      </c>
      <c r="B14643" s="35" t="s">
        <v>12031</v>
      </c>
    </row>
    <row r="14644" spans="1:2" x14ac:dyDescent="0.35">
      <c r="A14644" s="34">
        <v>56101530</v>
      </c>
      <c r="B14644" s="35" t="s">
        <v>12572</v>
      </c>
    </row>
    <row r="14645" spans="1:2" x14ac:dyDescent="0.35">
      <c r="A14645" s="34">
        <v>56101531</v>
      </c>
      <c r="B14645" s="35" t="s">
        <v>11142</v>
      </c>
    </row>
    <row r="14646" spans="1:2" x14ac:dyDescent="0.35">
      <c r="A14646" s="34">
        <v>56101532</v>
      </c>
      <c r="B14646" s="35" t="s">
        <v>12452</v>
      </c>
    </row>
    <row r="14647" spans="1:2" x14ac:dyDescent="0.35">
      <c r="A14647" s="34">
        <v>56101533</v>
      </c>
      <c r="B14647" s="35" t="s">
        <v>3687</v>
      </c>
    </row>
    <row r="14648" spans="1:2" x14ac:dyDescent="0.35">
      <c r="A14648" s="34">
        <v>56101535</v>
      </c>
      <c r="B14648" s="35" t="s">
        <v>5500</v>
      </c>
    </row>
    <row r="14649" spans="1:2" x14ac:dyDescent="0.35">
      <c r="A14649" s="34">
        <v>56101536</v>
      </c>
      <c r="B14649" s="35" t="s">
        <v>13080</v>
      </c>
    </row>
    <row r="14650" spans="1:2" x14ac:dyDescent="0.35">
      <c r="A14650" s="34">
        <v>56101537</v>
      </c>
      <c r="B14650" s="35" t="s">
        <v>8819</v>
      </c>
    </row>
    <row r="14651" spans="1:2" x14ac:dyDescent="0.35">
      <c r="A14651" s="34">
        <v>56101538</v>
      </c>
      <c r="B14651" s="35" t="s">
        <v>18477</v>
      </c>
    </row>
    <row r="14652" spans="1:2" x14ac:dyDescent="0.35">
      <c r="A14652" s="34">
        <v>56101539</v>
      </c>
      <c r="B14652" s="35" t="s">
        <v>1855</v>
      </c>
    </row>
    <row r="14653" spans="1:2" x14ac:dyDescent="0.35">
      <c r="A14653" s="34">
        <v>56101540</v>
      </c>
      <c r="B14653" s="35" t="s">
        <v>10659</v>
      </c>
    </row>
    <row r="14654" spans="1:2" x14ac:dyDescent="0.35">
      <c r="A14654" s="34">
        <v>56101541</v>
      </c>
      <c r="B14654" s="35" t="s">
        <v>17280</v>
      </c>
    </row>
    <row r="14655" spans="1:2" x14ac:dyDescent="0.35">
      <c r="A14655" s="34">
        <v>56101601</v>
      </c>
      <c r="B14655" s="35" t="s">
        <v>11124</v>
      </c>
    </row>
    <row r="14656" spans="1:2" x14ac:dyDescent="0.35">
      <c r="A14656" s="34">
        <v>56101602</v>
      </c>
      <c r="B14656" s="35" t="s">
        <v>16450</v>
      </c>
    </row>
    <row r="14657" spans="1:2" x14ac:dyDescent="0.35">
      <c r="A14657" s="34">
        <v>56101603</v>
      </c>
      <c r="B14657" s="35" t="s">
        <v>10581</v>
      </c>
    </row>
    <row r="14658" spans="1:2" x14ac:dyDescent="0.35">
      <c r="A14658" s="34">
        <v>56101604</v>
      </c>
      <c r="B14658" s="35" t="s">
        <v>5449</v>
      </c>
    </row>
    <row r="14659" spans="1:2" x14ac:dyDescent="0.35">
      <c r="A14659" s="34">
        <v>56101605</v>
      </c>
      <c r="B14659" s="35" t="s">
        <v>17166</v>
      </c>
    </row>
    <row r="14660" spans="1:2" x14ac:dyDescent="0.35">
      <c r="A14660" s="34">
        <v>56101606</v>
      </c>
      <c r="B14660" s="35" t="s">
        <v>13935</v>
      </c>
    </row>
    <row r="14661" spans="1:2" x14ac:dyDescent="0.35">
      <c r="A14661" s="34">
        <v>56101607</v>
      </c>
      <c r="B14661" s="35" t="s">
        <v>9067</v>
      </c>
    </row>
    <row r="14662" spans="1:2" x14ac:dyDescent="0.35">
      <c r="A14662" s="34">
        <v>56101608</v>
      </c>
      <c r="B14662" s="35" t="s">
        <v>11926</v>
      </c>
    </row>
    <row r="14663" spans="1:2" x14ac:dyDescent="0.35">
      <c r="A14663" s="34">
        <v>56101701</v>
      </c>
      <c r="B14663" s="35" t="s">
        <v>4182</v>
      </c>
    </row>
    <row r="14664" spans="1:2" x14ac:dyDescent="0.35">
      <c r="A14664" s="34">
        <v>56101702</v>
      </c>
      <c r="B14664" s="35" t="s">
        <v>7717</v>
      </c>
    </row>
    <row r="14665" spans="1:2" x14ac:dyDescent="0.35">
      <c r="A14665" s="34">
        <v>56101703</v>
      </c>
      <c r="B14665" s="35" t="s">
        <v>13053</v>
      </c>
    </row>
    <row r="14666" spans="1:2" x14ac:dyDescent="0.35">
      <c r="A14666" s="34">
        <v>56101704</v>
      </c>
      <c r="B14666" s="35" t="s">
        <v>852</v>
      </c>
    </row>
    <row r="14667" spans="1:2" x14ac:dyDescent="0.35">
      <c r="A14667" s="34">
        <v>56101705</v>
      </c>
      <c r="B14667" s="35" t="s">
        <v>2081</v>
      </c>
    </row>
    <row r="14668" spans="1:2" x14ac:dyDescent="0.35">
      <c r="A14668" s="34">
        <v>56101706</v>
      </c>
      <c r="B14668" s="35" t="s">
        <v>8308</v>
      </c>
    </row>
    <row r="14669" spans="1:2" x14ac:dyDescent="0.35">
      <c r="A14669" s="34">
        <v>56101707</v>
      </c>
      <c r="B14669" s="35" t="s">
        <v>5930</v>
      </c>
    </row>
    <row r="14670" spans="1:2" x14ac:dyDescent="0.35">
      <c r="A14670" s="34">
        <v>56101708</v>
      </c>
      <c r="B14670" s="35" t="s">
        <v>11915</v>
      </c>
    </row>
    <row r="14671" spans="1:2" x14ac:dyDescent="0.35">
      <c r="A14671" s="34">
        <v>56101710</v>
      </c>
      <c r="B14671" s="35" t="s">
        <v>17003</v>
      </c>
    </row>
    <row r="14672" spans="1:2" x14ac:dyDescent="0.35">
      <c r="A14672" s="34">
        <v>56101711</v>
      </c>
      <c r="B14672" s="35" t="s">
        <v>16168</v>
      </c>
    </row>
    <row r="14673" spans="1:2" x14ac:dyDescent="0.35">
      <c r="A14673" s="34">
        <v>56101712</v>
      </c>
      <c r="B14673" s="35" t="s">
        <v>9772</v>
      </c>
    </row>
    <row r="14674" spans="1:2" x14ac:dyDescent="0.35">
      <c r="A14674" s="34">
        <v>56101713</v>
      </c>
      <c r="B14674" s="35" t="s">
        <v>18984</v>
      </c>
    </row>
    <row r="14675" spans="1:2" x14ac:dyDescent="0.35">
      <c r="A14675" s="34">
        <v>56101714</v>
      </c>
      <c r="B14675" s="35" t="s">
        <v>2953</v>
      </c>
    </row>
    <row r="14676" spans="1:2" x14ac:dyDescent="0.35">
      <c r="A14676" s="34">
        <v>56101715</v>
      </c>
      <c r="B14676" s="35" t="s">
        <v>13942</v>
      </c>
    </row>
    <row r="14677" spans="1:2" x14ac:dyDescent="0.35">
      <c r="A14677" s="34">
        <v>56101716</v>
      </c>
      <c r="B14677" s="35" t="s">
        <v>5445</v>
      </c>
    </row>
    <row r="14678" spans="1:2" x14ac:dyDescent="0.35">
      <c r="A14678" s="34">
        <v>56101717</v>
      </c>
      <c r="B14678" s="35" t="s">
        <v>17475</v>
      </c>
    </row>
    <row r="14679" spans="1:2" x14ac:dyDescent="0.35">
      <c r="A14679" s="34">
        <v>56101803</v>
      </c>
      <c r="B14679" s="35" t="s">
        <v>6604</v>
      </c>
    </row>
    <row r="14680" spans="1:2" x14ac:dyDescent="0.35">
      <c r="A14680" s="34">
        <v>56101804</v>
      </c>
      <c r="B14680" s="35" t="s">
        <v>16497</v>
      </c>
    </row>
    <row r="14681" spans="1:2" x14ac:dyDescent="0.35">
      <c r="A14681" s="34">
        <v>56101805</v>
      </c>
      <c r="B14681" s="35" t="s">
        <v>13562</v>
      </c>
    </row>
    <row r="14682" spans="1:2" x14ac:dyDescent="0.35">
      <c r="A14682" s="34">
        <v>56101806</v>
      </c>
      <c r="B14682" s="35" t="s">
        <v>11781</v>
      </c>
    </row>
    <row r="14683" spans="1:2" x14ac:dyDescent="0.35">
      <c r="A14683" s="34">
        <v>56101807</v>
      </c>
      <c r="B14683" s="35" t="s">
        <v>11428</v>
      </c>
    </row>
    <row r="14684" spans="1:2" x14ac:dyDescent="0.35">
      <c r="A14684" s="34">
        <v>56101808</v>
      </c>
      <c r="B14684" s="35" t="s">
        <v>18273</v>
      </c>
    </row>
    <row r="14685" spans="1:2" x14ac:dyDescent="0.35">
      <c r="A14685" s="34">
        <v>56101809</v>
      </c>
      <c r="B14685" s="35" t="s">
        <v>14544</v>
      </c>
    </row>
    <row r="14686" spans="1:2" x14ac:dyDescent="0.35">
      <c r="A14686" s="34">
        <v>56101810</v>
      </c>
      <c r="B14686" s="35" t="s">
        <v>17525</v>
      </c>
    </row>
    <row r="14687" spans="1:2" x14ac:dyDescent="0.35">
      <c r="A14687" s="34">
        <v>56101811</v>
      </c>
      <c r="B14687" s="35" t="s">
        <v>9848</v>
      </c>
    </row>
    <row r="14688" spans="1:2" x14ac:dyDescent="0.35">
      <c r="A14688" s="34">
        <v>56101812</v>
      </c>
      <c r="B14688" s="35" t="s">
        <v>12358</v>
      </c>
    </row>
    <row r="14689" spans="1:2" x14ac:dyDescent="0.35">
      <c r="A14689" s="34">
        <v>56101813</v>
      </c>
      <c r="B14689" s="35" t="s">
        <v>9063</v>
      </c>
    </row>
    <row r="14690" spans="1:2" x14ac:dyDescent="0.35">
      <c r="A14690" s="34">
        <v>56101901</v>
      </c>
      <c r="B14690" s="35" t="s">
        <v>561</v>
      </c>
    </row>
    <row r="14691" spans="1:2" x14ac:dyDescent="0.35">
      <c r="A14691" s="34">
        <v>56101902</v>
      </c>
      <c r="B14691" s="35" t="s">
        <v>10481</v>
      </c>
    </row>
    <row r="14692" spans="1:2" x14ac:dyDescent="0.35">
      <c r="A14692" s="34">
        <v>56101903</v>
      </c>
      <c r="B14692" s="35" t="s">
        <v>14670</v>
      </c>
    </row>
    <row r="14693" spans="1:2" x14ac:dyDescent="0.35">
      <c r="A14693" s="34">
        <v>56101904</v>
      </c>
      <c r="B14693" s="35" t="s">
        <v>10132</v>
      </c>
    </row>
    <row r="14694" spans="1:2" x14ac:dyDescent="0.35">
      <c r="A14694" s="34">
        <v>56101905</v>
      </c>
      <c r="B14694" s="35" t="s">
        <v>953</v>
      </c>
    </row>
    <row r="14695" spans="1:2" x14ac:dyDescent="0.35">
      <c r="A14695" s="34">
        <v>56101906</v>
      </c>
      <c r="B14695" s="35" t="s">
        <v>15543</v>
      </c>
    </row>
    <row r="14696" spans="1:2" x14ac:dyDescent="0.35">
      <c r="A14696" s="34">
        <v>56101907</v>
      </c>
      <c r="B14696" s="35" t="s">
        <v>13897</v>
      </c>
    </row>
    <row r="14697" spans="1:2" x14ac:dyDescent="0.35">
      <c r="A14697" s="34">
        <v>56111501</v>
      </c>
      <c r="B14697" s="35" t="s">
        <v>9339</v>
      </c>
    </row>
    <row r="14698" spans="1:2" x14ac:dyDescent="0.35">
      <c r="A14698" s="34">
        <v>56111502</v>
      </c>
      <c r="B14698" s="35" t="s">
        <v>19189</v>
      </c>
    </row>
    <row r="14699" spans="1:2" x14ac:dyDescent="0.35">
      <c r="A14699" s="34">
        <v>56111503</v>
      </c>
      <c r="B14699" s="35" t="s">
        <v>11011</v>
      </c>
    </row>
    <row r="14700" spans="1:2" x14ac:dyDescent="0.35">
      <c r="A14700" s="34">
        <v>56111504</v>
      </c>
      <c r="B14700" s="35" t="s">
        <v>14452</v>
      </c>
    </row>
    <row r="14701" spans="1:2" x14ac:dyDescent="0.35">
      <c r="A14701" s="34">
        <v>56111505</v>
      </c>
      <c r="B14701" s="35" t="s">
        <v>1626</v>
      </c>
    </row>
    <row r="14702" spans="1:2" x14ac:dyDescent="0.35">
      <c r="A14702" s="34">
        <v>56111506</v>
      </c>
      <c r="B14702" s="35" t="s">
        <v>949</v>
      </c>
    </row>
    <row r="14703" spans="1:2" x14ac:dyDescent="0.35">
      <c r="A14703" s="34">
        <v>56111507</v>
      </c>
      <c r="B14703" s="35" t="s">
        <v>9167</v>
      </c>
    </row>
    <row r="14704" spans="1:2" x14ac:dyDescent="0.35">
      <c r="A14704" s="34">
        <v>56111508</v>
      </c>
      <c r="B14704" s="35" t="s">
        <v>10267</v>
      </c>
    </row>
    <row r="14705" spans="1:2" x14ac:dyDescent="0.35">
      <c r="A14705" s="34">
        <v>56111509</v>
      </c>
      <c r="B14705" s="35" t="s">
        <v>18404</v>
      </c>
    </row>
    <row r="14706" spans="1:2" x14ac:dyDescent="0.35">
      <c r="A14706" s="34">
        <v>56111510</v>
      </c>
      <c r="B14706" s="35" t="s">
        <v>123</v>
      </c>
    </row>
    <row r="14707" spans="1:2" x14ac:dyDescent="0.35">
      <c r="A14707" s="34">
        <v>56111511</v>
      </c>
      <c r="B14707" s="35" t="s">
        <v>11682</v>
      </c>
    </row>
    <row r="14708" spans="1:2" x14ac:dyDescent="0.35">
      <c r="A14708" s="34">
        <v>56111512</v>
      </c>
      <c r="B14708" s="35" t="s">
        <v>3887</v>
      </c>
    </row>
    <row r="14709" spans="1:2" x14ac:dyDescent="0.35">
      <c r="A14709" s="34">
        <v>56111513</v>
      </c>
      <c r="B14709" s="35" t="s">
        <v>2631</v>
      </c>
    </row>
    <row r="14710" spans="1:2" x14ac:dyDescent="0.35">
      <c r="A14710" s="34">
        <v>56111514</v>
      </c>
      <c r="B14710" s="35" t="s">
        <v>8593</v>
      </c>
    </row>
    <row r="14711" spans="1:2" x14ac:dyDescent="0.35">
      <c r="A14711" s="34">
        <v>56111601</v>
      </c>
      <c r="B14711" s="35" t="s">
        <v>6512</v>
      </c>
    </row>
    <row r="14712" spans="1:2" x14ac:dyDescent="0.35">
      <c r="A14712" s="34">
        <v>56111602</v>
      </c>
      <c r="B14712" s="35" t="s">
        <v>2696</v>
      </c>
    </row>
    <row r="14713" spans="1:2" x14ac:dyDescent="0.35">
      <c r="A14713" s="34">
        <v>56111603</v>
      </c>
      <c r="B14713" s="35" t="s">
        <v>10540</v>
      </c>
    </row>
    <row r="14714" spans="1:2" x14ac:dyDescent="0.35">
      <c r="A14714" s="34">
        <v>56111604</v>
      </c>
      <c r="B14714" s="35" t="s">
        <v>18422</v>
      </c>
    </row>
    <row r="14715" spans="1:2" x14ac:dyDescent="0.35">
      <c r="A14715" s="34">
        <v>56111605</v>
      </c>
      <c r="B14715" s="35" t="s">
        <v>15434</v>
      </c>
    </row>
    <row r="14716" spans="1:2" x14ac:dyDescent="0.35">
      <c r="A14716" s="34">
        <v>56111606</v>
      </c>
      <c r="B14716" s="35" t="s">
        <v>8418</v>
      </c>
    </row>
    <row r="14717" spans="1:2" x14ac:dyDescent="0.35">
      <c r="A14717" s="34">
        <v>56111701</v>
      </c>
      <c r="B14717" s="35" t="s">
        <v>15485</v>
      </c>
    </row>
    <row r="14718" spans="1:2" x14ac:dyDescent="0.35">
      <c r="A14718" s="34">
        <v>56111702</v>
      </c>
      <c r="B14718" s="35" t="s">
        <v>1181</v>
      </c>
    </row>
    <row r="14719" spans="1:2" x14ac:dyDescent="0.35">
      <c r="A14719" s="34">
        <v>56111703</v>
      </c>
      <c r="B14719" s="35" t="s">
        <v>10983</v>
      </c>
    </row>
    <row r="14720" spans="1:2" x14ac:dyDescent="0.35">
      <c r="A14720" s="34">
        <v>56111704</v>
      </c>
      <c r="B14720" s="35" t="s">
        <v>19256</v>
      </c>
    </row>
    <row r="14721" spans="1:2" x14ac:dyDescent="0.35">
      <c r="A14721" s="34">
        <v>56111705</v>
      </c>
      <c r="B14721" s="35" t="s">
        <v>12733</v>
      </c>
    </row>
    <row r="14722" spans="1:2" x14ac:dyDescent="0.35">
      <c r="A14722" s="34">
        <v>56111706</v>
      </c>
      <c r="B14722" s="35" t="s">
        <v>12</v>
      </c>
    </row>
    <row r="14723" spans="1:2" x14ac:dyDescent="0.35">
      <c r="A14723" s="34">
        <v>56111707</v>
      </c>
      <c r="B14723" s="35" t="s">
        <v>15481</v>
      </c>
    </row>
    <row r="14724" spans="1:2" x14ac:dyDescent="0.35">
      <c r="A14724" s="34">
        <v>56111801</v>
      </c>
      <c r="B14724" s="35" t="s">
        <v>7094</v>
      </c>
    </row>
    <row r="14725" spans="1:2" x14ac:dyDescent="0.35">
      <c r="A14725" s="34">
        <v>56111802</v>
      </c>
      <c r="B14725" s="35" t="s">
        <v>16024</v>
      </c>
    </row>
    <row r="14726" spans="1:2" x14ac:dyDescent="0.35">
      <c r="A14726" s="34">
        <v>56111803</v>
      </c>
      <c r="B14726" s="35" t="s">
        <v>13183</v>
      </c>
    </row>
    <row r="14727" spans="1:2" x14ac:dyDescent="0.35">
      <c r="A14727" s="34">
        <v>56111804</v>
      </c>
      <c r="B14727" s="35" t="s">
        <v>2931</v>
      </c>
    </row>
    <row r="14728" spans="1:2" x14ac:dyDescent="0.35">
      <c r="A14728" s="34">
        <v>56111805</v>
      </c>
      <c r="B14728" s="35" t="s">
        <v>5204</v>
      </c>
    </row>
    <row r="14729" spans="1:2" x14ac:dyDescent="0.35">
      <c r="A14729" s="34">
        <v>56111901</v>
      </c>
      <c r="B14729" s="35" t="s">
        <v>2043</v>
      </c>
    </row>
    <row r="14730" spans="1:2" x14ac:dyDescent="0.35">
      <c r="A14730" s="34">
        <v>56111902</v>
      </c>
      <c r="B14730" s="35" t="s">
        <v>9313</v>
      </c>
    </row>
    <row r="14731" spans="1:2" x14ac:dyDescent="0.35">
      <c r="A14731" s="34">
        <v>56111903</v>
      </c>
      <c r="B14731" s="35" t="s">
        <v>14191</v>
      </c>
    </row>
    <row r="14732" spans="1:2" x14ac:dyDescent="0.35">
      <c r="A14732" s="34">
        <v>56111904</v>
      </c>
      <c r="B14732" s="35" t="s">
        <v>15284</v>
      </c>
    </row>
    <row r="14733" spans="1:2" x14ac:dyDescent="0.35">
      <c r="A14733" s="34">
        <v>56111905</v>
      </c>
      <c r="B14733" s="35" t="s">
        <v>6835</v>
      </c>
    </row>
    <row r="14734" spans="1:2" x14ac:dyDescent="0.35">
      <c r="A14734" s="34">
        <v>56111906</v>
      </c>
      <c r="B14734" s="35" t="s">
        <v>3266</v>
      </c>
    </row>
    <row r="14735" spans="1:2" x14ac:dyDescent="0.35">
      <c r="A14735" s="34">
        <v>56111907</v>
      </c>
      <c r="B14735" s="35" t="s">
        <v>6901</v>
      </c>
    </row>
    <row r="14736" spans="1:2" x14ac:dyDescent="0.35">
      <c r="A14736" s="34">
        <v>56112001</v>
      </c>
      <c r="B14736" s="35" t="s">
        <v>15517</v>
      </c>
    </row>
    <row r="14737" spans="1:2" x14ac:dyDescent="0.35">
      <c r="A14737" s="34">
        <v>56112002</v>
      </c>
      <c r="B14737" s="35" t="s">
        <v>18539</v>
      </c>
    </row>
    <row r="14738" spans="1:2" x14ac:dyDescent="0.35">
      <c r="A14738" s="34">
        <v>56112003</v>
      </c>
      <c r="B14738" s="35" t="s">
        <v>6573</v>
      </c>
    </row>
    <row r="14739" spans="1:2" x14ac:dyDescent="0.35">
      <c r="A14739" s="34">
        <v>56112004</v>
      </c>
      <c r="B14739" s="35" t="s">
        <v>17001</v>
      </c>
    </row>
    <row r="14740" spans="1:2" x14ac:dyDescent="0.35">
      <c r="A14740" s="34">
        <v>56112005</v>
      </c>
      <c r="B14740" s="35" t="s">
        <v>2687</v>
      </c>
    </row>
    <row r="14741" spans="1:2" x14ac:dyDescent="0.35">
      <c r="A14741" s="34">
        <v>56112101</v>
      </c>
      <c r="B14741" s="35" t="s">
        <v>16914</v>
      </c>
    </row>
    <row r="14742" spans="1:2" x14ac:dyDescent="0.35">
      <c r="A14742" s="34">
        <v>56112102</v>
      </c>
      <c r="B14742" s="35" t="s">
        <v>3595</v>
      </c>
    </row>
    <row r="14743" spans="1:2" x14ac:dyDescent="0.35">
      <c r="A14743" s="34">
        <v>56112103</v>
      </c>
      <c r="B14743" s="35" t="s">
        <v>15239</v>
      </c>
    </row>
    <row r="14744" spans="1:2" x14ac:dyDescent="0.35">
      <c r="A14744" s="34">
        <v>56112104</v>
      </c>
      <c r="B14744" s="35" t="s">
        <v>16729</v>
      </c>
    </row>
    <row r="14745" spans="1:2" x14ac:dyDescent="0.35">
      <c r="A14745" s="34">
        <v>56112105</v>
      </c>
      <c r="B14745" s="35" t="s">
        <v>15791</v>
      </c>
    </row>
    <row r="14746" spans="1:2" x14ac:dyDescent="0.35">
      <c r="A14746" s="34">
        <v>56112106</v>
      </c>
      <c r="B14746" s="35" t="s">
        <v>12256</v>
      </c>
    </row>
    <row r="14747" spans="1:2" x14ac:dyDescent="0.35">
      <c r="A14747" s="34">
        <v>56112107</v>
      </c>
      <c r="B14747" s="35" t="s">
        <v>3526</v>
      </c>
    </row>
    <row r="14748" spans="1:2" x14ac:dyDescent="0.35">
      <c r="A14748" s="34">
        <v>56112108</v>
      </c>
      <c r="B14748" s="35" t="s">
        <v>4669</v>
      </c>
    </row>
    <row r="14749" spans="1:2" x14ac:dyDescent="0.35">
      <c r="A14749" s="34">
        <v>56112109</v>
      </c>
      <c r="B14749" s="35" t="s">
        <v>13641</v>
      </c>
    </row>
    <row r="14750" spans="1:2" x14ac:dyDescent="0.35">
      <c r="A14750" s="34">
        <v>56112110</v>
      </c>
      <c r="B14750" s="35" t="s">
        <v>13992</v>
      </c>
    </row>
    <row r="14751" spans="1:2" x14ac:dyDescent="0.35">
      <c r="A14751" s="34">
        <v>56121001</v>
      </c>
      <c r="B14751" s="35" t="s">
        <v>5841</v>
      </c>
    </row>
    <row r="14752" spans="1:2" x14ac:dyDescent="0.35">
      <c r="A14752" s="34">
        <v>56121002</v>
      </c>
      <c r="B14752" s="35" t="s">
        <v>16522</v>
      </c>
    </row>
    <row r="14753" spans="1:2" x14ac:dyDescent="0.35">
      <c r="A14753" s="34">
        <v>56121003</v>
      </c>
      <c r="B14753" s="35" t="s">
        <v>13135</v>
      </c>
    </row>
    <row r="14754" spans="1:2" x14ac:dyDescent="0.35">
      <c r="A14754" s="34">
        <v>56121004</v>
      </c>
      <c r="B14754" s="35" t="s">
        <v>12771</v>
      </c>
    </row>
    <row r="14755" spans="1:2" x14ac:dyDescent="0.35">
      <c r="A14755" s="34">
        <v>56121005</v>
      </c>
      <c r="B14755" s="35" t="s">
        <v>15952</v>
      </c>
    </row>
    <row r="14756" spans="1:2" x14ac:dyDescent="0.35">
      <c r="A14756" s="34">
        <v>56121006</v>
      </c>
      <c r="B14756" s="35" t="s">
        <v>5198</v>
      </c>
    </row>
    <row r="14757" spans="1:2" x14ac:dyDescent="0.35">
      <c r="A14757" s="34">
        <v>56121007</v>
      </c>
      <c r="B14757" s="35" t="s">
        <v>3524</v>
      </c>
    </row>
    <row r="14758" spans="1:2" x14ac:dyDescent="0.35">
      <c r="A14758" s="34">
        <v>56121008</v>
      </c>
      <c r="B14758" s="35" t="s">
        <v>13713</v>
      </c>
    </row>
    <row r="14759" spans="1:2" x14ac:dyDescent="0.35">
      <c r="A14759" s="34">
        <v>56121009</v>
      </c>
      <c r="B14759" s="35" t="s">
        <v>15324</v>
      </c>
    </row>
    <row r="14760" spans="1:2" x14ac:dyDescent="0.35">
      <c r="A14760" s="34">
        <v>56121010</v>
      </c>
      <c r="B14760" s="35" t="s">
        <v>17208</v>
      </c>
    </row>
    <row r="14761" spans="1:2" x14ac:dyDescent="0.35">
      <c r="A14761" s="34">
        <v>56121011</v>
      </c>
      <c r="B14761" s="35" t="s">
        <v>8946</v>
      </c>
    </row>
    <row r="14762" spans="1:2" x14ac:dyDescent="0.35">
      <c r="A14762" s="34">
        <v>56121012</v>
      </c>
      <c r="B14762" s="35" t="s">
        <v>19631</v>
      </c>
    </row>
    <row r="14763" spans="1:2" x14ac:dyDescent="0.35">
      <c r="A14763" s="34">
        <v>56121014</v>
      </c>
      <c r="B14763" s="35" t="s">
        <v>12263</v>
      </c>
    </row>
    <row r="14764" spans="1:2" x14ac:dyDescent="0.35">
      <c r="A14764" s="34">
        <v>56121101</v>
      </c>
      <c r="B14764" s="35" t="s">
        <v>11260</v>
      </c>
    </row>
    <row r="14765" spans="1:2" x14ac:dyDescent="0.35">
      <c r="A14765" s="34">
        <v>56121102</v>
      </c>
      <c r="B14765" s="35" t="s">
        <v>7175</v>
      </c>
    </row>
    <row r="14766" spans="1:2" x14ac:dyDescent="0.35">
      <c r="A14766" s="34">
        <v>56121201</v>
      </c>
      <c r="B14766" s="35" t="s">
        <v>1494</v>
      </c>
    </row>
    <row r="14767" spans="1:2" x14ac:dyDescent="0.35">
      <c r="A14767" s="34">
        <v>56121301</v>
      </c>
      <c r="B14767" s="35" t="s">
        <v>18966</v>
      </c>
    </row>
    <row r="14768" spans="1:2" x14ac:dyDescent="0.35">
      <c r="A14768" s="34">
        <v>56121302</v>
      </c>
      <c r="B14768" s="35" t="s">
        <v>1106</v>
      </c>
    </row>
    <row r="14769" spans="1:2" x14ac:dyDescent="0.35">
      <c r="A14769" s="34">
        <v>56121303</v>
      </c>
      <c r="B14769" s="35" t="s">
        <v>9890</v>
      </c>
    </row>
    <row r="14770" spans="1:2" x14ac:dyDescent="0.35">
      <c r="A14770" s="34">
        <v>56121304</v>
      </c>
      <c r="B14770" s="35" t="s">
        <v>327</v>
      </c>
    </row>
    <row r="14771" spans="1:2" x14ac:dyDescent="0.35">
      <c r="A14771" s="34">
        <v>56121401</v>
      </c>
      <c r="B14771" s="35" t="s">
        <v>3963</v>
      </c>
    </row>
    <row r="14772" spans="1:2" x14ac:dyDescent="0.35">
      <c r="A14772" s="34">
        <v>56121402</v>
      </c>
      <c r="B14772" s="35" t="s">
        <v>16454</v>
      </c>
    </row>
    <row r="14773" spans="1:2" x14ac:dyDescent="0.35">
      <c r="A14773" s="34">
        <v>56121403</v>
      </c>
      <c r="B14773" s="35" t="s">
        <v>14886</v>
      </c>
    </row>
    <row r="14774" spans="1:2" x14ac:dyDescent="0.35">
      <c r="A14774" s="34">
        <v>56121501</v>
      </c>
      <c r="B14774" s="35" t="s">
        <v>9396</v>
      </c>
    </row>
    <row r="14775" spans="1:2" x14ac:dyDescent="0.35">
      <c r="A14775" s="34">
        <v>56121502</v>
      </c>
      <c r="B14775" s="35" t="s">
        <v>18156</v>
      </c>
    </row>
    <row r="14776" spans="1:2" x14ac:dyDescent="0.35">
      <c r="A14776" s="34">
        <v>56121503</v>
      </c>
      <c r="B14776" s="35" t="s">
        <v>15760</v>
      </c>
    </row>
    <row r="14777" spans="1:2" x14ac:dyDescent="0.35">
      <c r="A14777" s="34">
        <v>56121504</v>
      </c>
      <c r="B14777" s="35" t="s">
        <v>18205</v>
      </c>
    </row>
    <row r="14778" spans="1:2" x14ac:dyDescent="0.35">
      <c r="A14778" s="34">
        <v>56121505</v>
      </c>
      <c r="B14778" s="35" t="s">
        <v>16043</v>
      </c>
    </row>
    <row r="14779" spans="1:2" x14ac:dyDescent="0.35">
      <c r="A14779" s="34">
        <v>56121506</v>
      </c>
      <c r="B14779" s="35" t="s">
        <v>13629</v>
      </c>
    </row>
    <row r="14780" spans="1:2" x14ac:dyDescent="0.35">
      <c r="A14780" s="34">
        <v>56121507</v>
      </c>
      <c r="B14780" s="35" t="s">
        <v>12964</v>
      </c>
    </row>
    <row r="14781" spans="1:2" x14ac:dyDescent="0.35">
      <c r="A14781" s="34">
        <v>56121508</v>
      </c>
      <c r="B14781" s="35" t="s">
        <v>7813</v>
      </c>
    </row>
    <row r="14782" spans="1:2" x14ac:dyDescent="0.35">
      <c r="A14782" s="34">
        <v>56121509</v>
      </c>
      <c r="B14782" s="35" t="s">
        <v>7879</v>
      </c>
    </row>
    <row r="14783" spans="1:2" x14ac:dyDescent="0.35">
      <c r="A14783" s="34">
        <v>56121601</v>
      </c>
      <c r="B14783" s="35" t="s">
        <v>8423</v>
      </c>
    </row>
    <row r="14784" spans="1:2" x14ac:dyDescent="0.35">
      <c r="A14784" s="34">
        <v>56121602</v>
      </c>
      <c r="B14784" s="35" t="s">
        <v>6400</v>
      </c>
    </row>
    <row r="14785" spans="1:2" x14ac:dyDescent="0.35">
      <c r="A14785" s="34">
        <v>56121603</v>
      </c>
      <c r="B14785" s="35" t="s">
        <v>5044</v>
      </c>
    </row>
    <row r="14786" spans="1:2" x14ac:dyDescent="0.35">
      <c r="A14786" s="34">
        <v>56121604</v>
      </c>
      <c r="B14786" s="35" t="s">
        <v>17276</v>
      </c>
    </row>
    <row r="14787" spans="1:2" x14ac:dyDescent="0.35">
      <c r="A14787" s="34">
        <v>56121605</v>
      </c>
      <c r="B14787" s="35" t="s">
        <v>9569</v>
      </c>
    </row>
    <row r="14788" spans="1:2" x14ac:dyDescent="0.35">
      <c r="A14788" s="34">
        <v>56121606</v>
      </c>
      <c r="B14788" s="35" t="s">
        <v>5509</v>
      </c>
    </row>
    <row r="14789" spans="1:2" x14ac:dyDescent="0.35">
      <c r="A14789" s="34">
        <v>56121607</v>
      </c>
      <c r="B14789" s="35" t="s">
        <v>3615</v>
      </c>
    </row>
    <row r="14790" spans="1:2" x14ac:dyDescent="0.35">
      <c r="A14790" s="34">
        <v>56121608</v>
      </c>
      <c r="B14790" s="35" t="s">
        <v>16900</v>
      </c>
    </row>
    <row r="14791" spans="1:2" x14ac:dyDescent="0.35">
      <c r="A14791" s="34">
        <v>56121609</v>
      </c>
      <c r="B14791" s="35" t="s">
        <v>5768</v>
      </c>
    </row>
    <row r="14792" spans="1:2" x14ac:dyDescent="0.35">
      <c r="A14792" s="34">
        <v>56121610</v>
      </c>
      <c r="B14792" s="35" t="s">
        <v>10848</v>
      </c>
    </row>
    <row r="14793" spans="1:2" x14ac:dyDescent="0.35">
      <c r="A14793" s="34">
        <v>56121701</v>
      </c>
      <c r="B14793" s="35" t="s">
        <v>9186</v>
      </c>
    </row>
    <row r="14794" spans="1:2" x14ac:dyDescent="0.35">
      <c r="A14794" s="34">
        <v>56121702</v>
      </c>
      <c r="B14794" s="35" t="s">
        <v>9770</v>
      </c>
    </row>
    <row r="14795" spans="1:2" x14ac:dyDescent="0.35">
      <c r="A14795" s="34">
        <v>56121703</v>
      </c>
      <c r="B14795" s="35" t="s">
        <v>19649</v>
      </c>
    </row>
    <row r="14796" spans="1:2" x14ac:dyDescent="0.35">
      <c r="A14796" s="34">
        <v>56121704</v>
      </c>
      <c r="B14796" s="35" t="s">
        <v>10657</v>
      </c>
    </row>
    <row r="14797" spans="1:2" x14ac:dyDescent="0.35">
      <c r="A14797" s="34">
        <v>56121801</v>
      </c>
      <c r="B14797" s="35" t="s">
        <v>11511</v>
      </c>
    </row>
    <row r="14798" spans="1:2" x14ac:dyDescent="0.35">
      <c r="A14798" s="34">
        <v>56121802</v>
      </c>
      <c r="B14798" s="35" t="s">
        <v>7962</v>
      </c>
    </row>
    <row r="14799" spans="1:2" x14ac:dyDescent="0.35">
      <c r="A14799" s="34">
        <v>56121803</v>
      </c>
      <c r="B14799" s="35" t="s">
        <v>4994</v>
      </c>
    </row>
    <row r="14800" spans="1:2" x14ac:dyDescent="0.35">
      <c r="A14800" s="34">
        <v>56121804</v>
      </c>
      <c r="B14800" s="35" t="s">
        <v>7341</v>
      </c>
    </row>
    <row r="14801" spans="1:2" x14ac:dyDescent="0.35">
      <c r="A14801" s="34">
        <v>56121805</v>
      </c>
      <c r="B14801" s="35" t="s">
        <v>12538</v>
      </c>
    </row>
    <row r="14802" spans="1:2" x14ac:dyDescent="0.35">
      <c r="A14802" s="34">
        <v>56121901</v>
      </c>
      <c r="B14802" s="35" t="s">
        <v>3323</v>
      </c>
    </row>
    <row r="14803" spans="1:2" x14ac:dyDescent="0.35">
      <c r="A14803" s="34">
        <v>56122001</v>
      </c>
      <c r="B14803" s="35" t="s">
        <v>10365</v>
      </c>
    </row>
    <row r="14804" spans="1:2" x14ac:dyDescent="0.35">
      <c r="A14804" s="34">
        <v>56122002</v>
      </c>
      <c r="B14804" s="35" t="s">
        <v>19213</v>
      </c>
    </row>
    <row r="14805" spans="1:2" x14ac:dyDescent="0.35">
      <c r="A14805" s="34">
        <v>56122003</v>
      </c>
      <c r="B14805" s="35" t="s">
        <v>13111</v>
      </c>
    </row>
    <row r="14806" spans="1:2" x14ac:dyDescent="0.35">
      <c r="A14806" s="34">
        <v>56122004</v>
      </c>
      <c r="B14806" s="35" t="s">
        <v>6297</v>
      </c>
    </row>
    <row r="14807" spans="1:2" x14ac:dyDescent="0.35">
      <c r="A14807" s="34">
        <v>60101001</v>
      </c>
      <c r="B14807" s="35" t="s">
        <v>9935</v>
      </c>
    </row>
    <row r="14808" spans="1:2" x14ac:dyDescent="0.35">
      <c r="A14808" s="34">
        <v>60101002</v>
      </c>
      <c r="B14808" s="35" t="s">
        <v>18531</v>
      </c>
    </row>
    <row r="14809" spans="1:2" x14ac:dyDescent="0.35">
      <c r="A14809" s="34">
        <v>60101003</v>
      </c>
      <c r="B14809" s="35" t="s">
        <v>18408</v>
      </c>
    </row>
    <row r="14810" spans="1:2" x14ac:dyDescent="0.35">
      <c r="A14810" s="34">
        <v>60101004</v>
      </c>
      <c r="B14810" s="35" t="s">
        <v>11239</v>
      </c>
    </row>
    <row r="14811" spans="1:2" x14ac:dyDescent="0.35">
      <c r="A14811" s="34">
        <v>60101005</v>
      </c>
      <c r="B14811" s="35" t="s">
        <v>885</v>
      </c>
    </row>
    <row r="14812" spans="1:2" x14ac:dyDescent="0.35">
      <c r="A14812" s="34">
        <v>60101006</v>
      </c>
      <c r="B14812" s="35" t="s">
        <v>16007</v>
      </c>
    </row>
    <row r="14813" spans="1:2" x14ac:dyDescent="0.35">
      <c r="A14813" s="34">
        <v>60101007</v>
      </c>
      <c r="B14813" s="35" t="s">
        <v>7802</v>
      </c>
    </row>
    <row r="14814" spans="1:2" x14ac:dyDescent="0.35">
      <c r="A14814" s="34">
        <v>60101008</v>
      </c>
      <c r="B14814" s="35" t="s">
        <v>5718</v>
      </c>
    </row>
    <row r="14815" spans="1:2" x14ac:dyDescent="0.35">
      <c r="A14815" s="34">
        <v>60101009</v>
      </c>
      <c r="B14815" s="35" t="s">
        <v>7413</v>
      </c>
    </row>
    <row r="14816" spans="1:2" x14ac:dyDescent="0.35">
      <c r="A14816" s="34">
        <v>60101010</v>
      </c>
      <c r="B14816" s="35" t="s">
        <v>17570</v>
      </c>
    </row>
    <row r="14817" spans="1:2" x14ac:dyDescent="0.35">
      <c r="A14817" s="34">
        <v>60101101</v>
      </c>
      <c r="B14817" s="35" t="s">
        <v>15061</v>
      </c>
    </row>
    <row r="14818" spans="1:2" x14ac:dyDescent="0.35">
      <c r="A14818" s="34">
        <v>60101102</v>
      </c>
      <c r="B14818" s="35" t="s">
        <v>15090</v>
      </c>
    </row>
    <row r="14819" spans="1:2" x14ac:dyDescent="0.35">
      <c r="A14819" s="34">
        <v>60101103</v>
      </c>
      <c r="B14819" s="35" t="s">
        <v>6430</v>
      </c>
    </row>
    <row r="14820" spans="1:2" x14ac:dyDescent="0.35">
      <c r="A14820" s="34">
        <v>60101104</v>
      </c>
      <c r="B14820" s="35" t="s">
        <v>4473</v>
      </c>
    </row>
    <row r="14821" spans="1:2" x14ac:dyDescent="0.35">
      <c r="A14821" s="34">
        <v>60101201</v>
      </c>
      <c r="B14821" s="35" t="s">
        <v>9496</v>
      </c>
    </row>
    <row r="14822" spans="1:2" x14ac:dyDescent="0.35">
      <c r="A14822" s="34">
        <v>60101202</v>
      </c>
      <c r="B14822" s="35" t="s">
        <v>18378</v>
      </c>
    </row>
    <row r="14823" spans="1:2" x14ac:dyDescent="0.35">
      <c r="A14823" s="34">
        <v>60101203</v>
      </c>
      <c r="B14823" s="35" t="s">
        <v>17382</v>
      </c>
    </row>
    <row r="14824" spans="1:2" x14ac:dyDescent="0.35">
      <c r="A14824" s="34">
        <v>60101204</v>
      </c>
      <c r="B14824" s="35" t="s">
        <v>7863</v>
      </c>
    </row>
    <row r="14825" spans="1:2" x14ac:dyDescent="0.35">
      <c r="A14825" s="34">
        <v>60101205</v>
      </c>
      <c r="B14825" s="35" t="s">
        <v>12859</v>
      </c>
    </row>
    <row r="14826" spans="1:2" x14ac:dyDescent="0.35">
      <c r="A14826" s="34">
        <v>60101301</v>
      </c>
      <c r="B14826" s="35" t="s">
        <v>2154</v>
      </c>
    </row>
    <row r="14827" spans="1:2" x14ac:dyDescent="0.35">
      <c r="A14827" s="34">
        <v>60101302</v>
      </c>
      <c r="B14827" s="35" t="s">
        <v>6496</v>
      </c>
    </row>
    <row r="14828" spans="1:2" x14ac:dyDescent="0.35">
      <c r="A14828" s="34">
        <v>60101304</v>
      </c>
      <c r="B14828" s="35" t="s">
        <v>10007</v>
      </c>
    </row>
    <row r="14829" spans="1:2" x14ac:dyDescent="0.35">
      <c r="A14829" s="34">
        <v>60101305</v>
      </c>
      <c r="B14829" s="35" t="s">
        <v>2235</v>
      </c>
    </row>
    <row r="14830" spans="1:2" x14ac:dyDescent="0.35">
      <c r="A14830" s="34">
        <v>60101306</v>
      </c>
      <c r="B14830" s="35" t="s">
        <v>7840</v>
      </c>
    </row>
    <row r="14831" spans="1:2" x14ac:dyDescent="0.35">
      <c r="A14831" s="34">
        <v>60101307</v>
      </c>
      <c r="B14831" s="35" t="s">
        <v>18425</v>
      </c>
    </row>
    <row r="14832" spans="1:2" x14ac:dyDescent="0.35">
      <c r="A14832" s="34">
        <v>60101308</v>
      </c>
      <c r="B14832" s="35" t="s">
        <v>6062</v>
      </c>
    </row>
    <row r="14833" spans="1:2" x14ac:dyDescent="0.35">
      <c r="A14833" s="34">
        <v>60101309</v>
      </c>
      <c r="B14833" s="35" t="s">
        <v>16434</v>
      </c>
    </row>
    <row r="14834" spans="1:2" x14ac:dyDescent="0.35">
      <c r="A14834" s="34">
        <v>60101310</v>
      </c>
      <c r="B14834" s="35" t="s">
        <v>17250</v>
      </c>
    </row>
    <row r="14835" spans="1:2" x14ac:dyDescent="0.35">
      <c r="A14835" s="34">
        <v>60101311</v>
      </c>
      <c r="B14835" s="35" t="s">
        <v>5362</v>
      </c>
    </row>
    <row r="14836" spans="1:2" x14ac:dyDescent="0.35">
      <c r="A14836" s="34">
        <v>60101312</v>
      </c>
      <c r="B14836" s="35" t="s">
        <v>13496</v>
      </c>
    </row>
    <row r="14837" spans="1:2" x14ac:dyDescent="0.35">
      <c r="A14837" s="34">
        <v>60101313</v>
      </c>
      <c r="B14837" s="35" t="s">
        <v>9893</v>
      </c>
    </row>
    <row r="14838" spans="1:2" x14ac:dyDescent="0.35">
      <c r="A14838" s="34">
        <v>60101314</v>
      </c>
      <c r="B14838" s="35" t="s">
        <v>13878</v>
      </c>
    </row>
    <row r="14839" spans="1:2" x14ac:dyDescent="0.35">
      <c r="A14839" s="34">
        <v>60101315</v>
      </c>
      <c r="B14839" s="35" t="s">
        <v>18197</v>
      </c>
    </row>
    <row r="14840" spans="1:2" x14ac:dyDescent="0.35">
      <c r="A14840" s="34">
        <v>60101316</v>
      </c>
      <c r="B14840" s="35" t="s">
        <v>13685</v>
      </c>
    </row>
    <row r="14841" spans="1:2" x14ac:dyDescent="0.35">
      <c r="A14841" s="34">
        <v>60101317</v>
      </c>
      <c r="B14841" s="35" t="s">
        <v>3237</v>
      </c>
    </row>
    <row r="14842" spans="1:2" x14ac:dyDescent="0.35">
      <c r="A14842" s="34">
        <v>60101318</v>
      </c>
      <c r="B14842" s="35" t="s">
        <v>11566</v>
      </c>
    </row>
    <row r="14843" spans="1:2" x14ac:dyDescent="0.35">
      <c r="A14843" s="34">
        <v>60101319</v>
      </c>
      <c r="B14843" s="35" t="s">
        <v>14304</v>
      </c>
    </row>
    <row r="14844" spans="1:2" x14ac:dyDescent="0.35">
      <c r="A14844" s="34">
        <v>60101320</v>
      </c>
      <c r="B14844" s="35" t="s">
        <v>3070</v>
      </c>
    </row>
    <row r="14845" spans="1:2" x14ac:dyDescent="0.35">
      <c r="A14845" s="34">
        <v>60101321</v>
      </c>
      <c r="B14845" s="35" t="s">
        <v>13129</v>
      </c>
    </row>
    <row r="14846" spans="1:2" x14ac:dyDescent="0.35">
      <c r="A14846" s="34">
        <v>60101322</v>
      </c>
      <c r="B14846" s="35" t="s">
        <v>7265</v>
      </c>
    </row>
    <row r="14847" spans="1:2" x14ac:dyDescent="0.35">
      <c r="A14847" s="34">
        <v>60101323</v>
      </c>
      <c r="B14847" s="35" t="s">
        <v>1640</v>
      </c>
    </row>
    <row r="14848" spans="1:2" x14ac:dyDescent="0.35">
      <c r="A14848" s="34">
        <v>60101324</v>
      </c>
      <c r="B14848" s="35" t="s">
        <v>5007</v>
      </c>
    </row>
    <row r="14849" spans="1:2" x14ac:dyDescent="0.35">
      <c r="A14849" s="34">
        <v>60101325</v>
      </c>
      <c r="B14849" s="35" t="s">
        <v>10895</v>
      </c>
    </row>
    <row r="14850" spans="1:2" x14ac:dyDescent="0.35">
      <c r="A14850" s="34">
        <v>60101326</v>
      </c>
      <c r="B14850" s="35" t="s">
        <v>16006</v>
      </c>
    </row>
    <row r="14851" spans="1:2" x14ac:dyDescent="0.35">
      <c r="A14851" s="34">
        <v>60101327</v>
      </c>
      <c r="B14851" s="35" t="s">
        <v>2015</v>
      </c>
    </row>
    <row r="14852" spans="1:2" x14ac:dyDescent="0.35">
      <c r="A14852" s="34">
        <v>60101328</v>
      </c>
      <c r="B14852" s="35" t="s">
        <v>5611</v>
      </c>
    </row>
    <row r="14853" spans="1:2" x14ac:dyDescent="0.35">
      <c r="A14853" s="34">
        <v>60101329</v>
      </c>
      <c r="B14853" s="35" t="s">
        <v>13844</v>
      </c>
    </row>
    <row r="14854" spans="1:2" x14ac:dyDescent="0.35">
      <c r="A14854" s="34">
        <v>60101330</v>
      </c>
      <c r="B14854" s="35" t="s">
        <v>9572</v>
      </c>
    </row>
    <row r="14855" spans="1:2" x14ac:dyDescent="0.35">
      <c r="A14855" s="34">
        <v>60101331</v>
      </c>
      <c r="B14855" s="35" t="s">
        <v>15776</v>
      </c>
    </row>
    <row r="14856" spans="1:2" x14ac:dyDescent="0.35">
      <c r="A14856" s="34">
        <v>60101401</v>
      </c>
      <c r="B14856" s="35" t="s">
        <v>7024</v>
      </c>
    </row>
    <row r="14857" spans="1:2" x14ac:dyDescent="0.35">
      <c r="A14857" s="34">
        <v>60101402</v>
      </c>
      <c r="B14857" s="35" t="s">
        <v>1100</v>
      </c>
    </row>
    <row r="14858" spans="1:2" x14ac:dyDescent="0.35">
      <c r="A14858" s="34">
        <v>60101403</v>
      </c>
      <c r="B14858" s="35" t="s">
        <v>18686</v>
      </c>
    </row>
    <row r="14859" spans="1:2" x14ac:dyDescent="0.35">
      <c r="A14859" s="34">
        <v>60101404</v>
      </c>
      <c r="B14859" s="35" t="s">
        <v>980</v>
      </c>
    </row>
    <row r="14860" spans="1:2" x14ac:dyDescent="0.35">
      <c r="A14860" s="34">
        <v>60101405</v>
      </c>
      <c r="B14860" s="35" t="s">
        <v>8219</v>
      </c>
    </row>
    <row r="14861" spans="1:2" x14ac:dyDescent="0.35">
      <c r="A14861" s="34">
        <v>60101601</v>
      </c>
      <c r="B14861" s="35" t="s">
        <v>11476</v>
      </c>
    </row>
    <row r="14862" spans="1:2" x14ac:dyDescent="0.35">
      <c r="A14862" s="34">
        <v>60101602</v>
      </c>
      <c r="B14862" s="35" t="s">
        <v>1800</v>
      </c>
    </row>
    <row r="14863" spans="1:2" x14ac:dyDescent="0.35">
      <c r="A14863" s="34">
        <v>60101603</v>
      </c>
      <c r="B14863" s="35" t="s">
        <v>9562</v>
      </c>
    </row>
    <row r="14864" spans="1:2" x14ac:dyDescent="0.35">
      <c r="A14864" s="34">
        <v>60101604</v>
      </c>
      <c r="B14864" s="35" t="s">
        <v>19239</v>
      </c>
    </row>
    <row r="14865" spans="1:2" x14ac:dyDescent="0.35">
      <c r="A14865" s="34">
        <v>60101605</v>
      </c>
      <c r="B14865" s="35" t="s">
        <v>5700</v>
      </c>
    </row>
    <row r="14866" spans="1:2" x14ac:dyDescent="0.35">
      <c r="A14866" s="34">
        <v>60101606</v>
      </c>
      <c r="B14866" s="35" t="s">
        <v>19325</v>
      </c>
    </row>
    <row r="14867" spans="1:2" x14ac:dyDescent="0.35">
      <c r="A14867" s="34">
        <v>60101607</v>
      </c>
      <c r="B14867" s="35" t="s">
        <v>7489</v>
      </c>
    </row>
    <row r="14868" spans="1:2" x14ac:dyDescent="0.35">
      <c r="A14868" s="34">
        <v>60101608</v>
      </c>
      <c r="B14868" s="35" t="s">
        <v>2766</v>
      </c>
    </row>
    <row r="14869" spans="1:2" x14ac:dyDescent="0.35">
      <c r="A14869" s="34">
        <v>60101609</v>
      </c>
      <c r="B14869" s="35" t="s">
        <v>19336</v>
      </c>
    </row>
    <row r="14870" spans="1:2" x14ac:dyDescent="0.35">
      <c r="A14870" s="34">
        <v>60101610</v>
      </c>
      <c r="B14870" s="35" t="s">
        <v>16089</v>
      </c>
    </row>
    <row r="14871" spans="1:2" x14ac:dyDescent="0.35">
      <c r="A14871" s="34">
        <v>60101701</v>
      </c>
      <c r="B14871" s="35" t="s">
        <v>11887</v>
      </c>
    </row>
    <row r="14872" spans="1:2" x14ac:dyDescent="0.35">
      <c r="A14872" s="34">
        <v>60101702</v>
      </c>
      <c r="B14872" s="35" t="s">
        <v>1767</v>
      </c>
    </row>
    <row r="14873" spans="1:2" x14ac:dyDescent="0.35">
      <c r="A14873" s="34">
        <v>60101703</v>
      </c>
      <c r="B14873" s="35" t="s">
        <v>10087</v>
      </c>
    </row>
    <row r="14874" spans="1:2" x14ac:dyDescent="0.35">
      <c r="A14874" s="34">
        <v>60101704</v>
      </c>
      <c r="B14874" s="35" t="s">
        <v>9950</v>
      </c>
    </row>
    <row r="14875" spans="1:2" x14ac:dyDescent="0.35">
      <c r="A14875" s="34">
        <v>60101705</v>
      </c>
      <c r="B14875" s="35" t="s">
        <v>6551</v>
      </c>
    </row>
    <row r="14876" spans="1:2" x14ac:dyDescent="0.35">
      <c r="A14876" s="34">
        <v>60101706</v>
      </c>
      <c r="B14876" s="35" t="s">
        <v>6523</v>
      </c>
    </row>
    <row r="14877" spans="1:2" x14ac:dyDescent="0.35">
      <c r="A14877" s="34">
        <v>60101707</v>
      </c>
      <c r="B14877" s="35" t="s">
        <v>13603</v>
      </c>
    </row>
    <row r="14878" spans="1:2" x14ac:dyDescent="0.35">
      <c r="A14878" s="34">
        <v>60101708</v>
      </c>
      <c r="B14878" s="35" t="s">
        <v>15400</v>
      </c>
    </row>
    <row r="14879" spans="1:2" x14ac:dyDescent="0.35">
      <c r="A14879" s="34">
        <v>60101709</v>
      </c>
      <c r="B14879" s="35" t="s">
        <v>9254</v>
      </c>
    </row>
    <row r="14880" spans="1:2" x14ac:dyDescent="0.35">
      <c r="A14880" s="34">
        <v>60101710</v>
      </c>
      <c r="B14880" s="35" t="s">
        <v>18440</v>
      </c>
    </row>
    <row r="14881" spans="1:2" x14ac:dyDescent="0.35">
      <c r="A14881" s="34">
        <v>60101711</v>
      </c>
      <c r="B14881" s="35" t="s">
        <v>3808</v>
      </c>
    </row>
    <row r="14882" spans="1:2" x14ac:dyDescent="0.35">
      <c r="A14882" s="34">
        <v>60101712</v>
      </c>
      <c r="B14882" s="35" t="s">
        <v>11212</v>
      </c>
    </row>
    <row r="14883" spans="1:2" x14ac:dyDescent="0.35">
      <c r="A14883" s="34">
        <v>60101713</v>
      </c>
      <c r="B14883" s="35" t="s">
        <v>17721</v>
      </c>
    </row>
    <row r="14884" spans="1:2" x14ac:dyDescent="0.35">
      <c r="A14884" s="34">
        <v>60101714</v>
      </c>
      <c r="B14884" s="35" t="s">
        <v>13059</v>
      </c>
    </row>
    <row r="14885" spans="1:2" x14ac:dyDescent="0.35">
      <c r="A14885" s="34">
        <v>60101715</v>
      </c>
      <c r="B14885" s="35" t="s">
        <v>14676</v>
      </c>
    </row>
    <row r="14886" spans="1:2" x14ac:dyDescent="0.35">
      <c r="A14886" s="34">
        <v>60101716</v>
      </c>
      <c r="B14886" s="35" t="s">
        <v>2104</v>
      </c>
    </row>
    <row r="14887" spans="1:2" x14ac:dyDescent="0.35">
      <c r="A14887" s="34">
        <v>60101717</v>
      </c>
      <c r="B14887" s="35" t="s">
        <v>11426</v>
      </c>
    </row>
    <row r="14888" spans="1:2" x14ac:dyDescent="0.35">
      <c r="A14888" s="34">
        <v>60101718</v>
      </c>
      <c r="B14888" s="35" t="s">
        <v>7957</v>
      </c>
    </row>
    <row r="14889" spans="1:2" x14ac:dyDescent="0.35">
      <c r="A14889" s="34">
        <v>60101719</v>
      </c>
      <c r="B14889" s="35" t="s">
        <v>7346</v>
      </c>
    </row>
    <row r="14890" spans="1:2" x14ac:dyDescent="0.35">
      <c r="A14890" s="34">
        <v>60101720</v>
      </c>
      <c r="B14890" s="35" t="s">
        <v>2236</v>
      </c>
    </row>
    <row r="14891" spans="1:2" x14ac:dyDescent="0.35">
      <c r="A14891" s="34">
        <v>60101721</v>
      </c>
      <c r="B14891" s="35" t="s">
        <v>15509</v>
      </c>
    </row>
    <row r="14892" spans="1:2" x14ac:dyDescent="0.35">
      <c r="A14892" s="34">
        <v>60101722</v>
      </c>
      <c r="B14892" s="35" t="s">
        <v>19338</v>
      </c>
    </row>
    <row r="14893" spans="1:2" x14ac:dyDescent="0.35">
      <c r="A14893" s="34">
        <v>60101723</v>
      </c>
      <c r="B14893" s="35" t="s">
        <v>7925</v>
      </c>
    </row>
    <row r="14894" spans="1:2" x14ac:dyDescent="0.35">
      <c r="A14894" s="34">
        <v>60101724</v>
      </c>
      <c r="B14894" s="35" t="s">
        <v>14441</v>
      </c>
    </row>
    <row r="14895" spans="1:2" x14ac:dyDescent="0.35">
      <c r="A14895" s="34">
        <v>60101725</v>
      </c>
      <c r="B14895" s="35" t="s">
        <v>5752</v>
      </c>
    </row>
    <row r="14896" spans="1:2" x14ac:dyDescent="0.35">
      <c r="A14896" s="34">
        <v>60101726</v>
      </c>
      <c r="B14896" s="35" t="s">
        <v>9751</v>
      </c>
    </row>
    <row r="14897" spans="1:2" x14ac:dyDescent="0.35">
      <c r="A14897" s="34">
        <v>60101727</v>
      </c>
      <c r="B14897" s="35" t="s">
        <v>7666</v>
      </c>
    </row>
    <row r="14898" spans="1:2" x14ac:dyDescent="0.35">
      <c r="A14898" s="34">
        <v>60101728</v>
      </c>
      <c r="B14898" s="35" t="s">
        <v>2939</v>
      </c>
    </row>
    <row r="14899" spans="1:2" x14ac:dyDescent="0.35">
      <c r="A14899" s="34">
        <v>60101729</v>
      </c>
      <c r="B14899" s="35" t="s">
        <v>1463</v>
      </c>
    </row>
    <row r="14900" spans="1:2" x14ac:dyDescent="0.35">
      <c r="A14900" s="34">
        <v>60101730</v>
      </c>
      <c r="B14900" s="35" t="s">
        <v>3877</v>
      </c>
    </row>
    <row r="14901" spans="1:2" x14ac:dyDescent="0.35">
      <c r="A14901" s="34">
        <v>60101731</v>
      </c>
      <c r="B14901" s="35" t="s">
        <v>5266</v>
      </c>
    </row>
    <row r="14902" spans="1:2" x14ac:dyDescent="0.35">
      <c r="A14902" s="34">
        <v>60101732</v>
      </c>
      <c r="B14902" s="35" t="s">
        <v>16860</v>
      </c>
    </row>
    <row r="14903" spans="1:2" x14ac:dyDescent="0.35">
      <c r="A14903" s="34">
        <v>60101801</v>
      </c>
      <c r="B14903" s="35" t="s">
        <v>5148</v>
      </c>
    </row>
    <row r="14904" spans="1:2" x14ac:dyDescent="0.35">
      <c r="A14904" s="34">
        <v>60101802</v>
      </c>
      <c r="B14904" s="35" t="s">
        <v>650</v>
      </c>
    </row>
    <row r="14905" spans="1:2" x14ac:dyDescent="0.35">
      <c r="A14905" s="34">
        <v>60101803</v>
      </c>
      <c r="B14905" s="35" t="s">
        <v>4788</v>
      </c>
    </row>
    <row r="14906" spans="1:2" x14ac:dyDescent="0.35">
      <c r="A14906" s="34">
        <v>60101804</v>
      </c>
      <c r="B14906" s="35" t="s">
        <v>13038</v>
      </c>
    </row>
    <row r="14907" spans="1:2" x14ac:dyDescent="0.35">
      <c r="A14907" s="34">
        <v>60101805</v>
      </c>
      <c r="B14907" s="35" t="s">
        <v>8421</v>
      </c>
    </row>
    <row r="14908" spans="1:2" x14ac:dyDescent="0.35">
      <c r="A14908" s="34">
        <v>60101806</v>
      </c>
      <c r="B14908" s="35" t="s">
        <v>10193</v>
      </c>
    </row>
    <row r="14909" spans="1:2" x14ac:dyDescent="0.35">
      <c r="A14909" s="34">
        <v>60101807</v>
      </c>
      <c r="B14909" s="35" t="s">
        <v>14867</v>
      </c>
    </row>
    <row r="14910" spans="1:2" x14ac:dyDescent="0.35">
      <c r="A14910" s="34">
        <v>60101808</v>
      </c>
      <c r="B14910" s="35" t="s">
        <v>13956</v>
      </c>
    </row>
    <row r="14911" spans="1:2" x14ac:dyDescent="0.35">
      <c r="A14911" s="34">
        <v>60101809</v>
      </c>
      <c r="B14911" s="35" t="s">
        <v>11347</v>
      </c>
    </row>
    <row r="14912" spans="1:2" x14ac:dyDescent="0.35">
      <c r="A14912" s="34">
        <v>60101810</v>
      </c>
      <c r="B14912" s="35" t="s">
        <v>3951</v>
      </c>
    </row>
    <row r="14913" spans="1:2" x14ac:dyDescent="0.35">
      <c r="A14913" s="34">
        <v>60101811</v>
      </c>
      <c r="B14913" s="35" t="s">
        <v>17041</v>
      </c>
    </row>
    <row r="14914" spans="1:2" x14ac:dyDescent="0.35">
      <c r="A14914" s="34">
        <v>60101901</v>
      </c>
      <c r="B14914" s="35" t="s">
        <v>14895</v>
      </c>
    </row>
    <row r="14915" spans="1:2" x14ac:dyDescent="0.35">
      <c r="A14915" s="34">
        <v>60101902</v>
      </c>
      <c r="B14915" s="35" t="s">
        <v>7197</v>
      </c>
    </row>
    <row r="14916" spans="1:2" x14ac:dyDescent="0.35">
      <c r="A14916" s="34">
        <v>60101903</v>
      </c>
      <c r="B14916" s="35" t="s">
        <v>14661</v>
      </c>
    </row>
    <row r="14917" spans="1:2" x14ac:dyDescent="0.35">
      <c r="A14917" s="34">
        <v>60101904</v>
      </c>
      <c r="B14917" s="35" t="s">
        <v>6557</v>
      </c>
    </row>
    <row r="14918" spans="1:2" x14ac:dyDescent="0.35">
      <c r="A14918" s="34">
        <v>60101905</v>
      </c>
      <c r="B14918" s="35" t="s">
        <v>16218</v>
      </c>
    </row>
    <row r="14919" spans="1:2" x14ac:dyDescent="0.35">
      <c r="A14919" s="34">
        <v>60101906</v>
      </c>
      <c r="B14919" s="35" t="s">
        <v>16155</v>
      </c>
    </row>
    <row r="14920" spans="1:2" x14ac:dyDescent="0.35">
      <c r="A14920" s="34">
        <v>60101907</v>
      </c>
      <c r="B14920" s="35" t="s">
        <v>16370</v>
      </c>
    </row>
    <row r="14921" spans="1:2" x14ac:dyDescent="0.35">
      <c r="A14921" s="34">
        <v>60101908</v>
      </c>
      <c r="B14921" s="35" t="s">
        <v>2323</v>
      </c>
    </row>
    <row r="14922" spans="1:2" x14ac:dyDescent="0.35">
      <c r="A14922" s="34">
        <v>60101909</v>
      </c>
      <c r="B14922" s="35" t="s">
        <v>9387</v>
      </c>
    </row>
    <row r="14923" spans="1:2" x14ac:dyDescent="0.35">
      <c r="A14923" s="34">
        <v>60101910</v>
      </c>
      <c r="B14923" s="35" t="s">
        <v>7392</v>
      </c>
    </row>
    <row r="14924" spans="1:2" x14ac:dyDescent="0.35">
      <c r="A14924" s="34">
        <v>60101911</v>
      </c>
      <c r="B14924" s="35" t="s">
        <v>4138</v>
      </c>
    </row>
    <row r="14925" spans="1:2" x14ac:dyDescent="0.35">
      <c r="A14925" s="34">
        <v>60102001</v>
      </c>
      <c r="B14925" s="35" t="s">
        <v>5117</v>
      </c>
    </row>
    <row r="14926" spans="1:2" x14ac:dyDescent="0.35">
      <c r="A14926" s="34">
        <v>60102002</v>
      </c>
      <c r="B14926" s="35" t="s">
        <v>8835</v>
      </c>
    </row>
    <row r="14927" spans="1:2" x14ac:dyDescent="0.35">
      <c r="A14927" s="34">
        <v>60102003</v>
      </c>
      <c r="B14927" s="35" t="s">
        <v>17527</v>
      </c>
    </row>
    <row r="14928" spans="1:2" x14ac:dyDescent="0.35">
      <c r="A14928" s="34">
        <v>60102004</v>
      </c>
      <c r="B14928" s="35" t="s">
        <v>4679</v>
      </c>
    </row>
    <row r="14929" spans="1:2" x14ac:dyDescent="0.35">
      <c r="A14929" s="34">
        <v>60102005</v>
      </c>
      <c r="B14929" s="35" t="s">
        <v>19111</v>
      </c>
    </row>
    <row r="14930" spans="1:2" x14ac:dyDescent="0.35">
      <c r="A14930" s="34">
        <v>60102006</v>
      </c>
      <c r="B14930" s="35" t="s">
        <v>2790</v>
      </c>
    </row>
    <row r="14931" spans="1:2" x14ac:dyDescent="0.35">
      <c r="A14931" s="34">
        <v>60102007</v>
      </c>
      <c r="B14931" s="35" t="s">
        <v>18991</v>
      </c>
    </row>
    <row r="14932" spans="1:2" x14ac:dyDescent="0.35">
      <c r="A14932" s="34">
        <v>60102101</v>
      </c>
      <c r="B14932" s="35" t="s">
        <v>4810</v>
      </c>
    </row>
    <row r="14933" spans="1:2" x14ac:dyDescent="0.35">
      <c r="A14933" s="34">
        <v>60102102</v>
      </c>
      <c r="B14933" s="35" t="s">
        <v>2127</v>
      </c>
    </row>
    <row r="14934" spans="1:2" x14ac:dyDescent="0.35">
      <c r="A14934" s="34">
        <v>60102103</v>
      </c>
      <c r="B14934" s="35" t="s">
        <v>9431</v>
      </c>
    </row>
    <row r="14935" spans="1:2" x14ac:dyDescent="0.35">
      <c r="A14935" s="34">
        <v>60102104</v>
      </c>
      <c r="B14935" s="35" t="s">
        <v>8710</v>
      </c>
    </row>
    <row r="14936" spans="1:2" x14ac:dyDescent="0.35">
      <c r="A14936" s="34">
        <v>60102105</v>
      </c>
      <c r="B14936" s="35" t="s">
        <v>397</v>
      </c>
    </row>
    <row r="14937" spans="1:2" x14ac:dyDescent="0.35">
      <c r="A14937" s="34">
        <v>60102106</v>
      </c>
      <c r="B14937" s="35" t="s">
        <v>11032</v>
      </c>
    </row>
    <row r="14938" spans="1:2" x14ac:dyDescent="0.35">
      <c r="A14938" s="34">
        <v>60102201</v>
      </c>
      <c r="B14938" s="35" t="s">
        <v>3892</v>
      </c>
    </row>
    <row r="14939" spans="1:2" x14ac:dyDescent="0.35">
      <c r="A14939" s="34">
        <v>60102202</v>
      </c>
      <c r="B14939" s="35" t="s">
        <v>18266</v>
      </c>
    </row>
    <row r="14940" spans="1:2" x14ac:dyDescent="0.35">
      <c r="A14940" s="34">
        <v>60102203</v>
      </c>
      <c r="B14940" s="35" t="s">
        <v>5431</v>
      </c>
    </row>
    <row r="14941" spans="1:2" x14ac:dyDescent="0.35">
      <c r="A14941" s="34">
        <v>60102204</v>
      </c>
      <c r="B14941" s="35" t="s">
        <v>14733</v>
      </c>
    </row>
    <row r="14942" spans="1:2" x14ac:dyDescent="0.35">
      <c r="A14942" s="34">
        <v>60102205</v>
      </c>
      <c r="B14942" s="35" t="s">
        <v>5153</v>
      </c>
    </row>
    <row r="14943" spans="1:2" x14ac:dyDescent="0.35">
      <c r="A14943" s="34">
        <v>60102206</v>
      </c>
      <c r="B14943" s="35" t="s">
        <v>10477</v>
      </c>
    </row>
    <row r="14944" spans="1:2" x14ac:dyDescent="0.35">
      <c r="A14944" s="34">
        <v>60102301</v>
      </c>
      <c r="B14944" s="35" t="s">
        <v>3640</v>
      </c>
    </row>
    <row r="14945" spans="1:2" x14ac:dyDescent="0.35">
      <c r="A14945" s="34">
        <v>60102302</v>
      </c>
      <c r="B14945" s="35" t="s">
        <v>7806</v>
      </c>
    </row>
    <row r="14946" spans="1:2" x14ac:dyDescent="0.35">
      <c r="A14946" s="34">
        <v>60102303</v>
      </c>
      <c r="B14946" s="35" t="s">
        <v>14757</v>
      </c>
    </row>
    <row r="14947" spans="1:2" x14ac:dyDescent="0.35">
      <c r="A14947" s="34">
        <v>60102304</v>
      </c>
      <c r="B14947" s="35" t="s">
        <v>8825</v>
      </c>
    </row>
    <row r="14948" spans="1:2" x14ac:dyDescent="0.35">
      <c r="A14948" s="34">
        <v>60102305</v>
      </c>
      <c r="B14948" s="35" t="s">
        <v>18719</v>
      </c>
    </row>
    <row r="14949" spans="1:2" x14ac:dyDescent="0.35">
      <c r="A14949" s="34">
        <v>60102306</v>
      </c>
      <c r="B14949" s="35" t="s">
        <v>13037</v>
      </c>
    </row>
    <row r="14950" spans="1:2" x14ac:dyDescent="0.35">
      <c r="A14950" s="34">
        <v>60102307</v>
      </c>
      <c r="B14950" s="35" t="s">
        <v>11357</v>
      </c>
    </row>
    <row r="14951" spans="1:2" x14ac:dyDescent="0.35">
      <c r="A14951" s="34">
        <v>60102308</v>
      </c>
      <c r="B14951" s="35" t="s">
        <v>16411</v>
      </c>
    </row>
    <row r="14952" spans="1:2" x14ac:dyDescent="0.35">
      <c r="A14952" s="34">
        <v>60102309</v>
      </c>
      <c r="B14952" s="35" t="s">
        <v>1693</v>
      </c>
    </row>
    <row r="14953" spans="1:2" x14ac:dyDescent="0.35">
      <c r="A14953" s="34">
        <v>60102310</v>
      </c>
      <c r="B14953" s="35" t="s">
        <v>17123</v>
      </c>
    </row>
    <row r="14954" spans="1:2" x14ac:dyDescent="0.35">
      <c r="A14954" s="34">
        <v>60102311</v>
      </c>
      <c r="B14954" s="35" t="s">
        <v>7593</v>
      </c>
    </row>
    <row r="14955" spans="1:2" x14ac:dyDescent="0.35">
      <c r="A14955" s="34">
        <v>60102312</v>
      </c>
      <c r="B14955" s="35" t="s">
        <v>6153</v>
      </c>
    </row>
    <row r="14956" spans="1:2" x14ac:dyDescent="0.35">
      <c r="A14956" s="34">
        <v>60102401</v>
      </c>
      <c r="B14956" s="35" t="s">
        <v>3413</v>
      </c>
    </row>
    <row r="14957" spans="1:2" x14ac:dyDescent="0.35">
      <c r="A14957" s="34">
        <v>60102402</v>
      </c>
      <c r="B14957" s="35" t="s">
        <v>9959</v>
      </c>
    </row>
    <row r="14958" spans="1:2" x14ac:dyDescent="0.35">
      <c r="A14958" s="34">
        <v>60102403</v>
      </c>
      <c r="B14958" s="35" t="s">
        <v>2360</v>
      </c>
    </row>
    <row r="14959" spans="1:2" x14ac:dyDescent="0.35">
      <c r="A14959" s="34">
        <v>60102404</v>
      </c>
      <c r="B14959" s="35" t="s">
        <v>15038</v>
      </c>
    </row>
    <row r="14960" spans="1:2" x14ac:dyDescent="0.35">
      <c r="A14960" s="34">
        <v>60102405</v>
      </c>
      <c r="B14960" s="35" t="s">
        <v>2034</v>
      </c>
    </row>
    <row r="14961" spans="1:2" x14ac:dyDescent="0.35">
      <c r="A14961" s="34">
        <v>60102406</v>
      </c>
      <c r="B14961" s="35" t="s">
        <v>11141</v>
      </c>
    </row>
    <row r="14962" spans="1:2" x14ac:dyDescent="0.35">
      <c r="A14962" s="34">
        <v>60102407</v>
      </c>
      <c r="B14962" s="35" t="s">
        <v>13653</v>
      </c>
    </row>
    <row r="14963" spans="1:2" x14ac:dyDescent="0.35">
      <c r="A14963" s="34">
        <v>60102408</v>
      </c>
      <c r="B14963" s="35" t="s">
        <v>15158</v>
      </c>
    </row>
    <row r="14964" spans="1:2" x14ac:dyDescent="0.35">
      <c r="A14964" s="34">
        <v>60102409</v>
      </c>
      <c r="B14964" s="35" t="s">
        <v>1798</v>
      </c>
    </row>
    <row r="14965" spans="1:2" x14ac:dyDescent="0.35">
      <c r="A14965" s="34">
        <v>60102410</v>
      </c>
      <c r="B14965" s="35" t="s">
        <v>10259</v>
      </c>
    </row>
    <row r="14966" spans="1:2" x14ac:dyDescent="0.35">
      <c r="A14966" s="34">
        <v>60102411</v>
      </c>
      <c r="B14966" s="35" t="s">
        <v>7051</v>
      </c>
    </row>
    <row r="14967" spans="1:2" x14ac:dyDescent="0.35">
      <c r="A14967" s="34">
        <v>60102412</v>
      </c>
      <c r="B14967" s="35" t="s">
        <v>16781</v>
      </c>
    </row>
    <row r="14968" spans="1:2" x14ac:dyDescent="0.35">
      <c r="A14968" s="34">
        <v>60102413</v>
      </c>
      <c r="B14968" s="35" t="s">
        <v>15985</v>
      </c>
    </row>
    <row r="14969" spans="1:2" x14ac:dyDescent="0.35">
      <c r="A14969" s="34">
        <v>60102414</v>
      </c>
      <c r="B14969" s="35" t="s">
        <v>18692</v>
      </c>
    </row>
    <row r="14970" spans="1:2" x14ac:dyDescent="0.35">
      <c r="A14970" s="34">
        <v>60102501</v>
      </c>
      <c r="B14970" s="35" t="s">
        <v>18923</v>
      </c>
    </row>
    <row r="14971" spans="1:2" x14ac:dyDescent="0.35">
      <c r="A14971" s="34">
        <v>60102502</v>
      </c>
      <c r="B14971" s="35" t="s">
        <v>9275</v>
      </c>
    </row>
    <row r="14972" spans="1:2" x14ac:dyDescent="0.35">
      <c r="A14972" s="34">
        <v>60102503</v>
      </c>
      <c r="B14972" s="35" t="s">
        <v>6323</v>
      </c>
    </row>
    <row r="14973" spans="1:2" x14ac:dyDescent="0.35">
      <c r="A14973" s="34">
        <v>60102504</v>
      </c>
      <c r="B14973" s="35" t="s">
        <v>6013</v>
      </c>
    </row>
    <row r="14974" spans="1:2" x14ac:dyDescent="0.35">
      <c r="A14974" s="34">
        <v>60102505</v>
      </c>
      <c r="B14974" s="35" t="s">
        <v>12450</v>
      </c>
    </row>
    <row r="14975" spans="1:2" x14ac:dyDescent="0.35">
      <c r="A14975" s="34">
        <v>60102506</v>
      </c>
      <c r="B14975" s="35" t="s">
        <v>3708</v>
      </c>
    </row>
    <row r="14976" spans="1:2" x14ac:dyDescent="0.35">
      <c r="A14976" s="34">
        <v>60102507</v>
      </c>
      <c r="B14976" s="35" t="s">
        <v>1174</v>
      </c>
    </row>
    <row r="14977" spans="1:2" x14ac:dyDescent="0.35">
      <c r="A14977" s="34">
        <v>60102508</v>
      </c>
      <c r="B14977" s="35" t="s">
        <v>8664</v>
      </c>
    </row>
    <row r="14978" spans="1:2" x14ac:dyDescent="0.35">
      <c r="A14978" s="34">
        <v>60102509</v>
      </c>
      <c r="B14978" s="35" t="s">
        <v>5341</v>
      </c>
    </row>
    <row r="14979" spans="1:2" x14ac:dyDescent="0.35">
      <c r="A14979" s="34">
        <v>60102510</v>
      </c>
      <c r="B14979" s="35" t="s">
        <v>10810</v>
      </c>
    </row>
    <row r="14980" spans="1:2" x14ac:dyDescent="0.35">
      <c r="A14980" s="34">
        <v>60102511</v>
      </c>
      <c r="B14980" s="35" t="s">
        <v>11906</v>
      </c>
    </row>
    <row r="14981" spans="1:2" x14ac:dyDescent="0.35">
      <c r="A14981" s="34">
        <v>60102512</v>
      </c>
      <c r="B14981" s="35" t="s">
        <v>12313</v>
      </c>
    </row>
    <row r="14982" spans="1:2" x14ac:dyDescent="0.35">
      <c r="A14982" s="34">
        <v>60102513</v>
      </c>
      <c r="B14982" s="35" t="s">
        <v>9499</v>
      </c>
    </row>
    <row r="14983" spans="1:2" x14ac:dyDescent="0.35">
      <c r="A14983" s="34">
        <v>60102601</v>
      </c>
      <c r="B14983" s="35" t="s">
        <v>13980</v>
      </c>
    </row>
    <row r="14984" spans="1:2" x14ac:dyDescent="0.35">
      <c r="A14984" s="34">
        <v>60102602</v>
      </c>
      <c r="B14984" s="35" t="s">
        <v>15450</v>
      </c>
    </row>
    <row r="14985" spans="1:2" x14ac:dyDescent="0.35">
      <c r="A14985" s="34">
        <v>60102603</v>
      </c>
      <c r="B14985" s="35" t="s">
        <v>6210</v>
      </c>
    </row>
    <row r="14986" spans="1:2" x14ac:dyDescent="0.35">
      <c r="A14986" s="34">
        <v>60102604</v>
      </c>
      <c r="B14986" s="35" t="s">
        <v>13104</v>
      </c>
    </row>
    <row r="14987" spans="1:2" x14ac:dyDescent="0.35">
      <c r="A14987" s="34">
        <v>60102605</v>
      </c>
      <c r="B14987" s="35" t="s">
        <v>7256</v>
      </c>
    </row>
    <row r="14988" spans="1:2" x14ac:dyDescent="0.35">
      <c r="A14988" s="34">
        <v>60102606</v>
      </c>
      <c r="B14988" s="35" t="s">
        <v>12631</v>
      </c>
    </row>
    <row r="14989" spans="1:2" x14ac:dyDescent="0.35">
      <c r="A14989" s="34">
        <v>60102607</v>
      </c>
      <c r="B14989" s="35" t="s">
        <v>9479</v>
      </c>
    </row>
    <row r="14990" spans="1:2" x14ac:dyDescent="0.35">
      <c r="A14990" s="34">
        <v>60102608</v>
      </c>
      <c r="B14990" s="35" t="s">
        <v>3378</v>
      </c>
    </row>
    <row r="14991" spans="1:2" x14ac:dyDescent="0.35">
      <c r="A14991" s="34">
        <v>60102609</v>
      </c>
      <c r="B14991" s="35" t="s">
        <v>9159</v>
      </c>
    </row>
    <row r="14992" spans="1:2" x14ac:dyDescent="0.35">
      <c r="A14992" s="34">
        <v>60102610</v>
      </c>
      <c r="B14992" s="35" t="s">
        <v>12288</v>
      </c>
    </row>
    <row r="14993" spans="1:2" x14ac:dyDescent="0.35">
      <c r="A14993" s="34">
        <v>60102611</v>
      </c>
      <c r="B14993" s="35" t="s">
        <v>16765</v>
      </c>
    </row>
    <row r="14994" spans="1:2" x14ac:dyDescent="0.35">
      <c r="A14994" s="34">
        <v>60102612</v>
      </c>
      <c r="B14994" s="35" t="s">
        <v>17162</v>
      </c>
    </row>
    <row r="14995" spans="1:2" x14ac:dyDescent="0.35">
      <c r="A14995" s="34">
        <v>60102613</v>
      </c>
      <c r="B14995" s="35" t="s">
        <v>9467</v>
      </c>
    </row>
    <row r="14996" spans="1:2" x14ac:dyDescent="0.35">
      <c r="A14996" s="34">
        <v>60102614</v>
      </c>
      <c r="B14996" s="35" t="s">
        <v>6198</v>
      </c>
    </row>
    <row r="14997" spans="1:2" x14ac:dyDescent="0.35">
      <c r="A14997" s="34">
        <v>60102701</v>
      </c>
      <c r="B14997" s="35" t="s">
        <v>4120</v>
      </c>
    </row>
    <row r="14998" spans="1:2" x14ac:dyDescent="0.35">
      <c r="A14998" s="34">
        <v>60102702</v>
      </c>
      <c r="B14998" s="35" t="s">
        <v>4746</v>
      </c>
    </row>
    <row r="14999" spans="1:2" x14ac:dyDescent="0.35">
      <c r="A14999" s="34">
        <v>60102703</v>
      </c>
      <c r="B14999" s="35" t="s">
        <v>11689</v>
      </c>
    </row>
    <row r="15000" spans="1:2" x14ac:dyDescent="0.35">
      <c r="A15000" s="34">
        <v>60102704</v>
      </c>
      <c r="B15000" s="35" t="s">
        <v>6440</v>
      </c>
    </row>
    <row r="15001" spans="1:2" x14ac:dyDescent="0.35">
      <c r="A15001" s="34">
        <v>60102705</v>
      </c>
      <c r="B15001" s="35" t="s">
        <v>520</v>
      </c>
    </row>
    <row r="15002" spans="1:2" x14ac:dyDescent="0.35">
      <c r="A15002" s="34">
        <v>60102706</v>
      </c>
      <c r="B15002" s="35" t="s">
        <v>17881</v>
      </c>
    </row>
    <row r="15003" spans="1:2" x14ac:dyDescent="0.35">
      <c r="A15003" s="34">
        <v>60102707</v>
      </c>
      <c r="B15003" s="35" t="s">
        <v>5470</v>
      </c>
    </row>
    <row r="15004" spans="1:2" x14ac:dyDescent="0.35">
      <c r="A15004" s="34">
        <v>60102708</v>
      </c>
      <c r="B15004" s="35" t="s">
        <v>7441</v>
      </c>
    </row>
    <row r="15005" spans="1:2" x14ac:dyDescent="0.35">
      <c r="A15005" s="34">
        <v>60102709</v>
      </c>
      <c r="B15005" s="35" t="s">
        <v>12883</v>
      </c>
    </row>
    <row r="15006" spans="1:2" x14ac:dyDescent="0.35">
      <c r="A15006" s="34">
        <v>60102710</v>
      </c>
      <c r="B15006" s="35" t="s">
        <v>8018</v>
      </c>
    </row>
    <row r="15007" spans="1:2" x14ac:dyDescent="0.35">
      <c r="A15007" s="34">
        <v>60102711</v>
      </c>
      <c r="B15007" s="35" t="s">
        <v>19527</v>
      </c>
    </row>
    <row r="15008" spans="1:2" x14ac:dyDescent="0.35">
      <c r="A15008" s="34">
        <v>60102712</v>
      </c>
      <c r="B15008" s="35" t="s">
        <v>11694</v>
      </c>
    </row>
    <row r="15009" spans="1:2" x14ac:dyDescent="0.35">
      <c r="A15009" s="34">
        <v>60102713</v>
      </c>
      <c r="B15009" s="35" t="s">
        <v>6072</v>
      </c>
    </row>
    <row r="15010" spans="1:2" x14ac:dyDescent="0.35">
      <c r="A15010" s="34">
        <v>60102714</v>
      </c>
      <c r="B15010" s="35" t="s">
        <v>13626</v>
      </c>
    </row>
    <row r="15011" spans="1:2" x14ac:dyDescent="0.35">
      <c r="A15011" s="34">
        <v>60102715</v>
      </c>
      <c r="B15011" s="35" t="s">
        <v>12013</v>
      </c>
    </row>
    <row r="15012" spans="1:2" x14ac:dyDescent="0.35">
      <c r="A15012" s="34">
        <v>60102717</v>
      </c>
      <c r="B15012" s="35" t="s">
        <v>8569</v>
      </c>
    </row>
    <row r="15013" spans="1:2" x14ac:dyDescent="0.35">
      <c r="A15013" s="34">
        <v>60102718</v>
      </c>
      <c r="B15013" s="35" t="s">
        <v>2666</v>
      </c>
    </row>
    <row r="15014" spans="1:2" x14ac:dyDescent="0.35">
      <c r="A15014" s="34">
        <v>60102801</v>
      </c>
      <c r="B15014" s="35" t="s">
        <v>10288</v>
      </c>
    </row>
    <row r="15015" spans="1:2" x14ac:dyDescent="0.35">
      <c r="A15015" s="34">
        <v>60102802</v>
      </c>
      <c r="B15015" s="35" t="s">
        <v>4078</v>
      </c>
    </row>
    <row r="15016" spans="1:2" x14ac:dyDescent="0.35">
      <c r="A15016" s="34">
        <v>60102803</v>
      </c>
      <c r="B15016" s="35" t="s">
        <v>3248</v>
      </c>
    </row>
    <row r="15017" spans="1:2" x14ac:dyDescent="0.35">
      <c r="A15017" s="34">
        <v>60102804</v>
      </c>
      <c r="B15017" s="35" t="s">
        <v>16827</v>
      </c>
    </row>
    <row r="15018" spans="1:2" x14ac:dyDescent="0.35">
      <c r="A15018" s="34">
        <v>60102805</v>
      </c>
      <c r="B15018" s="35" t="s">
        <v>1090</v>
      </c>
    </row>
    <row r="15019" spans="1:2" x14ac:dyDescent="0.35">
      <c r="A15019" s="34">
        <v>60102806</v>
      </c>
      <c r="B15019" s="35" t="s">
        <v>11009</v>
      </c>
    </row>
    <row r="15020" spans="1:2" x14ac:dyDescent="0.35">
      <c r="A15020" s="34">
        <v>60102807</v>
      </c>
      <c r="B15020" s="35" t="s">
        <v>16390</v>
      </c>
    </row>
    <row r="15021" spans="1:2" x14ac:dyDescent="0.35">
      <c r="A15021" s="34">
        <v>60102901</v>
      </c>
      <c r="B15021" s="35" t="s">
        <v>15396</v>
      </c>
    </row>
    <row r="15022" spans="1:2" x14ac:dyDescent="0.35">
      <c r="A15022" s="34">
        <v>60102902</v>
      </c>
      <c r="B15022" s="35" t="s">
        <v>17187</v>
      </c>
    </row>
    <row r="15023" spans="1:2" x14ac:dyDescent="0.35">
      <c r="A15023" s="34">
        <v>60102903</v>
      </c>
      <c r="B15023" s="35" t="s">
        <v>9458</v>
      </c>
    </row>
    <row r="15024" spans="1:2" x14ac:dyDescent="0.35">
      <c r="A15024" s="34">
        <v>60102904</v>
      </c>
      <c r="B15024" s="35" t="s">
        <v>4939</v>
      </c>
    </row>
    <row r="15025" spans="1:2" x14ac:dyDescent="0.35">
      <c r="A15025" s="34">
        <v>60102905</v>
      </c>
      <c r="B15025" s="35" t="s">
        <v>14039</v>
      </c>
    </row>
    <row r="15026" spans="1:2" x14ac:dyDescent="0.35">
      <c r="A15026" s="34">
        <v>60102906</v>
      </c>
      <c r="B15026" s="35" t="s">
        <v>16638</v>
      </c>
    </row>
    <row r="15027" spans="1:2" x14ac:dyDescent="0.35">
      <c r="A15027" s="34">
        <v>60102907</v>
      </c>
      <c r="B15027" s="35" t="s">
        <v>12829</v>
      </c>
    </row>
    <row r="15028" spans="1:2" x14ac:dyDescent="0.35">
      <c r="A15028" s="34">
        <v>60102908</v>
      </c>
      <c r="B15028" s="35" t="s">
        <v>19471</v>
      </c>
    </row>
    <row r="15029" spans="1:2" x14ac:dyDescent="0.35">
      <c r="A15029" s="34">
        <v>60102909</v>
      </c>
      <c r="B15029" s="35" t="s">
        <v>16982</v>
      </c>
    </row>
    <row r="15030" spans="1:2" x14ac:dyDescent="0.35">
      <c r="A15030" s="34">
        <v>60102910</v>
      </c>
      <c r="B15030" s="35" t="s">
        <v>12766</v>
      </c>
    </row>
    <row r="15031" spans="1:2" x14ac:dyDescent="0.35">
      <c r="A15031" s="34">
        <v>60102911</v>
      </c>
      <c r="B15031" s="35" t="s">
        <v>16036</v>
      </c>
    </row>
    <row r="15032" spans="1:2" x14ac:dyDescent="0.35">
      <c r="A15032" s="34">
        <v>60102912</v>
      </c>
      <c r="B15032" s="35" t="s">
        <v>12063</v>
      </c>
    </row>
    <row r="15033" spans="1:2" x14ac:dyDescent="0.35">
      <c r="A15033" s="34">
        <v>60102913</v>
      </c>
      <c r="B15033" s="35" t="s">
        <v>2105</v>
      </c>
    </row>
    <row r="15034" spans="1:2" x14ac:dyDescent="0.35">
      <c r="A15034" s="34">
        <v>60102914</v>
      </c>
      <c r="B15034" s="35" t="s">
        <v>13578</v>
      </c>
    </row>
    <row r="15035" spans="1:2" x14ac:dyDescent="0.35">
      <c r="A15035" s="34">
        <v>60102915</v>
      </c>
      <c r="B15035" s="35" t="s">
        <v>13467</v>
      </c>
    </row>
    <row r="15036" spans="1:2" x14ac:dyDescent="0.35">
      <c r="A15036" s="34">
        <v>60102916</v>
      </c>
      <c r="B15036" s="35" t="s">
        <v>15965</v>
      </c>
    </row>
    <row r="15037" spans="1:2" x14ac:dyDescent="0.35">
      <c r="A15037" s="34">
        <v>60102917</v>
      </c>
      <c r="B15037" s="35" t="s">
        <v>17260</v>
      </c>
    </row>
    <row r="15038" spans="1:2" x14ac:dyDescent="0.35">
      <c r="A15038" s="34">
        <v>60103001</v>
      </c>
      <c r="B15038" s="35" t="s">
        <v>9769</v>
      </c>
    </row>
    <row r="15039" spans="1:2" x14ac:dyDescent="0.35">
      <c r="A15039" s="34">
        <v>60103002</v>
      </c>
      <c r="B15039" s="35" t="s">
        <v>12142</v>
      </c>
    </row>
    <row r="15040" spans="1:2" x14ac:dyDescent="0.35">
      <c r="A15040" s="34">
        <v>60103003</v>
      </c>
      <c r="B15040" s="35" t="s">
        <v>10922</v>
      </c>
    </row>
    <row r="15041" spans="1:2" x14ac:dyDescent="0.35">
      <c r="A15041" s="34">
        <v>60103004</v>
      </c>
      <c r="B15041" s="35" t="s">
        <v>9483</v>
      </c>
    </row>
    <row r="15042" spans="1:2" x14ac:dyDescent="0.35">
      <c r="A15042" s="34">
        <v>60103005</v>
      </c>
      <c r="B15042" s="35" t="s">
        <v>6313</v>
      </c>
    </row>
    <row r="15043" spans="1:2" x14ac:dyDescent="0.35">
      <c r="A15043" s="34">
        <v>60103006</v>
      </c>
      <c r="B15043" s="35" t="s">
        <v>8634</v>
      </c>
    </row>
    <row r="15044" spans="1:2" x14ac:dyDescent="0.35">
      <c r="A15044" s="34">
        <v>60103007</v>
      </c>
      <c r="B15044" s="35" t="s">
        <v>16374</v>
      </c>
    </row>
    <row r="15045" spans="1:2" x14ac:dyDescent="0.35">
      <c r="A15045" s="34">
        <v>60103008</v>
      </c>
      <c r="B15045" s="35" t="s">
        <v>3409</v>
      </c>
    </row>
    <row r="15046" spans="1:2" x14ac:dyDescent="0.35">
      <c r="A15046" s="34">
        <v>60103009</v>
      </c>
      <c r="B15046" s="35" t="s">
        <v>19506</v>
      </c>
    </row>
    <row r="15047" spans="1:2" x14ac:dyDescent="0.35">
      <c r="A15047" s="34">
        <v>60103010</v>
      </c>
      <c r="B15047" s="35" t="s">
        <v>14979</v>
      </c>
    </row>
    <row r="15048" spans="1:2" x14ac:dyDescent="0.35">
      <c r="A15048" s="34">
        <v>60103012</v>
      </c>
      <c r="B15048" s="35" t="s">
        <v>9288</v>
      </c>
    </row>
    <row r="15049" spans="1:2" x14ac:dyDescent="0.35">
      <c r="A15049" s="34">
        <v>60103013</v>
      </c>
      <c r="B15049" s="35" t="s">
        <v>10368</v>
      </c>
    </row>
    <row r="15050" spans="1:2" x14ac:dyDescent="0.35">
      <c r="A15050" s="34">
        <v>60103101</v>
      </c>
      <c r="B15050" s="35" t="s">
        <v>18828</v>
      </c>
    </row>
    <row r="15051" spans="1:2" x14ac:dyDescent="0.35">
      <c r="A15051" s="34">
        <v>60103102</v>
      </c>
      <c r="B15051" s="35" t="s">
        <v>4273</v>
      </c>
    </row>
    <row r="15052" spans="1:2" x14ac:dyDescent="0.35">
      <c r="A15052" s="34">
        <v>60103103</v>
      </c>
      <c r="B15052" s="35" t="s">
        <v>7307</v>
      </c>
    </row>
    <row r="15053" spans="1:2" x14ac:dyDescent="0.35">
      <c r="A15053" s="34">
        <v>60103104</v>
      </c>
      <c r="B15053" s="35" t="s">
        <v>16189</v>
      </c>
    </row>
    <row r="15054" spans="1:2" x14ac:dyDescent="0.35">
      <c r="A15054" s="34">
        <v>60103105</v>
      </c>
      <c r="B15054" s="35" t="s">
        <v>19478</v>
      </c>
    </row>
    <row r="15055" spans="1:2" x14ac:dyDescent="0.35">
      <c r="A15055" s="34">
        <v>60103106</v>
      </c>
      <c r="B15055" s="35" t="s">
        <v>8768</v>
      </c>
    </row>
    <row r="15056" spans="1:2" x14ac:dyDescent="0.35">
      <c r="A15056" s="34">
        <v>60103107</v>
      </c>
      <c r="B15056" s="35" t="s">
        <v>586</v>
      </c>
    </row>
    <row r="15057" spans="1:2" x14ac:dyDescent="0.35">
      <c r="A15057" s="34">
        <v>60103108</v>
      </c>
      <c r="B15057" s="35" t="s">
        <v>16277</v>
      </c>
    </row>
    <row r="15058" spans="1:2" x14ac:dyDescent="0.35">
      <c r="A15058" s="34">
        <v>60103109</v>
      </c>
      <c r="B15058" s="35" t="s">
        <v>17238</v>
      </c>
    </row>
    <row r="15059" spans="1:2" x14ac:dyDescent="0.35">
      <c r="A15059" s="34">
        <v>60103110</v>
      </c>
      <c r="B15059" s="35" t="s">
        <v>11256</v>
      </c>
    </row>
    <row r="15060" spans="1:2" x14ac:dyDescent="0.35">
      <c r="A15060" s="34">
        <v>60103111</v>
      </c>
      <c r="B15060" s="35" t="s">
        <v>17838</v>
      </c>
    </row>
    <row r="15061" spans="1:2" x14ac:dyDescent="0.35">
      <c r="A15061" s="34">
        <v>60103112</v>
      </c>
      <c r="B15061" s="35" t="s">
        <v>15037</v>
      </c>
    </row>
    <row r="15062" spans="1:2" x14ac:dyDescent="0.35">
      <c r="A15062" s="34">
        <v>60103201</v>
      </c>
      <c r="B15062" s="35" t="s">
        <v>6024</v>
      </c>
    </row>
    <row r="15063" spans="1:2" x14ac:dyDescent="0.35">
      <c r="A15063" s="34">
        <v>60103202</v>
      </c>
      <c r="B15063" s="35" t="s">
        <v>3610</v>
      </c>
    </row>
    <row r="15064" spans="1:2" x14ac:dyDescent="0.35">
      <c r="A15064" s="34">
        <v>60103203</v>
      </c>
      <c r="B15064" s="35" t="s">
        <v>12838</v>
      </c>
    </row>
    <row r="15065" spans="1:2" x14ac:dyDescent="0.35">
      <c r="A15065" s="34">
        <v>60103204</v>
      </c>
      <c r="B15065" s="35" t="s">
        <v>3543</v>
      </c>
    </row>
    <row r="15066" spans="1:2" x14ac:dyDescent="0.35">
      <c r="A15066" s="34">
        <v>60103301</v>
      </c>
      <c r="B15066" s="35" t="s">
        <v>5749</v>
      </c>
    </row>
    <row r="15067" spans="1:2" x14ac:dyDescent="0.35">
      <c r="A15067" s="34">
        <v>60103302</v>
      </c>
      <c r="B15067" s="35" t="s">
        <v>4469</v>
      </c>
    </row>
    <row r="15068" spans="1:2" x14ac:dyDescent="0.35">
      <c r="A15068" s="34">
        <v>60103303</v>
      </c>
      <c r="B15068" s="35" t="s">
        <v>14550</v>
      </c>
    </row>
    <row r="15069" spans="1:2" x14ac:dyDescent="0.35">
      <c r="A15069" s="34">
        <v>60103401</v>
      </c>
      <c r="B15069" s="35" t="s">
        <v>6238</v>
      </c>
    </row>
    <row r="15070" spans="1:2" x14ac:dyDescent="0.35">
      <c r="A15070" s="34">
        <v>60103402</v>
      </c>
      <c r="B15070" s="35" t="s">
        <v>14798</v>
      </c>
    </row>
    <row r="15071" spans="1:2" x14ac:dyDescent="0.35">
      <c r="A15071" s="34">
        <v>60103403</v>
      </c>
      <c r="B15071" s="35" t="s">
        <v>9826</v>
      </c>
    </row>
    <row r="15072" spans="1:2" x14ac:dyDescent="0.35">
      <c r="A15072" s="34">
        <v>60103404</v>
      </c>
      <c r="B15072" s="35" t="s">
        <v>17186</v>
      </c>
    </row>
    <row r="15073" spans="1:2" x14ac:dyDescent="0.35">
      <c r="A15073" s="34">
        <v>60103405</v>
      </c>
      <c r="B15073" s="35" t="s">
        <v>2050</v>
      </c>
    </row>
    <row r="15074" spans="1:2" x14ac:dyDescent="0.35">
      <c r="A15074" s="34">
        <v>60103406</v>
      </c>
      <c r="B15074" s="35" t="s">
        <v>12440</v>
      </c>
    </row>
    <row r="15075" spans="1:2" x14ac:dyDescent="0.35">
      <c r="A15075" s="34">
        <v>60103407</v>
      </c>
      <c r="B15075" s="35" t="s">
        <v>4981</v>
      </c>
    </row>
    <row r="15076" spans="1:2" x14ac:dyDescent="0.35">
      <c r="A15076" s="34">
        <v>60103408</v>
      </c>
      <c r="B15076" s="35" t="s">
        <v>5269</v>
      </c>
    </row>
    <row r="15077" spans="1:2" x14ac:dyDescent="0.35">
      <c r="A15077" s="34">
        <v>60103409</v>
      </c>
      <c r="B15077" s="35" t="s">
        <v>5535</v>
      </c>
    </row>
    <row r="15078" spans="1:2" x14ac:dyDescent="0.35">
      <c r="A15078" s="34">
        <v>60103410</v>
      </c>
      <c r="B15078" s="35" t="s">
        <v>4341</v>
      </c>
    </row>
    <row r="15079" spans="1:2" x14ac:dyDescent="0.35">
      <c r="A15079" s="34">
        <v>60103501</v>
      </c>
      <c r="B15079" s="35" t="s">
        <v>6103</v>
      </c>
    </row>
    <row r="15080" spans="1:2" x14ac:dyDescent="0.35">
      <c r="A15080" s="34">
        <v>60103502</v>
      </c>
      <c r="B15080" s="35" t="s">
        <v>15995</v>
      </c>
    </row>
    <row r="15081" spans="1:2" x14ac:dyDescent="0.35">
      <c r="A15081" s="34">
        <v>60103503</v>
      </c>
      <c r="B15081" s="35" t="s">
        <v>12815</v>
      </c>
    </row>
    <row r="15082" spans="1:2" x14ac:dyDescent="0.35">
      <c r="A15082" s="34">
        <v>60103504</v>
      </c>
      <c r="B15082" s="35" t="s">
        <v>13912</v>
      </c>
    </row>
    <row r="15083" spans="1:2" x14ac:dyDescent="0.35">
      <c r="A15083" s="34">
        <v>60103601</v>
      </c>
      <c r="B15083" s="35" t="s">
        <v>9671</v>
      </c>
    </row>
    <row r="15084" spans="1:2" x14ac:dyDescent="0.35">
      <c r="A15084" s="34">
        <v>60103602</v>
      </c>
      <c r="B15084" s="35" t="s">
        <v>9698</v>
      </c>
    </row>
    <row r="15085" spans="1:2" x14ac:dyDescent="0.35">
      <c r="A15085" s="34">
        <v>60103603</v>
      </c>
      <c r="B15085" s="35" t="s">
        <v>12337</v>
      </c>
    </row>
    <row r="15086" spans="1:2" x14ac:dyDescent="0.35">
      <c r="A15086" s="34">
        <v>60103604</v>
      </c>
      <c r="B15086" s="35" t="s">
        <v>11816</v>
      </c>
    </row>
    <row r="15087" spans="1:2" x14ac:dyDescent="0.35">
      <c r="A15087" s="34">
        <v>60103605</v>
      </c>
      <c r="B15087" s="35" t="s">
        <v>151</v>
      </c>
    </row>
    <row r="15088" spans="1:2" x14ac:dyDescent="0.35">
      <c r="A15088" s="34">
        <v>60103606</v>
      </c>
      <c r="B15088" s="35" t="s">
        <v>18046</v>
      </c>
    </row>
    <row r="15089" spans="1:2" x14ac:dyDescent="0.35">
      <c r="A15089" s="34">
        <v>60103701</v>
      </c>
      <c r="B15089" s="35" t="s">
        <v>2739</v>
      </c>
    </row>
    <row r="15090" spans="1:2" x14ac:dyDescent="0.35">
      <c r="A15090" s="34">
        <v>60103702</v>
      </c>
      <c r="B15090" s="35" t="s">
        <v>14055</v>
      </c>
    </row>
    <row r="15091" spans="1:2" x14ac:dyDescent="0.35">
      <c r="A15091" s="34">
        <v>60103703</v>
      </c>
      <c r="B15091" s="35" t="s">
        <v>1228</v>
      </c>
    </row>
    <row r="15092" spans="1:2" x14ac:dyDescent="0.35">
      <c r="A15092" s="34">
        <v>60103704</v>
      </c>
      <c r="B15092" s="35" t="s">
        <v>18441</v>
      </c>
    </row>
    <row r="15093" spans="1:2" x14ac:dyDescent="0.35">
      <c r="A15093" s="34">
        <v>60103705</v>
      </c>
      <c r="B15093" s="35" t="s">
        <v>16549</v>
      </c>
    </row>
    <row r="15094" spans="1:2" x14ac:dyDescent="0.35">
      <c r="A15094" s="34">
        <v>60103706</v>
      </c>
      <c r="B15094" s="35" t="s">
        <v>5162</v>
      </c>
    </row>
    <row r="15095" spans="1:2" x14ac:dyDescent="0.35">
      <c r="A15095" s="34">
        <v>60103801</v>
      </c>
      <c r="B15095" s="35" t="s">
        <v>739</v>
      </c>
    </row>
    <row r="15096" spans="1:2" x14ac:dyDescent="0.35">
      <c r="A15096" s="34">
        <v>60103802</v>
      </c>
      <c r="B15096" s="35" t="s">
        <v>7422</v>
      </c>
    </row>
    <row r="15097" spans="1:2" x14ac:dyDescent="0.35">
      <c r="A15097" s="34">
        <v>60103803</v>
      </c>
      <c r="B15097" s="35" t="s">
        <v>14398</v>
      </c>
    </row>
    <row r="15098" spans="1:2" x14ac:dyDescent="0.35">
      <c r="A15098" s="34">
        <v>60103804</v>
      </c>
      <c r="B15098" s="35" t="s">
        <v>10130</v>
      </c>
    </row>
    <row r="15099" spans="1:2" x14ac:dyDescent="0.35">
      <c r="A15099" s="34">
        <v>60103805</v>
      </c>
      <c r="B15099" s="35" t="s">
        <v>8016</v>
      </c>
    </row>
    <row r="15100" spans="1:2" x14ac:dyDescent="0.35">
      <c r="A15100" s="34">
        <v>60103806</v>
      </c>
      <c r="B15100" s="35" t="s">
        <v>17645</v>
      </c>
    </row>
    <row r="15101" spans="1:2" x14ac:dyDescent="0.35">
      <c r="A15101" s="34">
        <v>60103807</v>
      </c>
      <c r="B15101" s="35" t="s">
        <v>9393</v>
      </c>
    </row>
    <row r="15102" spans="1:2" x14ac:dyDescent="0.35">
      <c r="A15102" s="34">
        <v>60103808</v>
      </c>
      <c r="B15102" s="35" t="s">
        <v>13651</v>
      </c>
    </row>
    <row r="15103" spans="1:2" x14ac:dyDescent="0.35">
      <c r="A15103" s="34">
        <v>60103809</v>
      </c>
      <c r="B15103" s="35" t="s">
        <v>14338</v>
      </c>
    </row>
    <row r="15104" spans="1:2" x14ac:dyDescent="0.35">
      <c r="A15104" s="34">
        <v>60103903</v>
      </c>
      <c r="B15104" s="35" t="s">
        <v>7161</v>
      </c>
    </row>
    <row r="15105" spans="1:2" x14ac:dyDescent="0.35">
      <c r="A15105" s="34">
        <v>60103904</v>
      </c>
      <c r="B15105" s="35" t="s">
        <v>17175</v>
      </c>
    </row>
    <row r="15106" spans="1:2" x14ac:dyDescent="0.35">
      <c r="A15106" s="34">
        <v>60103905</v>
      </c>
      <c r="B15106" s="35" t="s">
        <v>9240</v>
      </c>
    </row>
    <row r="15107" spans="1:2" x14ac:dyDescent="0.35">
      <c r="A15107" s="34">
        <v>60103906</v>
      </c>
      <c r="B15107" s="35" t="s">
        <v>18613</v>
      </c>
    </row>
    <row r="15108" spans="1:2" x14ac:dyDescent="0.35">
      <c r="A15108" s="34">
        <v>60103907</v>
      </c>
      <c r="B15108" s="35" t="s">
        <v>5774</v>
      </c>
    </row>
    <row r="15109" spans="1:2" x14ac:dyDescent="0.35">
      <c r="A15109" s="34">
        <v>60103908</v>
      </c>
      <c r="B15109" s="35" t="s">
        <v>16211</v>
      </c>
    </row>
    <row r="15110" spans="1:2" x14ac:dyDescent="0.35">
      <c r="A15110" s="34">
        <v>60103909</v>
      </c>
      <c r="B15110" s="35" t="s">
        <v>15019</v>
      </c>
    </row>
    <row r="15111" spans="1:2" x14ac:dyDescent="0.35">
      <c r="A15111" s="34">
        <v>60103911</v>
      </c>
      <c r="B15111" s="35" t="s">
        <v>4932</v>
      </c>
    </row>
    <row r="15112" spans="1:2" x14ac:dyDescent="0.35">
      <c r="A15112" s="34">
        <v>60103915</v>
      </c>
      <c r="B15112" s="35" t="s">
        <v>3929</v>
      </c>
    </row>
    <row r="15113" spans="1:2" x14ac:dyDescent="0.35">
      <c r="A15113" s="34">
        <v>60103916</v>
      </c>
      <c r="B15113" s="35" t="s">
        <v>6691</v>
      </c>
    </row>
    <row r="15114" spans="1:2" x14ac:dyDescent="0.35">
      <c r="A15114" s="34">
        <v>60103918</v>
      </c>
      <c r="B15114" s="35" t="s">
        <v>7219</v>
      </c>
    </row>
    <row r="15115" spans="1:2" x14ac:dyDescent="0.35">
      <c r="A15115" s="34">
        <v>60103919</v>
      </c>
      <c r="B15115" s="35" t="s">
        <v>184</v>
      </c>
    </row>
    <row r="15116" spans="1:2" x14ac:dyDescent="0.35">
      <c r="A15116" s="34">
        <v>60103920</v>
      </c>
      <c r="B15116" s="35" t="s">
        <v>862</v>
      </c>
    </row>
    <row r="15117" spans="1:2" x14ac:dyDescent="0.35">
      <c r="A15117" s="34">
        <v>60103921</v>
      </c>
      <c r="B15117" s="35" t="s">
        <v>3053</v>
      </c>
    </row>
    <row r="15118" spans="1:2" x14ac:dyDescent="0.35">
      <c r="A15118" s="34">
        <v>60103922</v>
      </c>
      <c r="B15118" s="35" t="s">
        <v>9102</v>
      </c>
    </row>
    <row r="15119" spans="1:2" x14ac:dyDescent="0.35">
      <c r="A15119" s="34">
        <v>60103923</v>
      </c>
      <c r="B15119" s="35" t="s">
        <v>14069</v>
      </c>
    </row>
    <row r="15120" spans="1:2" x14ac:dyDescent="0.35">
      <c r="A15120" s="34">
        <v>60103924</v>
      </c>
      <c r="B15120" s="35" t="s">
        <v>1376</v>
      </c>
    </row>
    <row r="15121" spans="1:2" x14ac:dyDescent="0.35">
      <c r="A15121" s="34">
        <v>60103925</v>
      </c>
      <c r="B15121" s="35" t="s">
        <v>19154</v>
      </c>
    </row>
    <row r="15122" spans="1:2" x14ac:dyDescent="0.35">
      <c r="A15122" s="34">
        <v>60103926</v>
      </c>
      <c r="B15122" s="35" t="s">
        <v>17859</v>
      </c>
    </row>
    <row r="15123" spans="1:2" x14ac:dyDescent="0.35">
      <c r="A15123" s="34">
        <v>60103927</v>
      </c>
      <c r="B15123" s="35" t="s">
        <v>6899</v>
      </c>
    </row>
    <row r="15124" spans="1:2" x14ac:dyDescent="0.35">
      <c r="A15124" s="34">
        <v>60103928</v>
      </c>
      <c r="B15124" s="35" t="s">
        <v>3279</v>
      </c>
    </row>
    <row r="15125" spans="1:2" x14ac:dyDescent="0.35">
      <c r="A15125" s="34">
        <v>60103929</v>
      </c>
      <c r="B15125" s="35" t="s">
        <v>14352</v>
      </c>
    </row>
    <row r="15126" spans="1:2" x14ac:dyDescent="0.35">
      <c r="A15126" s="34">
        <v>60103930</v>
      </c>
      <c r="B15126" s="35" t="s">
        <v>272</v>
      </c>
    </row>
    <row r="15127" spans="1:2" x14ac:dyDescent="0.35">
      <c r="A15127" s="34">
        <v>60103931</v>
      </c>
      <c r="B15127" s="35" t="s">
        <v>7787</v>
      </c>
    </row>
    <row r="15128" spans="1:2" x14ac:dyDescent="0.35">
      <c r="A15128" s="34">
        <v>60103932</v>
      </c>
      <c r="B15128" s="35" t="s">
        <v>17364</v>
      </c>
    </row>
    <row r="15129" spans="1:2" x14ac:dyDescent="0.35">
      <c r="A15129" s="34">
        <v>60103933</v>
      </c>
      <c r="B15129" s="35" t="s">
        <v>12362</v>
      </c>
    </row>
    <row r="15130" spans="1:2" x14ac:dyDescent="0.35">
      <c r="A15130" s="34">
        <v>60103934</v>
      </c>
      <c r="B15130" s="35" t="s">
        <v>14312</v>
      </c>
    </row>
    <row r="15131" spans="1:2" x14ac:dyDescent="0.35">
      <c r="A15131" s="34">
        <v>60103936</v>
      </c>
      <c r="B15131" s="35" t="s">
        <v>3317</v>
      </c>
    </row>
    <row r="15132" spans="1:2" x14ac:dyDescent="0.35">
      <c r="A15132" s="34">
        <v>60104001</v>
      </c>
      <c r="B15132" s="35" t="s">
        <v>1428</v>
      </c>
    </row>
    <row r="15133" spans="1:2" x14ac:dyDescent="0.35">
      <c r="A15133" s="34">
        <v>60104002</v>
      </c>
      <c r="B15133" s="35" t="s">
        <v>13643</v>
      </c>
    </row>
    <row r="15134" spans="1:2" x14ac:dyDescent="0.35">
      <c r="A15134" s="34">
        <v>60104003</v>
      </c>
      <c r="B15134" s="35" t="s">
        <v>18064</v>
      </c>
    </row>
    <row r="15135" spans="1:2" x14ac:dyDescent="0.35">
      <c r="A15135" s="34">
        <v>60104004</v>
      </c>
      <c r="B15135" s="35" t="s">
        <v>14675</v>
      </c>
    </row>
    <row r="15136" spans="1:2" x14ac:dyDescent="0.35">
      <c r="A15136" s="34">
        <v>60104005</v>
      </c>
      <c r="B15136" s="35" t="s">
        <v>7624</v>
      </c>
    </row>
    <row r="15137" spans="1:2" x14ac:dyDescent="0.35">
      <c r="A15137" s="34">
        <v>60104006</v>
      </c>
      <c r="B15137" s="35" t="s">
        <v>4309</v>
      </c>
    </row>
    <row r="15138" spans="1:2" x14ac:dyDescent="0.35">
      <c r="A15138" s="34">
        <v>60104007</v>
      </c>
      <c r="B15138" s="35" t="s">
        <v>9767</v>
      </c>
    </row>
    <row r="15139" spans="1:2" x14ac:dyDescent="0.35">
      <c r="A15139" s="34">
        <v>60104008</v>
      </c>
      <c r="B15139" s="35" t="s">
        <v>15565</v>
      </c>
    </row>
    <row r="15140" spans="1:2" x14ac:dyDescent="0.35">
      <c r="A15140" s="34">
        <v>60104101</v>
      </c>
      <c r="B15140" s="35" t="s">
        <v>14834</v>
      </c>
    </row>
    <row r="15141" spans="1:2" x14ac:dyDescent="0.35">
      <c r="A15141" s="34">
        <v>60104102</v>
      </c>
      <c r="B15141" s="35" t="s">
        <v>12705</v>
      </c>
    </row>
    <row r="15142" spans="1:2" x14ac:dyDescent="0.35">
      <c r="A15142" s="34">
        <v>60104103</v>
      </c>
      <c r="B15142" s="35" t="s">
        <v>8017</v>
      </c>
    </row>
    <row r="15143" spans="1:2" x14ac:dyDescent="0.35">
      <c r="A15143" s="34">
        <v>60104104</v>
      </c>
      <c r="B15143" s="35" t="s">
        <v>18647</v>
      </c>
    </row>
    <row r="15144" spans="1:2" x14ac:dyDescent="0.35">
      <c r="A15144" s="34">
        <v>60104105</v>
      </c>
      <c r="B15144" s="35" t="s">
        <v>9538</v>
      </c>
    </row>
    <row r="15145" spans="1:2" x14ac:dyDescent="0.35">
      <c r="A15145" s="34">
        <v>60104106</v>
      </c>
      <c r="B15145" s="35" t="s">
        <v>19018</v>
      </c>
    </row>
    <row r="15146" spans="1:2" x14ac:dyDescent="0.35">
      <c r="A15146" s="34">
        <v>60104107</v>
      </c>
      <c r="B15146" s="35" t="s">
        <v>2981</v>
      </c>
    </row>
    <row r="15147" spans="1:2" x14ac:dyDescent="0.35">
      <c r="A15147" s="34">
        <v>60104201</v>
      </c>
      <c r="B15147" s="35" t="s">
        <v>4839</v>
      </c>
    </row>
    <row r="15148" spans="1:2" x14ac:dyDescent="0.35">
      <c r="A15148" s="34">
        <v>60104202</v>
      </c>
      <c r="B15148" s="35" t="s">
        <v>10025</v>
      </c>
    </row>
    <row r="15149" spans="1:2" x14ac:dyDescent="0.35">
      <c r="A15149" s="34">
        <v>60104203</v>
      </c>
      <c r="B15149" s="35" t="s">
        <v>9156</v>
      </c>
    </row>
    <row r="15150" spans="1:2" x14ac:dyDescent="0.35">
      <c r="A15150" s="34">
        <v>60104204</v>
      </c>
      <c r="B15150" s="35" t="s">
        <v>7575</v>
      </c>
    </row>
    <row r="15151" spans="1:2" x14ac:dyDescent="0.35">
      <c r="A15151" s="34">
        <v>60104301</v>
      </c>
      <c r="B15151" s="35" t="s">
        <v>7772</v>
      </c>
    </row>
    <row r="15152" spans="1:2" x14ac:dyDescent="0.35">
      <c r="A15152" s="34">
        <v>60104302</v>
      </c>
      <c r="B15152" s="35" t="s">
        <v>1596</v>
      </c>
    </row>
    <row r="15153" spans="1:2" x14ac:dyDescent="0.35">
      <c r="A15153" s="34">
        <v>60104303</v>
      </c>
      <c r="B15153" s="35" t="s">
        <v>13951</v>
      </c>
    </row>
    <row r="15154" spans="1:2" x14ac:dyDescent="0.35">
      <c r="A15154" s="34">
        <v>60104401</v>
      </c>
      <c r="B15154" s="35" t="s">
        <v>15179</v>
      </c>
    </row>
    <row r="15155" spans="1:2" x14ac:dyDescent="0.35">
      <c r="A15155" s="34">
        <v>60104402</v>
      </c>
      <c r="B15155" s="35" t="s">
        <v>2588</v>
      </c>
    </row>
    <row r="15156" spans="1:2" x14ac:dyDescent="0.35">
      <c r="A15156" s="34">
        <v>60104403</v>
      </c>
      <c r="B15156" s="35" t="s">
        <v>6831</v>
      </c>
    </row>
    <row r="15157" spans="1:2" x14ac:dyDescent="0.35">
      <c r="A15157" s="34">
        <v>60104404</v>
      </c>
      <c r="B15157" s="35" t="s">
        <v>714</v>
      </c>
    </row>
    <row r="15158" spans="1:2" x14ac:dyDescent="0.35">
      <c r="A15158" s="34">
        <v>60104405</v>
      </c>
      <c r="B15158" s="35" t="s">
        <v>15530</v>
      </c>
    </row>
    <row r="15159" spans="1:2" x14ac:dyDescent="0.35">
      <c r="A15159" s="34">
        <v>60104406</v>
      </c>
      <c r="B15159" s="35" t="s">
        <v>17109</v>
      </c>
    </row>
    <row r="15160" spans="1:2" x14ac:dyDescent="0.35">
      <c r="A15160" s="34">
        <v>60104407</v>
      </c>
      <c r="B15160" s="35" t="s">
        <v>3190</v>
      </c>
    </row>
    <row r="15161" spans="1:2" x14ac:dyDescent="0.35">
      <c r="A15161" s="34">
        <v>60104408</v>
      </c>
      <c r="B15161" s="35" t="s">
        <v>10510</v>
      </c>
    </row>
    <row r="15162" spans="1:2" x14ac:dyDescent="0.35">
      <c r="A15162" s="34">
        <v>60104501</v>
      </c>
      <c r="B15162" s="35" t="s">
        <v>16052</v>
      </c>
    </row>
    <row r="15163" spans="1:2" x14ac:dyDescent="0.35">
      <c r="A15163" s="34">
        <v>60104502</v>
      </c>
      <c r="B15163" s="35" t="s">
        <v>9345</v>
      </c>
    </row>
    <row r="15164" spans="1:2" x14ac:dyDescent="0.35">
      <c r="A15164" s="34">
        <v>60104503</v>
      </c>
      <c r="B15164" s="35" t="s">
        <v>6129</v>
      </c>
    </row>
    <row r="15165" spans="1:2" x14ac:dyDescent="0.35">
      <c r="A15165" s="34">
        <v>60104504</v>
      </c>
      <c r="B15165" s="35" t="s">
        <v>13067</v>
      </c>
    </row>
    <row r="15166" spans="1:2" x14ac:dyDescent="0.35">
      <c r="A15166" s="34">
        <v>60104505</v>
      </c>
      <c r="B15166" s="35" t="s">
        <v>5747</v>
      </c>
    </row>
    <row r="15167" spans="1:2" x14ac:dyDescent="0.35">
      <c r="A15167" s="34">
        <v>60104506</v>
      </c>
      <c r="B15167" s="35" t="s">
        <v>11063</v>
      </c>
    </row>
    <row r="15168" spans="1:2" x14ac:dyDescent="0.35">
      <c r="A15168" s="34">
        <v>60104507</v>
      </c>
      <c r="B15168" s="35" t="s">
        <v>9459</v>
      </c>
    </row>
    <row r="15169" spans="1:2" x14ac:dyDescent="0.35">
      <c r="A15169" s="34">
        <v>60104508</v>
      </c>
      <c r="B15169" s="35" t="s">
        <v>19551</v>
      </c>
    </row>
    <row r="15170" spans="1:2" x14ac:dyDescent="0.35">
      <c r="A15170" s="34">
        <v>60104509</v>
      </c>
      <c r="B15170" s="35" t="s">
        <v>7557</v>
      </c>
    </row>
    <row r="15171" spans="1:2" x14ac:dyDescent="0.35">
      <c r="A15171" s="34">
        <v>60104511</v>
      </c>
      <c r="B15171" s="35" t="s">
        <v>11775</v>
      </c>
    </row>
    <row r="15172" spans="1:2" x14ac:dyDescent="0.35">
      <c r="A15172" s="34">
        <v>60104601</v>
      </c>
      <c r="B15172" s="35" t="s">
        <v>10302</v>
      </c>
    </row>
    <row r="15173" spans="1:2" x14ac:dyDescent="0.35">
      <c r="A15173" s="34">
        <v>60104602</v>
      </c>
      <c r="B15173" s="35" t="s">
        <v>1108</v>
      </c>
    </row>
    <row r="15174" spans="1:2" x14ac:dyDescent="0.35">
      <c r="A15174" s="34">
        <v>60104604</v>
      </c>
      <c r="B15174" s="35" t="s">
        <v>13968</v>
      </c>
    </row>
    <row r="15175" spans="1:2" x14ac:dyDescent="0.35">
      <c r="A15175" s="34">
        <v>60104605</v>
      </c>
      <c r="B15175" s="35" t="s">
        <v>14102</v>
      </c>
    </row>
    <row r="15176" spans="1:2" x14ac:dyDescent="0.35">
      <c r="A15176" s="34">
        <v>60104606</v>
      </c>
      <c r="B15176" s="35" t="s">
        <v>3999</v>
      </c>
    </row>
    <row r="15177" spans="1:2" x14ac:dyDescent="0.35">
      <c r="A15177" s="34">
        <v>60104607</v>
      </c>
      <c r="B15177" s="35" t="s">
        <v>19019</v>
      </c>
    </row>
    <row r="15178" spans="1:2" x14ac:dyDescent="0.35">
      <c r="A15178" s="34">
        <v>60104608</v>
      </c>
      <c r="B15178" s="35" t="s">
        <v>8384</v>
      </c>
    </row>
    <row r="15179" spans="1:2" x14ac:dyDescent="0.35">
      <c r="A15179" s="34">
        <v>60104609</v>
      </c>
      <c r="B15179" s="35" t="s">
        <v>1846</v>
      </c>
    </row>
    <row r="15180" spans="1:2" x14ac:dyDescent="0.35">
      <c r="A15180" s="34">
        <v>60104610</v>
      </c>
      <c r="B15180" s="35" t="s">
        <v>10817</v>
      </c>
    </row>
    <row r="15181" spans="1:2" x14ac:dyDescent="0.35">
      <c r="A15181" s="34">
        <v>60104611</v>
      </c>
      <c r="B15181" s="35" t="s">
        <v>2383</v>
      </c>
    </row>
    <row r="15182" spans="1:2" x14ac:dyDescent="0.35">
      <c r="A15182" s="34">
        <v>60104612</v>
      </c>
      <c r="B15182" s="35" t="s">
        <v>14394</v>
      </c>
    </row>
    <row r="15183" spans="1:2" x14ac:dyDescent="0.35">
      <c r="A15183" s="34">
        <v>60104701</v>
      </c>
      <c r="B15183" s="35" t="s">
        <v>14999</v>
      </c>
    </row>
    <row r="15184" spans="1:2" x14ac:dyDescent="0.35">
      <c r="A15184" s="34">
        <v>60104702</v>
      </c>
      <c r="B15184" s="35" t="s">
        <v>8943</v>
      </c>
    </row>
    <row r="15185" spans="1:2" x14ac:dyDescent="0.35">
      <c r="A15185" s="34">
        <v>60104703</v>
      </c>
      <c r="B15185" s="35" t="s">
        <v>15412</v>
      </c>
    </row>
    <row r="15186" spans="1:2" x14ac:dyDescent="0.35">
      <c r="A15186" s="34">
        <v>60104704</v>
      </c>
      <c r="B15186" s="35" t="s">
        <v>126</v>
      </c>
    </row>
    <row r="15187" spans="1:2" x14ac:dyDescent="0.35">
      <c r="A15187" s="34">
        <v>60104705</v>
      </c>
      <c r="B15187" s="35" t="s">
        <v>19620</v>
      </c>
    </row>
    <row r="15188" spans="1:2" x14ac:dyDescent="0.35">
      <c r="A15188" s="34">
        <v>60104706</v>
      </c>
      <c r="B15188" s="35" t="s">
        <v>16508</v>
      </c>
    </row>
    <row r="15189" spans="1:2" x14ac:dyDescent="0.35">
      <c r="A15189" s="34">
        <v>60104707</v>
      </c>
      <c r="B15189" s="35" t="s">
        <v>470</v>
      </c>
    </row>
    <row r="15190" spans="1:2" x14ac:dyDescent="0.35">
      <c r="A15190" s="34">
        <v>60104708</v>
      </c>
      <c r="B15190" s="35" t="s">
        <v>6806</v>
      </c>
    </row>
    <row r="15191" spans="1:2" x14ac:dyDescent="0.35">
      <c r="A15191" s="34">
        <v>60104801</v>
      </c>
      <c r="B15191" s="35" t="s">
        <v>5864</v>
      </c>
    </row>
    <row r="15192" spans="1:2" x14ac:dyDescent="0.35">
      <c r="A15192" s="34">
        <v>60104802</v>
      </c>
      <c r="B15192" s="35" t="s">
        <v>14121</v>
      </c>
    </row>
    <row r="15193" spans="1:2" x14ac:dyDescent="0.35">
      <c r="A15193" s="34">
        <v>60104803</v>
      </c>
      <c r="B15193" s="35" t="s">
        <v>4064</v>
      </c>
    </row>
    <row r="15194" spans="1:2" x14ac:dyDescent="0.35">
      <c r="A15194" s="34">
        <v>60104804</v>
      </c>
      <c r="B15194" s="35" t="s">
        <v>3360</v>
      </c>
    </row>
    <row r="15195" spans="1:2" x14ac:dyDescent="0.35">
      <c r="A15195" s="34">
        <v>60104805</v>
      </c>
      <c r="B15195" s="35" t="s">
        <v>16798</v>
      </c>
    </row>
    <row r="15196" spans="1:2" x14ac:dyDescent="0.35">
      <c r="A15196" s="34">
        <v>60104806</v>
      </c>
      <c r="B15196" s="35" t="s">
        <v>6763</v>
      </c>
    </row>
    <row r="15197" spans="1:2" x14ac:dyDescent="0.35">
      <c r="A15197" s="34">
        <v>60104807</v>
      </c>
      <c r="B15197" s="35" t="s">
        <v>2952</v>
      </c>
    </row>
    <row r="15198" spans="1:2" x14ac:dyDescent="0.35">
      <c r="A15198" s="34">
        <v>60104808</v>
      </c>
      <c r="B15198" s="35" t="s">
        <v>9142</v>
      </c>
    </row>
    <row r="15199" spans="1:2" x14ac:dyDescent="0.35">
      <c r="A15199" s="34">
        <v>60104809</v>
      </c>
      <c r="B15199" s="35" t="s">
        <v>5467</v>
      </c>
    </row>
    <row r="15200" spans="1:2" x14ac:dyDescent="0.35">
      <c r="A15200" s="34">
        <v>60104810</v>
      </c>
      <c r="B15200" s="35" t="s">
        <v>19223</v>
      </c>
    </row>
    <row r="15201" spans="1:2" x14ac:dyDescent="0.35">
      <c r="A15201" s="34">
        <v>60104811</v>
      </c>
      <c r="B15201" s="35" t="s">
        <v>9287</v>
      </c>
    </row>
    <row r="15202" spans="1:2" x14ac:dyDescent="0.35">
      <c r="A15202" s="34">
        <v>60104812</v>
      </c>
      <c r="B15202" s="35" t="s">
        <v>2535</v>
      </c>
    </row>
    <row r="15203" spans="1:2" x14ac:dyDescent="0.35">
      <c r="A15203" s="34">
        <v>60104813</v>
      </c>
      <c r="B15203" s="35" t="s">
        <v>3482</v>
      </c>
    </row>
    <row r="15204" spans="1:2" x14ac:dyDescent="0.35">
      <c r="A15204" s="34">
        <v>60104814</v>
      </c>
      <c r="B15204" s="35" t="s">
        <v>4527</v>
      </c>
    </row>
    <row r="15205" spans="1:2" x14ac:dyDescent="0.35">
      <c r="A15205" s="34">
        <v>60104815</v>
      </c>
      <c r="B15205" s="35" t="s">
        <v>14212</v>
      </c>
    </row>
    <row r="15206" spans="1:2" x14ac:dyDescent="0.35">
      <c r="A15206" s="34">
        <v>60104816</v>
      </c>
      <c r="B15206" s="35" t="s">
        <v>1046</v>
      </c>
    </row>
    <row r="15207" spans="1:2" x14ac:dyDescent="0.35">
      <c r="A15207" s="34">
        <v>60104901</v>
      </c>
      <c r="B15207" s="35" t="s">
        <v>16597</v>
      </c>
    </row>
    <row r="15208" spans="1:2" x14ac:dyDescent="0.35">
      <c r="A15208" s="34">
        <v>60104902</v>
      </c>
      <c r="B15208" s="35" t="s">
        <v>3291</v>
      </c>
    </row>
    <row r="15209" spans="1:2" x14ac:dyDescent="0.35">
      <c r="A15209" s="34">
        <v>60104903</v>
      </c>
      <c r="B15209" s="35" t="s">
        <v>13994</v>
      </c>
    </row>
    <row r="15210" spans="1:2" x14ac:dyDescent="0.35">
      <c r="A15210" s="34">
        <v>60104904</v>
      </c>
      <c r="B15210" s="35" t="s">
        <v>8669</v>
      </c>
    </row>
    <row r="15211" spans="1:2" x14ac:dyDescent="0.35">
      <c r="A15211" s="34">
        <v>60104905</v>
      </c>
      <c r="B15211" s="35" t="s">
        <v>16889</v>
      </c>
    </row>
    <row r="15212" spans="1:2" x14ac:dyDescent="0.35">
      <c r="A15212" s="34">
        <v>60104906</v>
      </c>
      <c r="B15212" s="35" t="s">
        <v>3681</v>
      </c>
    </row>
    <row r="15213" spans="1:2" x14ac:dyDescent="0.35">
      <c r="A15213" s="34">
        <v>60104907</v>
      </c>
      <c r="B15213" s="35" t="s">
        <v>8630</v>
      </c>
    </row>
    <row r="15214" spans="1:2" x14ac:dyDescent="0.35">
      <c r="A15214" s="34">
        <v>60104908</v>
      </c>
      <c r="B15214" s="35" t="s">
        <v>6674</v>
      </c>
    </row>
    <row r="15215" spans="1:2" x14ac:dyDescent="0.35">
      <c r="A15215" s="34">
        <v>60104909</v>
      </c>
      <c r="B15215" s="35" t="s">
        <v>8014</v>
      </c>
    </row>
    <row r="15216" spans="1:2" x14ac:dyDescent="0.35">
      <c r="A15216" s="34">
        <v>60104910</v>
      </c>
      <c r="B15216" s="35" t="s">
        <v>15221</v>
      </c>
    </row>
    <row r="15217" spans="1:2" x14ac:dyDescent="0.35">
      <c r="A15217" s="34">
        <v>60104911</v>
      </c>
      <c r="B15217" s="35" t="s">
        <v>3001</v>
      </c>
    </row>
    <row r="15218" spans="1:2" x14ac:dyDescent="0.35">
      <c r="A15218" s="34">
        <v>60104912</v>
      </c>
      <c r="B15218" s="35" t="s">
        <v>9377</v>
      </c>
    </row>
    <row r="15219" spans="1:2" x14ac:dyDescent="0.35">
      <c r="A15219" s="34">
        <v>60105001</v>
      </c>
      <c r="B15219" s="35" t="s">
        <v>5775</v>
      </c>
    </row>
    <row r="15220" spans="1:2" x14ac:dyDescent="0.35">
      <c r="A15220" s="34">
        <v>60105002</v>
      </c>
      <c r="B15220" s="35" t="s">
        <v>15092</v>
      </c>
    </row>
    <row r="15221" spans="1:2" x14ac:dyDescent="0.35">
      <c r="A15221" s="34">
        <v>60105003</v>
      </c>
      <c r="B15221" s="35" t="s">
        <v>13430</v>
      </c>
    </row>
    <row r="15222" spans="1:2" x14ac:dyDescent="0.35">
      <c r="A15222" s="34">
        <v>60105004</v>
      </c>
      <c r="B15222" s="35" t="s">
        <v>1404</v>
      </c>
    </row>
    <row r="15223" spans="1:2" x14ac:dyDescent="0.35">
      <c r="A15223" s="34">
        <v>60105005</v>
      </c>
      <c r="B15223" s="35" t="s">
        <v>16955</v>
      </c>
    </row>
    <row r="15224" spans="1:2" x14ac:dyDescent="0.35">
      <c r="A15224" s="34">
        <v>60105006</v>
      </c>
      <c r="B15224" s="35" t="s">
        <v>3756</v>
      </c>
    </row>
    <row r="15225" spans="1:2" x14ac:dyDescent="0.35">
      <c r="A15225" s="34">
        <v>60105101</v>
      </c>
      <c r="B15225" s="35" t="s">
        <v>3847</v>
      </c>
    </row>
    <row r="15226" spans="1:2" x14ac:dyDescent="0.35">
      <c r="A15226" s="34">
        <v>60105102</v>
      </c>
      <c r="B15226" s="35" t="s">
        <v>5354</v>
      </c>
    </row>
    <row r="15227" spans="1:2" x14ac:dyDescent="0.35">
      <c r="A15227" s="34">
        <v>60105103</v>
      </c>
      <c r="B15227" s="35" t="s">
        <v>3316</v>
      </c>
    </row>
    <row r="15228" spans="1:2" x14ac:dyDescent="0.35">
      <c r="A15228" s="34">
        <v>60105104</v>
      </c>
      <c r="B15228" s="35" t="s">
        <v>11496</v>
      </c>
    </row>
    <row r="15229" spans="1:2" x14ac:dyDescent="0.35">
      <c r="A15229" s="34">
        <v>60105201</v>
      </c>
      <c r="B15229" s="35" t="s">
        <v>17518</v>
      </c>
    </row>
    <row r="15230" spans="1:2" x14ac:dyDescent="0.35">
      <c r="A15230" s="34">
        <v>60105202</v>
      </c>
      <c r="B15230" s="35" t="s">
        <v>10765</v>
      </c>
    </row>
    <row r="15231" spans="1:2" x14ac:dyDescent="0.35">
      <c r="A15231" s="34">
        <v>60105203</v>
      </c>
      <c r="B15231" s="35" t="s">
        <v>15431</v>
      </c>
    </row>
    <row r="15232" spans="1:2" x14ac:dyDescent="0.35">
      <c r="A15232" s="34">
        <v>60105301</v>
      </c>
      <c r="B15232" s="35" t="s">
        <v>16141</v>
      </c>
    </row>
    <row r="15233" spans="1:2" x14ac:dyDescent="0.35">
      <c r="A15233" s="34">
        <v>60105302</v>
      </c>
      <c r="B15233" s="35" t="s">
        <v>15787</v>
      </c>
    </row>
    <row r="15234" spans="1:2" x14ac:dyDescent="0.35">
      <c r="A15234" s="34">
        <v>60105303</v>
      </c>
      <c r="B15234" s="35" t="s">
        <v>13254</v>
      </c>
    </row>
    <row r="15235" spans="1:2" x14ac:dyDescent="0.35">
      <c r="A15235" s="34">
        <v>60105304</v>
      </c>
      <c r="B15235" s="35" t="s">
        <v>11719</v>
      </c>
    </row>
    <row r="15236" spans="1:2" x14ac:dyDescent="0.35">
      <c r="A15236" s="34">
        <v>60105305</v>
      </c>
      <c r="B15236" s="35" t="s">
        <v>11911</v>
      </c>
    </row>
    <row r="15237" spans="1:2" x14ac:dyDescent="0.35">
      <c r="A15237" s="34">
        <v>60105306</v>
      </c>
      <c r="B15237" s="35" t="s">
        <v>11376</v>
      </c>
    </row>
    <row r="15238" spans="1:2" x14ac:dyDescent="0.35">
      <c r="A15238" s="34">
        <v>60105307</v>
      </c>
      <c r="B15238" s="35" t="s">
        <v>19615</v>
      </c>
    </row>
    <row r="15239" spans="1:2" x14ac:dyDescent="0.35">
      <c r="A15239" s="34">
        <v>60105308</v>
      </c>
      <c r="B15239" s="35" t="s">
        <v>13172</v>
      </c>
    </row>
    <row r="15240" spans="1:2" x14ac:dyDescent="0.35">
      <c r="A15240" s="34">
        <v>60105309</v>
      </c>
      <c r="B15240" s="35" t="s">
        <v>4698</v>
      </c>
    </row>
    <row r="15241" spans="1:2" x14ac:dyDescent="0.35">
      <c r="A15241" s="34">
        <v>60105401</v>
      </c>
      <c r="B15241" s="35" t="s">
        <v>6744</v>
      </c>
    </row>
    <row r="15242" spans="1:2" x14ac:dyDescent="0.35">
      <c r="A15242" s="34">
        <v>60105402</v>
      </c>
      <c r="B15242" s="35" t="s">
        <v>7653</v>
      </c>
    </row>
    <row r="15243" spans="1:2" x14ac:dyDescent="0.35">
      <c r="A15243" s="34">
        <v>60105403</v>
      </c>
      <c r="B15243" s="35" t="s">
        <v>12017</v>
      </c>
    </row>
    <row r="15244" spans="1:2" x14ac:dyDescent="0.35">
      <c r="A15244" s="34">
        <v>60105404</v>
      </c>
      <c r="B15244" s="35" t="s">
        <v>12315</v>
      </c>
    </row>
    <row r="15245" spans="1:2" x14ac:dyDescent="0.35">
      <c r="A15245" s="34">
        <v>60105405</v>
      </c>
      <c r="B15245" s="35" t="s">
        <v>1584</v>
      </c>
    </row>
    <row r="15246" spans="1:2" x14ac:dyDescent="0.35">
      <c r="A15246" s="34">
        <v>60105406</v>
      </c>
      <c r="B15246" s="35" t="s">
        <v>5573</v>
      </c>
    </row>
    <row r="15247" spans="1:2" x14ac:dyDescent="0.35">
      <c r="A15247" s="34">
        <v>60105407</v>
      </c>
      <c r="B15247" s="35" t="s">
        <v>14863</v>
      </c>
    </row>
    <row r="15248" spans="1:2" x14ac:dyDescent="0.35">
      <c r="A15248" s="34">
        <v>60105408</v>
      </c>
      <c r="B15248" s="35" t="s">
        <v>10658</v>
      </c>
    </row>
    <row r="15249" spans="1:2" x14ac:dyDescent="0.35">
      <c r="A15249" s="34">
        <v>60105409</v>
      </c>
      <c r="B15249" s="35" t="s">
        <v>12134</v>
      </c>
    </row>
    <row r="15250" spans="1:2" x14ac:dyDescent="0.35">
      <c r="A15250" s="34">
        <v>60105410</v>
      </c>
      <c r="B15250" s="35" t="s">
        <v>4399</v>
      </c>
    </row>
    <row r="15251" spans="1:2" x14ac:dyDescent="0.35">
      <c r="A15251" s="34">
        <v>60105411</v>
      </c>
      <c r="B15251" s="35" t="s">
        <v>18609</v>
      </c>
    </row>
    <row r="15252" spans="1:2" x14ac:dyDescent="0.35">
      <c r="A15252" s="34">
        <v>60105412</v>
      </c>
      <c r="B15252" s="35" t="s">
        <v>8304</v>
      </c>
    </row>
    <row r="15253" spans="1:2" x14ac:dyDescent="0.35">
      <c r="A15253" s="34">
        <v>60105413</v>
      </c>
      <c r="B15253" s="35" t="s">
        <v>1305</v>
      </c>
    </row>
    <row r="15254" spans="1:2" x14ac:dyDescent="0.35">
      <c r="A15254" s="34">
        <v>60105414</v>
      </c>
      <c r="B15254" s="35" t="s">
        <v>11721</v>
      </c>
    </row>
    <row r="15255" spans="1:2" x14ac:dyDescent="0.35">
      <c r="A15255" s="34">
        <v>60105415</v>
      </c>
      <c r="B15255" s="35" t="s">
        <v>4991</v>
      </c>
    </row>
    <row r="15256" spans="1:2" x14ac:dyDescent="0.35">
      <c r="A15256" s="34">
        <v>60105416</v>
      </c>
      <c r="B15256" s="35" t="s">
        <v>10857</v>
      </c>
    </row>
    <row r="15257" spans="1:2" x14ac:dyDescent="0.35">
      <c r="A15257" s="34">
        <v>60105417</v>
      </c>
      <c r="B15257" s="35" t="s">
        <v>1262</v>
      </c>
    </row>
    <row r="15258" spans="1:2" x14ac:dyDescent="0.35">
      <c r="A15258" s="34">
        <v>60105418</v>
      </c>
      <c r="B15258" s="35" t="s">
        <v>6107</v>
      </c>
    </row>
    <row r="15259" spans="1:2" x14ac:dyDescent="0.35">
      <c r="A15259" s="34">
        <v>60105419</v>
      </c>
      <c r="B15259" s="35" t="s">
        <v>16851</v>
      </c>
    </row>
    <row r="15260" spans="1:2" x14ac:dyDescent="0.35">
      <c r="A15260" s="34">
        <v>60105420</v>
      </c>
      <c r="B15260" s="35" t="s">
        <v>18081</v>
      </c>
    </row>
    <row r="15261" spans="1:2" x14ac:dyDescent="0.35">
      <c r="A15261" s="34">
        <v>60105421</v>
      </c>
      <c r="B15261" s="35" t="s">
        <v>13507</v>
      </c>
    </row>
    <row r="15262" spans="1:2" x14ac:dyDescent="0.35">
      <c r="A15262" s="34">
        <v>60105422</v>
      </c>
      <c r="B15262" s="35" t="s">
        <v>4805</v>
      </c>
    </row>
    <row r="15263" spans="1:2" x14ac:dyDescent="0.35">
      <c r="A15263" s="34">
        <v>60105423</v>
      </c>
      <c r="B15263" s="35" t="s">
        <v>9672</v>
      </c>
    </row>
    <row r="15264" spans="1:2" x14ac:dyDescent="0.35">
      <c r="A15264" s="34">
        <v>60105424</v>
      </c>
      <c r="B15264" s="35" t="s">
        <v>8782</v>
      </c>
    </row>
    <row r="15265" spans="1:2" x14ac:dyDescent="0.35">
      <c r="A15265" s="34">
        <v>60105425</v>
      </c>
      <c r="B15265" s="35" t="s">
        <v>6414</v>
      </c>
    </row>
    <row r="15266" spans="1:2" x14ac:dyDescent="0.35">
      <c r="A15266" s="34">
        <v>60105426</v>
      </c>
      <c r="B15266" s="35" t="s">
        <v>16231</v>
      </c>
    </row>
    <row r="15267" spans="1:2" x14ac:dyDescent="0.35">
      <c r="A15267" s="34">
        <v>60105427</v>
      </c>
      <c r="B15267" s="35" t="s">
        <v>17219</v>
      </c>
    </row>
    <row r="15268" spans="1:2" x14ac:dyDescent="0.35">
      <c r="A15268" s="34">
        <v>60105428</v>
      </c>
      <c r="B15268" s="35" t="s">
        <v>5113</v>
      </c>
    </row>
    <row r="15269" spans="1:2" x14ac:dyDescent="0.35">
      <c r="A15269" s="34">
        <v>60105429</v>
      </c>
      <c r="B15269" s="35" t="s">
        <v>5375</v>
      </c>
    </row>
    <row r="15270" spans="1:2" x14ac:dyDescent="0.35">
      <c r="A15270" s="34">
        <v>60105501</v>
      </c>
      <c r="B15270" s="35" t="s">
        <v>18786</v>
      </c>
    </row>
    <row r="15271" spans="1:2" x14ac:dyDescent="0.35">
      <c r="A15271" s="34">
        <v>60105502</v>
      </c>
      <c r="B15271" s="35" t="s">
        <v>6396</v>
      </c>
    </row>
    <row r="15272" spans="1:2" x14ac:dyDescent="0.35">
      <c r="A15272" s="34">
        <v>60105503</v>
      </c>
      <c r="B15272" s="35" t="s">
        <v>6358</v>
      </c>
    </row>
    <row r="15273" spans="1:2" x14ac:dyDescent="0.35">
      <c r="A15273" s="34">
        <v>60105504</v>
      </c>
      <c r="B15273" s="35" t="s">
        <v>19644</v>
      </c>
    </row>
    <row r="15274" spans="1:2" x14ac:dyDescent="0.35">
      <c r="A15274" s="34">
        <v>60105505</v>
      </c>
      <c r="B15274" s="35" t="s">
        <v>1564</v>
      </c>
    </row>
    <row r="15275" spans="1:2" x14ac:dyDescent="0.35">
      <c r="A15275" s="34">
        <v>60105601</v>
      </c>
      <c r="B15275" s="35" t="s">
        <v>14429</v>
      </c>
    </row>
    <row r="15276" spans="1:2" x14ac:dyDescent="0.35">
      <c r="A15276" s="34">
        <v>60105602</v>
      </c>
      <c r="B15276" s="35" t="s">
        <v>13598</v>
      </c>
    </row>
    <row r="15277" spans="1:2" x14ac:dyDescent="0.35">
      <c r="A15277" s="34">
        <v>60105603</v>
      </c>
      <c r="B15277" s="35" t="s">
        <v>9906</v>
      </c>
    </row>
    <row r="15278" spans="1:2" x14ac:dyDescent="0.35">
      <c r="A15278" s="34">
        <v>60105604</v>
      </c>
      <c r="B15278" s="35" t="s">
        <v>18683</v>
      </c>
    </row>
    <row r="15279" spans="1:2" x14ac:dyDescent="0.35">
      <c r="A15279" s="34">
        <v>60105605</v>
      </c>
      <c r="B15279" s="35" t="s">
        <v>12442</v>
      </c>
    </row>
    <row r="15280" spans="1:2" x14ac:dyDescent="0.35">
      <c r="A15280" s="34">
        <v>60105606</v>
      </c>
      <c r="B15280" s="35" t="s">
        <v>12379</v>
      </c>
    </row>
    <row r="15281" spans="1:2" x14ac:dyDescent="0.35">
      <c r="A15281" s="34">
        <v>60105607</v>
      </c>
      <c r="B15281" s="35" t="s">
        <v>6213</v>
      </c>
    </row>
    <row r="15282" spans="1:2" x14ac:dyDescent="0.35">
      <c r="A15282" s="34">
        <v>60105608</v>
      </c>
      <c r="B15282" s="35" t="s">
        <v>11845</v>
      </c>
    </row>
    <row r="15283" spans="1:2" x14ac:dyDescent="0.35">
      <c r="A15283" s="34">
        <v>60105609</v>
      </c>
      <c r="B15283" s="35" t="s">
        <v>3244</v>
      </c>
    </row>
    <row r="15284" spans="1:2" x14ac:dyDescent="0.35">
      <c r="A15284" s="34">
        <v>60105610</v>
      </c>
      <c r="B15284" s="35" t="s">
        <v>12378</v>
      </c>
    </row>
    <row r="15285" spans="1:2" x14ac:dyDescent="0.35">
      <c r="A15285" s="34">
        <v>60105611</v>
      </c>
      <c r="B15285" s="35" t="s">
        <v>13476</v>
      </c>
    </row>
    <row r="15286" spans="1:2" x14ac:dyDescent="0.35">
      <c r="A15286" s="34">
        <v>60105612</v>
      </c>
      <c r="B15286" s="35" t="s">
        <v>5541</v>
      </c>
    </row>
    <row r="15287" spans="1:2" x14ac:dyDescent="0.35">
      <c r="A15287" s="34">
        <v>60105613</v>
      </c>
      <c r="B15287" s="35" t="s">
        <v>10348</v>
      </c>
    </row>
    <row r="15288" spans="1:2" x14ac:dyDescent="0.35">
      <c r="A15288" s="34">
        <v>60105614</v>
      </c>
      <c r="B15288" s="35" t="s">
        <v>10757</v>
      </c>
    </row>
    <row r="15289" spans="1:2" x14ac:dyDescent="0.35">
      <c r="A15289" s="34">
        <v>60105615</v>
      </c>
      <c r="B15289" s="35" t="s">
        <v>1065</v>
      </c>
    </row>
    <row r="15290" spans="1:2" x14ac:dyDescent="0.35">
      <c r="A15290" s="34">
        <v>60105616</v>
      </c>
      <c r="B15290" s="35" t="s">
        <v>12951</v>
      </c>
    </row>
    <row r="15291" spans="1:2" x14ac:dyDescent="0.35">
      <c r="A15291" s="34">
        <v>60105617</v>
      </c>
      <c r="B15291" s="35" t="s">
        <v>5518</v>
      </c>
    </row>
    <row r="15292" spans="1:2" x14ac:dyDescent="0.35">
      <c r="A15292" s="34">
        <v>60105618</v>
      </c>
      <c r="B15292" s="35" t="s">
        <v>10914</v>
      </c>
    </row>
    <row r="15293" spans="1:2" x14ac:dyDescent="0.35">
      <c r="A15293" s="34">
        <v>60105619</v>
      </c>
      <c r="B15293" s="35" t="s">
        <v>18041</v>
      </c>
    </row>
    <row r="15294" spans="1:2" x14ac:dyDescent="0.35">
      <c r="A15294" s="34">
        <v>60105620</v>
      </c>
      <c r="B15294" s="35" t="s">
        <v>110</v>
      </c>
    </row>
    <row r="15295" spans="1:2" x14ac:dyDescent="0.35">
      <c r="A15295" s="34">
        <v>60105621</v>
      </c>
      <c r="B15295" s="35" t="s">
        <v>5784</v>
      </c>
    </row>
    <row r="15296" spans="1:2" x14ac:dyDescent="0.35">
      <c r="A15296" s="34">
        <v>60105622</v>
      </c>
      <c r="B15296" s="35" t="s">
        <v>4172</v>
      </c>
    </row>
    <row r="15297" spans="1:2" x14ac:dyDescent="0.35">
      <c r="A15297" s="34">
        <v>60105623</v>
      </c>
      <c r="B15297" s="35" t="s">
        <v>2324</v>
      </c>
    </row>
    <row r="15298" spans="1:2" x14ac:dyDescent="0.35">
      <c r="A15298" s="34">
        <v>60105624</v>
      </c>
      <c r="B15298" s="35" t="s">
        <v>15342</v>
      </c>
    </row>
    <row r="15299" spans="1:2" x14ac:dyDescent="0.35">
      <c r="A15299" s="34">
        <v>60105625</v>
      </c>
      <c r="B15299" s="35" t="s">
        <v>3459</v>
      </c>
    </row>
    <row r="15300" spans="1:2" x14ac:dyDescent="0.35">
      <c r="A15300" s="34">
        <v>60105626</v>
      </c>
      <c r="B15300" s="35" t="s">
        <v>414</v>
      </c>
    </row>
    <row r="15301" spans="1:2" x14ac:dyDescent="0.35">
      <c r="A15301" s="34">
        <v>60105701</v>
      </c>
      <c r="B15301" s="35" t="s">
        <v>10492</v>
      </c>
    </row>
    <row r="15302" spans="1:2" x14ac:dyDescent="0.35">
      <c r="A15302" s="34">
        <v>60105702</v>
      </c>
      <c r="B15302" s="35" t="s">
        <v>276</v>
      </c>
    </row>
    <row r="15303" spans="1:2" x14ac:dyDescent="0.35">
      <c r="A15303" s="34">
        <v>60105703</v>
      </c>
      <c r="B15303" s="35" t="s">
        <v>5402</v>
      </c>
    </row>
    <row r="15304" spans="1:2" x14ac:dyDescent="0.35">
      <c r="A15304" s="34">
        <v>60105704</v>
      </c>
      <c r="B15304" s="35" t="s">
        <v>7577</v>
      </c>
    </row>
    <row r="15305" spans="1:2" x14ac:dyDescent="0.35">
      <c r="A15305" s="34">
        <v>60105705</v>
      </c>
      <c r="B15305" s="35" t="s">
        <v>19383</v>
      </c>
    </row>
    <row r="15306" spans="1:2" x14ac:dyDescent="0.35">
      <c r="A15306" s="34">
        <v>60105801</v>
      </c>
      <c r="B15306" s="35" t="s">
        <v>3412</v>
      </c>
    </row>
    <row r="15307" spans="1:2" x14ac:dyDescent="0.35">
      <c r="A15307" s="34">
        <v>60105802</v>
      </c>
      <c r="B15307" s="35" t="s">
        <v>9473</v>
      </c>
    </row>
    <row r="15308" spans="1:2" x14ac:dyDescent="0.35">
      <c r="A15308" s="34">
        <v>60105803</v>
      </c>
      <c r="B15308" s="35" t="s">
        <v>3251</v>
      </c>
    </row>
    <row r="15309" spans="1:2" x14ac:dyDescent="0.35">
      <c r="A15309" s="34">
        <v>60105804</v>
      </c>
      <c r="B15309" s="35" t="s">
        <v>16098</v>
      </c>
    </row>
    <row r="15310" spans="1:2" x14ac:dyDescent="0.35">
      <c r="A15310" s="34">
        <v>60105805</v>
      </c>
      <c r="B15310" s="35" t="s">
        <v>10962</v>
      </c>
    </row>
    <row r="15311" spans="1:2" x14ac:dyDescent="0.35">
      <c r="A15311" s="34">
        <v>60105806</v>
      </c>
      <c r="B15311" s="35" t="s">
        <v>13673</v>
      </c>
    </row>
    <row r="15312" spans="1:2" x14ac:dyDescent="0.35">
      <c r="A15312" s="34">
        <v>60105807</v>
      </c>
      <c r="B15312" s="35" t="s">
        <v>1813</v>
      </c>
    </row>
    <row r="15313" spans="1:2" x14ac:dyDescent="0.35">
      <c r="A15313" s="34">
        <v>60105808</v>
      </c>
      <c r="B15313" s="35" t="s">
        <v>11425</v>
      </c>
    </row>
    <row r="15314" spans="1:2" x14ac:dyDescent="0.35">
      <c r="A15314" s="34">
        <v>60105809</v>
      </c>
      <c r="B15314" s="35" t="s">
        <v>343</v>
      </c>
    </row>
    <row r="15315" spans="1:2" x14ac:dyDescent="0.35">
      <c r="A15315" s="34">
        <v>60105810</v>
      </c>
      <c r="B15315" s="35" t="s">
        <v>10097</v>
      </c>
    </row>
    <row r="15316" spans="1:2" x14ac:dyDescent="0.35">
      <c r="A15316" s="34">
        <v>60105811</v>
      </c>
      <c r="B15316" s="35" t="s">
        <v>5103</v>
      </c>
    </row>
    <row r="15317" spans="1:2" x14ac:dyDescent="0.35">
      <c r="A15317" s="34">
        <v>60105901</v>
      </c>
      <c r="B15317" s="35" t="s">
        <v>779</v>
      </c>
    </row>
    <row r="15318" spans="1:2" x14ac:dyDescent="0.35">
      <c r="A15318" s="34">
        <v>60105902</v>
      </c>
      <c r="B15318" s="35" t="s">
        <v>6387</v>
      </c>
    </row>
    <row r="15319" spans="1:2" x14ac:dyDescent="0.35">
      <c r="A15319" s="34">
        <v>60105903</v>
      </c>
      <c r="B15319" s="35" t="s">
        <v>8250</v>
      </c>
    </row>
    <row r="15320" spans="1:2" x14ac:dyDescent="0.35">
      <c r="A15320" s="34">
        <v>60105904</v>
      </c>
      <c r="B15320" s="35" t="s">
        <v>4999</v>
      </c>
    </row>
    <row r="15321" spans="1:2" x14ac:dyDescent="0.35">
      <c r="A15321" s="34">
        <v>60105905</v>
      </c>
      <c r="B15321" s="35" t="s">
        <v>4790</v>
      </c>
    </row>
    <row r="15322" spans="1:2" x14ac:dyDescent="0.35">
      <c r="A15322" s="34">
        <v>60105906</v>
      </c>
      <c r="B15322" s="35" t="s">
        <v>14881</v>
      </c>
    </row>
    <row r="15323" spans="1:2" x14ac:dyDescent="0.35">
      <c r="A15323" s="34">
        <v>60105907</v>
      </c>
      <c r="B15323" s="35" t="s">
        <v>11712</v>
      </c>
    </row>
    <row r="15324" spans="1:2" x14ac:dyDescent="0.35">
      <c r="A15324" s="34">
        <v>60105908</v>
      </c>
      <c r="B15324" s="35" t="s">
        <v>10313</v>
      </c>
    </row>
    <row r="15325" spans="1:2" x14ac:dyDescent="0.35">
      <c r="A15325" s="34">
        <v>60105909</v>
      </c>
      <c r="B15325" s="35" t="s">
        <v>8092</v>
      </c>
    </row>
    <row r="15326" spans="1:2" x14ac:dyDescent="0.35">
      <c r="A15326" s="34">
        <v>60105910</v>
      </c>
      <c r="B15326" s="35" t="s">
        <v>17059</v>
      </c>
    </row>
    <row r="15327" spans="1:2" x14ac:dyDescent="0.35">
      <c r="A15327" s="34">
        <v>60105911</v>
      </c>
      <c r="B15327" s="35" t="s">
        <v>2111</v>
      </c>
    </row>
    <row r="15328" spans="1:2" x14ac:dyDescent="0.35">
      <c r="A15328" s="34">
        <v>60105912</v>
      </c>
      <c r="B15328" s="35" t="s">
        <v>17617</v>
      </c>
    </row>
    <row r="15329" spans="1:2" x14ac:dyDescent="0.35">
      <c r="A15329" s="34">
        <v>60105913</v>
      </c>
      <c r="B15329" s="35" t="s">
        <v>8665</v>
      </c>
    </row>
    <row r="15330" spans="1:2" x14ac:dyDescent="0.35">
      <c r="A15330" s="34">
        <v>60105914</v>
      </c>
      <c r="B15330" s="35" t="s">
        <v>2744</v>
      </c>
    </row>
    <row r="15331" spans="1:2" x14ac:dyDescent="0.35">
      <c r="A15331" s="34">
        <v>60105915</v>
      </c>
      <c r="B15331" s="35" t="s">
        <v>4893</v>
      </c>
    </row>
    <row r="15332" spans="1:2" x14ac:dyDescent="0.35">
      <c r="A15332" s="34">
        <v>60105916</v>
      </c>
      <c r="B15332" s="35" t="s">
        <v>10008</v>
      </c>
    </row>
    <row r="15333" spans="1:2" x14ac:dyDescent="0.35">
      <c r="A15333" s="34">
        <v>60105917</v>
      </c>
      <c r="B15333" s="35" t="s">
        <v>5322</v>
      </c>
    </row>
    <row r="15334" spans="1:2" x14ac:dyDescent="0.35">
      <c r="A15334" s="34">
        <v>60105918</v>
      </c>
      <c r="B15334" s="35" t="s">
        <v>8078</v>
      </c>
    </row>
    <row r="15335" spans="1:2" x14ac:dyDescent="0.35">
      <c r="A15335" s="34">
        <v>60105919</v>
      </c>
      <c r="B15335" s="35" t="s">
        <v>14845</v>
      </c>
    </row>
    <row r="15336" spans="1:2" x14ac:dyDescent="0.35">
      <c r="A15336" s="34">
        <v>60106001</v>
      </c>
      <c r="B15336" s="35" t="s">
        <v>1866</v>
      </c>
    </row>
    <row r="15337" spans="1:2" x14ac:dyDescent="0.35">
      <c r="A15337" s="34">
        <v>60106002</v>
      </c>
      <c r="B15337" s="35" t="s">
        <v>599</v>
      </c>
    </row>
    <row r="15338" spans="1:2" x14ac:dyDescent="0.35">
      <c r="A15338" s="34">
        <v>60106003</v>
      </c>
      <c r="B15338" s="35" t="s">
        <v>15111</v>
      </c>
    </row>
    <row r="15339" spans="1:2" x14ac:dyDescent="0.35">
      <c r="A15339" s="34">
        <v>60106004</v>
      </c>
      <c r="B15339" s="35" t="s">
        <v>2028</v>
      </c>
    </row>
    <row r="15340" spans="1:2" x14ac:dyDescent="0.35">
      <c r="A15340" s="34">
        <v>60106101</v>
      </c>
      <c r="B15340" s="35" t="s">
        <v>10059</v>
      </c>
    </row>
    <row r="15341" spans="1:2" x14ac:dyDescent="0.35">
      <c r="A15341" s="34">
        <v>60106102</v>
      </c>
      <c r="B15341" s="35" t="s">
        <v>18669</v>
      </c>
    </row>
    <row r="15342" spans="1:2" x14ac:dyDescent="0.35">
      <c r="A15342" s="34">
        <v>60106103</v>
      </c>
      <c r="B15342" s="35" t="s">
        <v>2859</v>
      </c>
    </row>
    <row r="15343" spans="1:2" x14ac:dyDescent="0.35">
      <c r="A15343" s="34">
        <v>60106104</v>
      </c>
      <c r="B15343" s="35" t="s">
        <v>6590</v>
      </c>
    </row>
    <row r="15344" spans="1:2" x14ac:dyDescent="0.35">
      <c r="A15344" s="34">
        <v>60106105</v>
      </c>
      <c r="B15344" s="35" t="s">
        <v>4718</v>
      </c>
    </row>
    <row r="15345" spans="1:2" x14ac:dyDescent="0.35">
      <c r="A15345" s="34">
        <v>60106106</v>
      </c>
      <c r="B15345" s="35" t="s">
        <v>5750</v>
      </c>
    </row>
    <row r="15346" spans="1:2" x14ac:dyDescent="0.35">
      <c r="A15346" s="34">
        <v>60106107</v>
      </c>
      <c r="B15346" s="35" t="s">
        <v>6781</v>
      </c>
    </row>
    <row r="15347" spans="1:2" x14ac:dyDescent="0.35">
      <c r="A15347" s="34">
        <v>60106108</v>
      </c>
      <c r="B15347" s="35" t="s">
        <v>9371</v>
      </c>
    </row>
    <row r="15348" spans="1:2" x14ac:dyDescent="0.35">
      <c r="A15348" s="34">
        <v>60106109</v>
      </c>
      <c r="B15348" s="35" t="s">
        <v>10860</v>
      </c>
    </row>
    <row r="15349" spans="1:2" x14ac:dyDescent="0.35">
      <c r="A15349" s="34">
        <v>60106201</v>
      </c>
      <c r="B15349" s="35" t="s">
        <v>3158</v>
      </c>
    </row>
    <row r="15350" spans="1:2" x14ac:dyDescent="0.35">
      <c r="A15350" s="34">
        <v>60106202</v>
      </c>
      <c r="B15350" s="35" t="s">
        <v>9687</v>
      </c>
    </row>
    <row r="15351" spans="1:2" x14ac:dyDescent="0.35">
      <c r="A15351" s="34">
        <v>60106203</v>
      </c>
      <c r="B15351" s="35" t="s">
        <v>4722</v>
      </c>
    </row>
    <row r="15352" spans="1:2" x14ac:dyDescent="0.35">
      <c r="A15352" s="34">
        <v>60106204</v>
      </c>
      <c r="B15352" s="35" t="s">
        <v>17727</v>
      </c>
    </row>
    <row r="15353" spans="1:2" x14ac:dyDescent="0.35">
      <c r="A15353" s="34">
        <v>60106205</v>
      </c>
      <c r="B15353" s="35" t="s">
        <v>3739</v>
      </c>
    </row>
    <row r="15354" spans="1:2" x14ac:dyDescent="0.35">
      <c r="A15354" s="34">
        <v>60106206</v>
      </c>
      <c r="B15354" s="35" t="s">
        <v>13083</v>
      </c>
    </row>
    <row r="15355" spans="1:2" x14ac:dyDescent="0.35">
      <c r="A15355" s="34">
        <v>60106207</v>
      </c>
      <c r="B15355" s="35" t="s">
        <v>2068</v>
      </c>
    </row>
    <row r="15356" spans="1:2" x14ac:dyDescent="0.35">
      <c r="A15356" s="34">
        <v>60106208</v>
      </c>
      <c r="B15356" s="35" t="s">
        <v>3997</v>
      </c>
    </row>
    <row r="15357" spans="1:2" x14ac:dyDescent="0.35">
      <c r="A15357" s="34">
        <v>60106209</v>
      </c>
      <c r="B15357" s="35" t="s">
        <v>2715</v>
      </c>
    </row>
    <row r="15358" spans="1:2" x14ac:dyDescent="0.35">
      <c r="A15358" s="34">
        <v>60106210</v>
      </c>
      <c r="B15358" s="35" t="s">
        <v>4093</v>
      </c>
    </row>
    <row r="15359" spans="1:2" x14ac:dyDescent="0.35">
      <c r="A15359" s="34">
        <v>60106211</v>
      </c>
      <c r="B15359" s="35" t="s">
        <v>5090</v>
      </c>
    </row>
    <row r="15360" spans="1:2" x14ac:dyDescent="0.35">
      <c r="A15360" s="34">
        <v>60106212</v>
      </c>
      <c r="B15360" s="35" t="s">
        <v>1364</v>
      </c>
    </row>
    <row r="15361" spans="1:2" x14ac:dyDescent="0.35">
      <c r="A15361" s="34">
        <v>60106213</v>
      </c>
      <c r="B15361" s="35" t="s">
        <v>14935</v>
      </c>
    </row>
    <row r="15362" spans="1:2" x14ac:dyDescent="0.35">
      <c r="A15362" s="34">
        <v>60106214</v>
      </c>
      <c r="B15362" s="35" t="s">
        <v>6917</v>
      </c>
    </row>
    <row r="15363" spans="1:2" x14ac:dyDescent="0.35">
      <c r="A15363" s="34">
        <v>60106215</v>
      </c>
      <c r="B15363" s="35" t="s">
        <v>5115</v>
      </c>
    </row>
    <row r="15364" spans="1:2" x14ac:dyDescent="0.35">
      <c r="A15364" s="34">
        <v>60106301</v>
      </c>
      <c r="B15364" s="35" t="s">
        <v>8337</v>
      </c>
    </row>
    <row r="15365" spans="1:2" x14ac:dyDescent="0.35">
      <c r="A15365" s="34">
        <v>60106302</v>
      </c>
      <c r="B15365" s="35" t="s">
        <v>9735</v>
      </c>
    </row>
    <row r="15366" spans="1:2" x14ac:dyDescent="0.35">
      <c r="A15366" s="34">
        <v>60106401</v>
      </c>
      <c r="B15366" s="35" t="s">
        <v>3302</v>
      </c>
    </row>
    <row r="15367" spans="1:2" x14ac:dyDescent="0.35">
      <c r="A15367" s="34">
        <v>60106402</v>
      </c>
      <c r="B15367" s="35" t="s">
        <v>9949</v>
      </c>
    </row>
    <row r="15368" spans="1:2" x14ac:dyDescent="0.35">
      <c r="A15368" s="34">
        <v>60111001</v>
      </c>
      <c r="B15368" s="35" t="s">
        <v>8788</v>
      </c>
    </row>
    <row r="15369" spans="1:2" x14ac:dyDescent="0.35">
      <c r="A15369" s="34">
        <v>60111002</v>
      </c>
      <c r="B15369" s="35" t="s">
        <v>8929</v>
      </c>
    </row>
    <row r="15370" spans="1:2" x14ac:dyDescent="0.35">
      <c r="A15370" s="34">
        <v>60111003</v>
      </c>
      <c r="B15370" s="35" t="s">
        <v>5055</v>
      </c>
    </row>
    <row r="15371" spans="1:2" x14ac:dyDescent="0.35">
      <c r="A15371" s="34">
        <v>60111004</v>
      </c>
      <c r="B15371" s="35" t="s">
        <v>10035</v>
      </c>
    </row>
    <row r="15372" spans="1:2" x14ac:dyDescent="0.35">
      <c r="A15372" s="34">
        <v>60111005</v>
      </c>
      <c r="B15372" s="35" t="s">
        <v>9726</v>
      </c>
    </row>
    <row r="15373" spans="1:2" x14ac:dyDescent="0.35">
      <c r="A15373" s="34">
        <v>60111101</v>
      </c>
      <c r="B15373" s="35" t="s">
        <v>10367</v>
      </c>
    </row>
    <row r="15374" spans="1:2" x14ac:dyDescent="0.35">
      <c r="A15374" s="34">
        <v>60111102</v>
      </c>
      <c r="B15374" s="35" t="s">
        <v>1938</v>
      </c>
    </row>
    <row r="15375" spans="1:2" x14ac:dyDescent="0.35">
      <c r="A15375" s="34">
        <v>60111103</v>
      </c>
      <c r="B15375" s="35" t="s">
        <v>6799</v>
      </c>
    </row>
    <row r="15376" spans="1:2" x14ac:dyDescent="0.35">
      <c r="A15376" s="34">
        <v>60111104</v>
      </c>
      <c r="B15376" s="35" t="s">
        <v>3263</v>
      </c>
    </row>
    <row r="15377" spans="1:2" x14ac:dyDescent="0.35">
      <c r="A15377" s="34">
        <v>60111105</v>
      </c>
      <c r="B15377" s="35" t="s">
        <v>1869</v>
      </c>
    </row>
    <row r="15378" spans="1:2" x14ac:dyDescent="0.35">
      <c r="A15378" s="34">
        <v>60111106</v>
      </c>
      <c r="B15378" s="35" t="s">
        <v>3724</v>
      </c>
    </row>
    <row r="15379" spans="1:2" x14ac:dyDescent="0.35">
      <c r="A15379" s="34">
        <v>60111107</v>
      </c>
      <c r="B15379" s="35" t="s">
        <v>17234</v>
      </c>
    </row>
    <row r="15380" spans="1:2" x14ac:dyDescent="0.35">
      <c r="A15380" s="34">
        <v>60111108</v>
      </c>
      <c r="B15380" s="35" t="s">
        <v>15845</v>
      </c>
    </row>
    <row r="15381" spans="1:2" x14ac:dyDescent="0.35">
      <c r="A15381" s="34">
        <v>60111109</v>
      </c>
      <c r="B15381" s="35" t="s">
        <v>15553</v>
      </c>
    </row>
    <row r="15382" spans="1:2" x14ac:dyDescent="0.35">
      <c r="A15382" s="34">
        <v>60111201</v>
      </c>
      <c r="B15382" s="35" t="s">
        <v>18927</v>
      </c>
    </row>
    <row r="15383" spans="1:2" x14ac:dyDescent="0.35">
      <c r="A15383" s="34">
        <v>60111202</v>
      </c>
      <c r="B15383" s="35" t="s">
        <v>18227</v>
      </c>
    </row>
    <row r="15384" spans="1:2" x14ac:dyDescent="0.35">
      <c r="A15384" s="34">
        <v>60111203</v>
      </c>
      <c r="B15384" s="35" t="s">
        <v>14042</v>
      </c>
    </row>
    <row r="15385" spans="1:2" x14ac:dyDescent="0.35">
      <c r="A15385" s="34">
        <v>60111204</v>
      </c>
      <c r="B15385" s="35" t="s">
        <v>2584</v>
      </c>
    </row>
    <row r="15386" spans="1:2" x14ac:dyDescent="0.35">
      <c r="A15386" s="34">
        <v>60111205</v>
      </c>
      <c r="B15386" s="35" t="s">
        <v>18908</v>
      </c>
    </row>
    <row r="15387" spans="1:2" x14ac:dyDescent="0.35">
      <c r="A15387" s="34">
        <v>60111206</v>
      </c>
      <c r="B15387" s="35" t="s">
        <v>18502</v>
      </c>
    </row>
    <row r="15388" spans="1:2" x14ac:dyDescent="0.35">
      <c r="A15388" s="34">
        <v>60111207</v>
      </c>
      <c r="B15388" s="35" t="s">
        <v>5454</v>
      </c>
    </row>
    <row r="15389" spans="1:2" x14ac:dyDescent="0.35">
      <c r="A15389" s="34">
        <v>60111208</v>
      </c>
      <c r="B15389" s="35" t="s">
        <v>6572</v>
      </c>
    </row>
    <row r="15390" spans="1:2" x14ac:dyDescent="0.35">
      <c r="A15390" s="34">
        <v>60111301</v>
      </c>
      <c r="B15390" s="35" t="s">
        <v>18723</v>
      </c>
    </row>
    <row r="15391" spans="1:2" x14ac:dyDescent="0.35">
      <c r="A15391" s="34">
        <v>60111302</v>
      </c>
      <c r="B15391" s="35" t="s">
        <v>15475</v>
      </c>
    </row>
    <row r="15392" spans="1:2" x14ac:dyDescent="0.35">
      <c r="A15392" s="34">
        <v>60111303</v>
      </c>
      <c r="B15392" s="35" t="s">
        <v>984</v>
      </c>
    </row>
    <row r="15393" spans="1:2" x14ac:dyDescent="0.35">
      <c r="A15393" s="34">
        <v>60111304</v>
      </c>
      <c r="B15393" s="35" t="s">
        <v>19092</v>
      </c>
    </row>
    <row r="15394" spans="1:2" x14ac:dyDescent="0.35">
      <c r="A15394" s="34">
        <v>60111305</v>
      </c>
      <c r="B15394" s="35" t="s">
        <v>3013</v>
      </c>
    </row>
    <row r="15395" spans="1:2" x14ac:dyDescent="0.35">
      <c r="A15395" s="34">
        <v>60111306</v>
      </c>
      <c r="B15395" s="35" t="s">
        <v>2646</v>
      </c>
    </row>
    <row r="15396" spans="1:2" x14ac:dyDescent="0.35">
      <c r="A15396" s="34">
        <v>60111401</v>
      </c>
      <c r="B15396" s="35" t="s">
        <v>2406</v>
      </c>
    </row>
    <row r="15397" spans="1:2" x14ac:dyDescent="0.35">
      <c r="A15397" s="34">
        <v>60111402</v>
      </c>
      <c r="B15397" s="35" t="s">
        <v>11626</v>
      </c>
    </row>
    <row r="15398" spans="1:2" x14ac:dyDescent="0.35">
      <c r="A15398" s="34">
        <v>60111403</v>
      </c>
      <c r="B15398" s="35" t="s">
        <v>2639</v>
      </c>
    </row>
    <row r="15399" spans="1:2" x14ac:dyDescent="0.35">
      <c r="A15399" s="34">
        <v>60111404</v>
      </c>
      <c r="B15399" s="35" t="s">
        <v>859</v>
      </c>
    </row>
    <row r="15400" spans="1:2" x14ac:dyDescent="0.35">
      <c r="A15400" s="34">
        <v>60111405</v>
      </c>
      <c r="B15400" s="35" t="s">
        <v>5230</v>
      </c>
    </row>
    <row r="15401" spans="1:2" x14ac:dyDescent="0.35">
      <c r="A15401" s="34">
        <v>60111407</v>
      </c>
      <c r="B15401" s="35" t="s">
        <v>905</v>
      </c>
    </row>
    <row r="15402" spans="1:2" x14ac:dyDescent="0.35">
      <c r="A15402" s="34">
        <v>60111408</v>
      </c>
      <c r="B15402" s="35" t="s">
        <v>16770</v>
      </c>
    </row>
    <row r="15403" spans="1:2" x14ac:dyDescent="0.35">
      <c r="A15403" s="34">
        <v>60111409</v>
      </c>
      <c r="B15403" s="35" t="s">
        <v>11057</v>
      </c>
    </row>
    <row r="15404" spans="1:2" x14ac:dyDescent="0.35">
      <c r="A15404" s="34">
        <v>60111410</v>
      </c>
      <c r="B15404" s="35" t="s">
        <v>18636</v>
      </c>
    </row>
    <row r="15405" spans="1:2" x14ac:dyDescent="0.35">
      <c r="A15405" s="34">
        <v>60111411</v>
      </c>
      <c r="B15405" s="35" t="s">
        <v>14642</v>
      </c>
    </row>
    <row r="15406" spans="1:2" x14ac:dyDescent="0.35">
      <c r="A15406" s="34">
        <v>60121001</v>
      </c>
      <c r="B15406" s="35" t="s">
        <v>18033</v>
      </c>
    </row>
    <row r="15407" spans="1:2" x14ac:dyDescent="0.35">
      <c r="A15407" s="34">
        <v>60121002</v>
      </c>
      <c r="B15407" s="35" t="s">
        <v>7129</v>
      </c>
    </row>
    <row r="15408" spans="1:2" x14ac:dyDescent="0.35">
      <c r="A15408" s="34">
        <v>60121003</v>
      </c>
      <c r="B15408" s="35" t="s">
        <v>9753</v>
      </c>
    </row>
    <row r="15409" spans="1:2" x14ac:dyDescent="0.35">
      <c r="A15409" s="34">
        <v>60121004</v>
      </c>
      <c r="B15409" s="35" t="s">
        <v>32</v>
      </c>
    </row>
    <row r="15410" spans="1:2" x14ac:dyDescent="0.35">
      <c r="A15410" s="34">
        <v>60121005</v>
      </c>
      <c r="B15410" s="35" t="s">
        <v>9699</v>
      </c>
    </row>
    <row r="15411" spans="1:2" x14ac:dyDescent="0.35">
      <c r="A15411" s="34">
        <v>60121006</v>
      </c>
      <c r="B15411" s="35" t="s">
        <v>3916</v>
      </c>
    </row>
    <row r="15412" spans="1:2" x14ac:dyDescent="0.35">
      <c r="A15412" s="34">
        <v>60121007</v>
      </c>
      <c r="B15412" s="35" t="s">
        <v>16778</v>
      </c>
    </row>
    <row r="15413" spans="1:2" x14ac:dyDescent="0.35">
      <c r="A15413" s="34">
        <v>60121008</v>
      </c>
      <c r="B15413" s="35" t="s">
        <v>3</v>
      </c>
    </row>
    <row r="15414" spans="1:2" x14ac:dyDescent="0.35">
      <c r="A15414" s="34">
        <v>60121009</v>
      </c>
      <c r="B15414" s="35" t="s">
        <v>14777</v>
      </c>
    </row>
    <row r="15415" spans="1:2" x14ac:dyDescent="0.35">
      <c r="A15415" s="34">
        <v>60121010</v>
      </c>
      <c r="B15415" s="35" t="s">
        <v>7231</v>
      </c>
    </row>
    <row r="15416" spans="1:2" x14ac:dyDescent="0.35">
      <c r="A15416" s="34">
        <v>60121011</v>
      </c>
      <c r="B15416" s="35" t="s">
        <v>14311</v>
      </c>
    </row>
    <row r="15417" spans="1:2" x14ac:dyDescent="0.35">
      <c r="A15417" s="34">
        <v>60121012</v>
      </c>
      <c r="B15417" s="35" t="s">
        <v>16127</v>
      </c>
    </row>
    <row r="15418" spans="1:2" x14ac:dyDescent="0.35">
      <c r="A15418" s="34">
        <v>60121101</v>
      </c>
      <c r="B15418" s="35" t="s">
        <v>302</v>
      </c>
    </row>
    <row r="15419" spans="1:2" x14ac:dyDescent="0.35">
      <c r="A15419" s="34">
        <v>60121102</v>
      </c>
      <c r="B15419" s="35" t="s">
        <v>19136</v>
      </c>
    </row>
    <row r="15420" spans="1:2" x14ac:dyDescent="0.35">
      <c r="A15420" s="34">
        <v>60121103</v>
      </c>
      <c r="B15420" s="35" t="s">
        <v>7541</v>
      </c>
    </row>
    <row r="15421" spans="1:2" x14ac:dyDescent="0.35">
      <c r="A15421" s="34">
        <v>60121104</v>
      </c>
      <c r="B15421" s="35" t="s">
        <v>17656</v>
      </c>
    </row>
    <row r="15422" spans="1:2" x14ac:dyDescent="0.35">
      <c r="A15422" s="34">
        <v>60121105</v>
      </c>
      <c r="B15422" s="35" t="s">
        <v>10678</v>
      </c>
    </row>
    <row r="15423" spans="1:2" x14ac:dyDescent="0.35">
      <c r="A15423" s="34">
        <v>60121106</v>
      </c>
      <c r="B15423" s="35" t="s">
        <v>9465</v>
      </c>
    </row>
    <row r="15424" spans="1:2" x14ac:dyDescent="0.35">
      <c r="A15424" s="34">
        <v>60121107</v>
      </c>
      <c r="B15424" s="35" t="s">
        <v>4646</v>
      </c>
    </row>
    <row r="15425" spans="1:2" x14ac:dyDescent="0.35">
      <c r="A15425" s="34">
        <v>60121108</v>
      </c>
      <c r="B15425" s="35" t="s">
        <v>18895</v>
      </c>
    </row>
    <row r="15426" spans="1:2" x14ac:dyDescent="0.35">
      <c r="A15426" s="34">
        <v>60121109</v>
      </c>
      <c r="B15426" s="35" t="s">
        <v>1194</v>
      </c>
    </row>
    <row r="15427" spans="1:2" x14ac:dyDescent="0.35">
      <c r="A15427" s="34">
        <v>60121110</v>
      </c>
      <c r="B15427" s="35" t="s">
        <v>6945</v>
      </c>
    </row>
    <row r="15428" spans="1:2" x14ac:dyDescent="0.35">
      <c r="A15428" s="34">
        <v>60121111</v>
      </c>
      <c r="B15428" s="35" t="s">
        <v>408</v>
      </c>
    </row>
    <row r="15429" spans="1:2" x14ac:dyDescent="0.35">
      <c r="A15429" s="34">
        <v>60121112</v>
      </c>
      <c r="B15429" s="35" t="s">
        <v>18846</v>
      </c>
    </row>
    <row r="15430" spans="1:2" x14ac:dyDescent="0.35">
      <c r="A15430" s="34">
        <v>60121113</v>
      </c>
      <c r="B15430" s="35" t="s">
        <v>6864</v>
      </c>
    </row>
    <row r="15431" spans="1:2" x14ac:dyDescent="0.35">
      <c r="A15431" s="34">
        <v>60121114</v>
      </c>
      <c r="B15431" s="35" t="s">
        <v>18207</v>
      </c>
    </row>
    <row r="15432" spans="1:2" x14ac:dyDescent="0.35">
      <c r="A15432" s="34">
        <v>60121115</v>
      </c>
      <c r="B15432" s="35" t="s">
        <v>17466</v>
      </c>
    </row>
    <row r="15433" spans="1:2" x14ac:dyDescent="0.35">
      <c r="A15433" s="34">
        <v>60121116</v>
      </c>
      <c r="B15433" s="35" t="s">
        <v>4896</v>
      </c>
    </row>
    <row r="15434" spans="1:2" x14ac:dyDescent="0.35">
      <c r="A15434" s="34">
        <v>60121117</v>
      </c>
      <c r="B15434" s="35" t="s">
        <v>14916</v>
      </c>
    </row>
    <row r="15435" spans="1:2" x14ac:dyDescent="0.35">
      <c r="A15435" s="34">
        <v>60121118</v>
      </c>
      <c r="B15435" s="35" t="s">
        <v>2609</v>
      </c>
    </row>
    <row r="15436" spans="1:2" x14ac:dyDescent="0.35">
      <c r="A15436" s="34">
        <v>60121119</v>
      </c>
      <c r="B15436" s="35" t="s">
        <v>3589</v>
      </c>
    </row>
    <row r="15437" spans="1:2" x14ac:dyDescent="0.35">
      <c r="A15437" s="34">
        <v>60121120</v>
      </c>
      <c r="B15437" s="35" t="s">
        <v>3140</v>
      </c>
    </row>
    <row r="15438" spans="1:2" x14ac:dyDescent="0.35">
      <c r="A15438" s="34">
        <v>60121121</v>
      </c>
      <c r="B15438" s="35" t="s">
        <v>10218</v>
      </c>
    </row>
    <row r="15439" spans="1:2" x14ac:dyDescent="0.35">
      <c r="A15439" s="34">
        <v>60121123</v>
      </c>
      <c r="B15439" s="35" t="s">
        <v>7731</v>
      </c>
    </row>
    <row r="15440" spans="1:2" x14ac:dyDescent="0.35">
      <c r="A15440" s="34">
        <v>60121124</v>
      </c>
      <c r="B15440" s="35" t="s">
        <v>7502</v>
      </c>
    </row>
    <row r="15441" spans="1:2" x14ac:dyDescent="0.35">
      <c r="A15441" s="34">
        <v>60121125</v>
      </c>
      <c r="B15441" s="35" t="s">
        <v>3936</v>
      </c>
    </row>
    <row r="15442" spans="1:2" x14ac:dyDescent="0.35">
      <c r="A15442" s="34">
        <v>60121126</v>
      </c>
      <c r="B15442" s="35" t="s">
        <v>715</v>
      </c>
    </row>
    <row r="15443" spans="1:2" x14ac:dyDescent="0.35">
      <c r="A15443" s="34">
        <v>60121127</v>
      </c>
      <c r="B15443" s="35" t="s">
        <v>14449</v>
      </c>
    </row>
    <row r="15444" spans="1:2" x14ac:dyDescent="0.35">
      <c r="A15444" s="34">
        <v>60121128</v>
      </c>
      <c r="B15444" s="35" t="s">
        <v>18909</v>
      </c>
    </row>
    <row r="15445" spans="1:2" x14ac:dyDescent="0.35">
      <c r="A15445" s="34">
        <v>60121129</v>
      </c>
      <c r="B15445" s="35" t="s">
        <v>2915</v>
      </c>
    </row>
    <row r="15446" spans="1:2" x14ac:dyDescent="0.35">
      <c r="A15446" s="34">
        <v>60121130</v>
      </c>
      <c r="B15446" s="35" t="s">
        <v>15958</v>
      </c>
    </row>
    <row r="15447" spans="1:2" x14ac:dyDescent="0.35">
      <c r="A15447" s="34">
        <v>60121131</v>
      </c>
      <c r="B15447" s="35" t="s">
        <v>4192</v>
      </c>
    </row>
    <row r="15448" spans="1:2" x14ac:dyDescent="0.35">
      <c r="A15448" s="34">
        <v>60121132</v>
      </c>
      <c r="B15448" s="35" t="s">
        <v>10179</v>
      </c>
    </row>
    <row r="15449" spans="1:2" x14ac:dyDescent="0.35">
      <c r="A15449" s="34">
        <v>60121133</v>
      </c>
      <c r="B15449" s="35" t="s">
        <v>13340</v>
      </c>
    </row>
    <row r="15450" spans="1:2" x14ac:dyDescent="0.35">
      <c r="A15450" s="34">
        <v>60121134</v>
      </c>
      <c r="B15450" s="35" t="s">
        <v>17039</v>
      </c>
    </row>
    <row r="15451" spans="1:2" x14ac:dyDescent="0.35">
      <c r="A15451" s="34">
        <v>60121135</v>
      </c>
      <c r="B15451" s="35" t="s">
        <v>6833</v>
      </c>
    </row>
    <row r="15452" spans="1:2" x14ac:dyDescent="0.35">
      <c r="A15452" s="34">
        <v>60121136</v>
      </c>
      <c r="B15452" s="35" t="s">
        <v>14856</v>
      </c>
    </row>
    <row r="15453" spans="1:2" x14ac:dyDescent="0.35">
      <c r="A15453" s="34">
        <v>60121137</v>
      </c>
      <c r="B15453" s="35" t="s">
        <v>12179</v>
      </c>
    </row>
    <row r="15454" spans="1:2" x14ac:dyDescent="0.35">
      <c r="A15454" s="34">
        <v>60121138</v>
      </c>
      <c r="B15454" s="35" t="s">
        <v>6566</v>
      </c>
    </row>
    <row r="15455" spans="1:2" x14ac:dyDescent="0.35">
      <c r="A15455" s="34">
        <v>60121139</v>
      </c>
      <c r="B15455" s="35" t="s">
        <v>10934</v>
      </c>
    </row>
    <row r="15456" spans="1:2" x14ac:dyDescent="0.35">
      <c r="A15456" s="34">
        <v>60121140</v>
      </c>
      <c r="B15456" s="35" t="s">
        <v>7791</v>
      </c>
    </row>
    <row r="15457" spans="1:2" x14ac:dyDescent="0.35">
      <c r="A15457" s="34">
        <v>60121141</v>
      </c>
      <c r="B15457" s="35" t="s">
        <v>14071</v>
      </c>
    </row>
    <row r="15458" spans="1:2" x14ac:dyDescent="0.35">
      <c r="A15458" s="34">
        <v>60121142</v>
      </c>
      <c r="B15458" s="35" t="s">
        <v>5553</v>
      </c>
    </row>
    <row r="15459" spans="1:2" x14ac:dyDescent="0.35">
      <c r="A15459" s="34">
        <v>60121143</v>
      </c>
      <c r="B15459" s="35" t="s">
        <v>15178</v>
      </c>
    </row>
    <row r="15460" spans="1:2" x14ac:dyDescent="0.35">
      <c r="A15460" s="34">
        <v>60121144</v>
      </c>
      <c r="B15460" s="35" t="s">
        <v>14794</v>
      </c>
    </row>
    <row r="15461" spans="1:2" x14ac:dyDescent="0.35">
      <c r="A15461" s="34">
        <v>60121145</v>
      </c>
      <c r="B15461" s="35" t="s">
        <v>7022</v>
      </c>
    </row>
    <row r="15462" spans="1:2" x14ac:dyDescent="0.35">
      <c r="A15462" s="34">
        <v>60121146</v>
      </c>
      <c r="B15462" s="35" t="s">
        <v>16663</v>
      </c>
    </row>
    <row r="15463" spans="1:2" x14ac:dyDescent="0.35">
      <c r="A15463" s="34">
        <v>60121147</v>
      </c>
      <c r="B15463" s="35" t="s">
        <v>4555</v>
      </c>
    </row>
    <row r="15464" spans="1:2" x14ac:dyDescent="0.35">
      <c r="A15464" s="34">
        <v>60121148</v>
      </c>
      <c r="B15464" s="35" t="s">
        <v>7004</v>
      </c>
    </row>
    <row r="15465" spans="1:2" x14ac:dyDescent="0.35">
      <c r="A15465" s="34">
        <v>60121149</v>
      </c>
      <c r="B15465" s="35" t="s">
        <v>3582</v>
      </c>
    </row>
    <row r="15466" spans="1:2" x14ac:dyDescent="0.35">
      <c r="A15466" s="34">
        <v>60121150</v>
      </c>
      <c r="B15466" s="35" t="s">
        <v>14553</v>
      </c>
    </row>
    <row r="15467" spans="1:2" x14ac:dyDescent="0.35">
      <c r="A15467" s="34">
        <v>60121151</v>
      </c>
      <c r="B15467" s="35" t="s">
        <v>17232</v>
      </c>
    </row>
    <row r="15468" spans="1:2" x14ac:dyDescent="0.35">
      <c r="A15468" s="34">
        <v>60121152</v>
      </c>
      <c r="B15468" s="35" t="s">
        <v>8863</v>
      </c>
    </row>
    <row r="15469" spans="1:2" x14ac:dyDescent="0.35">
      <c r="A15469" s="34">
        <v>60121153</v>
      </c>
      <c r="B15469" s="35" t="s">
        <v>19339</v>
      </c>
    </row>
    <row r="15470" spans="1:2" x14ac:dyDescent="0.35">
      <c r="A15470" s="34">
        <v>60121201</v>
      </c>
      <c r="B15470" s="35" t="s">
        <v>9415</v>
      </c>
    </row>
    <row r="15471" spans="1:2" x14ac:dyDescent="0.35">
      <c r="A15471" s="34">
        <v>60121202</v>
      </c>
      <c r="B15471" s="35" t="s">
        <v>913</v>
      </c>
    </row>
    <row r="15472" spans="1:2" x14ac:dyDescent="0.35">
      <c r="A15472" s="34">
        <v>60121203</v>
      </c>
      <c r="B15472" s="35" t="s">
        <v>18224</v>
      </c>
    </row>
    <row r="15473" spans="1:2" x14ac:dyDescent="0.35">
      <c r="A15473" s="34">
        <v>60121204</v>
      </c>
      <c r="B15473" s="35" t="s">
        <v>2086</v>
      </c>
    </row>
    <row r="15474" spans="1:2" x14ac:dyDescent="0.35">
      <c r="A15474" s="34">
        <v>60121205</v>
      </c>
      <c r="B15474" s="35" t="s">
        <v>12281</v>
      </c>
    </row>
    <row r="15475" spans="1:2" x14ac:dyDescent="0.35">
      <c r="A15475" s="34">
        <v>60121206</v>
      </c>
      <c r="B15475" s="35" t="s">
        <v>17755</v>
      </c>
    </row>
    <row r="15476" spans="1:2" x14ac:dyDescent="0.35">
      <c r="A15476" s="34">
        <v>60121207</v>
      </c>
      <c r="B15476" s="35" t="s">
        <v>10705</v>
      </c>
    </row>
    <row r="15477" spans="1:2" x14ac:dyDescent="0.35">
      <c r="A15477" s="34">
        <v>60121208</v>
      </c>
      <c r="B15477" s="35" t="s">
        <v>8262</v>
      </c>
    </row>
    <row r="15478" spans="1:2" x14ac:dyDescent="0.35">
      <c r="A15478" s="34">
        <v>60121209</v>
      </c>
      <c r="B15478" s="35" t="s">
        <v>3123</v>
      </c>
    </row>
    <row r="15479" spans="1:2" x14ac:dyDescent="0.35">
      <c r="A15479" s="34">
        <v>60121210</v>
      </c>
      <c r="B15479" s="35" t="s">
        <v>1193</v>
      </c>
    </row>
    <row r="15480" spans="1:2" x14ac:dyDescent="0.35">
      <c r="A15480" s="34">
        <v>60121211</v>
      </c>
      <c r="B15480" s="35" t="s">
        <v>1025</v>
      </c>
    </row>
    <row r="15481" spans="1:2" x14ac:dyDescent="0.35">
      <c r="A15481" s="34">
        <v>60121212</v>
      </c>
      <c r="B15481" s="35" t="s">
        <v>6220</v>
      </c>
    </row>
    <row r="15482" spans="1:2" x14ac:dyDescent="0.35">
      <c r="A15482" s="34">
        <v>60121213</v>
      </c>
      <c r="B15482" s="35" t="s">
        <v>10624</v>
      </c>
    </row>
    <row r="15483" spans="1:2" x14ac:dyDescent="0.35">
      <c r="A15483" s="34">
        <v>60121214</v>
      </c>
      <c r="B15483" s="35" t="s">
        <v>5439</v>
      </c>
    </row>
    <row r="15484" spans="1:2" x14ac:dyDescent="0.35">
      <c r="A15484" s="34">
        <v>60121215</v>
      </c>
      <c r="B15484" s="35" t="s">
        <v>5786</v>
      </c>
    </row>
    <row r="15485" spans="1:2" x14ac:dyDescent="0.35">
      <c r="A15485" s="34">
        <v>60121216</v>
      </c>
      <c r="B15485" s="35" t="s">
        <v>12654</v>
      </c>
    </row>
    <row r="15486" spans="1:2" x14ac:dyDescent="0.35">
      <c r="A15486" s="34">
        <v>60121217</v>
      </c>
      <c r="B15486" s="35" t="s">
        <v>8916</v>
      </c>
    </row>
    <row r="15487" spans="1:2" x14ac:dyDescent="0.35">
      <c r="A15487" s="34">
        <v>60121218</v>
      </c>
      <c r="B15487" s="35" t="s">
        <v>3124</v>
      </c>
    </row>
    <row r="15488" spans="1:2" x14ac:dyDescent="0.35">
      <c r="A15488" s="34">
        <v>60121219</v>
      </c>
      <c r="B15488" s="35" t="s">
        <v>14162</v>
      </c>
    </row>
    <row r="15489" spans="1:2" x14ac:dyDescent="0.35">
      <c r="A15489" s="34">
        <v>60121220</v>
      </c>
      <c r="B15489" s="35" t="s">
        <v>16069</v>
      </c>
    </row>
    <row r="15490" spans="1:2" x14ac:dyDescent="0.35">
      <c r="A15490" s="34">
        <v>60121221</v>
      </c>
      <c r="B15490" s="35" t="s">
        <v>14983</v>
      </c>
    </row>
    <row r="15491" spans="1:2" x14ac:dyDescent="0.35">
      <c r="A15491" s="34">
        <v>60121222</v>
      </c>
      <c r="B15491" s="35" t="s">
        <v>8151</v>
      </c>
    </row>
    <row r="15492" spans="1:2" x14ac:dyDescent="0.35">
      <c r="A15492" s="34">
        <v>60121223</v>
      </c>
      <c r="B15492" s="35" t="s">
        <v>9406</v>
      </c>
    </row>
    <row r="15493" spans="1:2" x14ac:dyDescent="0.35">
      <c r="A15493" s="34">
        <v>60121224</v>
      </c>
      <c r="B15493" s="35" t="s">
        <v>16941</v>
      </c>
    </row>
    <row r="15494" spans="1:2" x14ac:dyDescent="0.35">
      <c r="A15494" s="34">
        <v>60121225</v>
      </c>
      <c r="B15494" s="35" t="s">
        <v>3430</v>
      </c>
    </row>
    <row r="15495" spans="1:2" x14ac:dyDescent="0.35">
      <c r="A15495" s="34">
        <v>60121226</v>
      </c>
      <c r="B15495" s="35" t="s">
        <v>13542</v>
      </c>
    </row>
    <row r="15496" spans="1:2" x14ac:dyDescent="0.35">
      <c r="A15496" s="34">
        <v>60121227</v>
      </c>
      <c r="B15496" s="35" t="s">
        <v>15463</v>
      </c>
    </row>
    <row r="15497" spans="1:2" x14ac:dyDescent="0.35">
      <c r="A15497" s="34">
        <v>60121228</v>
      </c>
      <c r="B15497" s="35" t="s">
        <v>10406</v>
      </c>
    </row>
    <row r="15498" spans="1:2" x14ac:dyDescent="0.35">
      <c r="A15498" s="34">
        <v>60121229</v>
      </c>
      <c r="B15498" s="35" t="s">
        <v>1986</v>
      </c>
    </row>
    <row r="15499" spans="1:2" x14ac:dyDescent="0.35">
      <c r="A15499" s="34">
        <v>60121230</v>
      </c>
      <c r="B15499" s="35" t="s">
        <v>2472</v>
      </c>
    </row>
    <row r="15500" spans="1:2" x14ac:dyDescent="0.35">
      <c r="A15500" s="34">
        <v>60121231</v>
      </c>
      <c r="B15500" s="35" t="s">
        <v>12041</v>
      </c>
    </row>
    <row r="15501" spans="1:2" x14ac:dyDescent="0.35">
      <c r="A15501" s="34">
        <v>60121232</v>
      </c>
      <c r="B15501" s="35" t="s">
        <v>11600</v>
      </c>
    </row>
    <row r="15502" spans="1:2" x14ac:dyDescent="0.35">
      <c r="A15502" s="34">
        <v>60121233</v>
      </c>
      <c r="B15502" s="35" t="s">
        <v>6042</v>
      </c>
    </row>
    <row r="15503" spans="1:2" x14ac:dyDescent="0.35">
      <c r="A15503" s="34">
        <v>60121234</v>
      </c>
      <c r="B15503" s="35" t="s">
        <v>6672</v>
      </c>
    </row>
    <row r="15504" spans="1:2" x14ac:dyDescent="0.35">
      <c r="A15504" s="34">
        <v>60121235</v>
      </c>
      <c r="B15504" s="35" t="s">
        <v>6563</v>
      </c>
    </row>
    <row r="15505" spans="1:2" x14ac:dyDescent="0.35">
      <c r="A15505" s="34">
        <v>60121236</v>
      </c>
      <c r="B15505" s="35" t="s">
        <v>9012</v>
      </c>
    </row>
    <row r="15506" spans="1:2" x14ac:dyDescent="0.35">
      <c r="A15506" s="34">
        <v>60121237</v>
      </c>
      <c r="B15506" s="35" t="s">
        <v>14609</v>
      </c>
    </row>
    <row r="15507" spans="1:2" x14ac:dyDescent="0.35">
      <c r="A15507" s="34">
        <v>60121238</v>
      </c>
      <c r="B15507" s="35" t="s">
        <v>4728</v>
      </c>
    </row>
    <row r="15508" spans="1:2" x14ac:dyDescent="0.35">
      <c r="A15508" s="34">
        <v>60121239</v>
      </c>
      <c r="B15508" s="35" t="s">
        <v>303</v>
      </c>
    </row>
    <row r="15509" spans="1:2" x14ac:dyDescent="0.35">
      <c r="A15509" s="34">
        <v>60121241</v>
      </c>
      <c r="B15509" s="35" t="s">
        <v>9807</v>
      </c>
    </row>
    <row r="15510" spans="1:2" x14ac:dyDescent="0.35">
      <c r="A15510" s="34">
        <v>60121242</v>
      </c>
      <c r="B15510" s="35" t="s">
        <v>2</v>
      </c>
    </row>
    <row r="15511" spans="1:2" x14ac:dyDescent="0.35">
      <c r="A15511" s="34">
        <v>60121243</v>
      </c>
      <c r="B15511" s="35" t="s">
        <v>9970</v>
      </c>
    </row>
    <row r="15512" spans="1:2" x14ac:dyDescent="0.35">
      <c r="A15512" s="34">
        <v>60121244</v>
      </c>
      <c r="B15512" s="35" t="s">
        <v>11209</v>
      </c>
    </row>
    <row r="15513" spans="1:2" x14ac:dyDescent="0.35">
      <c r="A15513" s="34">
        <v>60121245</v>
      </c>
      <c r="B15513" s="35" t="s">
        <v>18532</v>
      </c>
    </row>
    <row r="15514" spans="1:2" x14ac:dyDescent="0.35">
      <c r="A15514" s="34">
        <v>60121246</v>
      </c>
      <c r="B15514" s="35" t="s">
        <v>14347</v>
      </c>
    </row>
    <row r="15515" spans="1:2" x14ac:dyDescent="0.35">
      <c r="A15515" s="34">
        <v>60121247</v>
      </c>
      <c r="B15515" s="35" t="s">
        <v>11777</v>
      </c>
    </row>
    <row r="15516" spans="1:2" x14ac:dyDescent="0.35">
      <c r="A15516" s="34">
        <v>60121248</v>
      </c>
      <c r="B15516" s="35" t="s">
        <v>18281</v>
      </c>
    </row>
    <row r="15517" spans="1:2" x14ac:dyDescent="0.35">
      <c r="A15517" s="34">
        <v>60121249</v>
      </c>
      <c r="B15517" s="35" t="s">
        <v>8846</v>
      </c>
    </row>
    <row r="15518" spans="1:2" x14ac:dyDescent="0.35">
      <c r="A15518" s="34">
        <v>60121250</v>
      </c>
      <c r="B15518" s="35" t="s">
        <v>11198</v>
      </c>
    </row>
    <row r="15519" spans="1:2" x14ac:dyDescent="0.35">
      <c r="A15519" s="34">
        <v>60121251</v>
      </c>
      <c r="B15519" s="35" t="s">
        <v>8183</v>
      </c>
    </row>
    <row r="15520" spans="1:2" x14ac:dyDescent="0.35">
      <c r="A15520" s="34">
        <v>60121252</v>
      </c>
      <c r="B15520" s="35" t="s">
        <v>2568</v>
      </c>
    </row>
    <row r="15521" spans="1:2" x14ac:dyDescent="0.35">
      <c r="A15521" s="34">
        <v>60121253</v>
      </c>
      <c r="B15521" s="35" t="s">
        <v>8356</v>
      </c>
    </row>
    <row r="15522" spans="1:2" x14ac:dyDescent="0.35">
      <c r="A15522" s="34">
        <v>60121301</v>
      </c>
      <c r="B15522" s="35" t="s">
        <v>2928</v>
      </c>
    </row>
    <row r="15523" spans="1:2" x14ac:dyDescent="0.35">
      <c r="A15523" s="34">
        <v>60121302</v>
      </c>
      <c r="B15523" s="35" t="s">
        <v>14941</v>
      </c>
    </row>
    <row r="15524" spans="1:2" x14ac:dyDescent="0.35">
      <c r="A15524" s="34">
        <v>60121303</v>
      </c>
      <c r="B15524" s="35" t="s">
        <v>19472</v>
      </c>
    </row>
    <row r="15525" spans="1:2" x14ac:dyDescent="0.35">
      <c r="A15525" s="34">
        <v>60121304</v>
      </c>
      <c r="B15525" s="35" t="s">
        <v>9559</v>
      </c>
    </row>
    <row r="15526" spans="1:2" x14ac:dyDescent="0.35">
      <c r="A15526" s="34">
        <v>60121305</v>
      </c>
      <c r="B15526" s="35" t="s">
        <v>8135</v>
      </c>
    </row>
    <row r="15527" spans="1:2" x14ac:dyDescent="0.35">
      <c r="A15527" s="34">
        <v>60121306</v>
      </c>
      <c r="B15527" s="35" t="s">
        <v>18756</v>
      </c>
    </row>
    <row r="15528" spans="1:2" x14ac:dyDescent="0.35">
      <c r="A15528" s="34">
        <v>60121401</v>
      </c>
      <c r="B15528" s="35" t="s">
        <v>15059</v>
      </c>
    </row>
    <row r="15529" spans="1:2" x14ac:dyDescent="0.35">
      <c r="A15529" s="34">
        <v>60121402</v>
      </c>
      <c r="B15529" s="35" t="s">
        <v>8260</v>
      </c>
    </row>
    <row r="15530" spans="1:2" x14ac:dyDescent="0.35">
      <c r="A15530" s="34">
        <v>60121403</v>
      </c>
      <c r="B15530" s="35" t="s">
        <v>1418</v>
      </c>
    </row>
    <row r="15531" spans="1:2" x14ac:dyDescent="0.35">
      <c r="A15531" s="34">
        <v>60121404</v>
      </c>
      <c r="B15531" s="35" t="s">
        <v>2055</v>
      </c>
    </row>
    <row r="15532" spans="1:2" x14ac:dyDescent="0.35">
      <c r="A15532" s="34">
        <v>60121405</v>
      </c>
      <c r="B15532" s="35" t="s">
        <v>11588</v>
      </c>
    </row>
    <row r="15533" spans="1:2" x14ac:dyDescent="0.35">
      <c r="A15533" s="34">
        <v>60121406</v>
      </c>
      <c r="B15533" s="35" t="s">
        <v>9230</v>
      </c>
    </row>
    <row r="15534" spans="1:2" x14ac:dyDescent="0.35">
      <c r="A15534" s="34">
        <v>60121407</v>
      </c>
      <c r="B15534" s="35" t="s">
        <v>16810</v>
      </c>
    </row>
    <row r="15535" spans="1:2" x14ac:dyDescent="0.35">
      <c r="A15535" s="34">
        <v>60121408</v>
      </c>
      <c r="B15535" s="35" t="s">
        <v>10864</v>
      </c>
    </row>
    <row r="15536" spans="1:2" x14ac:dyDescent="0.35">
      <c r="A15536" s="34">
        <v>60121409</v>
      </c>
      <c r="B15536" s="35" t="s">
        <v>1009</v>
      </c>
    </row>
    <row r="15537" spans="1:2" x14ac:dyDescent="0.35">
      <c r="A15537" s="34">
        <v>60121410</v>
      </c>
      <c r="B15537" s="35" t="s">
        <v>12636</v>
      </c>
    </row>
    <row r="15538" spans="1:2" x14ac:dyDescent="0.35">
      <c r="A15538" s="34">
        <v>60121411</v>
      </c>
      <c r="B15538" s="35" t="s">
        <v>2179</v>
      </c>
    </row>
    <row r="15539" spans="1:2" x14ac:dyDescent="0.35">
      <c r="A15539" s="34">
        <v>60121412</v>
      </c>
      <c r="B15539" s="35" t="s">
        <v>15470</v>
      </c>
    </row>
    <row r="15540" spans="1:2" x14ac:dyDescent="0.35">
      <c r="A15540" s="34">
        <v>60121413</v>
      </c>
      <c r="B15540" s="35" t="s">
        <v>18838</v>
      </c>
    </row>
    <row r="15541" spans="1:2" x14ac:dyDescent="0.35">
      <c r="A15541" s="34">
        <v>60121414</v>
      </c>
      <c r="B15541" s="35" t="s">
        <v>8294</v>
      </c>
    </row>
    <row r="15542" spans="1:2" x14ac:dyDescent="0.35">
      <c r="A15542" s="34">
        <v>60121415</v>
      </c>
      <c r="B15542" s="35" t="s">
        <v>16230</v>
      </c>
    </row>
    <row r="15543" spans="1:2" x14ac:dyDescent="0.35">
      <c r="A15543" s="34">
        <v>60121501</v>
      </c>
      <c r="B15543" s="35" t="s">
        <v>67</v>
      </c>
    </row>
    <row r="15544" spans="1:2" x14ac:dyDescent="0.35">
      <c r="A15544" s="34">
        <v>60121502</v>
      </c>
      <c r="B15544" s="35" t="s">
        <v>818</v>
      </c>
    </row>
    <row r="15545" spans="1:2" x14ac:dyDescent="0.35">
      <c r="A15545" s="34">
        <v>60121503</v>
      </c>
      <c r="B15545" s="35" t="s">
        <v>10936</v>
      </c>
    </row>
    <row r="15546" spans="1:2" x14ac:dyDescent="0.35">
      <c r="A15546" s="34">
        <v>60121504</v>
      </c>
      <c r="B15546" s="35" t="s">
        <v>3253</v>
      </c>
    </row>
    <row r="15547" spans="1:2" x14ac:dyDescent="0.35">
      <c r="A15547" s="34">
        <v>60121505</v>
      </c>
      <c r="B15547" s="35" t="s">
        <v>8572</v>
      </c>
    </row>
    <row r="15548" spans="1:2" x14ac:dyDescent="0.35">
      <c r="A15548" s="34">
        <v>60121506</v>
      </c>
      <c r="B15548" s="35" t="s">
        <v>15784</v>
      </c>
    </row>
    <row r="15549" spans="1:2" x14ac:dyDescent="0.35">
      <c r="A15549" s="34">
        <v>60121507</v>
      </c>
      <c r="B15549" s="35" t="s">
        <v>9503</v>
      </c>
    </row>
    <row r="15550" spans="1:2" x14ac:dyDescent="0.35">
      <c r="A15550" s="34">
        <v>60121508</v>
      </c>
      <c r="B15550" s="35" t="s">
        <v>12484</v>
      </c>
    </row>
    <row r="15551" spans="1:2" x14ac:dyDescent="0.35">
      <c r="A15551" s="34">
        <v>60121509</v>
      </c>
      <c r="B15551" s="35" t="s">
        <v>18741</v>
      </c>
    </row>
    <row r="15552" spans="1:2" x14ac:dyDescent="0.35">
      <c r="A15552" s="34">
        <v>60121510</v>
      </c>
      <c r="B15552" s="35" t="s">
        <v>6658</v>
      </c>
    </row>
    <row r="15553" spans="1:2" x14ac:dyDescent="0.35">
      <c r="A15553" s="34">
        <v>60121511</v>
      </c>
      <c r="B15553" s="35" t="s">
        <v>4020</v>
      </c>
    </row>
    <row r="15554" spans="1:2" x14ac:dyDescent="0.35">
      <c r="A15554" s="34">
        <v>60121512</v>
      </c>
      <c r="B15554" s="35" t="s">
        <v>1417</v>
      </c>
    </row>
    <row r="15555" spans="1:2" x14ac:dyDescent="0.35">
      <c r="A15555" s="34">
        <v>60121513</v>
      </c>
      <c r="B15555" s="35" t="s">
        <v>504</v>
      </c>
    </row>
    <row r="15556" spans="1:2" x14ac:dyDescent="0.35">
      <c r="A15556" s="34">
        <v>60121514</v>
      </c>
      <c r="B15556" s="35" t="s">
        <v>5280</v>
      </c>
    </row>
    <row r="15557" spans="1:2" x14ac:dyDescent="0.35">
      <c r="A15557" s="34">
        <v>60121515</v>
      </c>
      <c r="B15557" s="35" t="s">
        <v>117</v>
      </c>
    </row>
    <row r="15558" spans="1:2" x14ac:dyDescent="0.35">
      <c r="A15558" s="34">
        <v>60121516</v>
      </c>
      <c r="B15558" s="35" t="s">
        <v>4214</v>
      </c>
    </row>
    <row r="15559" spans="1:2" x14ac:dyDescent="0.35">
      <c r="A15559" s="34">
        <v>60121517</v>
      </c>
      <c r="B15559" s="35" t="s">
        <v>12467</v>
      </c>
    </row>
    <row r="15560" spans="1:2" x14ac:dyDescent="0.35">
      <c r="A15560" s="34">
        <v>60121518</v>
      </c>
      <c r="B15560" s="35" t="s">
        <v>17957</v>
      </c>
    </row>
    <row r="15561" spans="1:2" x14ac:dyDescent="0.35">
      <c r="A15561" s="34">
        <v>60121519</v>
      </c>
      <c r="B15561" s="35" t="s">
        <v>1533</v>
      </c>
    </row>
    <row r="15562" spans="1:2" x14ac:dyDescent="0.35">
      <c r="A15562" s="34">
        <v>60121520</v>
      </c>
      <c r="B15562" s="35" t="s">
        <v>19168</v>
      </c>
    </row>
    <row r="15563" spans="1:2" x14ac:dyDescent="0.35">
      <c r="A15563" s="34">
        <v>60121521</v>
      </c>
      <c r="B15563" s="35" t="s">
        <v>18516</v>
      </c>
    </row>
    <row r="15564" spans="1:2" x14ac:dyDescent="0.35">
      <c r="A15564" s="34">
        <v>60121522</v>
      </c>
      <c r="B15564" s="35" t="s">
        <v>5971</v>
      </c>
    </row>
    <row r="15565" spans="1:2" x14ac:dyDescent="0.35">
      <c r="A15565" s="34">
        <v>60121523</v>
      </c>
      <c r="B15565" s="35" t="s">
        <v>19558</v>
      </c>
    </row>
    <row r="15566" spans="1:2" x14ac:dyDescent="0.35">
      <c r="A15566" s="34">
        <v>60121524</v>
      </c>
      <c r="B15566" s="35" t="s">
        <v>13150</v>
      </c>
    </row>
    <row r="15567" spans="1:2" x14ac:dyDescent="0.35">
      <c r="A15567" s="34">
        <v>60121525</v>
      </c>
      <c r="B15567" s="35" t="s">
        <v>582</v>
      </c>
    </row>
    <row r="15568" spans="1:2" x14ac:dyDescent="0.35">
      <c r="A15568" s="34">
        <v>60121526</v>
      </c>
      <c r="B15568" s="35" t="s">
        <v>17839</v>
      </c>
    </row>
    <row r="15569" spans="1:2" x14ac:dyDescent="0.35">
      <c r="A15569" s="34">
        <v>60121531</v>
      </c>
      <c r="B15569" s="35" t="s">
        <v>17454</v>
      </c>
    </row>
    <row r="15570" spans="1:2" x14ac:dyDescent="0.35">
      <c r="A15570" s="34">
        <v>60121532</v>
      </c>
      <c r="B15570" s="35" t="s">
        <v>18387</v>
      </c>
    </row>
    <row r="15571" spans="1:2" x14ac:dyDescent="0.35">
      <c r="A15571" s="34">
        <v>60121533</v>
      </c>
      <c r="B15571" s="35" t="s">
        <v>14518</v>
      </c>
    </row>
    <row r="15572" spans="1:2" x14ac:dyDescent="0.35">
      <c r="A15572" s="34">
        <v>60121534</v>
      </c>
      <c r="B15572" s="35" t="s">
        <v>15311</v>
      </c>
    </row>
    <row r="15573" spans="1:2" x14ac:dyDescent="0.35">
      <c r="A15573" s="34">
        <v>60121535</v>
      </c>
      <c r="B15573" s="35" t="s">
        <v>8401</v>
      </c>
    </row>
    <row r="15574" spans="1:2" x14ac:dyDescent="0.35">
      <c r="A15574" s="34">
        <v>60121536</v>
      </c>
      <c r="B15574" s="35" t="s">
        <v>7384</v>
      </c>
    </row>
    <row r="15575" spans="1:2" x14ac:dyDescent="0.35">
      <c r="A15575" s="34">
        <v>60121537</v>
      </c>
      <c r="B15575" s="35" t="s">
        <v>18602</v>
      </c>
    </row>
    <row r="15576" spans="1:2" x14ac:dyDescent="0.35">
      <c r="A15576" s="34">
        <v>60121538</v>
      </c>
      <c r="B15576" s="35" t="s">
        <v>8243</v>
      </c>
    </row>
    <row r="15577" spans="1:2" x14ac:dyDescent="0.35">
      <c r="A15577" s="34">
        <v>60121539</v>
      </c>
      <c r="B15577" s="35" t="s">
        <v>18798</v>
      </c>
    </row>
    <row r="15578" spans="1:2" x14ac:dyDescent="0.35">
      <c r="A15578" s="34">
        <v>60121540</v>
      </c>
      <c r="B15578" s="35" t="s">
        <v>10824</v>
      </c>
    </row>
    <row r="15579" spans="1:2" x14ac:dyDescent="0.35">
      <c r="A15579" s="34">
        <v>60121601</v>
      </c>
      <c r="B15579" s="35" t="s">
        <v>16049</v>
      </c>
    </row>
    <row r="15580" spans="1:2" x14ac:dyDescent="0.35">
      <c r="A15580" s="34">
        <v>60121602</v>
      </c>
      <c r="B15580" s="35" t="s">
        <v>3429</v>
      </c>
    </row>
    <row r="15581" spans="1:2" x14ac:dyDescent="0.35">
      <c r="A15581" s="34">
        <v>60121603</v>
      </c>
      <c r="B15581" s="35" t="s">
        <v>3440</v>
      </c>
    </row>
    <row r="15582" spans="1:2" x14ac:dyDescent="0.35">
      <c r="A15582" s="34">
        <v>60121604</v>
      </c>
      <c r="B15582" s="35" t="s">
        <v>14524</v>
      </c>
    </row>
    <row r="15583" spans="1:2" x14ac:dyDescent="0.35">
      <c r="A15583" s="34">
        <v>60121605</v>
      </c>
      <c r="B15583" s="35" t="s">
        <v>12924</v>
      </c>
    </row>
    <row r="15584" spans="1:2" x14ac:dyDescent="0.35">
      <c r="A15584" s="34">
        <v>60121606</v>
      </c>
      <c r="B15584" s="35" t="s">
        <v>18653</v>
      </c>
    </row>
    <row r="15585" spans="1:2" x14ac:dyDescent="0.35">
      <c r="A15585" s="34">
        <v>60121701</v>
      </c>
      <c r="B15585" s="35" t="s">
        <v>12661</v>
      </c>
    </row>
    <row r="15586" spans="1:2" x14ac:dyDescent="0.35">
      <c r="A15586" s="34">
        <v>60121702</v>
      </c>
      <c r="B15586" s="35" t="s">
        <v>2240</v>
      </c>
    </row>
    <row r="15587" spans="1:2" x14ac:dyDescent="0.35">
      <c r="A15587" s="34">
        <v>60121703</v>
      </c>
      <c r="B15587" s="35" t="s">
        <v>16615</v>
      </c>
    </row>
    <row r="15588" spans="1:2" x14ac:dyDescent="0.35">
      <c r="A15588" s="34">
        <v>60121704</v>
      </c>
      <c r="B15588" s="35" t="s">
        <v>14526</v>
      </c>
    </row>
    <row r="15589" spans="1:2" x14ac:dyDescent="0.35">
      <c r="A15589" s="34">
        <v>60121705</v>
      </c>
      <c r="B15589" s="35" t="s">
        <v>16897</v>
      </c>
    </row>
    <row r="15590" spans="1:2" x14ac:dyDescent="0.35">
      <c r="A15590" s="34">
        <v>60121706</v>
      </c>
      <c r="B15590" s="35" t="s">
        <v>3787</v>
      </c>
    </row>
    <row r="15591" spans="1:2" x14ac:dyDescent="0.35">
      <c r="A15591" s="34">
        <v>60121707</v>
      </c>
      <c r="B15591" s="35" t="s">
        <v>2482</v>
      </c>
    </row>
    <row r="15592" spans="1:2" x14ac:dyDescent="0.35">
      <c r="A15592" s="34">
        <v>60121708</v>
      </c>
      <c r="B15592" s="35" t="s">
        <v>14593</v>
      </c>
    </row>
    <row r="15593" spans="1:2" x14ac:dyDescent="0.35">
      <c r="A15593" s="34">
        <v>60121709</v>
      </c>
      <c r="B15593" s="35" t="s">
        <v>9265</v>
      </c>
    </row>
    <row r="15594" spans="1:2" x14ac:dyDescent="0.35">
      <c r="A15594" s="34">
        <v>60121710</v>
      </c>
      <c r="B15594" s="35" t="s">
        <v>9356</v>
      </c>
    </row>
    <row r="15595" spans="1:2" x14ac:dyDescent="0.35">
      <c r="A15595" s="34">
        <v>60121711</v>
      </c>
      <c r="B15595" s="35" t="s">
        <v>6890</v>
      </c>
    </row>
    <row r="15596" spans="1:2" x14ac:dyDescent="0.35">
      <c r="A15596" s="34">
        <v>60121712</v>
      </c>
      <c r="B15596" s="35" t="s">
        <v>14818</v>
      </c>
    </row>
    <row r="15597" spans="1:2" x14ac:dyDescent="0.35">
      <c r="A15597" s="34">
        <v>60121713</v>
      </c>
      <c r="B15597" s="35" t="s">
        <v>10794</v>
      </c>
    </row>
    <row r="15598" spans="1:2" x14ac:dyDescent="0.35">
      <c r="A15598" s="34">
        <v>60121714</v>
      </c>
      <c r="B15598" s="35" t="s">
        <v>1808</v>
      </c>
    </row>
    <row r="15599" spans="1:2" x14ac:dyDescent="0.35">
      <c r="A15599" s="34">
        <v>60121715</v>
      </c>
      <c r="B15599" s="35" t="s">
        <v>12916</v>
      </c>
    </row>
    <row r="15600" spans="1:2" x14ac:dyDescent="0.35">
      <c r="A15600" s="34">
        <v>60121716</v>
      </c>
      <c r="B15600" s="35" t="s">
        <v>16285</v>
      </c>
    </row>
    <row r="15601" spans="1:2" x14ac:dyDescent="0.35">
      <c r="A15601" s="34">
        <v>60121717</v>
      </c>
      <c r="B15601" s="35" t="s">
        <v>7912</v>
      </c>
    </row>
    <row r="15602" spans="1:2" x14ac:dyDescent="0.35">
      <c r="A15602" s="34">
        <v>60121718</v>
      </c>
      <c r="B15602" s="35" t="s">
        <v>2904</v>
      </c>
    </row>
    <row r="15603" spans="1:2" x14ac:dyDescent="0.35">
      <c r="A15603" s="34">
        <v>60121801</v>
      </c>
      <c r="B15603" s="35" t="s">
        <v>12069</v>
      </c>
    </row>
    <row r="15604" spans="1:2" x14ac:dyDescent="0.35">
      <c r="A15604" s="34">
        <v>60121802</v>
      </c>
      <c r="B15604" s="35" t="s">
        <v>1634</v>
      </c>
    </row>
    <row r="15605" spans="1:2" x14ac:dyDescent="0.35">
      <c r="A15605" s="34">
        <v>60121803</v>
      </c>
      <c r="B15605" s="35" t="s">
        <v>16511</v>
      </c>
    </row>
    <row r="15606" spans="1:2" x14ac:dyDescent="0.35">
      <c r="A15606" s="34">
        <v>60121804</v>
      </c>
      <c r="B15606" s="35" t="s">
        <v>8299</v>
      </c>
    </row>
    <row r="15607" spans="1:2" x14ac:dyDescent="0.35">
      <c r="A15607" s="34">
        <v>60121805</v>
      </c>
      <c r="B15607" s="35" t="s">
        <v>9936</v>
      </c>
    </row>
    <row r="15608" spans="1:2" x14ac:dyDescent="0.35">
      <c r="A15608" s="34">
        <v>60121806</v>
      </c>
      <c r="B15608" s="35" t="s">
        <v>3674</v>
      </c>
    </row>
    <row r="15609" spans="1:2" x14ac:dyDescent="0.35">
      <c r="A15609" s="34">
        <v>60121807</v>
      </c>
      <c r="B15609" s="35" t="s">
        <v>12404</v>
      </c>
    </row>
    <row r="15610" spans="1:2" x14ac:dyDescent="0.35">
      <c r="A15610" s="34">
        <v>60121808</v>
      </c>
      <c r="B15610" s="35" t="s">
        <v>7871</v>
      </c>
    </row>
    <row r="15611" spans="1:2" x14ac:dyDescent="0.35">
      <c r="A15611" s="34">
        <v>60121809</v>
      </c>
      <c r="B15611" s="35" t="s">
        <v>8208</v>
      </c>
    </row>
    <row r="15612" spans="1:2" x14ac:dyDescent="0.35">
      <c r="A15612" s="34">
        <v>60121810</v>
      </c>
      <c r="B15612" s="35" t="s">
        <v>7750</v>
      </c>
    </row>
    <row r="15613" spans="1:2" x14ac:dyDescent="0.35">
      <c r="A15613" s="34">
        <v>60121811</v>
      </c>
      <c r="B15613" s="35" t="s">
        <v>18099</v>
      </c>
    </row>
    <row r="15614" spans="1:2" x14ac:dyDescent="0.35">
      <c r="A15614" s="34">
        <v>60121812</v>
      </c>
      <c r="B15614" s="35" t="s">
        <v>7279</v>
      </c>
    </row>
    <row r="15615" spans="1:2" x14ac:dyDescent="0.35">
      <c r="A15615" s="34">
        <v>60121813</v>
      </c>
      <c r="B15615" s="35" t="s">
        <v>6203</v>
      </c>
    </row>
    <row r="15616" spans="1:2" x14ac:dyDescent="0.35">
      <c r="A15616" s="34">
        <v>60121814</v>
      </c>
      <c r="B15616" s="35" t="s">
        <v>6357</v>
      </c>
    </row>
    <row r="15617" spans="1:2" x14ac:dyDescent="0.35">
      <c r="A15617" s="34">
        <v>60121901</v>
      </c>
      <c r="B15617" s="35" t="s">
        <v>3346</v>
      </c>
    </row>
    <row r="15618" spans="1:2" x14ac:dyDescent="0.35">
      <c r="A15618" s="34">
        <v>60121902</v>
      </c>
      <c r="B15618" s="35" t="s">
        <v>8932</v>
      </c>
    </row>
    <row r="15619" spans="1:2" x14ac:dyDescent="0.35">
      <c r="A15619" s="34">
        <v>60121903</v>
      </c>
      <c r="B15619" s="35" t="s">
        <v>17531</v>
      </c>
    </row>
    <row r="15620" spans="1:2" x14ac:dyDescent="0.35">
      <c r="A15620" s="34">
        <v>60121904</v>
      </c>
      <c r="B15620" s="35" t="s">
        <v>8291</v>
      </c>
    </row>
    <row r="15621" spans="1:2" x14ac:dyDescent="0.35">
      <c r="A15621" s="34">
        <v>60121905</v>
      </c>
      <c r="B15621" s="35" t="s">
        <v>17786</v>
      </c>
    </row>
    <row r="15622" spans="1:2" x14ac:dyDescent="0.35">
      <c r="A15622" s="34">
        <v>60121906</v>
      </c>
      <c r="B15622" s="35" t="s">
        <v>474</v>
      </c>
    </row>
    <row r="15623" spans="1:2" x14ac:dyDescent="0.35">
      <c r="A15623" s="34">
        <v>60121907</v>
      </c>
      <c r="B15623" s="35" t="s">
        <v>13720</v>
      </c>
    </row>
    <row r="15624" spans="1:2" x14ac:dyDescent="0.35">
      <c r="A15624" s="34">
        <v>60121908</v>
      </c>
      <c r="B15624" s="35" t="s">
        <v>14197</v>
      </c>
    </row>
    <row r="15625" spans="1:2" x14ac:dyDescent="0.35">
      <c r="A15625" s="34">
        <v>60121909</v>
      </c>
      <c r="B15625" s="35" t="s">
        <v>18251</v>
      </c>
    </row>
    <row r="15626" spans="1:2" x14ac:dyDescent="0.35">
      <c r="A15626" s="34">
        <v>60121910</v>
      </c>
      <c r="B15626" s="35" t="s">
        <v>841</v>
      </c>
    </row>
    <row r="15627" spans="1:2" x14ac:dyDescent="0.35">
      <c r="A15627" s="34">
        <v>60121911</v>
      </c>
      <c r="B15627" s="35" t="s">
        <v>3817</v>
      </c>
    </row>
    <row r="15628" spans="1:2" x14ac:dyDescent="0.35">
      <c r="A15628" s="34">
        <v>60121912</v>
      </c>
      <c r="B15628" s="35" t="s">
        <v>12706</v>
      </c>
    </row>
    <row r="15629" spans="1:2" x14ac:dyDescent="0.35">
      <c r="A15629" s="34">
        <v>60122002</v>
      </c>
      <c r="B15629" s="35" t="s">
        <v>10519</v>
      </c>
    </row>
    <row r="15630" spans="1:2" x14ac:dyDescent="0.35">
      <c r="A15630" s="34">
        <v>60122003</v>
      </c>
      <c r="B15630" s="35" t="s">
        <v>1662</v>
      </c>
    </row>
    <row r="15631" spans="1:2" x14ac:dyDescent="0.35">
      <c r="A15631" s="34">
        <v>60122004</v>
      </c>
      <c r="B15631" s="35" t="s">
        <v>18831</v>
      </c>
    </row>
    <row r="15632" spans="1:2" x14ac:dyDescent="0.35">
      <c r="A15632" s="34">
        <v>60122005</v>
      </c>
      <c r="B15632" s="35" t="s">
        <v>14558</v>
      </c>
    </row>
    <row r="15633" spans="1:2" x14ac:dyDescent="0.35">
      <c r="A15633" s="34">
        <v>60122006</v>
      </c>
      <c r="B15633" s="35" t="s">
        <v>14267</v>
      </c>
    </row>
    <row r="15634" spans="1:2" x14ac:dyDescent="0.35">
      <c r="A15634" s="34">
        <v>60122007</v>
      </c>
      <c r="B15634" s="35" t="s">
        <v>3471</v>
      </c>
    </row>
    <row r="15635" spans="1:2" x14ac:dyDescent="0.35">
      <c r="A15635" s="34">
        <v>60122008</v>
      </c>
      <c r="B15635" s="35" t="s">
        <v>680</v>
      </c>
    </row>
    <row r="15636" spans="1:2" x14ac:dyDescent="0.35">
      <c r="A15636" s="34">
        <v>60122009</v>
      </c>
      <c r="B15636" s="35" t="s">
        <v>3711</v>
      </c>
    </row>
    <row r="15637" spans="1:2" x14ac:dyDescent="0.35">
      <c r="A15637" s="34">
        <v>60122101</v>
      </c>
      <c r="B15637" s="35" t="s">
        <v>14964</v>
      </c>
    </row>
    <row r="15638" spans="1:2" x14ac:dyDescent="0.35">
      <c r="A15638" s="34">
        <v>60122102</v>
      </c>
      <c r="B15638" s="35" t="s">
        <v>2156</v>
      </c>
    </row>
    <row r="15639" spans="1:2" x14ac:dyDescent="0.35">
      <c r="A15639" s="34">
        <v>60122103</v>
      </c>
      <c r="B15639" s="35" t="s">
        <v>4929</v>
      </c>
    </row>
    <row r="15640" spans="1:2" x14ac:dyDescent="0.35">
      <c r="A15640" s="34">
        <v>60122201</v>
      </c>
      <c r="B15640" s="35" t="s">
        <v>17598</v>
      </c>
    </row>
    <row r="15641" spans="1:2" x14ac:dyDescent="0.35">
      <c r="A15641" s="34">
        <v>60122202</v>
      </c>
      <c r="B15641" s="35" t="s">
        <v>17692</v>
      </c>
    </row>
    <row r="15642" spans="1:2" x14ac:dyDescent="0.35">
      <c r="A15642" s="34">
        <v>60122203</v>
      </c>
      <c r="B15642" s="35" t="s">
        <v>1280</v>
      </c>
    </row>
    <row r="15643" spans="1:2" x14ac:dyDescent="0.35">
      <c r="A15643" s="34">
        <v>60122204</v>
      </c>
      <c r="B15643" s="35" t="s">
        <v>19582</v>
      </c>
    </row>
    <row r="15644" spans="1:2" x14ac:dyDescent="0.35">
      <c r="A15644" s="34">
        <v>60122301</v>
      </c>
      <c r="B15644" s="35" t="s">
        <v>17545</v>
      </c>
    </row>
    <row r="15645" spans="1:2" x14ac:dyDescent="0.35">
      <c r="A15645" s="34">
        <v>60122302</v>
      </c>
      <c r="B15645" s="35" t="s">
        <v>8960</v>
      </c>
    </row>
    <row r="15646" spans="1:2" x14ac:dyDescent="0.35">
      <c r="A15646" s="34">
        <v>60122401</v>
      </c>
      <c r="B15646" s="35" t="s">
        <v>1884</v>
      </c>
    </row>
    <row r="15647" spans="1:2" x14ac:dyDescent="0.35">
      <c r="A15647" s="34">
        <v>60122402</v>
      </c>
      <c r="B15647" s="35" t="s">
        <v>19229</v>
      </c>
    </row>
    <row r="15648" spans="1:2" x14ac:dyDescent="0.35">
      <c r="A15648" s="34">
        <v>60122501</v>
      </c>
      <c r="B15648" s="35" t="s">
        <v>5599</v>
      </c>
    </row>
    <row r="15649" spans="1:2" x14ac:dyDescent="0.35">
      <c r="A15649" s="34">
        <v>60122502</v>
      </c>
      <c r="B15649" s="35" t="s">
        <v>14504</v>
      </c>
    </row>
    <row r="15650" spans="1:2" x14ac:dyDescent="0.35">
      <c r="A15650" s="34">
        <v>60122503</v>
      </c>
      <c r="B15650" s="35" t="s">
        <v>6724</v>
      </c>
    </row>
    <row r="15651" spans="1:2" x14ac:dyDescent="0.35">
      <c r="A15651" s="34">
        <v>60122504</v>
      </c>
      <c r="B15651" s="35" t="s">
        <v>5736</v>
      </c>
    </row>
    <row r="15652" spans="1:2" x14ac:dyDescent="0.35">
      <c r="A15652" s="34">
        <v>60122505</v>
      </c>
      <c r="B15652" s="35" t="s">
        <v>19237</v>
      </c>
    </row>
    <row r="15653" spans="1:2" x14ac:dyDescent="0.35">
      <c r="A15653" s="34">
        <v>60122506</v>
      </c>
      <c r="B15653" s="35" t="s">
        <v>3370</v>
      </c>
    </row>
    <row r="15654" spans="1:2" x14ac:dyDescent="0.35">
      <c r="A15654" s="34">
        <v>60122507</v>
      </c>
      <c r="B15654" s="35" t="s">
        <v>9006</v>
      </c>
    </row>
    <row r="15655" spans="1:2" x14ac:dyDescent="0.35">
      <c r="A15655" s="34">
        <v>60122508</v>
      </c>
      <c r="B15655" s="35" t="s">
        <v>4312</v>
      </c>
    </row>
    <row r="15656" spans="1:2" x14ac:dyDescent="0.35">
      <c r="A15656" s="34">
        <v>60122509</v>
      </c>
      <c r="B15656" s="35" t="s">
        <v>6777</v>
      </c>
    </row>
    <row r="15657" spans="1:2" x14ac:dyDescent="0.35">
      <c r="A15657" s="34">
        <v>60122601</v>
      </c>
      <c r="B15657" s="35" t="s">
        <v>8347</v>
      </c>
    </row>
    <row r="15658" spans="1:2" x14ac:dyDescent="0.35">
      <c r="A15658" s="34">
        <v>60122602</v>
      </c>
      <c r="B15658" s="35" t="s">
        <v>3952</v>
      </c>
    </row>
    <row r="15659" spans="1:2" x14ac:dyDescent="0.35">
      <c r="A15659" s="34">
        <v>60122603</v>
      </c>
      <c r="B15659" s="35" t="s">
        <v>11503</v>
      </c>
    </row>
    <row r="15660" spans="1:2" x14ac:dyDescent="0.35">
      <c r="A15660" s="34">
        <v>60122604</v>
      </c>
      <c r="B15660" s="35" t="s">
        <v>6657</v>
      </c>
    </row>
    <row r="15661" spans="1:2" x14ac:dyDescent="0.35">
      <c r="A15661" s="34">
        <v>60122701</v>
      </c>
      <c r="B15661" s="35" t="s">
        <v>2832</v>
      </c>
    </row>
    <row r="15662" spans="1:2" x14ac:dyDescent="0.35">
      <c r="A15662" s="34">
        <v>60122702</v>
      </c>
      <c r="B15662" s="35" t="s">
        <v>7664</v>
      </c>
    </row>
    <row r="15663" spans="1:2" x14ac:dyDescent="0.35">
      <c r="A15663" s="34">
        <v>60122703</v>
      </c>
      <c r="B15663" s="35" t="s">
        <v>8507</v>
      </c>
    </row>
    <row r="15664" spans="1:2" x14ac:dyDescent="0.35">
      <c r="A15664" s="34">
        <v>60122704</v>
      </c>
      <c r="B15664" s="35" t="s">
        <v>9521</v>
      </c>
    </row>
    <row r="15665" spans="1:2" x14ac:dyDescent="0.35">
      <c r="A15665" s="34">
        <v>60122801</v>
      </c>
      <c r="B15665" s="35" t="s">
        <v>9554</v>
      </c>
    </row>
    <row r="15666" spans="1:2" x14ac:dyDescent="0.35">
      <c r="A15666" s="34">
        <v>60122901</v>
      </c>
      <c r="B15666" s="35" t="s">
        <v>13794</v>
      </c>
    </row>
    <row r="15667" spans="1:2" x14ac:dyDescent="0.35">
      <c r="A15667" s="34">
        <v>60122902</v>
      </c>
      <c r="B15667" s="35" t="s">
        <v>16672</v>
      </c>
    </row>
    <row r="15668" spans="1:2" x14ac:dyDescent="0.35">
      <c r="A15668" s="34">
        <v>60122903</v>
      </c>
      <c r="B15668" s="35" t="s">
        <v>17433</v>
      </c>
    </row>
    <row r="15669" spans="1:2" x14ac:dyDescent="0.35">
      <c r="A15669" s="34">
        <v>60122904</v>
      </c>
      <c r="B15669" s="35" t="s">
        <v>708</v>
      </c>
    </row>
    <row r="15670" spans="1:2" x14ac:dyDescent="0.35">
      <c r="A15670" s="34">
        <v>60122905</v>
      </c>
      <c r="B15670" s="35" t="s">
        <v>14228</v>
      </c>
    </row>
    <row r="15671" spans="1:2" x14ac:dyDescent="0.35">
      <c r="A15671" s="34">
        <v>60122906</v>
      </c>
      <c r="B15671" s="35" t="s">
        <v>13865</v>
      </c>
    </row>
    <row r="15672" spans="1:2" x14ac:dyDescent="0.35">
      <c r="A15672" s="34">
        <v>60122907</v>
      </c>
      <c r="B15672" s="35" t="s">
        <v>15579</v>
      </c>
    </row>
    <row r="15673" spans="1:2" x14ac:dyDescent="0.35">
      <c r="A15673" s="34">
        <v>60122908</v>
      </c>
      <c r="B15673" s="35" t="s">
        <v>3173</v>
      </c>
    </row>
    <row r="15674" spans="1:2" x14ac:dyDescent="0.35">
      <c r="A15674" s="34">
        <v>60122909</v>
      </c>
      <c r="B15674" s="35" t="s">
        <v>16690</v>
      </c>
    </row>
    <row r="15675" spans="1:2" x14ac:dyDescent="0.35">
      <c r="A15675" s="34">
        <v>60123001</v>
      </c>
      <c r="B15675" s="35" t="s">
        <v>13210</v>
      </c>
    </row>
    <row r="15676" spans="1:2" x14ac:dyDescent="0.35">
      <c r="A15676" s="34">
        <v>60123002</v>
      </c>
      <c r="B15676" s="35" t="s">
        <v>6629</v>
      </c>
    </row>
    <row r="15677" spans="1:2" x14ac:dyDescent="0.35">
      <c r="A15677" s="34">
        <v>60123101</v>
      </c>
      <c r="B15677" s="35" t="s">
        <v>3772</v>
      </c>
    </row>
    <row r="15678" spans="1:2" x14ac:dyDescent="0.35">
      <c r="A15678" s="34">
        <v>60123102</v>
      </c>
      <c r="B15678" s="35" t="s">
        <v>9646</v>
      </c>
    </row>
    <row r="15679" spans="1:2" x14ac:dyDescent="0.35">
      <c r="A15679" s="34">
        <v>60123103</v>
      </c>
      <c r="B15679" s="35" t="s">
        <v>16386</v>
      </c>
    </row>
    <row r="15680" spans="1:2" x14ac:dyDescent="0.35">
      <c r="A15680" s="34">
        <v>60123201</v>
      </c>
      <c r="B15680" s="35" t="s">
        <v>18973</v>
      </c>
    </row>
    <row r="15681" spans="1:2" x14ac:dyDescent="0.35">
      <c r="A15681" s="34">
        <v>60123202</v>
      </c>
      <c r="B15681" s="35" t="s">
        <v>2576</v>
      </c>
    </row>
    <row r="15682" spans="1:2" x14ac:dyDescent="0.35">
      <c r="A15682" s="34">
        <v>60123203</v>
      </c>
      <c r="B15682" s="35" t="s">
        <v>11230</v>
      </c>
    </row>
    <row r="15683" spans="1:2" x14ac:dyDescent="0.35">
      <c r="A15683" s="34">
        <v>60123204</v>
      </c>
      <c r="B15683" s="35" t="s">
        <v>14406</v>
      </c>
    </row>
    <row r="15684" spans="1:2" x14ac:dyDescent="0.35">
      <c r="A15684" s="34">
        <v>60123301</v>
      </c>
      <c r="B15684" s="35" t="s">
        <v>16190</v>
      </c>
    </row>
    <row r="15685" spans="1:2" x14ac:dyDescent="0.35">
      <c r="A15685" s="34">
        <v>60123302</v>
      </c>
      <c r="B15685" s="35" t="s">
        <v>6486</v>
      </c>
    </row>
    <row r="15686" spans="1:2" x14ac:dyDescent="0.35">
      <c r="A15686" s="34">
        <v>60123303</v>
      </c>
      <c r="B15686" s="35" t="s">
        <v>5873</v>
      </c>
    </row>
    <row r="15687" spans="1:2" x14ac:dyDescent="0.35">
      <c r="A15687" s="34">
        <v>60123401</v>
      </c>
      <c r="B15687" s="35" t="s">
        <v>13508</v>
      </c>
    </row>
    <row r="15688" spans="1:2" x14ac:dyDescent="0.35">
      <c r="A15688" s="34">
        <v>60123402</v>
      </c>
      <c r="B15688" s="35" t="s">
        <v>5761</v>
      </c>
    </row>
    <row r="15689" spans="1:2" x14ac:dyDescent="0.35">
      <c r="A15689" s="34">
        <v>60123403</v>
      </c>
      <c r="B15689" s="35" t="s">
        <v>12797</v>
      </c>
    </row>
    <row r="15690" spans="1:2" x14ac:dyDescent="0.35">
      <c r="A15690" s="34">
        <v>60123501</v>
      </c>
      <c r="B15690" s="35" t="s">
        <v>424</v>
      </c>
    </row>
    <row r="15691" spans="1:2" x14ac:dyDescent="0.35">
      <c r="A15691" s="34">
        <v>60123502</v>
      </c>
      <c r="B15691" s="35" t="s">
        <v>10242</v>
      </c>
    </row>
    <row r="15692" spans="1:2" x14ac:dyDescent="0.35">
      <c r="A15692" s="34">
        <v>60123601</v>
      </c>
      <c r="B15692" s="35" t="s">
        <v>13461</v>
      </c>
    </row>
    <row r="15693" spans="1:2" x14ac:dyDescent="0.35">
      <c r="A15693" s="34">
        <v>60123602</v>
      </c>
      <c r="B15693" s="35" t="s">
        <v>3308</v>
      </c>
    </row>
    <row r="15694" spans="1:2" x14ac:dyDescent="0.35">
      <c r="A15694" s="34">
        <v>60123603</v>
      </c>
      <c r="B15694" s="35" t="s">
        <v>3018</v>
      </c>
    </row>
    <row r="15695" spans="1:2" x14ac:dyDescent="0.35">
      <c r="A15695" s="34">
        <v>60123604</v>
      </c>
      <c r="B15695" s="35" t="s">
        <v>18409</v>
      </c>
    </row>
    <row r="15696" spans="1:2" x14ac:dyDescent="0.35">
      <c r="A15696" s="34">
        <v>60123605</v>
      </c>
      <c r="B15696" s="35" t="s">
        <v>6018</v>
      </c>
    </row>
    <row r="15697" spans="1:2" x14ac:dyDescent="0.35">
      <c r="A15697" s="34">
        <v>60123606</v>
      </c>
      <c r="B15697" s="35" t="s">
        <v>2002</v>
      </c>
    </row>
    <row r="15698" spans="1:2" x14ac:dyDescent="0.35">
      <c r="A15698" s="34">
        <v>60123701</v>
      </c>
      <c r="B15698" s="35" t="s">
        <v>6392</v>
      </c>
    </row>
    <row r="15699" spans="1:2" x14ac:dyDescent="0.35">
      <c r="A15699" s="34">
        <v>60123702</v>
      </c>
      <c r="B15699" s="35" t="s">
        <v>2718</v>
      </c>
    </row>
    <row r="15700" spans="1:2" x14ac:dyDescent="0.35">
      <c r="A15700" s="34">
        <v>60123703</v>
      </c>
      <c r="B15700" s="35" t="s">
        <v>7622</v>
      </c>
    </row>
    <row r="15701" spans="1:2" x14ac:dyDescent="0.35">
      <c r="A15701" s="34">
        <v>60123801</v>
      </c>
      <c r="B15701" s="35" t="s">
        <v>13920</v>
      </c>
    </row>
    <row r="15702" spans="1:2" x14ac:dyDescent="0.35">
      <c r="A15702" s="34">
        <v>60123802</v>
      </c>
      <c r="B15702" s="35" t="s">
        <v>4928</v>
      </c>
    </row>
    <row r="15703" spans="1:2" x14ac:dyDescent="0.35">
      <c r="A15703" s="34">
        <v>60123901</v>
      </c>
      <c r="B15703" s="35" t="s">
        <v>3301</v>
      </c>
    </row>
    <row r="15704" spans="1:2" x14ac:dyDescent="0.35">
      <c r="A15704" s="34">
        <v>60124001</v>
      </c>
      <c r="B15704" s="35" t="s">
        <v>269</v>
      </c>
    </row>
    <row r="15705" spans="1:2" x14ac:dyDescent="0.35">
      <c r="A15705" s="34">
        <v>60124002</v>
      </c>
      <c r="B15705" s="35" t="s">
        <v>13252</v>
      </c>
    </row>
    <row r="15706" spans="1:2" x14ac:dyDescent="0.35">
      <c r="A15706" s="34">
        <v>60124101</v>
      </c>
      <c r="B15706" s="35" t="s">
        <v>12375</v>
      </c>
    </row>
    <row r="15707" spans="1:2" x14ac:dyDescent="0.35">
      <c r="A15707" s="34">
        <v>60124102</v>
      </c>
      <c r="B15707" s="35" t="s">
        <v>8961</v>
      </c>
    </row>
    <row r="15708" spans="1:2" x14ac:dyDescent="0.35">
      <c r="A15708" s="34">
        <v>60124201</v>
      </c>
      <c r="B15708" s="35" t="s">
        <v>12984</v>
      </c>
    </row>
    <row r="15709" spans="1:2" x14ac:dyDescent="0.35">
      <c r="A15709" s="34">
        <v>60124301</v>
      </c>
      <c r="B15709" s="35" t="s">
        <v>13548</v>
      </c>
    </row>
    <row r="15710" spans="1:2" x14ac:dyDescent="0.35">
      <c r="A15710" s="34">
        <v>60124302</v>
      </c>
      <c r="B15710" s="35" t="s">
        <v>14445</v>
      </c>
    </row>
    <row r="15711" spans="1:2" x14ac:dyDescent="0.35">
      <c r="A15711" s="34">
        <v>60124303</v>
      </c>
      <c r="B15711" s="35" t="s">
        <v>18074</v>
      </c>
    </row>
    <row r="15712" spans="1:2" x14ac:dyDescent="0.35">
      <c r="A15712" s="34">
        <v>60124304</v>
      </c>
      <c r="B15712" s="35" t="s">
        <v>12904</v>
      </c>
    </row>
    <row r="15713" spans="1:2" x14ac:dyDescent="0.35">
      <c r="A15713" s="34">
        <v>60124305</v>
      </c>
      <c r="B15713" s="35" t="s">
        <v>11361</v>
      </c>
    </row>
    <row r="15714" spans="1:2" x14ac:dyDescent="0.35">
      <c r="A15714" s="34">
        <v>60124306</v>
      </c>
      <c r="B15714" s="35" t="s">
        <v>10438</v>
      </c>
    </row>
    <row r="15715" spans="1:2" x14ac:dyDescent="0.35">
      <c r="A15715" s="34">
        <v>60124307</v>
      </c>
      <c r="B15715" s="35" t="s">
        <v>19552</v>
      </c>
    </row>
    <row r="15716" spans="1:2" x14ac:dyDescent="0.35">
      <c r="A15716" s="34">
        <v>60124308</v>
      </c>
      <c r="B15716" s="35" t="s">
        <v>2852</v>
      </c>
    </row>
    <row r="15717" spans="1:2" x14ac:dyDescent="0.35">
      <c r="A15717" s="34">
        <v>60124309</v>
      </c>
      <c r="B15717" s="35" t="s">
        <v>12195</v>
      </c>
    </row>
    <row r="15718" spans="1:2" x14ac:dyDescent="0.35">
      <c r="A15718" s="34">
        <v>60124310</v>
      </c>
      <c r="B15718" s="35" t="s">
        <v>10116</v>
      </c>
    </row>
    <row r="15719" spans="1:2" x14ac:dyDescent="0.35">
      <c r="A15719" s="34">
        <v>60124311</v>
      </c>
      <c r="B15719" s="35" t="s">
        <v>745</v>
      </c>
    </row>
    <row r="15720" spans="1:2" x14ac:dyDescent="0.35">
      <c r="A15720" s="34">
        <v>60124312</v>
      </c>
      <c r="B15720" s="35" t="s">
        <v>6277</v>
      </c>
    </row>
    <row r="15721" spans="1:2" x14ac:dyDescent="0.35">
      <c r="A15721" s="34">
        <v>60124313</v>
      </c>
      <c r="B15721" s="35" t="s">
        <v>4818</v>
      </c>
    </row>
    <row r="15722" spans="1:2" x14ac:dyDescent="0.35">
      <c r="A15722" s="34">
        <v>60124314</v>
      </c>
      <c r="B15722" s="35" t="s">
        <v>10418</v>
      </c>
    </row>
    <row r="15723" spans="1:2" x14ac:dyDescent="0.35">
      <c r="A15723" s="34">
        <v>60124315</v>
      </c>
      <c r="B15723" s="35" t="s">
        <v>19512</v>
      </c>
    </row>
    <row r="15724" spans="1:2" x14ac:dyDescent="0.35">
      <c r="A15724" s="34">
        <v>60124316</v>
      </c>
      <c r="B15724" s="35" t="s">
        <v>11386</v>
      </c>
    </row>
    <row r="15725" spans="1:2" x14ac:dyDescent="0.35">
      <c r="A15725" s="34">
        <v>60124317</v>
      </c>
      <c r="B15725" s="35" t="s">
        <v>19645</v>
      </c>
    </row>
    <row r="15726" spans="1:2" x14ac:dyDescent="0.35">
      <c r="A15726" s="34">
        <v>60124318</v>
      </c>
      <c r="B15726" s="35" t="s">
        <v>13250</v>
      </c>
    </row>
    <row r="15727" spans="1:2" x14ac:dyDescent="0.35">
      <c r="A15727" s="34">
        <v>60124319</v>
      </c>
      <c r="B15727" s="35" t="s">
        <v>9197</v>
      </c>
    </row>
    <row r="15728" spans="1:2" x14ac:dyDescent="0.35">
      <c r="A15728" s="34">
        <v>60124320</v>
      </c>
      <c r="B15728" s="35" t="s">
        <v>9029</v>
      </c>
    </row>
    <row r="15729" spans="1:2" x14ac:dyDescent="0.35">
      <c r="A15729" s="34">
        <v>60124321</v>
      </c>
      <c r="B15729" s="35" t="s">
        <v>16572</v>
      </c>
    </row>
    <row r="15730" spans="1:2" x14ac:dyDescent="0.35">
      <c r="A15730" s="34">
        <v>60124322</v>
      </c>
      <c r="B15730" s="35" t="s">
        <v>11266</v>
      </c>
    </row>
    <row r="15731" spans="1:2" x14ac:dyDescent="0.35">
      <c r="A15731" s="34">
        <v>60124323</v>
      </c>
      <c r="B15731" s="35" t="s">
        <v>13290</v>
      </c>
    </row>
    <row r="15732" spans="1:2" x14ac:dyDescent="0.35">
      <c r="A15732" s="34">
        <v>60124324</v>
      </c>
      <c r="B15732" s="35" t="s">
        <v>17275</v>
      </c>
    </row>
    <row r="15733" spans="1:2" x14ac:dyDescent="0.35">
      <c r="A15733" s="34">
        <v>60124401</v>
      </c>
      <c r="B15733" s="35" t="s">
        <v>4983</v>
      </c>
    </row>
    <row r="15734" spans="1:2" x14ac:dyDescent="0.35">
      <c r="A15734" s="34">
        <v>60124402</v>
      </c>
      <c r="B15734" s="35" t="s">
        <v>933</v>
      </c>
    </row>
    <row r="15735" spans="1:2" x14ac:dyDescent="0.35">
      <c r="A15735" s="34">
        <v>60124403</v>
      </c>
      <c r="B15735" s="35" t="s">
        <v>15033</v>
      </c>
    </row>
    <row r="15736" spans="1:2" x14ac:dyDescent="0.35">
      <c r="A15736" s="34">
        <v>60124404</v>
      </c>
      <c r="B15736" s="35" t="s">
        <v>3417</v>
      </c>
    </row>
    <row r="15737" spans="1:2" x14ac:dyDescent="0.35">
      <c r="A15737" s="34">
        <v>60124405</v>
      </c>
      <c r="B15737" s="35" t="s">
        <v>7039</v>
      </c>
    </row>
    <row r="15738" spans="1:2" x14ac:dyDescent="0.35">
      <c r="A15738" s="34">
        <v>60124406</v>
      </c>
      <c r="B15738" s="35" t="s">
        <v>19181</v>
      </c>
    </row>
    <row r="15739" spans="1:2" x14ac:dyDescent="0.35">
      <c r="A15739" s="34">
        <v>60124407</v>
      </c>
      <c r="B15739" s="35" t="s">
        <v>9083</v>
      </c>
    </row>
    <row r="15740" spans="1:2" x14ac:dyDescent="0.35">
      <c r="A15740" s="34">
        <v>60124408</v>
      </c>
      <c r="B15740" s="35" t="s">
        <v>13085</v>
      </c>
    </row>
    <row r="15741" spans="1:2" x14ac:dyDescent="0.35">
      <c r="A15741" s="34">
        <v>60124409</v>
      </c>
      <c r="B15741" s="35" t="s">
        <v>7457</v>
      </c>
    </row>
    <row r="15742" spans="1:2" x14ac:dyDescent="0.35">
      <c r="A15742" s="34">
        <v>60124410</v>
      </c>
      <c r="B15742" s="35" t="s">
        <v>7351</v>
      </c>
    </row>
    <row r="15743" spans="1:2" x14ac:dyDescent="0.35">
      <c r="A15743" s="34">
        <v>60124411</v>
      </c>
      <c r="B15743" s="35" t="s">
        <v>12088</v>
      </c>
    </row>
    <row r="15744" spans="1:2" x14ac:dyDescent="0.35">
      <c r="A15744" s="34">
        <v>60124412</v>
      </c>
      <c r="B15744" s="35" t="s">
        <v>9078</v>
      </c>
    </row>
    <row r="15745" spans="1:2" x14ac:dyDescent="0.35">
      <c r="A15745" s="34">
        <v>60124501</v>
      </c>
      <c r="B15745" s="35" t="s">
        <v>19430</v>
      </c>
    </row>
    <row r="15746" spans="1:2" x14ac:dyDescent="0.35">
      <c r="A15746" s="34">
        <v>60124502</v>
      </c>
      <c r="B15746" s="35" t="s">
        <v>585</v>
      </c>
    </row>
    <row r="15747" spans="1:2" x14ac:dyDescent="0.35">
      <c r="A15747" s="34">
        <v>60124503</v>
      </c>
      <c r="B15747" s="35" t="s">
        <v>15899</v>
      </c>
    </row>
    <row r="15748" spans="1:2" x14ac:dyDescent="0.35">
      <c r="A15748" s="34">
        <v>60124504</v>
      </c>
      <c r="B15748" s="35" t="s">
        <v>4424</v>
      </c>
    </row>
    <row r="15749" spans="1:2" x14ac:dyDescent="0.35">
      <c r="A15749" s="34">
        <v>60124505</v>
      </c>
      <c r="B15749" s="35" t="s">
        <v>1773</v>
      </c>
    </row>
    <row r="15750" spans="1:2" x14ac:dyDescent="0.35">
      <c r="A15750" s="34">
        <v>60124506</v>
      </c>
      <c r="B15750" s="35" t="s">
        <v>17497</v>
      </c>
    </row>
    <row r="15751" spans="1:2" x14ac:dyDescent="0.35">
      <c r="A15751" s="34">
        <v>60124507</v>
      </c>
      <c r="B15751" s="35" t="s">
        <v>18250</v>
      </c>
    </row>
    <row r="15752" spans="1:2" x14ac:dyDescent="0.35">
      <c r="A15752" s="34">
        <v>60124508</v>
      </c>
      <c r="B15752" s="35" t="s">
        <v>789</v>
      </c>
    </row>
    <row r="15753" spans="1:2" x14ac:dyDescent="0.35">
      <c r="A15753" s="34">
        <v>60124509</v>
      </c>
      <c r="B15753" s="35" t="s">
        <v>12114</v>
      </c>
    </row>
    <row r="15754" spans="1:2" x14ac:dyDescent="0.35">
      <c r="A15754" s="34">
        <v>60124510</v>
      </c>
      <c r="B15754" s="35" t="s">
        <v>9522</v>
      </c>
    </row>
    <row r="15755" spans="1:2" x14ac:dyDescent="0.35">
      <c r="A15755" s="34">
        <v>60124511</v>
      </c>
      <c r="B15755" s="35" t="s">
        <v>17888</v>
      </c>
    </row>
    <row r="15756" spans="1:2" x14ac:dyDescent="0.35">
      <c r="A15756" s="34">
        <v>60124512</v>
      </c>
      <c r="B15756" s="35" t="s">
        <v>5494</v>
      </c>
    </row>
    <row r="15757" spans="1:2" x14ac:dyDescent="0.35">
      <c r="A15757" s="34">
        <v>60124513</v>
      </c>
      <c r="B15757" s="35" t="s">
        <v>5606</v>
      </c>
    </row>
    <row r="15758" spans="1:2" x14ac:dyDescent="0.35">
      <c r="A15758" s="34">
        <v>60124514</v>
      </c>
      <c r="B15758" s="35" t="s">
        <v>2768</v>
      </c>
    </row>
    <row r="15759" spans="1:2" x14ac:dyDescent="0.35">
      <c r="A15759" s="34">
        <v>60124515</v>
      </c>
      <c r="B15759" s="35" t="s">
        <v>5954</v>
      </c>
    </row>
    <row r="15760" spans="1:2" x14ac:dyDescent="0.35">
      <c r="A15760" s="34">
        <v>60131001</v>
      </c>
      <c r="B15760" s="35" t="s">
        <v>108</v>
      </c>
    </row>
    <row r="15761" spans="1:2" x14ac:dyDescent="0.35">
      <c r="A15761" s="34">
        <v>60131002</v>
      </c>
      <c r="B15761" s="35" t="s">
        <v>19128</v>
      </c>
    </row>
    <row r="15762" spans="1:2" x14ac:dyDescent="0.35">
      <c r="A15762" s="34">
        <v>60131003</v>
      </c>
      <c r="B15762" s="35" t="s">
        <v>17469</v>
      </c>
    </row>
    <row r="15763" spans="1:2" x14ac:dyDescent="0.35">
      <c r="A15763" s="34">
        <v>60131004</v>
      </c>
      <c r="B15763" s="35" t="s">
        <v>13256</v>
      </c>
    </row>
    <row r="15764" spans="1:2" x14ac:dyDescent="0.35">
      <c r="A15764" s="34">
        <v>60131101</v>
      </c>
      <c r="B15764" s="35" t="s">
        <v>5359</v>
      </c>
    </row>
    <row r="15765" spans="1:2" x14ac:dyDescent="0.35">
      <c r="A15765" s="34">
        <v>60131102</v>
      </c>
      <c r="B15765" s="35" t="s">
        <v>11539</v>
      </c>
    </row>
    <row r="15766" spans="1:2" x14ac:dyDescent="0.35">
      <c r="A15766" s="34">
        <v>60131103</v>
      </c>
      <c r="B15766" s="35" t="s">
        <v>4856</v>
      </c>
    </row>
    <row r="15767" spans="1:2" x14ac:dyDescent="0.35">
      <c r="A15767" s="34">
        <v>60131104</v>
      </c>
      <c r="B15767" s="35" t="s">
        <v>15152</v>
      </c>
    </row>
    <row r="15768" spans="1:2" x14ac:dyDescent="0.35">
      <c r="A15768" s="34">
        <v>60131105</v>
      </c>
      <c r="B15768" s="35" t="s">
        <v>18759</v>
      </c>
    </row>
    <row r="15769" spans="1:2" x14ac:dyDescent="0.35">
      <c r="A15769" s="34">
        <v>60131106</v>
      </c>
      <c r="B15769" s="35" t="s">
        <v>11524</v>
      </c>
    </row>
    <row r="15770" spans="1:2" x14ac:dyDescent="0.35">
      <c r="A15770" s="34">
        <v>60131107</v>
      </c>
      <c r="B15770" s="35" t="s">
        <v>15216</v>
      </c>
    </row>
    <row r="15771" spans="1:2" x14ac:dyDescent="0.35">
      <c r="A15771" s="34">
        <v>60131108</v>
      </c>
      <c r="B15771" s="35" t="s">
        <v>12353</v>
      </c>
    </row>
    <row r="15772" spans="1:2" x14ac:dyDescent="0.35">
      <c r="A15772" s="34">
        <v>60131109</v>
      </c>
      <c r="B15772" s="35" t="s">
        <v>11870</v>
      </c>
    </row>
    <row r="15773" spans="1:2" x14ac:dyDescent="0.35">
      <c r="A15773" s="34">
        <v>60131110</v>
      </c>
      <c r="B15773" s="35" t="s">
        <v>13555</v>
      </c>
    </row>
    <row r="15774" spans="1:2" x14ac:dyDescent="0.35">
      <c r="A15774" s="34">
        <v>60131111</v>
      </c>
      <c r="B15774" s="35" t="s">
        <v>18142</v>
      </c>
    </row>
    <row r="15775" spans="1:2" x14ac:dyDescent="0.35">
      <c r="A15775" s="34">
        <v>60131112</v>
      </c>
      <c r="B15775" s="35" t="s">
        <v>15764</v>
      </c>
    </row>
    <row r="15776" spans="1:2" x14ac:dyDescent="0.35">
      <c r="A15776" s="34">
        <v>60131201</v>
      </c>
      <c r="B15776" s="35" t="s">
        <v>9025</v>
      </c>
    </row>
    <row r="15777" spans="1:2" x14ac:dyDescent="0.35">
      <c r="A15777" s="34">
        <v>60131202</v>
      </c>
      <c r="B15777" s="35" t="s">
        <v>18083</v>
      </c>
    </row>
    <row r="15778" spans="1:2" x14ac:dyDescent="0.35">
      <c r="A15778" s="34">
        <v>60131203</v>
      </c>
      <c r="B15778" s="35" t="s">
        <v>3191</v>
      </c>
    </row>
    <row r="15779" spans="1:2" x14ac:dyDescent="0.35">
      <c r="A15779" s="34">
        <v>60131204</v>
      </c>
      <c r="B15779" s="35" t="s">
        <v>8407</v>
      </c>
    </row>
    <row r="15780" spans="1:2" x14ac:dyDescent="0.35">
      <c r="A15780" s="34">
        <v>60131205</v>
      </c>
      <c r="B15780" s="35" t="s">
        <v>12306</v>
      </c>
    </row>
    <row r="15781" spans="1:2" x14ac:dyDescent="0.35">
      <c r="A15781" s="34">
        <v>60131206</v>
      </c>
      <c r="B15781" s="35" t="s">
        <v>10251</v>
      </c>
    </row>
    <row r="15782" spans="1:2" x14ac:dyDescent="0.35">
      <c r="A15782" s="34">
        <v>60131207</v>
      </c>
      <c r="B15782" s="35" t="s">
        <v>2190</v>
      </c>
    </row>
    <row r="15783" spans="1:2" x14ac:dyDescent="0.35">
      <c r="A15783" s="34">
        <v>60131208</v>
      </c>
      <c r="B15783" s="35" t="s">
        <v>4271</v>
      </c>
    </row>
    <row r="15784" spans="1:2" x14ac:dyDescent="0.35">
      <c r="A15784" s="34">
        <v>60131209</v>
      </c>
      <c r="B15784" s="35" t="s">
        <v>1113</v>
      </c>
    </row>
    <row r="15785" spans="1:2" x14ac:dyDescent="0.35">
      <c r="A15785" s="34">
        <v>60131210</v>
      </c>
      <c r="B15785" s="35" t="s">
        <v>15631</v>
      </c>
    </row>
    <row r="15786" spans="1:2" x14ac:dyDescent="0.35">
      <c r="A15786" s="34">
        <v>60131301</v>
      </c>
      <c r="B15786" s="35" t="s">
        <v>3438</v>
      </c>
    </row>
    <row r="15787" spans="1:2" x14ac:dyDescent="0.35">
      <c r="A15787" s="34">
        <v>60131302</v>
      </c>
      <c r="B15787" s="35" t="s">
        <v>7364</v>
      </c>
    </row>
    <row r="15788" spans="1:2" x14ac:dyDescent="0.35">
      <c r="A15788" s="34">
        <v>60131303</v>
      </c>
      <c r="B15788" s="35" t="s">
        <v>11391</v>
      </c>
    </row>
    <row r="15789" spans="1:2" x14ac:dyDescent="0.35">
      <c r="A15789" s="34">
        <v>60131304</v>
      </c>
      <c r="B15789" s="35" t="s">
        <v>10227</v>
      </c>
    </row>
    <row r="15790" spans="1:2" x14ac:dyDescent="0.35">
      <c r="A15790" s="34">
        <v>60131305</v>
      </c>
      <c r="B15790" s="35" t="s">
        <v>3964</v>
      </c>
    </row>
    <row r="15791" spans="1:2" x14ac:dyDescent="0.35">
      <c r="A15791" s="34">
        <v>60131306</v>
      </c>
      <c r="B15791" s="35" t="s">
        <v>7223</v>
      </c>
    </row>
    <row r="15792" spans="1:2" x14ac:dyDescent="0.35">
      <c r="A15792" s="34">
        <v>60131307</v>
      </c>
      <c r="B15792" s="35" t="s">
        <v>16682</v>
      </c>
    </row>
    <row r="15793" spans="1:2" x14ac:dyDescent="0.35">
      <c r="A15793" s="34">
        <v>60131308</v>
      </c>
      <c r="B15793" s="35" t="s">
        <v>7661</v>
      </c>
    </row>
    <row r="15794" spans="1:2" x14ac:dyDescent="0.35">
      <c r="A15794" s="34">
        <v>60131309</v>
      </c>
      <c r="B15794" s="35" t="s">
        <v>10009</v>
      </c>
    </row>
    <row r="15795" spans="1:2" x14ac:dyDescent="0.35">
      <c r="A15795" s="34">
        <v>60131401</v>
      </c>
      <c r="B15795" s="35" t="s">
        <v>14464</v>
      </c>
    </row>
    <row r="15796" spans="1:2" x14ac:dyDescent="0.35">
      <c r="A15796" s="34">
        <v>60131402</v>
      </c>
      <c r="B15796" s="35" t="s">
        <v>9498</v>
      </c>
    </row>
    <row r="15797" spans="1:2" x14ac:dyDescent="0.35">
      <c r="A15797" s="34">
        <v>60131403</v>
      </c>
      <c r="B15797" s="35" t="s">
        <v>18473</v>
      </c>
    </row>
    <row r="15798" spans="1:2" x14ac:dyDescent="0.35">
      <c r="A15798" s="34">
        <v>60131404</v>
      </c>
      <c r="B15798" s="35" t="s">
        <v>8503</v>
      </c>
    </row>
    <row r="15799" spans="1:2" x14ac:dyDescent="0.35">
      <c r="A15799" s="34">
        <v>60131405</v>
      </c>
      <c r="B15799" s="35" t="s">
        <v>3515</v>
      </c>
    </row>
    <row r="15800" spans="1:2" x14ac:dyDescent="0.35">
      <c r="A15800" s="34">
        <v>60131406</v>
      </c>
      <c r="B15800" s="35" t="s">
        <v>6234</v>
      </c>
    </row>
    <row r="15801" spans="1:2" x14ac:dyDescent="0.35">
      <c r="A15801" s="34">
        <v>60131407</v>
      </c>
      <c r="B15801" s="35" t="s">
        <v>4891</v>
      </c>
    </row>
    <row r="15802" spans="1:2" x14ac:dyDescent="0.35">
      <c r="A15802" s="34">
        <v>60131501</v>
      </c>
      <c r="B15802" s="35" t="s">
        <v>7376</v>
      </c>
    </row>
    <row r="15803" spans="1:2" x14ac:dyDescent="0.35">
      <c r="A15803" s="34">
        <v>60131502</v>
      </c>
      <c r="B15803" s="35" t="s">
        <v>243</v>
      </c>
    </row>
    <row r="15804" spans="1:2" x14ac:dyDescent="0.35">
      <c r="A15804" s="34">
        <v>60131503</v>
      </c>
      <c r="B15804" s="35" t="s">
        <v>19221</v>
      </c>
    </row>
    <row r="15805" spans="1:2" x14ac:dyDescent="0.35">
      <c r="A15805" s="34">
        <v>60131504</v>
      </c>
      <c r="B15805" s="35" t="s">
        <v>13677</v>
      </c>
    </row>
    <row r="15806" spans="1:2" x14ac:dyDescent="0.35">
      <c r="A15806" s="34">
        <v>60131505</v>
      </c>
      <c r="B15806" s="35" t="s">
        <v>3059</v>
      </c>
    </row>
    <row r="15807" spans="1:2" x14ac:dyDescent="0.35">
      <c r="A15807" s="34">
        <v>60131506</v>
      </c>
      <c r="B15807" s="35" t="s">
        <v>6753</v>
      </c>
    </row>
    <row r="15808" spans="1:2" x14ac:dyDescent="0.35">
      <c r="A15808" s="34">
        <v>60131507</v>
      </c>
      <c r="B15808" s="35" t="s">
        <v>5273</v>
      </c>
    </row>
    <row r="15809" spans="1:2" x14ac:dyDescent="0.35">
      <c r="A15809" s="34">
        <v>60131508</v>
      </c>
      <c r="B15809" s="35" t="s">
        <v>9359</v>
      </c>
    </row>
    <row r="15810" spans="1:2" x14ac:dyDescent="0.35">
      <c r="A15810" s="34">
        <v>60131509</v>
      </c>
      <c r="B15810" s="35" t="s">
        <v>17977</v>
      </c>
    </row>
    <row r="15811" spans="1:2" x14ac:dyDescent="0.35">
      <c r="A15811" s="34">
        <v>60131510</v>
      </c>
      <c r="B15811" s="35" t="s">
        <v>17033</v>
      </c>
    </row>
    <row r="15812" spans="1:2" x14ac:dyDescent="0.35">
      <c r="A15812" s="34">
        <v>60131511</v>
      </c>
      <c r="B15812" s="35" t="s">
        <v>1107</v>
      </c>
    </row>
    <row r="15813" spans="1:2" x14ac:dyDescent="0.35">
      <c r="A15813" s="34">
        <v>60131512</v>
      </c>
      <c r="B15813" s="35" t="s">
        <v>7084</v>
      </c>
    </row>
    <row r="15814" spans="1:2" x14ac:dyDescent="0.35">
      <c r="A15814" s="34">
        <v>60131513</v>
      </c>
      <c r="B15814" s="35" t="s">
        <v>15209</v>
      </c>
    </row>
    <row r="15815" spans="1:2" x14ac:dyDescent="0.35">
      <c r="A15815" s="34">
        <v>60131514</v>
      </c>
      <c r="B15815" s="35" t="s">
        <v>17924</v>
      </c>
    </row>
    <row r="15816" spans="1:2" x14ac:dyDescent="0.35">
      <c r="A15816" s="34">
        <v>60131601</v>
      </c>
      <c r="B15816" s="35" t="s">
        <v>19300</v>
      </c>
    </row>
    <row r="15817" spans="1:2" x14ac:dyDescent="0.35">
      <c r="A15817" s="34">
        <v>60131701</v>
      </c>
      <c r="B15817" s="35" t="s">
        <v>15462</v>
      </c>
    </row>
    <row r="15818" spans="1:2" x14ac:dyDescent="0.35">
      <c r="A15818" s="34">
        <v>60131702</v>
      </c>
      <c r="B15818" s="35" t="s">
        <v>10449</v>
      </c>
    </row>
    <row r="15819" spans="1:2" x14ac:dyDescent="0.35">
      <c r="A15819" s="34">
        <v>60131801</v>
      </c>
      <c r="B15819" s="35" t="s">
        <v>14975</v>
      </c>
    </row>
    <row r="15820" spans="1:2" x14ac:dyDescent="0.35">
      <c r="A15820" s="34">
        <v>60131802</v>
      </c>
      <c r="B15820" s="35" t="s">
        <v>17572</v>
      </c>
    </row>
    <row r="15821" spans="1:2" x14ac:dyDescent="0.35">
      <c r="A15821" s="34">
        <v>60131803</v>
      </c>
      <c r="B15821" s="35" t="s">
        <v>15168</v>
      </c>
    </row>
    <row r="15822" spans="1:2" x14ac:dyDescent="0.35">
      <c r="A15822" s="34">
        <v>60141001</v>
      </c>
      <c r="B15822" s="35" t="s">
        <v>17160</v>
      </c>
    </row>
    <row r="15823" spans="1:2" x14ac:dyDescent="0.35">
      <c r="A15823" s="34">
        <v>60141002</v>
      </c>
      <c r="B15823" s="35" t="s">
        <v>12962</v>
      </c>
    </row>
    <row r="15824" spans="1:2" x14ac:dyDescent="0.35">
      <c r="A15824" s="34">
        <v>60141003</v>
      </c>
      <c r="B15824" s="35" t="s">
        <v>189</v>
      </c>
    </row>
    <row r="15825" spans="1:2" x14ac:dyDescent="0.35">
      <c r="A15825" s="34">
        <v>60141004</v>
      </c>
      <c r="B15825" s="35" t="s">
        <v>10760</v>
      </c>
    </row>
    <row r="15826" spans="1:2" x14ac:dyDescent="0.35">
      <c r="A15826" s="34">
        <v>60141005</v>
      </c>
      <c r="B15826" s="35" t="s">
        <v>3405</v>
      </c>
    </row>
    <row r="15827" spans="1:2" x14ac:dyDescent="0.35">
      <c r="A15827" s="34">
        <v>60141006</v>
      </c>
      <c r="B15827" s="35" t="s">
        <v>15471</v>
      </c>
    </row>
    <row r="15828" spans="1:2" x14ac:dyDescent="0.35">
      <c r="A15828" s="34">
        <v>60141007</v>
      </c>
      <c r="B15828" s="35" t="s">
        <v>18325</v>
      </c>
    </row>
    <row r="15829" spans="1:2" x14ac:dyDescent="0.35">
      <c r="A15829" s="34">
        <v>60141008</v>
      </c>
      <c r="B15829" s="35" t="s">
        <v>6371</v>
      </c>
    </row>
    <row r="15830" spans="1:2" x14ac:dyDescent="0.35">
      <c r="A15830" s="34">
        <v>60141009</v>
      </c>
      <c r="B15830" s="35" t="s">
        <v>18125</v>
      </c>
    </row>
    <row r="15831" spans="1:2" x14ac:dyDescent="0.35">
      <c r="A15831" s="34">
        <v>60141010</v>
      </c>
      <c r="B15831" s="35" t="s">
        <v>1055</v>
      </c>
    </row>
    <row r="15832" spans="1:2" x14ac:dyDescent="0.35">
      <c r="A15832" s="34">
        <v>60141011</v>
      </c>
      <c r="B15832" s="35" t="s">
        <v>421</v>
      </c>
    </row>
    <row r="15833" spans="1:2" x14ac:dyDescent="0.35">
      <c r="A15833" s="34">
        <v>60141012</v>
      </c>
      <c r="B15833" s="35" t="s">
        <v>7751</v>
      </c>
    </row>
    <row r="15834" spans="1:2" x14ac:dyDescent="0.35">
      <c r="A15834" s="34">
        <v>60141013</v>
      </c>
      <c r="B15834" s="35" t="s">
        <v>3252</v>
      </c>
    </row>
    <row r="15835" spans="1:2" x14ac:dyDescent="0.35">
      <c r="A15835" s="34">
        <v>60141014</v>
      </c>
      <c r="B15835" s="35" t="s">
        <v>13983</v>
      </c>
    </row>
    <row r="15836" spans="1:2" x14ac:dyDescent="0.35">
      <c r="A15836" s="34">
        <v>60141015</v>
      </c>
      <c r="B15836" s="35" t="s">
        <v>4692</v>
      </c>
    </row>
    <row r="15837" spans="1:2" x14ac:dyDescent="0.35">
      <c r="A15837" s="34">
        <v>60141016</v>
      </c>
      <c r="B15837" s="35" t="s">
        <v>4139</v>
      </c>
    </row>
    <row r="15838" spans="1:2" x14ac:dyDescent="0.35">
      <c r="A15838" s="34">
        <v>60141017</v>
      </c>
      <c r="B15838" s="35" t="s">
        <v>11593</v>
      </c>
    </row>
    <row r="15839" spans="1:2" x14ac:dyDescent="0.35">
      <c r="A15839" s="34">
        <v>60141018</v>
      </c>
      <c r="B15839" s="35" t="s">
        <v>12789</v>
      </c>
    </row>
    <row r="15840" spans="1:2" x14ac:dyDescent="0.35">
      <c r="A15840" s="34">
        <v>60141019</v>
      </c>
      <c r="B15840" s="35" t="s">
        <v>13607</v>
      </c>
    </row>
    <row r="15841" spans="1:2" x14ac:dyDescent="0.35">
      <c r="A15841" s="34">
        <v>60141020</v>
      </c>
      <c r="B15841" s="35" t="s">
        <v>9869</v>
      </c>
    </row>
    <row r="15842" spans="1:2" x14ac:dyDescent="0.35">
      <c r="A15842" s="34">
        <v>60141021</v>
      </c>
      <c r="B15842" s="35" t="s">
        <v>17542</v>
      </c>
    </row>
    <row r="15843" spans="1:2" x14ac:dyDescent="0.35">
      <c r="A15843" s="34">
        <v>60141022</v>
      </c>
      <c r="B15843" s="35" t="s">
        <v>8457</v>
      </c>
    </row>
    <row r="15844" spans="1:2" x14ac:dyDescent="0.35">
      <c r="A15844" s="34">
        <v>60141023</v>
      </c>
      <c r="B15844" s="35" t="s">
        <v>9264</v>
      </c>
    </row>
    <row r="15845" spans="1:2" x14ac:dyDescent="0.35">
      <c r="A15845" s="34">
        <v>60141024</v>
      </c>
      <c r="B15845" s="35" t="s">
        <v>10089</v>
      </c>
    </row>
    <row r="15846" spans="1:2" x14ac:dyDescent="0.35">
      <c r="A15846" s="34">
        <v>60141025</v>
      </c>
      <c r="B15846" s="35" t="s">
        <v>1216</v>
      </c>
    </row>
    <row r="15847" spans="1:2" x14ac:dyDescent="0.35">
      <c r="A15847" s="34">
        <v>60141026</v>
      </c>
      <c r="B15847" s="35" t="s">
        <v>10877</v>
      </c>
    </row>
    <row r="15848" spans="1:2" x14ac:dyDescent="0.35">
      <c r="A15848" s="34">
        <v>60141101</v>
      </c>
      <c r="B15848" s="35" t="s">
        <v>4353</v>
      </c>
    </row>
    <row r="15849" spans="1:2" x14ac:dyDescent="0.35">
      <c r="A15849" s="34">
        <v>60141102</v>
      </c>
      <c r="B15849" s="35" t="s">
        <v>7482</v>
      </c>
    </row>
    <row r="15850" spans="1:2" x14ac:dyDescent="0.35">
      <c r="A15850" s="34">
        <v>60141103</v>
      </c>
      <c r="B15850" s="35" t="s">
        <v>17903</v>
      </c>
    </row>
    <row r="15851" spans="1:2" x14ac:dyDescent="0.35">
      <c r="A15851" s="34">
        <v>60141104</v>
      </c>
      <c r="B15851" s="35" t="s">
        <v>11090</v>
      </c>
    </row>
    <row r="15852" spans="1:2" x14ac:dyDescent="0.35">
      <c r="A15852" s="34">
        <v>60141105</v>
      </c>
      <c r="B15852" s="35" t="s">
        <v>5434</v>
      </c>
    </row>
    <row r="15853" spans="1:2" x14ac:dyDescent="0.35">
      <c r="A15853" s="34">
        <v>60141106</v>
      </c>
      <c r="B15853" s="35" t="s">
        <v>13846</v>
      </c>
    </row>
    <row r="15854" spans="1:2" x14ac:dyDescent="0.35">
      <c r="A15854" s="34">
        <v>60141107</v>
      </c>
      <c r="B15854" s="35" t="s">
        <v>13522</v>
      </c>
    </row>
    <row r="15855" spans="1:2" x14ac:dyDescent="0.35">
      <c r="A15855" s="34">
        <v>60141108</v>
      </c>
      <c r="B15855" s="35" t="s">
        <v>2946</v>
      </c>
    </row>
    <row r="15856" spans="1:2" x14ac:dyDescent="0.35">
      <c r="A15856" s="34">
        <v>60141109</v>
      </c>
      <c r="B15856" s="35" t="s">
        <v>10831</v>
      </c>
    </row>
    <row r="15857" spans="1:2" x14ac:dyDescent="0.35">
      <c r="A15857" s="34">
        <v>60141110</v>
      </c>
      <c r="B15857" s="35" t="s">
        <v>19454</v>
      </c>
    </row>
    <row r="15858" spans="1:2" x14ac:dyDescent="0.35">
      <c r="A15858" s="34">
        <v>60141111</v>
      </c>
      <c r="B15858" s="35" t="s">
        <v>16753</v>
      </c>
    </row>
    <row r="15859" spans="1:2" x14ac:dyDescent="0.35">
      <c r="A15859" s="34">
        <v>60141112</v>
      </c>
      <c r="B15859" s="35" t="s">
        <v>13282</v>
      </c>
    </row>
    <row r="15860" spans="1:2" x14ac:dyDescent="0.35">
      <c r="A15860" s="34">
        <v>60141113</v>
      </c>
      <c r="B15860" s="35" t="s">
        <v>1138</v>
      </c>
    </row>
    <row r="15861" spans="1:2" x14ac:dyDescent="0.35">
      <c r="A15861" s="34">
        <v>60141114</v>
      </c>
      <c r="B15861" s="35" t="s">
        <v>11838</v>
      </c>
    </row>
    <row r="15862" spans="1:2" x14ac:dyDescent="0.35">
      <c r="A15862" s="34">
        <v>60141115</v>
      </c>
      <c r="B15862" s="35" t="s">
        <v>3340</v>
      </c>
    </row>
    <row r="15863" spans="1:2" x14ac:dyDescent="0.35">
      <c r="A15863" s="34">
        <v>60141201</v>
      </c>
      <c r="B15863" s="35" t="s">
        <v>9113</v>
      </c>
    </row>
    <row r="15864" spans="1:2" x14ac:dyDescent="0.35">
      <c r="A15864" s="34">
        <v>60141202</v>
      </c>
      <c r="B15864" s="35" t="s">
        <v>15589</v>
      </c>
    </row>
    <row r="15865" spans="1:2" x14ac:dyDescent="0.35">
      <c r="A15865" s="34">
        <v>60141203</v>
      </c>
      <c r="B15865" s="35" t="s">
        <v>9838</v>
      </c>
    </row>
    <row r="15866" spans="1:2" x14ac:dyDescent="0.35">
      <c r="A15866" s="34">
        <v>60141204</v>
      </c>
      <c r="B15866" s="35" t="s">
        <v>2590</v>
      </c>
    </row>
    <row r="15867" spans="1:2" x14ac:dyDescent="0.35">
      <c r="A15867" s="34">
        <v>60141205</v>
      </c>
      <c r="B15867" s="35" t="s">
        <v>5719</v>
      </c>
    </row>
    <row r="15868" spans="1:2" x14ac:dyDescent="0.35">
      <c r="A15868" s="34">
        <v>60141302</v>
      </c>
      <c r="B15868" s="35" t="s">
        <v>668</v>
      </c>
    </row>
    <row r="15869" spans="1:2" x14ac:dyDescent="0.35">
      <c r="A15869" s="34">
        <v>60141303</v>
      </c>
      <c r="B15869" s="35" t="s">
        <v>3286</v>
      </c>
    </row>
    <row r="15870" spans="1:2" x14ac:dyDescent="0.35">
      <c r="A15870" s="34">
        <v>60141304</v>
      </c>
      <c r="B15870" s="35" t="s">
        <v>244</v>
      </c>
    </row>
    <row r="15871" spans="1:2" x14ac:dyDescent="0.35">
      <c r="A15871" s="34">
        <v>60141305</v>
      </c>
      <c r="B15871" s="35" t="s">
        <v>4542</v>
      </c>
    </row>
    <row r="15872" spans="1:2" x14ac:dyDescent="0.35">
      <c r="A15872" s="34">
        <v>60141306</v>
      </c>
      <c r="B15872" s="35" t="s">
        <v>15699</v>
      </c>
    </row>
    <row r="15873" spans="1:2" x14ac:dyDescent="0.35">
      <c r="A15873" s="34">
        <v>60141307</v>
      </c>
      <c r="B15873" s="35" t="s">
        <v>7478</v>
      </c>
    </row>
    <row r="15874" spans="1:2" x14ac:dyDescent="0.35">
      <c r="A15874" s="34">
        <v>60141401</v>
      </c>
      <c r="B15874" s="35" t="s">
        <v>2102</v>
      </c>
    </row>
    <row r="15875" spans="1:2" x14ac:dyDescent="0.35">
      <c r="A15875" s="34">
        <v>60141402</v>
      </c>
      <c r="B15875" s="35" t="s">
        <v>17578</v>
      </c>
    </row>
    <row r="15876" spans="1:2" x14ac:dyDescent="0.35">
      <c r="A15876" s="34">
        <v>60141403</v>
      </c>
      <c r="B15876" s="35" t="s">
        <v>6481</v>
      </c>
    </row>
    <row r="15877" spans="1:2" x14ac:dyDescent="0.35">
      <c r="A15877" s="34">
        <v>60141404</v>
      </c>
      <c r="B15877" s="35" t="s">
        <v>296</v>
      </c>
    </row>
    <row r="15878" spans="1:2" x14ac:dyDescent="0.35">
      <c r="A15878" s="34">
        <v>60141405</v>
      </c>
      <c r="B15878" s="35" t="s">
        <v>4767</v>
      </c>
    </row>
    <row r="15879" spans="1:2" x14ac:dyDescent="0.35">
      <c r="A15879" s="34">
        <v>70101501</v>
      </c>
      <c r="B15879" s="35" t="s">
        <v>13748</v>
      </c>
    </row>
    <row r="15880" spans="1:2" x14ac:dyDescent="0.35">
      <c r="A15880" s="34">
        <v>70101502</v>
      </c>
      <c r="B15880" s="35" t="s">
        <v>13197</v>
      </c>
    </row>
    <row r="15881" spans="1:2" x14ac:dyDescent="0.35">
      <c r="A15881" s="34">
        <v>70101503</v>
      </c>
      <c r="B15881" s="35" t="s">
        <v>13255</v>
      </c>
    </row>
    <row r="15882" spans="1:2" x14ac:dyDescent="0.35">
      <c r="A15882" s="34">
        <v>70101504</v>
      </c>
      <c r="B15882" s="35" t="s">
        <v>2261</v>
      </c>
    </row>
    <row r="15883" spans="1:2" x14ac:dyDescent="0.35">
      <c r="A15883" s="34">
        <v>70101505</v>
      </c>
      <c r="B15883" s="35" t="s">
        <v>8437</v>
      </c>
    </row>
    <row r="15884" spans="1:2" x14ac:dyDescent="0.35">
      <c r="A15884" s="34">
        <v>70101506</v>
      </c>
      <c r="B15884" s="35" t="s">
        <v>13485</v>
      </c>
    </row>
    <row r="15885" spans="1:2" x14ac:dyDescent="0.35">
      <c r="A15885" s="34">
        <v>70101507</v>
      </c>
      <c r="B15885" s="35" t="s">
        <v>18283</v>
      </c>
    </row>
    <row r="15886" spans="1:2" x14ac:dyDescent="0.35">
      <c r="A15886" s="34">
        <v>70101508</v>
      </c>
      <c r="B15886" s="35" t="s">
        <v>7831</v>
      </c>
    </row>
    <row r="15887" spans="1:2" x14ac:dyDescent="0.35">
      <c r="A15887" s="34">
        <v>70101509</v>
      </c>
      <c r="B15887" s="35" t="s">
        <v>17185</v>
      </c>
    </row>
    <row r="15888" spans="1:2" x14ac:dyDescent="0.35">
      <c r="A15888" s="34">
        <v>70101510</v>
      </c>
      <c r="B15888" s="35" t="s">
        <v>9960</v>
      </c>
    </row>
    <row r="15889" spans="1:2" x14ac:dyDescent="0.35">
      <c r="A15889" s="34">
        <v>70101601</v>
      </c>
      <c r="B15889" s="35" t="s">
        <v>17145</v>
      </c>
    </row>
    <row r="15890" spans="1:2" x14ac:dyDescent="0.35">
      <c r="A15890" s="34">
        <v>70101602</v>
      </c>
      <c r="B15890" s="35" t="s">
        <v>4751</v>
      </c>
    </row>
    <row r="15891" spans="1:2" x14ac:dyDescent="0.35">
      <c r="A15891" s="34">
        <v>70101603</v>
      </c>
      <c r="B15891" s="35" t="s">
        <v>10625</v>
      </c>
    </row>
    <row r="15892" spans="1:2" x14ac:dyDescent="0.35">
      <c r="A15892" s="34">
        <v>70101604</v>
      </c>
      <c r="B15892" s="35" t="s">
        <v>4345</v>
      </c>
    </row>
    <row r="15893" spans="1:2" x14ac:dyDescent="0.35">
      <c r="A15893" s="34">
        <v>70101605</v>
      </c>
      <c r="B15893" s="35" t="s">
        <v>3717</v>
      </c>
    </row>
    <row r="15894" spans="1:2" x14ac:dyDescent="0.35">
      <c r="A15894" s="34">
        <v>70101606</v>
      </c>
      <c r="B15894" s="35" t="s">
        <v>17013</v>
      </c>
    </row>
    <row r="15895" spans="1:2" x14ac:dyDescent="0.35">
      <c r="A15895" s="34">
        <v>70101607</v>
      </c>
      <c r="B15895" s="35" t="s">
        <v>18612</v>
      </c>
    </row>
    <row r="15896" spans="1:2" x14ac:dyDescent="0.35">
      <c r="A15896" s="34">
        <v>70101701</v>
      </c>
      <c r="B15896" s="35" t="s">
        <v>11231</v>
      </c>
    </row>
    <row r="15897" spans="1:2" x14ac:dyDescent="0.35">
      <c r="A15897" s="34">
        <v>70101702</v>
      </c>
      <c r="B15897" s="35" t="s">
        <v>1745</v>
      </c>
    </row>
    <row r="15898" spans="1:2" x14ac:dyDescent="0.35">
      <c r="A15898" s="34">
        <v>70101703</v>
      </c>
      <c r="B15898" s="35" t="s">
        <v>10090</v>
      </c>
    </row>
    <row r="15899" spans="1:2" x14ac:dyDescent="0.35">
      <c r="A15899" s="34">
        <v>70101704</v>
      </c>
      <c r="B15899" s="35" t="s">
        <v>11608</v>
      </c>
    </row>
    <row r="15900" spans="1:2" x14ac:dyDescent="0.35">
      <c r="A15900" s="34">
        <v>70101801</v>
      </c>
      <c r="B15900" s="35" t="s">
        <v>8344</v>
      </c>
    </row>
    <row r="15901" spans="1:2" x14ac:dyDescent="0.35">
      <c r="A15901" s="34">
        <v>70101802</v>
      </c>
      <c r="B15901" s="35" t="s">
        <v>7203</v>
      </c>
    </row>
    <row r="15902" spans="1:2" x14ac:dyDescent="0.35">
      <c r="A15902" s="34">
        <v>70101803</v>
      </c>
      <c r="B15902" s="35" t="s">
        <v>6239</v>
      </c>
    </row>
    <row r="15903" spans="1:2" x14ac:dyDescent="0.35">
      <c r="A15903" s="34">
        <v>70101804</v>
      </c>
      <c r="B15903" s="35" t="s">
        <v>15401</v>
      </c>
    </row>
    <row r="15904" spans="1:2" x14ac:dyDescent="0.35">
      <c r="A15904" s="34">
        <v>70101805</v>
      </c>
      <c r="B15904" s="35" t="s">
        <v>7509</v>
      </c>
    </row>
    <row r="15905" spans="1:2" x14ac:dyDescent="0.35">
      <c r="A15905" s="34">
        <v>70101806</v>
      </c>
      <c r="B15905" s="35" t="s">
        <v>15715</v>
      </c>
    </row>
    <row r="15906" spans="1:2" x14ac:dyDescent="0.35">
      <c r="A15906" s="34">
        <v>70101901</v>
      </c>
      <c r="B15906" s="35" t="s">
        <v>15887</v>
      </c>
    </row>
    <row r="15907" spans="1:2" x14ac:dyDescent="0.35">
      <c r="A15907" s="34">
        <v>70101902</v>
      </c>
      <c r="B15907" s="35" t="s">
        <v>2822</v>
      </c>
    </row>
    <row r="15908" spans="1:2" x14ac:dyDescent="0.35">
      <c r="A15908" s="34">
        <v>70101903</v>
      </c>
      <c r="B15908" s="35" t="s">
        <v>14358</v>
      </c>
    </row>
    <row r="15909" spans="1:2" x14ac:dyDescent="0.35">
      <c r="A15909" s="34">
        <v>70101904</v>
      </c>
      <c r="B15909" s="35" t="s">
        <v>17762</v>
      </c>
    </row>
    <row r="15910" spans="1:2" x14ac:dyDescent="0.35">
      <c r="A15910" s="34">
        <v>70101905</v>
      </c>
      <c r="B15910" s="35" t="s">
        <v>19541</v>
      </c>
    </row>
    <row r="15911" spans="1:2" x14ac:dyDescent="0.35">
      <c r="A15911" s="34">
        <v>70111501</v>
      </c>
      <c r="B15911" s="35" t="s">
        <v>15044</v>
      </c>
    </row>
    <row r="15912" spans="1:2" x14ac:dyDescent="0.35">
      <c r="A15912" s="34">
        <v>70111502</v>
      </c>
      <c r="B15912" s="35" t="s">
        <v>10425</v>
      </c>
    </row>
    <row r="15913" spans="1:2" x14ac:dyDescent="0.35">
      <c r="A15913" s="34">
        <v>70111503</v>
      </c>
      <c r="B15913" s="35" t="s">
        <v>16463</v>
      </c>
    </row>
    <row r="15914" spans="1:2" x14ac:dyDescent="0.35">
      <c r="A15914" s="34">
        <v>70111504</v>
      </c>
      <c r="B15914" s="35" t="s">
        <v>4493</v>
      </c>
    </row>
    <row r="15915" spans="1:2" x14ac:dyDescent="0.35">
      <c r="A15915" s="34">
        <v>70111505</v>
      </c>
      <c r="B15915" s="35" t="s">
        <v>16985</v>
      </c>
    </row>
    <row r="15916" spans="1:2" x14ac:dyDescent="0.35">
      <c r="A15916" s="34">
        <v>70111506</v>
      </c>
      <c r="B15916" s="35" t="s">
        <v>7428</v>
      </c>
    </row>
    <row r="15917" spans="1:2" x14ac:dyDescent="0.35">
      <c r="A15917" s="34">
        <v>70111507</v>
      </c>
      <c r="B15917" s="35" t="s">
        <v>13500</v>
      </c>
    </row>
    <row r="15918" spans="1:2" x14ac:dyDescent="0.35">
      <c r="A15918" s="34">
        <v>70111508</v>
      </c>
      <c r="B15918" s="35" t="s">
        <v>2006</v>
      </c>
    </row>
    <row r="15919" spans="1:2" x14ac:dyDescent="0.35">
      <c r="A15919" s="34">
        <v>70111601</v>
      </c>
      <c r="B15919" s="35" t="s">
        <v>11757</v>
      </c>
    </row>
    <row r="15920" spans="1:2" x14ac:dyDescent="0.35">
      <c r="A15920" s="34">
        <v>70111602</v>
      </c>
      <c r="B15920" s="35" t="s">
        <v>17581</v>
      </c>
    </row>
    <row r="15921" spans="1:2" x14ac:dyDescent="0.35">
      <c r="A15921" s="34">
        <v>70111603</v>
      </c>
      <c r="B15921" s="35" t="s">
        <v>4176</v>
      </c>
    </row>
    <row r="15922" spans="1:2" x14ac:dyDescent="0.35">
      <c r="A15922" s="34">
        <v>70111701</v>
      </c>
      <c r="B15922" s="35" t="s">
        <v>11147</v>
      </c>
    </row>
    <row r="15923" spans="1:2" x14ac:dyDescent="0.35">
      <c r="A15923" s="34">
        <v>70111702</v>
      </c>
      <c r="B15923" s="35" t="s">
        <v>9042</v>
      </c>
    </row>
    <row r="15924" spans="1:2" x14ac:dyDescent="0.35">
      <c r="A15924" s="34">
        <v>70111703</v>
      </c>
      <c r="B15924" s="35" t="s">
        <v>9241</v>
      </c>
    </row>
    <row r="15925" spans="1:2" x14ac:dyDescent="0.35">
      <c r="A15925" s="34">
        <v>70111704</v>
      </c>
      <c r="B15925" s="35" t="s">
        <v>14249</v>
      </c>
    </row>
    <row r="15926" spans="1:2" x14ac:dyDescent="0.35">
      <c r="A15926" s="34">
        <v>70111705</v>
      </c>
      <c r="B15926" s="35" t="s">
        <v>14574</v>
      </c>
    </row>
    <row r="15927" spans="1:2" x14ac:dyDescent="0.35">
      <c r="A15927" s="34">
        <v>70111706</v>
      </c>
      <c r="B15927" s="35" t="s">
        <v>13144</v>
      </c>
    </row>
    <row r="15928" spans="1:2" x14ac:dyDescent="0.35">
      <c r="A15928" s="34">
        <v>70111707</v>
      </c>
      <c r="B15928" s="35" t="s">
        <v>16074</v>
      </c>
    </row>
    <row r="15929" spans="1:2" x14ac:dyDescent="0.35">
      <c r="A15929" s="34">
        <v>70111708</v>
      </c>
      <c r="B15929" s="35" t="s">
        <v>11093</v>
      </c>
    </row>
    <row r="15930" spans="1:2" x14ac:dyDescent="0.35">
      <c r="A15930" s="34">
        <v>70111709</v>
      </c>
      <c r="B15930" s="35" t="s">
        <v>4686</v>
      </c>
    </row>
    <row r="15931" spans="1:2" x14ac:dyDescent="0.35">
      <c r="A15931" s="34">
        <v>70111710</v>
      </c>
      <c r="B15931" s="35" t="s">
        <v>17833</v>
      </c>
    </row>
    <row r="15932" spans="1:2" x14ac:dyDescent="0.35">
      <c r="A15932" s="34">
        <v>70111711</v>
      </c>
      <c r="B15932" s="35" t="s">
        <v>15012</v>
      </c>
    </row>
    <row r="15933" spans="1:2" x14ac:dyDescent="0.35">
      <c r="A15933" s="34">
        <v>70111712</v>
      </c>
      <c r="B15933" s="35" t="s">
        <v>6734</v>
      </c>
    </row>
    <row r="15934" spans="1:2" x14ac:dyDescent="0.35">
      <c r="A15934" s="34">
        <v>70111713</v>
      </c>
      <c r="B15934" s="35" t="s">
        <v>17661</v>
      </c>
    </row>
    <row r="15935" spans="1:2" x14ac:dyDescent="0.35">
      <c r="A15935" s="34">
        <v>70121501</v>
      </c>
      <c r="B15935" s="35" t="s">
        <v>7518</v>
      </c>
    </row>
    <row r="15936" spans="1:2" x14ac:dyDescent="0.35">
      <c r="A15936" s="34">
        <v>70121502</v>
      </c>
      <c r="B15936" s="35" t="s">
        <v>14746</v>
      </c>
    </row>
    <row r="15937" spans="1:2" x14ac:dyDescent="0.35">
      <c r="A15937" s="34">
        <v>70121503</v>
      </c>
      <c r="B15937" s="35" t="s">
        <v>5360</v>
      </c>
    </row>
    <row r="15938" spans="1:2" x14ac:dyDescent="0.35">
      <c r="A15938" s="34">
        <v>70121504</v>
      </c>
      <c r="B15938" s="35" t="s">
        <v>18153</v>
      </c>
    </row>
    <row r="15939" spans="1:2" x14ac:dyDescent="0.35">
      <c r="A15939" s="34">
        <v>70121505</v>
      </c>
      <c r="B15939" s="35" t="s">
        <v>10386</v>
      </c>
    </row>
    <row r="15940" spans="1:2" x14ac:dyDescent="0.35">
      <c r="A15940" s="34">
        <v>70121601</v>
      </c>
      <c r="B15940" s="35" t="s">
        <v>6378</v>
      </c>
    </row>
    <row r="15941" spans="1:2" x14ac:dyDescent="0.35">
      <c r="A15941" s="34">
        <v>70121602</v>
      </c>
      <c r="B15941" s="35" t="s">
        <v>6375</v>
      </c>
    </row>
    <row r="15942" spans="1:2" x14ac:dyDescent="0.35">
      <c r="A15942" s="34">
        <v>70121603</v>
      </c>
      <c r="B15942" s="35" t="s">
        <v>3520</v>
      </c>
    </row>
    <row r="15943" spans="1:2" x14ac:dyDescent="0.35">
      <c r="A15943" s="34">
        <v>70121604</v>
      </c>
      <c r="B15943" s="35" t="s">
        <v>11546</v>
      </c>
    </row>
    <row r="15944" spans="1:2" x14ac:dyDescent="0.35">
      <c r="A15944" s="34">
        <v>70121605</v>
      </c>
      <c r="B15944" s="35" t="s">
        <v>1117</v>
      </c>
    </row>
    <row r="15945" spans="1:2" x14ac:dyDescent="0.35">
      <c r="A15945" s="34">
        <v>70121606</v>
      </c>
      <c r="B15945" s="35" t="s">
        <v>4755</v>
      </c>
    </row>
    <row r="15946" spans="1:2" x14ac:dyDescent="0.35">
      <c r="A15946" s="34">
        <v>70121607</v>
      </c>
      <c r="B15946" s="35" t="s">
        <v>17769</v>
      </c>
    </row>
    <row r="15947" spans="1:2" x14ac:dyDescent="0.35">
      <c r="A15947" s="34">
        <v>70121608</v>
      </c>
      <c r="B15947" s="35" t="s">
        <v>15502</v>
      </c>
    </row>
    <row r="15948" spans="1:2" x14ac:dyDescent="0.35">
      <c r="A15948" s="34">
        <v>70121610</v>
      </c>
      <c r="B15948" s="35" t="s">
        <v>15421</v>
      </c>
    </row>
    <row r="15949" spans="1:2" x14ac:dyDescent="0.35">
      <c r="A15949" s="34">
        <v>70121701</v>
      </c>
      <c r="B15949" s="35" t="s">
        <v>17777</v>
      </c>
    </row>
    <row r="15950" spans="1:2" x14ac:dyDescent="0.35">
      <c r="A15950" s="34">
        <v>70121702</v>
      </c>
      <c r="B15950" s="35" t="s">
        <v>17870</v>
      </c>
    </row>
    <row r="15951" spans="1:2" x14ac:dyDescent="0.35">
      <c r="A15951" s="34">
        <v>70121703</v>
      </c>
      <c r="B15951" s="35" t="s">
        <v>6381</v>
      </c>
    </row>
    <row r="15952" spans="1:2" x14ac:dyDescent="0.35">
      <c r="A15952" s="34">
        <v>70121704</v>
      </c>
      <c r="B15952" s="35" t="s">
        <v>15335</v>
      </c>
    </row>
    <row r="15953" spans="1:2" x14ac:dyDescent="0.35">
      <c r="A15953" s="34">
        <v>70121705</v>
      </c>
      <c r="B15953" s="35" t="s">
        <v>18264</v>
      </c>
    </row>
    <row r="15954" spans="1:2" x14ac:dyDescent="0.35">
      <c r="A15954" s="34">
        <v>70121801</v>
      </c>
      <c r="B15954" s="35" t="s">
        <v>7613</v>
      </c>
    </row>
    <row r="15955" spans="1:2" x14ac:dyDescent="0.35">
      <c r="A15955" s="34">
        <v>70121802</v>
      </c>
      <c r="B15955" s="35" t="s">
        <v>14357</v>
      </c>
    </row>
    <row r="15956" spans="1:2" x14ac:dyDescent="0.35">
      <c r="A15956" s="34">
        <v>70121803</v>
      </c>
      <c r="B15956" s="35" t="s">
        <v>4978</v>
      </c>
    </row>
    <row r="15957" spans="1:2" x14ac:dyDescent="0.35">
      <c r="A15957" s="34">
        <v>70121901</v>
      </c>
      <c r="B15957" s="35" t="s">
        <v>1558</v>
      </c>
    </row>
    <row r="15958" spans="1:2" x14ac:dyDescent="0.35">
      <c r="A15958" s="34">
        <v>70121902</v>
      </c>
      <c r="B15958" s="35" t="s">
        <v>19079</v>
      </c>
    </row>
    <row r="15959" spans="1:2" x14ac:dyDescent="0.35">
      <c r="A15959" s="34">
        <v>70121903</v>
      </c>
      <c r="B15959" s="35" t="s">
        <v>15989</v>
      </c>
    </row>
    <row r="15960" spans="1:2" x14ac:dyDescent="0.35">
      <c r="A15960" s="34">
        <v>70122001</v>
      </c>
      <c r="B15960" s="35" t="s">
        <v>11590</v>
      </c>
    </row>
    <row r="15961" spans="1:2" x14ac:dyDescent="0.35">
      <c r="A15961" s="34">
        <v>70122002</v>
      </c>
      <c r="B15961" s="35" t="s">
        <v>13204</v>
      </c>
    </row>
    <row r="15962" spans="1:2" x14ac:dyDescent="0.35">
      <c r="A15962" s="34">
        <v>70122003</v>
      </c>
      <c r="B15962" s="35" t="s">
        <v>18043</v>
      </c>
    </row>
    <row r="15963" spans="1:2" x14ac:dyDescent="0.35">
      <c r="A15963" s="34">
        <v>70122004</v>
      </c>
      <c r="B15963" s="35" t="s">
        <v>7749</v>
      </c>
    </row>
    <row r="15964" spans="1:2" x14ac:dyDescent="0.35">
      <c r="A15964" s="34">
        <v>70122005</v>
      </c>
      <c r="B15964" s="35" t="s">
        <v>2013</v>
      </c>
    </row>
    <row r="15965" spans="1:2" x14ac:dyDescent="0.35">
      <c r="A15965" s="34">
        <v>70122006</v>
      </c>
      <c r="B15965" s="35" t="s">
        <v>8259</v>
      </c>
    </row>
    <row r="15966" spans="1:2" x14ac:dyDescent="0.35">
      <c r="A15966" s="34">
        <v>70122007</v>
      </c>
      <c r="B15966" s="35" t="s">
        <v>14973</v>
      </c>
    </row>
    <row r="15967" spans="1:2" x14ac:dyDescent="0.35">
      <c r="A15967" s="34">
        <v>70122008</v>
      </c>
      <c r="B15967" s="35" t="s">
        <v>18673</v>
      </c>
    </row>
    <row r="15968" spans="1:2" x14ac:dyDescent="0.35">
      <c r="A15968" s="34">
        <v>70122009</v>
      </c>
      <c r="B15968" s="35" t="s">
        <v>14619</v>
      </c>
    </row>
    <row r="15969" spans="1:2" x14ac:dyDescent="0.35">
      <c r="A15969" s="34">
        <v>70122010</v>
      </c>
      <c r="B15969" s="35" t="s">
        <v>8238</v>
      </c>
    </row>
    <row r="15970" spans="1:2" x14ac:dyDescent="0.35">
      <c r="A15970" s="34">
        <v>70131501</v>
      </c>
      <c r="B15970" s="35" t="s">
        <v>5385</v>
      </c>
    </row>
    <row r="15971" spans="1:2" x14ac:dyDescent="0.35">
      <c r="A15971" s="34">
        <v>70131502</v>
      </c>
      <c r="B15971" s="35" t="s">
        <v>6641</v>
      </c>
    </row>
    <row r="15972" spans="1:2" x14ac:dyDescent="0.35">
      <c r="A15972" s="34">
        <v>70131503</v>
      </c>
      <c r="B15972" s="35" t="s">
        <v>7293</v>
      </c>
    </row>
    <row r="15973" spans="1:2" x14ac:dyDescent="0.35">
      <c r="A15973" s="34">
        <v>70131504</v>
      </c>
      <c r="B15973" s="35" t="s">
        <v>17239</v>
      </c>
    </row>
    <row r="15974" spans="1:2" x14ac:dyDescent="0.35">
      <c r="A15974" s="34">
        <v>70131505</v>
      </c>
      <c r="B15974" s="35" t="s">
        <v>17014</v>
      </c>
    </row>
    <row r="15975" spans="1:2" x14ac:dyDescent="0.35">
      <c r="A15975" s="34">
        <v>70131506</v>
      </c>
      <c r="B15975" s="35" t="s">
        <v>11922</v>
      </c>
    </row>
    <row r="15976" spans="1:2" x14ac:dyDescent="0.35">
      <c r="A15976" s="34">
        <v>70131601</v>
      </c>
      <c r="B15976" s="35" t="s">
        <v>6256</v>
      </c>
    </row>
    <row r="15977" spans="1:2" x14ac:dyDescent="0.35">
      <c r="A15977" s="34">
        <v>70131602</v>
      </c>
      <c r="B15977" s="35" t="s">
        <v>3390</v>
      </c>
    </row>
    <row r="15978" spans="1:2" x14ac:dyDescent="0.35">
      <c r="A15978" s="34">
        <v>70131603</v>
      </c>
      <c r="B15978" s="35" t="s">
        <v>10555</v>
      </c>
    </row>
    <row r="15979" spans="1:2" x14ac:dyDescent="0.35">
      <c r="A15979" s="34">
        <v>70131604</v>
      </c>
      <c r="B15979" s="35" t="s">
        <v>7983</v>
      </c>
    </row>
    <row r="15980" spans="1:2" x14ac:dyDescent="0.35">
      <c r="A15980" s="34">
        <v>70131605</v>
      </c>
      <c r="B15980" s="35" t="s">
        <v>16030</v>
      </c>
    </row>
    <row r="15981" spans="1:2" x14ac:dyDescent="0.35">
      <c r="A15981" s="34">
        <v>70131701</v>
      </c>
      <c r="B15981" s="35" t="s">
        <v>8753</v>
      </c>
    </row>
    <row r="15982" spans="1:2" x14ac:dyDescent="0.35">
      <c r="A15982" s="34">
        <v>70131702</v>
      </c>
      <c r="B15982" s="35" t="s">
        <v>3764</v>
      </c>
    </row>
    <row r="15983" spans="1:2" x14ac:dyDescent="0.35">
      <c r="A15983" s="34">
        <v>70131703</v>
      </c>
      <c r="B15983" s="35" t="s">
        <v>2207</v>
      </c>
    </row>
    <row r="15984" spans="1:2" x14ac:dyDescent="0.35">
      <c r="A15984" s="34">
        <v>70131704</v>
      </c>
      <c r="B15984" s="35" t="s">
        <v>8987</v>
      </c>
    </row>
    <row r="15985" spans="1:2" x14ac:dyDescent="0.35">
      <c r="A15985" s="34">
        <v>70131705</v>
      </c>
      <c r="B15985" s="35" t="s">
        <v>2885</v>
      </c>
    </row>
    <row r="15986" spans="1:2" x14ac:dyDescent="0.35">
      <c r="A15986" s="34">
        <v>70131706</v>
      </c>
      <c r="B15986" s="35" t="s">
        <v>18793</v>
      </c>
    </row>
    <row r="15987" spans="1:2" x14ac:dyDescent="0.35">
      <c r="A15987" s="34">
        <v>70131707</v>
      </c>
      <c r="B15987" s="35" t="s">
        <v>11754</v>
      </c>
    </row>
    <row r="15988" spans="1:2" x14ac:dyDescent="0.35">
      <c r="A15988" s="34">
        <v>70131708</v>
      </c>
      <c r="B15988" s="35" t="s">
        <v>4292</v>
      </c>
    </row>
    <row r="15989" spans="1:2" x14ac:dyDescent="0.35">
      <c r="A15989" s="34">
        <v>70141501</v>
      </c>
      <c r="B15989" s="35" t="s">
        <v>17074</v>
      </c>
    </row>
    <row r="15990" spans="1:2" x14ac:dyDescent="0.35">
      <c r="A15990" s="34">
        <v>70141502</v>
      </c>
      <c r="B15990" s="35" t="s">
        <v>18372</v>
      </c>
    </row>
    <row r="15991" spans="1:2" x14ac:dyDescent="0.35">
      <c r="A15991" s="34">
        <v>70141503</v>
      </c>
      <c r="B15991" s="35" t="s">
        <v>2029</v>
      </c>
    </row>
    <row r="15992" spans="1:2" x14ac:dyDescent="0.35">
      <c r="A15992" s="34">
        <v>70141504</v>
      </c>
      <c r="B15992" s="35" t="s">
        <v>7311</v>
      </c>
    </row>
    <row r="15993" spans="1:2" x14ac:dyDescent="0.35">
      <c r="A15993" s="34">
        <v>70141505</v>
      </c>
      <c r="B15993" s="35" t="s">
        <v>17384</v>
      </c>
    </row>
    <row r="15994" spans="1:2" x14ac:dyDescent="0.35">
      <c r="A15994" s="34">
        <v>70141506</v>
      </c>
      <c r="B15994" s="35" t="s">
        <v>5819</v>
      </c>
    </row>
    <row r="15995" spans="1:2" x14ac:dyDescent="0.35">
      <c r="A15995" s="34">
        <v>70141507</v>
      </c>
      <c r="B15995" s="35" t="s">
        <v>2489</v>
      </c>
    </row>
    <row r="15996" spans="1:2" x14ac:dyDescent="0.35">
      <c r="A15996" s="34">
        <v>70141508</v>
      </c>
      <c r="B15996" s="35" t="s">
        <v>11398</v>
      </c>
    </row>
    <row r="15997" spans="1:2" x14ac:dyDescent="0.35">
      <c r="A15997" s="34">
        <v>70141509</v>
      </c>
      <c r="B15997" s="35" t="s">
        <v>2521</v>
      </c>
    </row>
    <row r="15998" spans="1:2" x14ac:dyDescent="0.35">
      <c r="A15998" s="34">
        <v>70141510</v>
      </c>
      <c r="B15998" s="35" t="s">
        <v>4414</v>
      </c>
    </row>
    <row r="15999" spans="1:2" x14ac:dyDescent="0.35">
      <c r="A15999" s="34">
        <v>70141511</v>
      </c>
      <c r="B15999" s="35" t="s">
        <v>4498</v>
      </c>
    </row>
    <row r="16000" spans="1:2" x14ac:dyDescent="0.35">
      <c r="A16000" s="34">
        <v>70141512</v>
      </c>
      <c r="B16000" s="35" t="s">
        <v>6666</v>
      </c>
    </row>
    <row r="16001" spans="1:2" x14ac:dyDescent="0.35">
      <c r="A16001" s="34">
        <v>70141513</v>
      </c>
      <c r="B16001" s="35" t="s">
        <v>10695</v>
      </c>
    </row>
    <row r="16002" spans="1:2" x14ac:dyDescent="0.35">
      <c r="A16002" s="34">
        <v>70141514</v>
      </c>
      <c r="B16002" s="35" t="s">
        <v>4580</v>
      </c>
    </row>
    <row r="16003" spans="1:2" x14ac:dyDescent="0.35">
      <c r="A16003" s="34">
        <v>70141515</v>
      </c>
      <c r="B16003" s="35" t="s">
        <v>7814</v>
      </c>
    </row>
    <row r="16004" spans="1:2" x14ac:dyDescent="0.35">
      <c r="A16004" s="34">
        <v>70141516</v>
      </c>
      <c r="B16004" s="35" t="s">
        <v>2500</v>
      </c>
    </row>
    <row r="16005" spans="1:2" x14ac:dyDescent="0.35">
      <c r="A16005" s="34">
        <v>70141517</v>
      </c>
      <c r="B16005" s="35" t="s">
        <v>10950</v>
      </c>
    </row>
    <row r="16006" spans="1:2" x14ac:dyDescent="0.35">
      <c r="A16006" s="34">
        <v>70141518</v>
      </c>
      <c r="B16006" s="35" t="s">
        <v>5582</v>
      </c>
    </row>
    <row r="16007" spans="1:2" x14ac:dyDescent="0.35">
      <c r="A16007" s="34">
        <v>70141519</v>
      </c>
      <c r="B16007" s="35" t="s">
        <v>1728</v>
      </c>
    </row>
    <row r="16008" spans="1:2" x14ac:dyDescent="0.35">
      <c r="A16008" s="34">
        <v>70141520</v>
      </c>
      <c r="B16008" s="35" t="s">
        <v>12270</v>
      </c>
    </row>
    <row r="16009" spans="1:2" x14ac:dyDescent="0.35">
      <c r="A16009" s="34">
        <v>70141601</v>
      </c>
      <c r="B16009" s="35" t="s">
        <v>7250</v>
      </c>
    </row>
    <row r="16010" spans="1:2" x14ac:dyDescent="0.35">
      <c r="A16010" s="34">
        <v>70141602</v>
      </c>
      <c r="B16010" s="35" t="s">
        <v>8419</v>
      </c>
    </row>
    <row r="16011" spans="1:2" x14ac:dyDescent="0.35">
      <c r="A16011" s="34">
        <v>70141603</v>
      </c>
      <c r="B16011" s="35" t="s">
        <v>8340</v>
      </c>
    </row>
    <row r="16012" spans="1:2" x14ac:dyDescent="0.35">
      <c r="A16012" s="34">
        <v>70141604</v>
      </c>
      <c r="B16012" s="35" t="s">
        <v>12456</v>
      </c>
    </row>
    <row r="16013" spans="1:2" x14ac:dyDescent="0.35">
      <c r="A16013" s="34">
        <v>70141605</v>
      </c>
      <c r="B16013" s="35" t="s">
        <v>7459</v>
      </c>
    </row>
    <row r="16014" spans="1:2" x14ac:dyDescent="0.35">
      <c r="A16014" s="34">
        <v>70141606</v>
      </c>
      <c r="B16014" s="35" t="s">
        <v>19588</v>
      </c>
    </row>
    <row r="16015" spans="1:2" x14ac:dyDescent="0.35">
      <c r="A16015" s="34">
        <v>70141607</v>
      </c>
      <c r="B16015" s="35" t="s">
        <v>4774</v>
      </c>
    </row>
    <row r="16016" spans="1:2" x14ac:dyDescent="0.35">
      <c r="A16016" s="34">
        <v>70141701</v>
      </c>
      <c r="B16016" s="35" t="s">
        <v>512</v>
      </c>
    </row>
    <row r="16017" spans="1:2" x14ac:dyDescent="0.35">
      <c r="A16017" s="34">
        <v>70141702</v>
      </c>
      <c r="B16017" s="35" t="s">
        <v>5645</v>
      </c>
    </row>
    <row r="16018" spans="1:2" x14ac:dyDescent="0.35">
      <c r="A16018" s="34">
        <v>70141703</v>
      </c>
      <c r="B16018" s="35" t="s">
        <v>7182</v>
      </c>
    </row>
    <row r="16019" spans="1:2" x14ac:dyDescent="0.35">
      <c r="A16019" s="34">
        <v>70141704</v>
      </c>
      <c r="B16019" s="35" t="s">
        <v>15406</v>
      </c>
    </row>
    <row r="16020" spans="1:2" x14ac:dyDescent="0.35">
      <c r="A16020" s="34">
        <v>70141705</v>
      </c>
      <c r="B16020" s="35" t="s">
        <v>15747</v>
      </c>
    </row>
    <row r="16021" spans="1:2" x14ac:dyDescent="0.35">
      <c r="A16021" s="34">
        <v>70141706</v>
      </c>
      <c r="B16021" s="35" t="s">
        <v>2842</v>
      </c>
    </row>
    <row r="16022" spans="1:2" x14ac:dyDescent="0.35">
      <c r="A16022" s="34">
        <v>70141707</v>
      </c>
      <c r="B16022" s="35" t="s">
        <v>10235</v>
      </c>
    </row>
    <row r="16023" spans="1:2" x14ac:dyDescent="0.35">
      <c r="A16023" s="34">
        <v>70141708</v>
      </c>
      <c r="B16023" s="35" t="s">
        <v>11840</v>
      </c>
    </row>
    <row r="16024" spans="1:2" x14ac:dyDescent="0.35">
      <c r="A16024" s="34">
        <v>70141709</v>
      </c>
      <c r="B16024" s="35" t="s">
        <v>17207</v>
      </c>
    </row>
    <row r="16025" spans="1:2" x14ac:dyDescent="0.35">
      <c r="A16025" s="34">
        <v>70141710</v>
      </c>
      <c r="B16025" s="35" t="s">
        <v>8235</v>
      </c>
    </row>
    <row r="16026" spans="1:2" x14ac:dyDescent="0.35">
      <c r="A16026" s="34">
        <v>70141801</v>
      </c>
      <c r="B16026" s="35" t="s">
        <v>14714</v>
      </c>
    </row>
    <row r="16027" spans="1:2" x14ac:dyDescent="0.35">
      <c r="A16027" s="34">
        <v>70141802</v>
      </c>
      <c r="B16027" s="35" t="s">
        <v>3354</v>
      </c>
    </row>
    <row r="16028" spans="1:2" x14ac:dyDescent="0.35">
      <c r="A16028" s="34">
        <v>70141803</v>
      </c>
      <c r="B16028" s="35" t="s">
        <v>1940</v>
      </c>
    </row>
    <row r="16029" spans="1:2" x14ac:dyDescent="0.35">
      <c r="A16029" s="34">
        <v>70141804</v>
      </c>
      <c r="B16029" s="35" t="s">
        <v>17368</v>
      </c>
    </row>
    <row r="16030" spans="1:2" x14ac:dyDescent="0.35">
      <c r="A16030" s="34">
        <v>70141901</v>
      </c>
      <c r="B16030" s="35" t="s">
        <v>1074</v>
      </c>
    </row>
    <row r="16031" spans="1:2" x14ac:dyDescent="0.35">
      <c r="A16031" s="34">
        <v>70141902</v>
      </c>
      <c r="B16031" s="35" t="s">
        <v>6800</v>
      </c>
    </row>
    <row r="16032" spans="1:2" x14ac:dyDescent="0.35">
      <c r="A16032" s="34">
        <v>70141903</v>
      </c>
      <c r="B16032" s="35" t="s">
        <v>17746</v>
      </c>
    </row>
    <row r="16033" spans="1:2" x14ac:dyDescent="0.35">
      <c r="A16033" s="34">
        <v>70141904</v>
      </c>
      <c r="B16033" s="35" t="s">
        <v>10878</v>
      </c>
    </row>
    <row r="16034" spans="1:2" x14ac:dyDescent="0.35">
      <c r="A16034" s="34">
        <v>70142001</v>
      </c>
      <c r="B16034" s="35" t="s">
        <v>2265</v>
      </c>
    </row>
    <row r="16035" spans="1:2" x14ac:dyDescent="0.35">
      <c r="A16035" s="34">
        <v>70142002</v>
      </c>
      <c r="B16035" s="35" t="s">
        <v>14640</v>
      </c>
    </row>
    <row r="16036" spans="1:2" x14ac:dyDescent="0.35">
      <c r="A16036" s="34">
        <v>70142003</v>
      </c>
      <c r="B16036" s="35" t="s">
        <v>7658</v>
      </c>
    </row>
    <row r="16037" spans="1:2" x14ac:dyDescent="0.35">
      <c r="A16037" s="34">
        <v>70142004</v>
      </c>
      <c r="B16037" s="35" t="s">
        <v>13924</v>
      </c>
    </row>
    <row r="16038" spans="1:2" x14ac:dyDescent="0.35">
      <c r="A16038" s="34">
        <v>70142005</v>
      </c>
      <c r="B16038" s="35" t="s">
        <v>13628</v>
      </c>
    </row>
    <row r="16039" spans="1:2" x14ac:dyDescent="0.35">
      <c r="A16039" s="34">
        <v>70142006</v>
      </c>
      <c r="B16039" s="35" t="s">
        <v>3006</v>
      </c>
    </row>
    <row r="16040" spans="1:2" x14ac:dyDescent="0.35">
      <c r="A16040" s="34">
        <v>70142007</v>
      </c>
      <c r="B16040" s="35" t="s">
        <v>2520</v>
      </c>
    </row>
    <row r="16041" spans="1:2" x14ac:dyDescent="0.35">
      <c r="A16041" s="34">
        <v>70142008</v>
      </c>
      <c r="B16041" s="35" t="s">
        <v>1765</v>
      </c>
    </row>
    <row r="16042" spans="1:2" x14ac:dyDescent="0.35">
      <c r="A16042" s="34">
        <v>70142009</v>
      </c>
      <c r="B16042" s="35" t="s">
        <v>431</v>
      </c>
    </row>
    <row r="16043" spans="1:2" x14ac:dyDescent="0.35">
      <c r="A16043" s="34">
        <v>70142010</v>
      </c>
      <c r="B16043" s="35" t="s">
        <v>18651</v>
      </c>
    </row>
    <row r="16044" spans="1:2" x14ac:dyDescent="0.35">
      <c r="A16044" s="34">
        <v>70142011</v>
      </c>
      <c r="B16044" s="35" t="s">
        <v>10803</v>
      </c>
    </row>
    <row r="16045" spans="1:2" x14ac:dyDescent="0.35">
      <c r="A16045" s="34">
        <v>70151501</v>
      </c>
      <c r="B16045" s="35" t="s">
        <v>18310</v>
      </c>
    </row>
    <row r="16046" spans="1:2" x14ac:dyDescent="0.35">
      <c r="A16046" s="34">
        <v>70151502</v>
      </c>
      <c r="B16046" s="35" t="s">
        <v>3514</v>
      </c>
    </row>
    <row r="16047" spans="1:2" x14ac:dyDescent="0.35">
      <c r="A16047" s="34">
        <v>70151503</v>
      </c>
      <c r="B16047" s="35" t="s">
        <v>12074</v>
      </c>
    </row>
    <row r="16048" spans="1:2" x14ac:dyDescent="0.35">
      <c r="A16048" s="34">
        <v>70151504</v>
      </c>
      <c r="B16048" s="35" t="s">
        <v>9239</v>
      </c>
    </row>
    <row r="16049" spans="1:2" x14ac:dyDescent="0.35">
      <c r="A16049" s="34">
        <v>70151505</v>
      </c>
      <c r="B16049" s="35" t="s">
        <v>4710</v>
      </c>
    </row>
    <row r="16050" spans="1:2" x14ac:dyDescent="0.35">
      <c r="A16050" s="34">
        <v>70151506</v>
      </c>
      <c r="B16050" s="35" t="s">
        <v>5717</v>
      </c>
    </row>
    <row r="16051" spans="1:2" x14ac:dyDescent="0.35">
      <c r="A16051" s="34">
        <v>70151507</v>
      </c>
      <c r="B16051" s="35" t="s">
        <v>4951</v>
      </c>
    </row>
    <row r="16052" spans="1:2" x14ac:dyDescent="0.35">
      <c r="A16052" s="34">
        <v>70151508</v>
      </c>
      <c r="B16052" s="35" t="s">
        <v>1143</v>
      </c>
    </row>
    <row r="16053" spans="1:2" x14ac:dyDescent="0.35">
      <c r="A16053" s="34">
        <v>70151509</v>
      </c>
      <c r="B16053" s="35" t="s">
        <v>17120</v>
      </c>
    </row>
    <row r="16054" spans="1:2" x14ac:dyDescent="0.35">
      <c r="A16054" s="34">
        <v>70151510</v>
      </c>
      <c r="B16054" s="35" t="s">
        <v>2473</v>
      </c>
    </row>
    <row r="16055" spans="1:2" x14ac:dyDescent="0.35">
      <c r="A16055" s="34">
        <v>70151601</v>
      </c>
      <c r="B16055" s="35" t="s">
        <v>1861</v>
      </c>
    </row>
    <row r="16056" spans="1:2" x14ac:dyDescent="0.35">
      <c r="A16056" s="34">
        <v>70151602</v>
      </c>
      <c r="B16056" s="35" t="s">
        <v>4826</v>
      </c>
    </row>
    <row r="16057" spans="1:2" x14ac:dyDescent="0.35">
      <c r="A16057" s="34">
        <v>70151603</v>
      </c>
      <c r="B16057" s="35" t="s">
        <v>15533</v>
      </c>
    </row>
    <row r="16058" spans="1:2" x14ac:dyDescent="0.35">
      <c r="A16058" s="34">
        <v>70151604</v>
      </c>
      <c r="B16058" s="35" t="s">
        <v>6045</v>
      </c>
    </row>
    <row r="16059" spans="1:2" x14ac:dyDescent="0.35">
      <c r="A16059" s="34">
        <v>70151605</v>
      </c>
      <c r="B16059" s="35" t="s">
        <v>18246</v>
      </c>
    </row>
    <row r="16060" spans="1:2" x14ac:dyDescent="0.35">
      <c r="A16060" s="34">
        <v>70151606</v>
      </c>
      <c r="B16060" s="35" t="s">
        <v>10117</v>
      </c>
    </row>
    <row r="16061" spans="1:2" x14ac:dyDescent="0.35">
      <c r="A16061" s="34">
        <v>70151701</v>
      </c>
      <c r="B16061" s="35" t="s">
        <v>8548</v>
      </c>
    </row>
    <row r="16062" spans="1:2" x14ac:dyDescent="0.35">
      <c r="A16062" s="34">
        <v>70151702</v>
      </c>
      <c r="B16062" s="35" t="s">
        <v>18495</v>
      </c>
    </row>
    <row r="16063" spans="1:2" x14ac:dyDescent="0.35">
      <c r="A16063" s="34">
        <v>70151703</v>
      </c>
      <c r="B16063" s="35" t="s">
        <v>16245</v>
      </c>
    </row>
    <row r="16064" spans="1:2" x14ac:dyDescent="0.35">
      <c r="A16064" s="34">
        <v>70151704</v>
      </c>
      <c r="B16064" s="35" t="s">
        <v>10194</v>
      </c>
    </row>
    <row r="16065" spans="1:2" x14ac:dyDescent="0.35">
      <c r="A16065" s="34">
        <v>70151705</v>
      </c>
      <c r="B16065" s="35" t="s">
        <v>16438</v>
      </c>
    </row>
    <row r="16066" spans="1:2" x14ac:dyDescent="0.35">
      <c r="A16066" s="34">
        <v>70151706</v>
      </c>
      <c r="B16066" s="35" t="s">
        <v>7684</v>
      </c>
    </row>
    <row r="16067" spans="1:2" x14ac:dyDescent="0.35">
      <c r="A16067" s="34">
        <v>70151707</v>
      </c>
      <c r="B16067" s="35" t="s">
        <v>3287</v>
      </c>
    </row>
    <row r="16068" spans="1:2" x14ac:dyDescent="0.35">
      <c r="A16068" s="34">
        <v>70151801</v>
      </c>
      <c r="B16068" s="35" t="s">
        <v>7093</v>
      </c>
    </row>
    <row r="16069" spans="1:2" x14ac:dyDescent="0.35">
      <c r="A16069" s="34">
        <v>70151802</v>
      </c>
      <c r="B16069" s="35" t="s">
        <v>9070</v>
      </c>
    </row>
    <row r="16070" spans="1:2" x14ac:dyDescent="0.35">
      <c r="A16070" s="34">
        <v>70151803</v>
      </c>
      <c r="B16070" s="35" t="s">
        <v>12254</v>
      </c>
    </row>
    <row r="16071" spans="1:2" x14ac:dyDescent="0.35">
      <c r="A16071" s="34">
        <v>70151804</v>
      </c>
      <c r="B16071" s="35" t="s">
        <v>5311</v>
      </c>
    </row>
    <row r="16072" spans="1:2" x14ac:dyDescent="0.35">
      <c r="A16072" s="34">
        <v>70151805</v>
      </c>
      <c r="B16072" s="35" t="s">
        <v>753</v>
      </c>
    </row>
    <row r="16073" spans="1:2" x14ac:dyDescent="0.35">
      <c r="A16073" s="34">
        <v>70151806</v>
      </c>
      <c r="B16073" s="35" t="s">
        <v>8288</v>
      </c>
    </row>
    <row r="16074" spans="1:2" x14ac:dyDescent="0.35">
      <c r="A16074" s="34">
        <v>70151807</v>
      </c>
      <c r="B16074" s="35" t="s">
        <v>544</v>
      </c>
    </row>
    <row r="16075" spans="1:2" x14ac:dyDescent="0.35">
      <c r="A16075" s="34">
        <v>70151901</v>
      </c>
      <c r="B16075" s="35" t="s">
        <v>5877</v>
      </c>
    </row>
    <row r="16076" spans="1:2" x14ac:dyDescent="0.35">
      <c r="A16076" s="34">
        <v>70151902</v>
      </c>
      <c r="B16076" s="35" t="s">
        <v>17333</v>
      </c>
    </row>
    <row r="16077" spans="1:2" x14ac:dyDescent="0.35">
      <c r="A16077" s="34">
        <v>70151903</v>
      </c>
      <c r="B16077" s="35" t="s">
        <v>2097</v>
      </c>
    </row>
    <row r="16078" spans="1:2" x14ac:dyDescent="0.35">
      <c r="A16078" s="34">
        <v>70151904</v>
      </c>
      <c r="B16078" s="35" t="s">
        <v>13682</v>
      </c>
    </row>
    <row r="16079" spans="1:2" x14ac:dyDescent="0.35">
      <c r="A16079" s="34">
        <v>70151905</v>
      </c>
      <c r="B16079" s="35" t="s">
        <v>4585</v>
      </c>
    </row>
    <row r="16080" spans="1:2" x14ac:dyDescent="0.35">
      <c r="A16080" s="34">
        <v>70151906</v>
      </c>
      <c r="B16080" s="35" t="s">
        <v>10964</v>
      </c>
    </row>
    <row r="16081" spans="1:2" x14ac:dyDescent="0.35">
      <c r="A16081" s="34">
        <v>70151907</v>
      </c>
      <c r="B16081" s="35" t="s">
        <v>17480</v>
      </c>
    </row>
    <row r="16082" spans="1:2" x14ac:dyDescent="0.35">
      <c r="A16082" s="34">
        <v>70151909</v>
      </c>
      <c r="B16082" s="35" t="s">
        <v>18311</v>
      </c>
    </row>
    <row r="16083" spans="1:2" x14ac:dyDescent="0.35">
      <c r="A16083" s="34">
        <v>70151910</v>
      </c>
      <c r="B16083" s="35" t="s">
        <v>9422</v>
      </c>
    </row>
    <row r="16084" spans="1:2" x14ac:dyDescent="0.35">
      <c r="A16084" s="34">
        <v>70161501</v>
      </c>
      <c r="B16084" s="35" t="s">
        <v>9276</v>
      </c>
    </row>
    <row r="16085" spans="1:2" x14ac:dyDescent="0.35">
      <c r="A16085" s="34">
        <v>70161601</v>
      </c>
      <c r="B16085" s="35" t="s">
        <v>629</v>
      </c>
    </row>
    <row r="16086" spans="1:2" x14ac:dyDescent="0.35">
      <c r="A16086" s="34">
        <v>70161701</v>
      </c>
      <c r="B16086" s="35" t="s">
        <v>17694</v>
      </c>
    </row>
    <row r="16087" spans="1:2" x14ac:dyDescent="0.35">
      <c r="A16087" s="34">
        <v>70161702</v>
      </c>
      <c r="B16087" s="35" t="s">
        <v>1903</v>
      </c>
    </row>
    <row r="16088" spans="1:2" x14ac:dyDescent="0.35">
      <c r="A16088" s="34">
        <v>70161703</v>
      </c>
      <c r="B16088" s="35" t="s">
        <v>13491</v>
      </c>
    </row>
    <row r="16089" spans="1:2" x14ac:dyDescent="0.35">
      <c r="A16089" s="34">
        <v>70161704</v>
      </c>
      <c r="B16089" s="35" t="s">
        <v>10973</v>
      </c>
    </row>
    <row r="16090" spans="1:2" x14ac:dyDescent="0.35">
      <c r="A16090" s="34">
        <v>70171501</v>
      </c>
      <c r="B16090" s="35" t="s">
        <v>3636</v>
      </c>
    </row>
    <row r="16091" spans="1:2" x14ac:dyDescent="0.35">
      <c r="A16091" s="34">
        <v>70171502</v>
      </c>
      <c r="B16091" s="35" t="s">
        <v>4552</v>
      </c>
    </row>
    <row r="16092" spans="1:2" x14ac:dyDescent="0.35">
      <c r="A16092" s="34">
        <v>70171503</v>
      </c>
      <c r="B16092" s="35" t="s">
        <v>10057</v>
      </c>
    </row>
    <row r="16093" spans="1:2" x14ac:dyDescent="0.35">
      <c r="A16093" s="34">
        <v>70171504</v>
      </c>
      <c r="B16093" s="35" t="s">
        <v>798</v>
      </c>
    </row>
    <row r="16094" spans="1:2" x14ac:dyDescent="0.35">
      <c r="A16094" s="34">
        <v>70171505</v>
      </c>
      <c r="B16094" s="35" t="s">
        <v>16868</v>
      </c>
    </row>
    <row r="16095" spans="1:2" x14ac:dyDescent="0.35">
      <c r="A16095" s="34">
        <v>70171506</v>
      </c>
      <c r="B16095" s="35" t="s">
        <v>12568</v>
      </c>
    </row>
    <row r="16096" spans="1:2" x14ac:dyDescent="0.35">
      <c r="A16096" s="34">
        <v>70171601</v>
      </c>
      <c r="B16096" s="35" t="s">
        <v>19251</v>
      </c>
    </row>
    <row r="16097" spans="1:2" x14ac:dyDescent="0.35">
      <c r="A16097" s="34">
        <v>70171602</v>
      </c>
      <c r="B16097" s="35" t="s">
        <v>2093</v>
      </c>
    </row>
    <row r="16098" spans="1:2" x14ac:dyDescent="0.35">
      <c r="A16098" s="34">
        <v>70171603</v>
      </c>
      <c r="B16098" s="35" t="s">
        <v>14355</v>
      </c>
    </row>
    <row r="16099" spans="1:2" x14ac:dyDescent="0.35">
      <c r="A16099" s="34">
        <v>70171604</v>
      </c>
      <c r="B16099" s="35" t="s">
        <v>18356</v>
      </c>
    </row>
    <row r="16100" spans="1:2" x14ac:dyDescent="0.35">
      <c r="A16100" s="34">
        <v>70171605</v>
      </c>
      <c r="B16100" s="35" t="s">
        <v>17083</v>
      </c>
    </row>
    <row r="16101" spans="1:2" x14ac:dyDescent="0.35">
      <c r="A16101" s="34">
        <v>70171606</v>
      </c>
      <c r="B16101" s="35" t="s">
        <v>2249</v>
      </c>
    </row>
    <row r="16102" spans="1:2" x14ac:dyDescent="0.35">
      <c r="A16102" s="34">
        <v>70171607</v>
      </c>
      <c r="B16102" s="35" t="s">
        <v>6244</v>
      </c>
    </row>
    <row r="16103" spans="1:2" x14ac:dyDescent="0.35">
      <c r="A16103" s="34">
        <v>70171701</v>
      </c>
      <c r="B16103" s="35" t="s">
        <v>1881</v>
      </c>
    </row>
    <row r="16104" spans="1:2" x14ac:dyDescent="0.35">
      <c r="A16104" s="34">
        <v>70171702</v>
      </c>
      <c r="B16104" s="35" t="s">
        <v>3846</v>
      </c>
    </row>
    <row r="16105" spans="1:2" x14ac:dyDescent="0.35">
      <c r="A16105" s="34">
        <v>70171703</v>
      </c>
      <c r="B16105" s="35" t="s">
        <v>8682</v>
      </c>
    </row>
    <row r="16106" spans="1:2" x14ac:dyDescent="0.35">
      <c r="A16106" s="34">
        <v>70171704</v>
      </c>
      <c r="B16106" s="35" t="s">
        <v>7595</v>
      </c>
    </row>
    <row r="16107" spans="1:2" x14ac:dyDescent="0.35">
      <c r="A16107" s="34">
        <v>70171705</v>
      </c>
      <c r="B16107" s="35" t="s">
        <v>1115</v>
      </c>
    </row>
    <row r="16108" spans="1:2" x14ac:dyDescent="0.35">
      <c r="A16108" s="34">
        <v>70171706</v>
      </c>
      <c r="B16108" s="35" t="s">
        <v>8735</v>
      </c>
    </row>
    <row r="16109" spans="1:2" x14ac:dyDescent="0.35">
      <c r="A16109" s="34">
        <v>70171707</v>
      </c>
      <c r="B16109" s="35" t="s">
        <v>12558</v>
      </c>
    </row>
    <row r="16110" spans="1:2" x14ac:dyDescent="0.35">
      <c r="A16110" s="34">
        <v>70171708</v>
      </c>
      <c r="B16110" s="35" t="s">
        <v>5030</v>
      </c>
    </row>
    <row r="16111" spans="1:2" x14ac:dyDescent="0.35">
      <c r="A16111" s="34">
        <v>70171709</v>
      </c>
      <c r="B16111" s="35" t="s">
        <v>13368</v>
      </c>
    </row>
    <row r="16112" spans="1:2" x14ac:dyDescent="0.35">
      <c r="A16112" s="34">
        <v>70171801</v>
      </c>
      <c r="B16112" s="35" t="s">
        <v>17179</v>
      </c>
    </row>
    <row r="16113" spans="1:2" x14ac:dyDescent="0.35">
      <c r="A16113" s="34">
        <v>70171802</v>
      </c>
      <c r="B16113" s="35" t="s">
        <v>8222</v>
      </c>
    </row>
    <row r="16114" spans="1:2" x14ac:dyDescent="0.35">
      <c r="A16114" s="34">
        <v>70171803</v>
      </c>
      <c r="B16114" s="35" t="s">
        <v>1958</v>
      </c>
    </row>
    <row r="16115" spans="1:2" x14ac:dyDescent="0.35">
      <c r="A16115" s="34">
        <v>71101501</v>
      </c>
      <c r="B16115" s="35" t="s">
        <v>8485</v>
      </c>
    </row>
    <row r="16116" spans="1:2" x14ac:dyDescent="0.35">
      <c r="A16116" s="34">
        <v>71101502</v>
      </c>
      <c r="B16116" s="35" t="s">
        <v>5015</v>
      </c>
    </row>
    <row r="16117" spans="1:2" x14ac:dyDescent="0.35">
      <c r="A16117" s="34">
        <v>71101601</v>
      </c>
      <c r="B16117" s="35" t="s">
        <v>12092</v>
      </c>
    </row>
    <row r="16118" spans="1:2" x14ac:dyDescent="0.35">
      <c r="A16118" s="34">
        <v>71101602</v>
      </c>
      <c r="B16118" s="35" t="s">
        <v>3453</v>
      </c>
    </row>
    <row r="16119" spans="1:2" x14ac:dyDescent="0.35">
      <c r="A16119" s="34">
        <v>71101701</v>
      </c>
      <c r="B16119" s="35" t="s">
        <v>16475</v>
      </c>
    </row>
    <row r="16120" spans="1:2" x14ac:dyDescent="0.35">
      <c r="A16120" s="34">
        <v>71101702</v>
      </c>
      <c r="B16120" s="35" t="s">
        <v>14216</v>
      </c>
    </row>
    <row r="16121" spans="1:2" x14ac:dyDescent="0.35">
      <c r="A16121" s="34">
        <v>71101703</v>
      </c>
      <c r="B16121" s="35" t="s">
        <v>12929</v>
      </c>
    </row>
    <row r="16122" spans="1:2" x14ac:dyDescent="0.35">
      <c r="A16122" s="34">
        <v>71101704</v>
      </c>
      <c r="B16122" s="35" t="s">
        <v>8781</v>
      </c>
    </row>
    <row r="16123" spans="1:2" x14ac:dyDescent="0.35">
      <c r="A16123" s="34">
        <v>71101705</v>
      </c>
      <c r="B16123" s="35" t="s">
        <v>5909</v>
      </c>
    </row>
    <row r="16124" spans="1:2" x14ac:dyDescent="0.35">
      <c r="A16124" s="34">
        <v>71101706</v>
      </c>
      <c r="B16124" s="35" t="s">
        <v>11724</v>
      </c>
    </row>
    <row r="16125" spans="1:2" x14ac:dyDescent="0.35">
      <c r="A16125" s="34">
        <v>71101707</v>
      </c>
      <c r="B16125" s="35" t="s">
        <v>3552</v>
      </c>
    </row>
    <row r="16126" spans="1:2" x14ac:dyDescent="0.35">
      <c r="A16126" s="34">
        <v>71101708</v>
      </c>
      <c r="B16126" s="35" t="s">
        <v>4909</v>
      </c>
    </row>
    <row r="16127" spans="1:2" x14ac:dyDescent="0.35">
      <c r="A16127" s="34">
        <v>71101709</v>
      </c>
      <c r="B16127" s="35" t="s">
        <v>11878</v>
      </c>
    </row>
    <row r="16128" spans="1:2" x14ac:dyDescent="0.35">
      <c r="A16128" s="34">
        <v>71112001</v>
      </c>
      <c r="B16128" s="35" t="s">
        <v>18873</v>
      </c>
    </row>
    <row r="16129" spans="1:2" x14ac:dyDescent="0.35">
      <c r="A16129" s="34">
        <v>71112002</v>
      </c>
      <c r="B16129" s="35" t="s">
        <v>7604</v>
      </c>
    </row>
    <row r="16130" spans="1:2" x14ac:dyDescent="0.35">
      <c r="A16130" s="34">
        <v>71112003</v>
      </c>
      <c r="B16130" s="35" t="s">
        <v>11988</v>
      </c>
    </row>
    <row r="16131" spans="1:2" x14ac:dyDescent="0.35">
      <c r="A16131" s="34">
        <v>71112004</v>
      </c>
      <c r="B16131" s="35" t="s">
        <v>5065</v>
      </c>
    </row>
    <row r="16132" spans="1:2" x14ac:dyDescent="0.35">
      <c r="A16132" s="34">
        <v>71112005</v>
      </c>
      <c r="B16132" s="35" t="s">
        <v>808</v>
      </c>
    </row>
    <row r="16133" spans="1:2" x14ac:dyDescent="0.35">
      <c r="A16133" s="34">
        <v>71112006</v>
      </c>
      <c r="B16133" s="35" t="s">
        <v>3213</v>
      </c>
    </row>
    <row r="16134" spans="1:2" x14ac:dyDescent="0.35">
      <c r="A16134" s="34">
        <v>71112007</v>
      </c>
      <c r="B16134" s="35" t="s">
        <v>13287</v>
      </c>
    </row>
    <row r="16135" spans="1:2" x14ac:dyDescent="0.35">
      <c r="A16135" s="34">
        <v>71112008</v>
      </c>
      <c r="B16135" s="35" t="s">
        <v>15914</v>
      </c>
    </row>
    <row r="16136" spans="1:2" x14ac:dyDescent="0.35">
      <c r="A16136" s="34">
        <v>71112009</v>
      </c>
      <c r="B16136" s="35" t="s">
        <v>15576</v>
      </c>
    </row>
    <row r="16137" spans="1:2" x14ac:dyDescent="0.35">
      <c r="A16137" s="34">
        <v>71112010</v>
      </c>
      <c r="B16137" s="35" t="s">
        <v>1607</v>
      </c>
    </row>
    <row r="16138" spans="1:2" x14ac:dyDescent="0.35">
      <c r="A16138" s="34">
        <v>71112011</v>
      </c>
      <c r="B16138" s="35" t="s">
        <v>14997</v>
      </c>
    </row>
    <row r="16139" spans="1:2" x14ac:dyDescent="0.35">
      <c r="A16139" s="34">
        <v>71112012</v>
      </c>
      <c r="B16139" s="35" t="s">
        <v>17834</v>
      </c>
    </row>
    <row r="16140" spans="1:2" x14ac:dyDescent="0.35">
      <c r="A16140" s="34">
        <v>71112013</v>
      </c>
      <c r="B16140" s="35" t="s">
        <v>10363</v>
      </c>
    </row>
    <row r="16141" spans="1:2" x14ac:dyDescent="0.35">
      <c r="A16141" s="34">
        <v>71112014</v>
      </c>
      <c r="B16141" s="35" t="s">
        <v>5789</v>
      </c>
    </row>
    <row r="16142" spans="1:2" x14ac:dyDescent="0.35">
      <c r="A16142" s="34">
        <v>71112015</v>
      </c>
      <c r="B16142" s="35" t="s">
        <v>17222</v>
      </c>
    </row>
    <row r="16143" spans="1:2" x14ac:dyDescent="0.35">
      <c r="A16143" s="34">
        <v>71112017</v>
      </c>
      <c r="B16143" s="35" t="s">
        <v>5141</v>
      </c>
    </row>
    <row r="16144" spans="1:2" x14ac:dyDescent="0.35">
      <c r="A16144" s="34">
        <v>71112018</v>
      </c>
      <c r="B16144" s="35" t="s">
        <v>3702</v>
      </c>
    </row>
    <row r="16145" spans="1:2" x14ac:dyDescent="0.35">
      <c r="A16145" s="34">
        <v>71112019</v>
      </c>
      <c r="B16145" s="35" t="s">
        <v>13480</v>
      </c>
    </row>
    <row r="16146" spans="1:2" x14ac:dyDescent="0.35">
      <c r="A16146" s="34">
        <v>71112020</v>
      </c>
      <c r="B16146" s="35" t="s">
        <v>13928</v>
      </c>
    </row>
    <row r="16147" spans="1:2" x14ac:dyDescent="0.35">
      <c r="A16147" s="34">
        <v>71112021</v>
      </c>
      <c r="B16147" s="35" t="s">
        <v>5296</v>
      </c>
    </row>
    <row r="16148" spans="1:2" x14ac:dyDescent="0.35">
      <c r="A16148" s="34">
        <v>71112022</v>
      </c>
      <c r="B16148" s="35" t="s">
        <v>8221</v>
      </c>
    </row>
    <row r="16149" spans="1:2" x14ac:dyDescent="0.35">
      <c r="A16149" s="34">
        <v>71112023</v>
      </c>
      <c r="B16149" s="35" t="s">
        <v>15803</v>
      </c>
    </row>
    <row r="16150" spans="1:2" x14ac:dyDescent="0.35">
      <c r="A16150" s="34">
        <v>71112024</v>
      </c>
      <c r="B16150" s="35" t="s">
        <v>18367</v>
      </c>
    </row>
    <row r="16151" spans="1:2" x14ac:dyDescent="0.35">
      <c r="A16151" s="34">
        <v>71112025</v>
      </c>
      <c r="B16151" s="35" t="s">
        <v>13638</v>
      </c>
    </row>
    <row r="16152" spans="1:2" x14ac:dyDescent="0.35">
      <c r="A16152" s="34">
        <v>71112026</v>
      </c>
      <c r="B16152" s="35" t="s">
        <v>18121</v>
      </c>
    </row>
    <row r="16153" spans="1:2" x14ac:dyDescent="0.35">
      <c r="A16153" s="34">
        <v>71112027</v>
      </c>
      <c r="B16153" s="35" t="s">
        <v>1504</v>
      </c>
    </row>
    <row r="16154" spans="1:2" x14ac:dyDescent="0.35">
      <c r="A16154" s="34">
        <v>71112028</v>
      </c>
      <c r="B16154" s="35" t="s">
        <v>1980</v>
      </c>
    </row>
    <row r="16155" spans="1:2" x14ac:dyDescent="0.35">
      <c r="A16155" s="34">
        <v>71112029</v>
      </c>
      <c r="B16155" s="35" t="s">
        <v>14857</v>
      </c>
    </row>
    <row r="16156" spans="1:2" x14ac:dyDescent="0.35">
      <c r="A16156" s="34">
        <v>71112030</v>
      </c>
      <c r="B16156" s="35" t="s">
        <v>15512</v>
      </c>
    </row>
    <row r="16157" spans="1:2" x14ac:dyDescent="0.35">
      <c r="A16157" s="34">
        <v>71112031</v>
      </c>
      <c r="B16157" s="35" t="s">
        <v>3843</v>
      </c>
    </row>
    <row r="16158" spans="1:2" x14ac:dyDescent="0.35">
      <c r="A16158" s="34">
        <v>71112101</v>
      </c>
      <c r="B16158" s="35" t="s">
        <v>98</v>
      </c>
    </row>
    <row r="16159" spans="1:2" x14ac:dyDescent="0.35">
      <c r="A16159" s="34">
        <v>71112102</v>
      </c>
      <c r="B16159" s="35" t="s">
        <v>11103</v>
      </c>
    </row>
    <row r="16160" spans="1:2" x14ac:dyDescent="0.35">
      <c r="A16160" s="34">
        <v>71112103</v>
      </c>
      <c r="B16160" s="35" t="s">
        <v>6529</v>
      </c>
    </row>
    <row r="16161" spans="1:2" x14ac:dyDescent="0.35">
      <c r="A16161" s="34">
        <v>71112104</v>
      </c>
      <c r="B16161" s="35" t="s">
        <v>13863</v>
      </c>
    </row>
    <row r="16162" spans="1:2" x14ac:dyDescent="0.35">
      <c r="A16162" s="34">
        <v>71112105</v>
      </c>
      <c r="B16162" s="35" t="s">
        <v>12343</v>
      </c>
    </row>
    <row r="16163" spans="1:2" x14ac:dyDescent="0.35">
      <c r="A16163" s="34">
        <v>71112106</v>
      </c>
      <c r="B16163" s="35" t="s">
        <v>4653</v>
      </c>
    </row>
    <row r="16164" spans="1:2" x14ac:dyDescent="0.35">
      <c r="A16164" s="34">
        <v>71112107</v>
      </c>
      <c r="B16164" s="35" t="s">
        <v>17954</v>
      </c>
    </row>
    <row r="16165" spans="1:2" x14ac:dyDescent="0.35">
      <c r="A16165" s="34">
        <v>71112108</v>
      </c>
      <c r="B16165" s="35" t="s">
        <v>13726</v>
      </c>
    </row>
    <row r="16166" spans="1:2" x14ac:dyDescent="0.35">
      <c r="A16166" s="34">
        <v>71112109</v>
      </c>
      <c r="B16166" s="35" t="s">
        <v>4117</v>
      </c>
    </row>
    <row r="16167" spans="1:2" x14ac:dyDescent="0.35">
      <c r="A16167" s="34">
        <v>71112110</v>
      </c>
      <c r="B16167" s="35" t="s">
        <v>11238</v>
      </c>
    </row>
    <row r="16168" spans="1:2" x14ac:dyDescent="0.35">
      <c r="A16168" s="34">
        <v>71112111</v>
      </c>
      <c r="B16168" s="35" t="s">
        <v>2617</v>
      </c>
    </row>
    <row r="16169" spans="1:2" x14ac:dyDescent="0.35">
      <c r="A16169" s="34">
        <v>71112112</v>
      </c>
      <c r="B16169" s="35" t="s">
        <v>8884</v>
      </c>
    </row>
    <row r="16170" spans="1:2" x14ac:dyDescent="0.35">
      <c r="A16170" s="34">
        <v>71112113</v>
      </c>
      <c r="B16170" s="35" t="s">
        <v>9448</v>
      </c>
    </row>
    <row r="16171" spans="1:2" x14ac:dyDescent="0.35">
      <c r="A16171" s="34">
        <v>71112114</v>
      </c>
      <c r="B16171" s="35" t="s">
        <v>410</v>
      </c>
    </row>
    <row r="16172" spans="1:2" x14ac:dyDescent="0.35">
      <c r="A16172" s="34">
        <v>71112115</v>
      </c>
      <c r="B16172" s="35" t="s">
        <v>9757</v>
      </c>
    </row>
    <row r="16173" spans="1:2" x14ac:dyDescent="0.35">
      <c r="A16173" s="34">
        <v>71112116</v>
      </c>
      <c r="B16173" s="35" t="s">
        <v>18679</v>
      </c>
    </row>
    <row r="16174" spans="1:2" x14ac:dyDescent="0.35">
      <c r="A16174" s="34">
        <v>71112117</v>
      </c>
      <c r="B16174" s="35" t="s">
        <v>18699</v>
      </c>
    </row>
    <row r="16175" spans="1:2" x14ac:dyDescent="0.35">
      <c r="A16175" s="34">
        <v>71112119</v>
      </c>
      <c r="B16175" s="35" t="s">
        <v>14520</v>
      </c>
    </row>
    <row r="16176" spans="1:2" x14ac:dyDescent="0.35">
      <c r="A16176" s="34">
        <v>71112120</v>
      </c>
      <c r="B16176" s="35" t="s">
        <v>18192</v>
      </c>
    </row>
    <row r="16177" spans="1:2" x14ac:dyDescent="0.35">
      <c r="A16177" s="34">
        <v>71112121</v>
      </c>
      <c r="B16177" s="35" t="s">
        <v>2388</v>
      </c>
    </row>
    <row r="16178" spans="1:2" x14ac:dyDescent="0.35">
      <c r="A16178" s="34">
        <v>71112122</v>
      </c>
      <c r="B16178" s="35" t="s">
        <v>11752</v>
      </c>
    </row>
    <row r="16179" spans="1:2" x14ac:dyDescent="0.35">
      <c r="A16179" s="34">
        <v>71112202</v>
      </c>
      <c r="B16179" s="35" t="s">
        <v>9657</v>
      </c>
    </row>
    <row r="16180" spans="1:2" x14ac:dyDescent="0.35">
      <c r="A16180" s="34">
        <v>71112203</v>
      </c>
      <c r="B16180" s="35" t="s">
        <v>4244</v>
      </c>
    </row>
    <row r="16181" spans="1:2" x14ac:dyDescent="0.35">
      <c r="A16181" s="34">
        <v>71112204</v>
      </c>
      <c r="B16181" s="35" t="s">
        <v>795</v>
      </c>
    </row>
    <row r="16182" spans="1:2" x14ac:dyDescent="0.35">
      <c r="A16182" s="34">
        <v>71112205</v>
      </c>
      <c r="B16182" s="35" t="s">
        <v>2060</v>
      </c>
    </row>
    <row r="16183" spans="1:2" x14ac:dyDescent="0.35">
      <c r="A16183" s="34">
        <v>71112206</v>
      </c>
      <c r="B16183" s="35" t="s">
        <v>1329</v>
      </c>
    </row>
    <row r="16184" spans="1:2" x14ac:dyDescent="0.35">
      <c r="A16184" s="34">
        <v>71112301</v>
      </c>
      <c r="B16184" s="35" t="s">
        <v>19384</v>
      </c>
    </row>
    <row r="16185" spans="1:2" x14ac:dyDescent="0.35">
      <c r="A16185" s="34">
        <v>71112302</v>
      </c>
      <c r="B16185" s="35" t="s">
        <v>6932</v>
      </c>
    </row>
    <row r="16186" spans="1:2" x14ac:dyDescent="0.35">
      <c r="A16186" s="34">
        <v>71112303</v>
      </c>
      <c r="B16186" s="35" t="s">
        <v>13475</v>
      </c>
    </row>
    <row r="16187" spans="1:2" x14ac:dyDescent="0.35">
      <c r="A16187" s="34">
        <v>71112304</v>
      </c>
      <c r="B16187" s="35" t="s">
        <v>16263</v>
      </c>
    </row>
    <row r="16188" spans="1:2" x14ac:dyDescent="0.35">
      <c r="A16188" s="34">
        <v>71112305</v>
      </c>
      <c r="B16188" s="35" t="s">
        <v>1127</v>
      </c>
    </row>
    <row r="16189" spans="1:2" x14ac:dyDescent="0.35">
      <c r="A16189" s="34">
        <v>71112306</v>
      </c>
      <c r="B16189" s="35" t="s">
        <v>3408</v>
      </c>
    </row>
    <row r="16190" spans="1:2" x14ac:dyDescent="0.35">
      <c r="A16190" s="34">
        <v>71112307</v>
      </c>
      <c r="B16190" s="35" t="s">
        <v>5740</v>
      </c>
    </row>
    <row r="16191" spans="1:2" x14ac:dyDescent="0.35">
      <c r="A16191" s="34">
        <v>71112308</v>
      </c>
      <c r="B16191" s="35" t="s">
        <v>13932</v>
      </c>
    </row>
    <row r="16192" spans="1:2" x14ac:dyDescent="0.35">
      <c r="A16192" s="34">
        <v>71112309</v>
      </c>
      <c r="B16192" s="35" t="s">
        <v>12151</v>
      </c>
    </row>
    <row r="16193" spans="1:2" x14ac:dyDescent="0.35">
      <c r="A16193" s="34">
        <v>71112310</v>
      </c>
      <c r="B16193" s="35" t="s">
        <v>12925</v>
      </c>
    </row>
    <row r="16194" spans="1:2" x14ac:dyDescent="0.35">
      <c r="A16194" s="34">
        <v>71112311</v>
      </c>
      <c r="B16194" s="35" t="s">
        <v>19463</v>
      </c>
    </row>
    <row r="16195" spans="1:2" x14ac:dyDescent="0.35">
      <c r="A16195" s="34">
        <v>71112312</v>
      </c>
      <c r="B16195" s="35" t="s">
        <v>11658</v>
      </c>
    </row>
    <row r="16196" spans="1:2" x14ac:dyDescent="0.35">
      <c r="A16196" s="34">
        <v>71112313</v>
      </c>
      <c r="B16196" s="35" t="s">
        <v>16114</v>
      </c>
    </row>
    <row r="16197" spans="1:2" x14ac:dyDescent="0.35">
      <c r="A16197" s="34">
        <v>71112314</v>
      </c>
      <c r="B16197" s="35" t="s">
        <v>16345</v>
      </c>
    </row>
    <row r="16198" spans="1:2" x14ac:dyDescent="0.35">
      <c r="A16198" s="34">
        <v>71112315</v>
      </c>
      <c r="B16198" s="35" t="s">
        <v>10543</v>
      </c>
    </row>
    <row r="16199" spans="1:2" x14ac:dyDescent="0.35">
      <c r="A16199" s="34">
        <v>71112316</v>
      </c>
      <c r="B16199" s="35" t="s">
        <v>15287</v>
      </c>
    </row>
    <row r="16200" spans="1:2" x14ac:dyDescent="0.35">
      <c r="A16200" s="34">
        <v>71112317</v>
      </c>
      <c r="B16200" s="35" t="s">
        <v>5760</v>
      </c>
    </row>
    <row r="16201" spans="1:2" x14ac:dyDescent="0.35">
      <c r="A16201" s="34">
        <v>71112318</v>
      </c>
      <c r="B16201" s="35" t="s">
        <v>17767</v>
      </c>
    </row>
    <row r="16202" spans="1:2" x14ac:dyDescent="0.35">
      <c r="A16202" s="34">
        <v>71112319</v>
      </c>
      <c r="B16202" s="35" t="s">
        <v>2984</v>
      </c>
    </row>
    <row r="16203" spans="1:2" x14ac:dyDescent="0.35">
      <c r="A16203" s="34">
        <v>71112320</v>
      </c>
      <c r="B16203" s="35" t="s">
        <v>8791</v>
      </c>
    </row>
    <row r="16204" spans="1:2" x14ac:dyDescent="0.35">
      <c r="A16204" s="34">
        <v>71112321</v>
      </c>
      <c r="B16204" s="35" t="s">
        <v>8241</v>
      </c>
    </row>
    <row r="16205" spans="1:2" x14ac:dyDescent="0.35">
      <c r="A16205" s="34">
        <v>71121001</v>
      </c>
      <c r="B16205" s="35" t="s">
        <v>8136</v>
      </c>
    </row>
    <row r="16206" spans="1:2" x14ac:dyDescent="0.35">
      <c r="A16206" s="34">
        <v>71121002</v>
      </c>
      <c r="B16206" s="35" t="s">
        <v>18572</v>
      </c>
    </row>
    <row r="16207" spans="1:2" x14ac:dyDescent="0.35">
      <c r="A16207" s="34">
        <v>71121003</v>
      </c>
      <c r="B16207" s="35" t="s">
        <v>19184</v>
      </c>
    </row>
    <row r="16208" spans="1:2" x14ac:dyDescent="0.35">
      <c r="A16208" s="34">
        <v>71121004</v>
      </c>
      <c r="B16208" s="35" t="s">
        <v>15166</v>
      </c>
    </row>
    <row r="16209" spans="1:2" x14ac:dyDescent="0.35">
      <c r="A16209" s="34">
        <v>71121005</v>
      </c>
      <c r="B16209" s="35" t="s">
        <v>18052</v>
      </c>
    </row>
    <row r="16210" spans="1:2" x14ac:dyDescent="0.35">
      <c r="A16210" s="34">
        <v>71121006</v>
      </c>
      <c r="B16210" s="35" t="s">
        <v>9145</v>
      </c>
    </row>
    <row r="16211" spans="1:2" x14ac:dyDescent="0.35">
      <c r="A16211" s="34">
        <v>71121007</v>
      </c>
      <c r="B16211" s="35" t="s">
        <v>2468</v>
      </c>
    </row>
    <row r="16212" spans="1:2" x14ac:dyDescent="0.35">
      <c r="A16212" s="34">
        <v>71121008</v>
      </c>
      <c r="B16212" s="35" t="s">
        <v>7485</v>
      </c>
    </row>
    <row r="16213" spans="1:2" x14ac:dyDescent="0.35">
      <c r="A16213" s="34">
        <v>71121009</v>
      </c>
      <c r="B16213" s="35" t="s">
        <v>5210</v>
      </c>
    </row>
    <row r="16214" spans="1:2" x14ac:dyDescent="0.35">
      <c r="A16214" s="34">
        <v>71121010</v>
      </c>
      <c r="B16214" s="35" t="s">
        <v>18411</v>
      </c>
    </row>
    <row r="16215" spans="1:2" x14ac:dyDescent="0.35">
      <c r="A16215" s="34">
        <v>71121011</v>
      </c>
      <c r="B16215" s="35" t="s">
        <v>14742</v>
      </c>
    </row>
    <row r="16216" spans="1:2" x14ac:dyDescent="0.35">
      <c r="A16216" s="34">
        <v>71121012</v>
      </c>
      <c r="B16216" s="35" t="s">
        <v>15919</v>
      </c>
    </row>
    <row r="16217" spans="1:2" x14ac:dyDescent="0.35">
      <c r="A16217" s="34">
        <v>71121013</v>
      </c>
      <c r="B16217" s="35" t="s">
        <v>2616</v>
      </c>
    </row>
    <row r="16218" spans="1:2" x14ac:dyDescent="0.35">
      <c r="A16218" s="34">
        <v>71121014</v>
      </c>
      <c r="B16218" s="35" t="s">
        <v>9537</v>
      </c>
    </row>
    <row r="16219" spans="1:2" x14ac:dyDescent="0.35">
      <c r="A16219" s="34">
        <v>71121015</v>
      </c>
      <c r="B16219" s="35" t="s">
        <v>2128</v>
      </c>
    </row>
    <row r="16220" spans="1:2" x14ac:dyDescent="0.35">
      <c r="A16220" s="34">
        <v>71121016</v>
      </c>
      <c r="B16220" s="35" t="s">
        <v>17939</v>
      </c>
    </row>
    <row r="16221" spans="1:2" x14ac:dyDescent="0.35">
      <c r="A16221" s="34">
        <v>71121017</v>
      </c>
      <c r="B16221" s="35" t="s">
        <v>11698</v>
      </c>
    </row>
    <row r="16222" spans="1:2" x14ac:dyDescent="0.35">
      <c r="A16222" s="34">
        <v>71121018</v>
      </c>
      <c r="B16222" s="35" t="s">
        <v>10506</v>
      </c>
    </row>
    <row r="16223" spans="1:2" x14ac:dyDescent="0.35">
      <c r="A16223" s="34">
        <v>71121019</v>
      </c>
      <c r="B16223" s="35" t="s">
        <v>18490</v>
      </c>
    </row>
    <row r="16224" spans="1:2" x14ac:dyDescent="0.35">
      <c r="A16224" s="34">
        <v>71121020</v>
      </c>
      <c r="B16224" s="35" t="s">
        <v>10592</v>
      </c>
    </row>
    <row r="16225" spans="1:2" x14ac:dyDescent="0.35">
      <c r="A16225" s="34">
        <v>71121021</v>
      </c>
      <c r="B16225" s="35" t="s">
        <v>7573</v>
      </c>
    </row>
    <row r="16226" spans="1:2" x14ac:dyDescent="0.35">
      <c r="A16226" s="34">
        <v>71121022</v>
      </c>
      <c r="B16226" s="35" t="s">
        <v>734</v>
      </c>
    </row>
    <row r="16227" spans="1:2" x14ac:dyDescent="0.35">
      <c r="A16227" s="34">
        <v>71121023</v>
      </c>
      <c r="B16227" s="35" t="s">
        <v>11125</v>
      </c>
    </row>
    <row r="16228" spans="1:2" x14ac:dyDescent="0.35">
      <c r="A16228" s="34">
        <v>71121101</v>
      </c>
      <c r="B16228" s="35" t="s">
        <v>16084</v>
      </c>
    </row>
    <row r="16229" spans="1:2" x14ac:dyDescent="0.35">
      <c r="A16229" s="34">
        <v>71121102</v>
      </c>
      <c r="B16229" s="35" t="s">
        <v>18244</v>
      </c>
    </row>
    <row r="16230" spans="1:2" x14ac:dyDescent="0.35">
      <c r="A16230" s="34">
        <v>71121103</v>
      </c>
      <c r="B16230" s="35" t="s">
        <v>7971</v>
      </c>
    </row>
    <row r="16231" spans="1:2" x14ac:dyDescent="0.35">
      <c r="A16231" s="34">
        <v>71121104</v>
      </c>
      <c r="B16231" s="35" t="s">
        <v>14700</v>
      </c>
    </row>
    <row r="16232" spans="1:2" x14ac:dyDescent="0.35">
      <c r="A16232" s="34">
        <v>71121105</v>
      </c>
      <c r="B16232" s="35" t="s">
        <v>11923</v>
      </c>
    </row>
    <row r="16233" spans="1:2" x14ac:dyDescent="0.35">
      <c r="A16233" s="34">
        <v>71121106</v>
      </c>
      <c r="B16233" s="35" t="s">
        <v>5539</v>
      </c>
    </row>
    <row r="16234" spans="1:2" x14ac:dyDescent="0.35">
      <c r="A16234" s="34">
        <v>71121107</v>
      </c>
      <c r="B16234" s="35" t="s">
        <v>19607</v>
      </c>
    </row>
    <row r="16235" spans="1:2" x14ac:dyDescent="0.35">
      <c r="A16235" s="34">
        <v>71121108</v>
      </c>
      <c r="B16235" s="35" t="s">
        <v>687</v>
      </c>
    </row>
    <row r="16236" spans="1:2" x14ac:dyDescent="0.35">
      <c r="A16236" s="34">
        <v>71121109</v>
      </c>
      <c r="B16236" s="35" t="s">
        <v>3682</v>
      </c>
    </row>
    <row r="16237" spans="1:2" x14ac:dyDescent="0.35">
      <c r="A16237" s="34">
        <v>71121110</v>
      </c>
      <c r="B16237" s="35" t="s">
        <v>12108</v>
      </c>
    </row>
    <row r="16238" spans="1:2" x14ac:dyDescent="0.35">
      <c r="A16238" s="34">
        <v>71121111</v>
      </c>
      <c r="B16238" s="35" t="s">
        <v>17864</v>
      </c>
    </row>
    <row r="16239" spans="1:2" x14ac:dyDescent="0.35">
      <c r="A16239" s="34">
        <v>71121112</v>
      </c>
      <c r="B16239" s="35" t="s">
        <v>11097</v>
      </c>
    </row>
    <row r="16240" spans="1:2" x14ac:dyDescent="0.35">
      <c r="A16240" s="34">
        <v>71121113</v>
      </c>
      <c r="B16240" s="35" t="s">
        <v>289</v>
      </c>
    </row>
    <row r="16241" spans="1:2" x14ac:dyDescent="0.35">
      <c r="A16241" s="34">
        <v>71121114</v>
      </c>
      <c r="B16241" s="35" t="s">
        <v>14438</v>
      </c>
    </row>
    <row r="16242" spans="1:2" x14ac:dyDescent="0.35">
      <c r="A16242" s="34">
        <v>71121115</v>
      </c>
      <c r="B16242" s="35" t="s">
        <v>13161</v>
      </c>
    </row>
    <row r="16243" spans="1:2" x14ac:dyDescent="0.35">
      <c r="A16243" s="34">
        <v>71121116</v>
      </c>
      <c r="B16243" s="35" t="s">
        <v>3931</v>
      </c>
    </row>
    <row r="16244" spans="1:2" x14ac:dyDescent="0.35">
      <c r="A16244" s="34">
        <v>71121117</v>
      </c>
      <c r="B16244" s="35" t="s">
        <v>16517</v>
      </c>
    </row>
    <row r="16245" spans="1:2" x14ac:dyDescent="0.35">
      <c r="A16245" s="34">
        <v>71121118</v>
      </c>
      <c r="B16245" s="35" t="s">
        <v>15740</v>
      </c>
    </row>
    <row r="16246" spans="1:2" x14ac:dyDescent="0.35">
      <c r="A16246" s="34">
        <v>71121119</v>
      </c>
      <c r="B16246" s="35" t="s">
        <v>3861</v>
      </c>
    </row>
    <row r="16247" spans="1:2" x14ac:dyDescent="0.35">
      <c r="A16247" s="34">
        <v>71121120</v>
      </c>
      <c r="B16247" s="35" t="s">
        <v>14463</v>
      </c>
    </row>
    <row r="16248" spans="1:2" x14ac:dyDescent="0.35">
      <c r="A16248" s="34">
        <v>71121121</v>
      </c>
      <c r="B16248" s="35" t="s">
        <v>1049</v>
      </c>
    </row>
    <row r="16249" spans="1:2" x14ac:dyDescent="0.35">
      <c r="A16249" s="34">
        <v>71121122</v>
      </c>
      <c r="B16249" s="35" t="s">
        <v>14484</v>
      </c>
    </row>
    <row r="16250" spans="1:2" x14ac:dyDescent="0.35">
      <c r="A16250" s="34">
        <v>71121123</v>
      </c>
      <c r="B16250" s="35" t="s">
        <v>6403</v>
      </c>
    </row>
    <row r="16251" spans="1:2" x14ac:dyDescent="0.35">
      <c r="A16251" s="34">
        <v>71121201</v>
      </c>
      <c r="B16251" s="35" t="s">
        <v>1952</v>
      </c>
    </row>
    <row r="16252" spans="1:2" x14ac:dyDescent="0.35">
      <c r="A16252" s="34">
        <v>71121202</v>
      </c>
      <c r="B16252" s="35" t="s">
        <v>11547</v>
      </c>
    </row>
    <row r="16253" spans="1:2" x14ac:dyDescent="0.35">
      <c r="A16253" s="34">
        <v>71121203</v>
      </c>
      <c r="B16253" s="35" t="s">
        <v>6564</v>
      </c>
    </row>
    <row r="16254" spans="1:2" x14ac:dyDescent="0.35">
      <c r="A16254" s="34">
        <v>71121204</v>
      </c>
      <c r="B16254" s="35" t="s">
        <v>18341</v>
      </c>
    </row>
    <row r="16255" spans="1:2" x14ac:dyDescent="0.35">
      <c r="A16255" s="34">
        <v>71121205</v>
      </c>
      <c r="B16255" s="35" t="s">
        <v>606</v>
      </c>
    </row>
    <row r="16256" spans="1:2" x14ac:dyDescent="0.35">
      <c r="A16256" s="34">
        <v>71121206</v>
      </c>
      <c r="B16256" s="35" t="s">
        <v>1874</v>
      </c>
    </row>
    <row r="16257" spans="1:2" x14ac:dyDescent="0.35">
      <c r="A16257" s="34">
        <v>71121207</v>
      </c>
      <c r="B16257" s="35" t="s">
        <v>4179</v>
      </c>
    </row>
    <row r="16258" spans="1:2" x14ac:dyDescent="0.35">
      <c r="A16258" s="34">
        <v>71121208</v>
      </c>
      <c r="B16258" s="35" t="s">
        <v>17140</v>
      </c>
    </row>
    <row r="16259" spans="1:2" x14ac:dyDescent="0.35">
      <c r="A16259" s="34">
        <v>71121301</v>
      </c>
      <c r="B16259" s="35" t="s">
        <v>14570</v>
      </c>
    </row>
    <row r="16260" spans="1:2" x14ac:dyDescent="0.35">
      <c r="A16260" s="34">
        <v>71121302</v>
      </c>
      <c r="B16260" s="35" t="s">
        <v>13209</v>
      </c>
    </row>
    <row r="16261" spans="1:2" x14ac:dyDescent="0.35">
      <c r="A16261" s="34">
        <v>71121303</v>
      </c>
      <c r="B16261" s="35" t="s">
        <v>12689</v>
      </c>
    </row>
    <row r="16262" spans="1:2" x14ac:dyDescent="0.35">
      <c r="A16262" s="34">
        <v>71121304</v>
      </c>
      <c r="B16262" s="35" t="s">
        <v>18962</v>
      </c>
    </row>
    <row r="16263" spans="1:2" x14ac:dyDescent="0.35">
      <c r="A16263" s="34">
        <v>71121305</v>
      </c>
      <c r="B16263" s="35" t="s">
        <v>2743</v>
      </c>
    </row>
    <row r="16264" spans="1:2" x14ac:dyDescent="0.35">
      <c r="A16264" s="34">
        <v>71121401</v>
      </c>
      <c r="B16264" s="35" t="s">
        <v>6991</v>
      </c>
    </row>
    <row r="16265" spans="1:2" x14ac:dyDescent="0.35">
      <c r="A16265" s="34">
        <v>71121402</v>
      </c>
      <c r="B16265" s="35" t="s">
        <v>608</v>
      </c>
    </row>
    <row r="16266" spans="1:2" x14ac:dyDescent="0.35">
      <c r="A16266" s="34">
        <v>71121403</v>
      </c>
      <c r="B16266" s="35" t="s">
        <v>18442</v>
      </c>
    </row>
    <row r="16267" spans="1:2" x14ac:dyDescent="0.35">
      <c r="A16267" s="34">
        <v>71121404</v>
      </c>
      <c r="B16267" s="35" t="s">
        <v>15318</v>
      </c>
    </row>
    <row r="16268" spans="1:2" x14ac:dyDescent="0.35">
      <c r="A16268" s="34">
        <v>71121405</v>
      </c>
      <c r="B16268" s="35" t="s">
        <v>16038</v>
      </c>
    </row>
    <row r="16269" spans="1:2" x14ac:dyDescent="0.35">
      <c r="A16269" s="34">
        <v>71121406</v>
      </c>
      <c r="B16269" s="35" t="s">
        <v>4405</v>
      </c>
    </row>
    <row r="16270" spans="1:2" x14ac:dyDescent="0.35">
      <c r="A16270" s="34">
        <v>71121407</v>
      </c>
      <c r="B16270" s="35" t="s">
        <v>5830</v>
      </c>
    </row>
    <row r="16271" spans="1:2" x14ac:dyDescent="0.35">
      <c r="A16271" s="34">
        <v>71121501</v>
      </c>
      <c r="B16271" s="35" t="s">
        <v>11559</v>
      </c>
    </row>
    <row r="16272" spans="1:2" x14ac:dyDescent="0.35">
      <c r="A16272" s="34">
        <v>71121502</v>
      </c>
      <c r="B16272" s="35" t="s">
        <v>12438</v>
      </c>
    </row>
    <row r="16273" spans="1:2" x14ac:dyDescent="0.35">
      <c r="A16273" s="34">
        <v>71121503</v>
      </c>
      <c r="B16273" s="35" t="s">
        <v>4377</v>
      </c>
    </row>
    <row r="16274" spans="1:2" x14ac:dyDescent="0.35">
      <c r="A16274" s="34">
        <v>71121504</v>
      </c>
      <c r="B16274" s="35" t="s">
        <v>5104</v>
      </c>
    </row>
    <row r="16275" spans="1:2" x14ac:dyDescent="0.35">
      <c r="A16275" s="34">
        <v>71121505</v>
      </c>
      <c r="B16275" s="35" t="s">
        <v>12646</v>
      </c>
    </row>
    <row r="16276" spans="1:2" x14ac:dyDescent="0.35">
      <c r="A16276" s="34">
        <v>71121506</v>
      </c>
      <c r="B16276" s="35" t="s">
        <v>14206</v>
      </c>
    </row>
    <row r="16277" spans="1:2" x14ac:dyDescent="0.35">
      <c r="A16277" s="34">
        <v>71121507</v>
      </c>
      <c r="B16277" s="35" t="s">
        <v>6360</v>
      </c>
    </row>
    <row r="16278" spans="1:2" x14ac:dyDescent="0.35">
      <c r="A16278" s="34">
        <v>71121508</v>
      </c>
      <c r="B16278" s="35" t="s">
        <v>674</v>
      </c>
    </row>
    <row r="16279" spans="1:2" x14ac:dyDescent="0.35">
      <c r="A16279" s="34">
        <v>71121509</v>
      </c>
      <c r="B16279" s="35" t="s">
        <v>19468</v>
      </c>
    </row>
    <row r="16280" spans="1:2" x14ac:dyDescent="0.35">
      <c r="A16280" s="34">
        <v>71121510</v>
      </c>
      <c r="B16280" s="35" t="s">
        <v>4129</v>
      </c>
    </row>
    <row r="16281" spans="1:2" x14ac:dyDescent="0.35">
      <c r="A16281" s="34">
        <v>71121511</v>
      </c>
      <c r="B16281" s="35" t="s">
        <v>7365</v>
      </c>
    </row>
    <row r="16282" spans="1:2" x14ac:dyDescent="0.35">
      <c r="A16282" s="34">
        <v>71121512</v>
      </c>
      <c r="B16282" s="35" t="s">
        <v>12825</v>
      </c>
    </row>
    <row r="16283" spans="1:2" x14ac:dyDescent="0.35">
      <c r="A16283" s="34">
        <v>71121513</v>
      </c>
      <c r="B16283" s="35" t="s">
        <v>467</v>
      </c>
    </row>
    <row r="16284" spans="1:2" x14ac:dyDescent="0.35">
      <c r="A16284" s="34">
        <v>71121514</v>
      </c>
      <c r="B16284" s="35" t="s">
        <v>15972</v>
      </c>
    </row>
    <row r="16285" spans="1:2" x14ac:dyDescent="0.35">
      <c r="A16285" s="34">
        <v>71121515</v>
      </c>
      <c r="B16285" s="35" t="s">
        <v>1200</v>
      </c>
    </row>
    <row r="16286" spans="1:2" x14ac:dyDescent="0.35">
      <c r="A16286" s="34">
        <v>71121516</v>
      </c>
      <c r="B16286" s="35" t="s">
        <v>5883</v>
      </c>
    </row>
    <row r="16287" spans="1:2" x14ac:dyDescent="0.35">
      <c r="A16287" s="34">
        <v>71121601</v>
      </c>
      <c r="B16287" s="35" t="s">
        <v>5546</v>
      </c>
    </row>
    <row r="16288" spans="1:2" x14ac:dyDescent="0.35">
      <c r="A16288" s="34">
        <v>71121602</v>
      </c>
      <c r="B16288" s="35" t="s">
        <v>8085</v>
      </c>
    </row>
    <row r="16289" spans="1:2" x14ac:dyDescent="0.35">
      <c r="A16289" s="34">
        <v>71121603</v>
      </c>
      <c r="B16289" s="35" t="s">
        <v>6767</v>
      </c>
    </row>
    <row r="16290" spans="1:2" x14ac:dyDescent="0.35">
      <c r="A16290" s="34">
        <v>71121604</v>
      </c>
      <c r="B16290" s="35" t="s">
        <v>1240</v>
      </c>
    </row>
    <row r="16291" spans="1:2" x14ac:dyDescent="0.35">
      <c r="A16291" s="34">
        <v>71121605</v>
      </c>
      <c r="B16291" s="35" t="s">
        <v>12640</v>
      </c>
    </row>
    <row r="16292" spans="1:2" x14ac:dyDescent="0.35">
      <c r="A16292" s="34">
        <v>71121606</v>
      </c>
      <c r="B16292" s="35" t="s">
        <v>13453</v>
      </c>
    </row>
    <row r="16293" spans="1:2" x14ac:dyDescent="0.35">
      <c r="A16293" s="34">
        <v>71121607</v>
      </c>
      <c r="B16293" s="35" t="s">
        <v>16431</v>
      </c>
    </row>
    <row r="16294" spans="1:2" x14ac:dyDescent="0.35">
      <c r="A16294" s="34">
        <v>71121608</v>
      </c>
      <c r="B16294" s="35" t="s">
        <v>6725</v>
      </c>
    </row>
    <row r="16295" spans="1:2" x14ac:dyDescent="0.35">
      <c r="A16295" s="34">
        <v>71121609</v>
      </c>
      <c r="B16295" s="35" t="s">
        <v>10745</v>
      </c>
    </row>
    <row r="16296" spans="1:2" x14ac:dyDescent="0.35">
      <c r="A16296" s="34">
        <v>71121610</v>
      </c>
      <c r="B16296" s="35" t="s">
        <v>6441</v>
      </c>
    </row>
    <row r="16297" spans="1:2" x14ac:dyDescent="0.35">
      <c r="A16297" s="34">
        <v>71121611</v>
      </c>
      <c r="B16297" s="35" t="s">
        <v>16196</v>
      </c>
    </row>
    <row r="16298" spans="1:2" x14ac:dyDescent="0.35">
      <c r="A16298" s="34">
        <v>71121612</v>
      </c>
      <c r="B16298" s="35" t="s">
        <v>2320</v>
      </c>
    </row>
    <row r="16299" spans="1:2" x14ac:dyDescent="0.35">
      <c r="A16299" s="34">
        <v>71121613</v>
      </c>
      <c r="B16299" s="35" t="s">
        <v>1546</v>
      </c>
    </row>
    <row r="16300" spans="1:2" x14ac:dyDescent="0.35">
      <c r="A16300" s="34">
        <v>71121614</v>
      </c>
      <c r="B16300" s="35" t="s">
        <v>5836</v>
      </c>
    </row>
    <row r="16301" spans="1:2" x14ac:dyDescent="0.35">
      <c r="A16301" s="34">
        <v>71121615</v>
      </c>
      <c r="B16301" s="35" t="s">
        <v>13219</v>
      </c>
    </row>
    <row r="16302" spans="1:2" x14ac:dyDescent="0.35">
      <c r="A16302" s="34">
        <v>71121616</v>
      </c>
      <c r="B16302" s="35" t="s">
        <v>1244</v>
      </c>
    </row>
    <row r="16303" spans="1:2" x14ac:dyDescent="0.35">
      <c r="A16303" s="34">
        <v>71121617</v>
      </c>
      <c r="B16303" s="35" t="s">
        <v>3558</v>
      </c>
    </row>
    <row r="16304" spans="1:2" x14ac:dyDescent="0.35">
      <c r="A16304" s="34">
        <v>71121618</v>
      </c>
      <c r="B16304" s="35" t="s">
        <v>12625</v>
      </c>
    </row>
    <row r="16305" spans="1:2" x14ac:dyDescent="0.35">
      <c r="A16305" s="34">
        <v>71121619</v>
      </c>
      <c r="B16305" s="35" t="s">
        <v>295</v>
      </c>
    </row>
    <row r="16306" spans="1:2" x14ac:dyDescent="0.35">
      <c r="A16306" s="34">
        <v>71121620</v>
      </c>
      <c r="B16306" s="35" t="s">
        <v>17065</v>
      </c>
    </row>
    <row r="16307" spans="1:2" x14ac:dyDescent="0.35">
      <c r="A16307" s="34">
        <v>71121621</v>
      </c>
      <c r="B16307" s="35" t="s">
        <v>16470</v>
      </c>
    </row>
    <row r="16308" spans="1:2" x14ac:dyDescent="0.35">
      <c r="A16308" s="34">
        <v>71121622</v>
      </c>
      <c r="B16308" s="35" t="s">
        <v>2745</v>
      </c>
    </row>
    <row r="16309" spans="1:2" x14ac:dyDescent="0.35">
      <c r="A16309" s="34">
        <v>71121623</v>
      </c>
      <c r="B16309" s="35" t="s">
        <v>9135</v>
      </c>
    </row>
    <row r="16310" spans="1:2" x14ac:dyDescent="0.35">
      <c r="A16310" s="34">
        <v>71121624</v>
      </c>
      <c r="B16310" s="35" t="s">
        <v>2720</v>
      </c>
    </row>
    <row r="16311" spans="1:2" x14ac:dyDescent="0.35">
      <c r="A16311" s="34">
        <v>71121625</v>
      </c>
      <c r="B16311" s="35" t="s">
        <v>8036</v>
      </c>
    </row>
    <row r="16312" spans="1:2" x14ac:dyDescent="0.35">
      <c r="A16312" s="34">
        <v>71121626</v>
      </c>
      <c r="B16312" s="35" t="s">
        <v>4284</v>
      </c>
    </row>
    <row r="16313" spans="1:2" x14ac:dyDescent="0.35">
      <c r="A16313" s="34">
        <v>71121627</v>
      </c>
      <c r="B16313" s="35" t="s">
        <v>12184</v>
      </c>
    </row>
    <row r="16314" spans="1:2" x14ac:dyDescent="0.35">
      <c r="A16314" s="34">
        <v>71121628</v>
      </c>
      <c r="B16314" s="35" t="s">
        <v>948</v>
      </c>
    </row>
    <row r="16315" spans="1:2" x14ac:dyDescent="0.35">
      <c r="A16315" s="34">
        <v>71121629</v>
      </c>
      <c r="B16315" s="35" t="s">
        <v>5515</v>
      </c>
    </row>
    <row r="16316" spans="1:2" x14ac:dyDescent="0.35">
      <c r="A16316" s="34">
        <v>71121630</v>
      </c>
      <c r="B16316" s="35" t="s">
        <v>2835</v>
      </c>
    </row>
    <row r="16317" spans="1:2" x14ac:dyDescent="0.35">
      <c r="A16317" s="34">
        <v>71121631</v>
      </c>
      <c r="B16317" s="35" t="s">
        <v>15981</v>
      </c>
    </row>
    <row r="16318" spans="1:2" x14ac:dyDescent="0.35">
      <c r="A16318" s="34">
        <v>71121632</v>
      </c>
      <c r="B16318" s="35" t="s">
        <v>14811</v>
      </c>
    </row>
    <row r="16319" spans="1:2" x14ac:dyDescent="0.35">
      <c r="A16319" s="34">
        <v>71121633</v>
      </c>
      <c r="B16319" s="35" t="s">
        <v>14512</v>
      </c>
    </row>
    <row r="16320" spans="1:2" x14ac:dyDescent="0.35">
      <c r="A16320" s="34">
        <v>71121634</v>
      </c>
      <c r="B16320" s="35" t="s">
        <v>4396</v>
      </c>
    </row>
    <row r="16321" spans="1:2" x14ac:dyDescent="0.35">
      <c r="A16321" s="34">
        <v>71121635</v>
      </c>
      <c r="B16321" s="35" t="s">
        <v>16837</v>
      </c>
    </row>
    <row r="16322" spans="1:2" x14ac:dyDescent="0.35">
      <c r="A16322" s="34">
        <v>71121636</v>
      </c>
      <c r="B16322" s="35" t="s">
        <v>2244</v>
      </c>
    </row>
    <row r="16323" spans="1:2" x14ac:dyDescent="0.35">
      <c r="A16323" s="34">
        <v>71121637</v>
      </c>
      <c r="B16323" s="35" t="s">
        <v>14152</v>
      </c>
    </row>
    <row r="16324" spans="1:2" x14ac:dyDescent="0.35">
      <c r="A16324" s="34">
        <v>71121701</v>
      </c>
      <c r="B16324" s="35" t="s">
        <v>6092</v>
      </c>
    </row>
    <row r="16325" spans="1:2" x14ac:dyDescent="0.35">
      <c r="A16325" s="34">
        <v>71121702</v>
      </c>
      <c r="B16325" s="35" t="s">
        <v>4010</v>
      </c>
    </row>
    <row r="16326" spans="1:2" x14ac:dyDescent="0.35">
      <c r="A16326" s="34">
        <v>71121703</v>
      </c>
      <c r="B16326" s="35" t="s">
        <v>3604</v>
      </c>
    </row>
    <row r="16327" spans="1:2" x14ac:dyDescent="0.35">
      <c r="A16327" s="34">
        <v>71121704</v>
      </c>
      <c r="B16327" s="35" t="s">
        <v>15309</v>
      </c>
    </row>
    <row r="16328" spans="1:2" x14ac:dyDescent="0.35">
      <c r="A16328" s="34">
        <v>71121705</v>
      </c>
      <c r="B16328" s="35" t="s">
        <v>301</v>
      </c>
    </row>
    <row r="16329" spans="1:2" x14ac:dyDescent="0.35">
      <c r="A16329" s="34">
        <v>71121706</v>
      </c>
      <c r="B16329" s="35" t="s">
        <v>3511</v>
      </c>
    </row>
    <row r="16330" spans="1:2" x14ac:dyDescent="0.35">
      <c r="A16330" s="34">
        <v>71121801</v>
      </c>
      <c r="B16330" s="35" t="s">
        <v>11635</v>
      </c>
    </row>
    <row r="16331" spans="1:2" x14ac:dyDescent="0.35">
      <c r="A16331" s="34">
        <v>71121802</v>
      </c>
      <c r="B16331" s="35" t="s">
        <v>2969</v>
      </c>
    </row>
    <row r="16332" spans="1:2" x14ac:dyDescent="0.35">
      <c r="A16332" s="34">
        <v>71121803</v>
      </c>
      <c r="B16332" s="35" t="s">
        <v>9400</v>
      </c>
    </row>
    <row r="16333" spans="1:2" x14ac:dyDescent="0.35">
      <c r="A16333" s="34">
        <v>71121804</v>
      </c>
      <c r="B16333" s="35" t="s">
        <v>18507</v>
      </c>
    </row>
    <row r="16334" spans="1:2" x14ac:dyDescent="0.35">
      <c r="A16334" s="34">
        <v>71121901</v>
      </c>
      <c r="B16334" s="35" t="s">
        <v>7452</v>
      </c>
    </row>
    <row r="16335" spans="1:2" x14ac:dyDescent="0.35">
      <c r="A16335" s="34">
        <v>71121902</v>
      </c>
      <c r="B16335" s="35" t="s">
        <v>6921</v>
      </c>
    </row>
    <row r="16336" spans="1:2" x14ac:dyDescent="0.35">
      <c r="A16336" s="34">
        <v>71121903</v>
      </c>
      <c r="B16336" s="35" t="s">
        <v>15445</v>
      </c>
    </row>
    <row r="16337" spans="1:2" x14ac:dyDescent="0.35">
      <c r="A16337" s="34">
        <v>71122001</v>
      </c>
      <c r="B16337" s="35" t="s">
        <v>18985</v>
      </c>
    </row>
    <row r="16338" spans="1:2" x14ac:dyDescent="0.35">
      <c r="A16338" s="34">
        <v>71122002</v>
      </c>
      <c r="B16338" s="35" t="s">
        <v>13126</v>
      </c>
    </row>
    <row r="16339" spans="1:2" x14ac:dyDescent="0.35">
      <c r="A16339" s="34">
        <v>71122003</v>
      </c>
      <c r="B16339" s="35" t="s">
        <v>4458</v>
      </c>
    </row>
    <row r="16340" spans="1:2" x14ac:dyDescent="0.35">
      <c r="A16340" s="34">
        <v>71122004</v>
      </c>
      <c r="B16340" s="35" t="s">
        <v>17028</v>
      </c>
    </row>
    <row r="16341" spans="1:2" x14ac:dyDescent="0.35">
      <c r="A16341" s="34">
        <v>71122005</v>
      </c>
      <c r="B16341" s="35" t="s">
        <v>19315</v>
      </c>
    </row>
    <row r="16342" spans="1:2" x14ac:dyDescent="0.35">
      <c r="A16342" s="34">
        <v>71122006</v>
      </c>
      <c r="B16342" s="35" t="s">
        <v>12350</v>
      </c>
    </row>
    <row r="16343" spans="1:2" x14ac:dyDescent="0.35">
      <c r="A16343" s="34">
        <v>71122101</v>
      </c>
      <c r="B16343" s="35" t="s">
        <v>11205</v>
      </c>
    </row>
    <row r="16344" spans="1:2" x14ac:dyDescent="0.35">
      <c r="A16344" s="34">
        <v>71122102</v>
      </c>
      <c r="B16344" s="35" t="s">
        <v>10598</v>
      </c>
    </row>
    <row r="16345" spans="1:2" x14ac:dyDescent="0.35">
      <c r="A16345" s="34">
        <v>71122103</v>
      </c>
      <c r="B16345" s="35" t="s">
        <v>10995</v>
      </c>
    </row>
    <row r="16346" spans="1:2" x14ac:dyDescent="0.35">
      <c r="A16346" s="34">
        <v>71122104</v>
      </c>
      <c r="B16346" s="35" t="s">
        <v>14684</v>
      </c>
    </row>
    <row r="16347" spans="1:2" x14ac:dyDescent="0.35">
      <c r="A16347" s="34">
        <v>71122105</v>
      </c>
      <c r="B16347" s="35" t="s">
        <v>3149</v>
      </c>
    </row>
    <row r="16348" spans="1:2" x14ac:dyDescent="0.35">
      <c r="A16348" s="34">
        <v>71122107</v>
      </c>
      <c r="B16348" s="35" t="s">
        <v>7199</v>
      </c>
    </row>
    <row r="16349" spans="1:2" x14ac:dyDescent="0.35">
      <c r="A16349" s="34">
        <v>71122108</v>
      </c>
      <c r="B16349" s="35" t="s">
        <v>3337</v>
      </c>
    </row>
    <row r="16350" spans="1:2" x14ac:dyDescent="0.35">
      <c r="A16350" s="34">
        <v>71122109</v>
      </c>
      <c r="B16350" s="35" t="s">
        <v>7785</v>
      </c>
    </row>
    <row r="16351" spans="1:2" x14ac:dyDescent="0.35">
      <c r="A16351" s="34">
        <v>71122110</v>
      </c>
      <c r="B16351" s="35" t="s">
        <v>6401</v>
      </c>
    </row>
    <row r="16352" spans="1:2" x14ac:dyDescent="0.35">
      <c r="A16352" s="34">
        <v>71122111</v>
      </c>
      <c r="B16352" s="35" t="s">
        <v>4058</v>
      </c>
    </row>
    <row r="16353" spans="1:2" x14ac:dyDescent="0.35">
      <c r="A16353" s="34">
        <v>71122112</v>
      </c>
      <c r="B16353" s="35" t="s">
        <v>19219</v>
      </c>
    </row>
    <row r="16354" spans="1:2" x14ac:dyDescent="0.35">
      <c r="A16354" s="34">
        <v>71122113</v>
      </c>
      <c r="B16354" s="35" t="s">
        <v>3454</v>
      </c>
    </row>
    <row r="16355" spans="1:2" x14ac:dyDescent="0.35">
      <c r="A16355" s="34">
        <v>71122114</v>
      </c>
      <c r="B16355" s="35" t="s">
        <v>4584</v>
      </c>
    </row>
    <row r="16356" spans="1:2" x14ac:dyDescent="0.35">
      <c r="A16356" s="34">
        <v>71122115</v>
      </c>
      <c r="B16356" s="35" t="s">
        <v>16293</v>
      </c>
    </row>
    <row r="16357" spans="1:2" x14ac:dyDescent="0.35">
      <c r="A16357" s="34">
        <v>71122116</v>
      </c>
      <c r="B16357" s="35" t="s">
        <v>1995</v>
      </c>
    </row>
    <row r="16358" spans="1:2" x14ac:dyDescent="0.35">
      <c r="A16358" s="34">
        <v>71122201</v>
      </c>
      <c r="B16358" s="35" t="s">
        <v>7126</v>
      </c>
    </row>
    <row r="16359" spans="1:2" x14ac:dyDescent="0.35">
      <c r="A16359" s="34">
        <v>71122202</v>
      </c>
      <c r="B16359" s="35" t="s">
        <v>12948</v>
      </c>
    </row>
    <row r="16360" spans="1:2" x14ac:dyDescent="0.35">
      <c r="A16360" s="34">
        <v>71122203</v>
      </c>
      <c r="B16360" s="35" t="s">
        <v>3463</v>
      </c>
    </row>
    <row r="16361" spans="1:2" x14ac:dyDescent="0.35">
      <c r="A16361" s="34">
        <v>71122301</v>
      </c>
      <c r="B16361" s="35" t="s">
        <v>15251</v>
      </c>
    </row>
    <row r="16362" spans="1:2" x14ac:dyDescent="0.35">
      <c r="A16362" s="34">
        <v>71122302</v>
      </c>
      <c r="B16362" s="35" t="s">
        <v>18133</v>
      </c>
    </row>
    <row r="16363" spans="1:2" x14ac:dyDescent="0.35">
      <c r="A16363" s="34">
        <v>71122303</v>
      </c>
      <c r="B16363" s="35" t="s">
        <v>2103</v>
      </c>
    </row>
    <row r="16364" spans="1:2" x14ac:dyDescent="0.35">
      <c r="A16364" s="34">
        <v>71122304</v>
      </c>
      <c r="B16364" s="35" t="s">
        <v>7020</v>
      </c>
    </row>
    <row r="16365" spans="1:2" x14ac:dyDescent="0.35">
      <c r="A16365" s="34">
        <v>71122305</v>
      </c>
      <c r="B16365" s="35" t="s">
        <v>4791</v>
      </c>
    </row>
    <row r="16366" spans="1:2" x14ac:dyDescent="0.35">
      <c r="A16366" s="34">
        <v>71122306</v>
      </c>
      <c r="B16366" s="35" t="s">
        <v>14560</v>
      </c>
    </row>
    <row r="16367" spans="1:2" x14ac:dyDescent="0.35">
      <c r="A16367" s="34">
        <v>71122401</v>
      </c>
      <c r="B16367" s="35" t="s">
        <v>6051</v>
      </c>
    </row>
    <row r="16368" spans="1:2" x14ac:dyDescent="0.35">
      <c r="A16368" s="34">
        <v>71122402</v>
      </c>
      <c r="B16368" s="35" t="s">
        <v>16710</v>
      </c>
    </row>
    <row r="16369" spans="1:2" x14ac:dyDescent="0.35">
      <c r="A16369" s="34">
        <v>71122403</v>
      </c>
      <c r="B16369" s="35" t="s">
        <v>6934</v>
      </c>
    </row>
    <row r="16370" spans="1:2" x14ac:dyDescent="0.35">
      <c r="A16370" s="34">
        <v>71122404</v>
      </c>
      <c r="B16370" s="35" t="s">
        <v>19520</v>
      </c>
    </row>
    <row r="16371" spans="1:2" x14ac:dyDescent="0.35">
      <c r="A16371" s="34">
        <v>71122405</v>
      </c>
      <c r="B16371" s="35" t="s">
        <v>8722</v>
      </c>
    </row>
    <row r="16372" spans="1:2" x14ac:dyDescent="0.35">
      <c r="A16372" s="34">
        <v>71122406</v>
      </c>
      <c r="B16372" s="35" t="s">
        <v>15653</v>
      </c>
    </row>
    <row r="16373" spans="1:2" x14ac:dyDescent="0.35">
      <c r="A16373" s="34">
        <v>71122407</v>
      </c>
      <c r="B16373" s="35" t="s">
        <v>4800</v>
      </c>
    </row>
    <row r="16374" spans="1:2" x14ac:dyDescent="0.35">
      <c r="A16374" s="34">
        <v>71122408</v>
      </c>
      <c r="B16374" s="35" t="s">
        <v>3541</v>
      </c>
    </row>
    <row r="16375" spans="1:2" x14ac:dyDescent="0.35">
      <c r="A16375" s="34">
        <v>71122409</v>
      </c>
      <c r="B16375" s="35" t="s">
        <v>2719</v>
      </c>
    </row>
    <row r="16376" spans="1:2" x14ac:dyDescent="0.35">
      <c r="A16376" s="34">
        <v>71122410</v>
      </c>
      <c r="B16376" s="35" t="s">
        <v>16210</v>
      </c>
    </row>
    <row r="16377" spans="1:2" x14ac:dyDescent="0.35">
      <c r="A16377" s="34">
        <v>71122501</v>
      </c>
      <c r="B16377" s="35" t="s">
        <v>16108</v>
      </c>
    </row>
    <row r="16378" spans="1:2" x14ac:dyDescent="0.35">
      <c r="A16378" s="34">
        <v>71122502</v>
      </c>
      <c r="B16378" s="35" t="s">
        <v>4006</v>
      </c>
    </row>
    <row r="16379" spans="1:2" x14ac:dyDescent="0.35">
      <c r="A16379" s="34">
        <v>71122503</v>
      </c>
      <c r="B16379" s="35" t="s">
        <v>4859</v>
      </c>
    </row>
    <row r="16380" spans="1:2" x14ac:dyDescent="0.35">
      <c r="A16380" s="34">
        <v>71122504</v>
      </c>
      <c r="B16380" s="35" t="s">
        <v>3987</v>
      </c>
    </row>
    <row r="16381" spans="1:2" x14ac:dyDescent="0.35">
      <c r="A16381" s="34">
        <v>71122505</v>
      </c>
      <c r="B16381" s="35" t="s">
        <v>15014</v>
      </c>
    </row>
    <row r="16382" spans="1:2" x14ac:dyDescent="0.35">
      <c r="A16382" s="34">
        <v>71122601</v>
      </c>
      <c r="B16382" s="35" t="s">
        <v>14115</v>
      </c>
    </row>
    <row r="16383" spans="1:2" x14ac:dyDescent="0.35">
      <c r="A16383" s="34">
        <v>71122602</v>
      </c>
      <c r="B16383" s="35" t="s">
        <v>5903</v>
      </c>
    </row>
    <row r="16384" spans="1:2" x14ac:dyDescent="0.35">
      <c r="A16384" s="34">
        <v>71122603</v>
      </c>
      <c r="B16384" s="35" t="s">
        <v>1135</v>
      </c>
    </row>
    <row r="16385" spans="1:2" x14ac:dyDescent="0.35">
      <c r="A16385" s="34">
        <v>71122604</v>
      </c>
      <c r="B16385" s="35" t="s">
        <v>14540</v>
      </c>
    </row>
    <row r="16386" spans="1:2" x14ac:dyDescent="0.35">
      <c r="A16386" s="34">
        <v>71122605</v>
      </c>
      <c r="B16386" s="35" t="s">
        <v>12469</v>
      </c>
    </row>
    <row r="16387" spans="1:2" x14ac:dyDescent="0.35">
      <c r="A16387" s="34">
        <v>71122606</v>
      </c>
      <c r="B16387" s="35" t="s">
        <v>7294</v>
      </c>
    </row>
    <row r="16388" spans="1:2" x14ac:dyDescent="0.35">
      <c r="A16388" s="34">
        <v>71122607</v>
      </c>
      <c r="B16388" s="35" t="s">
        <v>17291</v>
      </c>
    </row>
    <row r="16389" spans="1:2" x14ac:dyDescent="0.35">
      <c r="A16389" s="34">
        <v>71122608</v>
      </c>
      <c r="B16389" s="35" t="s">
        <v>16271</v>
      </c>
    </row>
    <row r="16390" spans="1:2" x14ac:dyDescent="0.35">
      <c r="A16390" s="34">
        <v>71122609</v>
      </c>
      <c r="B16390" s="35" t="s">
        <v>5461</v>
      </c>
    </row>
    <row r="16391" spans="1:2" x14ac:dyDescent="0.35">
      <c r="A16391" s="34">
        <v>71122610</v>
      </c>
      <c r="B16391" s="35" t="s">
        <v>12196</v>
      </c>
    </row>
    <row r="16392" spans="1:2" x14ac:dyDescent="0.35">
      <c r="A16392" s="34">
        <v>71122611</v>
      </c>
      <c r="B16392" s="35" t="s">
        <v>13245</v>
      </c>
    </row>
    <row r="16393" spans="1:2" x14ac:dyDescent="0.35">
      <c r="A16393" s="34">
        <v>71122612</v>
      </c>
      <c r="B16393" s="35" t="s">
        <v>15082</v>
      </c>
    </row>
    <row r="16394" spans="1:2" x14ac:dyDescent="0.35">
      <c r="A16394" s="34">
        <v>71122613</v>
      </c>
      <c r="B16394" s="35" t="s">
        <v>9266</v>
      </c>
    </row>
    <row r="16395" spans="1:2" x14ac:dyDescent="0.35">
      <c r="A16395" s="34">
        <v>71122701</v>
      </c>
      <c r="B16395" s="35" t="s">
        <v>10105</v>
      </c>
    </row>
    <row r="16396" spans="1:2" x14ac:dyDescent="0.35">
      <c r="A16396" s="34">
        <v>71122702</v>
      </c>
      <c r="B16396" s="35" t="s">
        <v>1671</v>
      </c>
    </row>
    <row r="16397" spans="1:2" x14ac:dyDescent="0.35">
      <c r="A16397" s="34">
        <v>71122703</v>
      </c>
      <c r="B16397" s="35" t="s">
        <v>7524</v>
      </c>
    </row>
    <row r="16398" spans="1:2" x14ac:dyDescent="0.35">
      <c r="A16398" s="34">
        <v>71122704</v>
      </c>
      <c r="B16398" s="35" t="s">
        <v>16542</v>
      </c>
    </row>
    <row r="16399" spans="1:2" x14ac:dyDescent="0.35">
      <c r="A16399" s="34">
        <v>71122705</v>
      </c>
      <c r="B16399" s="35" t="s">
        <v>2690</v>
      </c>
    </row>
    <row r="16400" spans="1:2" x14ac:dyDescent="0.35">
      <c r="A16400" s="34">
        <v>71122706</v>
      </c>
      <c r="B16400" s="35" t="s">
        <v>6539</v>
      </c>
    </row>
    <row r="16401" spans="1:2" x14ac:dyDescent="0.35">
      <c r="A16401" s="34">
        <v>71122707</v>
      </c>
      <c r="B16401" s="35" t="s">
        <v>6093</v>
      </c>
    </row>
    <row r="16402" spans="1:2" x14ac:dyDescent="0.35">
      <c r="A16402" s="34">
        <v>71122708</v>
      </c>
      <c r="B16402" s="35" t="s">
        <v>7298</v>
      </c>
    </row>
    <row r="16403" spans="1:2" x14ac:dyDescent="0.35">
      <c r="A16403" s="34">
        <v>71122801</v>
      </c>
      <c r="B16403" s="35" t="s">
        <v>5264</v>
      </c>
    </row>
    <row r="16404" spans="1:2" x14ac:dyDescent="0.35">
      <c r="A16404" s="34">
        <v>71122802</v>
      </c>
      <c r="B16404" s="35" t="s">
        <v>14258</v>
      </c>
    </row>
    <row r="16405" spans="1:2" x14ac:dyDescent="0.35">
      <c r="A16405" s="34">
        <v>71122803</v>
      </c>
      <c r="B16405" s="35" t="s">
        <v>12581</v>
      </c>
    </row>
    <row r="16406" spans="1:2" x14ac:dyDescent="0.35">
      <c r="A16406" s="34">
        <v>71122804</v>
      </c>
      <c r="B16406" s="35" t="s">
        <v>10036</v>
      </c>
    </row>
    <row r="16407" spans="1:2" x14ac:dyDescent="0.35">
      <c r="A16407" s="34">
        <v>71122805</v>
      </c>
      <c r="B16407" s="35" t="s">
        <v>7895</v>
      </c>
    </row>
    <row r="16408" spans="1:2" x14ac:dyDescent="0.35">
      <c r="A16408" s="34">
        <v>71122806</v>
      </c>
      <c r="B16408" s="35" t="s">
        <v>15871</v>
      </c>
    </row>
    <row r="16409" spans="1:2" x14ac:dyDescent="0.35">
      <c r="A16409" s="34">
        <v>71122807</v>
      </c>
      <c r="B16409" s="35" t="s">
        <v>19297</v>
      </c>
    </row>
    <row r="16410" spans="1:2" x14ac:dyDescent="0.35">
      <c r="A16410" s="34">
        <v>71122808</v>
      </c>
      <c r="B16410" s="35" t="s">
        <v>2403</v>
      </c>
    </row>
    <row r="16411" spans="1:2" x14ac:dyDescent="0.35">
      <c r="A16411" s="34">
        <v>71122810</v>
      </c>
      <c r="B16411" s="35" t="s">
        <v>13024</v>
      </c>
    </row>
    <row r="16412" spans="1:2" x14ac:dyDescent="0.35">
      <c r="A16412" s="34">
        <v>71122901</v>
      </c>
      <c r="B16412" s="35" t="s">
        <v>17288</v>
      </c>
    </row>
    <row r="16413" spans="1:2" x14ac:dyDescent="0.35">
      <c r="A16413" s="34">
        <v>71122902</v>
      </c>
      <c r="B16413" s="35" t="s">
        <v>2721</v>
      </c>
    </row>
    <row r="16414" spans="1:2" x14ac:dyDescent="0.35">
      <c r="A16414" s="34">
        <v>71122903</v>
      </c>
      <c r="B16414" s="35" t="s">
        <v>16752</v>
      </c>
    </row>
    <row r="16415" spans="1:2" x14ac:dyDescent="0.35">
      <c r="A16415" s="34">
        <v>71122904</v>
      </c>
      <c r="B16415" s="35" t="s">
        <v>17635</v>
      </c>
    </row>
    <row r="16416" spans="1:2" x14ac:dyDescent="0.35">
      <c r="A16416" s="34">
        <v>71122905</v>
      </c>
      <c r="B16416" s="35" t="s">
        <v>15237</v>
      </c>
    </row>
    <row r="16417" spans="1:2" x14ac:dyDescent="0.35">
      <c r="A16417" s="34">
        <v>71131001</v>
      </c>
      <c r="B16417" s="35" t="s">
        <v>6064</v>
      </c>
    </row>
    <row r="16418" spans="1:2" x14ac:dyDescent="0.35">
      <c r="A16418" s="34">
        <v>71131002</v>
      </c>
      <c r="B16418" s="35" t="s">
        <v>11000</v>
      </c>
    </row>
    <row r="16419" spans="1:2" x14ac:dyDescent="0.35">
      <c r="A16419" s="34">
        <v>71131003</v>
      </c>
      <c r="B16419" s="35" t="s">
        <v>17348</v>
      </c>
    </row>
    <row r="16420" spans="1:2" x14ac:dyDescent="0.35">
      <c r="A16420" s="34">
        <v>71131004</v>
      </c>
      <c r="B16420" s="35" t="s">
        <v>15293</v>
      </c>
    </row>
    <row r="16421" spans="1:2" x14ac:dyDescent="0.35">
      <c r="A16421" s="34">
        <v>71131005</v>
      </c>
      <c r="B16421" s="35" t="s">
        <v>8464</v>
      </c>
    </row>
    <row r="16422" spans="1:2" x14ac:dyDescent="0.35">
      <c r="A16422" s="34">
        <v>71131006</v>
      </c>
      <c r="B16422" s="35" t="s">
        <v>8416</v>
      </c>
    </row>
    <row r="16423" spans="1:2" x14ac:dyDescent="0.35">
      <c r="A16423" s="34">
        <v>71131007</v>
      </c>
      <c r="B16423" s="35" t="s">
        <v>447</v>
      </c>
    </row>
    <row r="16424" spans="1:2" x14ac:dyDescent="0.35">
      <c r="A16424" s="34">
        <v>71131008</v>
      </c>
      <c r="B16424" s="35" t="s">
        <v>19040</v>
      </c>
    </row>
    <row r="16425" spans="1:2" x14ac:dyDescent="0.35">
      <c r="A16425" s="34">
        <v>71131009</v>
      </c>
      <c r="B16425" s="35" t="s">
        <v>13066</v>
      </c>
    </row>
    <row r="16426" spans="1:2" x14ac:dyDescent="0.35">
      <c r="A16426" s="34">
        <v>71131010</v>
      </c>
      <c r="B16426" s="35" t="s">
        <v>12920</v>
      </c>
    </row>
    <row r="16427" spans="1:2" x14ac:dyDescent="0.35">
      <c r="A16427" s="34">
        <v>71131011</v>
      </c>
      <c r="B16427" s="35" t="s">
        <v>17729</v>
      </c>
    </row>
    <row r="16428" spans="1:2" x14ac:dyDescent="0.35">
      <c r="A16428" s="34">
        <v>71131012</v>
      </c>
      <c r="B16428" s="35" t="s">
        <v>1810</v>
      </c>
    </row>
    <row r="16429" spans="1:2" x14ac:dyDescent="0.35">
      <c r="A16429" s="34">
        <v>71131013</v>
      </c>
      <c r="B16429" s="35" t="s">
        <v>5832</v>
      </c>
    </row>
    <row r="16430" spans="1:2" x14ac:dyDescent="0.35">
      <c r="A16430" s="34">
        <v>71131014</v>
      </c>
      <c r="B16430" s="35" t="s">
        <v>11651</v>
      </c>
    </row>
    <row r="16431" spans="1:2" x14ac:dyDescent="0.35">
      <c r="A16431" s="34">
        <v>71131015</v>
      </c>
      <c r="B16431" s="35" t="s">
        <v>17842</v>
      </c>
    </row>
    <row r="16432" spans="1:2" x14ac:dyDescent="0.35">
      <c r="A16432" s="34">
        <v>71131016</v>
      </c>
      <c r="B16432" s="35" t="s">
        <v>908</v>
      </c>
    </row>
    <row r="16433" spans="1:2" x14ac:dyDescent="0.35">
      <c r="A16433" s="34">
        <v>71131017</v>
      </c>
      <c r="B16433" s="35" t="s">
        <v>8616</v>
      </c>
    </row>
    <row r="16434" spans="1:2" x14ac:dyDescent="0.35">
      <c r="A16434" s="34">
        <v>71131101</v>
      </c>
      <c r="B16434" s="35" t="s">
        <v>7037</v>
      </c>
    </row>
    <row r="16435" spans="1:2" x14ac:dyDescent="0.35">
      <c r="A16435" s="34">
        <v>71131102</v>
      </c>
      <c r="B16435" s="35" t="s">
        <v>15488</v>
      </c>
    </row>
    <row r="16436" spans="1:2" x14ac:dyDescent="0.35">
      <c r="A16436" s="34">
        <v>71131103</v>
      </c>
      <c r="B16436" s="35" t="s">
        <v>19000</v>
      </c>
    </row>
    <row r="16437" spans="1:2" x14ac:dyDescent="0.35">
      <c r="A16437" s="34">
        <v>71131104</v>
      </c>
      <c r="B16437" s="35" t="s">
        <v>8157</v>
      </c>
    </row>
    <row r="16438" spans="1:2" x14ac:dyDescent="0.35">
      <c r="A16438" s="34">
        <v>71131105</v>
      </c>
      <c r="B16438" s="35" t="s">
        <v>6415</v>
      </c>
    </row>
    <row r="16439" spans="1:2" x14ac:dyDescent="0.35">
      <c r="A16439" s="34">
        <v>71131106</v>
      </c>
      <c r="B16439" s="35" t="s">
        <v>14011</v>
      </c>
    </row>
    <row r="16440" spans="1:2" x14ac:dyDescent="0.35">
      <c r="A16440" s="34">
        <v>71131107</v>
      </c>
      <c r="B16440" s="35" t="s">
        <v>13619</v>
      </c>
    </row>
    <row r="16441" spans="1:2" x14ac:dyDescent="0.35">
      <c r="A16441" s="34">
        <v>71131108</v>
      </c>
      <c r="B16441" s="35" t="s">
        <v>13394</v>
      </c>
    </row>
    <row r="16442" spans="1:2" x14ac:dyDescent="0.35">
      <c r="A16442" s="34">
        <v>71131109</v>
      </c>
      <c r="B16442" s="35" t="s">
        <v>1152</v>
      </c>
    </row>
    <row r="16443" spans="1:2" x14ac:dyDescent="0.35">
      <c r="A16443" s="34">
        <v>71131110</v>
      </c>
      <c r="B16443" s="35" t="s">
        <v>3918</v>
      </c>
    </row>
    <row r="16444" spans="1:2" x14ac:dyDescent="0.35">
      <c r="A16444" s="34">
        <v>71131111</v>
      </c>
      <c r="B16444" s="35" t="s">
        <v>10262</v>
      </c>
    </row>
    <row r="16445" spans="1:2" x14ac:dyDescent="0.35">
      <c r="A16445" s="34">
        <v>71131201</v>
      </c>
      <c r="B16445" s="35" t="s">
        <v>10349</v>
      </c>
    </row>
    <row r="16446" spans="1:2" x14ac:dyDescent="0.35">
      <c r="A16446" s="34">
        <v>71131301</v>
      </c>
      <c r="B16446" s="35" t="s">
        <v>9035</v>
      </c>
    </row>
    <row r="16447" spans="1:2" x14ac:dyDescent="0.35">
      <c r="A16447" s="34">
        <v>71131302</v>
      </c>
      <c r="B16447" s="35" t="s">
        <v>18614</v>
      </c>
    </row>
    <row r="16448" spans="1:2" x14ac:dyDescent="0.35">
      <c r="A16448" s="34">
        <v>71131303</v>
      </c>
      <c r="B16448" s="35" t="s">
        <v>9386</v>
      </c>
    </row>
    <row r="16449" spans="1:2" x14ac:dyDescent="0.35">
      <c r="A16449" s="34">
        <v>71131304</v>
      </c>
      <c r="B16449" s="35" t="s">
        <v>10249</v>
      </c>
    </row>
    <row r="16450" spans="1:2" x14ac:dyDescent="0.35">
      <c r="A16450" s="34">
        <v>71131305</v>
      </c>
      <c r="B16450" s="35" t="s">
        <v>18733</v>
      </c>
    </row>
    <row r="16451" spans="1:2" x14ac:dyDescent="0.35">
      <c r="A16451" s="34">
        <v>71131306</v>
      </c>
      <c r="B16451" s="35" t="s">
        <v>4328</v>
      </c>
    </row>
    <row r="16452" spans="1:2" x14ac:dyDescent="0.35">
      <c r="A16452" s="34">
        <v>71131307</v>
      </c>
      <c r="B16452" s="35" t="s">
        <v>14806</v>
      </c>
    </row>
    <row r="16453" spans="1:2" x14ac:dyDescent="0.35">
      <c r="A16453" s="34">
        <v>71131308</v>
      </c>
      <c r="B16453" s="35" t="s">
        <v>2949</v>
      </c>
    </row>
    <row r="16454" spans="1:2" x14ac:dyDescent="0.35">
      <c r="A16454" s="34">
        <v>71131309</v>
      </c>
      <c r="B16454" s="35" t="s">
        <v>15039</v>
      </c>
    </row>
    <row r="16455" spans="1:2" x14ac:dyDescent="0.35">
      <c r="A16455" s="34">
        <v>71131310</v>
      </c>
      <c r="B16455" s="35" t="s">
        <v>18629</v>
      </c>
    </row>
    <row r="16456" spans="1:2" x14ac:dyDescent="0.35">
      <c r="A16456" s="34">
        <v>71131401</v>
      </c>
      <c r="B16456" s="35" t="s">
        <v>12908</v>
      </c>
    </row>
    <row r="16457" spans="1:2" x14ac:dyDescent="0.35">
      <c r="A16457" s="34">
        <v>71131402</v>
      </c>
      <c r="B16457" s="35" t="s">
        <v>19312</v>
      </c>
    </row>
    <row r="16458" spans="1:2" x14ac:dyDescent="0.35">
      <c r="A16458" s="34">
        <v>71131403</v>
      </c>
      <c r="B16458" s="35" t="s">
        <v>15802</v>
      </c>
    </row>
    <row r="16459" spans="1:2" x14ac:dyDescent="0.35">
      <c r="A16459" s="34">
        <v>71141001</v>
      </c>
      <c r="B16459" s="35" t="s">
        <v>1064</v>
      </c>
    </row>
    <row r="16460" spans="1:2" x14ac:dyDescent="0.35">
      <c r="A16460" s="34">
        <v>71141002</v>
      </c>
      <c r="B16460" s="35" t="s">
        <v>5183</v>
      </c>
    </row>
    <row r="16461" spans="1:2" x14ac:dyDescent="0.35">
      <c r="A16461" s="34">
        <v>71141003</v>
      </c>
      <c r="B16461" s="35" t="s">
        <v>19105</v>
      </c>
    </row>
    <row r="16462" spans="1:2" x14ac:dyDescent="0.35">
      <c r="A16462" s="34">
        <v>71141004</v>
      </c>
      <c r="B16462" s="35" t="s">
        <v>10588</v>
      </c>
    </row>
    <row r="16463" spans="1:2" x14ac:dyDescent="0.35">
      <c r="A16463" s="34">
        <v>71141101</v>
      </c>
      <c r="B16463" s="35" t="s">
        <v>11942</v>
      </c>
    </row>
    <row r="16464" spans="1:2" x14ac:dyDescent="0.35">
      <c r="A16464" s="34">
        <v>71141102</v>
      </c>
      <c r="B16464" s="35" t="s">
        <v>3343</v>
      </c>
    </row>
    <row r="16465" spans="1:2" x14ac:dyDescent="0.35">
      <c r="A16465" s="34">
        <v>71141201</v>
      </c>
      <c r="B16465" s="35" t="s">
        <v>1927</v>
      </c>
    </row>
    <row r="16466" spans="1:2" x14ac:dyDescent="0.35">
      <c r="A16466" s="34">
        <v>71141202</v>
      </c>
      <c r="B16466" s="35" t="s">
        <v>17702</v>
      </c>
    </row>
    <row r="16467" spans="1:2" x14ac:dyDescent="0.35">
      <c r="A16467" s="34">
        <v>71151001</v>
      </c>
      <c r="B16467" s="35" t="s">
        <v>9107</v>
      </c>
    </row>
    <row r="16468" spans="1:2" x14ac:dyDescent="0.35">
      <c r="A16468" s="34">
        <v>71151002</v>
      </c>
      <c r="B16468" s="35" t="s">
        <v>8497</v>
      </c>
    </row>
    <row r="16469" spans="1:2" x14ac:dyDescent="0.35">
      <c r="A16469" s="34">
        <v>71151003</v>
      </c>
      <c r="B16469" s="35" t="s">
        <v>4407</v>
      </c>
    </row>
    <row r="16470" spans="1:2" x14ac:dyDescent="0.35">
      <c r="A16470" s="34">
        <v>71151004</v>
      </c>
      <c r="B16470" s="35" t="s">
        <v>14411</v>
      </c>
    </row>
    <row r="16471" spans="1:2" x14ac:dyDescent="0.35">
      <c r="A16471" s="34">
        <v>71151005</v>
      </c>
      <c r="B16471" s="35" t="s">
        <v>5936</v>
      </c>
    </row>
    <row r="16472" spans="1:2" x14ac:dyDescent="0.35">
      <c r="A16472" s="34">
        <v>71151101</v>
      </c>
      <c r="B16472" s="35" t="s">
        <v>8278</v>
      </c>
    </row>
    <row r="16473" spans="1:2" x14ac:dyDescent="0.35">
      <c r="A16473" s="34">
        <v>71151102</v>
      </c>
      <c r="B16473" s="35" t="s">
        <v>17048</v>
      </c>
    </row>
    <row r="16474" spans="1:2" x14ac:dyDescent="0.35">
      <c r="A16474" s="34">
        <v>71151103</v>
      </c>
      <c r="B16474" s="35" t="s">
        <v>5866</v>
      </c>
    </row>
    <row r="16475" spans="1:2" x14ac:dyDescent="0.35">
      <c r="A16475" s="34">
        <v>71151104</v>
      </c>
      <c r="B16475" s="35" t="s">
        <v>12762</v>
      </c>
    </row>
    <row r="16476" spans="1:2" x14ac:dyDescent="0.35">
      <c r="A16476" s="34">
        <v>71151105</v>
      </c>
      <c r="B16476" s="35" t="s">
        <v>1833</v>
      </c>
    </row>
    <row r="16477" spans="1:2" x14ac:dyDescent="0.35">
      <c r="A16477" s="34">
        <v>71151201</v>
      </c>
      <c r="B16477" s="35" t="s">
        <v>16510</v>
      </c>
    </row>
    <row r="16478" spans="1:2" x14ac:dyDescent="0.35">
      <c r="A16478" s="34">
        <v>71151202</v>
      </c>
      <c r="B16478" s="35" t="s">
        <v>11290</v>
      </c>
    </row>
    <row r="16479" spans="1:2" x14ac:dyDescent="0.35">
      <c r="A16479" s="34">
        <v>71151203</v>
      </c>
      <c r="B16479" s="35" t="s">
        <v>17249</v>
      </c>
    </row>
    <row r="16480" spans="1:2" x14ac:dyDescent="0.35">
      <c r="A16480" s="34">
        <v>71151301</v>
      </c>
      <c r="B16480" s="35" t="s">
        <v>18514</v>
      </c>
    </row>
    <row r="16481" spans="1:2" x14ac:dyDescent="0.35">
      <c r="A16481" s="34">
        <v>71151302</v>
      </c>
      <c r="B16481" s="35" t="s">
        <v>9988</v>
      </c>
    </row>
    <row r="16482" spans="1:2" x14ac:dyDescent="0.35">
      <c r="A16482" s="34">
        <v>71151303</v>
      </c>
      <c r="B16482" s="35" t="s">
        <v>7072</v>
      </c>
    </row>
    <row r="16483" spans="1:2" x14ac:dyDescent="0.35">
      <c r="A16483" s="34">
        <v>71151304</v>
      </c>
      <c r="B16483" s="35" t="s">
        <v>15046</v>
      </c>
    </row>
    <row r="16484" spans="1:2" x14ac:dyDescent="0.35">
      <c r="A16484" s="34">
        <v>71151305</v>
      </c>
      <c r="B16484" s="35" t="s">
        <v>7484</v>
      </c>
    </row>
    <row r="16485" spans="1:2" x14ac:dyDescent="0.35">
      <c r="A16485" s="34">
        <v>71151306</v>
      </c>
      <c r="B16485" s="35" t="s">
        <v>5203</v>
      </c>
    </row>
    <row r="16486" spans="1:2" x14ac:dyDescent="0.35">
      <c r="A16486" s="34">
        <v>71151307</v>
      </c>
      <c r="B16486" s="35" t="s">
        <v>6248</v>
      </c>
    </row>
    <row r="16487" spans="1:2" x14ac:dyDescent="0.35">
      <c r="A16487" s="34">
        <v>71151308</v>
      </c>
      <c r="B16487" s="35" t="s">
        <v>8941</v>
      </c>
    </row>
    <row r="16488" spans="1:2" x14ac:dyDescent="0.35">
      <c r="A16488" s="34">
        <v>71151309</v>
      </c>
      <c r="B16488" s="35" t="s">
        <v>764</v>
      </c>
    </row>
    <row r="16489" spans="1:2" x14ac:dyDescent="0.35">
      <c r="A16489" s="34">
        <v>71151310</v>
      </c>
      <c r="B16489" s="35" t="s">
        <v>3127</v>
      </c>
    </row>
    <row r="16490" spans="1:2" x14ac:dyDescent="0.35">
      <c r="A16490" s="34">
        <v>71151311</v>
      </c>
      <c r="B16490" s="35" t="s">
        <v>4807</v>
      </c>
    </row>
    <row r="16491" spans="1:2" x14ac:dyDescent="0.35">
      <c r="A16491" s="34">
        <v>71151312</v>
      </c>
      <c r="B16491" s="35" t="s">
        <v>8976</v>
      </c>
    </row>
    <row r="16492" spans="1:2" x14ac:dyDescent="0.35">
      <c r="A16492" s="34">
        <v>71151313</v>
      </c>
      <c r="B16492" s="35" t="s">
        <v>2778</v>
      </c>
    </row>
    <row r="16493" spans="1:2" x14ac:dyDescent="0.35">
      <c r="A16493" s="34">
        <v>71151314</v>
      </c>
      <c r="B16493" s="35" t="s">
        <v>18881</v>
      </c>
    </row>
    <row r="16494" spans="1:2" x14ac:dyDescent="0.35">
      <c r="A16494" s="34">
        <v>71151315</v>
      </c>
      <c r="B16494" s="35" t="s">
        <v>5054</v>
      </c>
    </row>
    <row r="16495" spans="1:2" x14ac:dyDescent="0.35">
      <c r="A16495" s="34">
        <v>71151401</v>
      </c>
      <c r="B16495" s="35" t="s">
        <v>10834</v>
      </c>
    </row>
    <row r="16496" spans="1:2" x14ac:dyDescent="0.35">
      <c r="A16496" s="34">
        <v>71151402</v>
      </c>
      <c r="B16496" s="35" t="s">
        <v>6192</v>
      </c>
    </row>
    <row r="16497" spans="1:2" x14ac:dyDescent="0.35">
      <c r="A16497" s="34">
        <v>71151403</v>
      </c>
      <c r="B16497" s="35" t="s">
        <v>8646</v>
      </c>
    </row>
    <row r="16498" spans="1:2" x14ac:dyDescent="0.35">
      <c r="A16498" s="34">
        <v>71151404</v>
      </c>
      <c r="B16498" s="35" t="s">
        <v>10722</v>
      </c>
    </row>
    <row r="16499" spans="1:2" x14ac:dyDescent="0.35">
      <c r="A16499" s="34">
        <v>71151405</v>
      </c>
      <c r="B16499" s="35" t="s">
        <v>11171</v>
      </c>
    </row>
    <row r="16500" spans="1:2" x14ac:dyDescent="0.35">
      <c r="A16500" s="34">
        <v>71151406</v>
      </c>
      <c r="B16500" s="35" t="s">
        <v>14057</v>
      </c>
    </row>
    <row r="16501" spans="1:2" x14ac:dyDescent="0.35">
      <c r="A16501" s="34">
        <v>71161001</v>
      </c>
      <c r="B16501" s="35" t="s">
        <v>1603</v>
      </c>
    </row>
    <row r="16502" spans="1:2" x14ac:dyDescent="0.35">
      <c r="A16502" s="34">
        <v>71161002</v>
      </c>
      <c r="B16502" s="35" t="s">
        <v>6577</v>
      </c>
    </row>
    <row r="16503" spans="1:2" x14ac:dyDescent="0.35">
      <c r="A16503" s="34">
        <v>71161003</v>
      </c>
      <c r="B16503" s="35" t="s">
        <v>6856</v>
      </c>
    </row>
    <row r="16504" spans="1:2" x14ac:dyDescent="0.35">
      <c r="A16504" s="34">
        <v>71161004</v>
      </c>
      <c r="B16504" s="35" t="s">
        <v>10439</v>
      </c>
    </row>
    <row r="16505" spans="1:2" x14ac:dyDescent="0.35">
      <c r="A16505" s="34">
        <v>71161005</v>
      </c>
      <c r="B16505" s="35" t="s">
        <v>9665</v>
      </c>
    </row>
    <row r="16506" spans="1:2" x14ac:dyDescent="0.35">
      <c r="A16506" s="34">
        <v>71161006</v>
      </c>
      <c r="B16506" s="35" t="s">
        <v>17918</v>
      </c>
    </row>
    <row r="16507" spans="1:2" x14ac:dyDescent="0.35">
      <c r="A16507" s="34">
        <v>71161101</v>
      </c>
      <c r="B16507" s="35" t="s">
        <v>2773</v>
      </c>
    </row>
    <row r="16508" spans="1:2" x14ac:dyDescent="0.35">
      <c r="A16508" s="34">
        <v>71161102</v>
      </c>
      <c r="B16508" s="35" t="s">
        <v>15766</v>
      </c>
    </row>
    <row r="16509" spans="1:2" x14ac:dyDescent="0.35">
      <c r="A16509" s="34">
        <v>71161103</v>
      </c>
      <c r="B16509" s="35" t="s">
        <v>16301</v>
      </c>
    </row>
    <row r="16510" spans="1:2" x14ac:dyDescent="0.35">
      <c r="A16510" s="34">
        <v>71161104</v>
      </c>
      <c r="B16510" s="35" t="s">
        <v>18110</v>
      </c>
    </row>
    <row r="16511" spans="1:2" x14ac:dyDescent="0.35">
      <c r="A16511" s="34">
        <v>71161105</v>
      </c>
      <c r="B16511" s="35" t="s">
        <v>7672</v>
      </c>
    </row>
    <row r="16512" spans="1:2" x14ac:dyDescent="0.35">
      <c r="A16512" s="34">
        <v>71161106</v>
      </c>
      <c r="B16512" s="35" t="s">
        <v>4290</v>
      </c>
    </row>
    <row r="16513" spans="1:2" x14ac:dyDescent="0.35">
      <c r="A16513" s="34">
        <v>71161107</v>
      </c>
      <c r="B16513" s="35" t="s">
        <v>8555</v>
      </c>
    </row>
    <row r="16514" spans="1:2" x14ac:dyDescent="0.35">
      <c r="A16514" s="34">
        <v>71161109</v>
      </c>
      <c r="B16514" s="35" t="s">
        <v>11068</v>
      </c>
    </row>
    <row r="16515" spans="1:2" x14ac:dyDescent="0.35">
      <c r="A16515" s="34">
        <v>71161110</v>
      </c>
      <c r="B16515" s="35" t="s">
        <v>13498</v>
      </c>
    </row>
    <row r="16516" spans="1:2" x14ac:dyDescent="0.35">
      <c r="A16516" s="34">
        <v>71161111</v>
      </c>
      <c r="B16516" s="35" t="s">
        <v>1955</v>
      </c>
    </row>
    <row r="16517" spans="1:2" x14ac:dyDescent="0.35">
      <c r="A16517" s="34">
        <v>71161201</v>
      </c>
      <c r="B16517" s="35" t="s">
        <v>14791</v>
      </c>
    </row>
    <row r="16518" spans="1:2" x14ac:dyDescent="0.35">
      <c r="A16518" s="34">
        <v>71161202</v>
      </c>
      <c r="B16518" s="35" t="s">
        <v>2272</v>
      </c>
    </row>
    <row r="16519" spans="1:2" x14ac:dyDescent="0.35">
      <c r="A16519" s="34">
        <v>71161203</v>
      </c>
      <c r="B16519" s="35" t="s">
        <v>6986</v>
      </c>
    </row>
    <row r="16520" spans="1:2" x14ac:dyDescent="0.35">
      <c r="A16520" s="34">
        <v>71161204</v>
      </c>
      <c r="B16520" s="35" t="s">
        <v>9071</v>
      </c>
    </row>
    <row r="16521" spans="1:2" x14ac:dyDescent="0.35">
      <c r="A16521" s="34">
        <v>71161205</v>
      </c>
      <c r="B16521" s="35" t="s">
        <v>10947</v>
      </c>
    </row>
    <row r="16522" spans="1:2" x14ac:dyDescent="0.35">
      <c r="A16522" s="34">
        <v>71161206</v>
      </c>
      <c r="B16522" s="35" t="s">
        <v>8531</v>
      </c>
    </row>
    <row r="16523" spans="1:2" x14ac:dyDescent="0.35">
      <c r="A16523" s="34">
        <v>71161301</v>
      </c>
      <c r="B16523" s="35" t="s">
        <v>5140</v>
      </c>
    </row>
    <row r="16524" spans="1:2" x14ac:dyDescent="0.35">
      <c r="A16524" s="34">
        <v>71161302</v>
      </c>
      <c r="B16524" s="35" t="s">
        <v>1121</v>
      </c>
    </row>
    <row r="16525" spans="1:2" x14ac:dyDescent="0.35">
      <c r="A16525" s="34">
        <v>71161303</v>
      </c>
      <c r="B16525" s="35" t="s">
        <v>14892</v>
      </c>
    </row>
    <row r="16526" spans="1:2" x14ac:dyDescent="0.35">
      <c r="A16526" s="34">
        <v>71161304</v>
      </c>
      <c r="B16526" s="35" t="s">
        <v>6482</v>
      </c>
    </row>
    <row r="16527" spans="1:2" x14ac:dyDescent="0.35">
      <c r="A16527" s="34">
        <v>71161305</v>
      </c>
      <c r="B16527" s="35" t="s">
        <v>5670</v>
      </c>
    </row>
    <row r="16528" spans="1:2" x14ac:dyDescent="0.35">
      <c r="A16528" s="34">
        <v>71161306</v>
      </c>
      <c r="B16528" s="35" t="s">
        <v>13051</v>
      </c>
    </row>
    <row r="16529" spans="1:2" x14ac:dyDescent="0.35">
      <c r="A16529" s="34">
        <v>71161307</v>
      </c>
      <c r="B16529" s="35" t="s">
        <v>4610</v>
      </c>
    </row>
    <row r="16530" spans="1:2" x14ac:dyDescent="0.35">
      <c r="A16530" s="34">
        <v>71161308</v>
      </c>
      <c r="B16530" s="35" t="s">
        <v>17503</v>
      </c>
    </row>
    <row r="16531" spans="1:2" x14ac:dyDescent="0.35">
      <c r="A16531" s="34">
        <v>71161402</v>
      </c>
      <c r="B16531" s="35" t="s">
        <v>5400</v>
      </c>
    </row>
    <row r="16532" spans="1:2" x14ac:dyDescent="0.35">
      <c r="A16532" s="34">
        <v>71161403</v>
      </c>
      <c r="B16532" s="35" t="s">
        <v>13765</v>
      </c>
    </row>
    <row r="16533" spans="1:2" x14ac:dyDescent="0.35">
      <c r="A16533" s="34">
        <v>71161405</v>
      </c>
      <c r="B16533" s="35" t="s">
        <v>8898</v>
      </c>
    </row>
    <row r="16534" spans="1:2" x14ac:dyDescent="0.35">
      <c r="A16534" s="34">
        <v>71161407</v>
      </c>
      <c r="B16534" s="35" t="s">
        <v>5566</v>
      </c>
    </row>
    <row r="16535" spans="1:2" x14ac:dyDescent="0.35">
      <c r="A16535" s="34">
        <v>71161408</v>
      </c>
      <c r="B16535" s="35" t="s">
        <v>11182</v>
      </c>
    </row>
    <row r="16536" spans="1:2" x14ac:dyDescent="0.35">
      <c r="A16536" s="34">
        <v>71161409</v>
      </c>
      <c r="B16536" s="35" t="s">
        <v>15959</v>
      </c>
    </row>
    <row r="16537" spans="1:2" x14ac:dyDescent="0.35">
      <c r="A16537" s="34">
        <v>71161410</v>
      </c>
      <c r="B16537" s="35" t="s">
        <v>10721</v>
      </c>
    </row>
    <row r="16538" spans="1:2" x14ac:dyDescent="0.35">
      <c r="A16538" s="34">
        <v>71161411</v>
      </c>
      <c r="B16538" s="35" t="s">
        <v>11189</v>
      </c>
    </row>
    <row r="16539" spans="1:2" x14ac:dyDescent="0.35">
      <c r="A16539" s="34">
        <v>71161412</v>
      </c>
      <c r="B16539" s="35" t="s">
        <v>16678</v>
      </c>
    </row>
    <row r="16540" spans="1:2" x14ac:dyDescent="0.35">
      <c r="A16540" s="34">
        <v>71161413</v>
      </c>
      <c r="B16540" s="35" t="s">
        <v>18993</v>
      </c>
    </row>
    <row r="16541" spans="1:2" x14ac:dyDescent="0.35">
      <c r="A16541" s="34">
        <v>71161501</v>
      </c>
      <c r="B16541" s="35" t="s">
        <v>5373</v>
      </c>
    </row>
    <row r="16542" spans="1:2" x14ac:dyDescent="0.35">
      <c r="A16542" s="34">
        <v>71161502</v>
      </c>
      <c r="B16542" s="35" t="s">
        <v>5447</v>
      </c>
    </row>
    <row r="16543" spans="1:2" x14ac:dyDescent="0.35">
      <c r="A16543" s="34">
        <v>71161503</v>
      </c>
      <c r="B16543" s="35" t="s">
        <v>1357</v>
      </c>
    </row>
    <row r="16544" spans="1:2" x14ac:dyDescent="0.35">
      <c r="A16544" s="34">
        <v>71161504</v>
      </c>
      <c r="B16544" s="35" t="s">
        <v>15667</v>
      </c>
    </row>
    <row r="16545" spans="1:2" x14ac:dyDescent="0.35">
      <c r="A16545" s="34">
        <v>71161505</v>
      </c>
      <c r="B16545" s="35" t="s">
        <v>2921</v>
      </c>
    </row>
    <row r="16546" spans="1:2" x14ac:dyDescent="0.35">
      <c r="A16546" s="34">
        <v>72101501</v>
      </c>
      <c r="B16546" s="35" t="s">
        <v>5446</v>
      </c>
    </row>
    <row r="16547" spans="1:2" x14ac:dyDescent="0.35">
      <c r="A16547" s="34">
        <v>72101502</v>
      </c>
      <c r="B16547" s="35" t="s">
        <v>13595</v>
      </c>
    </row>
    <row r="16548" spans="1:2" x14ac:dyDescent="0.35">
      <c r="A16548" s="34">
        <v>72101503</v>
      </c>
      <c r="B16548" s="35" t="s">
        <v>4898</v>
      </c>
    </row>
    <row r="16549" spans="1:2" x14ac:dyDescent="0.35">
      <c r="A16549" s="34">
        <v>72101504</v>
      </c>
      <c r="B16549" s="35" t="s">
        <v>10772</v>
      </c>
    </row>
    <row r="16550" spans="1:2" x14ac:dyDescent="0.35">
      <c r="A16550" s="34">
        <v>72101505</v>
      </c>
      <c r="B16550" s="35" t="s">
        <v>18616</v>
      </c>
    </row>
    <row r="16551" spans="1:2" x14ac:dyDescent="0.35">
      <c r="A16551" s="34">
        <v>72101506</v>
      </c>
      <c r="B16551" s="35" t="s">
        <v>5946</v>
      </c>
    </row>
    <row r="16552" spans="1:2" x14ac:dyDescent="0.35">
      <c r="A16552" s="34">
        <v>72101507</v>
      </c>
      <c r="B16552" s="35" t="s">
        <v>7255</v>
      </c>
    </row>
    <row r="16553" spans="1:2" x14ac:dyDescent="0.35">
      <c r="A16553" s="34">
        <v>72101508</v>
      </c>
      <c r="B16553" s="35" t="s">
        <v>528</v>
      </c>
    </row>
    <row r="16554" spans="1:2" x14ac:dyDescent="0.35">
      <c r="A16554" s="34">
        <v>72101509</v>
      </c>
      <c r="B16554" s="35" t="s">
        <v>7104</v>
      </c>
    </row>
    <row r="16555" spans="1:2" x14ac:dyDescent="0.35">
      <c r="A16555" s="34">
        <v>72101510</v>
      </c>
      <c r="B16555" s="35" t="s">
        <v>618</v>
      </c>
    </row>
    <row r="16556" spans="1:2" x14ac:dyDescent="0.35">
      <c r="A16556" s="34">
        <v>72101511</v>
      </c>
      <c r="B16556" s="35" t="s">
        <v>18346</v>
      </c>
    </row>
    <row r="16557" spans="1:2" x14ac:dyDescent="0.35">
      <c r="A16557" s="34">
        <v>72101512</v>
      </c>
      <c r="B16557" s="35" t="s">
        <v>17167</v>
      </c>
    </row>
    <row r="16558" spans="1:2" x14ac:dyDescent="0.35">
      <c r="A16558" s="34">
        <v>72101513</v>
      </c>
      <c r="B16558" s="35" t="s">
        <v>17167</v>
      </c>
    </row>
    <row r="16559" spans="1:2" x14ac:dyDescent="0.35">
      <c r="A16559" s="34">
        <v>72101514</v>
      </c>
      <c r="B16559" s="35" t="s">
        <v>17167</v>
      </c>
    </row>
    <row r="16560" spans="1:2" x14ac:dyDescent="0.35">
      <c r="A16560" s="34">
        <v>72101515</v>
      </c>
      <c r="B16560" s="35" t="s">
        <v>17167</v>
      </c>
    </row>
    <row r="16561" spans="1:2" x14ac:dyDescent="0.35">
      <c r="A16561" s="34">
        <v>72101516</v>
      </c>
      <c r="B16561" s="35" t="s">
        <v>3184</v>
      </c>
    </row>
    <row r="16562" spans="1:2" x14ac:dyDescent="0.35">
      <c r="A16562" s="34">
        <v>72101517</v>
      </c>
      <c r="B16562" s="35" t="s">
        <v>17457</v>
      </c>
    </row>
    <row r="16563" spans="1:2" x14ac:dyDescent="0.35">
      <c r="A16563" s="34">
        <v>72101518</v>
      </c>
      <c r="B16563" s="35" t="s">
        <v>9845</v>
      </c>
    </row>
    <row r="16564" spans="1:2" x14ac:dyDescent="0.35">
      <c r="A16564" s="34">
        <v>72101601</v>
      </c>
      <c r="B16564" s="35" t="s">
        <v>11828</v>
      </c>
    </row>
    <row r="16565" spans="1:2" x14ac:dyDescent="0.35">
      <c r="A16565" s="34">
        <v>72101602</v>
      </c>
      <c r="B16565" s="35" t="s">
        <v>6393</v>
      </c>
    </row>
    <row r="16566" spans="1:2" x14ac:dyDescent="0.35">
      <c r="A16566" s="34">
        <v>72101603</v>
      </c>
      <c r="B16566" s="35" t="s">
        <v>5407</v>
      </c>
    </row>
    <row r="16567" spans="1:2" x14ac:dyDescent="0.35">
      <c r="A16567" s="34">
        <v>72101604</v>
      </c>
      <c r="B16567" s="35" t="s">
        <v>12447</v>
      </c>
    </row>
    <row r="16568" spans="1:2" x14ac:dyDescent="0.35">
      <c r="A16568" s="34">
        <v>72101605</v>
      </c>
      <c r="B16568" s="35" t="s">
        <v>19143</v>
      </c>
    </row>
    <row r="16569" spans="1:2" x14ac:dyDescent="0.35">
      <c r="A16569" s="34">
        <v>72101606</v>
      </c>
      <c r="B16569" s="35" t="s">
        <v>19444</v>
      </c>
    </row>
    <row r="16570" spans="1:2" x14ac:dyDescent="0.35">
      <c r="A16570" s="34">
        <v>72101607</v>
      </c>
      <c r="B16570" s="35" t="s">
        <v>12754</v>
      </c>
    </row>
    <row r="16571" spans="1:2" x14ac:dyDescent="0.35">
      <c r="A16571" s="34">
        <v>72101701</v>
      </c>
      <c r="B16571" s="35" t="s">
        <v>7761</v>
      </c>
    </row>
    <row r="16572" spans="1:2" x14ac:dyDescent="0.35">
      <c r="A16572" s="34">
        <v>72101702</v>
      </c>
      <c r="B16572" s="35" t="s">
        <v>7180</v>
      </c>
    </row>
    <row r="16573" spans="1:2" x14ac:dyDescent="0.35">
      <c r="A16573" s="34">
        <v>72101703</v>
      </c>
      <c r="B16573" s="35" t="s">
        <v>14306</v>
      </c>
    </row>
    <row r="16574" spans="1:2" x14ac:dyDescent="0.35">
      <c r="A16574" s="34">
        <v>72101704</v>
      </c>
      <c r="B16574" s="35" t="s">
        <v>5413</v>
      </c>
    </row>
    <row r="16575" spans="1:2" x14ac:dyDescent="0.35">
      <c r="A16575" s="34">
        <v>72101801</v>
      </c>
      <c r="B16575" s="35" t="s">
        <v>2738</v>
      </c>
    </row>
    <row r="16576" spans="1:2" x14ac:dyDescent="0.35">
      <c r="A16576" s="34">
        <v>72101802</v>
      </c>
      <c r="B16576" s="35" t="s">
        <v>16826</v>
      </c>
    </row>
    <row r="16577" spans="1:2" x14ac:dyDescent="0.35">
      <c r="A16577" s="34">
        <v>72101803</v>
      </c>
      <c r="B16577" s="35" t="s">
        <v>16341</v>
      </c>
    </row>
    <row r="16578" spans="1:2" x14ac:dyDescent="0.35">
      <c r="A16578" s="34">
        <v>72101901</v>
      </c>
      <c r="B16578" s="35" t="s">
        <v>4237</v>
      </c>
    </row>
    <row r="16579" spans="1:2" x14ac:dyDescent="0.35">
      <c r="A16579" s="34">
        <v>72101902</v>
      </c>
      <c r="B16579" s="35" t="s">
        <v>12909</v>
      </c>
    </row>
    <row r="16580" spans="1:2" x14ac:dyDescent="0.35">
      <c r="A16580" s="34">
        <v>72101903</v>
      </c>
      <c r="B16580" s="35" t="s">
        <v>7601</v>
      </c>
    </row>
    <row r="16581" spans="1:2" x14ac:dyDescent="0.35">
      <c r="A16581" s="34">
        <v>72102001</v>
      </c>
      <c r="B16581" s="35" t="s">
        <v>7770</v>
      </c>
    </row>
    <row r="16582" spans="1:2" x14ac:dyDescent="0.35">
      <c r="A16582" s="34">
        <v>72102002</v>
      </c>
      <c r="B16582" s="35" t="s">
        <v>7701</v>
      </c>
    </row>
    <row r="16583" spans="1:2" x14ac:dyDescent="0.35">
      <c r="A16583" s="34">
        <v>72102003</v>
      </c>
      <c r="B16583" s="35" t="s">
        <v>12942</v>
      </c>
    </row>
    <row r="16584" spans="1:2" x14ac:dyDescent="0.35">
      <c r="A16584" s="34">
        <v>72102004</v>
      </c>
      <c r="B16584" s="35" t="s">
        <v>11123</v>
      </c>
    </row>
    <row r="16585" spans="1:2" x14ac:dyDescent="0.35">
      <c r="A16585" s="34">
        <v>72102005</v>
      </c>
      <c r="B16585" s="35" t="s">
        <v>1627</v>
      </c>
    </row>
    <row r="16586" spans="1:2" x14ac:dyDescent="0.35">
      <c r="A16586" s="34">
        <v>72102006</v>
      </c>
      <c r="B16586" s="35" t="s">
        <v>10998</v>
      </c>
    </row>
    <row r="16587" spans="1:2" x14ac:dyDescent="0.35">
      <c r="A16587" s="34">
        <v>72102101</v>
      </c>
      <c r="B16587" s="35" t="s">
        <v>16829</v>
      </c>
    </row>
    <row r="16588" spans="1:2" x14ac:dyDescent="0.35">
      <c r="A16588" s="34">
        <v>72102102</v>
      </c>
      <c r="B16588" s="35" t="s">
        <v>12610</v>
      </c>
    </row>
    <row r="16589" spans="1:2" x14ac:dyDescent="0.35">
      <c r="A16589" s="34">
        <v>72102103</v>
      </c>
      <c r="B16589" s="35" t="s">
        <v>3292</v>
      </c>
    </row>
    <row r="16590" spans="1:2" x14ac:dyDescent="0.35">
      <c r="A16590" s="34">
        <v>72102104</v>
      </c>
      <c r="B16590" s="35" t="s">
        <v>17951</v>
      </c>
    </row>
    <row r="16591" spans="1:2" x14ac:dyDescent="0.35">
      <c r="A16591" s="34">
        <v>72102105</v>
      </c>
      <c r="B16591" s="35" t="s">
        <v>5423</v>
      </c>
    </row>
    <row r="16592" spans="1:2" x14ac:dyDescent="0.35">
      <c r="A16592" s="34">
        <v>72102106</v>
      </c>
      <c r="B16592" s="35" t="s">
        <v>9921</v>
      </c>
    </row>
    <row r="16593" spans="1:2" x14ac:dyDescent="0.35">
      <c r="A16593" s="34">
        <v>72102201</v>
      </c>
      <c r="B16593" s="35" t="s">
        <v>4137</v>
      </c>
    </row>
    <row r="16594" spans="1:2" x14ac:dyDescent="0.35">
      <c r="A16594" s="34">
        <v>72102202</v>
      </c>
      <c r="B16594" s="35" t="s">
        <v>12158</v>
      </c>
    </row>
    <row r="16595" spans="1:2" x14ac:dyDescent="0.35">
      <c r="A16595" s="34">
        <v>72102203</v>
      </c>
      <c r="B16595" s="35" t="s">
        <v>19603</v>
      </c>
    </row>
    <row r="16596" spans="1:2" x14ac:dyDescent="0.35">
      <c r="A16596" s="34">
        <v>72102204</v>
      </c>
      <c r="B16596" s="35" t="s">
        <v>5850</v>
      </c>
    </row>
    <row r="16597" spans="1:2" x14ac:dyDescent="0.35">
      <c r="A16597" s="34">
        <v>72102205</v>
      </c>
      <c r="B16597" s="35" t="s">
        <v>4086</v>
      </c>
    </row>
    <row r="16598" spans="1:2" x14ac:dyDescent="0.35">
      <c r="A16598" s="34">
        <v>72102206</v>
      </c>
      <c r="B16598" s="35" t="s">
        <v>8637</v>
      </c>
    </row>
    <row r="16599" spans="1:2" x14ac:dyDescent="0.35">
      <c r="A16599" s="34">
        <v>72102207</v>
      </c>
      <c r="B16599" s="35" t="s">
        <v>11154</v>
      </c>
    </row>
    <row r="16600" spans="1:2" x14ac:dyDescent="0.35">
      <c r="A16600" s="34">
        <v>72102208</v>
      </c>
      <c r="B16600" s="35" t="s">
        <v>8997</v>
      </c>
    </row>
    <row r="16601" spans="1:2" x14ac:dyDescent="0.35">
      <c r="A16601" s="34">
        <v>72102209</v>
      </c>
      <c r="B16601" s="35" t="s">
        <v>10318</v>
      </c>
    </row>
    <row r="16602" spans="1:2" x14ac:dyDescent="0.35">
      <c r="A16602" s="34">
        <v>72102301</v>
      </c>
      <c r="B16602" s="35" t="s">
        <v>2786</v>
      </c>
    </row>
    <row r="16603" spans="1:2" x14ac:dyDescent="0.35">
      <c r="A16603" s="34">
        <v>72102302</v>
      </c>
      <c r="B16603" s="35" t="s">
        <v>13349</v>
      </c>
    </row>
    <row r="16604" spans="1:2" x14ac:dyDescent="0.35">
      <c r="A16604" s="34">
        <v>72102303</v>
      </c>
      <c r="B16604" s="35" t="s">
        <v>9695</v>
      </c>
    </row>
    <row r="16605" spans="1:2" x14ac:dyDescent="0.35">
      <c r="A16605" s="34">
        <v>72102304</v>
      </c>
      <c r="B16605" s="35" t="s">
        <v>2651</v>
      </c>
    </row>
    <row r="16606" spans="1:2" x14ac:dyDescent="0.35">
      <c r="A16606" s="34">
        <v>72102305</v>
      </c>
      <c r="B16606" s="35" t="s">
        <v>18924</v>
      </c>
    </row>
    <row r="16607" spans="1:2" x14ac:dyDescent="0.35">
      <c r="A16607" s="34">
        <v>72102401</v>
      </c>
      <c r="B16607" s="35" t="s">
        <v>2737</v>
      </c>
    </row>
    <row r="16608" spans="1:2" x14ac:dyDescent="0.35">
      <c r="A16608" s="34">
        <v>72102402</v>
      </c>
      <c r="B16608" s="35" t="s">
        <v>16452</v>
      </c>
    </row>
    <row r="16609" spans="1:2" x14ac:dyDescent="0.35">
      <c r="A16609" s="34">
        <v>72102403</v>
      </c>
      <c r="B16609" s="35" t="s">
        <v>8508</v>
      </c>
    </row>
    <row r="16610" spans="1:2" x14ac:dyDescent="0.35">
      <c r="A16610" s="34">
        <v>72102404</v>
      </c>
      <c r="B16610" s="35" t="s">
        <v>15810</v>
      </c>
    </row>
    <row r="16611" spans="1:2" x14ac:dyDescent="0.35">
      <c r="A16611" s="34">
        <v>72102405</v>
      </c>
      <c r="B16611" s="35" t="s">
        <v>396</v>
      </c>
    </row>
    <row r="16612" spans="1:2" x14ac:dyDescent="0.35">
      <c r="A16612" s="34">
        <v>72102501</v>
      </c>
      <c r="B16612" s="35" t="s">
        <v>9994</v>
      </c>
    </row>
    <row r="16613" spans="1:2" x14ac:dyDescent="0.35">
      <c r="A16613" s="34">
        <v>72102502</v>
      </c>
      <c r="B16613" s="35" t="s">
        <v>11166</v>
      </c>
    </row>
    <row r="16614" spans="1:2" x14ac:dyDescent="0.35">
      <c r="A16614" s="34">
        <v>72102503</v>
      </c>
      <c r="B16614" s="35" t="s">
        <v>16224</v>
      </c>
    </row>
    <row r="16615" spans="1:2" x14ac:dyDescent="0.35">
      <c r="A16615" s="34">
        <v>72102504</v>
      </c>
      <c r="B16615" s="35" t="s">
        <v>4159</v>
      </c>
    </row>
    <row r="16616" spans="1:2" x14ac:dyDescent="0.35">
      <c r="A16616" s="34">
        <v>72102505</v>
      </c>
      <c r="B16616" s="35" t="s">
        <v>11627</v>
      </c>
    </row>
    <row r="16617" spans="1:2" x14ac:dyDescent="0.35">
      <c r="A16617" s="34">
        <v>72102506</v>
      </c>
      <c r="B16617" s="35" t="s">
        <v>9081</v>
      </c>
    </row>
    <row r="16618" spans="1:2" x14ac:dyDescent="0.35">
      <c r="A16618" s="34">
        <v>72102507</v>
      </c>
      <c r="B16618" s="35" t="s">
        <v>11137</v>
      </c>
    </row>
    <row r="16619" spans="1:2" x14ac:dyDescent="0.35">
      <c r="A16619" s="34">
        <v>72102508</v>
      </c>
      <c r="B16619" s="35" t="s">
        <v>10769</v>
      </c>
    </row>
    <row r="16620" spans="1:2" x14ac:dyDescent="0.35">
      <c r="A16620" s="34">
        <v>72102601</v>
      </c>
      <c r="B16620" s="35" t="s">
        <v>7098</v>
      </c>
    </row>
    <row r="16621" spans="1:2" x14ac:dyDescent="0.35">
      <c r="A16621" s="34">
        <v>72102602</v>
      </c>
      <c r="B16621" s="35" t="s">
        <v>4607</v>
      </c>
    </row>
    <row r="16622" spans="1:2" x14ac:dyDescent="0.35">
      <c r="A16622" s="34">
        <v>72102603</v>
      </c>
      <c r="B16622" s="35" t="s">
        <v>19416</v>
      </c>
    </row>
    <row r="16623" spans="1:2" x14ac:dyDescent="0.35">
      <c r="A16623" s="34">
        <v>72102701</v>
      </c>
      <c r="B16623" s="35" t="s">
        <v>13479</v>
      </c>
    </row>
    <row r="16624" spans="1:2" x14ac:dyDescent="0.35">
      <c r="A16624" s="34">
        <v>72102702</v>
      </c>
      <c r="B16624" s="35" t="s">
        <v>14930</v>
      </c>
    </row>
    <row r="16625" spans="1:2" x14ac:dyDescent="0.35">
      <c r="A16625" s="34">
        <v>72102703</v>
      </c>
      <c r="B16625" s="35" t="s">
        <v>15954</v>
      </c>
    </row>
    <row r="16626" spans="1:2" x14ac:dyDescent="0.35">
      <c r="A16626" s="34">
        <v>72102801</v>
      </c>
      <c r="B16626" s="35" t="s">
        <v>924</v>
      </c>
    </row>
    <row r="16627" spans="1:2" x14ac:dyDescent="0.35">
      <c r="A16627" s="34">
        <v>72102802</v>
      </c>
      <c r="B16627" s="35" t="s">
        <v>5</v>
      </c>
    </row>
    <row r="16628" spans="1:2" x14ac:dyDescent="0.35">
      <c r="A16628" s="34">
        <v>72102901</v>
      </c>
      <c r="B16628" s="35" t="s">
        <v>15386</v>
      </c>
    </row>
    <row r="16629" spans="1:2" x14ac:dyDescent="0.35">
      <c r="A16629" s="34">
        <v>72102902</v>
      </c>
      <c r="B16629" s="35" t="s">
        <v>6546</v>
      </c>
    </row>
    <row r="16630" spans="1:2" x14ac:dyDescent="0.35">
      <c r="A16630" s="34">
        <v>72102903</v>
      </c>
      <c r="B16630" s="35" t="s">
        <v>6968</v>
      </c>
    </row>
    <row r="16631" spans="1:2" x14ac:dyDescent="0.35">
      <c r="A16631" s="34">
        <v>72102904</v>
      </c>
      <c r="B16631" s="35" t="s">
        <v>825</v>
      </c>
    </row>
    <row r="16632" spans="1:2" x14ac:dyDescent="0.35">
      <c r="A16632" s="34">
        <v>72102905</v>
      </c>
      <c r="B16632" s="35" t="s">
        <v>6391</v>
      </c>
    </row>
    <row r="16633" spans="1:2" x14ac:dyDescent="0.35">
      <c r="A16633" s="34">
        <v>72103001</v>
      </c>
      <c r="B16633" s="35" t="s">
        <v>18278</v>
      </c>
    </row>
    <row r="16634" spans="1:2" x14ac:dyDescent="0.35">
      <c r="A16634" s="34">
        <v>72103002</v>
      </c>
      <c r="B16634" s="35" t="s">
        <v>16560</v>
      </c>
    </row>
    <row r="16635" spans="1:2" x14ac:dyDescent="0.35">
      <c r="A16635" s="34">
        <v>72103003</v>
      </c>
      <c r="B16635" s="35" t="s">
        <v>7399</v>
      </c>
    </row>
    <row r="16636" spans="1:2" x14ac:dyDescent="0.35">
      <c r="A16636" s="34">
        <v>72103004</v>
      </c>
      <c r="B16636" s="35" t="s">
        <v>6117</v>
      </c>
    </row>
    <row r="16637" spans="1:2" x14ac:dyDescent="0.35">
      <c r="A16637" s="34">
        <v>72103301</v>
      </c>
      <c r="B16637" s="35" t="s">
        <v>14178</v>
      </c>
    </row>
    <row r="16638" spans="1:2" x14ac:dyDescent="0.35">
      <c r="A16638" s="34">
        <v>72103302</v>
      </c>
      <c r="B16638" s="35" t="s">
        <v>14080</v>
      </c>
    </row>
    <row r="16639" spans="1:2" x14ac:dyDescent="0.35">
      <c r="A16639" s="34">
        <v>72131501</v>
      </c>
      <c r="B16639" s="35" t="s">
        <v>11659</v>
      </c>
    </row>
    <row r="16640" spans="1:2" x14ac:dyDescent="0.35">
      <c r="A16640" s="34">
        <v>72131502</v>
      </c>
      <c r="B16640" s="35" t="s">
        <v>13634</v>
      </c>
    </row>
    <row r="16641" spans="1:2" x14ac:dyDescent="0.35">
      <c r="A16641" s="34">
        <v>72131601</v>
      </c>
      <c r="B16641" s="35" t="s">
        <v>2290</v>
      </c>
    </row>
    <row r="16642" spans="1:2" x14ac:dyDescent="0.35">
      <c r="A16642" s="34">
        <v>72131701</v>
      </c>
      <c r="B16642" s="35" t="s">
        <v>4073</v>
      </c>
    </row>
    <row r="16643" spans="1:2" x14ac:dyDescent="0.35">
      <c r="A16643" s="34">
        <v>72131702</v>
      </c>
      <c r="B16643" s="35" t="s">
        <v>152</v>
      </c>
    </row>
    <row r="16644" spans="1:2" x14ac:dyDescent="0.35">
      <c r="A16644" s="34">
        <v>72141001</v>
      </c>
      <c r="B16644" s="35" t="s">
        <v>5799</v>
      </c>
    </row>
    <row r="16645" spans="1:2" x14ac:dyDescent="0.35">
      <c r="A16645" s="34">
        <v>72141201</v>
      </c>
      <c r="B16645" s="35" t="s">
        <v>13590</v>
      </c>
    </row>
    <row r="16646" spans="1:2" x14ac:dyDescent="0.35">
      <c r="A16646" s="34">
        <v>72141202</v>
      </c>
      <c r="B16646" s="35" t="s">
        <v>12164</v>
      </c>
    </row>
    <row r="16647" spans="1:2" x14ac:dyDescent="0.35">
      <c r="A16647" s="34">
        <v>72141203</v>
      </c>
      <c r="B16647" s="35" t="s">
        <v>328</v>
      </c>
    </row>
    <row r="16648" spans="1:2" x14ac:dyDescent="0.35">
      <c r="A16648" s="34">
        <v>72141204</v>
      </c>
      <c r="B16648" s="35" t="s">
        <v>9858</v>
      </c>
    </row>
    <row r="16649" spans="1:2" x14ac:dyDescent="0.35">
      <c r="A16649" s="34">
        <v>72141205</v>
      </c>
      <c r="B16649" s="35" t="s">
        <v>7106</v>
      </c>
    </row>
    <row r="16650" spans="1:2" x14ac:dyDescent="0.35">
      <c r="A16650" s="34">
        <v>72141206</v>
      </c>
      <c r="B16650" s="35" t="s">
        <v>9108</v>
      </c>
    </row>
    <row r="16651" spans="1:2" x14ac:dyDescent="0.35">
      <c r="A16651" s="34">
        <v>72141207</v>
      </c>
      <c r="B16651" s="35" t="s">
        <v>1675</v>
      </c>
    </row>
    <row r="16652" spans="1:2" x14ac:dyDescent="0.35">
      <c r="A16652" s="34">
        <v>72141208</v>
      </c>
      <c r="B16652" s="35" t="s">
        <v>14946</v>
      </c>
    </row>
    <row r="16653" spans="1:2" x14ac:dyDescent="0.35">
      <c r="A16653" s="34">
        <v>72141209</v>
      </c>
      <c r="B16653" s="35" t="s">
        <v>14237</v>
      </c>
    </row>
    <row r="16654" spans="1:2" x14ac:dyDescent="0.35">
      <c r="A16654" s="34">
        <v>72141210</v>
      </c>
      <c r="B16654" s="35" t="s">
        <v>17540</v>
      </c>
    </row>
    <row r="16655" spans="1:2" x14ac:dyDescent="0.35">
      <c r="A16655" s="34">
        <v>72141211</v>
      </c>
      <c r="B16655" s="35" t="s">
        <v>9644</v>
      </c>
    </row>
    <row r="16656" spans="1:2" x14ac:dyDescent="0.35">
      <c r="A16656" s="34">
        <v>72141212</v>
      </c>
      <c r="B16656" s="35" t="s">
        <v>7623</v>
      </c>
    </row>
    <row r="16657" spans="1:2" x14ac:dyDescent="0.35">
      <c r="A16657" s="34">
        <v>72141601</v>
      </c>
      <c r="B16657" s="35" t="s">
        <v>8763</v>
      </c>
    </row>
    <row r="16658" spans="1:2" x14ac:dyDescent="0.35">
      <c r="A16658" s="34">
        <v>72141602</v>
      </c>
      <c r="B16658" s="35" t="s">
        <v>9578</v>
      </c>
    </row>
    <row r="16659" spans="1:2" x14ac:dyDescent="0.35">
      <c r="A16659" s="34">
        <v>72141603</v>
      </c>
      <c r="B16659" s="35" t="s">
        <v>6873</v>
      </c>
    </row>
    <row r="16660" spans="1:2" x14ac:dyDescent="0.35">
      <c r="A16660" s="34">
        <v>72141604</v>
      </c>
      <c r="B16660" s="35" t="s">
        <v>2956</v>
      </c>
    </row>
    <row r="16661" spans="1:2" x14ac:dyDescent="0.35">
      <c r="A16661" s="34">
        <v>72141605</v>
      </c>
      <c r="B16661" s="35" t="s">
        <v>11521</v>
      </c>
    </row>
    <row r="16662" spans="1:2" x14ac:dyDescent="0.35">
      <c r="A16662" s="34">
        <v>72141606</v>
      </c>
      <c r="B16662" s="35" t="s">
        <v>4391</v>
      </c>
    </row>
    <row r="16663" spans="1:2" x14ac:dyDescent="0.35">
      <c r="A16663" s="34">
        <v>72141607</v>
      </c>
      <c r="B16663" s="35" t="s">
        <v>10960</v>
      </c>
    </row>
    <row r="16664" spans="1:2" x14ac:dyDescent="0.35">
      <c r="A16664" s="34">
        <v>72141608</v>
      </c>
      <c r="B16664" s="35" t="s">
        <v>18999</v>
      </c>
    </row>
    <row r="16665" spans="1:2" x14ac:dyDescent="0.35">
      <c r="A16665" s="34">
        <v>73101501</v>
      </c>
      <c r="B16665" s="35" t="s">
        <v>15549</v>
      </c>
    </row>
    <row r="16666" spans="1:2" x14ac:dyDescent="0.35">
      <c r="A16666" s="34">
        <v>73101502</v>
      </c>
      <c r="B16666" s="35" t="s">
        <v>19641</v>
      </c>
    </row>
    <row r="16667" spans="1:2" x14ac:dyDescent="0.35">
      <c r="A16667" s="34">
        <v>73101503</v>
      </c>
      <c r="B16667" s="35" t="s">
        <v>9602</v>
      </c>
    </row>
    <row r="16668" spans="1:2" x14ac:dyDescent="0.35">
      <c r="A16668" s="34">
        <v>73101504</v>
      </c>
      <c r="B16668" s="35" t="s">
        <v>7696</v>
      </c>
    </row>
    <row r="16669" spans="1:2" x14ac:dyDescent="0.35">
      <c r="A16669" s="34">
        <v>73101505</v>
      </c>
      <c r="B16669" s="35" t="s">
        <v>19470</v>
      </c>
    </row>
    <row r="16670" spans="1:2" x14ac:dyDescent="0.35">
      <c r="A16670" s="34">
        <v>73101601</v>
      </c>
      <c r="B16670" s="35" t="s">
        <v>9478</v>
      </c>
    </row>
    <row r="16671" spans="1:2" x14ac:dyDescent="0.35">
      <c r="A16671" s="34">
        <v>73101602</v>
      </c>
      <c r="B16671" s="35" t="s">
        <v>695</v>
      </c>
    </row>
    <row r="16672" spans="1:2" x14ac:dyDescent="0.35">
      <c r="A16672" s="34">
        <v>73101603</v>
      </c>
      <c r="B16672" s="35" t="s">
        <v>1632</v>
      </c>
    </row>
    <row r="16673" spans="1:2" x14ac:dyDescent="0.35">
      <c r="A16673" s="34">
        <v>73101604</v>
      </c>
      <c r="B16673" s="35" t="s">
        <v>4220</v>
      </c>
    </row>
    <row r="16674" spans="1:2" x14ac:dyDescent="0.35">
      <c r="A16674" s="34">
        <v>73101605</v>
      </c>
      <c r="B16674" s="35" t="s">
        <v>14823</v>
      </c>
    </row>
    <row r="16675" spans="1:2" x14ac:dyDescent="0.35">
      <c r="A16675" s="34">
        <v>73101606</v>
      </c>
      <c r="B16675" s="35" t="s">
        <v>1485</v>
      </c>
    </row>
    <row r="16676" spans="1:2" x14ac:dyDescent="0.35">
      <c r="A16676" s="34">
        <v>73101607</v>
      </c>
      <c r="B16676" s="35" t="s">
        <v>12260</v>
      </c>
    </row>
    <row r="16677" spans="1:2" x14ac:dyDescent="0.35">
      <c r="A16677" s="34">
        <v>73101608</v>
      </c>
      <c r="B16677" s="35" t="s">
        <v>491</v>
      </c>
    </row>
    <row r="16678" spans="1:2" x14ac:dyDescent="0.35">
      <c r="A16678" s="34">
        <v>73101609</v>
      </c>
      <c r="B16678" s="35" t="s">
        <v>8645</v>
      </c>
    </row>
    <row r="16679" spans="1:2" x14ac:dyDescent="0.35">
      <c r="A16679" s="34">
        <v>73101610</v>
      </c>
      <c r="B16679" s="35" t="s">
        <v>1508</v>
      </c>
    </row>
    <row r="16680" spans="1:2" x14ac:dyDescent="0.35">
      <c r="A16680" s="34">
        <v>73101611</v>
      </c>
      <c r="B16680" s="35" t="s">
        <v>1377</v>
      </c>
    </row>
    <row r="16681" spans="1:2" x14ac:dyDescent="0.35">
      <c r="A16681" s="34">
        <v>73101612</v>
      </c>
      <c r="B16681" s="35" t="s">
        <v>12176</v>
      </c>
    </row>
    <row r="16682" spans="1:2" x14ac:dyDescent="0.35">
      <c r="A16682" s="34">
        <v>73101613</v>
      </c>
      <c r="B16682" s="35" t="s">
        <v>12671</v>
      </c>
    </row>
    <row r="16683" spans="1:2" x14ac:dyDescent="0.35">
      <c r="A16683" s="34">
        <v>73101614</v>
      </c>
      <c r="B16683" s="35" t="s">
        <v>5490</v>
      </c>
    </row>
    <row r="16684" spans="1:2" x14ac:dyDescent="0.35">
      <c r="A16684" s="34">
        <v>73101701</v>
      </c>
      <c r="B16684" s="35" t="s">
        <v>630</v>
      </c>
    </row>
    <row r="16685" spans="1:2" x14ac:dyDescent="0.35">
      <c r="A16685" s="34">
        <v>73101702</v>
      </c>
      <c r="B16685" s="35" t="s">
        <v>12971</v>
      </c>
    </row>
    <row r="16686" spans="1:2" x14ac:dyDescent="0.35">
      <c r="A16686" s="34">
        <v>73101703</v>
      </c>
      <c r="B16686" s="35" t="s">
        <v>1797</v>
      </c>
    </row>
    <row r="16687" spans="1:2" x14ac:dyDescent="0.35">
      <c r="A16687" s="34">
        <v>73101801</v>
      </c>
      <c r="B16687" s="35" t="s">
        <v>83</v>
      </c>
    </row>
    <row r="16688" spans="1:2" x14ac:dyDescent="0.35">
      <c r="A16688" s="34">
        <v>73101802</v>
      </c>
      <c r="B16688" s="35" t="s">
        <v>5228</v>
      </c>
    </row>
    <row r="16689" spans="1:2" x14ac:dyDescent="0.35">
      <c r="A16689" s="34">
        <v>73101901</v>
      </c>
      <c r="B16689" s="35" t="s">
        <v>17892</v>
      </c>
    </row>
    <row r="16690" spans="1:2" x14ac:dyDescent="0.35">
      <c r="A16690" s="34">
        <v>73101902</v>
      </c>
      <c r="B16690" s="35" t="s">
        <v>15598</v>
      </c>
    </row>
    <row r="16691" spans="1:2" x14ac:dyDescent="0.35">
      <c r="A16691" s="34">
        <v>73101903</v>
      </c>
      <c r="B16691" s="35" t="s">
        <v>13845</v>
      </c>
    </row>
    <row r="16692" spans="1:2" x14ac:dyDescent="0.35">
      <c r="A16692" s="34">
        <v>73111501</v>
      </c>
      <c r="B16692" s="35" t="s">
        <v>12792</v>
      </c>
    </row>
    <row r="16693" spans="1:2" x14ac:dyDescent="0.35">
      <c r="A16693" s="34">
        <v>73111502</v>
      </c>
      <c r="B16693" s="35" t="s">
        <v>9853</v>
      </c>
    </row>
    <row r="16694" spans="1:2" x14ac:dyDescent="0.35">
      <c r="A16694" s="34">
        <v>73111503</v>
      </c>
      <c r="B16694" s="35" t="s">
        <v>3115</v>
      </c>
    </row>
    <row r="16695" spans="1:2" x14ac:dyDescent="0.35">
      <c r="A16695" s="34">
        <v>73111504</v>
      </c>
      <c r="B16695" s="35" t="s">
        <v>17936</v>
      </c>
    </row>
    <row r="16696" spans="1:2" x14ac:dyDescent="0.35">
      <c r="A16696" s="34">
        <v>73111505</v>
      </c>
      <c r="B16696" s="35" t="s">
        <v>9491</v>
      </c>
    </row>
    <row r="16697" spans="1:2" x14ac:dyDescent="0.35">
      <c r="A16697" s="34">
        <v>73111506</v>
      </c>
      <c r="B16697" s="35" t="s">
        <v>17034</v>
      </c>
    </row>
    <row r="16698" spans="1:2" x14ac:dyDescent="0.35">
      <c r="A16698" s="34">
        <v>73111507</v>
      </c>
      <c r="B16698" s="35" t="s">
        <v>19358</v>
      </c>
    </row>
    <row r="16699" spans="1:2" x14ac:dyDescent="0.35">
      <c r="A16699" s="34">
        <v>73111601</v>
      </c>
      <c r="B16699" s="35" t="s">
        <v>3478</v>
      </c>
    </row>
    <row r="16700" spans="1:2" x14ac:dyDescent="0.35">
      <c r="A16700" s="34">
        <v>73111602</v>
      </c>
      <c r="B16700" s="35" t="s">
        <v>3979</v>
      </c>
    </row>
    <row r="16701" spans="1:2" x14ac:dyDescent="0.35">
      <c r="A16701" s="34">
        <v>73111603</v>
      </c>
      <c r="B16701" s="35" t="s">
        <v>6822</v>
      </c>
    </row>
    <row r="16702" spans="1:2" x14ac:dyDescent="0.35">
      <c r="A16702" s="34">
        <v>73111604</v>
      </c>
      <c r="B16702" s="35" t="s">
        <v>18491</v>
      </c>
    </row>
    <row r="16703" spans="1:2" x14ac:dyDescent="0.35">
      <c r="A16703" s="34">
        <v>73121501</v>
      </c>
      <c r="B16703" s="35" t="s">
        <v>19654</v>
      </c>
    </row>
    <row r="16704" spans="1:2" x14ac:dyDescent="0.35">
      <c r="A16704" s="34">
        <v>73121502</v>
      </c>
      <c r="B16704" s="35" t="s">
        <v>4024</v>
      </c>
    </row>
    <row r="16705" spans="1:2" x14ac:dyDescent="0.35">
      <c r="A16705" s="34">
        <v>73121503</v>
      </c>
      <c r="B16705" s="35" t="s">
        <v>2437</v>
      </c>
    </row>
    <row r="16706" spans="1:2" x14ac:dyDescent="0.35">
      <c r="A16706" s="34">
        <v>73121504</v>
      </c>
      <c r="B16706" s="35" t="s">
        <v>18223</v>
      </c>
    </row>
    <row r="16707" spans="1:2" x14ac:dyDescent="0.35">
      <c r="A16707" s="34">
        <v>73121505</v>
      </c>
      <c r="B16707" s="35" t="s">
        <v>16426</v>
      </c>
    </row>
    <row r="16708" spans="1:2" x14ac:dyDescent="0.35">
      <c r="A16708" s="34">
        <v>73121506</v>
      </c>
      <c r="B16708" s="35" t="s">
        <v>9051</v>
      </c>
    </row>
    <row r="16709" spans="1:2" x14ac:dyDescent="0.35">
      <c r="A16709" s="34">
        <v>73121507</v>
      </c>
      <c r="B16709" s="35" t="s">
        <v>14522</v>
      </c>
    </row>
    <row r="16710" spans="1:2" x14ac:dyDescent="0.35">
      <c r="A16710" s="34">
        <v>73121508</v>
      </c>
      <c r="B16710" s="35" t="s">
        <v>7682</v>
      </c>
    </row>
    <row r="16711" spans="1:2" x14ac:dyDescent="0.35">
      <c r="A16711" s="34">
        <v>73121509</v>
      </c>
      <c r="B16711" s="35" t="s">
        <v>13159</v>
      </c>
    </row>
    <row r="16712" spans="1:2" x14ac:dyDescent="0.35">
      <c r="A16712" s="34">
        <v>73121601</v>
      </c>
      <c r="B16712" s="35" t="s">
        <v>12622</v>
      </c>
    </row>
    <row r="16713" spans="1:2" x14ac:dyDescent="0.35">
      <c r="A16713" s="34">
        <v>73121602</v>
      </c>
      <c r="B16713" s="35" t="s">
        <v>10943</v>
      </c>
    </row>
    <row r="16714" spans="1:2" x14ac:dyDescent="0.35">
      <c r="A16714" s="34">
        <v>73121603</v>
      </c>
      <c r="B16714" s="35" t="s">
        <v>18159</v>
      </c>
    </row>
    <row r="16715" spans="1:2" x14ac:dyDescent="0.35">
      <c r="A16715" s="34">
        <v>73121606</v>
      </c>
      <c r="B16715" s="35" t="s">
        <v>14656</v>
      </c>
    </row>
    <row r="16716" spans="1:2" x14ac:dyDescent="0.35">
      <c r="A16716" s="34">
        <v>73121607</v>
      </c>
      <c r="B16716" s="35" t="s">
        <v>18773</v>
      </c>
    </row>
    <row r="16717" spans="1:2" x14ac:dyDescent="0.35">
      <c r="A16717" s="34">
        <v>73121608</v>
      </c>
      <c r="B16717" s="35" t="s">
        <v>16413</v>
      </c>
    </row>
    <row r="16718" spans="1:2" x14ac:dyDescent="0.35">
      <c r="A16718" s="34">
        <v>73121610</v>
      </c>
      <c r="B16718" s="35" t="s">
        <v>10943</v>
      </c>
    </row>
    <row r="16719" spans="1:2" x14ac:dyDescent="0.35">
      <c r="A16719" s="34">
        <v>73121611</v>
      </c>
      <c r="B16719" s="35" t="s">
        <v>19401</v>
      </c>
    </row>
    <row r="16720" spans="1:2" x14ac:dyDescent="0.35">
      <c r="A16720" s="34">
        <v>73121612</v>
      </c>
      <c r="B16720" s="35" t="s">
        <v>18390</v>
      </c>
    </row>
    <row r="16721" spans="1:2" x14ac:dyDescent="0.35">
      <c r="A16721" s="34">
        <v>73121613</v>
      </c>
      <c r="B16721" s="35" t="s">
        <v>7682</v>
      </c>
    </row>
    <row r="16722" spans="1:2" x14ac:dyDescent="0.35">
      <c r="A16722" s="34">
        <v>73121801</v>
      </c>
      <c r="B16722" s="35" t="s">
        <v>2076</v>
      </c>
    </row>
    <row r="16723" spans="1:2" x14ac:dyDescent="0.35">
      <c r="A16723" s="34">
        <v>73121802</v>
      </c>
      <c r="B16723" s="35" t="s">
        <v>1551</v>
      </c>
    </row>
    <row r="16724" spans="1:2" x14ac:dyDescent="0.35">
      <c r="A16724" s="34">
        <v>73121803</v>
      </c>
      <c r="B16724" s="35" t="s">
        <v>8822</v>
      </c>
    </row>
    <row r="16725" spans="1:2" x14ac:dyDescent="0.35">
      <c r="A16725" s="34">
        <v>73121804</v>
      </c>
      <c r="B16725" s="35" t="s">
        <v>12034</v>
      </c>
    </row>
    <row r="16726" spans="1:2" x14ac:dyDescent="0.35">
      <c r="A16726" s="34">
        <v>73121805</v>
      </c>
      <c r="B16726" s="35" t="s">
        <v>17648</v>
      </c>
    </row>
    <row r="16727" spans="1:2" x14ac:dyDescent="0.35">
      <c r="A16727" s="34">
        <v>73121806</v>
      </c>
      <c r="B16727" s="35" t="s">
        <v>7206</v>
      </c>
    </row>
    <row r="16728" spans="1:2" x14ac:dyDescent="0.35">
      <c r="A16728" s="34">
        <v>73121807</v>
      </c>
      <c r="B16728" s="35" t="s">
        <v>6487</v>
      </c>
    </row>
    <row r="16729" spans="1:2" x14ac:dyDescent="0.35">
      <c r="A16729" s="34">
        <v>73131501</v>
      </c>
      <c r="B16729" s="35" t="s">
        <v>8770</v>
      </c>
    </row>
    <row r="16730" spans="1:2" x14ac:dyDescent="0.35">
      <c r="A16730" s="34">
        <v>73131502</v>
      </c>
      <c r="B16730" s="35" t="s">
        <v>5872</v>
      </c>
    </row>
    <row r="16731" spans="1:2" x14ac:dyDescent="0.35">
      <c r="A16731" s="34">
        <v>73131503</v>
      </c>
      <c r="B16731" s="35" t="s">
        <v>14350</v>
      </c>
    </row>
    <row r="16732" spans="1:2" x14ac:dyDescent="0.35">
      <c r="A16732" s="34">
        <v>73131504</v>
      </c>
      <c r="B16732" s="35" t="s">
        <v>4451</v>
      </c>
    </row>
    <row r="16733" spans="1:2" x14ac:dyDescent="0.35">
      <c r="A16733" s="34">
        <v>73131505</v>
      </c>
      <c r="B16733" s="35" t="s">
        <v>18969</v>
      </c>
    </row>
    <row r="16734" spans="1:2" x14ac:dyDescent="0.35">
      <c r="A16734" s="34">
        <v>73131506</v>
      </c>
      <c r="B16734" s="35" t="s">
        <v>13192</v>
      </c>
    </row>
    <row r="16735" spans="1:2" x14ac:dyDescent="0.35">
      <c r="A16735" s="34">
        <v>73131507</v>
      </c>
      <c r="B16735" s="35" t="s">
        <v>15197</v>
      </c>
    </row>
    <row r="16736" spans="1:2" x14ac:dyDescent="0.35">
      <c r="A16736" s="34">
        <v>73131508</v>
      </c>
      <c r="B16736" s="35" t="s">
        <v>7080</v>
      </c>
    </row>
    <row r="16737" spans="1:2" x14ac:dyDescent="0.35">
      <c r="A16737" s="34">
        <v>73131601</v>
      </c>
      <c r="B16737" s="35" t="s">
        <v>12913</v>
      </c>
    </row>
    <row r="16738" spans="1:2" x14ac:dyDescent="0.35">
      <c r="A16738" s="34">
        <v>73131602</v>
      </c>
      <c r="B16738" s="35" t="s">
        <v>1434</v>
      </c>
    </row>
    <row r="16739" spans="1:2" x14ac:dyDescent="0.35">
      <c r="A16739" s="34">
        <v>73131603</v>
      </c>
      <c r="B16739" s="35" t="s">
        <v>16789</v>
      </c>
    </row>
    <row r="16740" spans="1:2" x14ac:dyDescent="0.35">
      <c r="A16740" s="34">
        <v>73131604</v>
      </c>
      <c r="B16740" s="35" t="s">
        <v>7777</v>
      </c>
    </row>
    <row r="16741" spans="1:2" x14ac:dyDescent="0.35">
      <c r="A16741" s="34">
        <v>73131605</v>
      </c>
      <c r="B16741" s="35" t="s">
        <v>12169</v>
      </c>
    </row>
    <row r="16742" spans="1:2" x14ac:dyDescent="0.35">
      <c r="A16742" s="34">
        <v>73131606</v>
      </c>
      <c r="B16742" s="35" t="s">
        <v>5138</v>
      </c>
    </row>
    <row r="16743" spans="1:2" x14ac:dyDescent="0.35">
      <c r="A16743" s="34">
        <v>73131607</v>
      </c>
      <c r="B16743" s="35" t="s">
        <v>14171</v>
      </c>
    </row>
    <row r="16744" spans="1:2" x14ac:dyDescent="0.35">
      <c r="A16744" s="34">
        <v>73131608</v>
      </c>
      <c r="B16744" s="35" t="s">
        <v>14531</v>
      </c>
    </row>
    <row r="16745" spans="1:2" x14ac:dyDescent="0.35">
      <c r="A16745" s="34">
        <v>73131701</v>
      </c>
      <c r="B16745" s="35" t="s">
        <v>17677</v>
      </c>
    </row>
    <row r="16746" spans="1:2" x14ac:dyDescent="0.35">
      <c r="A16746" s="34">
        <v>73131702</v>
      </c>
      <c r="B16746" s="35" t="s">
        <v>11690</v>
      </c>
    </row>
    <row r="16747" spans="1:2" x14ac:dyDescent="0.35">
      <c r="A16747" s="34">
        <v>73131703</v>
      </c>
      <c r="B16747" s="35" t="s">
        <v>8638</v>
      </c>
    </row>
    <row r="16748" spans="1:2" x14ac:dyDescent="0.35">
      <c r="A16748" s="34">
        <v>73131801</v>
      </c>
      <c r="B16748" s="35" t="s">
        <v>18574</v>
      </c>
    </row>
    <row r="16749" spans="1:2" x14ac:dyDescent="0.35">
      <c r="A16749" s="34">
        <v>73131802</v>
      </c>
      <c r="B16749" s="35" t="s">
        <v>5406</v>
      </c>
    </row>
    <row r="16750" spans="1:2" x14ac:dyDescent="0.35">
      <c r="A16750" s="34">
        <v>73131803</v>
      </c>
      <c r="B16750" s="35" t="s">
        <v>10571</v>
      </c>
    </row>
    <row r="16751" spans="1:2" x14ac:dyDescent="0.35">
      <c r="A16751" s="34">
        <v>73131804</v>
      </c>
      <c r="B16751" s="35" t="s">
        <v>8146</v>
      </c>
    </row>
    <row r="16752" spans="1:2" x14ac:dyDescent="0.35">
      <c r="A16752" s="34">
        <v>73131902</v>
      </c>
      <c r="B16752" s="35" t="s">
        <v>13178</v>
      </c>
    </row>
    <row r="16753" spans="1:2" x14ac:dyDescent="0.35">
      <c r="A16753" s="34">
        <v>73131903</v>
      </c>
      <c r="B16753" s="35" t="s">
        <v>1829</v>
      </c>
    </row>
    <row r="16754" spans="1:2" x14ac:dyDescent="0.35">
      <c r="A16754" s="34">
        <v>73131904</v>
      </c>
      <c r="B16754" s="35" t="s">
        <v>3363</v>
      </c>
    </row>
    <row r="16755" spans="1:2" x14ac:dyDescent="0.35">
      <c r="A16755" s="34">
        <v>73131905</v>
      </c>
      <c r="B16755" s="35" t="s">
        <v>4759</v>
      </c>
    </row>
    <row r="16756" spans="1:2" x14ac:dyDescent="0.35">
      <c r="A16756" s="34">
        <v>73131906</v>
      </c>
      <c r="B16756" s="35" t="s">
        <v>10443</v>
      </c>
    </row>
    <row r="16757" spans="1:2" x14ac:dyDescent="0.35">
      <c r="A16757" s="34">
        <v>73141501</v>
      </c>
      <c r="B16757" s="35" t="s">
        <v>2496</v>
      </c>
    </row>
    <row r="16758" spans="1:2" x14ac:dyDescent="0.35">
      <c r="A16758" s="34">
        <v>73141502</v>
      </c>
      <c r="B16758" s="35" t="s">
        <v>10236</v>
      </c>
    </row>
    <row r="16759" spans="1:2" x14ac:dyDescent="0.35">
      <c r="A16759" s="34">
        <v>73141503</v>
      </c>
      <c r="B16759" s="35" t="s">
        <v>7905</v>
      </c>
    </row>
    <row r="16760" spans="1:2" x14ac:dyDescent="0.35">
      <c r="A16760" s="34">
        <v>73141504</v>
      </c>
      <c r="B16760" s="35" t="s">
        <v>2606</v>
      </c>
    </row>
    <row r="16761" spans="1:2" x14ac:dyDescent="0.35">
      <c r="A16761" s="34">
        <v>73141505</v>
      </c>
      <c r="B16761" s="35" t="s">
        <v>7236</v>
      </c>
    </row>
    <row r="16762" spans="1:2" x14ac:dyDescent="0.35">
      <c r="A16762" s="34">
        <v>73141506</v>
      </c>
      <c r="B16762" s="35" t="s">
        <v>10688</v>
      </c>
    </row>
    <row r="16763" spans="1:2" x14ac:dyDescent="0.35">
      <c r="A16763" s="34">
        <v>73141507</v>
      </c>
      <c r="B16763" s="35" t="s">
        <v>18914</v>
      </c>
    </row>
    <row r="16764" spans="1:2" x14ac:dyDescent="0.35">
      <c r="A16764" s="34">
        <v>73141508</v>
      </c>
      <c r="B16764" s="35" t="s">
        <v>19287</v>
      </c>
    </row>
    <row r="16765" spans="1:2" x14ac:dyDescent="0.35">
      <c r="A16765" s="34">
        <v>73141601</v>
      </c>
      <c r="B16765" s="35" t="s">
        <v>10028</v>
      </c>
    </row>
    <row r="16766" spans="1:2" x14ac:dyDescent="0.35">
      <c r="A16766" s="34">
        <v>73141602</v>
      </c>
      <c r="B16766" s="35" t="s">
        <v>3396</v>
      </c>
    </row>
    <row r="16767" spans="1:2" x14ac:dyDescent="0.35">
      <c r="A16767" s="34">
        <v>73141701</v>
      </c>
      <c r="B16767" s="35" t="s">
        <v>16405</v>
      </c>
    </row>
    <row r="16768" spans="1:2" x14ac:dyDescent="0.35">
      <c r="A16768" s="34">
        <v>73141702</v>
      </c>
      <c r="B16768" s="35" t="s">
        <v>4775</v>
      </c>
    </row>
    <row r="16769" spans="1:2" x14ac:dyDescent="0.35">
      <c r="A16769" s="34">
        <v>73141703</v>
      </c>
      <c r="B16769" s="35" t="s">
        <v>19537</v>
      </c>
    </row>
    <row r="16770" spans="1:2" x14ac:dyDescent="0.35">
      <c r="A16770" s="34">
        <v>73141704</v>
      </c>
      <c r="B16770" s="35" t="s">
        <v>10225</v>
      </c>
    </row>
    <row r="16771" spans="1:2" x14ac:dyDescent="0.35">
      <c r="A16771" s="34">
        <v>73141705</v>
      </c>
      <c r="B16771" s="35" t="s">
        <v>15202</v>
      </c>
    </row>
    <row r="16772" spans="1:2" x14ac:dyDescent="0.35">
      <c r="A16772" s="34">
        <v>73141706</v>
      </c>
      <c r="B16772" s="35" t="s">
        <v>8022</v>
      </c>
    </row>
    <row r="16773" spans="1:2" x14ac:dyDescent="0.35">
      <c r="A16773" s="34">
        <v>73141707</v>
      </c>
      <c r="B16773" s="35" t="s">
        <v>1885</v>
      </c>
    </row>
    <row r="16774" spans="1:2" x14ac:dyDescent="0.35">
      <c r="A16774" s="34">
        <v>73141708</v>
      </c>
      <c r="B16774" s="35" t="s">
        <v>11892</v>
      </c>
    </row>
    <row r="16775" spans="1:2" x14ac:dyDescent="0.35">
      <c r="A16775" s="34">
        <v>73141709</v>
      </c>
      <c r="B16775" s="35" t="s">
        <v>10415</v>
      </c>
    </row>
    <row r="16776" spans="1:2" x14ac:dyDescent="0.35">
      <c r="A16776" s="34">
        <v>73141710</v>
      </c>
      <c r="B16776" s="35" t="s">
        <v>5474</v>
      </c>
    </row>
    <row r="16777" spans="1:2" x14ac:dyDescent="0.35">
      <c r="A16777" s="34">
        <v>73141711</v>
      </c>
      <c r="B16777" s="35" t="s">
        <v>16902</v>
      </c>
    </row>
    <row r="16778" spans="1:2" x14ac:dyDescent="0.35">
      <c r="A16778" s="34">
        <v>73141712</v>
      </c>
      <c r="B16778" s="35" t="s">
        <v>17539</v>
      </c>
    </row>
    <row r="16779" spans="1:2" x14ac:dyDescent="0.35">
      <c r="A16779" s="34">
        <v>73141713</v>
      </c>
      <c r="B16779" s="35" t="s">
        <v>15346</v>
      </c>
    </row>
    <row r="16780" spans="1:2" x14ac:dyDescent="0.35">
      <c r="A16780" s="34">
        <v>73141714</v>
      </c>
      <c r="B16780" s="35" t="s">
        <v>569</v>
      </c>
    </row>
    <row r="16781" spans="1:2" x14ac:dyDescent="0.35">
      <c r="A16781" s="34">
        <v>73141715</v>
      </c>
      <c r="B16781" s="35" t="s">
        <v>7103</v>
      </c>
    </row>
    <row r="16782" spans="1:2" x14ac:dyDescent="0.35">
      <c r="A16782" s="34">
        <v>73151501</v>
      </c>
      <c r="B16782" s="35" t="s">
        <v>3790</v>
      </c>
    </row>
    <row r="16783" spans="1:2" x14ac:dyDescent="0.35">
      <c r="A16783" s="34">
        <v>73151502</v>
      </c>
      <c r="B16783" s="35" t="s">
        <v>6471</v>
      </c>
    </row>
    <row r="16784" spans="1:2" x14ac:dyDescent="0.35">
      <c r="A16784" s="34">
        <v>73151601</v>
      </c>
      <c r="B16784" s="35" t="s">
        <v>16380</v>
      </c>
    </row>
    <row r="16785" spans="1:2" x14ac:dyDescent="0.35">
      <c r="A16785" s="34">
        <v>73151602</v>
      </c>
      <c r="B16785" s="35" t="s">
        <v>5780</v>
      </c>
    </row>
    <row r="16786" spans="1:2" x14ac:dyDescent="0.35">
      <c r="A16786" s="34">
        <v>73151603</v>
      </c>
      <c r="B16786" s="35" t="s">
        <v>173</v>
      </c>
    </row>
    <row r="16787" spans="1:2" x14ac:dyDescent="0.35">
      <c r="A16787" s="34">
        <v>73151604</v>
      </c>
      <c r="B16787" s="35" t="s">
        <v>0</v>
      </c>
    </row>
    <row r="16788" spans="1:2" x14ac:dyDescent="0.35">
      <c r="A16788" s="34">
        <v>73151605</v>
      </c>
      <c r="B16788" s="35" t="s">
        <v>17855</v>
      </c>
    </row>
    <row r="16789" spans="1:2" x14ac:dyDescent="0.35">
      <c r="A16789" s="34">
        <v>73151606</v>
      </c>
      <c r="B16789" s="35" t="s">
        <v>14710</v>
      </c>
    </row>
    <row r="16790" spans="1:2" x14ac:dyDescent="0.35">
      <c r="A16790" s="34">
        <v>73151607</v>
      </c>
      <c r="B16790" s="35" t="s">
        <v>15225</v>
      </c>
    </row>
    <row r="16791" spans="1:2" x14ac:dyDescent="0.35">
      <c r="A16791" s="34">
        <v>73151701</v>
      </c>
      <c r="B16791" s="35" t="s">
        <v>16656</v>
      </c>
    </row>
    <row r="16792" spans="1:2" x14ac:dyDescent="0.35">
      <c r="A16792" s="34">
        <v>73151702</v>
      </c>
      <c r="B16792" s="35" t="s">
        <v>16843</v>
      </c>
    </row>
    <row r="16793" spans="1:2" x14ac:dyDescent="0.35">
      <c r="A16793" s="34">
        <v>73151703</v>
      </c>
      <c r="B16793" s="35" t="s">
        <v>18253</v>
      </c>
    </row>
    <row r="16794" spans="1:2" x14ac:dyDescent="0.35">
      <c r="A16794" s="34">
        <v>73151801</v>
      </c>
      <c r="B16794" s="35" t="s">
        <v>13657</v>
      </c>
    </row>
    <row r="16795" spans="1:2" x14ac:dyDescent="0.35">
      <c r="A16795" s="34">
        <v>73151802</v>
      </c>
      <c r="B16795" s="35" t="s">
        <v>13576</v>
      </c>
    </row>
    <row r="16796" spans="1:2" x14ac:dyDescent="0.35">
      <c r="A16796" s="34">
        <v>73151803</v>
      </c>
      <c r="B16796" s="35" t="s">
        <v>5660</v>
      </c>
    </row>
    <row r="16797" spans="1:2" x14ac:dyDescent="0.35">
      <c r="A16797" s="34">
        <v>73151804</v>
      </c>
      <c r="B16797" s="35" t="s">
        <v>6023</v>
      </c>
    </row>
    <row r="16798" spans="1:2" x14ac:dyDescent="0.35">
      <c r="A16798" s="34">
        <v>73151805</v>
      </c>
      <c r="B16798" s="35" t="s">
        <v>16704</v>
      </c>
    </row>
    <row r="16799" spans="1:2" x14ac:dyDescent="0.35">
      <c r="A16799" s="34">
        <v>73151901</v>
      </c>
      <c r="B16799" s="35" t="s">
        <v>11102</v>
      </c>
    </row>
    <row r="16800" spans="1:2" x14ac:dyDescent="0.35">
      <c r="A16800" s="34">
        <v>73151902</v>
      </c>
      <c r="B16800" s="35" t="s">
        <v>9691</v>
      </c>
    </row>
    <row r="16801" spans="1:2" x14ac:dyDescent="0.35">
      <c r="A16801" s="34">
        <v>73151903</v>
      </c>
      <c r="B16801" s="35" t="s">
        <v>9655</v>
      </c>
    </row>
    <row r="16802" spans="1:2" x14ac:dyDescent="0.35">
      <c r="A16802" s="34">
        <v>73151904</v>
      </c>
      <c r="B16802" s="35" t="s">
        <v>11381</v>
      </c>
    </row>
    <row r="16803" spans="1:2" x14ac:dyDescent="0.35">
      <c r="A16803" s="34">
        <v>73151905</v>
      </c>
      <c r="B16803" s="35" t="s">
        <v>9270</v>
      </c>
    </row>
    <row r="16804" spans="1:2" x14ac:dyDescent="0.35">
      <c r="A16804" s="34">
        <v>73151906</v>
      </c>
      <c r="B16804" s="35" t="s">
        <v>7436</v>
      </c>
    </row>
    <row r="16805" spans="1:2" x14ac:dyDescent="0.35">
      <c r="A16805" s="34">
        <v>73151907</v>
      </c>
      <c r="B16805" s="35" t="s">
        <v>9293</v>
      </c>
    </row>
    <row r="16806" spans="1:2" x14ac:dyDescent="0.35">
      <c r="A16806" s="34">
        <v>73152001</v>
      </c>
      <c r="B16806" s="35" t="s">
        <v>13613</v>
      </c>
    </row>
    <row r="16807" spans="1:2" x14ac:dyDescent="0.35">
      <c r="A16807" s="34">
        <v>73152002</v>
      </c>
      <c r="B16807" s="35" t="s">
        <v>18198</v>
      </c>
    </row>
    <row r="16808" spans="1:2" x14ac:dyDescent="0.35">
      <c r="A16808" s="34">
        <v>73152003</v>
      </c>
      <c r="B16808" s="35" t="s">
        <v>10397</v>
      </c>
    </row>
    <row r="16809" spans="1:2" x14ac:dyDescent="0.35">
      <c r="A16809" s="34">
        <v>73152004</v>
      </c>
      <c r="B16809" s="35" t="s">
        <v>10604</v>
      </c>
    </row>
    <row r="16810" spans="1:2" x14ac:dyDescent="0.35">
      <c r="A16810" s="34">
        <v>73152101</v>
      </c>
      <c r="B16810" s="35" t="s">
        <v>14085</v>
      </c>
    </row>
    <row r="16811" spans="1:2" x14ac:dyDescent="0.35">
      <c r="A16811" s="34">
        <v>73152102</v>
      </c>
      <c r="B16811" s="35" t="s">
        <v>12261</v>
      </c>
    </row>
    <row r="16812" spans="1:2" x14ac:dyDescent="0.35">
      <c r="A16812" s="34">
        <v>73161501</v>
      </c>
      <c r="B16812" s="35" t="s">
        <v>12414</v>
      </c>
    </row>
    <row r="16813" spans="1:2" x14ac:dyDescent="0.35">
      <c r="A16813" s="34">
        <v>73161502</v>
      </c>
      <c r="B16813" s="35" t="s">
        <v>9725</v>
      </c>
    </row>
    <row r="16814" spans="1:2" x14ac:dyDescent="0.35">
      <c r="A16814" s="34">
        <v>73161503</v>
      </c>
      <c r="B16814" s="35" t="s">
        <v>8176</v>
      </c>
    </row>
    <row r="16815" spans="1:2" x14ac:dyDescent="0.35">
      <c r="A16815" s="34">
        <v>73161504</v>
      </c>
      <c r="B16815" s="35" t="s">
        <v>12215</v>
      </c>
    </row>
    <row r="16816" spans="1:2" x14ac:dyDescent="0.35">
      <c r="A16816" s="34">
        <v>73161505</v>
      </c>
      <c r="B16816" s="35" t="s">
        <v>15424</v>
      </c>
    </row>
    <row r="16817" spans="1:2" x14ac:dyDescent="0.35">
      <c r="A16817" s="34">
        <v>73161506</v>
      </c>
      <c r="B16817" s="35" t="s">
        <v>11066</v>
      </c>
    </row>
    <row r="16818" spans="1:2" x14ac:dyDescent="0.35">
      <c r="A16818" s="34">
        <v>73161507</v>
      </c>
      <c r="B16818" s="35" t="s">
        <v>8879</v>
      </c>
    </row>
    <row r="16819" spans="1:2" x14ac:dyDescent="0.35">
      <c r="A16819" s="34">
        <v>73161508</v>
      </c>
      <c r="B16819" s="35" t="s">
        <v>13346</v>
      </c>
    </row>
    <row r="16820" spans="1:2" x14ac:dyDescent="0.35">
      <c r="A16820" s="34">
        <v>73161509</v>
      </c>
      <c r="B16820" s="35" t="s">
        <v>13163</v>
      </c>
    </row>
    <row r="16821" spans="1:2" x14ac:dyDescent="0.35">
      <c r="A16821" s="34">
        <v>73161510</v>
      </c>
      <c r="B16821" s="35" t="s">
        <v>9464</v>
      </c>
    </row>
    <row r="16822" spans="1:2" x14ac:dyDescent="0.35">
      <c r="A16822" s="34">
        <v>73161511</v>
      </c>
      <c r="B16822" s="35" t="s">
        <v>807</v>
      </c>
    </row>
    <row r="16823" spans="1:2" x14ac:dyDescent="0.35">
      <c r="A16823" s="34">
        <v>73161512</v>
      </c>
      <c r="B16823" s="35" t="s">
        <v>5597</v>
      </c>
    </row>
    <row r="16824" spans="1:2" x14ac:dyDescent="0.35">
      <c r="A16824" s="34">
        <v>73161513</v>
      </c>
      <c r="B16824" s="35" t="s">
        <v>880</v>
      </c>
    </row>
    <row r="16825" spans="1:2" x14ac:dyDescent="0.35">
      <c r="A16825" s="34">
        <v>73161514</v>
      </c>
      <c r="B16825" s="35" t="s">
        <v>16124</v>
      </c>
    </row>
    <row r="16826" spans="1:2" x14ac:dyDescent="0.35">
      <c r="A16826" s="34">
        <v>73161515</v>
      </c>
      <c r="B16826" s="35" t="s">
        <v>7564</v>
      </c>
    </row>
    <row r="16827" spans="1:2" x14ac:dyDescent="0.35">
      <c r="A16827" s="34">
        <v>73161516</v>
      </c>
      <c r="B16827" s="35" t="s">
        <v>2816</v>
      </c>
    </row>
    <row r="16828" spans="1:2" x14ac:dyDescent="0.35">
      <c r="A16828" s="34">
        <v>73161517</v>
      </c>
      <c r="B16828" s="35" t="s">
        <v>3789</v>
      </c>
    </row>
    <row r="16829" spans="1:2" x14ac:dyDescent="0.35">
      <c r="A16829" s="34">
        <v>73161518</v>
      </c>
      <c r="B16829" s="35" t="s">
        <v>7070</v>
      </c>
    </row>
    <row r="16830" spans="1:2" x14ac:dyDescent="0.35">
      <c r="A16830" s="34">
        <v>73161519</v>
      </c>
      <c r="B16830" s="35" t="s">
        <v>9424</v>
      </c>
    </row>
    <row r="16831" spans="1:2" x14ac:dyDescent="0.35">
      <c r="A16831" s="34">
        <v>73161601</v>
      </c>
      <c r="B16831" s="35" t="s">
        <v>18178</v>
      </c>
    </row>
    <row r="16832" spans="1:2" x14ac:dyDescent="0.35">
      <c r="A16832" s="34">
        <v>73161602</v>
      </c>
      <c r="B16832" s="35" t="s">
        <v>460</v>
      </c>
    </row>
    <row r="16833" spans="1:2" x14ac:dyDescent="0.35">
      <c r="A16833" s="34">
        <v>73161603</v>
      </c>
      <c r="B16833" s="35" t="s">
        <v>9165</v>
      </c>
    </row>
    <row r="16834" spans="1:2" x14ac:dyDescent="0.35">
      <c r="A16834" s="34">
        <v>73161604</v>
      </c>
      <c r="B16834" s="35" t="s">
        <v>11048</v>
      </c>
    </row>
    <row r="16835" spans="1:2" x14ac:dyDescent="0.35">
      <c r="A16835" s="34">
        <v>73161605</v>
      </c>
      <c r="B16835" s="35" t="s">
        <v>15650</v>
      </c>
    </row>
    <row r="16836" spans="1:2" x14ac:dyDescent="0.35">
      <c r="A16836" s="34">
        <v>73161606</v>
      </c>
      <c r="B16836" s="35" t="s">
        <v>11594</v>
      </c>
    </row>
    <row r="16837" spans="1:2" x14ac:dyDescent="0.35">
      <c r="A16837" s="34">
        <v>73161607</v>
      </c>
      <c r="B16837" s="35" t="s">
        <v>16357</v>
      </c>
    </row>
    <row r="16838" spans="1:2" x14ac:dyDescent="0.35">
      <c r="A16838" s="34">
        <v>73171501</v>
      </c>
      <c r="B16838" s="35" t="s">
        <v>15474</v>
      </c>
    </row>
    <row r="16839" spans="1:2" x14ac:dyDescent="0.35">
      <c r="A16839" s="34">
        <v>73171502</v>
      </c>
      <c r="B16839" s="35" t="s">
        <v>11708</v>
      </c>
    </row>
    <row r="16840" spans="1:2" x14ac:dyDescent="0.35">
      <c r="A16840" s="34">
        <v>73171503</v>
      </c>
      <c r="B16840" s="35" t="s">
        <v>4077</v>
      </c>
    </row>
    <row r="16841" spans="1:2" x14ac:dyDescent="0.35">
      <c r="A16841" s="34">
        <v>73171504</v>
      </c>
      <c r="B16841" s="35" t="s">
        <v>7358</v>
      </c>
    </row>
    <row r="16842" spans="1:2" x14ac:dyDescent="0.35">
      <c r="A16842" s="34">
        <v>73171505</v>
      </c>
      <c r="B16842" s="35" t="s">
        <v>9903</v>
      </c>
    </row>
    <row r="16843" spans="1:2" x14ac:dyDescent="0.35">
      <c r="A16843" s="34">
        <v>73171506</v>
      </c>
      <c r="B16843" s="35" t="s">
        <v>18758</v>
      </c>
    </row>
    <row r="16844" spans="1:2" x14ac:dyDescent="0.35">
      <c r="A16844" s="34">
        <v>73171507</v>
      </c>
      <c r="B16844" s="35" t="s">
        <v>13588</v>
      </c>
    </row>
    <row r="16845" spans="1:2" x14ac:dyDescent="0.35">
      <c r="A16845" s="34">
        <v>73171508</v>
      </c>
      <c r="B16845" s="35" t="s">
        <v>13586</v>
      </c>
    </row>
    <row r="16846" spans="1:2" x14ac:dyDescent="0.35">
      <c r="A16846" s="34">
        <v>73171510</v>
      </c>
      <c r="B16846" s="35" t="s">
        <v>2126</v>
      </c>
    </row>
    <row r="16847" spans="1:2" x14ac:dyDescent="0.35">
      <c r="A16847" s="34">
        <v>73171511</v>
      </c>
      <c r="B16847" s="35" t="s">
        <v>1561</v>
      </c>
    </row>
    <row r="16848" spans="1:2" x14ac:dyDescent="0.35">
      <c r="A16848" s="34">
        <v>73171512</v>
      </c>
      <c r="B16848" s="35" t="s">
        <v>455</v>
      </c>
    </row>
    <row r="16849" spans="1:2" x14ac:dyDescent="0.35">
      <c r="A16849" s="34">
        <v>73171601</v>
      </c>
      <c r="B16849" s="35" t="s">
        <v>18998</v>
      </c>
    </row>
    <row r="16850" spans="1:2" x14ac:dyDescent="0.35">
      <c r="A16850" s="34">
        <v>73171602</v>
      </c>
      <c r="B16850" s="35" t="s">
        <v>1459</v>
      </c>
    </row>
    <row r="16851" spans="1:2" x14ac:dyDescent="0.35">
      <c r="A16851" s="34">
        <v>73171603</v>
      </c>
      <c r="B16851" s="35" t="s">
        <v>16719</v>
      </c>
    </row>
    <row r="16852" spans="1:2" x14ac:dyDescent="0.35">
      <c r="A16852" s="34">
        <v>73171604</v>
      </c>
      <c r="B16852" s="35" t="s">
        <v>9441</v>
      </c>
    </row>
    <row r="16853" spans="1:2" x14ac:dyDescent="0.35">
      <c r="A16853" s="34">
        <v>73171605</v>
      </c>
      <c r="B16853" s="35" t="s">
        <v>14395</v>
      </c>
    </row>
    <row r="16854" spans="1:2" x14ac:dyDescent="0.35">
      <c r="A16854" s="34">
        <v>73181001</v>
      </c>
      <c r="B16854" s="35" t="s">
        <v>19324</v>
      </c>
    </row>
    <row r="16855" spans="1:2" x14ac:dyDescent="0.35">
      <c r="A16855" s="34">
        <v>73181002</v>
      </c>
      <c r="B16855" s="35" t="s">
        <v>13635</v>
      </c>
    </row>
    <row r="16856" spans="1:2" x14ac:dyDescent="0.35">
      <c r="A16856" s="34">
        <v>73181003</v>
      </c>
      <c r="B16856" s="35" t="s">
        <v>12537</v>
      </c>
    </row>
    <row r="16857" spans="1:2" x14ac:dyDescent="0.35">
      <c r="A16857" s="34">
        <v>73181004</v>
      </c>
      <c r="B16857" s="35" t="s">
        <v>4043</v>
      </c>
    </row>
    <row r="16858" spans="1:2" x14ac:dyDescent="0.35">
      <c r="A16858" s="34">
        <v>73181005</v>
      </c>
      <c r="B16858" s="35" t="s">
        <v>7904</v>
      </c>
    </row>
    <row r="16859" spans="1:2" x14ac:dyDescent="0.35">
      <c r="A16859" s="34">
        <v>73181006</v>
      </c>
      <c r="B16859" s="35" t="s">
        <v>14992</v>
      </c>
    </row>
    <row r="16860" spans="1:2" x14ac:dyDescent="0.35">
      <c r="A16860" s="34">
        <v>73181007</v>
      </c>
      <c r="B16860" s="35" t="s">
        <v>15874</v>
      </c>
    </row>
    <row r="16861" spans="1:2" x14ac:dyDescent="0.35">
      <c r="A16861" s="34">
        <v>73181008</v>
      </c>
      <c r="B16861" s="35" t="s">
        <v>9309</v>
      </c>
    </row>
    <row r="16862" spans="1:2" x14ac:dyDescent="0.35">
      <c r="A16862" s="34">
        <v>73181009</v>
      </c>
      <c r="B16862" s="35" t="s">
        <v>11421</v>
      </c>
    </row>
    <row r="16863" spans="1:2" x14ac:dyDescent="0.35">
      <c r="A16863" s="34">
        <v>73181010</v>
      </c>
      <c r="B16863" s="35" t="s">
        <v>19394</v>
      </c>
    </row>
    <row r="16864" spans="1:2" x14ac:dyDescent="0.35">
      <c r="A16864" s="34">
        <v>73181011</v>
      </c>
      <c r="B16864" s="35" t="s">
        <v>8799</v>
      </c>
    </row>
    <row r="16865" spans="1:2" x14ac:dyDescent="0.35">
      <c r="A16865" s="34">
        <v>73181012</v>
      </c>
      <c r="B16865" s="35" t="s">
        <v>4635</v>
      </c>
    </row>
    <row r="16866" spans="1:2" x14ac:dyDescent="0.35">
      <c r="A16866" s="34">
        <v>73181013</v>
      </c>
      <c r="B16866" s="35" t="s">
        <v>1815</v>
      </c>
    </row>
    <row r="16867" spans="1:2" x14ac:dyDescent="0.35">
      <c r="A16867" s="34">
        <v>73181014</v>
      </c>
      <c r="B16867" s="35" t="s">
        <v>3304</v>
      </c>
    </row>
    <row r="16868" spans="1:2" x14ac:dyDescent="0.35">
      <c r="A16868" s="34">
        <v>73181015</v>
      </c>
      <c r="B16868" s="35" t="s">
        <v>11282</v>
      </c>
    </row>
    <row r="16869" spans="1:2" x14ac:dyDescent="0.35">
      <c r="A16869" s="34">
        <v>73181016</v>
      </c>
      <c r="B16869" s="35" t="s">
        <v>11782</v>
      </c>
    </row>
    <row r="16870" spans="1:2" x14ac:dyDescent="0.35">
      <c r="A16870" s="34">
        <v>73181017</v>
      </c>
      <c r="B16870" s="35" t="s">
        <v>18236</v>
      </c>
    </row>
    <row r="16871" spans="1:2" x14ac:dyDescent="0.35">
      <c r="A16871" s="34">
        <v>73181018</v>
      </c>
      <c r="B16871" s="35" t="s">
        <v>11812</v>
      </c>
    </row>
    <row r="16872" spans="1:2" x14ac:dyDescent="0.35">
      <c r="A16872" s="34">
        <v>73181019</v>
      </c>
      <c r="B16872" s="35" t="s">
        <v>6384</v>
      </c>
    </row>
    <row r="16873" spans="1:2" x14ac:dyDescent="0.35">
      <c r="A16873" s="34">
        <v>73181020</v>
      </c>
      <c r="B16873" s="35" t="s">
        <v>12048</v>
      </c>
    </row>
    <row r="16874" spans="1:2" x14ac:dyDescent="0.35">
      <c r="A16874" s="34">
        <v>73181021</v>
      </c>
      <c r="B16874" s="35" t="s">
        <v>4635</v>
      </c>
    </row>
    <row r="16875" spans="1:2" x14ac:dyDescent="0.35">
      <c r="A16875" s="34">
        <v>73181022</v>
      </c>
      <c r="B16875" s="35" t="s">
        <v>13768</v>
      </c>
    </row>
    <row r="16876" spans="1:2" x14ac:dyDescent="0.35">
      <c r="A16876" s="34">
        <v>73181023</v>
      </c>
      <c r="B16876" s="35" t="s">
        <v>931</v>
      </c>
    </row>
    <row r="16877" spans="1:2" x14ac:dyDescent="0.35">
      <c r="A16877" s="34">
        <v>73181101</v>
      </c>
      <c r="B16877" s="35" t="s">
        <v>11469</v>
      </c>
    </row>
    <row r="16878" spans="1:2" x14ac:dyDescent="0.35">
      <c r="A16878" s="34">
        <v>73181102</v>
      </c>
      <c r="B16878" s="35" t="s">
        <v>5848</v>
      </c>
    </row>
    <row r="16879" spans="1:2" x14ac:dyDescent="0.35">
      <c r="A16879" s="34">
        <v>73181103</v>
      </c>
      <c r="B16879" s="35" t="s">
        <v>4512</v>
      </c>
    </row>
    <row r="16880" spans="1:2" x14ac:dyDescent="0.35">
      <c r="A16880" s="34">
        <v>73181104</v>
      </c>
      <c r="B16880" s="35" t="s">
        <v>11505</v>
      </c>
    </row>
    <row r="16881" spans="1:2" x14ac:dyDescent="0.35">
      <c r="A16881" s="34">
        <v>73181105</v>
      </c>
      <c r="B16881" s="35" t="s">
        <v>13612</v>
      </c>
    </row>
    <row r="16882" spans="1:2" x14ac:dyDescent="0.35">
      <c r="A16882" s="34">
        <v>73181106</v>
      </c>
      <c r="B16882" s="35" t="s">
        <v>1683</v>
      </c>
    </row>
    <row r="16883" spans="1:2" x14ac:dyDescent="0.35">
      <c r="A16883" s="34">
        <v>73181201</v>
      </c>
      <c r="B16883" s="35" t="s">
        <v>16131</v>
      </c>
    </row>
    <row r="16884" spans="1:2" x14ac:dyDescent="0.35">
      <c r="A16884" s="34">
        <v>73181202</v>
      </c>
      <c r="B16884" s="35" t="s">
        <v>3820</v>
      </c>
    </row>
    <row r="16885" spans="1:2" x14ac:dyDescent="0.35">
      <c r="A16885" s="34">
        <v>73181203</v>
      </c>
      <c r="B16885" s="35" t="s">
        <v>5593</v>
      </c>
    </row>
    <row r="16886" spans="1:2" x14ac:dyDescent="0.35">
      <c r="A16886" s="34">
        <v>73181204</v>
      </c>
      <c r="B16886" s="35" t="s">
        <v>17979</v>
      </c>
    </row>
    <row r="16887" spans="1:2" x14ac:dyDescent="0.35">
      <c r="A16887" s="34">
        <v>73181205</v>
      </c>
      <c r="B16887" s="35" t="s">
        <v>5578</v>
      </c>
    </row>
    <row r="16888" spans="1:2" x14ac:dyDescent="0.35">
      <c r="A16888" s="34">
        <v>73181206</v>
      </c>
      <c r="B16888" s="35" t="s">
        <v>16530</v>
      </c>
    </row>
    <row r="16889" spans="1:2" x14ac:dyDescent="0.35">
      <c r="A16889" s="34">
        <v>73181301</v>
      </c>
      <c r="B16889" s="35" t="s">
        <v>8774</v>
      </c>
    </row>
    <row r="16890" spans="1:2" x14ac:dyDescent="0.35">
      <c r="A16890" s="34">
        <v>73181302</v>
      </c>
      <c r="B16890" s="35" t="s">
        <v>17986</v>
      </c>
    </row>
    <row r="16891" spans="1:2" x14ac:dyDescent="0.35">
      <c r="A16891" s="34">
        <v>73181303</v>
      </c>
      <c r="B16891" s="35" t="s">
        <v>9486</v>
      </c>
    </row>
    <row r="16892" spans="1:2" x14ac:dyDescent="0.35">
      <c r="A16892" s="34">
        <v>73181304</v>
      </c>
      <c r="B16892" s="35" t="s">
        <v>6243</v>
      </c>
    </row>
    <row r="16893" spans="1:2" x14ac:dyDescent="0.35">
      <c r="A16893" s="34">
        <v>73181901</v>
      </c>
      <c r="B16893" s="35" t="s">
        <v>13806</v>
      </c>
    </row>
    <row r="16894" spans="1:2" x14ac:dyDescent="0.35">
      <c r="A16894" s="34">
        <v>73181902</v>
      </c>
      <c r="B16894" s="35" t="s">
        <v>6150</v>
      </c>
    </row>
    <row r="16895" spans="1:2" x14ac:dyDescent="0.35">
      <c r="A16895" s="34">
        <v>73181903</v>
      </c>
      <c r="B16895" s="35" t="s">
        <v>1579</v>
      </c>
    </row>
    <row r="16896" spans="1:2" x14ac:dyDescent="0.35">
      <c r="A16896" s="34">
        <v>73181904</v>
      </c>
      <c r="B16896" s="35" t="s">
        <v>1203</v>
      </c>
    </row>
    <row r="16897" spans="1:2" x14ac:dyDescent="0.35">
      <c r="A16897" s="34">
        <v>73181905</v>
      </c>
      <c r="B16897" s="35" t="s">
        <v>7465</v>
      </c>
    </row>
    <row r="16898" spans="1:2" x14ac:dyDescent="0.35">
      <c r="A16898" s="34">
        <v>73181906</v>
      </c>
      <c r="B16898" s="35" t="s">
        <v>965</v>
      </c>
    </row>
    <row r="16899" spans="1:2" x14ac:dyDescent="0.35">
      <c r="A16899" s="34">
        <v>73181907</v>
      </c>
      <c r="B16899" s="35" t="s">
        <v>12513</v>
      </c>
    </row>
    <row r="16900" spans="1:2" x14ac:dyDescent="0.35">
      <c r="A16900" s="34">
        <v>73181908</v>
      </c>
      <c r="B16900" s="35" t="s">
        <v>1348</v>
      </c>
    </row>
    <row r="16901" spans="1:2" x14ac:dyDescent="0.35">
      <c r="A16901" s="34">
        <v>76101501</v>
      </c>
      <c r="B16901" s="35" t="s">
        <v>8866</v>
      </c>
    </row>
    <row r="16902" spans="1:2" x14ac:dyDescent="0.35">
      <c r="A16902" s="34">
        <v>76101502</v>
      </c>
      <c r="B16902" s="35" t="s">
        <v>7295</v>
      </c>
    </row>
    <row r="16903" spans="1:2" x14ac:dyDescent="0.35">
      <c r="A16903" s="34">
        <v>76101503</v>
      </c>
      <c r="B16903" s="35" t="s">
        <v>3532</v>
      </c>
    </row>
    <row r="16904" spans="1:2" x14ac:dyDescent="0.35">
      <c r="A16904" s="34">
        <v>76101601</v>
      </c>
      <c r="B16904" s="35" t="s">
        <v>10335</v>
      </c>
    </row>
    <row r="16905" spans="1:2" x14ac:dyDescent="0.35">
      <c r="A16905" s="34">
        <v>76101602</v>
      </c>
      <c r="B16905" s="35" t="s">
        <v>18103</v>
      </c>
    </row>
    <row r="16906" spans="1:2" x14ac:dyDescent="0.35">
      <c r="A16906" s="34">
        <v>76111501</v>
      </c>
      <c r="B16906" s="35" t="s">
        <v>17172</v>
      </c>
    </row>
    <row r="16907" spans="1:2" x14ac:dyDescent="0.35">
      <c r="A16907" s="34">
        <v>76111503</v>
      </c>
      <c r="B16907" s="35" t="s">
        <v>11846</v>
      </c>
    </row>
    <row r="16908" spans="1:2" x14ac:dyDescent="0.35">
      <c r="A16908" s="34">
        <v>76111504</v>
      </c>
      <c r="B16908" s="35" t="s">
        <v>17444</v>
      </c>
    </row>
    <row r="16909" spans="1:2" x14ac:dyDescent="0.35">
      <c r="A16909" s="34">
        <v>76111505</v>
      </c>
      <c r="B16909" s="35" t="s">
        <v>9492</v>
      </c>
    </row>
    <row r="16910" spans="1:2" x14ac:dyDescent="0.35">
      <c r="A16910" s="34">
        <v>76111601</v>
      </c>
      <c r="B16910" s="35" t="s">
        <v>13810</v>
      </c>
    </row>
    <row r="16911" spans="1:2" x14ac:dyDescent="0.35">
      <c r="A16911" s="34">
        <v>76111602</v>
      </c>
      <c r="B16911" s="35" t="s">
        <v>17110</v>
      </c>
    </row>
    <row r="16912" spans="1:2" x14ac:dyDescent="0.35">
      <c r="A16912" s="34">
        <v>76111603</v>
      </c>
      <c r="B16912" s="35" t="s">
        <v>14447</v>
      </c>
    </row>
    <row r="16913" spans="1:2" x14ac:dyDescent="0.35">
      <c r="A16913" s="34">
        <v>76111604</v>
      </c>
      <c r="B16913" s="35" t="s">
        <v>2899</v>
      </c>
    </row>
    <row r="16914" spans="1:2" x14ac:dyDescent="0.35">
      <c r="A16914" s="34">
        <v>76111605</v>
      </c>
      <c r="B16914" s="35" t="s">
        <v>16642</v>
      </c>
    </row>
    <row r="16915" spans="1:2" x14ac:dyDescent="0.35">
      <c r="A16915" s="34">
        <v>76111701</v>
      </c>
      <c r="B16915" s="35" t="s">
        <v>14556</v>
      </c>
    </row>
    <row r="16916" spans="1:2" x14ac:dyDescent="0.35">
      <c r="A16916" s="34">
        <v>76111702</v>
      </c>
      <c r="B16916" s="35" t="s">
        <v>5783</v>
      </c>
    </row>
    <row r="16917" spans="1:2" x14ac:dyDescent="0.35">
      <c r="A16917" s="34">
        <v>76111801</v>
      </c>
      <c r="B16917" s="35" t="s">
        <v>14325</v>
      </c>
    </row>
    <row r="16918" spans="1:2" x14ac:dyDescent="0.35">
      <c r="A16918" s="34">
        <v>76121501</v>
      </c>
      <c r="B16918" s="35" t="s">
        <v>7432</v>
      </c>
    </row>
    <row r="16919" spans="1:2" x14ac:dyDescent="0.35">
      <c r="A16919" s="34">
        <v>76121502</v>
      </c>
      <c r="B16919" s="35" t="s">
        <v>3221</v>
      </c>
    </row>
    <row r="16920" spans="1:2" x14ac:dyDescent="0.35">
      <c r="A16920" s="34">
        <v>76121503</v>
      </c>
      <c r="B16920" s="35" t="s">
        <v>11013</v>
      </c>
    </row>
    <row r="16921" spans="1:2" x14ac:dyDescent="0.35">
      <c r="A16921" s="34">
        <v>76121601</v>
      </c>
      <c r="B16921" s="35" t="s">
        <v>16194</v>
      </c>
    </row>
    <row r="16922" spans="1:2" x14ac:dyDescent="0.35">
      <c r="A16922" s="34">
        <v>76121602</v>
      </c>
      <c r="B16922" s="35" t="s">
        <v>12577</v>
      </c>
    </row>
    <row r="16923" spans="1:2" x14ac:dyDescent="0.35">
      <c r="A16923" s="34">
        <v>76121603</v>
      </c>
      <c r="B16923" s="35" t="s">
        <v>14034</v>
      </c>
    </row>
    <row r="16924" spans="1:2" x14ac:dyDescent="0.35">
      <c r="A16924" s="34">
        <v>76121604</v>
      </c>
      <c r="B16924" s="35" t="s">
        <v>4566</v>
      </c>
    </row>
    <row r="16925" spans="1:2" x14ac:dyDescent="0.35">
      <c r="A16925" s="34">
        <v>76121701</v>
      </c>
      <c r="B16925" s="35" t="s">
        <v>13502</v>
      </c>
    </row>
    <row r="16926" spans="1:2" x14ac:dyDescent="0.35">
      <c r="A16926" s="34">
        <v>76121702</v>
      </c>
      <c r="B16926" s="35" t="s">
        <v>70</v>
      </c>
    </row>
    <row r="16927" spans="1:2" x14ac:dyDescent="0.35">
      <c r="A16927" s="34">
        <v>76121801</v>
      </c>
      <c r="B16927" s="35" t="s">
        <v>14685</v>
      </c>
    </row>
    <row r="16928" spans="1:2" x14ac:dyDescent="0.35">
      <c r="A16928" s="34">
        <v>76121901</v>
      </c>
      <c r="B16928" s="35" t="s">
        <v>2736</v>
      </c>
    </row>
    <row r="16929" spans="1:2" x14ac:dyDescent="0.35">
      <c r="A16929" s="34">
        <v>76121902</v>
      </c>
      <c r="B16929" s="35" t="s">
        <v>15489</v>
      </c>
    </row>
    <row r="16930" spans="1:2" x14ac:dyDescent="0.35">
      <c r="A16930" s="34">
        <v>76121903</v>
      </c>
      <c r="B16930" s="35" t="s">
        <v>15846</v>
      </c>
    </row>
    <row r="16931" spans="1:2" x14ac:dyDescent="0.35">
      <c r="A16931" s="34">
        <v>76131501</v>
      </c>
      <c r="B16931" s="35" t="s">
        <v>17344</v>
      </c>
    </row>
    <row r="16932" spans="1:2" x14ac:dyDescent="0.35">
      <c r="A16932" s="34">
        <v>76131502</v>
      </c>
      <c r="B16932" s="35" t="s">
        <v>1524</v>
      </c>
    </row>
    <row r="16933" spans="1:2" x14ac:dyDescent="0.35">
      <c r="A16933" s="34">
        <v>76131601</v>
      </c>
      <c r="B16933" s="35" t="s">
        <v>5279</v>
      </c>
    </row>
    <row r="16934" spans="1:2" x14ac:dyDescent="0.35">
      <c r="A16934" s="34">
        <v>76131602</v>
      </c>
      <c r="B16934" s="35" t="s">
        <v>7939</v>
      </c>
    </row>
    <row r="16935" spans="1:2" x14ac:dyDescent="0.35">
      <c r="A16935" s="34">
        <v>76131701</v>
      </c>
      <c r="B16935" s="35" t="s">
        <v>19308</v>
      </c>
    </row>
    <row r="16936" spans="1:2" x14ac:dyDescent="0.35">
      <c r="A16936" s="34">
        <v>76131702</v>
      </c>
      <c r="B16936" s="35" t="s">
        <v>13969</v>
      </c>
    </row>
    <row r="16937" spans="1:2" x14ac:dyDescent="0.35">
      <c r="A16937" s="34">
        <v>77101501</v>
      </c>
      <c r="B16937" s="35" t="s">
        <v>5175</v>
      </c>
    </row>
    <row r="16938" spans="1:2" x14ac:dyDescent="0.35">
      <c r="A16938" s="34">
        <v>77101502</v>
      </c>
      <c r="B16938" s="35" t="s">
        <v>13157</v>
      </c>
    </row>
    <row r="16939" spans="1:2" x14ac:dyDescent="0.35">
      <c r="A16939" s="34">
        <v>77101503</v>
      </c>
      <c r="B16939" s="35" t="s">
        <v>1221</v>
      </c>
    </row>
    <row r="16940" spans="1:2" x14ac:dyDescent="0.35">
      <c r="A16940" s="34">
        <v>77101504</v>
      </c>
      <c r="B16940" s="35" t="s">
        <v>12999</v>
      </c>
    </row>
    <row r="16941" spans="1:2" x14ac:dyDescent="0.35">
      <c r="A16941" s="34">
        <v>77101505</v>
      </c>
      <c r="B16941" s="35" t="s">
        <v>12025</v>
      </c>
    </row>
    <row r="16942" spans="1:2" x14ac:dyDescent="0.35">
      <c r="A16942" s="34">
        <v>77101601</v>
      </c>
      <c r="B16942" s="35" t="s">
        <v>11059</v>
      </c>
    </row>
    <row r="16943" spans="1:2" x14ac:dyDescent="0.35">
      <c r="A16943" s="34">
        <v>77101602</v>
      </c>
      <c r="B16943" s="35" t="s">
        <v>14738</v>
      </c>
    </row>
    <row r="16944" spans="1:2" x14ac:dyDescent="0.35">
      <c r="A16944" s="34">
        <v>77101603</v>
      </c>
      <c r="B16944" s="35" t="s">
        <v>11767</v>
      </c>
    </row>
    <row r="16945" spans="1:2" x14ac:dyDescent="0.35">
      <c r="A16945" s="34">
        <v>77101604</v>
      </c>
      <c r="B16945" s="35" t="s">
        <v>12356</v>
      </c>
    </row>
    <row r="16946" spans="1:2" x14ac:dyDescent="0.35">
      <c r="A16946" s="34">
        <v>77101605</v>
      </c>
      <c r="B16946" s="35" t="s">
        <v>13534</v>
      </c>
    </row>
    <row r="16947" spans="1:2" x14ac:dyDescent="0.35">
      <c r="A16947" s="34">
        <v>77101701</v>
      </c>
      <c r="B16947" s="35" t="s">
        <v>18988</v>
      </c>
    </row>
    <row r="16948" spans="1:2" x14ac:dyDescent="0.35">
      <c r="A16948" s="34">
        <v>77101702</v>
      </c>
      <c r="B16948" s="35" t="s">
        <v>3927</v>
      </c>
    </row>
    <row r="16949" spans="1:2" x14ac:dyDescent="0.35">
      <c r="A16949" s="34">
        <v>77101703</v>
      </c>
      <c r="B16949" s="35" t="s">
        <v>18979</v>
      </c>
    </row>
    <row r="16950" spans="1:2" x14ac:dyDescent="0.35">
      <c r="A16950" s="34">
        <v>77101704</v>
      </c>
      <c r="B16950" s="35" t="s">
        <v>1894</v>
      </c>
    </row>
    <row r="16951" spans="1:2" x14ac:dyDescent="0.35">
      <c r="A16951" s="34">
        <v>77101705</v>
      </c>
      <c r="B16951" s="35" t="s">
        <v>6464</v>
      </c>
    </row>
    <row r="16952" spans="1:2" x14ac:dyDescent="0.35">
      <c r="A16952" s="34">
        <v>77101706</v>
      </c>
      <c r="B16952" s="35" t="s">
        <v>18953</v>
      </c>
    </row>
    <row r="16953" spans="1:2" x14ac:dyDescent="0.35">
      <c r="A16953" s="34">
        <v>77101707</v>
      </c>
      <c r="B16953" s="35" t="s">
        <v>12561</v>
      </c>
    </row>
    <row r="16954" spans="1:2" x14ac:dyDescent="0.35">
      <c r="A16954" s="34">
        <v>77101801</v>
      </c>
      <c r="B16954" s="35" t="s">
        <v>13387</v>
      </c>
    </row>
    <row r="16955" spans="1:2" x14ac:dyDescent="0.35">
      <c r="A16955" s="34">
        <v>77101802</v>
      </c>
      <c r="B16955" s="35" t="s">
        <v>6659</v>
      </c>
    </row>
    <row r="16956" spans="1:2" x14ac:dyDescent="0.35">
      <c r="A16956" s="34">
        <v>77101803</v>
      </c>
      <c r="B16956" s="35" t="s">
        <v>18902</v>
      </c>
    </row>
    <row r="16957" spans="1:2" x14ac:dyDescent="0.35">
      <c r="A16957" s="34">
        <v>77101804</v>
      </c>
      <c r="B16957" s="35" t="s">
        <v>3534</v>
      </c>
    </row>
    <row r="16958" spans="1:2" x14ac:dyDescent="0.35">
      <c r="A16958" s="34">
        <v>77101805</v>
      </c>
      <c r="B16958" s="35" t="s">
        <v>5262</v>
      </c>
    </row>
    <row r="16959" spans="1:2" x14ac:dyDescent="0.35">
      <c r="A16959" s="34">
        <v>77101806</v>
      </c>
      <c r="B16959" s="35" t="s">
        <v>14499</v>
      </c>
    </row>
    <row r="16960" spans="1:2" x14ac:dyDescent="0.35">
      <c r="A16960" s="34">
        <v>77101901</v>
      </c>
      <c r="B16960" s="35" t="s">
        <v>9589</v>
      </c>
    </row>
    <row r="16961" spans="1:2" x14ac:dyDescent="0.35">
      <c r="A16961" s="34">
        <v>77101902</v>
      </c>
      <c r="B16961" s="35" t="s">
        <v>15513</v>
      </c>
    </row>
    <row r="16962" spans="1:2" x14ac:dyDescent="0.35">
      <c r="A16962" s="34">
        <v>77101903</v>
      </c>
      <c r="B16962" s="35" t="s">
        <v>7907</v>
      </c>
    </row>
    <row r="16963" spans="1:2" x14ac:dyDescent="0.35">
      <c r="A16963" s="34">
        <v>77101904</v>
      </c>
      <c r="B16963" s="35" t="s">
        <v>4589</v>
      </c>
    </row>
    <row r="16964" spans="1:2" x14ac:dyDescent="0.35">
      <c r="A16964" s="34">
        <v>77101905</v>
      </c>
      <c r="B16964" s="35" t="s">
        <v>4591</v>
      </c>
    </row>
    <row r="16965" spans="1:2" x14ac:dyDescent="0.35">
      <c r="A16965" s="34">
        <v>77101906</v>
      </c>
      <c r="B16965" s="35" t="s">
        <v>6446</v>
      </c>
    </row>
    <row r="16966" spans="1:2" x14ac:dyDescent="0.35">
      <c r="A16966" s="34">
        <v>77101907</v>
      </c>
      <c r="B16966" s="35" t="s">
        <v>9032</v>
      </c>
    </row>
    <row r="16967" spans="1:2" x14ac:dyDescent="0.35">
      <c r="A16967" s="34">
        <v>77101908</v>
      </c>
      <c r="B16967" s="35" t="s">
        <v>15465</v>
      </c>
    </row>
    <row r="16968" spans="1:2" x14ac:dyDescent="0.35">
      <c r="A16968" s="34">
        <v>77101909</v>
      </c>
      <c r="B16968" s="35" t="s">
        <v>12618</v>
      </c>
    </row>
    <row r="16969" spans="1:2" x14ac:dyDescent="0.35">
      <c r="A16969" s="34">
        <v>77101910</v>
      </c>
      <c r="B16969" s="35" t="s">
        <v>13655</v>
      </c>
    </row>
    <row r="16970" spans="1:2" x14ac:dyDescent="0.35">
      <c r="A16970" s="34">
        <v>77111501</v>
      </c>
      <c r="B16970" s="35" t="s">
        <v>5898</v>
      </c>
    </row>
    <row r="16971" spans="1:2" x14ac:dyDescent="0.35">
      <c r="A16971" s="34">
        <v>77111502</v>
      </c>
      <c r="B16971" s="35" t="s">
        <v>19591</v>
      </c>
    </row>
    <row r="16972" spans="1:2" x14ac:dyDescent="0.35">
      <c r="A16972" s="34">
        <v>77111503</v>
      </c>
      <c r="B16972" s="35" t="s">
        <v>6489</v>
      </c>
    </row>
    <row r="16973" spans="1:2" x14ac:dyDescent="0.35">
      <c r="A16973" s="34">
        <v>77111504</v>
      </c>
      <c r="B16973" s="35" t="s">
        <v>17315</v>
      </c>
    </row>
    <row r="16974" spans="1:2" x14ac:dyDescent="0.35">
      <c r="A16974" s="34">
        <v>77111505</v>
      </c>
      <c r="B16974" s="35" t="s">
        <v>4187</v>
      </c>
    </row>
    <row r="16975" spans="1:2" x14ac:dyDescent="0.35">
      <c r="A16975" s="34">
        <v>77111506</v>
      </c>
      <c r="B16975" s="35" t="s">
        <v>16157</v>
      </c>
    </row>
    <row r="16976" spans="1:2" x14ac:dyDescent="0.35">
      <c r="A16976" s="34">
        <v>77111507</v>
      </c>
      <c r="B16976" s="35" t="s">
        <v>3148</v>
      </c>
    </row>
    <row r="16977" spans="1:2" x14ac:dyDescent="0.35">
      <c r="A16977" s="34">
        <v>77111508</v>
      </c>
      <c r="B16977" s="35" t="s">
        <v>15671</v>
      </c>
    </row>
    <row r="16978" spans="1:2" x14ac:dyDescent="0.35">
      <c r="A16978" s="34">
        <v>77111601</v>
      </c>
      <c r="B16978" s="35" t="s">
        <v>7232</v>
      </c>
    </row>
    <row r="16979" spans="1:2" x14ac:dyDescent="0.35">
      <c r="A16979" s="34">
        <v>77111602</v>
      </c>
      <c r="B16979" s="35" t="s">
        <v>2735</v>
      </c>
    </row>
    <row r="16980" spans="1:2" x14ac:dyDescent="0.35">
      <c r="A16980" s="34">
        <v>77111603</v>
      </c>
      <c r="B16980" s="35" t="s">
        <v>354</v>
      </c>
    </row>
    <row r="16981" spans="1:2" x14ac:dyDescent="0.35">
      <c r="A16981" s="34">
        <v>77121501</v>
      </c>
      <c r="B16981" s="35" t="s">
        <v>14028</v>
      </c>
    </row>
    <row r="16982" spans="1:2" x14ac:dyDescent="0.35">
      <c r="A16982" s="34">
        <v>77121502</v>
      </c>
      <c r="B16982" s="35" t="s">
        <v>4949</v>
      </c>
    </row>
    <row r="16983" spans="1:2" x14ac:dyDescent="0.35">
      <c r="A16983" s="34">
        <v>77121503</v>
      </c>
      <c r="B16983" s="35" t="s">
        <v>19567</v>
      </c>
    </row>
    <row r="16984" spans="1:2" x14ac:dyDescent="0.35">
      <c r="A16984" s="34">
        <v>77121504</v>
      </c>
      <c r="B16984" s="35" t="s">
        <v>6699</v>
      </c>
    </row>
    <row r="16985" spans="1:2" x14ac:dyDescent="0.35">
      <c r="A16985" s="34">
        <v>77121505</v>
      </c>
      <c r="B16985" s="35" t="s">
        <v>11728</v>
      </c>
    </row>
    <row r="16986" spans="1:2" x14ac:dyDescent="0.35">
      <c r="A16986" s="34">
        <v>77121506</v>
      </c>
      <c r="B16986" s="35" t="s">
        <v>10601</v>
      </c>
    </row>
    <row r="16987" spans="1:2" x14ac:dyDescent="0.35">
      <c r="A16987" s="34">
        <v>77121507</v>
      </c>
      <c r="B16987" s="35" t="s">
        <v>7049</v>
      </c>
    </row>
    <row r="16988" spans="1:2" x14ac:dyDescent="0.35">
      <c r="A16988" s="34">
        <v>77121508</v>
      </c>
      <c r="B16988" s="35" t="s">
        <v>14022</v>
      </c>
    </row>
    <row r="16989" spans="1:2" x14ac:dyDescent="0.35">
      <c r="A16989" s="34">
        <v>77121509</v>
      </c>
      <c r="B16989" s="35" t="s">
        <v>1853</v>
      </c>
    </row>
    <row r="16990" spans="1:2" x14ac:dyDescent="0.35">
      <c r="A16990" s="34">
        <v>77121601</v>
      </c>
      <c r="B16990" s="35" t="s">
        <v>6568</v>
      </c>
    </row>
    <row r="16991" spans="1:2" x14ac:dyDescent="0.35">
      <c r="A16991" s="34">
        <v>77121602</v>
      </c>
      <c r="B16991" s="35" t="s">
        <v>16385</v>
      </c>
    </row>
    <row r="16992" spans="1:2" x14ac:dyDescent="0.35">
      <c r="A16992" s="34">
        <v>77121603</v>
      </c>
      <c r="B16992" s="35" t="s">
        <v>12344</v>
      </c>
    </row>
    <row r="16993" spans="1:2" x14ac:dyDescent="0.35">
      <c r="A16993" s="34">
        <v>77121604</v>
      </c>
      <c r="B16993" s="35" t="s">
        <v>19445</v>
      </c>
    </row>
    <row r="16994" spans="1:2" x14ac:dyDescent="0.35">
      <c r="A16994" s="34">
        <v>77121605</v>
      </c>
      <c r="B16994" s="35" t="s">
        <v>16767</v>
      </c>
    </row>
    <row r="16995" spans="1:2" x14ac:dyDescent="0.35">
      <c r="A16995" s="34">
        <v>77121606</v>
      </c>
      <c r="B16995" s="35" t="s">
        <v>19102</v>
      </c>
    </row>
    <row r="16996" spans="1:2" x14ac:dyDescent="0.35">
      <c r="A16996" s="34">
        <v>77121607</v>
      </c>
      <c r="B16996" s="35" t="s">
        <v>8298</v>
      </c>
    </row>
    <row r="16997" spans="1:2" x14ac:dyDescent="0.35">
      <c r="A16997" s="34">
        <v>77121608</v>
      </c>
      <c r="B16997" s="35" t="s">
        <v>7445</v>
      </c>
    </row>
    <row r="16998" spans="1:2" x14ac:dyDescent="0.35">
      <c r="A16998" s="34">
        <v>77121609</v>
      </c>
      <c r="B16998" s="35" t="s">
        <v>18820</v>
      </c>
    </row>
    <row r="16999" spans="1:2" x14ac:dyDescent="0.35">
      <c r="A16999" s="34">
        <v>77121610</v>
      </c>
      <c r="B16999" s="35" t="s">
        <v>18898</v>
      </c>
    </row>
    <row r="17000" spans="1:2" x14ac:dyDescent="0.35">
      <c r="A17000" s="34">
        <v>77121701</v>
      </c>
      <c r="B17000" s="35" t="s">
        <v>14776</v>
      </c>
    </row>
    <row r="17001" spans="1:2" x14ac:dyDescent="0.35">
      <c r="A17001" s="34">
        <v>77121702</v>
      </c>
      <c r="B17001" s="35" t="s">
        <v>1077</v>
      </c>
    </row>
    <row r="17002" spans="1:2" x14ac:dyDescent="0.35">
      <c r="A17002" s="34">
        <v>77121703</v>
      </c>
      <c r="B17002" s="35" t="s">
        <v>17891</v>
      </c>
    </row>
    <row r="17003" spans="1:2" x14ac:dyDescent="0.35">
      <c r="A17003" s="34">
        <v>77121704</v>
      </c>
      <c r="B17003" s="35" t="s">
        <v>1809</v>
      </c>
    </row>
    <row r="17004" spans="1:2" x14ac:dyDescent="0.35">
      <c r="A17004" s="34">
        <v>77121705</v>
      </c>
      <c r="B17004" s="35" t="s">
        <v>7652</v>
      </c>
    </row>
    <row r="17005" spans="1:2" x14ac:dyDescent="0.35">
      <c r="A17005" s="34">
        <v>77121706</v>
      </c>
      <c r="B17005" s="35" t="s">
        <v>11783</v>
      </c>
    </row>
    <row r="17006" spans="1:2" x14ac:dyDescent="0.35">
      <c r="A17006" s="34">
        <v>77121707</v>
      </c>
      <c r="B17006" s="35" t="s">
        <v>11933</v>
      </c>
    </row>
    <row r="17007" spans="1:2" x14ac:dyDescent="0.35">
      <c r="A17007" s="34">
        <v>77121708</v>
      </c>
      <c r="B17007" s="35" t="s">
        <v>3151</v>
      </c>
    </row>
    <row r="17008" spans="1:2" x14ac:dyDescent="0.35">
      <c r="A17008" s="34">
        <v>77121709</v>
      </c>
      <c r="B17008" s="35" t="s">
        <v>4554</v>
      </c>
    </row>
    <row r="17009" spans="1:2" x14ac:dyDescent="0.35">
      <c r="A17009" s="34">
        <v>77131501</v>
      </c>
      <c r="B17009" s="35" t="s">
        <v>411</v>
      </c>
    </row>
    <row r="17010" spans="1:2" x14ac:dyDescent="0.35">
      <c r="A17010" s="34">
        <v>77131502</v>
      </c>
      <c r="B17010" s="35" t="s">
        <v>5388</v>
      </c>
    </row>
    <row r="17011" spans="1:2" x14ac:dyDescent="0.35">
      <c r="A17011" s="34">
        <v>77131503</v>
      </c>
      <c r="B17011" s="35" t="s">
        <v>7363</v>
      </c>
    </row>
    <row r="17012" spans="1:2" x14ac:dyDescent="0.35">
      <c r="A17012" s="34">
        <v>77131601</v>
      </c>
      <c r="B17012" s="35" t="s">
        <v>17040</v>
      </c>
    </row>
    <row r="17013" spans="1:2" x14ac:dyDescent="0.35">
      <c r="A17013" s="34">
        <v>77131602</v>
      </c>
      <c r="B17013" s="35" t="s">
        <v>13892</v>
      </c>
    </row>
    <row r="17014" spans="1:2" x14ac:dyDescent="0.35">
      <c r="A17014" s="34">
        <v>77131603</v>
      </c>
      <c r="B17014" s="35" t="s">
        <v>9928</v>
      </c>
    </row>
    <row r="17015" spans="1:2" x14ac:dyDescent="0.35">
      <c r="A17015" s="34">
        <v>77131604</v>
      </c>
      <c r="B17015" s="35" t="s">
        <v>11650</v>
      </c>
    </row>
    <row r="17016" spans="1:2" x14ac:dyDescent="0.35">
      <c r="A17016" s="34">
        <v>77131701</v>
      </c>
      <c r="B17016" s="35" t="s">
        <v>19242</v>
      </c>
    </row>
    <row r="17017" spans="1:2" x14ac:dyDescent="0.35">
      <c r="A17017" s="34">
        <v>77131702</v>
      </c>
      <c r="B17017" s="35" t="s">
        <v>12203</v>
      </c>
    </row>
    <row r="17018" spans="1:2" x14ac:dyDescent="0.35">
      <c r="A17018" s="34">
        <v>78101501</v>
      </c>
      <c r="B17018" s="35" t="s">
        <v>2805</v>
      </c>
    </row>
    <row r="17019" spans="1:2" x14ac:dyDescent="0.35">
      <c r="A17019" s="34">
        <v>78101502</v>
      </c>
      <c r="B17019" s="35" t="s">
        <v>15580</v>
      </c>
    </row>
    <row r="17020" spans="1:2" x14ac:dyDescent="0.35">
      <c r="A17020" s="34">
        <v>78101503</v>
      </c>
      <c r="B17020" s="35" t="s">
        <v>5315</v>
      </c>
    </row>
    <row r="17021" spans="1:2" x14ac:dyDescent="0.35">
      <c r="A17021" s="34">
        <v>78101601</v>
      </c>
      <c r="B17021" s="35" t="s">
        <v>19218</v>
      </c>
    </row>
    <row r="17022" spans="1:2" x14ac:dyDescent="0.35">
      <c r="A17022" s="34">
        <v>78101602</v>
      </c>
      <c r="B17022" s="35" t="s">
        <v>7028</v>
      </c>
    </row>
    <row r="17023" spans="1:2" x14ac:dyDescent="0.35">
      <c r="A17023" s="34">
        <v>78101603</v>
      </c>
      <c r="B17023" s="35" t="s">
        <v>3144</v>
      </c>
    </row>
    <row r="17024" spans="1:2" x14ac:dyDescent="0.35">
      <c r="A17024" s="34">
        <v>78101604</v>
      </c>
      <c r="B17024" s="35" t="s">
        <v>17536</v>
      </c>
    </row>
    <row r="17025" spans="1:2" x14ac:dyDescent="0.35">
      <c r="A17025" s="34">
        <v>78101701</v>
      </c>
      <c r="B17025" s="35" t="s">
        <v>717</v>
      </c>
    </row>
    <row r="17026" spans="1:2" x14ac:dyDescent="0.35">
      <c r="A17026" s="34">
        <v>78101702</v>
      </c>
      <c r="B17026" s="35" t="s">
        <v>5033</v>
      </c>
    </row>
    <row r="17027" spans="1:2" x14ac:dyDescent="0.35">
      <c r="A17027" s="34">
        <v>78101703</v>
      </c>
      <c r="B17027" s="35" t="s">
        <v>11407</v>
      </c>
    </row>
    <row r="17028" spans="1:2" x14ac:dyDescent="0.35">
      <c r="A17028" s="34">
        <v>78101704</v>
      </c>
      <c r="B17028" s="35" t="s">
        <v>1592</v>
      </c>
    </row>
    <row r="17029" spans="1:2" x14ac:dyDescent="0.35">
      <c r="A17029" s="34">
        <v>78101705</v>
      </c>
      <c r="B17029" s="35" t="s">
        <v>10541</v>
      </c>
    </row>
    <row r="17030" spans="1:2" x14ac:dyDescent="0.35">
      <c r="A17030" s="34">
        <v>78101801</v>
      </c>
      <c r="B17030" s="35" t="s">
        <v>5488</v>
      </c>
    </row>
    <row r="17031" spans="1:2" x14ac:dyDescent="0.35">
      <c r="A17031" s="34">
        <v>78101802</v>
      </c>
      <c r="B17031" s="35" t="s">
        <v>14427</v>
      </c>
    </row>
    <row r="17032" spans="1:2" x14ac:dyDescent="0.35">
      <c r="A17032" s="34">
        <v>78101803</v>
      </c>
      <c r="B17032" s="35" t="s">
        <v>10336</v>
      </c>
    </row>
    <row r="17033" spans="1:2" x14ac:dyDescent="0.35">
      <c r="A17033" s="34">
        <v>78101804</v>
      </c>
      <c r="B17033" s="35" t="s">
        <v>4501</v>
      </c>
    </row>
    <row r="17034" spans="1:2" x14ac:dyDescent="0.35">
      <c r="A17034" s="34">
        <v>78101901</v>
      </c>
      <c r="B17034" s="35" t="s">
        <v>10989</v>
      </c>
    </row>
    <row r="17035" spans="1:2" x14ac:dyDescent="0.35">
      <c r="A17035" s="34">
        <v>78101902</v>
      </c>
      <c r="B17035" s="35" t="s">
        <v>18568</v>
      </c>
    </row>
    <row r="17036" spans="1:2" x14ac:dyDescent="0.35">
      <c r="A17036" s="34">
        <v>78101903</v>
      </c>
      <c r="B17036" s="35" t="s">
        <v>18158</v>
      </c>
    </row>
    <row r="17037" spans="1:2" x14ac:dyDescent="0.35">
      <c r="A17037" s="34">
        <v>78101904</v>
      </c>
      <c r="B17037" s="35" t="s">
        <v>3055</v>
      </c>
    </row>
    <row r="17038" spans="1:2" x14ac:dyDescent="0.35">
      <c r="A17038" s="34">
        <v>78101905</v>
      </c>
      <c r="B17038" s="35" t="s">
        <v>8653</v>
      </c>
    </row>
    <row r="17039" spans="1:2" x14ac:dyDescent="0.35">
      <c r="A17039" s="34">
        <v>78102001</v>
      </c>
      <c r="B17039" s="35" t="s">
        <v>6193</v>
      </c>
    </row>
    <row r="17040" spans="1:2" x14ac:dyDescent="0.35">
      <c r="A17040" s="34">
        <v>78102002</v>
      </c>
      <c r="B17040" s="35" t="s">
        <v>16050</v>
      </c>
    </row>
    <row r="17041" spans="1:2" x14ac:dyDescent="0.35">
      <c r="A17041" s="34">
        <v>78102101</v>
      </c>
      <c r="B17041" s="35" t="s">
        <v>9787</v>
      </c>
    </row>
    <row r="17042" spans="1:2" x14ac:dyDescent="0.35">
      <c r="A17042" s="34">
        <v>78102102</v>
      </c>
      <c r="B17042" s="35" t="s">
        <v>10422</v>
      </c>
    </row>
    <row r="17043" spans="1:2" x14ac:dyDescent="0.35">
      <c r="A17043" s="34">
        <v>78102201</v>
      </c>
      <c r="B17043" s="35" t="s">
        <v>10054</v>
      </c>
    </row>
    <row r="17044" spans="1:2" x14ac:dyDescent="0.35">
      <c r="A17044" s="34">
        <v>78102202</v>
      </c>
      <c r="B17044" s="35" t="s">
        <v>14202</v>
      </c>
    </row>
    <row r="17045" spans="1:2" x14ac:dyDescent="0.35">
      <c r="A17045" s="34">
        <v>78102203</v>
      </c>
      <c r="B17045" s="35" t="s">
        <v>17229</v>
      </c>
    </row>
    <row r="17046" spans="1:2" x14ac:dyDescent="0.35">
      <c r="A17046" s="34">
        <v>78102204</v>
      </c>
      <c r="B17046" s="35" t="s">
        <v>13188</v>
      </c>
    </row>
    <row r="17047" spans="1:2" x14ac:dyDescent="0.35">
      <c r="A17047" s="34">
        <v>78102205</v>
      </c>
      <c r="B17047" s="35" t="s">
        <v>10726</v>
      </c>
    </row>
    <row r="17048" spans="1:2" x14ac:dyDescent="0.35">
      <c r="A17048" s="34">
        <v>78102206</v>
      </c>
      <c r="B17048" s="35" t="s">
        <v>16890</v>
      </c>
    </row>
    <row r="17049" spans="1:2" x14ac:dyDescent="0.35">
      <c r="A17049" s="34">
        <v>78111501</v>
      </c>
      <c r="B17049" s="35" t="s">
        <v>6795</v>
      </c>
    </row>
    <row r="17050" spans="1:2" x14ac:dyDescent="0.35">
      <c r="A17050" s="34">
        <v>78111502</v>
      </c>
      <c r="B17050" s="35" t="s">
        <v>12742</v>
      </c>
    </row>
    <row r="17051" spans="1:2" x14ac:dyDescent="0.35">
      <c r="A17051" s="34">
        <v>78111503</v>
      </c>
      <c r="B17051" s="35" t="s">
        <v>3870</v>
      </c>
    </row>
    <row r="17052" spans="1:2" x14ac:dyDescent="0.35">
      <c r="A17052" s="34">
        <v>78111601</v>
      </c>
      <c r="B17052" s="35" t="s">
        <v>8301</v>
      </c>
    </row>
    <row r="17053" spans="1:2" x14ac:dyDescent="0.35">
      <c r="A17053" s="34">
        <v>78111602</v>
      </c>
      <c r="B17053" s="35" t="s">
        <v>16065</v>
      </c>
    </row>
    <row r="17054" spans="1:2" x14ac:dyDescent="0.35">
      <c r="A17054" s="34">
        <v>78111603</v>
      </c>
      <c r="B17054" s="35" t="s">
        <v>11433</v>
      </c>
    </row>
    <row r="17055" spans="1:2" x14ac:dyDescent="0.35">
      <c r="A17055" s="34">
        <v>78111701</v>
      </c>
      <c r="B17055" s="35" t="s">
        <v>4864</v>
      </c>
    </row>
    <row r="17056" spans="1:2" x14ac:dyDescent="0.35">
      <c r="A17056" s="34">
        <v>78111702</v>
      </c>
      <c r="B17056" s="35" t="s">
        <v>5788</v>
      </c>
    </row>
    <row r="17057" spans="1:2" x14ac:dyDescent="0.35">
      <c r="A17057" s="34">
        <v>78111703</v>
      </c>
      <c r="B17057" s="35" t="s">
        <v>15839</v>
      </c>
    </row>
    <row r="17058" spans="1:2" x14ac:dyDescent="0.35">
      <c r="A17058" s="34">
        <v>78111802</v>
      </c>
      <c r="B17058" s="35" t="s">
        <v>9446</v>
      </c>
    </row>
    <row r="17059" spans="1:2" x14ac:dyDescent="0.35">
      <c r="A17059" s="34">
        <v>78111803</v>
      </c>
      <c r="B17059" s="35" t="s">
        <v>7222</v>
      </c>
    </row>
    <row r="17060" spans="1:2" x14ac:dyDescent="0.35">
      <c r="A17060" s="34">
        <v>78111804</v>
      </c>
      <c r="B17060" s="35" t="s">
        <v>14630</v>
      </c>
    </row>
    <row r="17061" spans="1:2" x14ac:dyDescent="0.35">
      <c r="A17061" s="34">
        <v>78111807</v>
      </c>
      <c r="B17061" s="35" t="s">
        <v>11865</v>
      </c>
    </row>
    <row r="17062" spans="1:2" x14ac:dyDescent="0.35">
      <c r="A17062" s="34">
        <v>78111808</v>
      </c>
      <c r="B17062" s="35" t="s">
        <v>357</v>
      </c>
    </row>
    <row r="17063" spans="1:2" x14ac:dyDescent="0.35">
      <c r="A17063" s="34">
        <v>78111809</v>
      </c>
      <c r="B17063" s="35" t="s">
        <v>16161</v>
      </c>
    </row>
    <row r="17064" spans="1:2" x14ac:dyDescent="0.35">
      <c r="A17064" s="34">
        <v>78111901</v>
      </c>
      <c r="B17064" s="35" t="s">
        <v>995</v>
      </c>
    </row>
    <row r="17065" spans="1:2" x14ac:dyDescent="0.35">
      <c r="A17065" s="34">
        <v>78121501</v>
      </c>
      <c r="B17065" s="35" t="s">
        <v>13374</v>
      </c>
    </row>
    <row r="17066" spans="1:2" x14ac:dyDescent="0.35">
      <c r="A17066" s="34">
        <v>78121502</v>
      </c>
      <c r="B17066" s="35" t="s">
        <v>9923</v>
      </c>
    </row>
    <row r="17067" spans="1:2" x14ac:dyDescent="0.35">
      <c r="A17067" s="34">
        <v>78121601</v>
      </c>
      <c r="B17067" s="35" t="s">
        <v>1319</v>
      </c>
    </row>
    <row r="17068" spans="1:2" x14ac:dyDescent="0.35">
      <c r="A17068" s="34">
        <v>78121602</v>
      </c>
      <c r="B17068" s="35" t="s">
        <v>5685</v>
      </c>
    </row>
    <row r="17069" spans="1:2" x14ac:dyDescent="0.35">
      <c r="A17069" s="34">
        <v>78131501</v>
      </c>
      <c r="B17069" s="35" t="s">
        <v>13999</v>
      </c>
    </row>
    <row r="17070" spans="1:2" x14ac:dyDescent="0.35">
      <c r="A17070" s="34">
        <v>78131502</v>
      </c>
      <c r="B17070" s="35" t="s">
        <v>4361</v>
      </c>
    </row>
    <row r="17071" spans="1:2" x14ac:dyDescent="0.35">
      <c r="A17071" s="34">
        <v>78131601</v>
      </c>
      <c r="B17071" s="35" t="s">
        <v>7722</v>
      </c>
    </row>
    <row r="17072" spans="1:2" x14ac:dyDescent="0.35">
      <c r="A17072" s="34">
        <v>78131602</v>
      </c>
      <c r="B17072" s="35" t="s">
        <v>14576</v>
      </c>
    </row>
    <row r="17073" spans="1:2" x14ac:dyDescent="0.35">
      <c r="A17073" s="34">
        <v>78131603</v>
      </c>
      <c r="B17073" s="35" t="s">
        <v>8870</v>
      </c>
    </row>
    <row r="17074" spans="1:2" x14ac:dyDescent="0.35">
      <c r="A17074" s="34">
        <v>78131701</v>
      </c>
      <c r="B17074" s="35" t="s">
        <v>14134</v>
      </c>
    </row>
    <row r="17075" spans="1:2" x14ac:dyDescent="0.35">
      <c r="A17075" s="34">
        <v>78131801</v>
      </c>
      <c r="B17075" s="35" t="s">
        <v>3544</v>
      </c>
    </row>
    <row r="17076" spans="1:2" x14ac:dyDescent="0.35">
      <c r="A17076" s="34">
        <v>78131802</v>
      </c>
      <c r="B17076" s="35" t="s">
        <v>13309</v>
      </c>
    </row>
    <row r="17077" spans="1:2" x14ac:dyDescent="0.35">
      <c r="A17077" s="34">
        <v>78131803</v>
      </c>
      <c r="B17077" s="35" t="s">
        <v>9437</v>
      </c>
    </row>
    <row r="17078" spans="1:2" x14ac:dyDescent="0.35">
      <c r="A17078" s="34">
        <v>78131804</v>
      </c>
      <c r="B17078" s="35" t="s">
        <v>8153</v>
      </c>
    </row>
    <row r="17079" spans="1:2" x14ac:dyDescent="0.35">
      <c r="A17079" s="34">
        <v>78131805</v>
      </c>
      <c r="B17079" s="35" t="s">
        <v>230</v>
      </c>
    </row>
    <row r="17080" spans="1:2" x14ac:dyDescent="0.35">
      <c r="A17080" s="34">
        <v>78141501</v>
      </c>
      <c r="B17080" s="35" t="s">
        <v>4221</v>
      </c>
    </row>
    <row r="17081" spans="1:2" x14ac:dyDescent="0.35">
      <c r="A17081" s="34">
        <v>78141502</v>
      </c>
      <c r="B17081" s="35" t="s">
        <v>12630</v>
      </c>
    </row>
    <row r="17082" spans="1:2" x14ac:dyDescent="0.35">
      <c r="A17082" s="34">
        <v>78141503</v>
      </c>
      <c r="B17082" s="35" t="s">
        <v>10328</v>
      </c>
    </row>
    <row r="17083" spans="1:2" x14ac:dyDescent="0.35">
      <c r="A17083" s="34">
        <v>78141601</v>
      </c>
      <c r="B17083" s="35" t="s">
        <v>185</v>
      </c>
    </row>
    <row r="17084" spans="1:2" x14ac:dyDescent="0.35">
      <c r="A17084" s="34">
        <v>78141602</v>
      </c>
      <c r="B17084" s="35" t="s">
        <v>6586</v>
      </c>
    </row>
    <row r="17085" spans="1:2" x14ac:dyDescent="0.35">
      <c r="A17085" s="34">
        <v>78141603</v>
      </c>
      <c r="B17085" s="35" t="s">
        <v>2225</v>
      </c>
    </row>
    <row r="17086" spans="1:2" x14ac:dyDescent="0.35">
      <c r="A17086" s="34">
        <v>78141701</v>
      </c>
      <c r="B17086" s="35" t="s">
        <v>8158</v>
      </c>
    </row>
    <row r="17087" spans="1:2" x14ac:dyDescent="0.35">
      <c r="A17087" s="34">
        <v>78141702</v>
      </c>
      <c r="B17087" s="35" t="s">
        <v>17211</v>
      </c>
    </row>
    <row r="17088" spans="1:2" x14ac:dyDescent="0.35">
      <c r="A17088" s="34">
        <v>78141703</v>
      </c>
      <c r="B17088" s="35" t="s">
        <v>7615</v>
      </c>
    </row>
    <row r="17089" spans="1:2" x14ac:dyDescent="0.35">
      <c r="A17089" s="34">
        <v>78141801</v>
      </c>
      <c r="B17089" s="35" t="s">
        <v>18222</v>
      </c>
    </row>
    <row r="17090" spans="1:2" x14ac:dyDescent="0.35">
      <c r="A17090" s="34">
        <v>78141802</v>
      </c>
      <c r="B17090" s="35" t="s">
        <v>18209</v>
      </c>
    </row>
    <row r="17091" spans="1:2" x14ac:dyDescent="0.35">
      <c r="A17091" s="34">
        <v>78141803</v>
      </c>
      <c r="B17091" s="35" t="s">
        <v>19293</v>
      </c>
    </row>
    <row r="17092" spans="1:2" x14ac:dyDescent="0.35">
      <c r="A17092" s="34">
        <v>78180101</v>
      </c>
      <c r="B17092" s="35" t="s">
        <v>10283</v>
      </c>
    </row>
    <row r="17093" spans="1:2" x14ac:dyDescent="0.35">
      <c r="A17093" s="34">
        <v>78180102</v>
      </c>
      <c r="B17093" s="35" t="s">
        <v>1098</v>
      </c>
    </row>
    <row r="17094" spans="1:2" x14ac:dyDescent="0.35">
      <c r="A17094" s="34">
        <v>78180103</v>
      </c>
      <c r="B17094" s="35" t="s">
        <v>3748</v>
      </c>
    </row>
    <row r="17095" spans="1:2" x14ac:dyDescent="0.35">
      <c r="A17095" s="34">
        <v>78180104</v>
      </c>
      <c r="B17095" s="35" t="s">
        <v>14454</v>
      </c>
    </row>
    <row r="17096" spans="1:2" x14ac:dyDescent="0.35">
      <c r="A17096" s="34">
        <v>78180105</v>
      </c>
      <c r="B17096" s="35" t="s">
        <v>4060</v>
      </c>
    </row>
    <row r="17097" spans="1:2" x14ac:dyDescent="0.35">
      <c r="A17097" s="34">
        <v>78180106</v>
      </c>
      <c r="B17097" s="35" t="s">
        <v>18013</v>
      </c>
    </row>
    <row r="17098" spans="1:2" x14ac:dyDescent="0.35">
      <c r="A17098" s="34">
        <v>78180107</v>
      </c>
      <c r="B17098" s="35" t="s">
        <v>12462</v>
      </c>
    </row>
    <row r="17099" spans="1:2" x14ac:dyDescent="0.35">
      <c r="A17099" s="34">
        <v>78180108</v>
      </c>
      <c r="B17099" s="35" t="s">
        <v>11917</v>
      </c>
    </row>
    <row r="17100" spans="1:2" x14ac:dyDescent="0.35">
      <c r="A17100" s="34">
        <v>78180109</v>
      </c>
      <c r="B17100" s="35" t="s">
        <v>2314</v>
      </c>
    </row>
    <row r="17101" spans="1:2" x14ac:dyDescent="0.35">
      <c r="A17101" s="34">
        <v>78180110</v>
      </c>
      <c r="B17101" s="35" t="s">
        <v>3078</v>
      </c>
    </row>
    <row r="17102" spans="1:2" x14ac:dyDescent="0.35">
      <c r="A17102" s="34">
        <v>78180201</v>
      </c>
      <c r="B17102" s="35" t="s">
        <v>147</v>
      </c>
    </row>
    <row r="17103" spans="1:2" x14ac:dyDescent="0.35">
      <c r="A17103" s="34">
        <v>78180301</v>
      </c>
      <c r="B17103" s="35" t="s">
        <v>9583</v>
      </c>
    </row>
    <row r="17104" spans="1:2" x14ac:dyDescent="0.35">
      <c r="A17104" s="34">
        <v>78180302</v>
      </c>
      <c r="B17104" s="35" t="s">
        <v>9229</v>
      </c>
    </row>
    <row r="17105" spans="1:2" x14ac:dyDescent="0.35">
      <c r="A17105" s="34">
        <v>78180303</v>
      </c>
      <c r="B17105" s="35" t="s">
        <v>6173</v>
      </c>
    </row>
    <row r="17106" spans="1:2" x14ac:dyDescent="0.35">
      <c r="A17106" s="34">
        <v>80101501</v>
      </c>
      <c r="B17106" s="35" t="s">
        <v>8049</v>
      </c>
    </row>
    <row r="17107" spans="1:2" x14ac:dyDescent="0.35">
      <c r="A17107" s="34">
        <v>80101502</v>
      </c>
      <c r="B17107" s="35" t="s">
        <v>278</v>
      </c>
    </row>
    <row r="17108" spans="1:2" x14ac:dyDescent="0.35">
      <c r="A17108" s="34">
        <v>80101503</v>
      </c>
      <c r="B17108" s="35" t="s">
        <v>11966</v>
      </c>
    </row>
    <row r="17109" spans="1:2" x14ac:dyDescent="0.35">
      <c r="A17109" s="34">
        <v>80101504</v>
      </c>
      <c r="B17109" s="35" t="s">
        <v>19330</v>
      </c>
    </row>
    <row r="17110" spans="1:2" x14ac:dyDescent="0.35">
      <c r="A17110" s="34">
        <v>80101505</v>
      </c>
      <c r="B17110" s="35" t="s">
        <v>4789</v>
      </c>
    </row>
    <row r="17111" spans="1:2" x14ac:dyDescent="0.35">
      <c r="A17111" s="34">
        <v>80101506</v>
      </c>
      <c r="B17111" s="35" t="s">
        <v>3692</v>
      </c>
    </row>
    <row r="17112" spans="1:2" x14ac:dyDescent="0.35">
      <c r="A17112" s="34">
        <v>80101507</v>
      </c>
      <c r="B17112" s="35" t="s">
        <v>19530</v>
      </c>
    </row>
    <row r="17113" spans="1:2" x14ac:dyDescent="0.35">
      <c r="A17113" s="34">
        <v>80101508</v>
      </c>
      <c r="B17113" s="35" t="s">
        <v>12303</v>
      </c>
    </row>
    <row r="17114" spans="1:2" x14ac:dyDescent="0.35">
      <c r="A17114" s="34">
        <v>80101601</v>
      </c>
      <c r="B17114" s="35" t="s">
        <v>9971</v>
      </c>
    </row>
    <row r="17115" spans="1:2" x14ac:dyDescent="0.35">
      <c r="A17115" s="34">
        <v>80101602</v>
      </c>
      <c r="B17115" s="35" t="s">
        <v>16064</v>
      </c>
    </row>
    <row r="17116" spans="1:2" x14ac:dyDescent="0.35">
      <c r="A17116" s="34">
        <v>80101603</v>
      </c>
      <c r="B17116" s="35" t="s">
        <v>1359</v>
      </c>
    </row>
    <row r="17117" spans="1:2" x14ac:dyDescent="0.35">
      <c r="A17117" s="34">
        <v>80101604</v>
      </c>
      <c r="B17117" s="35" t="s">
        <v>10910</v>
      </c>
    </row>
    <row r="17118" spans="1:2" x14ac:dyDescent="0.35">
      <c r="A17118" s="34">
        <v>80101701</v>
      </c>
      <c r="B17118" s="35" t="s">
        <v>16362</v>
      </c>
    </row>
    <row r="17119" spans="1:2" x14ac:dyDescent="0.35">
      <c r="A17119" s="34">
        <v>80101702</v>
      </c>
      <c r="B17119" s="35" t="s">
        <v>10618</v>
      </c>
    </row>
    <row r="17120" spans="1:2" x14ac:dyDescent="0.35">
      <c r="A17120" s="34">
        <v>80101703</v>
      </c>
      <c r="B17120" s="35" t="s">
        <v>19007</v>
      </c>
    </row>
    <row r="17121" spans="1:2" x14ac:dyDescent="0.35">
      <c r="A17121" s="34">
        <v>80101704</v>
      </c>
      <c r="B17121" s="35" t="s">
        <v>14426</v>
      </c>
    </row>
    <row r="17122" spans="1:2" x14ac:dyDescent="0.35">
      <c r="A17122" s="34">
        <v>80101705</v>
      </c>
      <c r="B17122" s="35" t="s">
        <v>12937</v>
      </c>
    </row>
    <row r="17123" spans="1:2" x14ac:dyDescent="0.35">
      <c r="A17123" s="34">
        <v>80101706</v>
      </c>
      <c r="B17123" s="35" t="s">
        <v>9507</v>
      </c>
    </row>
    <row r="17124" spans="1:2" x14ac:dyDescent="0.35">
      <c r="A17124" s="34">
        <v>80101707</v>
      </c>
      <c r="B17124" s="35" t="s">
        <v>15443</v>
      </c>
    </row>
    <row r="17125" spans="1:2" x14ac:dyDescent="0.35">
      <c r="A17125" s="34">
        <v>80111501</v>
      </c>
      <c r="B17125" s="35" t="s">
        <v>1353</v>
      </c>
    </row>
    <row r="17126" spans="1:2" x14ac:dyDescent="0.35">
      <c r="A17126" s="34">
        <v>80111502</v>
      </c>
      <c r="B17126" s="35" t="s">
        <v>10452</v>
      </c>
    </row>
    <row r="17127" spans="1:2" x14ac:dyDescent="0.35">
      <c r="A17127" s="34">
        <v>80111503</v>
      </c>
      <c r="B17127" s="35" t="s">
        <v>10077</v>
      </c>
    </row>
    <row r="17128" spans="1:2" x14ac:dyDescent="0.35">
      <c r="A17128" s="34">
        <v>80111504</v>
      </c>
      <c r="B17128" s="35" t="s">
        <v>10800</v>
      </c>
    </row>
    <row r="17129" spans="1:2" x14ac:dyDescent="0.35">
      <c r="A17129" s="34">
        <v>80111505</v>
      </c>
      <c r="B17129" s="35" t="s">
        <v>1345</v>
      </c>
    </row>
    <row r="17130" spans="1:2" x14ac:dyDescent="0.35">
      <c r="A17130" s="34">
        <v>80111506</v>
      </c>
      <c r="B17130" s="35" t="s">
        <v>1056</v>
      </c>
    </row>
    <row r="17131" spans="1:2" x14ac:dyDescent="0.35">
      <c r="A17131" s="34">
        <v>80111507</v>
      </c>
      <c r="B17131" s="35" t="s">
        <v>19003</v>
      </c>
    </row>
    <row r="17132" spans="1:2" x14ac:dyDescent="0.35">
      <c r="A17132" s="34">
        <v>80111508</v>
      </c>
      <c r="B17132" s="35" t="s">
        <v>1389</v>
      </c>
    </row>
    <row r="17133" spans="1:2" x14ac:dyDescent="0.35">
      <c r="A17133" s="34">
        <v>80111601</v>
      </c>
      <c r="B17133" s="35" t="s">
        <v>16814</v>
      </c>
    </row>
    <row r="17134" spans="1:2" x14ac:dyDescent="0.35">
      <c r="A17134" s="34">
        <v>80111602</v>
      </c>
      <c r="B17134" s="35" t="s">
        <v>18643</v>
      </c>
    </row>
    <row r="17135" spans="1:2" x14ac:dyDescent="0.35">
      <c r="A17135" s="34">
        <v>80111603</v>
      </c>
      <c r="B17135" s="35" t="s">
        <v>1999</v>
      </c>
    </row>
    <row r="17136" spans="1:2" x14ac:dyDescent="0.35">
      <c r="A17136" s="34">
        <v>80111604</v>
      </c>
      <c r="B17136" s="35" t="s">
        <v>3134</v>
      </c>
    </row>
    <row r="17137" spans="1:2" x14ac:dyDescent="0.35">
      <c r="A17137" s="34">
        <v>80111605</v>
      </c>
      <c r="B17137" s="35" t="s">
        <v>1137</v>
      </c>
    </row>
    <row r="17138" spans="1:2" x14ac:dyDescent="0.35">
      <c r="A17138" s="34">
        <v>80111606</v>
      </c>
      <c r="B17138" s="35" t="s">
        <v>16544</v>
      </c>
    </row>
    <row r="17139" spans="1:2" x14ac:dyDescent="0.35">
      <c r="A17139" s="34">
        <v>80111607</v>
      </c>
      <c r="B17139" s="35" t="s">
        <v>9382</v>
      </c>
    </row>
    <row r="17140" spans="1:2" x14ac:dyDescent="0.35">
      <c r="A17140" s="34">
        <v>80111608</v>
      </c>
      <c r="B17140" s="35" t="s">
        <v>8975</v>
      </c>
    </row>
    <row r="17141" spans="1:2" x14ac:dyDescent="0.35">
      <c r="A17141" s="34">
        <v>80111609</v>
      </c>
      <c r="B17141" s="35" t="s">
        <v>6640</v>
      </c>
    </row>
    <row r="17142" spans="1:2" x14ac:dyDescent="0.35">
      <c r="A17142" s="34">
        <v>80111610</v>
      </c>
      <c r="B17142" s="35" t="s">
        <v>10413</v>
      </c>
    </row>
    <row r="17143" spans="1:2" x14ac:dyDescent="0.35">
      <c r="A17143" s="34">
        <v>80111611</v>
      </c>
      <c r="B17143" s="35" t="s">
        <v>13089</v>
      </c>
    </row>
    <row r="17144" spans="1:2" x14ac:dyDescent="0.35">
      <c r="A17144" s="34">
        <v>80111612</v>
      </c>
      <c r="B17144" s="35" t="s">
        <v>11140</v>
      </c>
    </row>
    <row r="17145" spans="1:2" x14ac:dyDescent="0.35">
      <c r="A17145" s="34">
        <v>80111613</v>
      </c>
      <c r="B17145" s="35" t="s">
        <v>3537</v>
      </c>
    </row>
    <row r="17146" spans="1:2" x14ac:dyDescent="0.35">
      <c r="A17146" s="34">
        <v>80111614</v>
      </c>
      <c r="B17146" s="35" t="s">
        <v>5634</v>
      </c>
    </row>
    <row r="17147" spans="1:2" x14ac:dyDescent="0.35">
      <c r="A17147" s="34">
        <v>80111615</v>
      </c>
      <c r="B17147" s="35" t="s">
        <v>7533</v>
      </c>
    </row>
    <row r="17148" spans="1:2" x14ac:dyDescent="0.35">
      <c r="A17148" s="34">
        <v>80111616</v>
      </c>
      <c r="B17148" s="35" t="s">
        <v>7313</v>
      </c>
    </row>
    <row r="17149" spans="1:2" x14ac:dyDescent="0.35">
      <c r="A17149" s="34">
        <v>80111617</v>
      </c>
      <c r="B17149" s="35" t="s">
        <v>2386</v>
      </c>
    </row>
    <row r="17150" spans="1:2" x14ac:dyDescent="0.35">
      <c r="A17150" s="34">
        <v>80111618</v>
      </c>
      <c r="B17150" s="35" t="s">
        <v>3054</v>
      </c>
    </row>
    <row r="17151" spans="1:2" x14ac:dyDescent="0.35">
      <c r="A17151" s="34">
        <v>80111619</v>
      </c>
      <c r="B17151" s="35" t="s">
        <v>7171</v>
      </c>
    </row>
    <row r="17152" spans="1:2" x14ac:dyDescent="0.35">
      <c r="A17152" s="34">
        <v>80111701</v>
      </c>
      <c r="B17152" s="35" t="s">
        <v>16604</v>
      </c>
    </row>
    <row r="17153" spans="1:2" x14ac:dyDescent="0.35">
      <c r="A17153" s="34">
        <v>80111702</v>
      </c>
      <c r="B17153" s="35" t="s">
        <v>14846</v>
      </c>
    </row>
    <row r="17154" spans="1:2" x14ac:dyDescent="0.35">
      <c r="A17154" s="34">
        <v>80111703</v>
      </c>
      <c r="B17154" s="35" t="s">
        <v>10948</v>
      </c>
    </row>
    <row r="17155" spans="1:2" x14ac:dyDescent="0.35">
      <c r="A17155" s="34">
        <v>80111704</v>
      </c>
      <c r="B17155" s="35" t="s">
        <v>9837</v>
      </c>
    </row>
    <row r="17156" spans="1:2" x14ac:dyDescent="0.35">
      <c r="A17156" s="34">
        <v>80111705</v>
      </c>
      <c r="B17156" s="35" t="s">
        <v>13007</v>
      </c>
    </row>
    <row r="17157" spans="1:2" x14ac:dyDescent="0.35">
      <c r="A17157" s="34">
        <v>80111706</v>
      </c>
      <c r="B17157" s="35" t="s">
        <v>2912</v>
      </c>
    </row>
    <row r="17158" spans="1:2" x14ac:dyDescent="0.35">
      <c r="A17158" s="34">
        <v>80111707</v>
      </c>
      <c r="B17158" s="35" t="s">
        <v>2116</v>
      </c>
    </row>
    <row r="17159" spans="1:2" x14ac:dyDescent="0.35">
      <c r="A17159" s="34">
        <v>80111708</v>
      </c>
      <c r="B17159" s="35" t="s">
        <v>5931</v>
      </c>
    </row>
    <row r="17160" spans="1:2" x14ac:dyDescent="0.35">
      <c r="A17160" s="34">
        <v>80111709</v>
      </c>
      <c r="B17160" s="35" t="s">
        <v>829</v>
      </c>
    </row>
    <row r="17161" spans="1:2" x14ac:dyDescent="0.35">
      <c r="A17161" s="34">
        <v>80111710</v>
      </c>
      <c r="B17161" s="35" t="s">
        <v>9965</v>
      </c>
    </row>
    <row r="17162" spans="1:2" x14ac:dyDescent="0.35">
      <c r="A17162" s="34">
        <v>80111711</v>
      </c>
      <c r="B17162" s="35" t="s">
        <v>1828</v>
      </c>
    </row>
    <row r="17163" spans="1:2" x14ac:dyDescent="0.35">
      <c r="A17163" s="34">
        <v>80111712</v>
      </c>
      <c r="B17163" s="35" t="s">
        <v>6320</v>
      </c>
    </row>
    <row r="17164" spans="1:2" x14ac:dyDescent="0.35">
      <c r="A17164" s="34">
        <v>80111713</v>
      </c>
      <c r="B17164" s="35" t="s">
        <v>18056</v>
      </c>
    </row>
    <row r="17165" spans="1:2" x14ac:dyDescent="0.35">
      <c r="A17165" s="34">
        <v>80111714</v>
      </c>
      <c r="B17165" s="35" t="s">
        <v>2415</v>
      </c>
    </row>
    <row r="17166" spans="1:2" x14ac:dyDescent="0.35">
      <c r="A17166" s="34">
        <v>80111715</v>
      </c>
      <c r="B17166" s="35" t="s">
        <v>19524</v>
      </c>
    </row>
    <row r="17167" spans="1:2" x14ac:dyDescent="0.35">
      <c r="A17167" s="34">
        <v>80111716</v>
      </c>
      <c r="B17167" s="35" t="s">
        <v>9065</v>
      </c>
    </row>
    <row r="17168" spans="1:2" x14ac:dyDescent="0.35">
      <c r="A17168" s="34">
        <v>80111801</v>
      </c>
      <c r="B17168" s="35" t="s">
        <v>4530</v>
      </c>
    </row>
    <row r="17169" spans="1:2" x14ac:dyDescent="0.35">
      <c r="A17169" s="34">
        <v>80121501</v>
      </c>
      <c r="B17169" s="35" t="s">
        <v>6970</v>
      </c>
    </row>
    <row r="17170" spans="1:2" x14ac:dyDescent="0.35">
      <c r="A17170" s="34">
        <v>80121502</v>
      </c>
      <c r="B17170" s="35" t="s">
        <v>7499</v>
      </c>
    </row>
    <row r="17171" spans="1:2" x14ac:dyDescent="0.35">
      <c r="A17171" s="34">
        <v>80121503</v>
      </c>
      <c r="B17171" s="35" t="s">
        <v>5890</v>
      </c>
    </row>
    <row r="17172" spans="1:2" x14ac:dyDescent="0.35">
      <c r="A17172" s="34">
        <v>80121601</v>
      </c>
      <c r="B17172" s="35" t="s">
        <v>12667</v>
      </c>
    </row>
    <row r="17173" spans="1:2" x14ac:dyDescent="0.35">
      <c r="A17173" s="34">
        <v>80121602</v>
      </c>
      <c r="B17173" s="35" t="s">
        <v>4658</v>
      </c>
    </row>
    <row r="17174" spans="1:2" x14ac:dyDescent="0.35">
      <c r="A17174" s="34">
        <v>80121603</v>
      </c>
      <c r="B17174" s="35" t="s">
        <v>16608</v>
      </c>
    </row>
    <row r="17175" spans="1:2" x14ac:dyDescent="0.35">
      <c r="A17175" s="34">
        <v>80121604</v>
      </c>
      <c r="B17175" s="35" t="s">
        <v>13364</v>
      </c>
    </row>
    <row r="17176" spans="1:2" x14ac:dyDescent="0.35">
      <c r="A17176" s="34">
        <v>80121605</v>
      </c>
      <c r="B17176" s="35" t="s">
        <v>1156</v>
      </c>
    </row>
    <row r="17177" spans="1:2" x14ac:dyDescent="0.35">
      <c r="A17177" s="34">
        <v>80121606</v>
      </c>
      <c r="B17177" s="35" t="s">
        <v>13299</v>
      </c>
    </row>
    <row r="17178" spans="1:2" x14ac:dyDescent="0.35">
      <c r="A17178" s="34">
        <v>80121607</v>
      </c>
      <c r="B17178" s="35" t="s">
        <v>5405</v>
      </c>
    </row>
    <row r="17179" spans="1:2" x14ac:dyDescent="0.35">
      <c r="A17179" s="34">
        <v>80121608</v>
      </c>
      <c r="B17179" s="35" t="s">
        <v>16625</v>
      </c>
    </row>
    <row r="17180" spans="1:2" x14ac:dyDescent="0.35">
      <c r="A17180" s="34">
        <v>80121609</v>
      </c>
      <c r="B17180" s="35" t="s">
        <v>11343</v>
      </c>
    </row>
    <row r="17181" spans="1:2" x14ac:dyDescent="0.35">
      <c r="A17181" s="34">
        <v>80121610</v>
      </c>
      <c r="B17181" s="35" t="s">
        <v>18241</v>
      </c>
    </row>
    <row r="17182" spans="1:2" x14ac:dyDescent="0.35">
      <c r="A17182" s="34">
        <v>80121611</v>
      </c>
      <c r="B17182" s="35" t="s">
        <v>4444</v>
      </c>
    </row>
    <row r="17183" spans="1:2" x14ac:dyDescent="0.35">
      <c r="A17183" s="34">
        <v>80121701</v>
      </c>
      <c r="B17183" s="35" t="s">
        <v>16808</v>
      </c>
    </row>
    <row r="17184" spans="1:2" x14ac:dyDescent="0.35">
      <c r="A17184" s="34">
        <v>80121702</v>
      </c>
      <c r="B17184" s="35" t="s">
        <v>9481</v>
      </c>
    </row>
    <row r="17185" spans="1:2" x14ac:dyDescent="0.35">
      <c r="A17185" s="34">
        <v>80121703</v>
      </c>
      <c r="B17185" s="35" t="s">
        <v>17100</v>
      </c>
    </row>
    <row r="17186" spans="1:2" x14ac:dyDescent="0.35">
      <c r="A17186" s="34">
        <v>80121704</v>
      </c>
      <c r="B17186" s="35" t="s">
        <v>3076</v>
      </c>
    </row>
    <row r="17187" spans="1:2" x14ac:dyDescent="0.35">
      <c r="A17187" s="34">
        <v>80121705</v>
      </c>
      <c r="B17187" s="35" t="s">
        <v>14872</v>
      </c>
    </row>
    <row r="17188" spans="1:2" x14ac:dyDescent="0.35">
      <c r="A17188" s="34">
        <v>80121706</v>
      </c>
      <c r="B17188" s="35" t="s">
        <v>11975</v>
      </c>
    </row>
    <row r="17189" spans="1:2" x14ac:dyDescent="0.35">
      <c r="A17189" s="34">
        <v>80121707</v>
      </c>
      <c r="B17189" s="35" t="s">
        <v>19074</v>
      </c>
    </row>
    <row r="17190" spans="1:2" x14ac:dyDescent="0.35">
      <c r="A17190" s="34">
        <v>80121801</v>
      </c>
      <c r="B17190" s="35" t="s">
        <v>1177</v>
      </c>
    </row>
    <row r="17191" spans="1:2" x14ac:dyDescent="0.35">
      <c r="A17191" s="34">
        <v>80121802</v>
      </c>
      <c r="B17191" s="35" t="s">
        <v>16629</v>
      </c>
    </row>
    <row r="17192" spans="1:2" x14ac:dyDescent="0.35">
      <c r="A17192" s="34">
        <v>80121803</v>
      </c>
      <c r="B17192" s="35" t="s">
        <v>10269</v>
      </c>
    </row>
    <row r="17193" spans="1:2" x14ac:dyDescent="0.35">
      <c r="A17193" s="34">
        <v>80121804</v>
      </c>
      <c r="B17193" s="35" t="s">
        <v>10980</v>
      </c>
    </row>
    <row r="17194" spans="1:2" x14ac:dyDescent="0.35">
      <c r="A17194" s="34">
        <v>80131501</v>
      </c>
      <c r="B17194" s="35" t="s">
        <v>15891</v>
      </c>
    </row>
    <row r="17195" spans="1:2" x14ac:dyDescent="0.35">
      <c r="A17195" s="34">
        <v>80131502</v>
      </c>
      <c r="B17195" s="35" t="s">
        <v>5334</v>
      </c>
    </row>
    <row r="17196" spans="1:2" x14ac:dyDescent="0.35">
      <c r="A17196" s="34">
        <v>80131503</v>
      </c>
      <c r="B17196" s="35" t="s">
        <v>17580</v>
      </c>
    </row>
    <row r="17197" spans="1:2" x14ac:dyDescent="0.35">
      <c r="A17197" s="34">
        <v>80131504</v>
      </c>
      <c r="B17197" s="35" t="s">
        <v>19069</v>
      </c>
    </row>
    <row r="17198" spans="1:2" x14ac:dyDescent="0.35">
      <c r="A17198" s="34">
        <v>80131505</v>
      </c>
      <c r="B17198" s="35" t="s">
        <v>12277</v>
      </c>
    </row>
    <row r="17199" spans="1:2" x14ac:dyDescent="0.35">
      <c r="A17199" s="34">
        <v>80131506</v>
      </c>
      <c r="B17199" s="35" t="s">
        <v>10287</v>
      </c>
    </row>
    <row r="17200" spans="1:2" x14ac:dyDescent="0.35">
      <c r="A17200" s="34">
        <v>80131601</v>
      </c>
      <c r="B17200" s="35" t="s">
        <v>10030</v>
      </c>
    </row>
    <row r="17201" spans="1:2" x14ac:dyDescent="0.35">
      <c r="A17201" s="34">
        <v>80131602</v>
      </c>
      <c r="B17201" s="35" t="s">
        <v>15297</v>
      </c>
    </row>
    <row r="17202" spans="1:2" x14ac:dyDescent="0.35">
      <c r="A17202" s="34">
        <v>80131603</v>
      </c>
      <c r="B17202" s="35" t="s">
        <v>3373</v>
      </c>
    </row>
    <row r="17203" spans="1:2" x14ac:dyDescent="0.35">
      <c r="A17203" s="34">
        <v>80131604</v>
      </c>
      <c r="B17203" s="35" t="s">
        <v>12539</v>
      </c>
    </row>
    <row r="17204" spans="1:2" x14ac:dyDescent="0.35">
      <c r="A17204" s="34">
        <v>80131605</v>
      </c>
      <c r="B17204" s="35" t="s">
        <v>872</v>
      </c>
    </row>
    <row r="17205" spans="1:2" x14ac:dyDescent="0.35">
      <c r="A17205" s="34">
        <v>80131701</v>
      </c>
      <c r="B17205" s="35" t="s">
        <v>11041</v>
      </c>
    </row>
    <row r="17206" spans="1:2" x14ac:dyDescent="0.35">
      <c r="A17206" s="34">
        <v>80131702</v>
      </c>
      <c r="B17206" s="35" t="s">
        <v>13264</v>
      </c>
    </row>
    <row r="17207" spans="1:2" x14ac:dyDescent="0.35">
      <c r="A17207" s="34">
        <v>80131703</v>
      </c>
      <c r="B17207" s="35" t="s">
        <v>2092</v>
      </c>
    </row>
    <row r="17208" spans="1:2" x14ac:dyDescent="0.35">
      <c r="A17208" s="34">
        <v>80131801</v>
      </c>
      <c r="B17208" s="35" t="s">
        <v>12996</v>
      </c>
    </row>
    <row r="17209" spans="1:2" x14ac:dyDescent="0.35">
      <c r="A17209" s="34">
        <v>80131802</v>
      </c>
      <c r="B17209" s="35" t="s">
        <v>11853</v>
      </c>
    </row>
    <row r="17210" spans="1:2" x14ac:dyDescent="0.35">
      <c r="A17210" s="34">
        <v>80131803</v>
      </c>
      <c r="B17210" s="35" t="s">
        <v>10064</v>
      </c>
    </row>
    <row r="17211" spans="1:2" x14ac:dyDescent="0.35">
      <c r="A17211" s="34">
        <v>80141501</v>
      </c>
      <c r="B17211" s="35" t="s">
        <v>5107</v>
      </c>
    </row>
    <row r="17212" spans="1:2" x14ac:dyDescent="0.35">
      <c r="A17212" s="34">
        <v>80141502</v>
      </c>
      <c r="B17212" s="35" t="s">
        <v>1633</v>
      </c>
    </row>
    <row r="17213" spans="1:2" x14ac:dyDescent="0.35">
      <c r="A17213" s="34">
        <v>80141503</v>
      </c>
      <c r="B17213" s="35" t="s">
        <v>15762</v>
      </c>
    </row>
    <row r="17214" spans="1:2" x14ac:dyDescent="0.35">
      <c r="A17214" s="34">
        <v>80141504</v>
      </c>
      <c r="B17214" s="35" t="s">
        <v>9573</v>
      </c>
    </row>
    <row r="17215" spans="1:2" x14ac:dyDescent="0.35">
      <c r="A17215" s="34">
        <v>80141505</v>
      </c>
      <c r="B17215" s="35" t="s">
        <v>8525</v>
      </c>
    </row>
    <row r="17216" spans="1:2" x14ac:dyDescent="0.35">
      <c r="A17216" s="34">
        <v>80141506</v>
      </c>
      <c r="B17216" s="35" t="s">
        <v>3765</v>
      </c>
    </row>
    <row r="17217" spans="1:2" x14ac:dyDescent="0.35">
      <c r="A17217" s="34">
        <v>80141507</v>
      </c>
      <c r="B17217" s="35" t="s">
        <v>10503</v>
      </c>
    </row>
    <row r="17218" spans="1:2" x14ac:dyDescent="0.35">
      <c r="A17218" s="34">
        <v>80141508</v>
      </c>
      <c r="B17218" s="35" t="s">
        <v>16547</v>
      </c>
    </row>
    <row r="17219" spans="1:2" x14ac:dyDescent="0.35">
      <c r="A17219" s="34">
        <v>80141509</v>
      </c>
      <c r="B17219" s="35" t="s">
        <v>9151</v>
      </c>
    </row>
    <row r="17220" spans="1:2" x14ac:dyDescent="0.35">
      <c r="A17220" s="34">
        <v>80141510</v>
      </c>
      <c r="B17220" s="35" t="s">
        <v>9413</v>
      </c>
    </row>
    <row r="17221" spans="1:2" x14ac:dyDescent="0.35">
      <c r="A17221" s="34">
        <v>80141511</v>
      </c>
      <c r="B17221" s="35" t="s">
        <v>4436</v>
      </c>
    </row>
    <row r="17222" spans="1:2" x14ac:dyDescent="0.35">
      <c r="A17222" s="34">
        <v>80141512</v>
      </c>
      <c r="B17222" s="35" t="s">
        <v>10450</v>
      </c>
    </row>
    <row r="17223" spans="1:2" x14ac:dyDescent="0.35">
      <c r="A17223" s="34">
        <v>80141513</v>
      </c>
      <c r="B17223" s="35" t="s">
        <v>5567</v>
      </c>
    </row>
    <row r="17224" spans="1:2" x14ac:dyDescent="0.35">
      <c r="A17224" s="34">
        <v>80141514</v>
      </c>
      <c r="B17224" s="35" t="s">
        <v>16579</v>
      </c>
    </row>
    <row r="17225" spans="1:2" x14ac:dyDescent="0.35">
      <c r="A17225" s="34">
        <v>80141601</v>
      </c>
      <c r="B17225" s="35" t="s">
        <v>14293</v>
      </c>
    </row>
    <row r="17226" spans="1:2" x14ac:dyDescent="0.35">
      <c r="A17226" s="34">
        <v>80141602</v>
      </c>
      <c r="B17226" s="35" t="s">
        <v>15132</v>
      </c>
    </row>
    <row r="17227" spans="1:2" x14ac:dyDescent="0.35">
      <c r="A17227" s="34">
        <v>80141603</v>
      </c>
      <c r="B17227" s="35" t="s">
        <v>2067</v>
      </c>
    </row>
    <row r="17228" spans="1:2" x14ac:dyDescent="0.35">
      <c r="A17228" s="34">
        <v>80141604</v>
      </c>
      <c r="B17228" s="35" t="s">
        <v>10290</v>
      </c>
    </row>
    <row r="17229" spans="1:2" x14ac:dyDescent="0.35">
      <c r="A17229" s="34">
        <v>80141605</v>
      </c>
      <c r="B17229" s="35" t="s">
        <v>16532</v>
      </c>
    </row>
    <row r="17230" spans="1:2" x14ac:dyDescent="0.35">
      <c r="A17230" s="34">
        <v>80141606</v>
      </c>
      <c r="B17230" s="35" t="s">
        <v>19104</v>
      </c>
    </row>
    <row r="17231" spans="1:2" x14ac:dyDescent="0.35">
      <c r="A17231" s="34">
        <v>80141607</v>
      </c>
      <c r="B17231" s="35" t="s">
        <v>4274</v>
      </c>
    </row>
    <row r="17232" spans="1:2" x14ac:dyDescent="0.35">
      <c r="A17232" s="34">
        <v>80141609</v>
      </c>
      <c r="B17232" s="35" t="s">
        <v>1585</v>
      </c>
    </row>
    <row r="17233" spans="1:2" x14ac:dyDescent="0.35">
      <c r="A17233" s="34">
        <v>80141610</v>
      </c>
      <c r="B17233" s="35" t="s">
        <v>649</v>
      </c>
    </row>
    <row r="17234" spans="1:2" x14ac:dyDescent="0.35">
      <c r="A17234" s="34">
        <v>80141611</v>
      </c>
      <c r="B17234" s="35" t="s">
        <v>9200</v>
      </c>
    </row>
    <row r="17235" spans="1:2" x14ac:dyDescent="0.35">
      <c r="A17235" s="34">
        <v>80141612</v>
      </c>
      <c r="B17235" s="35" t="s">
        <v>17255</v>
      </c>
    </row>
    <row r="17236" spans="1:2" x14ac:dyDescent="0.35">
      <c r="A17236" s="34">
        <v>80141613</v>
      </c>
      <c r="B17236" s="35" t="s">
        <v>15296</v>
      </c>
    </row>
    <row r="17237" spans="1:2" x14ac:dyDescent="0.35">
      <c r="A17237" s="34">
        <v>80141614</v>
      </c>
      <c r="B17237" s="35" t="s">
        <v>2564</v>
      </c>
    </row>
    <row r="17238" spans="1:2" x14ac:dyDescent="0.35">
      <c r="A17238" s="34">
        <v>80141615</v>
      </c>
      <c r="B17238" s="35" t="s">
        <v>9250</v>
      </c>
    </row>
    <row r="17239" spans="1:2" x14ac:dyDescent="0.35">
      <c r="A17239" s="34">
        <v>80141616</v>
      </c>
      <c r="B17239" s="35" t="s">
        <v>3312</v>
      </c>
    </row>
    <row r="17240" spans="1:2" x14ac:dyDescent="0.35">
      <c r="A17240" s="34">
        <v>80141617</v>
      </c>
      <c r="B17240" s="35" t="s">
        <v>11284</v>
      </c>
    </row>
    <row r="17241" spans="1:2" x14ac:dyDescent="0.35">
      <c r="A17241" s="34">
        <v>80141618</v>
      </c>
      <c r="B17241" s="35" t="s">
        <v>3166</v>
      </c>
    </row>
    <row r="17242" spans="1:2" x14ac:dyDescent="0.35">
      <c r="A17242" s="34">
        <v>80141619</v>
      </c>
      <c r="B17242" s="35" t="s">
        <v>11155</v>
      </c>
    </row>
    <row r="17243" spans="1:2" x14ac:dyDescent="0.35">
      <c r="A17243" s="34">
        <v>80141620</v>
      </c>
      <c r="B17243" s="35" t="s">
        <v>14070</v>
      </c>
    </row>
    <row r="17244" spans="1:2" x14ac:dyDescent="0.35">
      <c r="A17244" s="34">
        <v>80141621</v>
      </c>
      <c r="B17244" s="35" t="s">
        <v>10150</v>
      </c>
    </row>
    <row r="17245" spans="1:2" x14ac:dyDescent="0.35">
      <c r="A17245" s="34">
        <v>80141622</v>
      </c>
      <c r="B17245" s="35" t="s">
        <v>11843</v>
      </c>
    </row>
    <row r="17246" spans="1:2" x14ac:dyDescent="0.35">
      <c r="A17246" s="34">
        <v>80141701</v>
      </c>
      <c r="B17246" s="35" t="s">
        <v>7669</v>
      </c>
    </row>
    <row r="17247" spans="1:2" x14ac:dyDescent="0.35">
      <c r="A17247" s="34">
        <v>80141702</v>
      </c>
      <c r="B17247" s="35" t="s">
        <v>2813</v>
      </c>
    </row>
    <row r="17248" spans="1:2" x14ac:dyDescent="0.35">
      <c r="A17248" s="34">
        <v>80141703</v>
      </c>
      <c r="B17248" s="35" t="s">
        <v>5075</v>
      </c>
    </row>
    <row r="17249" spans="1:2" x14ac:dyDescent="0.35">
      <c r="A17249" s="34">
        <v>80141704</v>
      </c>
      <c r="B17249" s="35" t="s">
        <v>3530</v>
      </c>
    </row>
    <row r="17250" spans="1:2" x14ac:dyDescent="0.35">
      <c r="A17250" s="34">
        <v>80141705</v>
      </c>
      <c r="B17250" s="35" t="s">
        <v>7555</v>
      </c>
    </row>
    <row r="17251" spans="1:2" x14ac:dyDescent="0.35">
      <c r="A17251" s="34">
        <v>80141801</v>
      </c>
      <c r="B17251" s="35" t="s">
        <v>13106</v>
      </c>
    </row>
    <row r="17252" spans="1:2" x14ac:dyDescent="0.35">
      <c r="A17252" s="34">
        <v>80141802</v>
      </c>
      <c r="B17252" s="35" t="s">
        <v>13173</v>
      </c>
    </row>
    <row r="17253" spans="1:2" x14ac:dyDescent="0.35">
      <c r="A17253" s="34">
        <v>80141803</v>
      </c>
      <c r="B17253" s="35" t="s">
        <v>6787</v>
      </c>
    </row>
    <row r="17254" spans="1:2" x14ac:dyDescent="0.35">
      <c r="A17254" s="34">
        <v>80141901</v>
      </c>
      <c r="B17254" s="35" t="s">
        <v>10752</v>
      </c>
    </row>
    <row r="17255" spans="1:2" x14ac:dyDescent="0.35">
      <c r="A17255" s="34">
        <v>80141902</v>
      </c>
      <c r="B17255" s="35" t="s">
        <v>13180</v>
      </c>
    </row>
    <row r="17256" spans="1:2" x14ac:dyDescent="0.35">
      <c r="A17256" s="34">
        <v>80141903</v>
      </c>
      <c r="B17256" s="35" t="s">
        <v>14730</v>
      </c>
    </row>
    <row r="17257" spans="1:2" x14ac:dyDescent="0.35">
      <c r="A17257" s="34">
        <v>80151501</v>
      </c>
      <c r="B17257" s="35" t="s">
        <v>14135</v>
      </c>
    </row>
    <row r="17258" spans="1:2" x14ac:dyDescent="0.35">
      <c r="A17258" s="34">
        <v>80151502</v>
      </c>
      <c r="B17258" s="35" t="s">
        <v>7710</v>
      </c>
    </row>
    <row r="17259" spans="1:2" x14ac:dyDescent="0.35">
      <c r="A17259" s="34">
        <v>80151503</v>
      </c>
      <c r="B17259" s="35" t="s">
        <v>18626</v>
      </c>
    </row>
    <row r="17260" spans="1:2" x14ac:dyDescent="0.35">
      <c r="A17260" s="34">
        <v>80151504</v>
      </c>
      <c r="B17260" s="35" t="s">
        <v>19194</v>
      </c>
    </row>
    <row r="17261" spans="1:2" x14ac:dyDescent="0.35">
      <c r="A17261" s="34">
        <v>80151505</v>
      </c>
      <c r="B17261" s="35" t="s">
        <v>3937</v>
      </c>
    </row>
    <row r="17262" spans="1:2" x14ac:dyDescent="0.35">
      <c r="A17262" s="34">
        <v>80151601</v>
      </c>
      <c r="B17262" s="35" t="s">
        <v>11574</v>
      </c>
    </row>
    <row r="17263" spans="1:2" x14ac:dyDescent="0.35">
      <c r="A17263" s="34">
        <v>80151602</v>
      </c>
      <c r="B17263" s="35" t="s">
        <v>9312</v>
      </c>
    </row>
    <row r="17264" spans="1:2" x14ac:dyDescent="0.35">
      <c r="A17264" s="34">
        <v>80151603</v>
      </c>
      <c r="B17264" s="35" t="s">
        <v>6955</v>
      </c>
    </row>
    <row r="17265" spans="1:2" x14ac:dyDescent="0.35">
      <c r="A17265" s="34">
        <v>80151604</v>
      </c>
      <c r="B17265" s="35" t="s">
        <v>14551</v>
      </c>
    </row>
    <row r="17266" spans="1:2" x14ac:dyDescent="0.35">
      <c r="A17266" s="34">
        <v>80161501</v>
      </c>
      <c r="B17266" s="35" t="s">
        <v>18840</v>
      </c>
    </row>
    <row r="17267" spans="1:2" x14ac:dyDescent="0.35">
      <c r="A17267" s="34">
        <v>80161502</v>
      </c>
      <c r="B17267" s="35" t="s">
        <v>3094</v>
      </c>
    </row>
    <row r="17268" spans="1:2" x14ac:dyDescent="0.35">
      <c r="A17268" s="34">
        <v>80161503</v>
      </c>
      <c r="B17268" s="35" t="s">
        <v>2221</v>
      </c>
    </row>
    <row r="17269" spans="1:2" x14ac:dyDescent="0.35">
      <c r="A17269" s="34">
        <v>80161504</v>
      </c>
      <c r="B17269" s="35" t="s">
        <v>12197</v>
      </c>
    </row>
    <row r="17270" spans="1:2" x14ac:dyDescent="0.35">
      <c r="A17270" s="34">
        <v>80161505</v>
      </c>
      <c r="B17270" s="35" t="s">
        <v>6813</v>
      </c>
    </row>
    <row r="17271" spans="1:2" x14ac:dyDescent="0.35">
      <c r="A17271" s="34">
        <v>80161506</v>
      </c>
      <c r="B17271" s="35" t="s">
        <v>13072</v>
      </c>
    </row>
    <row r="17272" spans="1:2" x14ac:dyDescent="0.35">
      <c r="A17272" s="34">
        <v>80161507</v>
      </c>
      <c r="B17272" s="35" t="s">
        <v>19161</v>
      </c>
    </row>
    <row r="17273" spans="1:2" x14ac:dyDescent="0.35">
      <c r="A17273" s="34">
        <v>80161508</v>
      </c>
      <c r="B17273" s="35" t="s">
        <v>2499</v>
      </c>
    </row>
    <row r="17274" spans="1:2" x14ac:dyDescent="0.35">
      <c r="A17274" s="34">
        <v>80161601</v>
      </c>
      <c r="B17274" s="35" t="s">
        <v>8282</v>
      </c>
    </row>
    <row r="17275" spans="1:2" x14ac:dyDescent="0.35">
      <c r="A17275" s="34">
        <v>80161602</v>
      </c>
      <c r="B17275" s="35" t="s">
        <v>16944</v>
      </c>
    </row>
    <row r="17276" spans="1:2" x14ac:dyDescent="0.35">
      <c r="A17276" s="34">
        <v>80161603</v>
      </c>
      <c r="B17276" s="35" t="s">
        <v>15922</v>
      </c>
    </row>
    <row r="17277" spans="1:2" x14ac:dyDescent="0.35">
      <c r="A17277" s="34">
        <v>81101501</v>
      </c>
      <c r="B17277" s="35" t="s">
        <v>4334</v>
      </c>
    </row>
    <row r="17278" spans="1:2" x14ac:dyDescent="0.35">
      <c r="A17278" s="34">
        <v>81101502</v>
      </c>
      <c r="B17278" s="35" t="s">
        <v>7720</v>
      </c>
    </row>
    <row r="17279" spans="1:2" x14ac:dyDescent="0.35">
      <c r="A17279" s="34">
        <v>81101503</v>
      </c>
      <c r="B17279" s="35" t="s">
        <v>13333</v>
      </c>
    </row>
    <row r="17280" spans="1:2" x14ac:dyDescent="0.35">
      <c r="A17280" s="34">
        <v>81101505</v>
      </c>
      <c r="B17280" s="35" t="s">
        <v>262</v>
      </c>
    </row>
    <row r="17281" spans="1:2" x14ac:dyDescent="0.35">
      <c r="A17281" s="34">
        <v>81101506</v>
      </c>
      <c r="B17281" s="35" t="s">
        <v>13198</v>
      </c>
    </row>
    <row r="17282" spans="1:2" x14ac:dyDescent="0.35">
      <c r="A17282" s="34">
        <v>81101507</v>
      </c>
      <c r="B17282" s="35" t="s">
        <v>6206</v>
      </c>
    </row>
    <row r="17283" spans="1:2" x14ac:dyDescent="0.35">
      <c r="A17283" s="34">
        <v>81101508</v>
      </c>
      <c r="B17283" s="35" t="s">
        <v>19424</v>
      </c>
    </row>
    <row r="17284" spans="1:2" x14ac:dyDescent="0.35">
      <c r="A17284" s="34">
        <v>81101509</v>
      </c>
      <c r="B17284" s="35" t="s">
        <v>10013</v>
      </c>
    </row>
    <row r="17285" spans="1:2" x14ac:dyDescent="0.35">
      <c r="A17285" s="34">
        <v>81101510</v>
      </c>
      <c r="B17285" s="35" t="s">
        <v>15657</v>
      </c>
    </row>
    <row r="17286" spans="1:2" x14ac:dyDescent="0.35">
      <c r="A17286" s="34">
        <v>81101511</v>
      </c>
      <c r="B17286" s="35" t="s">
        <v>3701</v>
      </c>
    </row>
    <row r="17287" spans="1:2" x14ac:dyDescent="0.35">
      <c r="A17287" s="34">
        <v>81101512</v>
      </c>
      <c r="B17287" s="35" t="s">
        <v>19114</v>
      </c>
    </row>
    <row r="17288" spans="1:2" x14ac:dyDescent="0.35">
      <c r="A17288" s="34">
        <v>81101513</v>
      </c>
      <c r="B17288" s="35" t="s">
        <v>9094</v>
      </c>
    </row>
    <row r="17289" spans="1:2" x14ac:dyDescent="0.35">
      <c r="A17289" s="34">
        <v>81101601</v>
      </c>
      <c r="B17289" s="35" t="s">
        <v>7625</v>
      </c>
    </row>
    <row r="17290" spans="1:2" x14ac:dyDescent="0.35">
      <c r="A17290" s="34">
        <v>81101602</v>
      </c>
      <c r="B17290" s="35" t="s">
        <v>235</v>
      </c>
    </row>
    <row r="17291" spans="1:2" x14ac:dyDescent="0.35">
      <c r="A17291" s="34">
        <v>81101603</v>
      </c>
      <c r="B17291" s="35" t="s">
        <v>5318</v>
      </c>
    </row>
    <row r="17292" spans="1:2" x14ac:dyDescent="0.35">
      <c r="A17292" s="34">
        <v>81101604</v>
      </c>
      <c r="B17292" s="35" t="s">
        <v>6099</v>
      </c>
    </row>
    <row r="17293" spans="1:2" x14ac:dyDescent="0.35">
      <c r="A17293" s="34">
        <v>81101605</v>
      </c>
      <c r="B17293" s="35" t="s">
        <v>2208</v>
      </c>
    </row>
    <row r="17294" spans="1:2" x14ac:dyDescent="0.35">
      <c r="A17294" s="34">
        <v>81101701</v>
      </c>
      <c r="B17294" s="35" t="s">
        <v>12772</v>
      </c>
    </row>
    <row r="17295" spans="1:2" x14ac:dyDescent="0.35">
      <c r="A17295" s="34">
        <v>81101702</v>
      </c>
      <c r="B17295" s="35" t="s">
        <v>18481</v>
      </c>
    </row>
    <row r="17296" spans="1:2" x14ac:dyDescent="0.35">
      <c r="A17296" s="34">
        <v>81101703</v>
      </c>
      <c r="B17296" s="35" t="s">
        <v>15999</v>
      </c>
    </row>
    <row r="17297" spans="1:2" x14ac:dyDescent="0.35">
      <c r="A17297" s="34">
        <v>81101801</v>
      </c>
      <c r="B17297" s="35" t="s">
        <v>6385</v>
      </c>
    </row>
    <row r="17298" spans="1:2" x14ac:dyDescent="0.35">
      <c r="A17298" s="34">
        <v>81101902</v>
      </c>
      <c r="B17298" s="35" t="s">
        <v>12257</v>
      </c>
    </row>
    <row r="17299" spans="1:2" x14ac:dyDescent="0.35">
      <c r="A17299" s="34">
        <v>81102001</v>
      </c>
      <c r="B17299" s="35" t="s">
        <v>11982</v>
      </c>
    </row>
    <row r="17300" spans="1:2" x14ac:dyDescent="0.35">
      <c r="A17300" s="34">
        <v>81102101</v>
      </c>
      <c r="B17300" s="35" t="s">
        <v>13706</v>
      </c>
    </row>
    <row r="17301" spans="1:2" x14ac:dyDescent="0.35">
      <c r="A17301" s="34">
        <v>81102201</v>
      </c>
      <c r="B17301" s="35" t="s">
        <v>11730</v>
      </c>
    </row>
    <row r="17302" spans="1:2" x14ac:dyDescent="0.35">
      <c r="A17302" s="34">
        <v>81102202</v>
      </c>
      <c r="B17302" s="35" t="s">
        <v>9058</v>
      </c>
    </row>
    <row r="17303" spans="1:2" x14ac:dyDescent="0.35">
      <c r="A17303" s="34">
        <v>81102203</v>
      </c>
      <c r="B17303" s="35" t="s">
        <v>5333</v>
      </c>
    </row>
    <row r="17304" spans="1:2" x14ac:dyDescent="0.35">
      <c r="A17304" s="34">
        <v>81102301</v>
      </c>
      <c r="B17304" s="35" t="s">
        <v>2897</v>
      </c>
    </row>
    <row r="17305" spans="1:2" x14ac:dyDescent="0.35">
      <c r="A17305" s="34">
        <v>81111501</v>
      </c>
      <c r="B17305" s="35" t="s">
        <v>18053</v>
      </c>
    </row>
    <row r="17306" spans="1:2" x14ac:dyDescent="0.35">
      <c r="A17306" s="34">
        <v>81111502</v>
      </c>
      <c r="B17306" s="35" t="s">
        <v>3283</v>
      </c>
    </row>
    <row r="17307" spans="1:2" x14ac:dyDescent="0.35">
      <c r="A17307" s="34">
        <v>81111503</v>
      </c>
      <c r="B17307" s="35" t="s">
        <v>6168</v>
      </c>
    </row>
    <row r="17308" spans="1:2" x14ac:dyDescent="0.35">
      <c r="A17308" s="34">
        <v>81111504</v>
      </c>
      <c r="B17308" s="35" t="s">
        <v>14354</v>
      </c>
    </row>
    <row r="17309" spans="1:2" x14ac:dyDescent="0.35">
      <c r="A17309" s="34">
        <v>81111505</v>
      </c>
      <c r="B17309" s="35" t="s">
        <v>1402</v>
      </c>
    </row>
    <row r="17310" spans="1:2" x14ac:dyDescent="0.35">
      <c r="A17310" s="34">
        <v>81111506</v>
      </c>
      <c r="B17310" s="35" t="s">
        <v>17456</v>
      </c>
    </row>
    <row r="17311" spans="1:2" x14ac:dyDescent="0.35">
      <c r="A17311" s="34">
        <v>81111507</v>
      </c>
      <c r="B17311" s="35" t="s">
        <v>863</v>
      </c>
    </row>
    <row r="17312" spans="1:2" x14ac:dyDescent="0.35">
      <c r="A17312" s="34">
        <v>81111508</v>
      </c>
      <c r="B17312" s="35" t="s">
        <v>1888</v>
      </c>
    </row>
    <row r="17313" spans="1:2" x14ac:dyDescent="0.35">
      <c r="A17313" s="34">
        <v>81111509</v>
      </c>
      <c r="B17313" s="35" t="s">
        <v>11196</v>
      </c>
    </row>
    <row r="17314" spans="1:2" x14ac:dyDescent="0.35">
      <c r="A17314" s="34">
        <v>81111510</v>
      </c>
      <c r="B17314" s="35" t="s">
        <v>10527</v>
      </c>
    </row>
    <row r="17315" spans="1:2" x14ac:dyDescent="0.35">
      <c r="A17315" s="34">
        <v>81111511</v>
      </c>
      <c r="B17315" s="35" t="s">
        <v>13965</v>
      </c>
    </row>
    <row r="17316" spans="1:2" x14ac:dyDescent="0.35">
      <c r="A17316" s="34">
        <v>81111512</v>
      </c>
      <c r="B17316" s="35" t="s">
        <v>8108</v>
      </c>
    </row>
    <row r="17317" spans="1:2" x14ac:dyDescent="0.35">
      <c r="A17317" s="34">
        <v>81111513</v>
      </c>
      <c r="B17317" s="35" t="s">
        <v>10666</v>
      </c>
    </row>
    <row r="17318" spans="1:2" x14ac:dyDescent="0.35">
      <c r="A17318" s="34">
        <v>81111601</v>
      </c>
      <c r="B17318" s="35" t="s">
        <v>637</v>
      </c>
    </row>
    <row r="17319" spans="1:2" x14ac:dyDescent="0.35">
      <c r="A17319" s="34">
        <v>81111602</v>
      </c>
      <c r="B17319" s="35" t="s">
        <v>6981</v>
      </c>
    </row>
    <row r="17320" spans="1:2" x14ac:dyDescent="0.35">
      <c r="A17320" s="34">
        <v>81111603</v>
      </c>
      <c r="B17320" s="35" t="s">
        <v>7259</v>
      </c>
    </row>
    <row r="17321" spans="1:2" x14ac:dyDescent="0.35">
      <c r="A17321" s="34">
        <v>81111604</v>
      </c>
      <c r="B17321" s="35" t="s">
        <v>945</v>
      </c>
    </row>
    <row r="17322" spans="1:2" x14ac:dyDescent="0.35">
      <c r="A17322" s="34">
        <v>81111605</v>
      </c>
      <c r="B17322" s="35" t="s">
        <v>12428</v>
      </c>
    </row>
    <row r="17323" spans="1:2" x14ac:dyDescent="0.35">
      <c r="A17323" s="34">
        <v>81111606</v>
      </c>
      <c r="B17323" s="35" t="s">
        <v>13397</v>
      </c>
    </row>
    <row r="17324" spans="1:2" x14ac:dyDescent="0.35">
      <c r="A17324" s="34">
        <v>81111607</v>
      </c>
      <c r="B17324" s="35" t="s">
        <v>2276</v>
      </c>
    </row>
    <row r="17325" spans="1:2" x14ac:dyDescent="0.35">
      <c r="A17325" s="34">
        <v>81111608</v>
      </c>
      <c r="B17325" s="35" t="s">
        <v>8297</v>
      </c>
    </row>
    <row r="17326" spans="1:2" x14ac:dyDescent="0.35">
      <c r="A17326" s="34">
        <v>81111609</v>
      </c>
      <c r="B17326" s="35" t="s">
        <v>2408</v>
      </c>
    </row>
    <row r="17327" spans="1:2" x14ac:dyDescent="0.35">
      <c r="A17327" s="34">
        <v>81111610</v>
      </c>
      <c r="B17327" s="35" t="s">
        <v>2212</v>
      </c>
    </row>
    <row r="17328" spans="1:2" x14ac:dyDescent="0.35">
      <c r="A17328" s="34">
        <v>81111611</v>
      </c>
      <c r="B17328" s="35" t="s">
        <v>3825</v>
      </c>
    </row>
    <row r="17329" spans="1:2" x14ac:dyDescent="0.35">
      <c r="A17329" s="34">
        <v>81111612</v>
      </c>
      <c r="B17329" s="35" t="s">
        <v>12324</v>
      </c>
    </row>
    <row r="17330" spans="1:2" x14ac:dyDescent="0.35">
      <c r="A17330" s="34">
        <v>81111613</v>
      </c>
      <c r="B17330" s="35" t="s">
        <v>6920</v>
      </c>
    </row>
    <row r="17331" spans="1:2" x14ac:dyDescent="0.35">
      <c r="A17331" s="34">
        <v>81111701</v>
      </c>
      <c r="B17331" s="35" t="s">
        <v>7240</v>
      </c>
    </row>
    <row r="17332" spans="1:2" x14ac:dyDescent="0.35">
      <c r="A17332" s="34">
        <v>81111702</v>
      </c>
      <c r="B17332" s="35" t="s">
        <v>12819</v>
      </c>
    </row>
    <row r="17333" spans="1:2" x14ac:dyDescent="0.35">
      <c r="A17333" s="34">
        <v>81111703</v>
      </c>
      <c r="B17333" s="35" t="s">
        <v>8266</v>
      </c>
    </row>
    <row r="17334" spans="1:2" x14ac:dyDescent="0.35">
      <c r="A17334" s="34">
        <v>81111704</v>
      </c>
      <c r="B17334" s="35" t="s">
        <v>8830</v>
      </c>
    </row>
    <row r="17335" spans="1:2" x14ac:dyDescent="0.35">
      <c r="A17335" s="34">
        <v>81111705</v>
      </c>
      <c r="B17335" s="35" t="s">
        <v>7266</v>
      </c>
    </row>
    <row r="17336" spans="1:2" x14ac:dyDescent="0.35">
      <c r="A17336" s="34">
        <v>81111801</v>
      </c>
      <c r="B17336" s="35" t="s">
        <v>8923</v>
      </c>
    </row>
    <row r="17337" spans="1:2" x14ac:dyDescent="0.35">
      <c r="A17337" s="34">
        <v>81111802</v>
      </c>
      <c r="B17337" s="35" t="s">
        <v>16733</v>
      </c>
    </row>
    <row r="17338" spans="1:2" x14ac:dyDescent="0.35">
      <c r="A17338" s="34">
        <v>81111803</v>
      </c>
      <c r="B17338" s="35" t="s">
        <v>6571</v>
      </c>
    </row>
    <row r="17339" spans="1:2" x14ac:dyDescent="0.35">
      <c r="A17339" s="34">
        <v>81111804</v>
      </c>
      <c r="B17339" s="35" t="s">
        <v>9667</v>
      </c>
    </row>
    <row r="17340" spans="1:2" x14ac:dyDescent="0.35">
      <c r="A17340" s="34">
        <v>81111805</v>
      </c>
      <c r="B17340" s="35" t="s">
        <v>15416</v>
      </c>
    </row>
    <row r="17341" spans="1:2" x14ac:dyDescent="0.35">
      <c r="A17341" s="34">
        <v>81111806</v>
      </c>
      <c r="B17341" s="35" t="s">
        <v>1223</v>
      </c>
    </row>
    <row r="17342" spans="1:2" x14ac:dyDescent="0.35">
      <c r="A17342" s="34">
        <v>81111807</v>
      </c>
      <c r="B17342" s="35" t="s">
        <v>13446</v>
      </c>
    </row>
    <row r="17343" spans="1:2" x14ac:dyDescent="0.35">
      <c r="A17343" s="34">
        <v>81111808</v>
      </c>
      <c r="B17343" s="35" t="s">
        <v>12417</v>
      </c>
    </row>
    <row r="17344" spans="1:2" x14ac:dyDescent="0.35">
      <c r="A17344" s="34">
        <v>81111809</v>
      </c>
      <c r="B17344" s="35" t="s">
        <v>16483</v>
      </c>
    </row>
    <row r="17345" spans="1:2" x14ac:dyDescent="0.35">
      <c r="A17345" s="34">
        <v>81111810</v>
      </c>
      <c r="B17345" s="35" t="s">
        <v>17061</v>
      </c>
    </row>
    <row r="17346" spans="1:2" x14ac:dyDescent="0.35">
      <c r="A17346" s="34">
        <v>81111811</v>
      </c>
      <c r="B17346" s="35" t="s">
        <v>15298</v>
      </c>
    </row>
    <row r="17347" spans="1:2" x14ac:dyDescent="0.35">
      <c r="A17347" s="34">
        <v>81111812</v>
      </c>
      <c r="B17347" s="35" t="s">
        <v>4986</v>
      </c>
    </row>
    <row r="17348" spans="1:2" x14ac:dyDescent="0.35">
      <c r="A17348" s="34">
        <v>81111814</v>
      </c>
      <c r="B17348" s="35" t="s">
        <v>8444</v>
      </c>
    </row>
    <row r="17349" spans="1:2" x14ac:dyDescent="0.35">
      <c r="A17349" s="34">
        <v>81111818</v>
      </c>
      <c r="B17349" s="35" t="s">
        <v>7721</v>
      </c>
    </row>
    <row r="17350" spans="1:2" x14ac:dyDescent="0.35">
      <c r="A17350" s="34">
        <v>81111901</v>
      </c>
      <c r="B17350" s="35" t="s">
        <v>16513</v>
      </c>
    </row>
    <row r="17351" spans="1:2" x14ac:dyDescent="0.35">
      <c r="A17351" s="34">
        <v>81111902</v>
      </c>
      <c r="B17351" s="35" t="s">
        <v>12666</v>
      </c>
    </row>
    <row r="17352" spans="1:2" x14ac:dyDescent="0.35">
      <c r="A17352" s="34">
        <v>81112001</v>
      </c>
      <c r="B17352" s="35" t="s">
        <v>14363</v>
      </c>
    </row>
    <row r="17353" spans="1:2" x14ac:dyDescent="0.35">
      <c r="A17353" s="34">
        <v>81112002</v>
      </c>
      <c r="B17353" s="35" t="s">
        <v>8376</v>
      </c>
    </row>
    <row r="17354" spans="1:2" x14ac:dyDescent="0.35">
      <c r="A17354" s="34">
        <v>81112003</v>
      </c>
      <c r="B17354" s="35" t="s">
        <v>18023</v>
      </c>
    </row>
    <row r="17355" spans="1:2" x14ac:dyDescent="0.35">
      <c r="A17355" s="34">
        <v>81112004</v>
      </c>
      <c r="B17355" s="35" t="s">
        <v>13888</v>
      </c>
    </row>
    <row r="17356" spans="1:2" x14ac:dyDescent="0.35">
      <c r="A17356" s="34">
        <v>81112005</v>
      </c>
      <c r="B17356" s="35" t="s">
        <v>13201</v>
      </c>
    </row>
    <row r="17357" spans="1:2" x14ac:dyDescent="0.35">
      <c r="A17357" s="34">
        <v>81112006</v>
      </c>
      <c r="B17357" s="35" t="s">
        <v>5994</v>
      </c>
    </row>
    <row r="17358" spans="1:2" x14ac:dyDescent="0.35">
      <c r="A17358" s="34">
        <v>81112007</v>
      </c>
      <c r="B17358" s="35" t="s">
        <v>5002</v>
      </c>
    </row>
    <row r="17359" spans="1:2" x14ac:dyDescent="0.35">
      <c r="A17359" s="34">
        <v>81112008</v>
      </c>
      <c r="B17359" s="35" t="s">
        <v>16363</v>
      </c>
    </row>
    <row r="17360" spans="1:2" x14ac:dyDescent="0.35">
      <c r="A17360" s="34">
        <v>81112009</v>
      </c>
      <c r="B17360" s="35" t="s">
        <v>19179</v>
      </c>
    </row>
    <row r="17361" spans="1:2" x14ac:dyDescent="0.35">
      <c r="A17361" s="34">
        <v>81112010</v>
      </c>
      <c r="B17361" s="35" t="s">
        <v>1333</v>
      </c>
    </row>
    <row r="17362" spans="1:2" x14ac:dyDescent="0.35">
      <c r="A17362" s="34">
        <v>81112101</v>
      </c>
      <c r="B17362" s="35" t="s">
        <v>6074</v>
      </c>
    </row>
    <row r="17363" spans="1:2" x14ac:dyDescent="0.35">
      <c r="A17363" s="34">
        <v>81112102</v>
      </c>
      <c r="B17363" s="35" t="s">
        <v>14901</v>
      </c>
    </row>
    <row r="17364" spans="1:2" x14ac:dyDescent="0.35">
      <c r="A17364" s="34">
        <v>81112103</v>
      </c>
      <c r="B17364" s="35" t="s">
        <v>5471</v>
      </c>
    </row>
    <row r="17365" spans="1:2" x14ac:dyDescent="0.35">
      <c r="A17365" s="34">
        <v>81112104</v>
      </c>
      <c r="B17365" s="35" t="s">
        <v>15901</v>
      </c>
    </row>
    <row r="17366" spans="1:2" x14ac:dyDescent="0.35">
      <c r="A17366" s="34">
        <v>81112105</v>
      </c>
      <c r="B17366" s="35" t="s">
        <v>2430</v>
      </c>
    </row>
    <row r="17367" spans="1:2" x14ac:dyDescent="0.35">
      <c r="A17367" s="34">
        <v>81112106</v>
      </c>
      <c r="B17367" s="35" t="s">
        <v>9449</v>
      </c>
    </row>
    <row r="17368" spans="1:2" x14ac:dyDescent="0.35">
      <c r="A17368" s="34">
        <v>81112107</v>
      </c>
      <c r="B17368" s="35" t="s">
        <v>1099</v>
      </c>
    </row>
    <row r="17369" spans="1:2" x14ac:dyDescent="0.35">
      <c r="A17369" s="34">
        <v>81112201</v>
      </c>
      <c r="B17369" s="35" t="s">
        <v>16940</v>
      </c>
    </row>
    <row r="17370" spans="1:2" x14ac:dyDescent="0.35">
      <c r="A17370" s="34">
        <v>81112202</v>
      </c>
      <c r="B17370" s="35" t="s">
        <v>6017</v>
      </c>
    </row>
    <row r="17371" spans="1:2" x14ac:dyDescent="0.35">
      <c r="A17371" s="34">
        <v>81112301</v>
      </c>
      <c r="B17371" s="35" t="s">
        <v>14694</v>
      </c>
    </row>
    <row r="17372" spans="1:2" x14ac:dyDescent="0.35">
      <c r="A17372" s="34">
        <v>81112302</v>
      </c>
      <c r="B17372" s="35" t="s">
        <v>2700</v>
      </c>
    </row>
    <row r="17373" spans="1:2" x14ac:dyDescent="0.35">
      <c r="A17373" s="34">
        <v>81112303</v>
      </c>
      <c r="B17373" s="35" t="s">
        <v>16213</v>
      </c>
    </row>
    <row r="17374" spans="1:2" x14ac:dyDescent="0.35">
      <c r="A17374" s="34">
        <v>81112304</v>
      </c>
      <c r="B17374" s="35" t="s">
        <v>10887</v>
      </c>
    </row>
    <row r="17375" spans="1:2" x14ac:dyDescent="0.35">
      <c r="A17375" s="34">
        <v>81112305</v>
      </c>
      <c r="B17375" s="35" t="s">
        <v>4815</v>
      </c>
    </row>
    <row r="17376" spans="1:2" x14ac:dyDescent="0.35">
      <c r="A17376" s="34">
        <v>81112306</v>
      </c>
      <c r="B17376" s="35" t="s">
        <v>3349</v>
      </c>
    </row>
    <row r="17377" spans="1:2" x14ac:dyDescent="0.35">
      <c r="A17377" s="34">
        <v>81112501</v>
      </c>
      <c r="B17377" s="35" t="s">
        <v>12753</v>
      </c>
    </row>
    <row r="17378" spans="1:2" x14ac:dyDescent="0.35">
      <c r="A17378" s="34">
        <v>81121501</v>
      </c>
      <c r="B17378" s="35" t="s">
        <v>14639</v>
      </c>
    </row>
    <row r="17379" spans="1:2" x14ac:dyDescent="0.35">
      <c r="A17379" s="34">
        <v>81121502</v>
      </c>
      <c r="B17379" s="35" t="s">
        <v>4965</v>
      </c>
    </row>
    <row r="17380" spans="1:2" x14ac:dyDescent="0.35">
      <c r="A17380" s="34">
        <v>81121503</v>
      </c>
      <c r="B17380" s="35" t="s">
        <v>14006</v>
      </c>
    </row>
    <row r="17381" spans="1:2" x14ac:dyDescent="0.35">
      <c r="A17381" s="34">
        <v>81121504</v>
      </c>
      <c r="B17381" s="35" t="s">
        <v>1069</v>
      </c>
    </row>
    <row r="17382" spans="1:2" x14ac:dyDescent="0.35">
      <c r="A17382" s="34">
        <v>81121601</v>
      </c>
      <c r="B17382" s="35" t="s">
        <v>2438</v>
      </c>
    </row>
    <row r="17383" spans="1:2" x14ac:dyDescent="0.35">
      <c r="A17383" s="34">
        <v>81121602</v>
      </c>
      <c r="B17383" s="35" t="s">
        <v>15831</v>
      </c>
    </row>
    <row r="17384" spans="1:2" x14ac:dyDescent="0.35">
      <c r="A17384" s="34">
        <v>81121603</v>
      </c>
      <c r="B17384" s="35" t="s">
        <v>3073</v>
      </c>
    </row>
    <row r="17385" spans="1:2" x14ac:dyDescent="0.35">
      <c r="A17385" s="34">
        <v>81121604</v>
      </c>
      <c r="B17385" s="35" t="s">
        <v>4497</v>
      </c>
    </row>
    <row r="17386" spans="1:2" x14ac:dyDescent="0.35">
      <c r="A17386" s="34">
        <v>81121605</v>
      </c>
      <c r="B17386" s="35" t="s">
        <v>12504</v>
      </c>
    </row>
    <row r="17387" spans="1:2" x14ac:dyDescent="0.35">
      <c r="A17387" s="34">
        <v>81121606</v>
      </c>
      <c r="B17387" s="35" t="s">
        <v>9284</v>
      </c>
    </row>
    <row r="17388" spans="1:2" x14ac:dyDescent="0.35">
      <c r="A17388" s="34">
        <v>81121607</v>
      </c>
      <c r="B17388" s="35" t="s">
        <v>11611</v>
      </c>
    </row>
    <row r="17389" spans="1:2" x14ac:dyDescent="0.35">
      <c r="A17389" s="34">
        <v>81131501</v>
      </c>
      <c r="B17389" s="35" t="s">
        <v>18065</v>
      </c>
    </row>
    <row r="17390" spans="1:2" x14ac:dyDescent="0.35">
      <c r="A17390" s="34">
        <v>81131502</v>
      </c>
      <c r="B17390" s="35" t="s">
        <v>14784</v>
      </c>
    </row>
    <row r="17391" spans="1:2" x14ac:dyDescent="0.35">
      <c r="A17391" s="34">
        <v>81131503</v>
      </c>
      <c r="B17391" s="35" t="s">
        <v>9154</v>
      </c>
    </row>
    <row r="17392" spans="1:2" x14ac:dyDescent="0.35">
      <c r="A17392" s="34">
        <v>81131504</v>
      </c>
      <c r="B17392" s="35" t="s">
        <v>13011</v>
      </c>
    </row>
    <row r="17393" spans="1:2" x14ac:dyDescent="0.35">
      <c r="A17393" s="34">
        <v>81131505</v>
      </c>
      <c r="B17393" s="35" t="s">
        <v>264</v>
      </c>
    </row>
    <row r="17394" spans="1:2" x14ac:dyDescent="0.35">
      <c r="A17394" s="34">
        <v>81141501</v>
      </c>
      <c r="B17394" s="35" t="s">
        <v>13019</v>
      </c>
    </row>
    <row r="17395" spans="1:2" x14ac:dyDescent="0.35">
      <c r="A17395" s="34">
        <v>81141502</v>
      </c>
      <c r="B17395" s="35" t="s">
        <v>1466</v>
      </c>
    </row>
    <row r="17396" spans="1:2" x14ac:dyDescent="0.35">
      <c r="A17396" s="34">
        <v>81141503</v>
      </c>
      <c r="B17396" s="35" t="s">
        <v>17295</v>
      </c>
    </row>
    <row r="17397" spans="1:2" x14ac:dyDescent="0.35">
      <c r="A17397" s="34">
        <v>81141504</v>
      </c>
      <c r="B17397" s="35" t="s">
        <v>17117</v>
      </c>
    </row>
    <row r="17398" spans="1:2" x14ac:dyDescent="0.35">
      <c r="A17398" s="34">
        <v>81141505</v>
      </c>
      <c r="B17398" s="35" t="s">
        <v>6211</v>
      </c>
    </row>
    <row r="17399" spans="1:2" x14ac:dyDescent="0.35">
      <c r="A17399" s="34">
        <v>81141506</v>
      </c>
      <c r="B17399" s="35" t="s">
        <v>3401</v>
      </c>
    </row>
    <row r="17400" spans="1:2" x14ac:dyDescent="0.35">
      <c r="A17400" s="34">
        <v>81141601</v>
      </c>
      <c r="B17400" s="35" t="s">
        <v>9922</v>
      </c>
    </row>
    <row r="17401" spans="1:2" x14ac:dyDescent="0.35">
      <c r="A17401" s="34">
        <v>81141602</v>
      </c>
      <c r="B17401" s="35" t="s">
        <v>6962</v>
      </c>
    </row>
    <row r="17402" spans="1:2" x14ac:dyDescent="0.35">
      <c r="A17402" s="34">
        <v>81141603</v>
      </c>
      <c r="B17402" s="35" t="s">
        <v>17026</v>
      </c>
    </row>
    <row r="17403" spans="1:2" x14ac:dyDescent="0.35">
      <c r="A17403" s="34">
        <v>81141604</v>
      </c>
      <c r="B17403" s="35" t="s">
        <v>6534</v>
      </c>
    </row>
    <row r="17404" spans="1:2" x14ac:dyDescent="0.35">
      <c r="A17404" s="34">
        <v>81141605</v>
      </c>
      <c r="B17404" s="35" t="s">
        <v>17734</v>
      </c>
    </row>
    <row r="17405" spans="1:2" x14ac:dyDescent="0.35">
      <c r="A17405" s="34">
        <v>81141606</v>
      </c>
      <c r="B17405" s="35" t="s">
        <v>16091</v>
      </c>
    </row>
    <row r="17406" spans="1:2" x14ac:dyDescent="0.35">
      <c r="A17406" s="34">
        <v>81141701</v>
      </c>
      <c r="B17406" s="35" t="s">
        <v>7078</v>
      </c>
    </row>
    <row r="17407" spans="1:2" x14ac:dyDescent="0.35">
      <c r="A17407" s="34">
        <v>81141702</v>
      </c>
      <c r="B17407" s="35" t="s">
        <v>5949</v>
      </c>
    </row>
    <row r="17408" spans="1:2" x14ac:dyDescent="0.35">
      <c r="A17408" s="34">
        <v>81141703</v>
      </c>
      <c r="B17408" s="35" t="s">
        <v>6609</v>
      </c>
    </row>
    <row r="17409" spans="1:2" x14ac:dyDescent="0.35">
      <c r="A17409" s="34">
        <v>81141704</v>
      </c>
      <c r="B17409" s="35" t="s">
        <v>11034</v>
      </c>
    </row>
    <row r="17410" spans="1:2" x14ac:dyDescent="0.35">
      <c r="A17410" s="34">
        <v>81141801</v>
      </c>
      <c r="B17410" s="35" t="s">
        <v>3805</v>
      </c>
    </row>
    <row r="17411" spans="1:2" x14ac:dyDescent="0.35">
      <c r="A17411" s="34">
        <v>81141802</v>
      </c>
      <c r="B17411" s="35" t="s">
        <v>18455</v>
      </c>
    </row>
    <row r="17412" spans="1:2" x14ac:dyDescent="0.35">
      <c r="A17412" s="34">
        <v>81141803</v>
      </c>
      <c r="B17412" s="35" t="s">
        <v>15117</v>
      </c>
    </row>
    <row r="17413" spans="1:2" x14ac:dyDescent="0.35">
      <c r="A17413" s="34">
        <v>81141804</v>
      </c>
      <c r="B17413" s="35" t="s">
        <v>3358</v>
      </c>
    </row>
    <row r="17414" spans="1:2" x14ac:dyDescent="0.35">
      <c r="A17414" s="34">
        <v>81141805</v>
      </c>
      <c r="B17414" s="35" t="s">
        <v>689</v>
      </c>
    </row>
    <row r="17415" spans="1:2" x14ac:dyDescent="0.35">
      <c r="A17415" s="34">
        <v>81141806</v>
      </c>
      <c r="B17415" s="35" t="s">
        <v>3099</v>
      </c>
    </row>
    <row r="17416" spans="1:2" x14ac:dyDescent="0.35">
      <c r="A17416" s="34">
        <v>81141807</v>
      </c>
      <c r="B17416" s="35" t="s">
        <v>5643</v>
      </c>
    </row>
    <row r="17417" spans="1:2" x14ac:dyDescent="0.35">
      <c r="A17417" s="34">
        <v>81151501</v>
      </c>
      <c r="B17417" s="35" t="s">
        <v>16399</v>
      </c>
    </row>
    <row r="17418" spans="1:2" x14ac:dyDescent="0.35">
      <c r="A17418" s="34">
        <v>81151502</v>
      </c>
      <c r="B17418" s="35" t="s">
        <v>2453</v>
      </c>
    </row>
    <row r="17419" spans="1:2" x14ac:dyDescent="0.35">
      <c r="A17419" s="34">
        <v>81151503</v>
      </c>
      <c r="B17419" s="35" t="s">
        <v>12850</v>
      </c>
    </row>
    <row r="17420" spans="1:2" x14ac:dyDescent="0.35">
      <c r="A17420" s="34">
        <v>81151601</v>
      </c>
      <c r="B17420" s="35" t="s">
        <v>15897</v>
      </c>
    </row>
    <row r="17421" spans="1:2" x14ac:dyDescent="0.35">
      <c r="A17421" s="34">
        <v>81151602</v>
      </c>
      <c r="B17421" s="35" t="s">
        <v>4970</v>
      </c>
    </row>
    <row r="17422" spans="1:2" x14ac:dyDescent="0.35">
      <c r="A17422" s="34">
        <v>81151603</v>
      </c>
      <c r="B17422" s="35" t="s">
        <v>10361</v>
      </c>
    </row>
    <row r="17423" spans="1:2" x14ac:dyDescent="0.35">
      <c r="A17423" s="34">
        <v>81151604</v>
      </c>
      <c r="B17423" s="35" t="s">
        <v>4017</v>
      </c>
    </row>
    <row r="17424" spans="1:2" x14ac:dyDescent="0.35">
      <c r="A17424" s="34">
        <v>81151701</v>
      </c>
      <c r="B17424" s="35" t="s">
        <v>13460</v>
      </c>
    </row>
    <row r="17425" spans="1:2" x14ac:dyDescent="0.35">
      <c r="A17425" s="34">
        <v>81151702</v>
      </c>
      <c r="B17425" s="35" t="s">
        <v>1770</v>
      </c>
    </row>
    <row r="17426" spans="1:2" x14ac:dyDescent="0.35">
      <c r="A17426" s="34">
        <v>81151703</v>
      </c>
      <c r="B17426" s="35" t="s">
        <v>6989</v>
      </c>
    </row>
    <row r="17427" spans="1:2" x14ac:dyDescent="0.35">
      <c r="A17427" s="34">
        <v>81151704</v>
      </c>
      <c r="B17427" s="35" t="s">
        <v>14647</v>
      </c>
    </row>
    <row r="17428" spans="1:2" x14ac:dyDescent="0.35">
      <c r="A17428" s="34">
        <v>81151705</v>
      </c>
      <c r="B17428" s="35" t="s">
        <v>2306</v>
      </c>
    </row>
    <row r="17429" spans="1:2" x14ac:dyDescent="0.35">
      <c r="A17429" s="34">
        <v>81151801</v>
      </c>
      <c r="B17429" s="35" t="s">
        <v>1682</v>
      </c>
    </row>
    <row r="17430" spans="1:2" x14ac:dyDescent="0.35">
      <c r="A17430" s="34">
        <v>81151802</v>
      </c>
      <c r="B17430" s="35" t="s">
        <v>17876</v>
      </c>
    </row>
    <row r="17431" spans="1:2" x14ac:dyDescent="0.35">
      <c r="A17431" s="34">
        <v>81151803</v>
      </c>
      <c r="B17431" s="35" t="s">
        <v>2448</v>
      </c>
    </row>
    <row r="17432" spans="1:2" x14ac:dyDescent="0.35">
      <c r="A17432" s="34">
        <v>81151804</v>
      </c>
      <c r="B17432" s="35" t="s">
        <v>8343</v>
      </c>
    </row>
    <row r="17433" spans="1:2" x14ac:dyDescent="0.35">
      <c r="A17433" s="34">
        <v>81151805</v>
      </c>
      <c r="B17433" s="35" t="s">
        <v>5730</v>
      </c>
    </row>
    <row r="17434" spans="1:2" x14ac:dyDescent="0.35">
      <c r="A17434" s="34">
        <v>81151806</v>
      </c>
      <c r="B17434" s="35" t="s">
        <v>1031</v>
      </c>
    </row>
    <row r="17435" spans="1:2" x14ac:dyDescent="0.35">
      <c r="A17435" s="34">
        <v>81151901</v>
      </c>
      <c r="B17435" s="35" t="s">
        <v>6838</v>
      </c>
    </row>
    <row r="17436" spans="1:2" x14ac:dyDescent="0.35">
      <c r="A17436" s="34">
        <v>81151902</v>
      </c>
      <c r="B17436" s="35" t="s">
        <v>12099</v>
      </c>
    </row>
    <row r="17437" spans="1:2" x14ac:dyDescent="0.35">
      <c r="A17437" s="34">
        <v>81151903</v>
      </c>
      <c r="B17437" s="35" t="s">
        <v>7932</v>
      </c>
    </row>
    <row r="17438" spans="1:2" x14ac:dyDescent="0.35">
      <c r="A17438" s="34">
        <v>81151904</v>
      </c>
      <c r="B17438" s="35" t="s">
        <v>987</v>
      </c>
    </row>
    <row r="17439" spans="1:2" x14ac:dyDescent="0.35">
      <c r="A17439" s="34">
        <v>82101501</v>
      </c>
      <c r="B17439" s="35" t="s">
        <v>6359</v>
      </c>
    </row>
    <row r="17440" spans="1:2" x14ac:dyDescent="0.35">
      <c r="A17440" s="34">
        <v>82101502</v>
      </c>
      <c r="B17440" s="35" t="s">
        <v>7566</v>
      </c>
    </row>
    <row r="17441" spans="1:2" x14ac:dyDescent="0.35">
      <c r="A17441" s="34">
        <v>82101503</v>
      </c>
      <c r="B17441" s="35" t="s">
        <v>5757</v>
      </c>
    </row>
    <row r="17442" spans="1:2" x14ac:dyDescent="0.35">
      <c r="A17442" s="34">
        <v>82101504</v>
      </c>
      <c r="B17442" s="35" t="s">
        <v>2947</v>
      </c>
    </row>
    <row r="17443" spans="1:2" x14ac:dyDescent="0.35">
      <c r="A17443" s="34">
        <v>82101505</v>
      </c>
      <c r="B17443" s="35" t="s">
        <v>4175</v>
      </c>
    </row>
    <row r="17444" spans="1:2" x14ac:dyDescent="0.35">
      <c r="A17444" s="34">
        <v>82101506</v>
      </c>
      <c r="B17444" s="35" t="s">
        <v>13190</v>
      </c>
    </row>
    <row r="17445" spans="1:2" x14ac:dyDescent="0.35">
      <c r="A17445" s="34">
        <v>82101507</v>
      </c>
      <c r="B17445" s="35" t="s">
        <v>16484</v>
      </c>
    </row>
    <row r="17446" spans="1:2" x14ac:dyDescent="0.35">
      <c r="A17446" s="34">
        <v>82101508</v>
      </c>
      <c r="B17446" s="35" t="s">
        <v>7630</v>
      </c>
    </row>
    <row r="17447" spans="1:2" x14ac:dyDescent="0.35">
      <c r="A17447" s="34">
        <v>82101601</v>
      </c>
      <c r="B17447" s="35" t="s">
        <v>13456</v>
      </c>
    </row>
    <row r="17448" spans="1:2" x14ac:dyDescent="0.35">
      <c r="A17448" s="34">
        <v>82101602</v>
      </c>
      <c r="B17448" s="35" t="s">
        <v>15081</v>
      </c>
    </row>
    <row r="17449" spans="1:2" x14ac:dyDescent="0.35">
      <c r="A17449" s="34">
        <v>82101603</v>
      </c>
      <c r="B17449" s="35" t="s">
        <v>7257</v>
      </c>
    </row>
    <row r="17450" spans="1:2" x14ac:dyDescent="0.35">
      <c r="A17450" s="34">
        <v>82101604</v>
      </c>
      <c r="B17450" s="35" t="s">
        <v>2009</v>
      </c>
    </row>
    <row r="17451" spans="1:2" x14ac:dyDescent="0.35">
      <c r="A17451" s="34">
        <v>82101701</v>
      </c>
      <c r="B17451" s="35" t="s">
        <v>7431</v>
      </c>
    </row>
    <row r="17452" spans="1:2" x14ac:dyDescent="0.35">
      <c r="A17452" s="34">
        <v>82101702</v>
      </c>
      <c r="B17452" s="35" t="s">
        <v>11252</v>
      </c>
    </row>
    <row r="17453" spans="1:2" x14ac:dyDescent="0.35">
      <c r="A17453" s="34">
        <v>82101801</v>
      </c>
      <c r="B17453" s="35" t="s">
        <v>7107</v>
      </c>
    </row>
    <row r="17454" spans="1:2" x14ac:dyDescent="0.35">
      <c r="A17454" s="34">
        <v>82101901</v>
      </c>
      <c r="B17454" s="35" t="s">
        <v>16993</v>
      </c>
    </row>
    <row r="17455" spans="1:2" x14ac:dyDescent="0.35">
      <c r="A17455" s="34">
        <v>82101902</v>
      </c>
      <c r="B17455" s="35" t="s">
        <v>13672</v>
      </c>
    </row>
    <row r="17456" spans="1:2" x14ac:dyDescent="0.35">
      <c r="A17456" s="34">
        <v>82101903</v>
      </c>
      <c r="B17456" s="35" t="s">
        <v>11435</v>
      </c>
    </row>
    <row r="17457" spans="1:2" x14ac:dyDescent="0.35">
      <c r="A17457" s="34">
        <v>82101904</v>
      </c>
      <c r="B17457" s="35" t="s">
        <v>4666</v>
      </c>
    </row>
    <row r="17458" spans="1:2" x14ac:dyDescent="0.35">
      <c r="A17458" s="34">
        <v>82101905</v>
      </c>
      <c r="B17458" s="35" t="s">
        <v>14475</v>
      </c>
    </row>
    <row r="17459" spans="1:2" x14ac:dyDescent="0.35">
      <c r="A17459" s="34">
        <v>82111501</v>
      </c>
      <c r="B17459" s="35" t="s">
        <v>1318</v>
      </c>
    </row>
    <row r="17460" spans="1:2" x14ac:dyDescent="0.35">
      <c r="A17460" s="34">
        <v>82111502</v>
      </c>
      <c r="B17460" s="35" t="s">
        <v>16692</v>
      </c>
    </row>
    <row r="17461" spans="1:2" x14ac:dyDescent="0.35">
      <c r="A17461" s="34">
        <v>82111503</v>
      </c>
      <c r="B17461" s="35" t="s">
        <v>1801</v>
      </c>
    </row>
    <row r="17462" spans="1:2" x14ac:dyDescent="0.35">
      <c r="A17462" s="34">
        <v>82111601</v>
      </c>
      <c r="B17462" s="35" t="s">
        <v>11043</v>
      </c>
    </row>
    <row r="17463" spans="1:2" x14ac:dyDescent="0.35">
      <c r="A17463" s="34">
        <v>82111602</v>
      </c>
      <c r="B17463" s="35" t="s">
        <v>4264</v>
      </c>
    </row>
    <row r="17464" spans="1:2" x14ac:dyDescent="0.35">
      <c r="A17464" s="34">
        <v>82111603</v>
      </c>
      <c r="B17464" s="35" t="s">
        <v>10416</v>
      </c>
    </row>
    <row r="17465" spans="1:2" x14ac:dyDescent="0.35">
      <c r="A17465" s="34">
        <v>82111604</v>
      </c>
      <c r="B17465" s="35" t="s">
        <v>14145</v>
      </c>
    </row>
    <row r="17466" spans="1:2" x14ac:dyDescent="0.35">
      <c r="A17466" s="34">
        <v>82111701</v>
      </c>
      <c r="B17466" s="35" t="s">
        <v>10915</v>
      </c>
    </row>
    <row r="17467" spans="1:2" x14ac:dyDescent="0.35">
      <c r="A17467" s="34">
        <v>82111702</v>
      </c>
      <c r="B17467" s="35" t="s">
        <v>7348</v>
      </c>
    </row>
    <row r="17468" spans="1:2" x14ac:dyDescent="0.35">
      <c r="A17468" s="34">
        <v>82111703</v>
      </c>
      <c r="B17468" s="35" t="s">
        <v>18841</v>
      </c>
    </row>
    <row r="17469" spans="1:2" x14ac:dyDescent="0.35">
      <c r="A17469" s="34">
        <v>82111704</v>
      </c>
      <c r="B17469" s="35" t="s">
        <v>8050</v>
      </c>
    </row>
    <row r="17470" spans="1:2" x14ac:dyDescent="0.35">
      <c r="A17470" s="34">
        <v>82111705</v>
      </c>
      <c r="B17470" s="35" t="s">
        <v>17733</v>
      </c>
    </row>
    <row r="17471" spans="1:2" x14ac:dyDescent="0.35">
      <c r="A17471" s="34">
        <v>82111801</v>
      </c>
      <c r="B17471" s="35" t="s">
        <v>13872</v>
      </c>
    </row>
    <row r="17472" spans="1:2" x14ac:dyDescent="0.35">
      <c r="A17472" s="34">
        <v>82111802</v>
      </c>
      <c r="B17472" s="35" t="s">
        <v>19514</v>
      </c>
    </row>
    <row r="17473" spans="1:2" x14ac:dyDescent="0.35">
      <c r="A17473" s="34">
        <v>82111803</v>
      </c>
      <c r="B17473" s="35" t="s">
        <v>16659</v>
      </c>
    </row>
    <row r="17474" spans="1:2" x14ac:dyDescent="0.35">
      <c r="A17474" s="34">
        <v>82111804</v>
      </c>
      <c r="B17474" s="35" t="s">
        <v>16735</v>
      </c>
    </row>
    <row r="17475" spans="1:2" x14ac:dyDescent="0.35">
      <c r="A17475" s="34">
        <v>82111901</v>
      </c>
      <c r="B17475" s="35" t="s">
        <v>12549</v>
      </c>
    </row>
    <row r="17476" spans="1:2" x14ac:dyDescent="0.35">
      <c r="A17476" s="34">
        <v>82111902</v>
      </c>
      <c r="B17476" s="35" t="s">
        <v>18420</v>
      </c>
    </row>
    <row r="17477" spans="1:2" x14ac:dyDescent="0.35">
      <c r="A17477" s="34">
        <v>82111903</v>
      </c>
      <c r="B17477" s="35" t="s">
        <v>8053</v>
      </c>
    </row>
    <row r="17478" spans="1:2" x14ac:dyDescent="0.35">
      <c r="A17478" s="34">
        <v>82111904</v>
      </c>
      <c r="B17478" s="35" t="s">
        <v>16490</v>
      </c>
    </row>
    <row r="17479" spans="1:2" x14ac:dyDescent="0.35">
      <c r="A17479" s="34">
        <v>82121501</v>
      </c>
      <c r="B17479" s="35" t="s">
        <v>4967</v>
      </c>
    </row>
    <row r="17480" spans="1:2" x14ac:dyDescent="0.35">
      <c r="A17480" s="34">
        <v>82121502</v>
      </c>
      <c r="B17480" s="35" t="s">
        <v>10623</v>
      </c>
    </row>
    <row r="17481" spans="1:2" x14ac:dyDescent="0.35">
      <c r="A17481" s="34">
        <v>82121503</v>
      </c>
      <c r="B17481" s="35" t="s">
        <v>13102</v>
      </c>
    </row>
    <row r="17482" spans="1:2" x14ac:dyDescent="0.35">
      <c r="A17482" s="34">
        <v>82121504</v>
      </c>
      <c r="B17482" s="35" t="s">
        <v>8104</v>
      </c>
    </row>
    <row r="17483" spans="1:2" x14ac:dyDescent="0.35">
      <c r="A17483" s="34">
        <v>82121505</v>
      </c>
      <c r="B17483" s="35" t="s">
        <v>1655</v>
      </c>
    </row>
    <row r="17484" spans="1:2" x14ac:dyDescent="0.35">
      <c r="A17484" s="34">
        <v>82121506</v>
      </c>
      <c r="B17484" s="35" t="s">
        <v>16926</v>
      </c>
    </row>
    <row r="17485" spans="1:2" x14ac:dyDescent="0.35">
      <c r="A17485" s="34">
        <v>82121507</v>
      </c>
      <c r="B17485" s="35" t="s">
        <v>12930</v>
      </c>
    </row>
    <row r="17486" spans="1:2" x14ac:dyDescent="0.35">
      <c r="A17486" s="34">
        <v>82121508</v>
      </c>
      <c r="B17486" s="35" t="s">
        <v>16586</v>
      </c>
    </row>
    <row r="17487" spans="1:2" x14ac:dyDescent="0.35">
      <c r="A17487" s="34">
        <v>82121509</v>
      </c>
      <c r="B17487" s="35" t="s">
        <v>163</v>
      </c>
    </row>
    <row r="17488" spans="1:2" x14ac:dyDescent="0.35">
      <c r="A17488" s="34">
        <v>82121510</v>
      </c>
      <c r="B17488" s="35" t="s">
        <v>2900</v>
      </c>
    </row>
    <row r="17489" spans="1:2" x14ac:dyDescent="0.35">
      <c r="A17489" s="34">
        <v>82121511</v>
      </c>
      <c r="B17489" s="35" t="s">
        <v>18503</v>
      </c>
    </row>
    <row r="17490" spans="1:2" x14ac:dyDescent="0.35">
      <c r="A17490" s="34">
        <v>82121512</v>
      </c>
      <c r="B17490" s="35" t="s">
        <v>15604</v>
      </c>
    </row>
    <row r="17491" spans="1:2" x14ac:dyDescent="0.35">
      <c r="A17491" s="34">
        <v>82121601</v>
      </c>
      <c r="B17491" s="35" t="s">
        <v>7909</v>
      </c>
    </row>
    <row r="17492" spans="1:2" x14ac:dyDescent="0.35">
      <c r="A17492" s="34">
        <v>82121602</v>
      </c>
      <c r="B17492" s="35" t="s">
        <v>15893</v>
      </c>
    </row>
    <row r="17493" spans="1:2" x14ac:dyDescent="0.35">
      <c r="A17493" s="34">
        <v>82121603</v>
      </c>
      <c r="B17493" s="35" t="s">
        <v>12429</v>
      </c>
    </row>
    <row r="17494" spans="1:2" x14ac:dyDescent="0.35">
      <c r="A17494" s="34">
        <v>82121701</v>
      </c>
      <c r="B17494" s="35" t="s">
        <v>6076</v>
      </c>
    </row>
    <row r="17495" spans="1:2" x14ac:dyDescent="0.35">
      <c r="A17495" s="34">
        <v>82121702</v>
      </c>
      <c r="B17495" s="35" t="s">
        <v>12816</v>
      </c>
    </row>
    <row r="17496" spans="1:2" x14ac:dyDescent="0.35">
      <c r="A17496" s="34">
        <v>82121801</v>
      </c>
      <c r="B17496" s="35" t="s">
        <v>13680</v>
      </c>
    </row>
    <row r="17497" spans="1:2" x14ac:dyDescent="0.35">
      <c r="A17497" s="34">
        <v>82121802</v>
      </c>
      <c r="B17497" s="35" t="s">
        <v>11652</v>
      </c>
    </row>
    <row r="17498" spans="1:2" x14ac:dyDescent="0.35">
      <c r="A17498" s="34">
        <v>82121901</v>
      </c>
      <c r="B17498" s="35" t="s">
        <v>16472</v>
      </c>
    </row>
    <row r="17499" spans="1:2" x14ac:dyDescent="0.35">
      <c r="A17499" s="34">
        <v>82121902</v>
      </c>
      <c r="B17499" s="35" t="s">
        <v>5022</v>
      </c>
    </row>
    <row r="17500" spans="1:2" x14ac:dyDescent="0.35">
      <c r="A17500" s="34">
        <v>82121903</v>
      </c>
      <c r="B17500" s="35" t="s">
        <v>1400</v>
      </c>
    </row>
    <row r="17501" spans="1:2" x14ac:dyDescent="0.35">
      <c r="A17501" s="34">
        <v>82121904</v>
      </c>
      <c r="B17501" s="35" t="s">
        <v>15427</v>
      </c>
    </row>
    <row r="17502" spans="1:2" x14ac:dyDescent="0.35">
      <c r="A17502" s="34">
        <v>82121905</v>
      </c>
      <c r="B17502" s="35" t="s">
        <v>7284</v>
      </c>
    </row>
    <row r="17503" spans="1:2" x14ac:dyDescent="0.35">
      <c r="A17503" s="34">
        <v>82121906</v>
      </c>
      <c r="B17503" s="35" t="s">
        <v>6748</v>
      </c>
    </row>
    <row r="17504" spans="1:2" x14ac:dyDescent="0.35">
      <c r="A17504" s="34">
        <v>82121907</v>
      </c>
      <c r="B17504" s="35" t="s">
        <v>14227</v>
      </c>
    </row>
    <row r="17505" spans="1:2" x14ac:dyDescent="0.35">
      <c r="A17505" s="34">
        <v>82121908</v>
      </c>
      <c r="B17505" s="35" t="s">
        <v>6335</v>
      </c>
    </row>
    <row r="17506" spans="1:2" x14ac:dyDescent="0.35">
      <c r="A17506" s="34">
        <v>82131501</v>
      </c>
      <c r="B17506" s="35" t="s">
        <v>18771</v>
      </c>
    </row>
    <row r="17507" spans="1:2" x14ac:dyDescent="0.35">
      <c r="A17507" s="34">
        <v>82131502</v>
      </c>
      <c r="B17507" s="35" t="s">
        <v>8191</v>
      </c>
    </row>
    <row r="17508" spans="1:2" x14ac:dyDescent="0.35">
      <c r="A17508" s="34">
        <v>82131503</v>
      </c>
      <c r="B17508" s="35" t="s">
        <v>1804</v>
      </c>
    </row>
    <row r="17509" spans="1:2" x14ac:dyDescent="0.35">
      <c r="A17509" s="34">
        <v>82131504</v>
      </c>
      <c r="B17509" s="35" t="s">
        <v>1363</v>
      </c>
    </row>
    <row r="17510" spans="1:2" x14ac:dyDescent="0.35">
      <c r="A17510" s="34">
        <v>82131601</v>
      </c>
      <c r="B17510" s="35" t="s">
        <v>16610</v>
      </c>
    </row>
    <row r="17511" spans="1:2" x14ac:dyDescent="0.35">
      <c r="A17511" s="34">
        <v>82131602</v>
      </c>
      <c r="B17511" s="35" t="s">
        <v>6293</v>
      </c>
    </row>
    <row r="17512" spans="1:2" x14ac:dyDescent="0.35">
      <c r="A17512" s="34">
        <v>82131603</v>
      </c>
      <c r="B17512" s="35" t="s">
        <v>14424</v>
      </c>
    </row>
    <row r="17513" spans="1:2" x14ac:dyDescent="0.35">
      <c r="A17513" s="34">
        <v>82131604</v>
      </c>
      <c r="B17513" s="35" t="s">
        <v>2765</v>
      </c>
    </row>
    <row r="17514" spans="1:2" x14ac:dyDescent="0.35">
      <c r="A17514" s="34">
        <v>82131605</v>
      </c>
      <c r="B17514" s="35" t="s">
        <v>4870</v>
      </c>
    </row>
    <row r="17515" spans="1:2" x14ac:dyDescent="0.35">
      <c r="A17515" s="34">
        <v>82141501</v>
      </c>
      <c r="B17515" s="35" t="s">
        <v>15404</v>
      </c>
    </row>
    <row r="17516" spans="1:2" x14ac:dyDescent="0.35">
      <c r="A17516" s="34">
        <v>82141502</v>
      </c>
      <c r="B17516" s="35" t="s">
        <v>18317</v>
      </c>
    </row>
    <row r="17517" spans="1:2" x14ac:dyDescent="0.35">
      <c r="A17517" s="34">
        <v>82141503</v>
      </c>
      <c r="B17517" s="35" t="s">
        <v>3295</v>
      </c>
    </row>
    <row r="17518" spans="1:2" x14ac:dyDescent="0.35">
      <c r="A17518" s="34">
        <v>82141504</v>
      </c>
      <c r="B17518" s="35" t="s">
        <v>15329</v>
      </c>
    </row>
    <row r="17519" spans="1:2" x14ac:dyDescent="0.35">
      <c r="A17519" s="34">
        <v>82141505</v>
      </c>
      <c r="B17519" s="35" t="s">
        <v>1727</v>
      </c>
    </row>
    <row r="17520" spans="1:2" x14ac:dyDescent="0.35">
      <c r="A17520" s="34">
        <v>82141506</v>
      </c>
      <c r="B17520" s="35" t="s">
        <v>1973</v>
      </c>
    </row>
    <row r="17521" spans="1:2" x14ac:dyDescent="0.35">
      <c r="A17521" s="34">
        <v>82141507</v>
      </c>
      <c r="B17521" s="35" t="s">
        <v>4430</v>
      </c>
    </row>
    <row r="17522" spans="1:2" x14ac:dyDescent="0.35">
      <c r="A17522" s="34">
        <v>82141601</v>
      </c>
      <c r="B17522" s="35" t="s">
        <v>10899</v>
      </c>
    </row>
    <row r="17523" spans="1:2" x14ac:dyDescent="0.35">
      <c r="A17523" s="34">
        <v>82141602</v>
      </c>
      <c r="B17523" s="35" t="s">
        <v>6214</v>
      </c>
    </row>
    <row r="17524" spans="1:2" x14ac:dyDescent="0.35">
      <c r="A17524" s="34">
        <v>82151501</v>
      </c>
      <c r="B17524" s="35" t="s">
        <v>1054</v>
      </c>
    </row>
    <row r="17525" spans="1:2" x14ac:dyDescent="0.35">
      <c r="A17525" s="34">
        <v>82151502</v>
      </c>
      <c r="B17525" s="35" t="s">
        <v>9432</v>
      </c>
    </row>
    <row r="17526" spans="1:2" x14ac:dyDescent="0.35">
      <c r="A17526" s="34">
        <v>82151503</v>
      </c>
      <c r="B17526" s="35" t="s">
        <v>2559</v>
      </c>
    </row>
    <row r="17527" spans="1:2" x14ac:dyDescent="0.35">
      <c r="A17527" s="34">
        <v>82151504</v>
      </c>
      <c r="B17527" s="35" t="s">
        <v>9676</v>
      </c>
    </row>
    <row r="17528" spans="1:2" x14ac:dyDescent="0.35">
      <c r="A17528" s="34">
        <v>82151505</v>
      </c>
      <c r="B17528" s="35" t="s">
        <v>15105</v>
      </c>
    </row>
    <row r="17529" spans="1:2" x14ac:dyDescent="0.35">
      <c r="A17529" s="34">
        <v>82151506</v>
      </c>
      <c r="B17529" s="35" t="s">
        <v>2548</v>
      </c>
    </row>
    <row r="17530" spans="1:2" x14ac:dyDescent="0.35">
      <c r="A17530" s="34">
        <v>82151507</v>
      </c>
      <c r="B17530" s="35" t="s">
        <v>19310</v>
      </c>
    </row>
    <row r="17531" spans="1:2" x14ac:dyDescent="0.35">
      <c r="A17531" s="34">
        <v>82151508</v>
      </c>
      <c r="B17531" s="35" t="s">
        <v>4855</v>
      </c>
    </row>
    <row r="17532" spans="1:2" x14ac:dyDescent="0.35">
      <c r="A17532" s="34">
        <v>82151601</v>
      </c>
      <c r="B17532" s="35" t="s">
        <v>12056</v>
      </c>
    </row>
    <row r="17533" spans="1:2" x14ac:dyDescent="0.35">
      <c r="A17533" s="34">
        <v>82151602</v>
      </c>
      <c r="B17533" s="35" t="s">
        <v>15973</v>
      </c>
    </row>
    <row r="17534" spans="1:2" x14ac:dyDescent="0.35">
      <c r="A17534" s="34">
        <v>82151603</v>
      </c>
      <c r="B17534" s="35" t="s">
        <v>13561</v>
      </c>
    </row>
    <row r="17535" spans="1:2" x14ac:dyDescent="0.35">
      <c r="A17535" s="34">
        <v>82151604</v>
      </c>
      <c r="B17535" s="35" t="s">
        <v>12163</v>
      </c>
    </row>
    <row r="17536" spans="1:2" x14ac:dyDescent="0.35">
      <c r="A17536" s="34">
        <v>82151701</v>
      </c>
      <c r="B17536" s="35" t="s">
        <v>19266</v>
      </c>
    </row>
    <row r="17537" spans="1:2" x14ac:dyDescent="0.35">
      <c r="A17537" s="34">
        <v>82151702</v>
      </c>
      <c r="B17537" s="35" t="s">
        <v>11824</v>
      </c>
    </row>
    <row r="17538" spans="1:2" x14ac:dyDescent="0.35">
      <c r="A17538" s="34">
        <v>82151703</v>
      </c>
      <c r="B17538" s="35" t="s">
        <v>16742</v>
      </c>
    </row>
    <row r="17539" spans="1:2" x14ac:dyDescent="0.35">
      <c r="A17539" s="34">
        <v>82151704</v>
      </c>
      <c r="B17539" s="35" t="s">
        <v>9303</v>
      </c>
    </row>
    <row r="17540" spans="1:2" x14ac:dyDescent="0.35">
      <c r="A17540" s="34">
        <v>82151705</v>
      </c>
      <c r="B17540" s="35" t="s">
        <v>9519</v>
      </c>
    </row>
    <row r="17541" spans="1:2" x14ac:dyDescent="0.35">
      <c r="A17541" s="34">
        <v>82151706</v>
      </c>
      <c r="B17541" s="35" t="s">
        <v>16204</v>
      </c>
    </row>
    <row r="17542" spans="1:2" x14ac:dyDescent="0.35">
      <c r="A17542" s="34">
        <v>83101501</v>
      </c>
      <c r="B17542" s="35" t="s">
        <v>15738</v>
      </c>
    </row>
    <row r="17543" spans="1:2" x14ac:dyDescent="0.35">
      <c r="A17543" s="34">
        <v>83101502</v>
      </c>
      <c r="B17543" s="35" t="s">
        <v>18780</v>
      </c>
    </row>
    <row r="17544" spans="1:2" x14ac:dyDescent="0.35">
      <c r="A17544" s="34">
        <v>83101503</v>
      </c>
      <c r="B17544" s="35" t="s">
        <v>14542</v>
      </c>
    </row>
    <row r="17545" spans="1:2" x14ac:dyDescent="0.35">
      <c r="A17545" s="34">
        <v>83101504</v>
      </c>
      <c r="B17545" s="35" t="s">
        <v>17909</v>
      </c>
    </row>
    <row r="17546" spans="1:2" x14ac:dyDescent="0.35">
      <c r="A17546" s="34">
        <v>83101505</v>
      </c>
      <c r="B17546" s="35" t="s">
        <v>1388</v>
      </c>
    </row>
    <row r="17547" spans="1:2" x14ac:dyDescent="0.35">
      <c r="A17547" s="34">
        <v>83101506</v>
      </c>
      <c r="B17547" s="35" t="s">
        <v>7583</v>
      </c>
    </row>
    <row r="17548" spans="1:2" x14ac:dyDescent="0.35">
      <c r="A17548" s="34">
        <v>83101507</v>
      </c>
      <c r="B17548" s="35" t="s">
        <v>11134</v>
      </c>
    </row>
    <row r="17549" spans="1:2" x14ac:dyDescent="0.35">
      <c r="A17549" s="34">
        <v>83101508</v>
      </c>
      <c r="B17549" s="35" t="s">
        <v>15074</v>
      </c>
    </row>
    <row r="17550" spans="1:2" x14ac:dyDescent="0.35">
      <c r="A17550" s="34">
        <v>83101509</v>
      </c>
      <c r="B17550" s="35" t="s">
        <v>161</v>
      </c>
    </row>
    <row r="17551" spans="1:2" x14ac:dyDescent="0.35">
      <c r="A17551" s="34">
        <v>83101510</v>
      </c>
      <c r="B17551" s="35" t="s">
        <v>16783</v>
      </c>
    </row>
    <row r="17552" spans="1:2" x14ac:dyDescent="0.35">
      <c r="A17552" s="34">
        <v>83101601</v>
      </c>
      <c r="B17552" s="35" t="s">
        <v>11880</v>
      </c>
    </row>
    <row r="17553" spans="1:2" x14ac:dyDescent="0.35">
      <c r="A17553" s="34">
        <v>83101602</v>
      </c>
      <c r="B17553" s="35" t="s">
        <v>9221</v>
      </c>
    </row>
    <row r="17554" spans="1:2" x14ac:dyDescent="0.35">
      <c r="A17554" s="34">
        <v>83101603</v>
      </c>
      <c r="B17554" s="35" t="s">
        <v>2563</v>
      </c>
    </row>
    <row r="17555" spans="1:2" x14ac:dyDescent="0.35">
      <c r="A17555" s="34">
        <v>83101604</v>
      </c>
      <c r="B17555" s="35" t="s">
        <v>4431</v>
      </c>
    </row>
    <row r="17556" spans="1:2" x14ac:dyDescent="0.35">
      <c r="A17556" s="34">
        <v>83101605</v>
      </c>
      <c r="B17556" s="35" t="s">
        <v>6518</v>
      </c>
    </row>
    <row r="17557" spans="1:2" x14ac:dyDescent="0.35">
      <c r="A17557" s="34">
        <v>83101801</v>
      </c>
      <c r="B17557" s="35" t="s">
        <v>13645</v>
      </c>
    </row>
    <row r="17558" spans="1:2" x14ac:dyDescent="0.35">
      <c r="A17558" s="34">
        <v>83101802</v>
      </c>
      <c r="B17558" s="35" t="s">
        <v>11753</v>
      </c>
    </row>
    <row r="17559" spans="1:2" x14ac:dyDescent="0.35">
      <c r="A17559" s="34">
        <v>83101803</v>
      </c>
      <c r="B17559" s="35" t="s">
        <v>11490</v>
      </c>
    </row>
    <row r="17560" spans="1:2" x14ac:dyDescent="0.35">
      <c r="A17560" s="34">
        <v>83101804</v>
      </c>
      <c r="B17560" s="35" t="s">
        <v>14618</v>
      </c>
    </row>
    <row r="17561" spans="1:2" x14ac:dyDescent="0.35">
      <c r="A17561" s="34">
        <v>83101805</v>
      </c>
      <c r="B17561" s="35" t="s">
        <v>10062</v>
      </c>
    </row>
    <row r="17562" spans="1:2" x14ac:dyDescent="0.35">
      <c r="A17562" s="34">
        <v>83101806</v>
      </c>
      <c r="B17562" s="35" t="s">
        <v>6376</v>
      </c>
    </row>
    <row r="17563" spans="1:2" x14ac:dyDescent="0.35">
      <c r="A17563" s="34">
        <v>83101807</v>
      </c>
      <c r="B17563" s="35" t="s">
        <v>3083</v>
      </c>
    </row>
    <row r="17564" spans="1:2" x14ac:dyDescent="0.35">
      <c r="A17564" s="34">
        <v>83101808</v>
      </c>
      <c r="B17564" s="35" t="s">
        <v>17819</v>
      </c>
    </row>
    <row r="17565" spans="1:2" x14ac:dyDescent="0.35">
      <c r="A17565" s="34">
        <v>83101901</v>
      </c>
      <c r="B17565" s="35" t="s">
        <v>3002</v>
      </c>
    </row>
    <row r="17566" spans="1:2" x14ac:dyDescent="0.35">
      <c r="A17566" s="34">
        <v>83101902</v>
      </c>
      <c r="B17566" s="35" t="s">
        <v>16375</v>
      </c>
    </row>
    <row r="17567" spans="1:2" x14ac:dyDescent="0.35">
      <c r="A17567" s="34">
        <v>83101903</v>
      </c>
      <c r="B17567" s="35" t="s">
        <v>6895</v>
      </c>
    </row>
    <row r="17568" spans="1:2" x14ac:dyDescent="0.35">
      <c r="A17568" s="34">
        <v>83102001</v>
      </c>
      <c r="B17568" s="35" t="s">
        <v>3559</v>
      </c>
    </row>
    <row r="17569" spans="1:2" x14ac:dyDescent="0.35">
      <c r="A17569" s="34">
        <v>83111501</v>
      </c>
      <c r="B17569" s="35" t="s">
        <v>4423</v>
      </c>
    </row>
    <row r="17570" spans="1:2" x14ac:dyDescent="0.35">
      <c r="A17570" s="34">
        <v>83111502</v>
      </c>
      <c r="B17570" s="35" t="s">
        <v>15417</v>
      </c>
    </row>
    <row r="17571" spans="1:2" x14ac:dyDescent="0.35">
      <c r="A17571" s="34">
        <v>83111503</v>
      </c>
      <c r="B17571" s="35" t="s">
        <v>4561</v>
      </c>
    </row>
    <row r="17572" spans="1:2" x14ac:dyDescent="0.35">
      <c r="A17572" s="34">
        <v>83111504</v>
      </c>
      <c r="B17572" s="35" t="s">
        <v>2989</v>
      </c>
    </row>
    <row r="17573" spans="1:2" x14ac:dyDescent="0.35">
      <c r="A17573" s="34">
        <v>83111505</v>
      </c>
      <c r="B17573" s="35" t="s">
        <v>14097</v>
      </c>
    </row>
    <row r="17574" spans="1:2" x14ac:dyDescent="0.35">
      <c r="A17574" s="34">
        <v>83111506</v>
      </c>
      <c r="B17574" s="35" t="s">
        <v>13501</v>
      </c>
    </row>
    <row r="17575" spans="1:2" x14ac:dyDescent="0.35">
      <c r="A17575" s="34">
        <v>83111507</v>
      </c>
      <c r="B17575" s="35" t="s">
        <v>18778</v>
      </c>
    </row>
    <row r="17576" spans="1:2" x14ac:dyDescent="0.35">
      <c r="A17576" s="34">
        <v>83111508</v>
      </c>
      <c r="B17576" s="35" t="s">
        <v>6241</v>
      </c>
    </row>
    <row r="17577" spans="1:2" x14ac:dyDescent="0.35">
      <c r="A17577" s="34">
        <v>83111510</v>
      </c>
      <c r="B17577" s="35" t="s">
        <v>6938</v>
      </c>
    </row>
    <row r="17578" spans="1:2" x14ac:dyDescent="0.35">
      <c r="A17578" s="34">
        <v>83111511</v>
      </c>
      <c r="B17578" s="35" t="s">
        <v>12111</v>
      </c>
    </row>
    <row r="17579" spans="1:2" x14ac:dyDescent="0.35">
      <c r="A17579" s="34">
        <v>83111601</v>
      </c>
      <c r="B17579" s="35" t="s">
        <v>15088</v>
      </c>
    </row>
    <row r="17580" spans="1:2" x14ac:dyDescent="0.35">
      <c r="A17580" s="34">
        <v>83111602</v>
      </c>
      <c r="B17580" s="35" t="s">
        <v>8478</v>
      </c>
    </row>
    <row r="17581" spans="1:2" x14ac:dyDescent="0.35">
      <c r="A17581" s="34">
        <v>83111603</v>
      </c>
      <c r="B17581" s="35" t="s">
        <v>2463</v>
      </c>
    </row>
    <row r="17582" spans="1:2" x14ac:dyDescent="0.35">
      <c r="A17582" s="34">
        <v>83111604</v>
      </c>
      <c r="B17582" s="35" t="s">
        <v>14929</v>
      </c>
    </row>
    <row r="17583" spans="1:2" x14ac:dyDescent="0.35">
      <c r="A17583" s="34">
        <v>83111605</v>
      </c>
      <c r="B17583" s="35" t="s">
        <v>8449</v>
      </c>
    </row>
    <row r="17584" spans="1:2" x14ac:dyDescent="0.35">
      <c r="A17584" s="34">
        <v>83111701</v>
      </c>
      <c r="B17584" s="35" t="s">
        <v>10372</v>
      </c>
    </row>
    <row r="17585" spans="1:2" x14ac:dyDescent="0.35">
      <c r="A17585" s="34">
        <v>83111702</v>
      </c>
      <c r="B17585" s="35" t="s">
        <v>10152</v>
      </c>
    </row>
    <row r="17586" spans="1:2" x14ac:dyDescent="0.35">
      <c r="A17586" s="34">
        <v>83111703</v>
      </c>
      <c r="B17586" s="35" t="s">
        <v>5063</v>
      </c>
    </row>
    <row r="17587" spans="1:2" x14ac:dyDescent="0.35">
      <c r="A17587" s="34">
        <v>83111801</v>
      </c>
      <c r="B17587" s="35" t="s">
        <v>11465</v>
      </c>
    </row>
    <row r="17588" spans="1:2" x14ac:dyDescent="0.35">
      <c r="A17588" s="34">
        <v>83111802</v>
      </c>
      <c r="B17588" s="35" t="s">
        <v>9450</v>
      </c>
    </row>
    <row r="17589" spans="1:2" x14ac:dyDescent="0.35">
      <c r="A17589" s="34">
        <v>83111803</v>
      </c>
      <c r="B17589" s="35" t="s">
        <v>5460</v>
      </c>
    </row>
    <row r="17590" spans="1:2" x14ac:dyDescent="0.35">
      <c r="A17590" s="34">
        <v>83111804</v>
      </c>
      <c r="B17590" s="35" t="s">
        <v>13826</v>
      </c>
    </row>
    <row r="17591" spans="1:2" x14ac:dyDescent="0.35">
      <c r="A17591" s="34">
        <v>83111901</v>
      </c>
      <c r="B17591" s="35" t="s">
        <v>5997</v>
      </c>
    </row>
    <row r="17592" spans="1:2" x14ac:dyDescent="0.35">
      <c r="A17592" s="34">
        <v>83111902</v>
      </c>
      <c r="B17592" s="35" t="s">
        <v>7325</v>
      </c>
    </row>
    <row r="17593" spans="1:2" x14ac:dyDescent="0.35">
      <c r="A17593" s="34">
        <v>83111903</v>
      </c>
      <c r="B17593" s="35" t="s">
        <v>6829</v>
      </c>
    </row>
    <row r="17594" spans="1:2" x14ac:dyDescent="0.35">
      <c r="A17594" s="34">
        <v>83111904</v>
      </c>
      <c r="B17594" s="35" t="s">
        <v>1258</v>
      </c>
    </row>
    <row r="17595" spans="1:2" x14ac:dyDescent="0.35">
      <c r="A17595" s="34">
        <v>83111905</v>
      </c>
      <c r="B17595" s="35" t="s">
        <v>11291</v>
      </c>
    </row>
    <row r="17596" spans="1:2" x14ac:dyDescent="0.35">
      <c r="A17596" s="34">
        <v>83112201</v>
      </c>
      <c r="B17596" s="35" t="s">
        <v>11405</v>
      </c>
    </row>
    <row r="17597" spans="1:2" x14ac:dyDescent="0.35">
      <c r="A17597" s="34">
        <v>83112202</v>
      </c>
      <c r="B17597" s="35" t="s">
        <v>7910</v>
      </c>
    </row>
    <row r="17598" spans="1:2" x14ac:dyDescent="0.35">
      <c r="A17598" s="34">
        <v>83112203</v>
      </c>
      <c r="B17598" s="35" t="s">
        <v>3991</v>
      </c>
    </row>
    <row r="17599" spans="1:2" x14ac:dyDescent="0.35">
      <c r="A17599" s="34">
        <v>83112204</v>
      </c>
      <c r="B17599" s="35" t="s">
        <v>5650</v>
      </c>
    </row>
    <row r="17600" spans="1:2" x14ac:dyDescent="0.35">
      <c r="A17600" s="34">
        <v>83112205</v>
      </c>
      <c r="B17600" s="35" t="s">
        <v>18369</v>
      </c>
    </row>
    <row r="17601" spans="1:2" x14ac:dyDescent="0.35">
      <c r="A17601" s="34">
        <v>83112301</v>
      </c>
      <c r="B17601" s="35" t="s">
        <v>14100</v>
      </c>
    </row>
    <row r="17602" spans="1:2" x14ac:dyDescent="0.35">
      <c r="A17602" s="34">
        <v>83112302</v>
      </c>
      <c r="B17602" s="35" t="s">
        <v>13098</v>
      </c>
    </row>
    <row r="17603" spans="1:2" x14ac:dyDescent="0.35">
      <c r="A17603" s="34">
        <v>83112303</v>
      </c>
      <c r="B17603" s="35" t="s">
        <v>15307</v>
      </c>
    </row>
    <row r="17604" spans="1:2" x14ac:dyDescent="0.35">
      <c r="A17604" s="34">
        <v>83112304</v>
      </c>
      <c r="B17604" s="35" t="s">
        <v>8029</v>
      </c>
    </row>
    <row r="17605" spans="1:2" x14ac:dyDescent="0.35">
      <c r="A17605" s="34">
        <v>83112401</v>
      </c>
      <c r="B17605" s="35" t="s">
        <v>16331</v>
      </c>
    </row>
    <row r="17606" spans="1:2" x14ac:dyDescent="0.35">
      <c r="A17606" s="34">
        <v>83112402</v>
      </c>
      <c r="B17606" s="35" t="s">
        <v>6490</v>
      </c>
    </row>
    <row r="17607" spans="1:2" x14ac:dyDescent="0.35">
      <c r="A17607" s="34">
        <v>83112403</v>
      </c>
      <c r="B17607" s="35" t="s">
        <v>8644</v>
      </c>
    </row>
    <row r="17608" spans="1:2" x14ac:dyDescent="0.35">
      <c r="A17608" s="34">
        <v>83112404</v>
      </c>
      <c r="B17608" s="35" t="s">
        <v>16381</v>
      </c>
    </row>
    <row r="17609" spans="1:2" x14ac:dyDescent="0.35">
      <c r="A17609" s="34">
        <v>83112405</v>
      </c>
      <c r="B17609" s="35" t="s">
        <v>8663</v>
      </c>
    </row>
    <row r="17610" spans="1:2" x14ac:dyDescent="0.35">
      <c r="A17610" s="34">
        <v>83112406</v>
      </c>
      <c r="B17610" s="35" t="s">
        <v>4076</v>
      </c>
    </row>
    <row r="17611" spans="1:2" x14ac:dyDescent="0.35">
      <c r="A17611" s="34">
        <v>83112501</v>
      </c>
      <c r="B17611" s="35" t="s">
        <v>5999</v>
      </c>
    </row>
    <row r="17612" spans="1:2" x14ac:dyDescent="0.35">
      <c r="A17612" s="34">
        <v>83112502</v>
      </c>
      <c r="B17612" s="35" t="s">
        <v>785</v>
      </c>
    </row>
    <row r="17613" spans="1:2" x14ac:dyDescent="0.35">
      <c r="A17613" s="34">
        <v>83112503</v>
      </c>
      <c r="B17613" s="35" t="s">
        <v>13191</v>
      </c>
    </row>
    <row r="17614" spans="1:2" x14ac:dyDescent="0.35">
      <c r="A17614" s="34">
        <v>83112504</v>
      </c>
      <c r="B17614" s="35" t="s">
        <v>8817</v>
      </c>
    </row>
    <row r="17615" spans="1:2" x14ac:dyDescent="0.35">
      <c r="A17615" s="34">
        <v>83112505</v>
      </c>
      <c r="B17615" s="35" t="s">
        <v>12510</v>
      </c>
    </row>
    <row r="17616" spans="1:2" x14ac:dyDescent="0.35">
      <c r="A17616" s="34">
        <v>83112601</v>
      </c>
      <c r="B17616" s="35" t="s">
        <v>10988</v>
      </c>
    </row>
    <row r="17617" spans="1:2" x14ac:dyDescent="0.35">
      <c r="A17617" s="34">
        <v>83112602</v>
      </c>
      <c r="B17617" s="35" t="s">
        <v>567</v>
      </c>
    </row>
    <row r="17618" spans="1:2" x14ac:dyDescent="0.35">
      <c r="A17618" s="34">
        <v>83112603</v>
      </c>
      <c r="B17618" s="35" t="s">
        <v>12045</v>
      </c>
    </row>
    <row r="17619" spans="1:2" x14ac:dyDescent="0.35">
      <c r="A17619" s="34">
        <v>83112604</v>
      </c>
      <c r="B17619" s="35" t="s">
        <v>5270</v>
      </c>
    </row>
    <row r="17620" spans="1:2" x14ac:dyDescent="0.35">
      <c r="A17620" s="34">
        <v>83112605</v>
      </c>
      <c r="B17620" s="35" t="s">
        <v>14125</v>
      </c>
    </row>
    <row r="17621" spans="1:2" x14ac:dyDescent="0.35">
      <c r="A17621" s="34">
        <v>83121501</v>
      </c>
      <c r="B17621" s="35" t="s">
        <v>19648</v>
      </c>
    </row>
    <row r="17622" spans="1:2" x14ac:dyDescent="0.35">
      <c r="A17622" s="34">
        <v>83121502</v>
      </c>
      <c r="B17622" s="35" t="s">
        <v>6508</v>
      </c>
    </row>
    <row r="17623" spans="1:2" x14ac:dyDescent="0.35">
      <c r="A17623" s="34">
        <v>83121503</v>
      </c>
      <c r="B17623" s="35" t="s">
        <v>4215</v>
      </c>
    </row>
    <row r="17624" spans="1:2" x14ac:dyDescent="0.35">
      <c r="A17624" s="34">
        <v>83121504</v>
      </c>
      <c r="B17624" s="35" t="s">
        <v>8633</v>
      </c>
    </row>
    <row r="17625" spans="1:2" x14ac:dyDescent="0.35">
      <c r="A17625" s="34">
        <v>83121601</v>
      </c>
      <c r="B17625" s="35" t="s">
        <v>19350</v>
      </c>
    </row>
    <row r="17626" spans="1:2" x14ac:dyDescent="0.35">
      <c r="A17626" s="34">
        <v>83121602</v>
      </c>
      <c r="B17626" s="35" t="s">
        <v>17848</v>
      </c>
    </row>
    <row r="17627" spans="1:2" x14ac:dyDescent="0.35">
      <c r="A17627" s="34">
        <v>83121603</v>
      </c>
      <c r="B17627" s="35" t="s">
        <v>1648</v>
      </c>
    </row>
    <row r="17628" spans="1:2" x14ac:dyDescent="0.35">
      <c r="A17628" s="34">
        <v>83121604</v>
      </c>
      <c r="B17628" s="35" t="s">
        <v>14345</v>
      </c>
    </row>
    <row r="17629" spans="1:2" x14ac:dyDescent="0.35">
      <c r="A17629" s="34">
        <v>83121605</v>
      </c>
      <c r="B17629" s="35" t="s">
        <v>13955</v>
      </c>
    </row>
    <row r="17630" spans="1:2" x14ac:dyDescent="0.35">
      <c r="A17630" s="34">
        <v>83121606</v>
      </c>
      <c r="B17630" s="35" t="s">
        <v>2706</v>
      </c>
    </row>
    <row r="17631" spans="1:2" x14ac:dyDescent="0.35">
      <c r="A17631" s="34">
        <v>83121701</v>
      </c>
      <c r="B17631" s="35" t="s">
        <v>19096</v>
      </c>
    </row>
    <row r="17632" spans="1:2" x14ac:dyDescent="0.35">
      <c r="A17632" s="34">
        <v>83121702</v>
      </c>
      <c r="B17632" s="35" t="s">
        <v>1656</v>
      </c>
    </row>
    <row r="17633" spans="1:2" x14ac:dyDescent="0.35">
      <c r="A17633" s="34">
        <v>83121703</v>
      </c>
      <c r="B17633" s="35" t="s">
        <v>12231</v>
      </c>
    </row>
    <row r="17634" spans="1:2" x14ac:dyDescent="0.35">
      <c r="A17634" s="34">
        <v>83121704</v>
      </c>
      <c r="B17634" s="35" t="s">
        <v>10033</v>
      </c>
    </row>
    <row r="17635" spans="1:2" x14ac:dyDescent="0.35">
      <c r="A17635" s="34">
        <v>84101501</v>
      </c>
      <c r="B17635" s="35" t="s">
        <v>8679</v>
      </c>
    </row>
    <row r="17636" spans="1:2" x14ac:dyDescent="0.35">
      <c r="A17636" s="34">
        <v>84101502</v>
      </c>
      <c r="B17636" s="35" t="s">
        <v>2054</v>
      </c>
    </row>
    <row r="17637" spans="1:2" x14ac:dyDescent="0.35">
      <c r="A17637" s="34">
        <v>84101503</v>
      </c>
      <c r="B17637" s="35" t="s">
        <v>14538</v>
      </c>
    </row>
    <row r="17638" spans="1:2" x14ac:dyDescent="0.35">
      <c r="A17638" s="34">
        <v>84101601</v>
      </c>
      <c r="B17638" s="35" t="s">
        <v>16275</v>
      </c>
    </row>
    <row r="17639" spans="1:2" x14ac:dyDescent="0.35">
      <c r="A17639" s="34">
        <v>84101602</v>
      </c>
      <c r="B17639" s="35" t="s">
        <v>3917</v>
      </c>
    </row>
    <row r="17640" spans="1:2" x14ac:dyDescent="0.35">
      <c r="A17640" s="34">
        <v>84101603</v>
      </c>
      <c r="B17640" s="35" t="s">
        <v>10603</v>
      </c>
    </row>
    <row r="17641" spans="1:2" x14ac:dyDescent="0.35">
      <c r="A17641" s="34">
        <v>84101604</v>
      </c>
      <c r="B17641" s="35" t="s">
        <v>13769</v>
      </c>
    </row>
    <row r="17642" spans="1:2" x14ac:dyDescent="0.35">
      <c r="A17642" s="34">
        <v>84101701</v>
      </c>
      <c r="B17642" s="35" t="s">
        <v>6029</v>
      </c>
    </row>
    <row r="17643" spans="1:2" x14ac:dyDescent="0.35">
      <c r="A17643" s="34">
        <v>84101702</v>
      </c>
      <c r="B17643" s="35" t="s">
        <v>1092</v>
      </c>
    </row>
    <row r="17644" spans="1:2" x14ac:dyDescent="0.35">
      <c r="A17644" s="34">
        <v>84101703</v>
      </c>
      <c r="B17644" s="35" t="s">
        <v>10528</v>
      </c>
    </row>
    <row r="17645" spans="1:2" x14ac:dyDescent="0.35">
      <c r="A17645" s="34">
        <v>84101704</v>
      </c>
      <c r="B17645" s="35" t="s">
        <v>16246</v>
      </c>
    </row>
    <row r="17646" spans="1:2" x14ac:dyDescent="0.35">
      <c r="A17646" s="34">
        <v>84101705</v>
      </c>
      <c r="B17646" s="35" t="s">
        <v>18243</v>
      </c>
    </row>
    <row r="17647" spans="1:2" x14ac:dyDescent="0.35">
      <c r="A17647" s="34">
        <v>84111501</v>
      </c>
      <c r="B17647" s="35" t="s">
        <v>19563</v>
      </c>
    </row>
    <row r="17648" spans="1:2" x14ac:dyDescent="0.35">
      <c r="A17648" s="34">
        <v>84111502</v>
      </c>
      <c r="B17648" s="35" t="s">
        <v>4394</v>
      </c>
    </row>
    <row r="17649" spans="1:2" x14ac:dyDescent="0.35">
      <c r="A17649" s="34">
        <v>84111503</v>
      </c>
      <c r="B17649" s="35" t="s">
        <v>9611</v>
      </c>
    </row>
    <row r="17650" spans="1:2" x14ac:dyDescent="0.35">
      <c r="A17650" s="34">
        <v>84111504</v>
      </c>
      <c r="B17650" s="35" t="s">
        <v>2254</v>
      </c>
    </row>
    <row r="17651" spans="1:2" x14ac:dyDescent="0.35">
      <c r="A17651" s="34">
        <v>84111505</v>
      </c>
      <c r="B17651" s="35" t="s">
        <v>678</v>
      </c>
    </row>
    <row r="17652" spans="1:2" x14ac:dyDescent="0.35">
      <c r="A17652" s="34">
        <v>84111506</v>
      </c>
      <c r="B17652" s="35" t="s">
        <v>6977</v>
      </c>
    </row>
    <row r="17653" spans="1:2" x14ac:dyDescent="0.35">
      <c r="A17653" s="34">
        <v>84111507</v>
      </c>
      <c r="B17653" s="35" t="s">
        <v>2689</v>
      </c>
    </row>
    <row r="17654" spans="1:2" x14ac:dyDescent="0.35">
      <c r="A17654" s="34">
        <v>84111601</v>
      </c>
      <c r="B17654" s="35" t="s">
        <v>15932</v>
      </c>
    </row>
    <row r="17655" spans="1:2" x14ac:dyDescent="0.35">
      <c r="A17655" s="34">
        <v>84111602</v>
      </c>
      <c r="B17655" s="35" t="s">
        <v>6326</v>
      </c>
    </row>
    <row r="17656" spans="1:2" x14ac:dyDescent="0.35">
      <c r="A17656" s="34">
        <v>84111603</v>
      </c>
      <c r="B17656" s="35" t="s">
        <v>8408</v>
      </c>
    </row>
    <row r="17657" spans="1:2" x14ac:dyDescent="0.35">
      <c r="A17657" s="34">
        <v>84111701</v>
      </c>
      <c r="B17657" s="35" t="s">
        <v>10254</v>
      </c>
    </row>
    <row r="17658" spans="1:2" x14ac:dyDescent="0.35">
      <c r="A17658" s="34">
        <v>84111702</v>
      </c>
      <c r="B17658" s="35" t="s">
        <v>12644</v>
      </c>
    </row>
    <row r="17659" spans="1:2" x14ac:dyDescent="0.35">
      <c r="A17659" s="34">
        <v>84111703</v>
      </c>
      <c r="B17659" s="35" t="s">
        <v>3642</v>
      </c>
    </row>
    <row r="17660" spans="1:2" x14ac:dyDescent="0.35">
      <c r="A17660" s="34">
        <v>84111801</v>
      </c>
      <c r="B17660" s="35" t="s">
        <v>8908</v>
      </c>
    </row>
    <row r="17661" spans="1:2" x14ac:dyDescent="0.35">
      <c r="A17661" s="34">
        <v>84111802</v>
      </c>
      <c r="B17661" s="35" t="s">
        <v>3732</v>
      </c>
    </row>
    <row r="17662" spans="1:2" x14ac:dyDescent="0.35">
      <c r="A17662" s="34">
        <v>84121501</v>
      </c>
      <c r="B17662" s="35" t="s">
        <v>18430</v>
      </c>
    </row>
    <row r="17663" spans="1:2" x14ac:dyDescent="0.35">
      <c r="A17663" s="34">
        <v>84121502</v>
      </c>
      <c r="B17663" s="35" t="s">
        <v>5093</v>
      </c>
    </row>
    <row r="17664" spans="1:2" x14ac:dyDescent="0.35">
      <c r="A17664" s="34">
        <v>84121503</v>
      </c>
      <c r="B17664" s="35" t="s">
        <v>8489</v>
      </c>
    </row>
    <row r="17665" spans="1:2" x14ac:dyDescent="0.35">
      <c r="A17665" s="34">
        <v>84121504</v>
      </c>
      <c r="B17665" s="35" t="s">
        <v>5600</v>
      </c>
    </row>
    <row r="17666" spans="1:2" x14ac:dyDescent="0.35">
      <c r="A17666" s="34">
        <v>84121601</v>
      </c>
      <c r="B17666" s="35" t="s">
        <v>14813</v>
      </c>
    </row>
    <row r="17667" spans="1:2" x14ac:dyDescent="0.35">
      <c r="A17667" s="34">
        <v>84121602</v>
      </c>
      <c r="B17667" s="35" t="s">
        <v>8321</v>
      </c>
    </row>
    <row r="17668" spans="1:2" x14ac:dyDescent="0.35">
      <c r="A17668" s="34">
        <v>84121603</v>
      </c>
      <c r="B17668" s="35" t="s">
        <v>17561</v>
      </c>
    </row>
    <row r="17669" spans="1:2" x14ac:dyDescent="0.35">
      <c r="A17669" s="34">
        <v>84121604</v>
      </c>
      <c r="B17669" s="35" t="s">
        <v>9050</v>
      </c>
    </row>
    <row r="17670" spans="1:2" x14ac:dyDescent="0.35">
      <c r="A17670" s="34">
        <v>84121605</v>
      </c>
      <c r="B17670" s="35" t="s">
        <v>13557</v>
      </c>
    </row>
    <row r="17671" spans="1:2" x14ac:dyDescent="0.35">
      <c r="A17671" s="34">
        <v>84121606</v>
      </c>
      <c r="B17671" s="35" t="s">
        <v>8488</v>
      </c>
    </row>
    <row r="17672" spans="1:2" x14ac:dyDescent="0.35">
      <c r="A17672" s="34">
        <v>84121607</v>
      </c>
      <c r="B17672" s="35" t="s">
        <v>11810</v>
      </c>
    </row>
    <row r="17673" spans="1:2" x14ac:dyDescent="0.35">
      <c r="A17673" s="34">
        <v>84121701</v>
      </c>
      <c r="B17673" s="35" t="s">
        <v>19066</v>
      </c>
    </row>
    <row r="17674" spans="1:2" x14ac:dyDescent="0.35">
      <c r="A17674" s="34">
        <v>84121702</v>
      </c>
      <c r="B17674" s="35" t="s">
        <v>15029</v>
      </c>
    </row>
    <row r="17675" spans="1:2" x14ac:dyDescent="0.35">
      <c r="A17675" s="34">
        <v>84121703</v>
      </c>
      <c r="B17675" s="35" t="s">
        <v>13017</v>
      </c>
    </row>
    <row r="17676" spans="1:2" x14ac:dyDescent="0.35">
      <c r="A17676" s="34">
        <v>84121704</v>
      </c>
      <c r="B17676" s="35" t="s">
        <v>3803</v>
      </c>
    </row>
    <row r="17677" spans="1:2" x14ac:dyDescent="0.35">
      <c r="A17677" s="34">
        <v>84121705</v>
      </c>
      <c r="B17677" s="35" t="s">
        <v>15337</v>
      </c>
    </row>
    <row r="17678" spans="1:2" x14ac:dyDescent="0.35">
      <c r="A17678" s="34">
        <v>84121801</v>
      </c>
      <c r="B17678" s="35" t="s">
        <v>13395</v>
      </c>
    </row>
    <row r="17679" spans="1:2" x14ac:dyDescent="0.35">
      <c r="A17679" s="34">
        <v>84121802</v>
      </c>
      <c r="B17679" s="35" t="s">
        <v>12985</v>
      </c>
    </row>
    <row r="17680" spans="1:2" x14ac:dyDescent="0.35">
      <c r="A17680" s="34">
        <v>84121803</v>
      </c>
      <c r="B17680" s="35" t="s">
        <v>9279</v>
      </c>
    </row>
    <row r="17681" spans="1:2" x14ac:dyDescent="0.35">
      <c r="A17681" s="34">
        <v>84121804</v>
      </c>
      <c r="B17681" s="35" t="s">
        <v>18165</v>
      </c>
    </row>
    <row r="17682" spans="1:2" x14ac:dyDescent="0.35">
      <c r="A17682" s="34">
        <v>84121805</v>
      </c>
      <c r="B17682" s="35" t="s">
        <v>4056</v>
      </c>
    </row>
    <row r="17683" spans="1:2" x14ac:dyDescent="0.35">
      <c r="A17683" s="34">
        <v>84121806</v>
      </c>
      <c r="B17683" s="35" t="s">
        <v>11474</v>
      </c>
    </row>
    <row r="17684" spans="1:2" x14ac:dyDescent="0.35">
      <c r="A17684" s="34">
        <v>84121901</v>
      </c>
      <c r="B17684" s="35" t="s">
        <v>6005</v>
      </c>
    </row>
    <row r="17685" spans="1:2" x14ac:dyDescent="0.35">
      <c r="A17685" s="34">
        <v>84121902</v>
      </c>
      <c r="B17685" s="35" t="s">
        <v>8395</v>
      </c>
    </row>
    <row r="17686" spans="1:2" x14ac:dyDescent="0.35">
      <c r="A17686" s="34">
        <v>84121903</v>
      </c>
      <c r="B17686" s="35" t="s">
        <v>17063</v>
      </c>
    </row>
    <row r="17687" spans="1:2" x14ac:dyDescent="0.35">
      <c r="A17687" s="34">
        <v>84122001</v>
      </c>
      <c r="B17687" s="35" t="s">
        <v>1338</v>
      </c>
    </row>
    <row r="17688" spans="1:2" x14ac:dyDescent="0.35">
      <c r="A17688" s="34">
        <v>84131501</v>
      </c>
      <c r="B17688" s="35" t="s">
        <v>6194</v>
      </c>
    </row>
    <row r="17689" spans="1:2" x14ac:dyDescent="0.35">
      <c r="A17689" s="34">
        <v>84131502</v>
      </c>
      <c r="B17689" s="35" t="s">
        <v>16312</v>
      </c>
    </row>
    <row r="17690" spans="1:2" x14ac:dyDescent="0.35">
      <c r="A17690" s="34">
        <v>84131503</v>
      </c>
      <c r="B17690" s="35" t="s">
        <v>10859</v>
      </c>
    </row>
    <row r="17691" spans="1:2" x14ac:dyDescent="0.35">
      <c r="A17691" s="34">
        <v>84131504</v>
      </c>
      <c r="B17691" s="35" t="s">
        <v>8261</v>
      </c>
    </row>
    <row r="17692" spans="1:2" x14ac:dyDescent="0.35">
      <c r="A17692" s="34">
        <v>84131505</v>
      </c>
      <c r="B17692" s="35" t="s">
        <v>6157</v>
      </c>
    </row>
    <row r="17693" spans="1:2" x14ac:dyDescent="0.35">
      <c r="A17693" s="34">
        <v>84131506</v>
      </c>
      <c r="B17693" s="35" t="s">
        <v>12210</v>
      </c>
    </row>
    <row r="17694" spans="1:2" x14ac:dyDescent="0.35">
      <c r="A17694" s="34">
        <v>84131507</v>
      </c>
      <c r="B17694" s="35" t="s">
        <v>14360</v>
      </c>
    </row>
    <row r="17695" spans="1:2" x14ac:dyDescent="0.35">
      <c r="A17695" s="34">
        <v>84131508</v>
      </c>
      <c r="B17695" s="35" t="s">
        <v>912</v>
      </c>
    </row>
    <row r="17696" spans="1:2" x14ac:dyDescent="0.35">
      <c r="A17696" s="34">
        <v>84131509</v>
      </c>
      <c r="B17696" s="35" t="s">
        <v>1292</v>
      </c>
    </row>
    <row r="17697" spans="1:2" x14ac:dyDescent="0.35">
      <c r="A17697" s="34">
        <v>84131510</v>
      </c>
      <c r="B17697" s="35" t="s">
        <v>13445</v>
      </c>
    </row>
    <row r="17698" spans="1:2" x14ac:dyDescent="0.35">
      <c r="A17698" s="34">
        <v>84131511</v>
      </c>
      <c r="B17698" s="35" t="s">
        <v>7226</v>
      </c>
    </row>
    <row r="17699" spans="1:2" x14ac:dyDescent="0.35">
      <c r="A17699" s="34">
        <v>84131512</v>
      </c>
      <c r="B17699" s="35" t="s">
        <v>1606</v>
      </c>
    </row>
    <row r="17700" spans="1:2" x14ac:dyDescent="0.35">
      <c r="A17700" s="34">
        <v>84131513</v>
      </c>
      <c r="B17700" s="35" t="s">
        <v>19051</v>
      </c>
    </row>
    <row r="17701" spans="1:2" x14ac:dyDescent="0.35">
      <c r="A17701" s="34">
        <v>84131514</v>
      </c>
      <c r="B17701" s="35" t="s">
        <v>7978</v>
      </c>
    </row>
    <row r="17702" spans="1:2" x14ac:dyDescent="0.35">
      <c r="A17702" s="34">
        <v>84131515</v>
      </c>
      <c r="B17702" s="35" t="s">
        <v>16991</v>
      </c>
    </row>
    <row r="17703" spans="1:2" x14ac:dyDescent="0.35">
      <c r="A17703" s="34">
        <v>84131516</v>
      </c>
      <c r="B17703" s="35" t="s">
        <v>4195</v>
      </c>
    </row>
    <row r="17704" spans="1:2" x14ac:dyDescent="0.35">
      <c r="A17704" s="34">
        <v>84131517</v>
      </c>
      <c r="B17704" s="35" t="s">
        <v>15583</v>
      </c>
    </row>
    <row r="17705" spans="1:2" x14ac:dyDescent="0.35">
      <c r="A17705" s="34">
        <v>84131601</v>
      </c>
      <c r="B17705" s="35" t="s">
        <v>8772</v>
      </c>
    </row>
    <row r="17706" spans="1:2" x14ac:dyDescent="0.35">
      <c r="A17706" s="34">
        <v>84131602</v>
      </c>
      <c r="B17706" s="35" t="s">
        <v>9365</v>
      </c>
    </row>
    <row r="17707" spans="1:2" x14ac:dyDescent="0.35">
      <c r="A17707" s="34">
        <v>84131603</v>
      </c>
      <c r="B17707" s="35" t="s">
        <v>14277</v>
      </c>
    </row>
    <row r="17708" spans="1:2" x14ac:dyDescent="0.35">
      <c r="A17708" s="34">
        <v>84131604</v>
      </c>
      <c r="B17708" s="35" t="s">
        <v>7913</v>
      </c>
    </row>
    <row r="17709" spans="1:2" x14ac:dyDescent="0.35">
      <c r="A17709" s="34">
        <v>84131605</v>
      </c>
      <c r="B17709" s="35" t="s">
        <v>6136</v>
      </c>
    </row>
    <row r="17710" spans="1:2" x14ac:dyDescent="0.35">
      <c r="A17710" s="34">
        <v>84131606</v>
      </c>
      <c r="B17710" s="35" t="s">
        <v>16111</v>
      </c>
    </row>
    <row r="17711" spans="1:2" x14ac:dyDescent="0.35">
      <c r="A17711" s="34">
        <v>84131607</v>
      </c>
      <c r="B17711" s="35" t="s">
        <v>8680</v>
      </c>
    </row>
    <row r="17712" spans="1:2" x14ac:dyDescent="0.35">
      <c r="A17712" s="34">
        <v>84131608</v>
      </c>
      <c r="B17712" s="35" t="s">
        <v>3806</v>
      </c>
    </row>
    <row r="17713" spans="1:2" x14ac:dyDescent="0.35">
      <c r="A17713" s="34">
        <v>84131609</v>
      </c>
      <c r="B17713" s="35" t="s">
        <v>2304</v>
      </c>
    </row>
    <row r="17714" spans="1:2" x14ac:dyDescent="0.35">
      <c r="A17714" s="34">
        <v>84131610</v>
      </c>
      <c r="B17714" s="35" t="s">
        <v>13979</v>
      </c>
    </row>
    <row r="17715" spans="1:2" x14ac:dyDescent="0.35">
      <c r="A17715" s="34">
        <v>84131701</v>
      </c>
      <c r="B17715" s="35" t="s">
        <v>4975</v>
      </c>
    </row>
    <row r="17716" spans="1:2" x14ac:dyDescent="0.35">
      <c r="A17716" s="34">
        <v>84131702</v>
      </c>
      <c r="B17716" s="35" t="s">
        <v>11151</v>
      </c>
    </row>
    <row r="17717" spans="1:2" x14ac:dyDescent="0.35">
      <c r="A17717" s="34">
        <v>84131801</v>
      </c>
      <c r="B17717" s="35" t="s">
        <v>16776</v>
      </c>
    </row>
    <row r="17718" spans="1:2" x14ac:dyDescent="0.35">
      <c r="A17718" s="34">
        <v>84131802</v>
      </c>
      <c r="B17718" s="35" t="s">
        <v>13518</v>
      </c>
    </row>
    <row r="17719" spans="1:2" x14ac:dyDescent="0.35">
      <c r="A17719" s="34">
        <v>84141501</v>
      </c>
      <c r="B17719" s="35" t="s">
        <v>9077</v>
      </c>
    </row>
    <row r="17720" spans="1:2" x14ac:dyDescent="0.35">
      <c r="A17720" s="34">
        <v>84141502</v>
      </c>
      <c r="B17720" s="35" t="s">
        <v>3154</v>
      </c>
    </row>
    <row r="17721" spans="1:2" x14ac:dyDescent="0.35">
      <c r="A17721" s="34">
        <v>84141503</v>
      </c>
      <c r="B17721" s="35" t="s">
        <v>19535</v>
      </c>
    </row>
    <row r="17722" spans="1:2" x14ac:dyDescent="0.35">
      <c r="A17722" s="34">
        <v>84141601</v>
      </c>
      <c r="B17722" s="35" t="s">
        <v>17148</v>
      </c>
    </row>
    <row r="17723" spans="1:2" x14ac:dyDescent="0.35">
      <c r="A17723" s="34">
        <v>84141602</v>
      </c>
      <c r="B17723" s="35" t="s">
        <v>4567</v>
      </c>
    </row>
    <row r="17724" spans="1:2" x14ac:dyDescent="0.35">
      <c r="A17724" s="34">
        <v>84141701</v>
      </c>
      <c r="B17724" s="35" t="s">
        <v>15884</v>
      </c>
    </row>
    <row r="17725" spans="1:2" x14ac:dyDescent="0.35">
      <c r="A17725" s="34">
        <v>84141702</v>
      </c>
      <c r="B17725" s="35" t="s">
        <v>4246</v>
      </c>
    </row>
    <row r="17726" spans="1:2" x14ac:dyDescent="0.35">
      <c r="A17726" s="34">
        <v>85101501</v>
      </c>
      <c r="B17726" s="35" t="s">
        <v>5880</v>
      </c>
    </row>
    <row r="17727" spans="1:2" x14ac:dyDescent="0.35">
      <c r="A17727" s="34">
        <v>85101502</v>
      </c>
      <c r="B17727" s="35" t="s">
        <v>15568</v>
      </c>
    </row>
    <row r="17728" spans="1:2" x14ac:dyDescent="0.35">
      <c r="A17728" s="34">
        <v>85101503</v>
      </c>
      <c r="B17728" s="35" t="s">
        <v>1220</v>
      </c>
    </row>
    <row r="17729" spans="1:2" x14ac:dyDescent="0.35">
      <c r="A17729" s="34">
        <v>85101504</v>
      </c>
      <c r="B17729" s="35" t="s">
        <v>8307</v>
      </c>
    </row>
    <row r="17730" spans="1:2" x14ac:dyDescent="0.35">
      <c r="A17730" s="34">
        <v>85101505</v>
      </c>
      <c r="B17730" s="35" t="s">
        <v>19032</v>
      </c>
    </row>
    <row r="17731" spans="1:2" x14ac:dyDescent="0.35">
      <c r="A17731" s="34">
        <v>85101506</v>
      </c>
      <c r="B17731" s="35" t="s">
        <v>6766</v>
      </c>
    </row>
    <row r="17732" spans="1:2" x14ac:dyDescent="0.35">
      <c r="A17732" s="34">
        <v>85101507</v>
      </c>
      <c r="B17732" s="35" t="s">
        <v>14410</v>
      </c>
    </row>
    <row r="17733" spans="1:2" x14ac:dyDescent="0.35">
      <c r="A17733" s="34">
        <v>85101508</v>
      </c>
      <c r="B17733" s="35" t="s">
        <v>15889</v>
      </c>
    </row>
    <row r="17734" spans="1:2" x14ac:dyDescent="0.35">
      <c r="A17734" s="34">
        <v>85101509</v>
      </c>
      <c r="B17734" s="35" t="s">
        <v>3754</v>
      </c>
    </row>
    <row r="17735" spans="1:2" x14ac:dyDescent="0.35">
      <c r="A17735" s="34">
        <v>85101601</v>
      </c>
      <c r="B17735" s="35" t="s">
        <v>4212</v>
      </c>
    </row>
    <row r="17736" spans="1:2" x14ac:dyDescent="0.35">
      <c r="A17736" s="34">
        <v>85101602</v>
      </c>
      <c r="B17736" s="35" t="s">
        <v>6134</v>
      </c>
    </row>
    <row r="17737" spans="1:2" x14ac:dyDescent="0.35">
      <c r="A17737" s="34">
        <v>85101603</v>
      </c>
      <c r="B17737" s="35" t="s">
        <v>9289</v>
      </c>
    </row>
    <row r="17738" spans="1:2" x14ac:dyDescent="0.35">
      <c r="A17738" s="34">
        <v>85101604</v>
      </c>
      <c r="B17738" s="35" t="s">
        <v>5121</v>
      </c>
    </row>
    <row r="17739" spans="1:2" x14ac:dyDescent="0.35">
      <c r="A17739" s="34">
        <v>85101605</v>
      </c>
      <c r="B17739" s="35" t="s">
        <v>2501</v>
      </c>
    </row>
    <row r="17740" spans="1:2" x14ac:dyDescent="0.35">
      <c r="A17740" s="34">
        <v>85101701</v>
      </c>
      <c r="B17740" s="35" t="s">
        <v>9294</v>
      </c>
    </row>
    <row r="17741" spans="1:2" x14ac:dyDescent="0.35">
      <c r="A17741" s="34">
        <v>85101702</v>
      </c>
      <c r="B17741" s="35" t="s">
        <v>15717</v>
      </c>
    </row>
    <row r="17742" spans="1:2" x14ac:dyDescent="0.35">
      <c r="A17742" s="34">
        <v>85101703</v>
      </c>
      <c r="B17742" s="35" t="s">
        <v>6090</v>
      </c>
    </row>
    <row r="17743" spans="1:2" x14ac:dyDescent="0.35">
      <c r="A17743" s="34">
        <v>85101704</v>
      </c>
      <c r="B17743" s="35" t="s">
        <v>8811</v>
      </c>
    </row>
    <row r="17744" spans="1:2" x14ac:dyDescent="0.35">
      <c r="A17744" s="34">
        <v>85101705</v>
      </c>
      <c r="B17744" s="35" t="s">
        <v>555</v>
      </c>
    </row>
    <row r="17745" spans="1:2" x14ac:dyDescent="0.35">
      <c r="A17745" s="34">
        <v>85101706</v>
      </c>
      <c r="B17745" s="35" t="s">
        <v>15688</v>
      </c>
    </row>
    <row r="17746" spans="1:2" x14ac:dyDescent="0.35">
      <c r="A17746" s="34">
        <v>85101707</v>
      </c>
      <c r="B17746" s="35" t="s">
        <v>16020</v>
      </c>
    </row>
    <row r="17747" spans="1:2" x14ac:dyDescent="0.35">
      <c r="A17747" s="34">
        <v>85111501</v>
      </c>
      <c r="B17747" s="35" t="s">
        <v>3007</v>
      </c>
    </row>
    <row r="17748" spans="1:2" x14ac:dyDescent="0.35">
      <c r="A17748" s="34">
        <v>85111502</v>
      </c>
      <c r="B17748" s="35" t="s">
        <v>12016</v>
      </c>
    </row>
    <row r="17749" spans="1:2" x14ac:dyDescent="0.35">
      <c r="A17749" s="34">
        <v>85111503</v>
      </c>
      <c r="B17749" s="35" t="s">
        <v>13699</v>
      </c>
    </row>
    <row r="17750" spans="1:2" x14ac:dyDescent="0.35">
      <c r="A17750" s="34">
        <v>85111504</v>
      </c>
      <c r="B17750" s="35" t="s">
        <v>6068</v>
      </c>
    </row>
    <row r="17751" spans="1:2" x14ac:dyDescent="0.35">
      <c r="A17751" s="34">
        <v>85111505</v>
      </c>
      <c r="B17751" s="35" t="s">
        <v>19207</v>
      </c>
    </row>
    <row r="17752" spans="1:2" x14ac:dyDescent="0.35">
      <c r="A17752" s="34">
        <v>85111506</v>
      </c>
      <c r="B17752" s="35" t="s">
        <v>19562</v>
      </c>
    </row>
    <row r="17753" spans="1:2" x14ac:dyDescent="0.35">
      <c r="A17753" s="34">
        <v>85111507</v>
      </c>
      <c r="B17753" s="35" t="s">
        <v>9717</v>
      </c>
    </row>
    <row r="17754" spans="1:2" x14ac:dyDescent="0.35">
      <c r="A17754" s="34">
        <v>85111508</v>
      </c>
      <c r="B17754" s="35" t="s">
        <v>5673</v>
      </c>
    </row>
    <row r="17755" spans="1:2" x14ac:dyDescent="0.35">
      <c r="A17755" s="34">
        <v>85111509</v>
      </c>
      <c r="B17755" s="35" t="s">
        <v>1153</v>
      </c>
    </row>
    <row r="17756" spans="1:2" x14ac:dyDescent="0.35">
      <c r="A17756" s="34">
        <v>85111510</v>
      </c>
      <c r="B17756" s="35" t="s">
        <v>5254</v>
      </c>
    </row>
    <row r="17757" spans="1:2" x14ac:dyDescent="0.35">
      <c r="A17757" s="34">
        <v>85111511</v>
      </c>
      <c r="B17757" s="35" t="s">
        <v>11108</v>
      </c>
    </row>
    <row r="17758" spans="1:2" x14ac:dyDescent="0.35">
      <c r="A17758" s="34">
        <v>85111512</v>
      </c>
      <c r="B17758" s="35" t="s">
        <v>15118</v>
      </c>
    </row>
    <row r="17759" spans="1:2" x14ac:dyDescent="0.35">
      <c r="A17759" s="34">
        <v>85111513</v>
      </c>
      <c r="B17759" s="35" t="s">
        <v>5499</v>
      </c>
    </row>
    <row r="17760" spans="1:2" x14ac:dyDescent="0.35">
      <c r="A17760" s="34">
        <v>85111514</v>
      </c>
      <c r="B17760" s="35" t="s">
        <v>18949</v>
      </c>
    </row>
    <row r="17761" spans="1:2" x14ac:dyDescent="0.35">
      <c r="A17761" s="34">
        <v>85111601</v>
      </c>
      <c r="B17761" s="35" t="s">
        <v>15142</v>
      </c>
    </row>
    <row r="17762" spans="1:2" x14ac:dyDescent="0.35">
      <c r="A17762" s="34">
        <v>85111602</v>
      </c>
      <c r="B17762" s="35" t="s">
        <v>9913</v>
      </c>
    </row>
    <row r="17763" spans="1:2" x14ac:dyDescent="0.35">
      <c r="A17763" s="34">
        <v>85111603</v>
      </c>
      <c r="B17763" s="35" t="s">
        <v>12307</v>
      </c>
    </row>
    <row r="17764" spans="1:2" x14ac:dyDescent="0.35">
      <c r="A17764" s="34">
        <v>85111604</v>
      </c>
      <c r="B17764" s="35" t="s">
        <v>16773</v>
      </c>
    </row>
    <row r="17765" spans="1:2" x14ac:dyDescent="0.35">
      <c r="A17765" s="34">
        <v>85111605</v>
      </c>
      <c r="B17765" s="35" t="s">
        <v>14506</v>
      </c>
    </row>
    <row r="17766" spans="1:2" x14ac:dyDescent="0.35">
      <c r="A17766" s="34">
        <v>85111606</v>
      </c>
      <c r="B17766" s="35" t="s">
        <v>384</v>
      </c>
    </row>
    <row r="17767" spans="1:2" x14ac:dyDescent="0.35">
      <c r="A17767" s="34">
        <v>85111607</v>
      </c>
      <c r="B17767" s="35" t="s">
        <v>8160</v>
      </c>
    </row>
    <row r="17768" spans="1:2" x14ac:dyDescent="0.35">
      <c r="A17768" s="34">
        <v>85111608</v>
      </c>
      <c r="B17768" s="35" t="s">
        <v>6421</v>
      </c>
    </row>
    <row r="17769" spans="1:2" x14ac:dyDescent="0.35">
      <c r="A17769" s="34">
        <v>85111609</v>
      </c>
      <c r="B17769" s="35" t="s">
        <v>7966</v>
      </c>
    </row>
    <row r="17770" spans="1:2" x14ac:dyDescent="0.35">
      <c r="A17770" s="34">
        <v>85111610</v>
      </c>
      <c r="B17770" s="35" t="s">
        <v>10268</v>
      </c>
    </row>
    <row r="17771" spans="1:2" x14ac:dyDescent="0.35">
      <c r="A17771" s="34">
        <v>85111611</v>
      </c>
      <c r="B17771" s="35" t="s">
        <v>16732</v>
      </c>
    </row>
    <row r="17772" spans="1:2" x14ac:dyDescent="0.35">
      <c r="A17772" s="34">
        <v>85111612</v>
      </c>
      <c r="B17772" s="35" t="s">
        <v>17062</v>
      </c>
    </row>
    <row r="17773" spans="1:2" x14ac:dyDescent="0.35">
      <c r="A17773" s="34">
        <v>85111613</v>
      </c>
      <c r="B17773" s="35" t="s">
        <v>18428</v>
      </c>
    </row>
    <row r="17774" spans="1:2" x14ac:dyDescent="0.35">
      <c r="A17774" s="34">
        <v>85111614</v>
      </c>
      <c r="B17774" s="35" t="s">
        <v>15091</v>
      </c>
    </row>
    <row r="17775" spans="1:2" x14ac:dyDescent="0.35">
      <c r="A17775" s="34">
        <v>85111615</v>
      </c>
      <c r="B17775" s="35" t="s">
        <v>15383</v>
      </c>
    </row>
    <row r="17776" spans="1:2" x14ac:dyDescent="0.35">
      <c r="A17776" s="34">
        <v>85111616</v>
      </c>
      <c r="B17776" s="35" t="s">
        <v>6334</v>
      </c>
    </row>
    <row r="17777" spans="1:2" x14ac:dyDescent="0.35">
      <c r="A17777" s="34">
        <v>85111617</v>
      </c>
      <c r="B17777" s="35" t="s">
        <v>9640</v>
      </c>
    </row>
    <row r="17778" spans="1:2" x14ac:dyDescent="0.35">
      <c r="A17778" s="34">
        <v>85111701</v>
      </c>
      <c r="B17778" s="35" t="s">
        <v>12520</v>
      </c>
    </row>
    <row r="17779" spans="1:2" x14ac:dyDescent="0.35">
      <c r="A17779" s="34">
        <v>85111702</v>
      </c>
      <c r="B17779" s="35" t="s">
        <v>18797</v>
      </c>
    </row>
    <row r="17780" spans="1:2" x14ac:dyDescent="0.35">
      <c r="A17780" s="34">
        <v>85111703</v>
      </c>
      <c r="B17780" s="35" t="s">
        <v>14211</v>
      </c>
    </row>
    <row r="17781" spans="1:2" x14ac:dyDescent="0.35">
      <c r="A17781" s="34">
        <v>85111704</v>
      </c>
      <c r="B17781" s="35" t="s">
        <v>18366</v>
      </c>
    </row>
    <row r="17782" spans="1:2" x14ac:dyDescent="0.35">
      <c r="A17782" s="34">
        <v>85121501</v>
      </c>
      <c r="B17782" s="35" t="s">
        <v>3588</v>
      </c>
    </row>
    <row r="17783" spans="1:2" x14ac:dyDescent="0.35">
      <c r="A17783" s="34">
        <v>85121502</v>
      </c>
      <c r="B17783" s="35" t="s">
        <v>15708</v>
      </c>
    </row>
    <row r="17784" spans="1:2" x14ac:dyDescent="0.35">
      <c r="A17784" s="34">
        <v>85121503</v>
      </c>
      <c r="B17784" s="35" t="s">
        <v>9364</v>
      </c>
    </row>
    <row r="17785" spans="1:2" x14ac:dyDescent="0.35">
      <c r="A17785" s="34">
        <v>85121504</v>
      </c>
      <c r="B17785" s="35" t="s">
        <v>8873</v>
      </c>
    </row>
    <row r="17786" spans="1:2" x14ac:dyDescent="0.35">
      <c r="A17786" s="34">
        <v>85121601</v>
      </c>
      <c r="B17786" s="35" t="s">
        <v>2993</v>
      </c>
    </row>
    <row r="17787" spans="1:2" x14ac:dyDescent="0.35">
      <c r="A17787" s="34">
        <v>85121602</v>
      </c>
      <c r="B17787" s="35" t="s">
        <v>19489</v>
      </c>
    </row>
    <row r="17788" spans="1:2" x14ac:dyDescent="0.35">
      <c r="A17788" s="34">
        <v>85121603</v>
      </c>
      <c r="B17788" s="35" t="s">
        <v>5136</v>
      </c>
    </row>
    <row r="17789" spans="1:2" x14ac:dyDescent="0.35">
      <c r="A17789" s="34">
        <v>85121604</v>
      </c>
      <c r="B17789" s="35" t="s">
        <v>11894</v>
      </c>
    </row>
    <row r="17790" spans="1:2" x14ac:dyDescent="0.35">
      <c r="A17790" s="34">
        <v>85121605</v>
      </c>
      <c r="B17790" s="35" t="s">
        <v>14010</v>
      </c>
    </row>
    <row r="17791" spans="1:2" x14ac:dyDescent="0.35">
      <c r="A17791" s="34">
        <v>85121606</v>
      </c>
      <c r="B17791" s="35" t="s">
        <v>1891</v>
      </c>
    </row>
    <row r="17792" spans="1:2" x14ac:dyDescent="0.35">
      <c r="A17792" s="34">
        <v>85121607</v>
      </c>
      <c r="B17792" s="35" t="s">
        <v>7000</v>
      </c>
    </row>
    <row r="17793" spans="1:2" x14ac:dyDescent="0.35">
      <c r="A17793" s="34">
        <v>85121608</v>
      </c>
      <c r="B17793" s="35" t="s">
        <v>14223</v>
      </c>
    </row>
    <row r="17794" spans="1:2" x14ac:dyDescent="0.35">
      <c r="A17794" s="34">
        <v>85121609</v>
      </c>
      <c r="B17794" s="35" t="s">
        <v>1450</v>
      </c>
    </row>
    <row r="17795" spans="1:2" x14ac:dyDescent="0.35">
      <c r="A17795" s="34">
        <v>85121610</v>
      </c>
      <c r="B17795" s="35" t="s">
        <v>8647</v>
      </c>
    </row>
    <row r="17796" spans="1:2" x14ac:dyDescent="0.35">
      <c r="A17796" s="34">
        <v>85121611</v>
      </c>
      <c r="B17796" s="35" t="s">
        <v>104</v>
      </c>
    </row>
    <row r="17797" spans="1:2" x14ac:dyDescent="0.35">
      <c r="A17797" s="34">
        <v>85121612</v>
      </c>
      <c r="B17797" s="35" t="s">
        <v>12146</v>
      </c>
    </row>
    <row r="17798" spans="1:2" x14ac:dyDescent="0.35">
      <c r="A17798" s="34">
        <v>85121613</v>
      </c>
      <c r="B17798" s="35" t="s">
        <v>17490</v>
      </c>
    </row>
    <row r="17799" spans="1:2" x14ac:dyDescent="0.35">
      <c r="A17799" s="34">
        <v>85121614</v>
      </c>
      <c r="B17799" s="35" t="s">
        <v>16236</v>
      </c>
    </row>
    <row r="17800" spans="1:2" x14ac:dyDescent="0.35">
      <c r="A17800" s="34">
        <v>85121701</v>
      </c>
      <c r="B17800" s="35" t="s">
        <v>16588</v>
      </c>
    </row>
    <row r="17801" spans="1:2" x14ac:dyDescent="0.35">
      <c r="A17801" s="34">
        <v>85121702</v>
      </c>
      <c r="B17801" s="35" t="s">
        <v>8538</v>
      </c>
    </row>
    <row r="17802" spans="1:2" x14ac:dyDescent="0.35">
      <c r="A17802" s="34">
        <v>85121703</v>
      </c>
      <c r="B17802" s="35" t="s">
        <v>6369</v>
      </c>
    </row>
    <row r="17803" spans="1:2" x14ac:dyDescent="0.35">
      <c r="A17803" s="34">
        <v>85121704</v>
      </c>
      <c r="B17803" s="35" t="s">
        <v>5884</v>
      </c>
    </row>
    <row r="17804" spans="1:2" x14ac:dyDescent="0.35">
      <c r="A17804" s="34">
        <v>85121705</v>
      </c>
      <c r="B17804" s="35" t="s">
        <v>1872</v>
      </c>
    </row>
    <row r="17805" spans="1:2" x14ac:dyDescent="0.35">
      <c r="A17805" s="34">
        <v>85121706</v>
      </c>
      <c r="B17805" s="35" t="s">
        <v>14861</v>
      </c>
    </row>
    <row r="17806" spans="1:2" x14ac:dyDescent="0.35">
      <c r="A17806" s="34">
        <v>85121801</v>
      </c>
      <c r="B17806" s="35" t="s">
        <v>18816</v>
      </c>
    </row>
    <row r="17807" spans="1:2" x14ac:dyDescent="0.35">
      <c r="A17807" s="34">
        <v>85121802</v>
      </c>
      <c r="B17807" s="35" t="s">
        <v>19542</v>
      </c>
    </row>
    <row r="17808" spans="1:2" x14ac:dyDescent="0.35">
      <c r="A17808" s="34">
        <v>85121803</v>
      </c>
      <c r="B17808" s="35" t="s">
        <v>17163</v>
      </c>
    </row>
    <row r="17809" spans="1:2" x14ac:dyDescent="0.35">
      <c r="A17809" s="34">
        <v>85121804</v>
      </c>
      <c r="B17809" s="35" t="s">
        <v>12368</v>
      </c>
    </row>
    <row r="17810" spans="1:2" x14ac:dyDescent="0.35">
      <c r="A17810" s="34">
        <v>85121805</v>
      </c>
      <c r="B17810" s="35" t="s">
        <v>6990</v>
      </c>
    </row>
    <row r="17811" spans="1:2" x14ac:dyDescent="0.35">
      <c r="A17811" s="34">
        <v>85121806</v>
      </c>
      <c r="B17811" s="35" t="s">
        <v>18878</v>
      </c>
    </row>
    <row r="17812" spans="1:2" x14ac:dyDescent="0.35">
      <c r="A17812" s="34">
        <v>85121807</v>
      </c>
      <c r="B17812" s="35" t="s">
        <v>2776</v>
      </c>
    </row>
    <row r="17813" spans="1:2" x14ac:dyDescent="0.35">
      <c r="A17813" s="34">
        <v>85121808</v>
      </c>
      <c r="B17813" s="35" t="s">
        <v>16567</v>
      </c>
    </row>
    <row r="17814" spans="1:2" x14ac:dyDescent="0.35">
      <c r="A17814" s="34">
        <v>85121809</v>
      </c>
      <c r="B17814" s="35" t="s">
        <v>13060</v>
      </c>
    </row>
    <row r="17815" spans="1:2" x14ac:dyDescent="0.35">
      <c r="A17815" s="34">
        <v>85121810</v>
      </c>
      <c r="B17815" s="35" t="s">
        <v>5079</v>
      </c>
    </row>
    <row r="17816" spans="1:2" x14ac:dyDescent="0.35">
      <c r="A17816" s="34">
        <v>85121901</v>
      </c>
      <c r="B17816" s="35" t="s">
        <v>13315</v>
      </c>
    </row>
    <row r="17817" spans="1:2" x14ac:dyDescent="0.35">
      <c r="A17817" s="34">
        <v>85121902</v>
      </c>
      <c r="B17817" s="35" t="s">
        <v>1082</v>
      </c>
    </row>
    <row r="17818" spans="1:2" x14ac:dyDescent="0.35">
      <c r="A17818" s="34">
        <v>85122001</v>
      </c>
      <c r="B17818" s="35" t="s">
        <v>13497</v>
      </c>
    </row>
    <row r="17819" spans="1:2" x14ac:dyDescent="0.35">
      <c r="A17819" s="34">
        <v>85122002</v>
      </c>
      <c r="B17819" s="35" t="s">
        <v>8928</v>
      </c>
    </row>
    <row r="17820" spans="1:2" x14ac:dyDescent="0.35">
      <c r="A17820" s="34">
        <v>85122003</v>
      </c>
      <c r="B17820" s="35" t="s">
        <v>14923</v>
      </c>
    </row>
    <row r="17821" spans="1:2" x14ac:dyDescent="0.35">
      <c r="A17821" s="34">
        <v>85122004</v>
      </c>
      <c r="B17821" s="35" t="s">
        <v>8545</v>
      </c>
    </row>
    <row r="17822" spans="1:2" x14ac:dyDescent="0.35">
      <c r="A17822" s="34">
        <v>85122005</v>
      </c>
      <c r="B17822" s="35" t="s">
        <v>4634</v>
      </c>
    </row>
    <row r="17823" spans="1:2" x14ac:dyDescent="0.35">
      <c r="A17823" s="34">
        <v>85122101</v>
      </c>
      <c r="B17823" s="35" t="s">
        <v>8293</v>
      </c>
    </row>
    <row r="17824" spans="1:2" x14ac:dyDescent="0.35">
      <c r="A17824" s="34">
        <v>85122102</v>
      </c>
      <c r="B17824" s="35" t="s">
        <v>3178</v>
      </c>
    </row>
    <row r="17825" spans="1:2" x14ac:dyDescent="0.35">
      <c r="A17825" s="34">
        <v>85122103</v>
      </c>
      <c r="B17825" s="35" t="s">
        <v>5456</v>
      </c>
    </row>
    <row r="17826" spans="1:2" x14ac:dyDescent="0.35">
      <c r="A17826" s="34">
        <v>85122104</v>
      </c>
      <c r="B17826" s="35" t="s">
        <v>15743</v>
      </c>
    </row>
    <row r="17827" spans="1:2" x14ac:dyDescent="0.35">
      <c r="A17827" s="34">
        <v>85122105</v>
      </c>
      <c r="B17827" s="35" t="s">
        <v>3284</v>
      </c>
    </row>
    <row r="17828" spans="1:2" x14ac:dyDescent="0.35">
      <c r="A17828" s="34">
        <v>85122106</v>
      </c>
      <c r="B17828" s="35" t="s">
        <v>17217</v>
      </c>
    </row>
    <row r="17829" spans="1:2" x14ac:dyDescent="0.35">
      <c r="A17829" s="34">
        <v>85122107</v>
      </c>
      <c r="B17829" s="35" t="s">
        <v>7379</v>
      </c>
    </row>
    <row r="17830" spans="1:2" x14ac:dyDescent="0.35">
      <c r="A17830" s="34">
        <v>85122108</v>
      </c>
      <c r="B17830" s="35" t="s">
        <v>14591</v>
      </c>
    </row>
    <row r="17831" spans="1:2" x14ac:dyDescent="0.35">
      <c r="A17831" s="34">
        <v>85122109</v>
      </c>
      <c r="B17831" s="35" t="s">
        <v>10112</v>
      </c>
    </row>
    <row r="17832" spans="1:2" x14ac:dyDescent="0.35">
      <c r="A17832" s="34">
        <v>85122201</v>
      </c>
      <c r="B17832" s="35" t="s">
        <v>12837</v>
      </c>
    </row>
    <row r="17833" spans="1:2" x14ac:dyDescent="0.35">
      <c r="A17833" s="34">
        <v>85131501</v>
      </c>
      <c r="B17833" s="35" t="s">
        <v>3661</v>
      </c>
    </row>
    <row r="17834" spans="1:2" x14ac:dyDescent="0.35">
      <c r="A17834" s="34">
        <v>85131502</v>
      </c>
      <c r="B17834" s="35" t="s">
        <v>1385</v>
      </c>
    </row>
    <row r="17835" spans="1:2" x14ac:dyDescent="0.35">
      <c r="A17835" s="34">
        <v>85131503</v>
      </c>
      <c r="B17835" s="35" t="s">
        <v>15838</v>
      </c>
    </row>
    <row r="17836" spans="1:2" x14ac:dyDescent="0.35">
      <c r="A17836" s="34">
        <v>85131504</v>
      </c>
      <c r="B17836" s="35" t="s">
        <v>11126</v>
      </c>
    </row>
    <row r="17837" spans="1:2" x14ac:dyDescent="0.35">
      <c r="A17837" s="34">
        <v>85131505</v>
      </c>
      <c r="B17837" s="35" t="s">
        <v>4254</v>
      </c>
    </row>
    <row r="17838" spans="1:2" x14ac:dyDescent="0.35">
      <c r="A17838" s="34">
        <v>85131601</v>
      </c>
      <c r="B17838" s="35" t="s">
        <v>12371</v>
      </c>
    </row>
    <row r="17839" spans="1:2" x14ac:dyDescent="0.35">
      <c r="A17839" s="34">
        <v>85131602</v>
      </c>
      <c r="B17839" s="35" t="s">
        <v>9564</v>
      </c>
    </row>
    <row r="17840" spans="1:2" x14ac:dyDescent="0.35">
      <c r="A17840" s="34">
        <v>85131603</v>
      </c>
      <c r="B17840" s="35" t="s">
        <v>6039</v>
      </c>
    </row>
    <row r="17841" spans="1:2" x14ac:dyDescent="0.35">
      <c r="A17841" s="34">
        <v>85131604</v>
      </c>
      <c r="B17841" s="35" t="s">
        <v>12091</v>
      </c>
    </row>
    <row r="17842" spans="1:2" x14ac:dyDescent="0.35">
      <c r="A17842" s="34">
        <v>85131701</v>
      </c>
      <c r="B17842" s="35" t="s">
        <v>5415</v>
      </c>
    </row>
    <row r="17843" spans="1:2" x14ac:dyDescent="0.35">
      <c r="A17843" s="34">
        <v>85131702</v>
      </c>
      <c r="B17843" s="35" t="s">
        <v>4016</v>
      </c>
    </row>
    <row r="17844" spans="1:2" x14ac:dyDescent="0.35">
      <c r="A17844" s="34">
        <v>85131703</v>
      </c>
      <c r="B17844" s="35" t="s">
        <v>2279</v>
      </c>
    </row>
    <row r="17845" spans="1:2" x14ac:dyDescent="0.35">
      <c r="A17845" s="34">
        <v>85131704</v>
      </c>
      <c r="B17845" s="35" t="s">
        <v>1381</v>
      </c>
    </row>
    <row r="17846" spans="1:2" x14ac:dyDescent="0.35">
      <c r="A17846" s="34">
        <v>85131705</v>
      </c>
      <c r="B17846" s="35" t="s">
        <v>10162</v>
      </c>
    </row>
    <row r="17847" spans="1:2" x14ac:dyDescent="0.35">
      <c r="A17847" s="34">
        <v>85131706</v>
      </c>
      <c r="B17847" s="35" t="s">
        <v>16613</v>
      </c>
    </row>
    <row r="17848" spans="1:2" x14ac:dyDescent="0.35">
      <c r="A17848" s="34">
        <v>85131707</v>
      </c>
      <c r="B17848" s="35" t="s">
        <v>6630</v>
      </c>
    </row>
    <row r="17849" spans="1:2" x14ac:dyDescent="0.35">
      <c r="A17849" s="34">
        <v>85131708</v>
      </c>
      <c r="B17849" s="35" t="s">
        <v>5979</v>
      </c>
    </row>
    <row r="17850" spans="1:2" x14ac:dyDescent="0.35">
      <c r="A17850" s="34">
        <v>85131709</v>
      </c>
      <c r="B17850" s="35" t="s">
        <v>1075</v>
      </c>
    </row>
    <row r="17851" spans="1:2" x14ac:dyDescent="0.35">
      <c r="A17851" s="34">
        <v>85131710</v>
      </c>
      <c r="B17851" s="35" t="s">
        <v>2957</v>
      </c>
    </row>
    <row r="17852" spans="1:2" x14ac:dyDescent="0.35">
      <c r="A17852" s="34">
        <v>85131711</v>
      </c>
      <c r="B17852" s="35" t="s">
        <v>6811</v>
      </c>
    </row>
    <row r="17853" spans="1:2" x14ac:dyDescent="0.35">
      <c r="A17853" s="34">
        <v>85131712</v>
      </c>
      <c r="B17853" s="35" t="s">
        <v>2782</v>
      </c>
    </row>
    <row r="17854" spans="1:2" x14ac:dyDescent="0.35">
      <c r="A17854" s="34">
        <v>85131713</v>
      </c>
      <c r="B17854" s="35" t="s">
        <v>4123</v>
      </c>
    </row>
    <row r="17855" spans="1:2" x14ac:dyDescent="0.35">
      <c r="A17855" s="34">
        <v>85141501</v>
      </c>
      <c r="B17855" s="35" t="s">
        <v>12598</v>
      </c>
    </row>
    <row r="17856" spans="1:2" x14ac:dyDescent="0.35">
      <c r="A17856" s="34">
        <v>85141502</v>
      </c>
      <c r="B17856" s="35" t="s">
        <v>9962</v>
      </c>
    </row>
    <row r="17857" spans="1:2" x14ac:dyDescent="0.35">
      <c r="A17857" s="34">
        <v>85141503</v>
      </c>
      <c r="B17857" s="35" t="s">
        <v>10264</v>
      </c>
    </row>
    <row r="17858" spans="1:2" x14ac:dyDescent="0.35">
      <c r="A17858" s="34">
        <v>85141504</v>
      </c>
      <c r="B17858" s="35" t="s">
        <v>1480</v>
      </c>
    </row>
    <row r="17859" spans="1:2" x14ac:dyDescent="0.35">
      <c r="A17859" s="34">
        <v>85141601</v>
      </c>
      <c r="B17859" s="35" t="s">
        <v>634</v>
      </c>
    </row>
    <row r="17860" spans="1:2" x14ac:dyDescent="0.35">
      <c r="A17860" s="34">
        <v>85141602</v>
      </c>
      <c r="B17860" s="35" t="s">
        <v>9407</v>
      </c>
    </row>
    <row r="17861" spans="1:2" x14ac:dyDescent="0.35">
      <c r="A17861" s="34">
        <v>85141603</v>
      </c>
      <c r="B17861" s="35" t="s">
        <v>2331</v>
      </c>
    </row>
    <row r="17862" spans="1:2" x14ac:dyDescent="0.35">
      <c r="A17862" s="34">
        <v>85141701</v>
      </c>
      <c r="B17862" s="35" t="s">
        <v>10607</v>
      </c>
    </row>
    <row r="17863" spans="1:2" x14ac:dyDescent="0.35">
      <c r="A17863" s="34">
        <v>85141702</v>
      </c>
      <c r="B17863" s="35" t="s">
        <v>4779</v>
      </c>
    </row>
    <row r="17864" spans="1:2" x14ac:dyDescent="0.35">
      <c r="A17864" s="34">
        <v>85151501</v>
      </c>
      <c r="B17864" s="35" t="s">
        <v>5094</v>
      </c>
    </row>
    <row r="17865" spans="1:2" x14ac:dyDescent="0.35">
      <c r="A17865" s="34">
        <v>85151502</v>
      </c>
      <c r="B17865" s="35" t="s">
        <v>16795</v>
      </c>
    </row>
    <row r="17866" spans="1:2" x14ac:dyDescent="0.35">
      <c r="A17866" s="34">
        <v>85151503</v>
      </c>
      <c r="B17866" s="35" t="s">
        <v>15649</v>
      </c>
    </row>
    <row r="17867" spans="1:2" x14ac:dyDescent="0.35">
      <c r="A17867" s="34">
        <v>85151504</v>
      </c>
      <c r="B17867" s="35" t="s">
        <v>16145</v>
      </c>
    </row>
    <row r="17868" spans="1:2" x14ac:dyDescent="0.35">
      <c r="A17868" s="34">
        <v>85151505</v>
      </c>
      <c r="B17868" s="35" t="s">
        <v>10237</v>
      </c>
    </row>
    <row r="17869" spans="1:2" x14ac:dyDescent="0.35">
      <c r="A17869" s="34">
        <v>85151506</v>
      </c>
      <c r="B17869" s="35" t="s">
        <v>16048</v>
      </c>
    </row>
    <row r="17870" spans="1:2" x14ac:dyDescent="0.35">
      <c r="A17870" s="34">
        <v>85151507</v>
      </c>
      <c r="B17870" s="35" t="s">
        <v>10630</v>
      </c>
    </row>
    <row r="17871" spans="1:2" x14ac:dyDescent="0.35">
      <c r="A17871" s="34">
        <v>85151508</v>
      </c>
      <c r="B17871" s="35" t="s">
        <v>6967</v>
      </c>
    </row>
    <row r="17872" spans="1:2" x14ac:dyDescent="0.35">
      <c r="A17872" s="34">
        <v>85151509</v>
      </c>
      <c r="B17872" s="35" t="s">
        <v>3048</v>
      </c>
    </row>
    <row r="17873" spans="1:2" x14ac:dyDescent="0.35">
      <c r="A17873" s="34">
        <v>85151601</v>
      </c>
      <c r="B17873" s="35" t="s">
        <v>725</v>
      </c>
    </row>
    <row r="17874" spans="1:2" x14ac:dyDescent="0.35">
      <c r="A17874" s="34">
        <v>85151602</v>
      </c>
      <c r="B17874" s="35" t="s">
        <v>7466</v>
      </c>
    </row>
    <row r="17875" spans="1:2" x14ac:dyDescent="0.35">
      <c r="A17875" s="34">
        <v>85151603</v>
      </c>
      <c r="B17875" s="35" t="s">
        <v>855</v>
      </c>
    </row>
    <row r="17876" spans="1:2" x14ac:dyDescent="0.35">
      <c r="A17876" s="34">
        <v>85151604</v>
      </c>
      <c r="B17876" s="35" t="s">
        <v>3474</v>
      </c>
    </row>
    <row r="17877" spans="1:2" x14ac:dyDescent="0.35">
      <c r="A17877" s="34">
        <v>85151605</v>
      </c>
      <c r="B17877" s="35" t="s">
        <v>10664</v>
      </c>
    </row>
    <row r="17878" spans="1:2" x14ac:dyDescent="0.35">
      <c r="A17878" s="34">
        <v>85151606</v>
      </c>
      <c r="B17878" s="35" t="s">
        <v>1712</v>
      </c>
    </row>
    <row r="17879" spans="1:2" x14ac:dyDescent="0.35">
      <c r="A17879" s="34">
        <v>85151607</v>
      </c>
      <c r="B17879" s="35" t="s">
        <v>11307</v>
      </c>
    </row>
    <row r="17880" spans="1:2" x14ac:dyDescent="0.35">
      <c r="A17880" s="34">
        <v>85151701</v>
      </c>
      <c r="B17880" s="35" t="s">
        <v>6402</v>
      </c>
    </row>
    <row r="17881" spans="1:2" x14ac:dyDescent="0.35">
      <c r="A17881" s="34">
        <v>85151702</v>
      </c>
      <c r="B17881" s="35" t="s">
        <v>1991</v>
      </c>
    </row>
    <row r="17882" spans="1:2" x14ac:dyDescent="0.35">
      <c r="A17882" s="34">
        <v>85151703</v>
      </c>
      <c r="B17882" s="35" t="s">
        <v>8325</v>
      </c>
    </row>
    <row r="17883" spans="1:2" x14ac:dyDescent="0.35">
      <c r="A17883" s="34">
        <v>85151704</v>
      </c>
      <c r="B17883" s="35" t="s">
        <v>4537</v>
      </c>
    </row>
    <row r="17884" spans="1:2" x14ac:dyDescent="0.35">
      <c r="A17884" s="34">
        <v>85151705</v>
      </c>
      <c r="B17884" s="35" t="s">
        <v>10102</v>
      </c>
    </row>
    <row r="17885" spans="1:2" x14ac:dyDescent="0.35">
      <c r="A17885" s="34">
        <v>85161501</v>
      </c>
      <c r="B17885" s="35" t="s">
        <v>6514</v>
      </c>
    </row>
    <row r="17886" spans="1:2" x14ac:dyDescent="0.35">
      <c r="A17886" s="34">
        <v>85161502</v>
      </c>
      <c r="B17886" s="35" t="s">
        <v>13400</v>
      </c>
    </row>
    <row r="17887" spans="1:2" x14ac:dyDescent="0.35">
      <c r="A17887" s="34">
        <v>86101501</v>
      </c>
      <c r="B17887" s="35" t="s">
        <v>17998</v>
      </c>
    </row>
    <row r="17888" spans="1:2" x14ac:dyDescent="0.35">
      <c r="A17888" s="34">
        <v>86101502</v>
      </c>
      <c r="B17888" s="35" t="s">
        <v>10252</v>
      </c>
    </row>
    <row r="17889" spans="1:2" x14ac:dyDescent="0.35">
      <c r="A17889" s="34">
        <v>86101503</v>
      </c>
      <c r="B17889" s="35" t="s">
        <v>1755</v>
      </c>
    </row>
    <row r="17890" spans="1:2" x14ac:dyDescent="0.35">
      <c r="A17890" s="34">
        <v>86101504</v>
      </c>
      <c r="B17890" s="35" t="s">
        <v>2599</v>
      </c>
    </row>
    <row r="17891" spans="1:2" x14ac:dyDescent="0.35">
      <c r="A17891" s="34">
        <v>86101505</v>
      </c>
      <c r="B17891" s="35" t="s">
        <v>2457</v>
      </c>
    </row>
    <row r="17892" spans="1:2" x14ac:dyDescent="0.35">
      <c r="A17892" s="34">
        <v>86101506</v>
      </c>
      <c r="B17892" s="35" t="s">
        <v>11678</v>
      </c>
    </row>
    <row r="17893" spans="1:2" x14ac:dyDescent="0.35">
      <c r="A17893" s="34">
        <v>86101507</v>
      </c>
      <c r="B17893" s="35" t="s">
        <v>9839</v>
      </c>
    </row>
    <row r="17894" spans="1:2" x14ac:dyDescent="0.35">
      <c r="A17894" s="34">
        <v>86101508</v>
      </c>
      <c r="B17894" s="35" t="s">
        <v>14543</v>
      </c>
    </row>
    <row r="17895" spans="1:2" x14ac:dyDescent="0.35">
      <c r="A17895" s="34">
        <v>86101509</v>
      </c>
      <c r="B17895" s="35" t="s">
        <v>9756</v>
      </c>
    </row>
    <row r="17896" spans="1:2" x14ac:dyDescent="0.35">
      <c r="A17896" s="34">
        <v>86101601</v>
      </c>
      <c r="B17896" s="35" t="s">
        <v>4923</v>
      </c>
    </row>
    <row r="17897" spans="1:2" x14ac:dyDescent="0.35">
      <c r="A17897" s="34">
        <v>86101602</v>
      </c>
      <c r="B17897" s="35" t="s">
        <v>9623</v>
      </c>
    </row>
    <row r="17898" spans="1:2" x14ac:dyDescent="0.35">
      <c r="A17898" s="34">
        <v>86101603</v>
      </c>
      <c r="B17898" s="35" t="s">
        <v>16836</v>
      </c>
    </row>
    <row r="17899" spans="1:2" x14ac:dyDescent="0.35">
      <c r="A17899" s="34">
        <v>86101604</v>
      </c>
      <c r="B17899" s="35" t="s">
        <v>17654</v>
      </c>
    </row>
    <row r="17900" spans="1:2" x14ac:dyDescent="0.35">
      <c r="A17900" s="34">
        <v>86101605</v>
      </c>
      <c r="B17900" s="35" t="s">
        <v>13147</v>
      </c>
    </row>
    <row r="17901" spans="1:2" x14ac:dyDescent="0.35">
      <c r="A17901" s="34">
        <v>86101606</v>
      </c>
      <c r="B17901" s="35" t="s">
        <v>11184</v>
      </c>
    </row>
    <row r="17902" spans="1:2" x14ac:dyDescent="0.35">
      <c r="A17902" s="34">
        <v>86101607</v>
      </c>
      <c r="B17902" s="35" t="s">
        <v>11943</v>
      </c>
    </row>
    <row r="17903" spans="1:2" x14ac:dyDescent="0.35">
      <c r="A17903" s="34">
        <v>86101608</v>
      </c>
      <c r="B17903" s="35" t="s">
        <v>1641</v>
      </c>
    </row>
    <row r="17904" spans="1:2" x14ac:dyDescent="0.35">
      <c r="A17904" s="34">
        <v>86101609</v>
      </c>
      <c r="B17904" s="35" t="s">
        <v>3653</v>
      </c>
    </row>
    <row r="17905" spans="1:2" x14ac:dyDescent="0.35">
      <c r="A17905" s="34">
        <v>86101610</v>
      </c>
      <c r="B17905" s="35" t="s">
        <v>6379</v>
      </c>
    </row>
    <row r="17906" spans="1:2" x14ac:dyDescent="0.35">
      <c r="A17906" s="34">
        <v>86101701</v>
      </c>
      <c r="B17906" s="35" t="s">
        <v>2649</v>
      </c>
    </row>
    <row r="17907" spans="1:2" x14ac:dyDescent="0.35">
      <c r="A17907" s="34">
        <v>86101702</v>
      </c>
      <c r="B17907" s="35" t="s">
        <v>2486</v>
      </c>
    </row>
    <row r="17908" spans="1:2" x14ac:dyDescent="0.35">
      <c r="A17908" s="34">
        <v>86101703</v>
      </c>
      <c r="B17908" s="35" t="s">
        <v>10812</v>
      </c>
    </row>
    <row r="17909" spans="1:2" x14ac:dyDescent="0.35">
      <c r="A17909" s="34">
        <v>86101704</v>
      </c>
      <c r="B17909" s="35" t="s">
        <v>13775</v>
      </c>
    </row>
    <row r="17910" spans="1:2" x14ac:dyDescent="0.35">
      <c r="A17910" s="34">
        <v>86101705</v>
      </c>
      <c r="B17910" s="35" t="s">
        <v>11488</v>
      </c>
    </row>
    <row r="17911" spans="1:2" x14ac:dyDescent="0.35">
      <c r="A17911" s="34">
        <v>86101706</v>
      </c>
      <c r="B17911" s="35" t="s">
        <v>13152</v>
      </c>
    </row>
    <row r="17912" spans="1:2" x14ac:dyDescent="0.35">
      <c r="A17912" s="34">
        <v>86101707</v>
      </c>
      <c r="B17912" s="35" t="s">
        <v>5624</v>
      </c>
    </row>
    <row r="17913" spans="1:2" x14ac:dyDescent="0.35">
      <c r="A17913" s="34">
        <v>86101708</v>
      </c>
      <c r="B17913" s="35" t="s">
        <v>2148</v>
      </c>
    </row>
    <row r="17914" spans="1:2" x14ac:dyDescent="0.35">
      <c r="A17914" s="34">
        <v>86101709</v>
      </c>
      <c r="B17914" s="35" t="s">
        <v>3873</v>
      </c>
    </row>
    <row r="17915" spans="1:2" x14ac:dyDescent="0.35">
      <c r="A17915" s="34">
        <v>86101710</v>
      </c>
      <c r="B17915" s="35" t="s">
        <v>16653</v>
      </c>
    </row>
    <row r="17916" spans="1:2" x14ac:dyDescent="0.35">
      <c r="A17916" s="34">
        <v>86101711</v>
      </c>
      <c r="B17916" s="35" t="s">
        <v>2970</v>
      </c>
    </row>
    <row r="17917" spans="1:2" x14ac:dyDescent="0.35">
      <c r="A17917" s="34">
        <v>86101712</v>
      </c>
      <c r="B17917" s="35" t="s">
        <v>3504</v>
      </c>
    </row>
    <row r="17918" spans="1:2" x14ac:dyDescent="0.35">
      <c r="A17918" s="34">
        <v>86101713</v>
      </c>
      <c r="B17918" s="35" t="s">
        <v>5751</v>
      </c>
    </row>
    <row r="17919" spans="1:2" x14ac:dyDescent="0.35">
      <c r="A17919" s="34">
        <v>86101714</v>
      </c>
      <c r="B17919" s="35" t="s">
        <v>16633</v>
      </c>
    </row>
    <row r="17920" spans="1:2" x14ac:dyDescent="0.35">
      <c r="A17920" s="34">
        <v>86101715</v>
      </c>
      <c r="B17920" s="35" t="s">
        <v>16681</v>
      </c>
    </row>
    <row r="17921" spans="1:2" x14ac:dyDescent="0.35">
      <c r="A17921" s="34">
        <v>86101716</v>
      </c>
      <c r="B17921" s="35" t="s">
        <v>16927</v>
      </c>
    </row>
    <row r="17922" spans="1:2" x14ac:dyDescent="0.35">
      <c r="A17922" s="34">
        <v>86101801</v>
      </c>
      <c r="B17922" s="35" t="s">
        <v>9946</v>
      </c>
    </row>
    <row r="17923" spans="1:2" x14ac:dyDescent="0.35">
      <c r="A17923" s="34">
        <v>86101802</v>
      </c>
      <c r="B17923" s="35" t="s">
        <v>8306</v>
      </c>
    </row>
    <row r="17924" spans="1:2" x14ac:dyDescent="0.35">
      <c r="A17924" s="34">
        <v>86101803</v>
      </c>
      <c r="B17924" s="35" t="s">
        <v>10749</v>
      </c>
    </row>
    <row r="17925" spans="1:2" x14ac:dyDescent="0.35">
      <c r="A17925" s="34">
        <v>86101804</v>
      </c>
      <c r="B17925" s="35" t="s">
        <v>2445</v>
      </c>
    </row>
    <row r="17926" spans="1:2" x14ac:dyDescent="0.35">
      <c r="A17926" s="34">
        <v>86101805</v>
      </c>
      <c r="B17926" s="35" t="s">
        <v>2525</v>
      </c>
    </row>
    <row r="17927" spans="1:2" x14ac:dyDescent="0.35">
      <c r="A17927" s="34">
        <v>86101806</v>
      </c>
      <c r="B17927" s="35" t="s">
        <v>3414</v>
      </c>
    </row>
    <row r="17928" spans="1:2" x14ac:dyDescent="0.35">
      <c r="A17928" s="34">
        <v>86101807</v>
      </c>
      <c r="B17928" s="35" t="s">
        <v>13324</v>
      </c>
    </row>
    <row r="17929" spans="1:2" x14ac:dyDescent="0.35">
      <c r="A17929" s="34">
        <v>86101808</v>
      </c>
      <c r="B17929" s="35" t="s">
        <v>14114</v>
      </c>
    </row>
    <row r="17930" spans="1:2" x14ac:dyDescent="0.35">
      <c r="A17930" s="34">
        <v>86101809</v>
      </c>
      <c r="B17930" s="35" t="s">
        <v>4838</v>
      </c>
    </row>
    <row r="17931" spans="1:2" x14ac:dyDescent="0.35">
      <c r="A17931" s="34">
        <v>86111501</v>
      </c>
      <c r="B17931" s="35" t="s">
        <v>12552</v>
      </c>
    </row>
    <row r="17932" spans="1:2" x14ac:dyDescent="0.35">
      <c r="A17932" s="34">
        <v>86111502</v>
      </c>
      <c r="B17932" s="35" t="s">
        <v>12214</v>
      </c>
    </row>
    <row r="17933" spans="1:2" x14ac:dyDescent="0.35">
      <c r="A17933" s="34">
        <v>86111503</v>
      </c>
      <c r="B17933" s="35" t="s">
        <v>4927</v>
      </c>
    </row>
    <row r="17934" spans="1:2" x14ac:dyDescent="0.35">
      <c r="A17934" s="34">
        <v>86111504</v>
      </c>
      <c r="B17934" s="35" t="s">
        <v>1271</v>
      </c>
    </row>
    <row r="17935" spans="1:2" x14ac:dyDescent="0.35">
      <c r="A17935" s="34">
        <v>86111505</v>
      </c>
      <c r="B17935" s="35" t="s">
        <v>4720</v>
      </c>
    </row>
    <row r="17936" spans="1:2" x14ac:dyDescent="0.35">
      <c r="A17936" s="34">
        <v>86111601</v>
      </c>
      <c r="B17936" s="35" t="s">
        <v>8519</v>
      </c>
    </row>
    <row r="17937" spans="1:2" x14ac:dyDescent="0.35">
      <c r="A17937" s="34">
        <v>86111602</v>
      </c>
      <c r="B17937" s="35" t="s">
        <v>14966</v>
      </c>
    </row>
    <row r="17938" spans="1:2" x14ac:dyDescent="0.35">
      <c r="A17938" s="34">
        <v>86111603</v>
      </c>
      <c r="B17938" s="35" t="s">
        <v>10310</v>
      </c>
    </row>
    <row r="17939" spans="1:2" x14ac:dyDescent="0.35">
      <c r="A17939" s="34">
        <v>86111604</v>
      </c>
      <c r="B17939" s="35" t="s">
        <v>18314</v>
      </c>
    </row>
    <row r="17940" spans="1:2" x14ac:dyDescent="0.35">
      <c r="A17940" s="34">
        <v>86111701</v>
      </c>
      <c r="B17940" s="35" t="s">
        <v>2287</v>
      </c>
    </row>
    <row r="17941" spans="1:2" x14ac:dyDescent="0.35">
      <c r="A17941" s="34">
        <v>86111702</v>
      </c>
      <c r="B17941" s="35" t="s">
        <v>6671</v>
      </c>
    </row>
    <row r="17942" spans="1:2" x14ac:dyDescent="0.35">
      <c r="A17942" s="34">
        <v>86111801</v>
      </c>
      <c r="B17942" s="35" t="s">
        <v>13891</v>
      </c>
    </row>
    <row r="17943" spans="1:2" x14ac:dyDescent="0.35">
      <c r="A17943" s="34">
        <v>86111802</v>
      </c>
      <c r="B17943" s="35" t="s">
        <v>14862</v>
      </c>
    </row>
    <row r="17944" spans="1:2" x14ac:dyDescent="0.35">
      <c r="A17944" s="34">
        <v>86121501</v>
      </c>
      <c r="B17944" s="35" t="s">
        <v>1555</v>
      </c>
    </row>
    <row r="17945" spans="1:2" x14ac:dyDescent="0.35">
      <c r="A17945" s="34">
        <v>86121502</v>
      </c>
      <c r="B17945" s="35" t="s">
        <v>8820</v>
      </c>
    </row>
    <row r="17946" spans="1:2" x14ac:dyDescent="0.35">
      <c r="A17946" s="34">
        <v>86121503</v>
      </c>
      <c r="B17946" s="35" t="s">
        <v>1566</v>
      </c>
    </row>
    <row r="17947" spans="1:2" x14ac:dyDescent="0.35">
      <c r="A17947" s="34">
        <v>86121504</v>
      </c>
      <c r="B17947" s="35" t="s">
        <v>12248</v>
      </c>
    </row>
    <row r="17948" spans="1:2" x14ac:dyDescent="0.35">
      <c r="A17948" s="34">
        <v>86121601</v>
      </c>
      <c r="B17948" s="35" t="s">
        <v>2741</v>
      </c>
    </row>
    <row r="17949" spans="1:2" x14ac:dyDescent="0.35">
      <c r="A17949" s="34">
        <v>86121602</v>
      </c>
      <c r="B17949" s="35" t="s">
        <v>10486</v>
      </c>
    </row>
    <row r="17950" spans="1:2" x14ac:dyDescent="0.35">
      <c r="A17950" s="34">
        <v>86121701</v>
      </c>
      <c r="B17950" s="35" t="s">
        <v>15554</v>
      </c>
    </row>
    <row r="17951" spans="1:2" x14ac:dyDescent="0.35">
      <c r="A17951" s="34">
        <v>86121702</v>
      </c>
      <c r="B17951" s="35" t="s">
        <v>17907</v>
      </c>
    </row>
    <row r="17952" spans="1:2" x14ac:dyDescent="0.35">
      <c r="A17952" s="34">
        <v>86121802</v>
      </c>
      <c r="B17952" s="35" t="s">
        <v>9740</v>
      </c>
    </row>
    <row r="17953" spans="1:2" x14ac:dyDescent="0.35">
      <c r="A17953" s="34">
        <v>86121803</v>
      </c>
      <c r="B17953" s="35" t="s">
        <v>16478</v>
      </c>
    </row>
    <row r="17954" spans="1:2" x14ac:dyDescent="0.35">
      <c r="A17954" s="34">
        <v>86121804</v>
      </c>
      <c r="B17954" s="35" t="s">
        <v>17112</v>
      </c>
    </row>
    <row r="17955" spans="1:2" x14ac:dyDescent="0.35">
      <c r="A17955" s="34">
        <v>86131501</v>
      </c>
      <c r="B17955" s="35" t="s">
        <v>2692</v>
      </c>
    </row>
    <row r="17956" spans="1:2" x14ac:dyDescent="0.35">
      <c r="A17956" s="34">
        <v>86131502</v>
      </c>
      <c r="B17956" s="35" t="s">
        <v>4283</v>
      </c>
    </row>
    <row r="17957" spans="1:2" x14ac:dyDescent="0.35">
      <c r="A17957" s="34">
        <v>86131503</v>
      </c>
      <c r="B17957" s="35" t="s">
        <v>7129</v>
      </c>
    </row>
    <row r="17958" spans="1:2" x14ac:dyDescent="0.35">
      <c r="A17958" s="34">
        <v>86131504</v>
      </c>
      <c r="B17958" s="35" t="s">
        <v>3019</v>
      </c>
    </row>
    <row r="17959" spans="1:2" x14ac:dyDescent="0.35">
      <c r="A17959" s="34">
        <v>86131601</v>
      </c>
      <c r="B17959" s="35" t="s">
        <v>5483</v>
      </c>
    </row>
    <row r="17960" spans="1:2" x14ac:dyDescent="0.35">
      <c r="A17960" s="34">
        <v>86131602</v>
      </c>
      <c r="B17960" s="35" t="s">
        <v>2201</v>
      </c>
    </row>
    <row r="17961" spans="1:2" x14ac:dyDescent="0.35">
      <c r="A17961" s="34">
        <v>86131603</v>
      </c>
      <c r="B17961" s="35" t="s">
        <v>10761</v>
      </c>
    </row>
    <row r="17962" spans="1:2" x14ac:dyDescent="0.35">
      <c r="A17962" s="34">
        <v>86131701</v>
      </c>
      <c r="B17962" s="35" t="s">
        <v>16619</v>
      </c>
    </row>
    <row r="17963" spans="1:2" x14ac:dyDescent="0.35">
      <c r="A17963" s="34">
        <v>86131702</v>
      </c>
      <c r="B17963" s="35" t="s">
        <v>7079</v>
      </c>
    </row>
    <row r="17964" spans="1:2" x14ac:dyDescent="0.35">
      <c r="A17964" s="34">
        <v>86131703</v>
      </c>
      <c r="B17964" s="35" t="s">
        <v>11950</v>
      </c>
    </row>
    <row r="17965" spans="1:2" x14ac:dyDescent="0.35">
      <c r="A17965" s="34">
        <v>86131801</v>
      </c>
      <c r="B17965" s="35" t="s">
        <v>11362</v>
      </c>
    </row>
    <row r="17966" spans="1:2" x14ac:dyDescent="0.35">
      <c r="A17966" s="34">
        <v>86131802</v>
      </c>
      <c r="B17966" s="35" t="s">
        <v>11486</v>
      </c>
    </row>
    <row r="17967" spans="1:2" x14ac:dyDescent="0.35">
      <c r="A17967" s="34">
        <v>86131803</v>
      </c>
      <c r="B17967" s="35" t="s">
        <v>6480</v>
      </c>
    </row>
    <row r="17968" spans="1:2" x14ac:dyDescent="0.35">
      <c r="A17968" s="34">
        <v>86131804</v>
      </c>
      <c r="B17968" s="35" t="s">
        <v>11679</v>
      </c>
    </row>
    <row r="17969" spans="1:2" x14ac:dyDescent="0.35">
      <c r="A17969" s="34">
        <v>86131901</v>
      </c>
      <c r="B17969" s="35" t="s">
        <v>8102</v>
      </c>
    </row>
    <row r="17970" spans="1:2" x14ac:dyDescent="0.35">
      <c r="A17970" s="34">
        <v>86131902</v>
      </c>
      <c r="B17970" s="35" t="s">
        <v>7342</v>
      </c>
    </row>
    <row r="17971" spans="1:2" x14ac:dyDescent="0.35">
      <c r="A17971" s="34">
        <v>86131903</v>
      </c>
      <c r="B17971" s="35" t="s">
        <v>16113</v>
      </c>
    </row>
    <row r="17972" spans="1:2" x14ac:dyDescent="0.35">
      <c r="A17972" s="34">
        <v>86131904</v>
      </c>
      <c r="B17972" s="35" t="s">
        <v>13583</v>
      </c>
    </row>
    <row r="17973" spans="1:2" x14ac:dyDescent="0.35">
      <c r="A17973" s="34">
        <v>86141501</v>
      </c>
      <c r="B17973" s="35" t="s">
        <v>10829</v>
      </c>
    </row>
    <row r="17974" spans="1:2" x14ac:dyDescent="0.35">
      <c r="A17974" s="34">
        <v>86141502</v>
      </c>
      <c r="B17974" s="35" t="s">
        <v>13675</v>
      </c>
    </row>
    <row r="17975" spans="1:2" x14ac:dyDescent="0.35">
      <c r="A17975" s="34">
        <v>86141503</v>
      </c>
      <c r="B17975" s="35" t="s">
        <v>9451</v>
      </c>
    </row>
    <row r="17976" spans="1:2" x14ac:dyDescent="0.35">
      <c r="A17976" s="34">
        <v>86141504</v>
      </c>
      <c r="B17976" s="35" t="s">
        <v>9306</v>
      </c>
    </row>
    <row r="17977" spans="1:2" x14ac:dyDescent="0.35">
      <c r="A17977" s="34">
        <v>86141601</v>
      </c>
      <c r="B17977" s="35" t="s">
        <v>10616</v>
      </c>
    </row>
    <row r="17978" spans="1:2" x14ac:dyDescent="0.35">
      <c r="A17978" s="34">
        <v>86141602</v>
      </c>
      <c r="B17978" s="35" t="s">
        <v>3906</v>
      </c>
    </row>
    <row r="17979" spans="1:2" x14ac:dyDescent="0.35">
      <c r="A17979" s="34">
        <v>86141603</v>
      </c>
      <c r="B17979" s="35" t="s">
        <v>14099</v>
      </c>
    </row>
    <row r="17980" spans="1:2" x14ac:dyDescent="0.35">
      <c r="A17980" s="34">
        <v>86141701</v>
      </c>
      <c r="B17980" s="35" t="s">
        <v>15184</v>
      </c>
    </row>
    <row r="17981" spans="1:2" x14ac:dyDescent="0.35">
      <c r="A17981" s="34">
        <v>86141702</v>
      </c>
      <c r="B17981" s="35" t="s">
        <v>4773</v>
      </c>
    </row>
    <row r="17982" spans="1:2" x14ac:dyDescent="0.35">
      <c r="A17982" s="34">
        <v>86141703</v>
      </c>
      <c r="B17982" s="35" t="s">
        <v>6983</v>
      </c>
    </row>
    <row r="17983" spans="1:2" x14ac:dyDescent="0.35">
      <c r="A17983" s="34">
        <v>86141704</v>
      </c>
      <c r="B17983" s="35" t="s">
        <v>9764</v>
      </c>
    </row>
    <row r="17984" spans="1:2" x14ac:dyDescent="0.35">
      <c r="A17984" s="34">
        <v>90101501</v>
      </c>
      <c r="B17984" s="35" t="s">
        <v>11532</v>
      </c>
    </row>
    <row r="17985" spans="1:2" x14ac:dyDescent="0.35">
      <c r="A17985" s="34">
        <v>90101502</v>
      </c>
      <c r="B17985" s="35" t="s">
        <v>3445</v>
      </c>
    </row>
    <row r="17986" spans="1:2" x14ac:dyDescent="0.35">
      <c r="A17986" s="34">
        <v>90101503</v>
      </c>
      <c r="B17986" s="35" t="s">
        <v>12449</v>
      </c>
    </row>
    <row r="17987" spans="1:2" x14ac:dyDescent="0.35">
      <c r="A17987" s="34">
        <v>90101504</v>
      </c>
      <c r="B17987" s="35" t="s">
        <v>1792</v>
      </c>
    </row>
    <row r="17988" spans="1:2" x14ac:dyDescent="0.35">
      <c r="A17988" s="34">
        <v>90101601</v>
      </c>
      <c r="B17988" s="35" t="s">
        <v>10447</v>
      </c>
    </row>
    <row r="17989" spans="1:2" x14ac:dyDescent="0.35">
      <c r="A17989" s="34">
        <v>90101602</v>
      </c>
      <c r="B17989" s="35" t="s">
        <v>3737</v>
      </c>
    </row>
    <row r="17990" spans="1:2" x14ac:dyDescent="0.35">
      <c r="A17990" s="34">
        <v>90101603</v>
      </c>
      <c r="B17990" s="35" t="s">
        <v>17410</v>
      </c>
    </row>
    <row r="17991" spans="1:2" x14ac:dyDescent="0.35">
      <c r="A17991" s="34">
        <v>90101604</v>
      </c>
      <c r="B17991" s="35" t="s">
        <v>17073</v>
      </c>
    </row>
    <row r="17992" spans="1:2" x14ac:dyDescent="0.35">
      <c r="A17992" s="34">
        <v>90101605</v>
      </c>
      <c r="B17992" s="35" t="s">
        <v>18504</v>
      </c>
    </row>
    <row r="17993" spans="1:2" x14ac:dyDescent="0.35">
      <c r="A17993" s="34">
        <v>90101701</v>
      </c>
      <c r="B17993" s="35" t="s">
        <v>16881</v>
      </c>
    </row>
    <row r="17994" spans="1:2" x14ac:dyDescent="0.35">
      <c r="A17994" s="34">
        <v>90101801</v>
      </c>
      <c r="B17994" s="35" t="s">
        <v>9079</v>
      </c>
    </row>
    <row r="17995" spans="1:2" x14ac:dyDescent="0.35">
      <c r="A17995" s="34">
        <v>90101802</v>
      </c>
      <c r="B17995" s="35" t="s">
        <v>5765</v>
      </c>
    </row>
    <row r="17996" spans="1:2" x14ac:dyDescent="0.35">
      <c r="A17996" s="34">
        <v>90111501</v>
      </c>
      <c r="B17996" s="35" t="s">
        <v>10856</v>
      </c>
    </row>
    <row r="17997" spans="1:2" x14ac:dyDescent="0.35">
      <c r="A17997" s="34">
        <v>90111502</v>
      </c>
      <c r="B17997" s="35" t="s">
        <v>5181</v>
      </c>
    </row>
    <row r="17998" spans="1:2" x14ac:dyDescent="0.35">
      <c r="A17998" s="34">
        <v>90111503</v>
      </c>
      <c r="B17998" s="35" t="s">
        <v>4985</v>
      </c>
    </row>
    <row r="17999" spans="1:2" x14ac:dyDescent="0.35">
      <c r="A17999" s="34">
        <v>90111504</v>
      </c>
      <c r="B17999" s="35" t="s">
        <v>16763</v>
      </c>
    </row>
    <row r="18000" spans="1:2" x14ac:dyDescent="0.35">
      <c r="A18000" s="34">
        <v>90111601</v>
      </c>
      <c r="B18000" s="35" t="s">
        <v>2061</v>
      </c>
    </row>
    <row r="18001" spans="1:2" x14ac:dyDescent="0.35">
      <c r="A18001" s="34">
        <v>90111602</v>
      </c>
      <c r="B18001" s="35" t="s">
        <v>12553</v>
      </c>
    </row>
    <row r="18002" spans="1:2" x14ac:dyDescent="0.35">
      <c r="A18002" s="34">
        <v>90111603</v>
      </c>
      <c r="B18002" s="35" t="s">
        <v>14912</v>
      </c>
    </row>
    <row r="18003" spans="1:2" x14ac:dyDescent="0.35">
      <c r="A18003" s="34">
        <v>90111604</v>
      </c>
      <c r="B18003" s="35" t="s">
        <v>8430</v>
      </c>
    </row>
    <row r="18004" spans="1:2" x14ac:dyDescent="0.35">
      <c r="A18004" s="34">
        <v>90111701</v>
      </c>
      <c r="B18004" s="35" t="s">
        <v>16109</v>
      </c>
    </row>
    <row r="18005" spans="1:2" x14ac:dyDescent="0.35">
      <c r="A18005" s="34">
        <v>90111702</v>
      </c>
      <c r="B18005" s="35" t="s">
        <v>10014</v>
      </c>
    </row>
    <row r="18006" spans="1:2" x14ac:dyDescent="0.35">
      <c r="A18006" s="34">
        <v>90111703</v>
      </c>
      <c r="B18006" s="35" t="s">
        <v>15659</v>
      </c>
    </row>
    <row r="18007" spans="1:2" x14ac:dyDescent="0.35">
      <c r="A18007" s="34">
        <v>90111801</v>
      </c>
      <c r="B18007" s="35" t="s">
        <v>11225</v>
      </c>
    </row>
    <row r="18008" spans="1:2" x14ac:dyDescent="0.35">
      <c r="A18008" s="34">
        <v>90111802</v>
      </c>
      <c r="B18008" s="35" t="s">
        <v>13336</v>
      </c>
    </row>
    <row r="18009" spans="1:2" x14ac:dyDescent="0.35">
      <c r="A18009" s="34">
        <v>90111803</v>
      </c>
      <c r="B18009" s="35" t="s">
        <v>2426</v>
      </c>
    </row>
    <row r="18010" spans="1:2" x14ac:dyDescent="0.35">
      <c r="A18010" s="34">
        <v>90121501</v>
      </c>
      <c r="B18010" s="35" t="s">
        <v>1644</v>
      </c>
    </row>
    <row r="18011" spans="1:2" x14ac:dyDescent="0.35">
      <c r="A18011" s="34">
        <v>90121502</v>
      </c>
      <c r="B18011" s="35" t="s">
        <v>2974</v>
      </c>
    </row>
    <row r="18012" spans="1:2" x14ac:dyDescent="0.35">
      <c r="A18012" s="34">
        <v>90121503</v>
      </c>
      <c r="B18012" s="35" t="s">
        <v>4318</v>
      </c>
    </row>
    <row r="18013" spans="1:2" x14ac:dyDescent="0.35">
      <c r="A18013" s="34">
        <v>90121601</v>
      </c>
      <c r="B18013" s="35" t="s">
        <v>12655</v>
      </c>
    </row>
    <row r="18014" spans="1:2" x14ac:dyDescent="0.35">
      <c r="A18014" s="34">
        <v>90121602</v>
      </c>
      <c r="B18014" s="35" t="s">
        <v>5043</v>
      </c>
    </row>
    <row r="18015" spans="1:2" x14ac:dyDescent="0.35">
      <c r="A18015" s="34">
        <v>90121701</v>
      </c>
      <c r="B18015" s="35" t="s">
        <v>14900</v>
      </c>
    </row>
    <row r="18016" spans="1:2" x14ac:dyDescent="0.35">
      <c r="A18016" s="34">
        <v>90121702</v>
      </c>
      <c r="B18016" s="35" t="s">
        <v>352</v>
      </c>
    </row>
    <row r="18017" spans="1:2" x14ac:dyDescent="0.35">
      <c r="A18017" s="34">
        <v>90131501</v>
      </c>
      <c r="B18017" s="35" t="s">
        <v>19236</v>
      </c>
    </row>
    <row r="18018" spans="1:2" x14ac:dyDescent="0.35">
      <c r="A18018" s="34">
        <v>90131502</v>
      </c>
      <c r="B18018" s="35" t="s">
        <v>2883</v>
      </c>
    </row>
    <row r="18019" spans="1:2" x14ac:dyDescent="0.35">
      <c r="A18019" s="34">
        <v>90131503</v>
      </c>
      <c r="B18019" s="35" t="s">
        <v>12854</v>
      </c>
    </row>
    <row r="18020" spans="1:2" x14ac:dyDescent="0.35">
      <c r="A18020" s="34">
        <v>90131504</v>
      </c>
      <c r="B18020" s="35" t="s">
        <v>2533</v>
      </c>
    </row>
    <row r="18021" spans="1:2" x14ac:dyDescent="0.35">
      <c r="A18021" s="34">
        <v>90131601</v>
      </c>
      <c r="B18021" s="35" t="s">
        <v>6549</v>
      </c>
    </row>
    <row r="18022" spans="1:2" x14ac:dyDescent="0.35">
      <c r="A18022" s="34">
        <v>90131602</v>
      </c>
      <c r="B18022" s="35" t="s">
        <v>14952</v>
      </c>
    </row>
    <row r="18023" spans="1:2" x14ac:dyDescent="0.35">
      <c r="A18023" s="34">
        <v>90141501</v>
      </c>
      <c r="B18023" s="35" t="s">
        <v>14896</v>
      </c>
    </row>
    <row r="18024" spans="1:2" x14ac:dyDescent="0.35">
      <c r="A18024" s="34">
        <v>90141502</v>
      </c>
      <c r="B18024" s="35" t="s">
        <v>4781</v>
      </c>
    </row>
    <row r="18025" spans="1:2" x14ac:dyDescent="0.35">
      <c r="A18025" s="34">
        <v>90141503</v>
      </c>
      <c r="B18025" s="35" t="s">
        <v>7487</v>
      </c>
    </row>
    <row r="18026" spans="1:2" x14ac:dyDescent="0.35">
      <c r="A18026" s="34">
        <v>90141601</v>
      </c>
      <c r="B18026" s="35" t="s">
        <v>9204</v>
      </c>
    </row>
    <row r="18027" spans="1:2" x14ac:dyDescent="0.35">
      <c r="A18027" s="34">
        <v>90141602</v>
      </c>
      <c r="B18027" s="35" t="s">
        <v>15563</v>
      </c>
    </row>
    <row r="18028" spans="1:2" x14ac:dyDescent="0.35">
      <c r="A18028" s="34">
        <v>90141603</v>
      </c>
      <c r="B18028" s="35" t="s">
        <v>2241</v>
      </c>
    </row>
    <row r="18029" spans="1:2" x14ac:dyDescent="0.35">
      <c r="A18029" s="34">
        <v>90141701</v>
      </c>
      <c r="B18029" s="35" t="s">
        <v>10284</v>
      </c>
    </row>
    <row r="18030" spans="1:2" x14ac:dyDescent="0.35">
      <c r="A18030" s="34">
        <v>90141702</v>
      </c>
      <c r="B18030" s="35" t="s">
        <v>770</v>
      </c>
    </row>
    <row r="18031" spans="1:2" x14ac:dyDescent="0.35">
      <c r="A18031" s="34">
        <v>90141703</v>
      </c>
      <c r="B18031" s="35" t="s">
        <v>14505</v>
      </c>
    </row>
    <row r="18032" spans="1:2" x14ac:dyDescent="0.35">
      <c r="A18032" s="34">
        <v>90151501</v>
      </c>
      <c r="B18032" s="35" t="s">
        <v>672</v>
      </c>
    </row>
    <row r="18033" spans="1:2" x14ac:dyDescent="0.35">
      <c r="A18033" s="34">
        <v>90151502</v>
      </c>
      <c r="B18033" s="35" t="s">
        <v>6455</v>
      </c>
    </row>
    <row r="18034" spans="1:2" x14ac:dyDescent="0.35">
      <c r="A18034" s="34">
        <v>90151503</v>
      </c>
      <c r="B18034" s="35" t="s">
        <v>16495</v>
      </c>
    </row>
    <row r="18035" spans="1:2" x14ac:dyDescent="0.35">
      <c r="A18035" s="34">
        <v>90151601</v>
      </c>
      <c r="B18035" s="35" t="s">
        <v>9232</v>
      </c>
    </row>
    <row r="18036" spans="1:2" x14ac:dyDescent="0.35">
      <c r="A18036" s="34">
        <v>90151602</v>
      </c>
      <c r="B18036" s="35" t="s">
        <v>16442</v>
      </c>
    </row>
    <row r="18037" spans="1:2" x14ac:dyDescent="0.35">
      <c r="A18037" s="34">
        <v>90151603</v>
      </c>
      <c r="B18037" s="35" t="s">
        <v>9286</v>
      </c>
    </row>
    <row r="18038" spans="1:2" x14ac:dyDescent="0.35">
      <c r="A18038" s="34">
        <v>90151701</v>
      </c>
      <c r="B18038" s="35" t="s">
        <v>4900</v>
      </c>
    </row>
    <row r="18039" spans="1:2" x14ac:dyDescent="0.35">
      <c r="A18039" s="34">
        <v>90151702</v>
      </c>
      <c r="B18039" s="35" t="s">
        <v>10280</v>
      </c>
    </row>
    <row r="18040" spans="1:2" x14ac:dyDescent="0.35">
      <c r="A18040" s="34">
        <v>90151703</v>
      </c>
      <c r="B18040" s="35" t="s">
        <v>8732</v>
      </c>
    </row>
    <row r="18041" spans="1:2" x14ac:dyDescent="0.35">
      <c r="A18041" s="34">
        <v>90151801</v>
      </c>
      <c r="B18041" s="35" t="s">
        <v>2377</v>
      </c>
    </row>
    <row r="18042" spans="1:2" x14ac:dyDescent="0.35">
      <c r="A18042" s="34">
        <v>90151802</v>
      </c>
      <c r="B18042" s="35" t="s">
        <v>3741</v>
      </c>
    </row>
    <row r="18043" spans="1:2" x14ac:dyDescent="0.35">
      <c r="A18043" s="34">
        <v>90151803</v>
      </c>
      <c r="B18043" s="35" t="s">
        <v>16870</v>
      </c>
    </row>
    <row r="18044" spans="1:2" x14ac:dyDescent="0.35">
      <c r="A18044" s="34">
        <v>90151901</v>
      </c>
      <c r="B18044" s="35" t="s">
        <v>12221</v>
      </c>
    </row>
    <row r="18045" spans="1:2" x14ac:dyDescent="0.35">
      <c r="A18045" s="34">
        <v>90151902</v>
      </c>
      <c r="B18045" s="35" t="s">
        <v>11817</v>
      </c>
    </row>
    <row r="18046" spans="1:2" x14ac:dyDescent="0.35">
      <c r="A18046" s="34">
        <v>90151903</v>
      </c>
      <c r="B18046" s="35" t="s">
        <v>16637</v>
      </c>
    </row>
    <row r="18047" spans="1:2" x14ac:dyDescent="0.35">
      <c r="A18047" s="34">
        <v>90152001</v>
      </c>
      <c r="B18047" s="35" t="s">
        <v>11314</v>
      </c>
    </row>
    <row r="18048" spans="1:2" x14ac:dyDescent="0.35">
      <c r="A18048" s="34">
        <v>90152002</v>
      </c>
      <c r="B18048" s="35" t="s">
        <v>8168</v>
      </c>
    </row>
    <row r="18049" spans="1:2" x14ac:dyDescent="0.35">
      <c r="A18049" s="34">
        <v>90152101</v>
      </c>
      <c r="B18049" s="35" t="s">
        <v>5560</v>
      </c>
    </row>
    <row r="18050" spans="1:2" x14ac:dyDescent="0.35">
      <c r="A18050" s="34">
        <v>91101501</v>
      </c>
      <c r="B18050" s="35" t="s">
        <v>9805</v>
      </c>
    </row>
    <row r="18051" spans="1:2" x14ac:dyDescent="0.35">
      <c r="A18051" s="34">
        <v>91101502</v>
      </c>
      <c r="B18051" s="35" t="s">
        <v>5089</v>
      </c>
    </row>
    <row r="18052" spans="1:2" x14ac:dyDescent="0.35">
      <c r="A18052" s="34">
        <v>91101503</v>
      </c>
      <c r="B18052" s="35" t="s">
        <v>8066</v>
      </c>
    </row>
    <row r="18053" spans="1:2" x14ac:dyDescent="0.35">
      <c r="A18053" s="34">
        <v>91101504</v>
      </c>
      <c r="B18053" s="35" t="s">
        <v>7762</v>
      </c>
    </row>
    <row r="18054" spans="1:2" x14ac:dyDescent="0.35">
      <c r="A18054" s="34">
        <v>91101505</v>
      </c>
      <c r="B18054" s="35" t="s">
        <v>8670</v>
      </c>
    </row>
    <row r="18055" spans="1:2" x14ac:dyDescent="0.35">
      <c r="A18055" s="34">
        <v>91101601</v>
      </c>
      <c r="B18055" s="35" t="s">
        <v>5309</v>
      </c>
    </row>
    <row r="18056" spans="1:2" x14ac:dyDescent="0.35">
      <c r="A18056" s="34">
        <v>91101602</v>
      </c>
      <c r="B18056" s="35" t="s">
        <v>6909</v>
      </c>
    </row>
    <row r="18057" spans="1:2" x14ac:dyDescent="0.35">
      <c r="A18057" s="34">
        <v>91101603</v>
      </c>
      <c r="B18057" s="35" t="s">
        <v>11847</v>
      </c>
    </row>
    <row r="18058" spans="1:2" x14ac:dyDescent="0.35">
      <c r="A18058" s="34">
        <v>91101604</v>
      </c>
      <c r="B18058" s="35" t="s">
        <v>9314</v>
      </c>
    </row>
    <row r="18059" spans="1:2" x14ac:dyDescent="0.35">
      <c r="A18059" s="34">
        <v>91101605</v>
      </c>
      <c r="B18059" s="35" t="s">
        <v>18864</v>
      </c>
    </row>
    <row r="18060" spans="1:2" x14ac:dyDescent="0.35">
      <c r="A18060" s="34">
        <v>91101701</v>
      </c>
      <c r="B18060" s="35" t="s">
        <v>2829</v>
      </c>
    </row>
    <row r="18061" spans="1:2" x14ac:dyDescent="0.35">
      <c r="A18061" s="34">
        <v>91101702</v>
      </c>
      <c r="B18061" s="35" t="s">
        <v>8700</v>
      </c>
    </row>
    <row r="18062" spans="1:2" x14ac:dyDescent="0.35">
      <c r="A18062" s="34">
        <v>91101801</v>
      </c>
      <c r="B18062" s="35" t="s">
        <v>7163</v>
      </c>
    </row>
    <row r="18063" spans="1:2" x14ac:dyDescent="0.35">
      <c r="A18063" s="34">
        <v>91101802</v>
      </c>
      <c r="B18063" s="35" t="s">
        <v>8621</v>
      </c>
    </row>
    <row r="18064" spans="1:2" x14ac:dyDescent="0.35">
      <c r="A18064" s="34">
        <v>91101803</v>
      </c>
      <c r="B18064" s="35" t="s">
        <v>130</v>
      </c>
    </row>
    <row r="18065" spans="1:2" x14ac:dyDescent="0.35">
      <c r="A18065" s="34">
        <v>91101901</v>
      </c>
      <c r="B18065" s="35" t="s">
        <v>8831</v>
      </c>
    </row>
    <row r="18066" spans="1:2" x14ac:dyDescent="0.35">
      <c r="A18066" s="34">
        <v>91101902</v>
      </c>
      <c r="B18066" s="35" t="s">
        <v>11974</v>
      </c>
    </row>
    <row r="18067" spans="1:2" x14ac:dyDescent="0.35">
      <c r="A18067" s="34">
        <v>91101903</v>
      </c>
      <c r="B18067" s="35" t="s">
        <v>14780</v>
      </c>
    </row>
    <row r="18068" spans="1:2" x14ac:dyDescent="0.35">
      <c r="A18068" s="34">
        <v>91111501</v>
      </c>
      <c r="B18068" s="35" t="s">
        <v>96</v>
      </c>
    </row>
    <row r="18069" spans="1:2" x14ac:dyDescent="0.35">
      <c r="A18069" s="34">
        <v>91111502</v>
      </c>
      <c r="B18069" s="35" t="s">
        <v>9727</v>
      </c>
    </row>
    <row r="18070" spans="1:2" x14ac:dyDescent="0.35">
      <c r="A18070" s="34">
        <v>91111503</v>
      </c>
      <c r="B18070" s="35" t="s">
        <v>2288</v>
      </c>
    </row>
    <row r="18071" spans="1:2" x14ac:dyDescent="0.35">
      <c r="A18071" s="34">
        <v>91111504</v>
      </c>
      <c r="B18071" s="35" t="s">
        <v>4259</v>
      </c>
    </row>
    <row r="18072" spans="1:2" x14ac:dyDescent="0.35">
      <c r="A18072" s="34">
        <v>91111601</v>
      </c>
      <c r="B18072" s="35" t="s">
        <v>13440</v>
      </c>
    </row>
    <row r="18073" spans="1:2" x14ac:dyDescent="0.35">
      <c r="A18073" s="34">
        <v>91111602</v>
      </c>
      <c r="B18073" s="35" t="s">
        <v>8323</v>
      </c>
    </row>
    <row r="18074" spans="1:2" x14ac:dyDescent="0.35">
      <c r="A18074" s="34">
        <v>91111603</v>
      </c>
      <c r="B18074" s="35" t="s">
        <v>14705</v>
      </c>
    </row>
    <row r="18075" spans="1:2" x14ac:dyDescent="0.35">
      <c r="A18075" s="34">
        <v>91111701</v>
      </c>
      <c r="B18075" s="35" t="s">
        <v>5493</v>
      </c>
    </row>
    <row r="18076" spans="1:2" x14ac:dyDescent="0.35">
      <c r="A18076" s="34">
        <v>91111702</v>
      </c>
      <c r="B18076" s="35" t="s">
        <v>18132</v>
      </c>
    </row>
    <row r="18077" spans="1:2" x14ac:dyDescent="0.35">
      <c r="A18077" s="34">
        <v>91111703</v>
      </c>
      <c r="B18077" s="35" t="s">
        <v>14552</v>
      </c>
    </row>
    <row r="18078" spans="1:2" x14ac:dyDescent="0.35">
      <c r="A18078" s="34">
        <v>91111801</v>
      </c>
      <c r="B18078" s="35" t="s">
        <v>14575</v>
      </c>
    </row>
    <row r="18079" spans="1:2" x14ac:dyDescent="0.35">
      <c r="A18079" s="34">
        <v>91111802</v>
      </c>
      <c r="B18079" s="35" t="s">
        <v>12889</v>
      </c>
    </row>
    <row r="18080" spans="1:2" x14ac:dyDescent="0.35">
      <c r="A18080" s="34">
        <v>91111803</v>
      </c>
      <c r="B18080" s="35" t="s">
        <v>1737</v>
      </c>
    </row>
    <row r="18081" spans="1:2" x14ac:dyDescent="0.35">
      <c r="A18081" s="34">
        <v>91111804</v>
      </c>
      <c r="B18081" s="35" t="s">
        <v>13040</v>
      </c>
    </row>
    <row r="18082" spans="1:2" x14ac:dyDescent="0.35">
      <c r="A18082" s="34">
        <v>91111901</v>
      </c>
      <c r="B18082" s="35" t="s">
        <v>11273</v>
      </c>
    </row>
    <row r="18083" spans="1:2" x14ac:dyDescent="0.35">
      <c r="A18083" s="34">
        <v>91111902</v>
      </c>
      <c r="B18083" s="35" t="s">
        <v>10375</v>
      </c>
    </row>
    <row r="18084" spans="1:2" x14ac:dyDescent="0.35">
      <c r="A18084" s="34">
        <v>91111903</v>
      </c>
      <c r="B18084" s="35" t="s">
        <v>7869</v>
      </c>
    </row>
    <row r="18085" spans="1:2" x14ac:dyDescent="0.35">
      <c r="A18085" s="34">
        <v>91111904</v>
      </c>
      <c r="B18085" s="35" t="s">
        <v>12717</v>
      </c>
    </row>
    <row r="18086" spans="1:2" x14ac:dyDescent="0.35">
      <c r="A18086" s="34">
        <v>92101501</v>
      </c>
      <c r="B18086" s="35" t="s">
        <v>12106</v>
      </c>
    </row>
    <row r="18087" spans="1:2" x14ac:dyDescent="0.35">
      <c r="A18087" s="34">
        <v>92101502</v>
      </c>
      <c r="B18087" s="35" t="s">
        <v>14450</v>
      </c>
    </row>
    <row r="18088" spans="1:2" x14ac:dyDescent="0.35">
      <c r="A18088" s="34">
        <v>92101503</v>
      </c>
      <c r="B18088" s="35" t="s">
        <v>2423</v>
      </c>
    </row>
    <row r="18089" spans="1:2" x14ac:dyDescent="0.35">
      <c r="A18089" s="34">
        <v>92101504</v>
      </c>
      <c r="B18089" s="35" t="s">
        <v>7942</v>
      </c>
    </row>
    <row r="18090" spans="1:2" x14ac:dyDescent="0.35">
      <c r="A18090" s="34">
        <v>92101601</v>
      </c>
      <c r="B18090" s="35" t="s">
        <v>16967</v>
      </c>
    </row>
    <row r="18091" spans="1:2" x14ac:dyDescent="0.35">
      <c r="A18091" s="34">
        <v>92101602</v>
      </c>
      <c r="B18091" s="35" t="s">
        <v>18235</v>
      </c>
    </row>
    <row r="18092" spans="1:2" x14ac:dyDescent="0.35">
      <c r="A18092" s="34">
        <v>92101603</v>
      </c>
      <c r="B18092" s="35" t="s">
        <v>6759</v>
      </c>
    </row>
    <row r="18093" spans="1:2" x14ac:dyDescent="0.35">
      <c r="A18093" s="34">
        <v>92101604</v>
      </c>
      <c r="B18093" s="35" t="s">
        <v>3563</v>
      </c>
    </row>
    <row r="18094" spans="1:2" x14ac:dyDescent="0.35">
      <c r="A18094" s="34">
        <v>92101701</v>
      </c>
      <c r="B18094" s="35" t="s">
        <v>7590</v>
      </c>
    </row>
    <row r="18095" spans="1:2" x14ac:dyDescent="0.35">
      <c r="A18095" s="34">
        <v>92101702</v>
      </c>
      <c r="B18095" s="35" t="s">
        <v>19061</v>
      </c>
    </row>
    <row r="18096" spans="1:2" x14ac:dyDescent="0.35">
      <c r="A18096" s="34">
        <v>92101703</v>
      </c>
      <c r="B18096" s="35" t="s">
        <v>7242</v>
      </c>
    </row>
    <row r="18097" spans="1:2" x14ac:dyDescent="0.35">
      <c r="A18097" s="34">
        <v>92101704</v>
      </c>
      <c r="B18097" s="35" t="s">
        <v>16921</v>
      </c>
    </row>
    <row r="18098" spans="1:2" x14ac:dyDescent="0.35">
      <c r="A18098" s="34">
        <v>92101801</v>
      </c>
      <c r="B18098" s="35" t="s">
        <v>17101</v>
      </c>
    </row>
    <row r="18099" spans="1:2" x14ac:dyDescent="0.35">
      <c r="A18099" s="34">
        <v>92101802</v>
      </c>
      <c r="B18099" s="35" t="s">
        <v>14296</v>
      </c>
    </row>
    <row r="18100" spans="1:2" x14ac:dyDescent="0.35">
      <c r="A18100" s="34">
        <v>92101803</v>
      </c>
      <c r="B18100" s="35" t="s">
        <v>4324</v>
      </c>
    </row>
    <row r="18101" spans="1:2" x14ac:dyDescent="0.35">
      <c r="A18101" s="34">
        <v>92101804</v>
      </c>
      <c r="B18101" s="35" t="s">
        <v>19617</v>
      </c>
    </row>
    <row r="18102" spans="1:2" x14ac:dyDescent="0.35">
      <c r="A18102" s="34">
        <v>92101805</v>
      </c>
      <c r="B18102" s="35" t="s">
        <v>11143</v>
      </c>
    </row>
    <row r="18103" spans="1:2" x14ac:dyDescent="0.35">
      <c r="A18103" s="34">
        <v>92101901</v>
      </c>
      <c r="B18103" s="35" t="s">
        <v>12140</v>
      </c>
    </row>
    <row r="18104" spans="1:2" x14ac:dyDescent="0.35">
      <c r="A18104" s="34">
        <v>92101902</v>
      </c>
      <c r="B18104" s="35" t="s">
        <v>13212</v>
      </c>
    </row>
    <row r="18105" spans="1:2" x14ac:dyDescent="0.35">
      <c r="A18105" s="34">
        <v>92101903</v>
      </c>
      <c r="B18105" s="35" t="s">
        <v>12229</v>
      </c>
    </row>
    <row r="18106" spans="1:2" x14ac:dyDescent="0.35">
      <c r="A18106" s="34">
        <v>92101904</v>
      </c>
      <c r="B18106" s="35" t="s">
        <v>3231</v>
      </c>
    </row>
    <row r="18107" spans="1:2" x14ac:dyDescent="0.35">
      <c r="A18107" s="34">
        <v>92111501</v>
      </c>
      <c r="B18107" s="35" t="s">
        <v>7605</v>
      </c>
    </row>
    <row r="18108" spans="1:2" x14ac:dyDescent="0.35">
      <c r="A18108" s="34">
        <v>92111502</v>
      </c>
      <c r="B18108" s="35" t="s">
        <v>15058</v>
      </c>
    </row>
    <row r="18109" spans="1:2" x14ac:dyDescent="0.35">
      <c r="A18109" s="34">
        <v>92111503</v>
      </c>
      <c r="B18109" s="35" t="s">
        <v>15056</v>
      </c>
    </row>
    <row r="18110" spans="1:2" x14ac:dyDescent="0.35">
      <c r="A18110" s="34">
        <v>92111504</v>
      </c>
      <c r="B18110" s="35" t="s">
        <v>16195</v>
      </c>
    </row>
    <row r="18111" spans="1:2" x14ac:dyDescent="0.35">
      <c r="A18111" s="34">
        <v>92111505</v>
      </c>
      <c r="B18111" s="35" t="s">
        <v>1086</v>
      </c>
    </row>
    <row r="18112" spans="1:2" x14ac:dyDescent="0.35">
      <c r="A18112" s="34">
        <v>92111506</v>
      </c>
      <c r="B18112" s="35" t="s">
        <v>8164</v>
      </c>
    </row>
    <row r="18113" spans="1:2" x14ac:dyDescent="0.35">
      <c r="A18113" s="34">
        <v>92111507</v>
      </c>
      <c r="B18113" s="35" t="s">
        <v>9184</v>
      </c>
    </row>
    <row r="18114" spans="1:2" x14ac:dyDescent="0.35">
      <c r="A18114" s="34">
        <v>92111601</v>
      </c>
      <c r="B18114" s="35" t="s">
        <v>19395</v>
      </c>
    </row>
    <row r="18115" spans="1:2" x14ac:dyDescent="0.35">
      <c r="A18115" s="34">
        <v>92111602</v>
      </c>
      <c r="B18115" s="35" t="s">
        <v>332</v>
      </c>
    </row>
    <row r="18116" spans="1:2" x14ac:dyDescent="0.35">
      <c r="A18116" s="34">
        <v>92111603</v>
      </c>
      <c r="B18116" s="35" t="s">
        <v>8227</v>
      </c>
    </row>
    <row r="18117" spans="1:2" x14ac:dyDescent="0.35">
      <c r="A18117" s="34">
        <v>92111604</v>
      </c>
      <c r="B18117" s="35" t="s">
        <v>4716</v>
      </c>
    </row>
    <row r="18118" spans="1:2" x14ac:dyDescent="0.35">
      <c r="A18118" s="34">
        <v>92111605</v>
      </c>
      <c r="B18118" s="35" t="s">
        <v>1367</v>
      </c>
    </row>
    <row r="18119" spans="1:2" x14ac:dyDescent="0.35">
      <c r="A18119" s="34">
        <v>92111606</v>
      </c>
      <c r="B18119" s="35" t="s">
        <v>13030</v>
      </c>
    </row>
    <row r="18120" spans="1:2" x14ac:dyDescent="0.35">
      <c r="A18120" s="34">
        <v>92111701</v>
      </c>
      <c r="B18120" s="35" t="s">
        <v>8079</v>
      </c>
    </row>
    <row r="18121" spans="1:2" x14ac:dyDescent="0.35">
      <c r="A18121" s="34">
        <v>92111702</v>
      </c>
      <c r="B18121" s="35" t="s">
        <v>8441</v>
      </c>
    </row>
    <row r="18122" spans="1:2" x14ac:dyDescent="0.35">
      <c r="A18122" s="34">
        <v>92111703</v>
      </c>
      <c r="B18122" s="35" t="s">
        <v>18965</v>
      </c>
    </row>
    <row r="18123" spans="1:2" x14ac:dyDescent="0.35">
      <c r="A18123" s="34">
        <v>92111704</v>
      </c>
      <c r="B18123" s="35" t="s">
        <v>7528</v>
      </c>
    </row>
    <row r="18124" spans="1:2" x14ac:dyDescent="0.35">
      <c r="A18124" s="34">
        <v>92111705</v>
      </c>
      <c r="B18124" s="35" t="s">
        <v>8803</v>
      </c>
    </row>
    <row r="18125" spans="1:2" x14ac:dyDescent="0.35">
      <c r="A18125" s="34">
        <v>92111706</v>
      </c>
      <c r="B18125" s="35" t="s">
        <v>5032</v>
      </c>
    </row>
    <row r="18126" spans="1:2" x14ac:dyDescent="0.35">
      <c r="A18126" s="34">
        <v>92111707</v>
      </c>
      <c r="B18126" s="35" t="s">
        <v>2877</v>
      </c>
    </row>
    <row r="18127" spans="1:2" x14ac:dyDescent="0.35">
      <c r="A18127" s="34">
        <v>92111708</v>
      </c>
      <c r="B18127" s="35" t="s">
        <v>8244</v>
      </c>
    </row>
    <row r="18128" spans="1:2" x14ac:dyDescent="0.35">
      <c r="A18128" s="34">
        <v>92111801</v>
      </c>
      <c r="B18128" s="35" t="s">
        <v>13973</v>
      </c>
    </row>
    <row r="18129" spans="1:2" x14ac:dyDescent="0.35">
      <c r="A18129" s="34">
        <v>92111802</v>
      </c>
      <c r="B18129" s="35" t="s">
        <v>4252</v>
      </c>
    </row>
    <row r="18130" spans="1:2" x14ac:dyDescent="0.35">
      <c r="A18130" s="34">
        <v>92111803</v>
      </c>
      <c r="B18130" s="35" t="s">
        <v>9991</v>
      </c>
    </row>
    <row r="18131" spans="1:2" x14ac:dyDescent="0.35">
      <c r="A18131" s="34">
        <v>92111804</v>
      </c>
      <c r="B18131" s="35" t="s">
        <v>6687</v>
      </c>
    </row>
    <row r="18132" spans="1:2" x14ac:dyDescent="0.35">
      <c r="A18132" s="34">
        <v>92111805</v>
      </c>
      <c r="B18132" s="35" t="s">
        <v>6558</v>
      </c>
    </row>
    <row r="18133" spans="1:2" x14ac:dyDescent="0.35">
      <c r="A18133" s="34">
        <v>92111806</v>
      </c>
      <c r="B18133" s="35" t="s">
        <v>2587</v>
      </c>
    </row>
    <row r="18134" spans="1:2" x14ac:dyDescent="0.35">
      <c r="A18134" s="34">
        <v>92111807</v>
      </c>
      <c r="B18134" s="35" t="s">
        <v>16221</v>
      </c>
    </row>
    <row r="18135" spans="1:2" x14ac:dyDescent="0.35">
      <c r="A18135" s="34">
        <v>92111808</v>
      </c>
      <c r="B18135" s="35" t="s">
        <v>14451</v>
      </c>
    </row>
    <row r="18136" spans="1:2" x14ac:dyDescent="0.35">
      <c r="A18136" s="34">
        <v>92111809</v>
      </c>
      <c r="B18136" s="35" t="s">
        <v>11826</v>
      </c>
    </row>
    <row r="18137" spans="1:2" x14ac:dyDescent="0.35">
      <c r="A18137" s="34">
        <v>92111810</v>
      </c>
      <c r="B18137" s="35" t="s">
        <v>17782</v>
      </c>
    </row>
    <row r="18138" spans="1:2" x14ac:dyDescent="0.35">
      <c r="A18138" s="34">
        <v>92111901</v>
      </c>
      <c r="B18138" s="35" t="s">
        <v>16364</v>
      </c>
    </row>
    <row r="18139" spans="1:2" x14ac:dyDescent="0.35">
      <c r="A18139" s="34">
        <v>92111902</v>
      </c>
      <c r="B18139" s="35" t="s">
        <v>14835</v>
      </c>
    </row>
    <row r="18140" spans="1:2" x14ac:dyDescent="0.35">
      <c r="A18140" s="34">
        <v>92111903</v>
      </c>
      <c r="B18140" s="35" t="s">
        <v>7628</v>
      </c>
    </row>
    <row r="18141" spans="1:2" x14ac:dyDescent="0.35">
      <c r="A18141" s="34">
        <v>92111904</v>
      </c>
      <c r="B18141" s="35" t="s">
        <v>7261</v>
      </c>
    </row>
    <row r="18142" spans="1:2" x14ac:dyDescent="0.35">
      <c r="A18142" s="34">
        <v>92111905</v>
      </c>
      <c r="B18142" s="35" t="s">
        <v>16815</v>
      </c>
    </row>
    <row r="18143" spans="1:2" x14ac:dyDescent="0.35">
      <c r="A18143" s="34">
        <v>92112001</v>
      </c>
      <c r="B18143" s="35" t="s">
        <v>4531</v>
      </c>
    </row>
    <row r="18144" spans="1:2" x14ac:dyDescent="0.35">
      <c r="A18144" s="34">
        <v>92112002</v>
      </c>
      <c r="B18144" s="35" t="s">
        <v>1422</v>
      </c>
    </row>
    <row r="18145" spans="1:2" x14ac:dyDescent="0.35">
      <c r="A18145" s="34">
        <v>92112003</v>
      </c>
      <c r="B18145" s="35" t="s">
        <v>11939</v>
      </c>
    </row>
    <row r="18146" spans="1:2" x14ac:dyDescent="0.35">
      <c r="A18146" s="34">
        <v>92112004</v>
      </c>
      <c r="B18146" s="35" t="s">
        <v>1182</v>
      </c>
    </row>
    <row r="18147" spans="1:2" x14ac:dyDescent="0.35">
      <c r="A18147" s="34">
        <v>92112101</v>
      </c>
      <c r="B18147" s="35" t="s">
        <v>8864</v>
      </c>
    </row>
    <row r="18148" spans="1:2" x14ac:dyDescent="0.35">
      <c r="A18148" s="34">
        <v>92112102</v>
      </c>
      <c r="B18148" s="35" t="s">
        <v>19655</v>
      </c>
    </row>
    <row r="18149" spans="1:2" x14ac:dyDescent="0.35">
      <c r="A18149" s="34">
        <v>92112103</v>
      </c>
      <c r="B18149" s="35" t="s">
        <v>3063</v>
      </c>
    </row>
    <row r="18150" spans="1:2" x14ac:dyDescent="0.35">
      <c r="A18150" s="34">
        <v>92112201</v>
      </c>
      <c r="B18150" s="35" t="s">
        <v>7968</v>
      </c>
    </row>
    <row r="18151" spans="1:2" x14ac:dyDescent="0.35">
      <c r="A18151" s="34">
        <v>92112202</v>
      </c>
      <c r="B18151" s="35" t="s">
        <v>15939</v>
      </c>
    </row>
    <row r="18152" spans="1:2" x14ac:dyDescent="0.35">
      <c r="A18152" s="34">
        <v>92112203</v>
      </c>
      <c r="B18152" s="35" t="s">
        <v>9445</v>
      </c>
    </row>
    <row r="18153" spans="1:2" x14ac:dyDescent="0.35">
      <c r="A18153" s="34">
        <v>92112204</v>
      </c>
      <c r="B18153" s="35" t="s">
        <v>7388</v>
      </c>
    </row>
    <row r="18154" spans="1:2" x14ac:dyDescent="0.35">
      <c r="A18154" s="34">
        <v>92112205</v>
      </c>
      <c r="B18154" s="35" t="s">
        <v>10793</v>
      </c>
    </row>
    <row r="18155" spans="1:2" x14ac:dyDescent="0.35">
      <c r="A18155" s="34">
        <v>92112206</v>
      </c>
      <c r="B18155" s="35" t="s">
        <v>7038</v>
      </c>
    </row>
    <row r="18156" spans="1:2" x14ac:dyDescent="0.35">
      <c r="A18156" s="34">
        <v>92112207</v>
      </c>
      <c r="B18156" s="35" t="s">
        <v>1068</v>
      </c>
    </row>
    <row r="18157" spans="1:2" x14ac:dyDescent="0.35">
      <c r="A18157" s="34">
        <v>92112301</v>
      </c>
      <c r="B18157" s="35" t="s">
        <v>4380</v>
      </c>
    </row>
    <row r="18158" spans="1:2" x14ac:dyDescent="0.35">
      <c r="A18158" s="34">
        <v>92112302</v>
      </c>
      <c r="B18158" s="35" t="s">
        <v>15852</v>
      </c>
    </row>
    <row r="18159" spans="1:2" x14ac:dyDescent="0.35">
      <c r="A18159" s="34">
        <v>92112303</v>
      </c>
      <c r="B18159" s="35" t="s">
        <v>14351</v>
      </c>
    </row>
    <row r="18160" spans="1:2" x14ac:dyDescent="0.35">
      <c r="A18160" s="34">
        <v>92112401</v>
      </c>
      <c r="B18160" s="35" t="s">
        <v>10789</v>
      </c>
    </row>
    <row r="18161" spans="1:2" x14ac:dyDescent="0.35">
      <c r="A18161" s="34">
        <v>92112402</v>
      </c>
      <c r="B18161" s="35" t="s">
        <v>479</v>
      </c>
    </row>
    <row r="18162" spans="1:2" x14ac:dyDescent="0.35">
      <c r="A18162" s="34">
        <v>92112403</v>
      </c>
      <c r="B18162" s="35" t="s">
        <v>13462</v>
      </c>
    </row>
    <row r="18163" spans="1:2" x14ac:dyDescent="0.35">
      <c r="A18163" s="34">
        <v>92112404</v>
      </c>
      <c r="B18163" s="35" t="s">
        <v>14400</v>
      </c>
    </row>
    <row r="18164" spans="1:2" x14ac:dyDescent="0.35">
      <c r="A18164" s="34">
        <v>92112405</v>
      </c>
      <c r="B18164" s="35" t="s">
        <v>9376</v>
      </c>
    </row>
    <row r="18165" spans="1:2" x14ac:dyDescent="0.35">
      <c r="A18165" s="34">
        <v>92121501</v>
      </c>
      <c r="B18165" s="35" t="s">
        <v>7247</v>
      </c>
    </row>
    <row r="18166" spans="1:2" x14ac:dyDescent="0.35">
      <c r="A18166" s="34">
        <v>92121502</v>
      </c>
      <c r="B18166" s="35" t="s">
        <v>15075</v>
      </c>
    </row>
    <row r="18167" spans="1:2" x14ac:dyDescent="0.35">
      <c r="A18167" s="34">
        <v>92121503</v>
      </c>
      <c r="B18167" s="35" t="s">
        <v>12499</v>
      </c>
    </row>
    <row r="18168" spans="1:2" x14ac:dyDescent="0.35">
      <c r="A18168" s="34">
        <v>92121504</v>
      </c>
      <c r="B18168" s="35" t="s">
        <v>2487</v>
      </c>
    </row>
    <row r="18169" spans="1:2" x14ac:dyDescent="0.35">
      <c r="A18169" s="34">
        <v>92121601</v>
      </c>
      <c r="B18169" s="35" t="s">
        <v>12287</v>
      </c>
    </row>
    <row r="18170" spans="1:2" x14ac:dyDescent="0.35">
      <c r="A18170" s="34">
        <v>92121602</v>
      </c>
      <c r="B18170" s="35" t="s">
        <v>11606</v>
      </c>
    </row>
    <row r="18171" spans="1:2" x14ac:dyDescent="0.35">
      <c r="A18171" s="34">
        <v>92121603</v>
      </c>
      <c r="B18171" s="35" t="s">
        <v>3747</v>
      </c>
    </row>
    <row r="18172" spans="1:2" x14ac:dyDescent="0.35">
      <c r="A18172" s="34">
        <v>92121604</v>
      </c>
      <c r="B18172" s="35" t="s">
        <v>11676</v>
      </c>
    </row>
    <row r="18173" spans="1:2" x14ac:dyDescent="0.35">
      <c r="A18173" s="34">
        <v>92121701</v>
      </c>
      <c r="B18173" s="35" t="s">
        <v>609</v>
      </c>
    </row>
    <row r="18174" spans="1:2" x14ac:dyDescent="0.35">
      <c r="A18174" s="34">
        <v>92121702</v>
      </c>
      <c r="B18174" s="35" t="s">
        <v>1937</v>
      </c>
    </row>
    <row r="18175" spans="1:2" x14ac:dyDescent="0.35">
      <c r="A18175" s="34">
        <v>92121703</v>
      </c>
      <c r="B18175" s="35" t="s">
        <v>6615</v>
      </c>
    </row>
    <row r="18176" spans="1:2" x14ac:dyDescent="0.35">
      <c r="A18176" s="34">
        <v>92121704</v>
      </c>
      <c r="B18176" s="35" t="s">
        <v>15611</v>
      </c>
    </row>
    <row r="18177" spans="1:2" x14ac:dyDescent="0.35">
      <c r="A18177" s="34">
        <v>93101501</v>
      </c>
      <c r="B18177" s="35" t="s">
        <v>12192</v>
      </c>
    </row>
    <row r="18178" spans="1:2" x14ac:dyDescent="0.35">
      <c r="A18178" s="34">
        <v>93101502</v>
      </c>
      <c r="B18178" s="35" t="s">
        <v>5380</v>
      </c>
    </row>
    <row r="18179" spans="1:2" x14ac:dyDescent="0.35">
      <c r="A18179" s="34">
        <v>93101503</v>
      </c>
      <c r="B18179" s="35" t="s">
        <v>6964</v>
      </c>
    </row>
    <row r="18180" spans="1:2" x14ac:dyDescent="0.35">
      <c r="A18180" s="34">
        <v>93101504</v>
      </c>
      <c r="B18180" s="35" t="s">
        <v>18370</v>
      </c>
    </row>
    <row r="18181" spans="1:2" x14ac:dyDescent="0.35">
      <c r="A18181" s="34">
        <v>93101505</v>
      </c>
      <c r="B18181" s="35" t="s">
        <v>4596</v>
      </c>
    </row>
    <row r="18182" spans="1:2" x14ac:dyDescent="0.35">
      <c r="A18182" s="34">
        <v>93101506</v>
      </c>
      <c r="B18182" s="35" t="s">
        <v>12869</v>
      </c>
    </row>
    <row r="18183" spans="1:2" x14ac:dyDescent="0.35">
      <c r="A18183" s="34">
        <v>93101601</v>
      </c>
      <c r="B18183" s="35" t="s">
        <v>5868</v>
      </c>
    </row>
    <row r="18184" spans="1:2" x14ac:dyDescent="0.35">
      <c r="A18184" s="34">
        <v>93101602</v>
      </c>
      <c r="B18184" s="35" t="s">
        <v>947</v>
      </c>
    </row>
    <row r="18185" spans="1:2" x14ac:dyDescent="0.35">
      <c r="A18185" s="34">
        <v>93101603</v>
      </c>
      <c r="B18185" s="35" t="s">
        <v>11383</v>
      </c>
    </row>
    <row r="18186" spans="1:2" x14ac:dyDescent="0.35">
      <c r="A18186" s="34">
        <v>93101604</v>
      </c>
      <c r="B18186" s="35" t="s">
        <v>13967</v>
      </c>
    </row>
    <row r="18187" spans="1:2" x14ac:dyDescent="0.35">
      <c r="A18187" s="34">
        <v>93101605</v>
      </c>
      <c r="B18187" s="35" t="s">
        <v>8169</v>
      </c>
    </row>
    <row r="18188" spans="1:2" x14ac:dyDescent="0.35">
      <c r="A18188" s="34">
        <v>93101606</v>
      </c>
      <c r="B18188" s="35" t="s">
        <v>14082</v>
      </c>
    </row>
    <row r="18189" spans="1:2" x14ac:dyDescent="0.35">
      <c r="A18189" s="34">
        <v>93101607</v>
      </c>
      <c r="B18189" s="35" t="s">
        <v>12342</v>
      </c>
    </row>
    <row r="18190" spans="1:2" x14ac:dyDescent="0.35">
      <c r="A18190" s="34">
        <v>93101608</v>
      </c>
      <c r="B18190" s="35" t="s">
        <v>9257</v>
      </c>
    </row>
    <row r="18191" spans="1:2" x14ac:dyDescent="0.35">
      <c r="A18191" s="34">
        <v>93101701</v>
      </c>
      <c r="B18191" s="35" t="s">
        <v>17959</v>
      </c>
    </row>
    <row r="18192" spans="1:2" x14ac:dyDescent="0.35">
      <c r="A18192" s="34">
        <v>93101702</v>
      </c>
      <c r="B18192" s="35" t="s">
        <v>10424</v>
      </c>
    </row>
    <row r="18193" spans="1:2" x14ac:dyDescent="0.35">
      <c r="A18193" s="34">
        <v>93101703</v>
      </c>
      <c r="B18193" s="35" t="s">
        <v>13627</v>
      </c>
    </row>
    <row r="18194" spans="1:2" x14ac:dyDescent="0.35">
      <c r="A18194" s="34">
        <v>93101704</v>
      </c>
      <c r="B18194" s="35" t="s">
        <v>884</v>
      </c>
    </row>
    <row r="18195" spans="1:2" x14ac:dyDescent="0.35">
      <c r="A18195" s="34">
        <v>93101705</v>
      </c>
      <c r="B18195" s="35" t="s">
        <v>15974</v>
      </c>
    </row>
    <row r="18196" spans="1:2" x14ac:dyDescent="0.35">
      <c r="A18196" s="34">
        <v>93101706</v>
      </c>
      <c r="B18196" s="35" t="s">
        <v>4802</v>
      </c>
    </row>
    <row r="18197" spans="1:2" x14ac:dyDescent="0.35">
      <c r="A18197" s="34">
        <v>93101707</v>
      </c>
      <c r="B18197" s="35" t="s">
        <v>10078</v>
      </c>
    </row>
    <row r="18198" spans="1:2" x14ac:dyDescent="0.35">
      <c r="A18198" s="34">
        <v>93111501</v>
      </c>
      <c r="B18198" s="35" t="s">
        <v>9201</v>
      </c>
    </row>
    <row r="18199" spans="1:2" x14ac:dyDescent="0.35">
      <c r="A18199" s="34">
        <v>93111502</v>
      </c>
      <c r="B18199" s="35" t="s">
        <v>6591</v>
      </c>
    </row>
    <row r="18200" spans="1:2" x14ac:dyDescent="0.35">
      <c r="A18200" s="34">
        <v>93111503</v>
      </c>
      <c r="B18200" s="35" t="s">
        <v>8958</v>
      </c>
    </row>
    <row r="18201" spans="1:2" x14ac:dyDescent="0.35">
      <c r="A18201" s="34">
        <v>93111504</v>
      </c>
      <c r="B18201" s="35" t="s">
        <v>2843</v>
      </c>
    </row>
    <row r="18202" spans="1:2" x14ac:dyDescent="0.35">
      <c r="A18202" s="34">
        <v>93111505</v>
      </c>
      <c r="B18202" s="35" t="s">
        <v>15096</v>
      </c>
    </row>
    <row r="18203" spans="1:2" x14ac:dyDescent="0.35">
      <c r="A18203" s="34">
        <v>93111506</v>
      </c>
      <c r="B18203" s="35" t="s">
        <v>2260</v>
      </c>
    </row>
    <row r="18204" spans="1:2" x14ac:dyDescent="0.35">
      <c r="A18204" s="34">
        <v>93111507</v>
      </c>
      <c r="B18204" s="35" t="s">
        <v>369</v>
      </c>
    </row>
    <row r="18205" spans="1:2" x14ac:dyDescent="0.35">
      <c r="A18205" s="34">
        <v>93111601</v>
      </c>
      <c r="B18205" s="35" t="s">
        <v>2613</v>
      </c>
    </row>
    <row r="18206" spans="1:2" x14ac:dyDescent="0.35">
      <c r="A18206" s="34">
        <v>93111602</v>
      </c>
      <c r="B18206" s="35" t="s">
        <v>198</v>
      </c>
    </row>
    <row r="18207" spans="1:2" x14ac:dyDescent="0.35">
      <c r="A18207" s="34">
        <v>93111603</v>
      </c>
      <c r="B18207" s="35" t="s">
        <v>957</v>
      </c>
    </row>
    <row r="18208" spans="1:2" x14ac:dyDescent="0.35">
      <c r="A18208" s="34">
        <v>93111604</v>
      </c>
      <c r="B18208" s="35" t="s">
        <v>17558</v>
      </c>
    </row>
    <row r="18209" spans="1:2" x14ac:dyDescent="0.35">
      <c r="A18209" s="34">
        <v>93111605</v>
      </c>
      <c r="B18209" s="35" t="s">
        <v>13145</v>
      </c>
    </row>
    <row r="18210" spans="1:2" x14ac:dyDescent="0.35">
      <c r="A18210" s="34">
        <v>93111606</v>
      </c>
      <c r="B18210" s="35" t="s">
        <v>3662</v>
      </c>
    </row>
    <row r="18211" spans="1:2" x14ac:dyDescent="0.35">
      <c r="A18211" s="34">
        <v>93111607</v>
      </c>
      <c r="B18211" s="35" t="s">
        <v>13709</v>
      </c>
    </row>
    <row r="18212" spans="1:2" x14ac:dyDescent="0.35">
      <c r="A18212" s="34">
        <v>93111608</v>
      </c>
      <c r="B18212" s="35" t="s">
        <v>571</v>
      </c>
    </row>
    <row r="18213" spans="1:2" x14ac:dyDescent="0.35">
      <c r="A18213" s="34">
        <v>93121501</v>
      </c>
      <c r="B18213" s="35" t="s">
        <v>10483</v>
      </c>
    </row>
    <row r="18214" spans="1:2" x14ac:dyDescent="0.35">
      <c r="A18214" s="34">
        <v>93121502</v>
      </c>
      <c r="B18214" s="35" t="s">
        <v>8827</v>
      </c>
    </row>
    <row r="18215" spans="1:2" x14ac:dyDescent="0.35">
      <c r="A18215" s="34">
        <v>93121503</v>
      </c>
      <c r="B18215" s="35" t="s">
        <v>6488</v>
      </c>
    </row>
    <row r="18216" spans="1:2" x14ac:dyDescent="0.35">
      <c r="A18216" s="34">
        <v>93121504</v>
      </c>
      <c r="B18216" s="35" t="s">
        <v>17007</v>
      </c>
    </row>
    <row r="18217" spans="1:2" x14ac:dyDescent="0.35">
      <c r="A18217" s="34">
        <v>93121505</v>
      </c>
      <c r="B18217" s="35" t="s">
        <v>18240</v>
      </c>
    </row>
    <row r="18218" spans="1:2" x14ac:dyDescent="0.35">
      <c r="A18218" s="34">
        <v>93121506</v>
      </c>
      <c r="B18218" s="35" t="s">
        <v>19068</v>
      </c>
    </row>
    <row r="18219" spans="1:2" x14ac:dyDescent="0.35">
      <c r="A18219" s="34">
        <v>93121507</v>
      </c>
      <c r="B18219" s="35" t="s">
        <v>18765</v>
      </c>
    </row>
    <row r="18220" spans="1:2" x14ac:dyDescent="0.35">
      <c r="A18220" s="34">
        <v>93121508</v>
      </c>
      <c r="B18220" s="35" t="s">
        <v>5896</v>
      </c>
    </row>
    <row r="18221" spans="1:2" x14ac:dyDescent="0.35">
      <c r="A18221" s="34">
        <v>93121509</v>
      </c>
      <c r="B18221" s="35" t="s">
        <v>6510</v>
      </c>
    </row>
    <row r="18222" spans="1:2" x14ac:dyDescent="0.35">
      <c r="A18222" s="34">
        <v>93121601</v>
      </c>
      <c r="B18222" s="35" t="s">
        <v>1358</v>
      </c>
    </row>
    <row r="18223" spans="1:2" x14ac:dyDescent="0.35">
      <c r="A18223" s="34">
        <v>93121602</v>
      </c>
      <c r="B18223" s="35" t="s">
        <v>10073</v>
      </c>
    </row>
    <row r="18224" spans="1:2" x14ac:dyDescent="0.35">
      <c r="A18224" s="34">
        <v>93121603</v>
      </c>
      <c r="B18224" s="35" t="s">
        <v>14547</v>
      </c>
    </row>
    <row r="18225" spans="1:2" x14ac:dyDescent="0.35">
      <c r="A18225" s="34">
        <v>93121604</v>
      </c>
      <c r="B18225" s="35" t="s">
        <v>9352</v>
      </c>
    </row>
    <row r="18226" spans="1:2" x14ac:dyDescent="0.35">
      <c r="A18226" s="34">
        <v>93121605</v>
      </c>
      <c r="B18226" s="35" t="s">
        <v>2817</v>
      </c>
    </row>
    <row r="18227" spans="1:2" x14ac:dyDescent="0.35">
      <c r="A18227" s="34">
        <v>93121606</v>
      </c>
      <c r="B18227" s="35" t="s">
        <v>16117</v>
      </c>
    </row>
    <row r="18228" spans="1:2" x14ac:dyDescent="0.35">
      <c r="A18228" s="34">
        <v>93121607</v>
      </c>
      <c r="B18228" s="35" t="s">
        <v>9968</v>
      </c>
    </row>
    <row r="18229" spans="1:2" x14ac:dyDescent="0.35">
      <c r="A18229" s="34">
        <v>93121608</v>
      </c>
      <c r="B18229" s="35" t="s">
        <v>16316</v>
      </c>
    </row>
    <row r="18230" spans="1:2" x14ac:dyDescent="0.35">
      <c r="A18230" s="34">
        <v>93121609</v>
      </c>
      <c r="B18230" s="35" t="s">
        <v>4057</v>
      </c>
    </row>
    <row r="18231" spans="1:2" x14ac:dyDescent="0.35">
      <c r="A18231" s="34">
        <v>93121610</v>
      </c>
      <c r="B18231" s="35" t="s">
        <v>18398</v>
      </c>
    </row>
    <row r="18232" spans="1:2" x14ac:dyDescent="0.35">
      <c r="A18232" s="34">
        <v>93121611</v>
      </c>
      <c r="B18232" s="35" t="s">
        <v>9986</v>
      </c>
    </row>
    <row r="18233" spans="1:2" x14ac:dyDescent="0.35">
      <c r="A18233" s="34">
        <v>93121612</v>
      </c>
      <c r="B18233" s="35" t="s">
        <v>2866</v>
      </c>
    </row>
    <row r="18234" spans="1:2" x14ac:dyDescent="0.35">
      <c r="A18234" s="34">
        <v>93121613</v>
      </c>
      <c r="B18234" s="35" t="s">
        <v>907</v>
      </c>
    </row>
    <row r="18235" spans="1:2" x14ac:dyDescent="0.35">
      <c r="A18235" s="34">
        <v>93121614</v>
      </c>
      <c r="B18235" s="35" t="s">
        <v>1848</v>
      </c>
    </row>
    <row r="18236" spans="1:2" x14ac:dyDescent="0.35">
      <c r="A18236" s="34">
        <v>93121615</v>
      </c>
      <c r="B18236" s="35" t="s">
        <v>11409</v>
      </c>
    </row>
    <row r="18237" spans="1:2" x14ac:dyDescent="0.35">
      <c r="A18237" s="34">
        <v>93121701</v>
      </c>
      <c r="B18237" s="35" t="s">
        <v>8296</v>
      </c>
    </row>
    <row r="18238" spans="1:2" x14ac:dyDescent="0.35">
      <c r="A18238" s="34">
        <v>93121702</v>
      </c>
      <c r="B18238" s="35" t="s">
        <v>18218</v>
      </c>
    </row>
    <row r="18239" spans="1:2" x14ac:dyDescent="0.35">
      <c r="A18239" s="34">
        <v>93121703</v>
      </c>
      <c r="B18239" s="35" t="s">
        <v>14076</v>
      </c>
    </row>
    <row r="18240" spans="1:2" x14ac:dyDescent="0.35">
      <c r="A18240" s="34">
        <v>93121704</v>
      </c>
      <c r="B18240" s="35" t="s">
        <v>8559</v>
      </c>
    </row>
    <row r="18241" spans="1:2" x14ac:dyDescent="0.35">
      <c r="A18241" s="34">
        <v>93121705</v>
      </c>
      <c r="B18241" s="35" t="s">
        <v>4037</v>
      </c>
    </row>
    <row r="18242" spans="1:2" x14ac:dyDescent="0.35">
      <c r="A18242" s="34">
        <v>93121706</v>
      </c>
      <c r="B18242" s="35" t="s">
        <v>10094</v>
      </c>
    </row>
    <row r="18243" spans="1:2" x14ac:dyDescent="0.35">
      <c r="A18243" s="34">
        <v>93121707</v>
      </c>
      <c r="B18243" s="35" t="s">
        <v>889</v>
      </c>
    </row>
    <row r="18244" spans="1:2" x14ac:dyDescent="0.35">
      <c r="A18244" s="34">
        <v>93121708</v>
      </c>
      <c r="B18244" s="35" t="s">
        <v>15130</v>
      </c>
    </row>
    <row r="18245" spans="1:2" x14ac:dyDescent="0.35">
      <c r="A18245" s="34">
        <v>93121709</v>
      </c>
      <c r="B18245" s="35" t="s">
        <v>4548</v>
      </c>
    </row>
    <row r="18246" spans="1:2" x14ac:dyDescent="0.35">
      <c r="A18246" s="34">
        <v>93121710</v>
      </c>
      <c r="B18246" s="35" t="s">
        <v>15315</v>
      </c>
    </row>
    <row r="18247" spans="1:2" x14ac:dyDescent="0.35">
      <c r="A18247" s="34">
        <v>93121711</v>
      </c>
      <c r="B18247" s="35" t="s">
        <v>11495</v>
      </c>
    </row>
    <row r="18248" spans="1:2" x14ac:dyDescent="0.35">
      <c r="A18248" s="34">
        <v>93131501</v>
      </c>
      <c r="B18248" s="35" t="s">
        <v>902</v>
      </c>
    </row>
    <row r="18249" spans="1:2" x14ac:dyDescent="0.35">
      <c r="A18249" s="34">
        <v>93131502</v>
      </c>
      <c r="B18249" s="35" t="s">
        <v>13604</v>
      </c>
    </row>
    <row r="18250" spans="1:2" x14ac:dyDescent="0.35">
      <c r="A18250" s="34">
        <v>93131503</v>
      </c>
      <c r="B18250" s="35" t="s">
        <v>13946</v>
      </c>
    </row>
    <row r="18251" spans="1:2" x14ac:dyDescent="0.35">
      <c r="A18251" s="34">
        <v>93131504</v>
      </c>
      <c r="B18251" s="35" t="s">
        <v>1360</v>
      </c>
    </row>
    <row r="18252" spans="1:2" x14ac:dyDescent="0.35">
      <c r="A18252" s="34">
        <v>93131505</v>
      </c>
      <c r="B18252" s="35" t="s">
        <v>13953</v>
      </c>
    </row>
    <row r="18253" spans="1:2" x14ac:dyDescent="0.35">
      <c r="A18253" s="34">
        <v>93131506</v>
      </c>
      <c r="B18253" s="35" t="s">
        <v>18345</v>
      </c>
    </row>
    <row r="18254" spans="1:2" x14ac:dyDescent="0.35">
      <c r="A18254" s="34">
        <v>93131507</v>
      </c>
      <c r="B18254" s="35" t="s">
        <v>4168</v>
      </c>
    </row>
    <row r="18255" spans="1:2" x14ac:dyDescent="0.35">
      <c r="A18255" s="34">
        <v>93131601</v>
      </c>
      <c r="B18255" s="35" t="s">
        <v>6661</v>
      </c>
    </row>
    <row r="18256" spans="1:2" x14ac:dyDescent="0.35">
      <c r="A18256" s="34">
        <v>93131602</v>
      </c>
      <c r="B18256" s="35" t="s">
        <v>2922</v>
      </c>
    </row>
    <row r="18257" spans="1:2" x14ac:dyDescent="0.35">
      <c r="A18257" s="34">
        <v>93131603</v>
      </c>
      <c r="B18257" s="35" t="s">
        <v>9375</v>
      </c>
    </row>
    <row r="18258" spans="1:2" x14ac:dyDescent="0.35">
      <c r="A18258" s="34">
        <v>93131604</v>
      </c>
      <c r="B18258" s="35" t="s">
        <v>9487</v>
      </c>
    </row>
    <row r="18259" spans="1:2" x14ac:dyDescent="0.35">
      <c r="A18259" s="34">
        <v>93131605</v>
      </c>
      <c r="B18259" s="35" t="s">
        <v>17820</v>
      </c>
    </row>
    <row r="18260" spans="1:2" x14ac:dyDescent="0.35">
      <c r="A18260" s="34">
        <v>93131606</v>
      </c>
      <c r="B18260" s="35" t="s">
        <v>17380</v>
      </c>
    </row>
    <row r="18261" spans="1:2" x14ac:dyDescent="0.35">
      <c r="A18261" s="34">
        <v>93131607</v>
      </c>
      <c r="B18261" s="35" t="s">
        <v>2170</v>
      </c>
    </row>
    <row r="18262" spans="1:2" x14ac:dyDescent="0.35">
      <c r="A18262" s="34">
        <v>93131608</v>
      </c>
      <c r="B18262" s="35" t="s">
        <v>17534</v>
      </c>
    </row>
    <row r="18263" spans="1:2" x14ac:dyDescent="0.35">
      <c r="A18263" s="34">
        <v>93131609</v>
      </c>
      <c r="B18263" s="35" t="s">
        <v>7322</v>
      </c>
    </row>
    <row r="18264" spans="1:2" x14ac:dyDescent="0.35">
      <c r="A18264" s="34">
        <v>93131610</v>
      </c>
      <c r="B18264" s="35" t="s">
        <v>14490</v>
      </c>
    </row>
    <row r="18265" spans="1:2" x14ac:dyDescent="0.35">
      <c r="A18265" s="34">
        <v>93131611</v>
      </c>
      <c r="B18265" s="35" t="s">
        <v>17856</v>
      </c>
    </row>
    <row r="18266" spans="1:2" x14ac:dyDescent="0.35">
      <c r="A18266" s="34">
        <v>93131612</v>
      </c>
      <c r="B18266" s="35" t="s">
        <v>6247</v>
      </c>
    </row>
    <row r="18267" spans="1:2" x14ac:dyDescent="0.35">
      <c r="A18267" s="34">
        <v>93131613</v>
      </c>
      <c r="B18267" s="35" t="s">
        <v>6554</v>
      </c>
    </row>
    <row r="18268" spans="1:2" x14ac:dyDescent="0.35">
      <c r="A18268" s="34">
        <v>93131701</v>
      </c>
      <c r="B18268" s="35" t="s">
        <v>12241</v>
      </c>
    </row>
    <row r="18269" spans="1:2" x14ac:dyDescent="0.35">
      <c r="A18269" s="34">
        <v>93131702</v>
      </c>
      <c r="B18269" s="35" t="s">
        <v>4230</v>
      </c>
    </row>
    <row r="18270" spans="1:2" x14ac:dyDescent="0.35">
      <c r="A18270" s="34">
        <v>93131703</v>
      </c>
      <c r="B18270" s="35" t="s">
        <v>12690</v>
      </c>
    </row>
    <row r="18271" spans="1:2" x14ac:dyDescent="0.35">
      <c r="A18271" s="34">
        <v>93131704</v>
      </c>
      <c r="B18271" s="35" t="s">
        <v>6683</v>
      </c>
    </row>
    <row r="18272" spans="1:2" x14ac:dyDescent="0.35">
      <c r="A18272" s="34">
        <v>93131705</v>
      </c>
      <c r="B18272" s="35" t="s">
        <v>7456</v>
      </c>
    </row>
    <row r="18273" spans="1:2" x14ac:dyDescent="0.35">
      <c r="A18273" s="34">
        <v>93131801</v>
      </c>
      <c r="B18273" s="35" t="s">
        <v>18573</v>
      </c>
    </row>
    <row r="18274" spans="1:2" x14ac:dyDescent="0.35">
      <c r="A18274" s="34">
        <v>93131802</v>
      </c>
      <c r="B18274" s="35" t="s">
        <v>9385</v>
      </c>
    </row>
    <row r="18275" spans="1:2" x14ac:dyDescent="0.35">
      <c r="A18275" s="34">
        <v>93131803</v>
      </c>
      <c r="B18275" s="35" t="s">
        <v>8715</v>
      </c>
    </row>
    <row r="18276" spans="1:2" x14ac:dyDescent="0.35">
      <c r="A18276" s="34">
        <v>93141501</v>
      </c>
      <c r="B18276" s="35" t="s">
        <v>164</v>
      </c>
    </row>
    <row r="18277" spans="1:2" x14ac:dyDescent="0.35">
      <c r="A18277" s="34">
        <v>93141502</v>
      </c>
      <c r="B18277" s="35" t="s">
        <v>3185</v>
      </c>
    </row>
    <row r="18278" spans="1:2" x14ac:dyDescent="0.35">
      <c r="A18278" s="34">
        <v>93141503</v>
      </c>
      <c r="B18278" s="35" t="s">
        <v>6755</v>
      </c>
    </row>
    <row r="18279" spans="1:2" x14ac:dyDescent="0.35">
      <c r="A18279" s="34">
        <v>93141504</v>
      </c>
      <c r="B18279" s="35" t="s">
        <v>10865</v>
      </c>
    </row>
    <row r="18280" spans="1:2" x14ac:dyDescent="0.35">
      <c r="A18280" s="34">
        <v>93141505</v>
      </c>
      <c r="B18280" s="35" t="s">
        <v>6</v>
      </c>
    </row>
    <row r="18281" spans="1:2" x14ac:dyDescent="0.35">
      <c r="A18281" s="34">
        <v>93141506</v>
      </c>
      <c r="B18281" s="35" t="s">
        <v>9321</v>
      </c>
    </row>
    <row r="18282" spans="1:2" x14ac:dyDescent="0.35">
      <c r="A18282" s="34">
        <v>93141507</v>
      </c>
      <c r="B18282" s="35" t="s">
        <v>1297</v>
      </c>
    </row>
    <row r="18283" spans="1:2" x14ac:dyDescent="0.35">
      <c r="A18283" s="34">
        <v>93141508</v>
      </c>
      <c r="B18283" s="35" t="s">
        <v>13423</v>
      </c>
    </row>
    <row r="18284" spans="1:2" x14ac:dyDescent="0.35">
      <c r="A18284" s="34">
        <v>93141509</v>
      </c>
      <c r="B18284" s="35" t="s">
        <v>2963</v>
      </c>
    </row>
    <row r="18285" spans="1:2" x14ac:dyDescent="0.35">
      <c r="A18285" s="34">
        <v>93141510</v>
      </c>
      <c r="B18285" s="35" t="s">
        <v>17695</v>
      </c>
    </row>
    <row r="18286" spans="1:2" x14ac:dyDescent="0.35">
      <c r="A18286" s="34">
        <v>93141511</v>
      </c>
      <c r="B18286" s="35" t="s">
        <v>8636</v>
      </c>
    </row>
    <row r="18287" spans="1:2" x14ac:dyDescent="0.35">
      <c r="A18287" s="34">
        <v>93141512</v>
      </c>
      <c r="B18287" s="35" t="s">
        <v>3784</v>
      </c>
    </row>
    <row r="18288" spans="1:2" x14ac:dyDescent="0.35">
      <c r="A18288" s="34">
        <v>93141513</v>
      </c>
      <c r="B18288" s="35" t="s">
        <v>17553</v>
      </c>
    </row>
    <row r="18289" spans="1:2" x14ac:dyDescent="0.35">
      <c r="A18289" s="34">
        <v>93141514</v>
      </c>
      <c r="B18289" s="35" t="s">
        <v>1577</v>
      </c>
    </row>
    <row r="18290" spans="1:2" x14ac:dyDescent="0.35">
      <c r="A18290" s="34">
        <v>93141601</v>
      </c>
      <c r="B18290" s="35" t="s">
        <v>15564</v>
      </c>
    </row>
    <row r="18291" spans="1:2" x14ac:dyDescent="0.35">
      <c r="A18291" s="34">
        <v>93141602</v>
      </c>
      <c r="B18291" s="35" t="s">
        <v>10202</v>
      </c>
    </row>
    <row r="18292" spans="1:2" x14ac:dyDescent="0.35">
      <c r="A18292" s="34">
        <v>93141603</v>
      </c>
      <c r="B18292" s="35" t="s">
        <v>14027</v>
      </c>
    </row>
    <row r="18293" spans="1:2" x14ac:dyDescent="0.35">
      <c r="A18293" s="34">
        <v>93141604</v>
      </c>
      <c r="B18293" s="35" t="s">
        <v>10454</v>
      </c>
    </row>
    <row r="18294" spans="1:2" x14ac:dyDescent="0.35">
      <c r="A18294" s="34">
        <v>93141605</v>
      </c>
      <c r="B18294" s="35" t="s">
        <v>329</v>
      </c>
    </row>
    <row r="18295" spans="1:2" x14ac:dyDescent="0.35">
      <c r="A18295" s="34">
        <v>93141606</v>
      </c>
      <c r="B18295" s="35" t="s">
        <v>16027</v>
      </c>
    </row>
    <row r="18296" spans="1:2" x14ac:dyDescent="0.35">
      <c r="A18296" s="34">
        <v>93141607</v>
      </c>
      <c r="B18296" s="35" t="s">
        <v>9398</v>
      </c>
    </row>
    <row r="18297" spans="1:2" x14ac:dyDescent="0.35">
      <c r="A18297" s="34">
        <v>93141608</v>
      </c>
      <c r="B18297" s="35" t="s">
        <v>8951</v>
      </c>
    </row>
    <row r="18298" spans="1:2" x14ac:dyDescent="0.35">
      <c r="A18298" s="34">
        <v>93141609</v>
      </c>
      <c r="B18298" s="35" t="s">
        <v>13442</v>
      </c>
    </row>
    <row r="18299" spans="1:2" x14ac:dyDescent="0.35">
      <c r="A18299" s="34">
        <v>93141610</v>
      </c>
      <c r="B18299" s="35" t="s">
        <v>16884</v>
      </c>
    </row>
    <row r="18300" spans="1:2" x14ac:dyDescent="0.35">
      <c r="A18300" s="34">
        <v>93141611</v>
      </c>
      <c r="B18300" s="35" t="s">
        <v>10668</v>
      </c>
    </row>
    <row r="18301" spans="1:2" x14ac:dyDescent="0.35">
      <c r="A18301" s="34">
        <v>93141612</v>
      </c>
      <c r="B18301" s="35" t="s">
        <v>19149</v>
      </c>
    </row>
    <row r="18302" spans="1:2" x14ac:dyDescent="0.35">
      <c r="A18302" s="34">
        <v>93141613</v>
      </c>
      <c r="B18302" s="35" t="s">
        <v>16372</v>
      </c>
    </row>
    <row r="18303" spans="1:2" x14ac:dyDescent="0.35">
      <c r="A18303" s="34">
        <v>93141701</v>
      </c>
      <c r="B18303" s="35" t="s">
        <v>19172</v>
      </c>
    </row>
    <row r="18304" spans="1:2" x14ac:dyDescent="0.35">
      <c r="A18304" s="34">
        <v>93141702</v>
      </c>
      <c r="B18304" s="35" t="s">
        <v>2169</v>
      </c>
    </row>
    <row r="18305" spans="1:2" x14ac:dyDescent="0.35">
      <c r="A18305" s="34">
        <v>93141703</v>
      </c>
      <c r="B18305" s="35" t="s">
        <v>10294</v>
      </c>
    </row>
    <row r="18306" spans="1:2" x14ac:dyDescent="0.35">
      <c r="A18306" s="34">
        <v>93141704</v>
      </c>
      <c r="B18306" s="35" t="s">
        <v>2151</v>
      </c>
    </row>
    <row r="18307" spans="1:2" x14ac:dyDescent="0.35">
      <c r="A18307" s="34">
        <v>93141705</v>
      </c>
      <c r="B18307" s="35" t="s">
        <v>18640</v>
      </c>
    </row>
    <row r="18308" spans="1:2" x14ac:dyDescent="0.35">
      <c r="A18308" s="34">
        <v>93141706</v>
      </c>
      <c r="B18308" s="35" t="s">
        <v>922</v>
      </c>
    </row>
    <row r="18309" spans="1:2" x14ac:dyDescent="0.35">
      <c r="A18309" s="34">
        <v>93141707</v>
      </c>
      <c r="B18309" s="35" t="s">
        <v>10611</v>
      </c>
    </row>
    <row r="18310" spans="1:2" x14ac:dyDescent="0.35">
      <c r="A18310" s="34">
        <v>93141708</v>
      </c>
      <c r="B18310" s="35" t="s">
        <v>6834</v>
      </c>
    </row>
    <row r="18311" spans="1:2" x14ac:dyDescent="0.35">
      <c r="A18311" s="34">
        <v>93141709</v>
      </c>
      <c r="B18311" s="35" t="s">
        <v>6053</v>
      </c>
    </row>
    <row r="18312" spans="1:2" x14ac:dyDescent="0.35">
      <c r="A18312" s="34">
        <v>93141710</v>
      </c>
      <c r="B18312" s="35" t="s">
        <v>4118</v>
      </c>
    </row>
    <row r="18313" spans="1:2" x14ac:dyDescent="0.35">
      <c r="A18313" s="34">
        <v>93141711</v>
      </c>
      <c r="B18313" s="35" t="s">
        <v>4369</v>
      </c>
    </row>
    <row r="18314" spans="1:2" x14ac:dyDescent="0.35">
      <c r="A18314" s="34">
        <v>93141712</v>
      </c>
      <c r="B18314" s="35" t="s">
        <v>3327</v>
      </c>
    </row>
    <row r="18315" spans="1:2" x14ac:dyDescent="0.35">
      <c r="A18315" s="34">
        <v>93141713</v>
      </c>
      <c r="B18315" s="35" t="s">
        <v>8005</v>
      </c>
    </row>
    <row r="18316" spans="1:2" x14ac:dyDescent="0.35">
      <c r="A18316" s="34">
        <v>93141714</v>
      </c>
      <c r="B18316" s="35" t="s">
        <v>2227</v>
      </c>
    </row>
    <row r="18317" spans="1:2" x14ac:dyDescent="0.35">
      <c r="A18317" s="34">
        <v>93141801</v>
      </c>
      <c r="B18317" s="35" t="s">
        <v>2405</v>
      </c>
    </row>
    <row r="18318" spans="1:2" x14ac:dyDescent="0.35">
      <c r="A18318" s="34">
        <v>93141802</v>
      </c>
      <c r="B18318" s="35" t="s">
        <v>6170</v>
      </c>
    </row>
    <row r="18319" spans="1:2" x14ac:dyDescent="0.35">
      <c r="A18319" s="34">
        <v>93141803</v>
      </c>
      <c r="B18319" s="35" t="s">
        <v>3502</v>
      </c>
    </row>
    <row r="18320" spans="1:2" x14ac:dyDescent="0.35">
      <c r="A18320" s="34">
        <v>93141804</v>
      </c>
      <c r="B18320" s="35" t="s">
        <v>9323</v>
      </c>
    </row>
    <row r="18321" spans="1:2" x14ac:dyDescent="0.35">
      <c r="A18321" s="34">
        <v>93141805</v>
      </c>
      <c r="B18321" s="35" t="s">
        <v>4524</v>
      </c>
    </row>
    <row r="18322" spans="1:2" x14ac:dyDescent="0.35">
      <c r="A18322" s="34">
        <v>93141806</v>
      </c>
      <c r="B18322" s="35" t="s">
        <v>12882</v>
      </c>
    </row>
    <row r="18323" spans="1:2" x14ac:dyDescent="0.35">
      <c r="A18323" s="34">
        <v>93141807</v>
      </c>
      <c r="B18323" s="35" t="s">
        <v>15892</v>
      </c>
    </row>
    <row r="18324" spans="1:2" x14ac:dyDescent="0.35">
      <c r="A18324" s="34">
        <v>93141808</v>
      </c>
      <c r="B18324" s="35" t="s">
        <v>4517</v>
      </c>
    </row>
    <row r="18325" spans="1:2" x14ac:dyDescent="0.35">
      <c r="A18325" s="34">
        <v>93141810</v>
      </c>
      <c r="B18325" s="35" t="s">
        <v>8275</v>
      </c>
    </row>
    <row r="18326" spans="1:2" x14ac:dyDescent="0.35">
      <c r="A18326" s="34">
        <v>93141811</v>
      </c>
      <c r="B18326" s="35" t="s">
        <v>18571</v>
      </c>
    </row>
    <row r="18327" spans="1:2" x14ac:dyDescent="0.35">
      <c r="A18327" s="34">
        <v>93141812</v>
      </c>
      <c r="B18327" s="35" t="s">
        <v>12740</v>
      </c>
    </row>
    <row r="18328" spans="1:2" x14ac:dyDescent="0.35">
      <c r="A18328" s="34">
        <v>93141813</v>
      </c>
      <c r="B18328" s="35" t="s">
        <v>4161</v>
      </c>
    </row>
    <row r="18329" spans="1:2" x14ac:dyDescent="0.35">
      <c r="A18329" s="34">
        <v>93141814</v>
      </c>
      <c r="B18329" s="35" t="s">
        <v>6178</v>
      </c>
    </row>
    <row r="18330" spans="1:2" x14ac:dyDescent="0.35">
      <c r="A18330" s="34">
        <v>93141901</v>
      </c>
      <c r="B18330" s="35" t="s">
        <v>6944</v>
      </c>
    </row>
    <row r="18331" spans="1:2" x14ac:dyDescent="0.35">
      <c r="A18331" s="34">
        <v>93141902</v>
      </c>
      <c r="B18331" s="35" t="s">
        <v>9919</v>
      </c>
    </row>
    <row r="18332" spans="1:2" x14ac:dyDescent="0.35">
      <c r="A18332" s="34">
        <v>93141903</v>
      </c>
      <c r="B18332" s="35" t="s">
        <v>18017</v>
      </c>
    </row>
    <row r="18333" spans="1:2" x14ac:dyDescent="0.35">
      <c r="A18333" s="34">
        <v>93141904</v>
      </c>
      <c r="B18333" s="35" t="s">
        <v>14596</v>
      </c>
    </row>
    <row r="18334" spans="1:2" x14ac:dyDescent="0.35">
      <c r="A18334" s="34">
        <v>93141905</v>
      </c>
      <c r="B18334" s="35" t="s">
        <v>4404</v>
      </c>
    </row>
    <row r="18335" spans="1:2" x14ac:dyDescent="0.35">
      <c r="A18335" s="34">
        <v>93141906</v>
      </c>
      <c r="B18335" s="35" t="s">
        <v>6560</v>
      </c>
    </row>
    <row r="18336" spans="1:2" x14ac:dyDescent="0.35">
      <c r="A18336" s="34">
        <v>93141907</v>
      </c>
      <c r="B18336" s="35" t="s">
        <v>8956</v>
      </c>
    </row>
    <row r="18337" spans="1:2" x14ac:dyDescent="0.35">
      <c r="A18337" s="34">
        <v>93141908</v>
      </c>
      <c r="B18337" s="35" t="s">
        <v>10414</v>
      </c>
    </row>
    <row r="18338" spans="1:2" x14ac:dyDescent="0.35">
      <c r="A18338" s="34">
        <v>93141909</v>
      </c>
      <c r="B18338" s="35" t="s">
        <v>8599</v>
      </c>
    </row>
    <row r="18339" spans="1:2" x14ac:dyDescent="0.35">
      <c r="A18339" s="34">
        <v>93141910</v>
      </c>
      <c r="B18339" s="35" t="s">
        <v>13592</v>
      </c>
    </row>
    <row r="18340" spans="1:2" x14ac:dyDescent="0.35">
      <c r="A18340" s="34">
        <v>93142001</v>
      </c>
      <c r="B18340" s="35" t="s">
        <v>18078</v>
      </c>
    </row>
    <row r="18341" spans="1:2" x14ac:dyDescent="0.35">
      <c r="A18341" s="34">
        <v>93142002</v>
      </c>
      <c r="B18341" s="35" t="s">
        <v>9944</v>
      </c>
    </row>
    <row r="18342" spans="1:2" x14ac:dyDescent="0.35">
      <c r="A18342" s="34">
        <v>93142003</v>
      </c>
      <c r="B18342" s="35" t="s">
        <v>9734</v>
      </c>
    </row>
    <row r="18343" spans="1:2" x14ac:dyDescent="0.35">
      <c r="A18343" s="34">
        <v>93142004</v>
      </c>
      <c r="B18343" s="35" t="s">
        <v>13233</v>
      </c>
    </row>
    <row r="18344" spans="1:2" x14ac:dyDescent="0.35">
      <c r="A18344" s="34">
        <v>93142005</v>
      </c>
      <c r="B18344" s="35" t="s">
        <v>1288</v>
      </c>
    </row>
    <row r="18345" spans="1:2" x14ac:dyDescent="0.35">
      <c r="A18345" s="34">
        <v>93142006</v>
      </c>
      <c r="B18345" s="35" t="s">
        <v>7370</v>
      </c>
    </row>
    <row r="18346" spans="1:2" x14ac:dyDescent="0.35">
      <c r="A18346" s="34">
        <v>93142007</v>
      </c>
      <c r="B18346" s="35" t="s">
        <v>5229</v>
      </c>
    </row>
    <row r="18347" spans="1:2" x14ac:dyDescent="0.35">
      <c r="A18347" s="34">
        <v>93142008</v>
      </c>
      <c r="B18347" s="35" t="s">
        <v>3620</v>
      </c>
    </row>
    <row r="18348" spans="1:2" x14ac:dyDescent="0.35">
      <c r="A18348" s="34">
        <v>93142009</v>
      </c>
      <c r="B18348" s="35" t="s">
        <v>17783</v>
      </c>
    </row>
    <row r="18349" spans="1:2" x14ac:dyDescent="0.35">
      <c r="A18349" s="34">
        <v>93142101</v>
      </c>
      <c r="B18349" s="35" t="s">
        <v>11667</v>
      </c>
    </row>
    <row r="18350" spans="1:2" x14ac:dyDescent="0.35">
      <c r="A18350" s="34">
        <v>93142102</v>
      </c>
      <c r="B18350" s="35" t="s">
        <v>1789</v>
      </c>
    </row>
    <row r="18351" spans="1:2" x14ac:dyDescent="0.35">
      <c r="A18351" s="34">
        <v>93142103</v>
      </c>
      <c r="B18351" s="35" t="s">
        <v>13869</v>
      </c>
    </row>
    <row r="18352" spans="1:2" x14ac:dyDescent="0.35">
      <c r="A18352" s="34">
        <v>93142104</v>
      </c>
      <c r="B18352" s="35" t="s">
        <v>131</v>
      </c>
    </row>
    <row r="18353" spans="1:2" x14ac:dyDescent="0.35">
      <c r="A18353" s="34">
        <v>93151501</v>
      </c>
      <c r="B18353" s="35" t="s">
        <v>3428</v>
      </c>
    </row>
    <row r="18354" spans="1:2" x14ac:dyDescent="0.35">
      <c r="A18354" s="34">
        <v>93151502</v>
      </c>
      <c r="B18354" s="35" t="s">
        <v>16906</v>
      </c>
    </row>
    <row r="18355" spans="1:2" x14ac:dyDescent="0.35">
      <c r="A18355" s="34">
        <v>93151503</v>
      </c>
      <c r="B18355" s="35" t="s">
        <v>14960</v>
      </c>
    </row>
    <row r="18356" spans="1:2" x14ac:dyDescent="0.35">
      <c r="A18356" s="34">
        <v>93151504</v>
      </c>
      <c r="B18356" s="35" t="s">
        <v>9788</v>
      </c>
    </row>
    <row r="18357" spans="1:2" x14ac:dyDescent="0.35">
      <c r="A18357" s="34">
        <v>93151505</v>
      </c>
      <c r="B18357" s="35" t="s">
        <v>6003</v>
      </c>
    </row>
    <row r="18358" spans="1:2" x14ac:dyDescent="0.35">
      <c r="A18358" s="34">
        <v>93151506</v>
      </c>
      <c r="B18358" s="35" t="s">
        <v>10356</v>
      </c>
    </row>
    <row r="18359" spans="1:2" x14ac:dyDescent="0.35">
      <c r="A18359" s="34">
        <v>93151507</v>
      </c>
      <c r="B18359" s="35" t="s">
        <v>836</v>
      </c>
    </row>
    <row r="18360" spans="1:2" x14ac:dyDescent="0.35">
      <c r="A18360" s="34">
        <v>93151508</v>
      </c>
      <c r="B18360" s="35" t="s">
        <v>7131</v>
      </c>
    </row>
    <row r="18361" spans="1:2" x14ac:dyDescent="0.35">
      <c r="A18361" s="34">
        <v>93151509</v>
      </c>
      <c r="B18361" s="35" t="s">
        <v>14988</v>
      </c>
    </row>
    <row r="18362" spans="1:2" x14ac:dyDescent="0.35">
      <c r="A18362" s="34">
        <v>93151510</v>
      </c>
      <c r="B18362" s="35" t="s">
        <v>2755</v>
      </c>
    </row>
    <row r="18363" spans="1:2" x14ac:dyDescent="0.35">
      <c r="A18363" s="34">
        <v>93151511</v>
      </c>
      <c r="B18363" s="35" t="s">
        <v>12560</v>
      </c>
    </row>
    <row r="18364" spans="1:2" x14ac:dyDescent="0.35">
      <c r="A18364" s="34">
        <v>93151512</v>
      </c>
      <c r="B18364" s="35" t="s">
        <v>9546</v>
      </c>
    </row>
    <row r="18365" spans="1:2" x14ac:dyDescent="0.35">
      <c r="A18365" s="34">
        <v>93151513</v>
      </c>
      <c r="B18365" s="35" t="s">
        <v>11568</v>
      </c>
    </row>
    <row r="18366" spans="1:2" x14ac:dyDescent="0.35">
      <c r="A18366" s="34">
        <v>93151514</v>
      </c>
      <c r="B18366" s="35" t="s">
        <v>9504</v>
      </c>
    </row>
    <row r="18367" spans="1:2" x14ac:dyDescent="0.35">
      <c r="A18367" s="34">
        <v>93151515</v>
      </c>
      <c r="B18367" s="35" t="s">
        <v>6745</v>
      </c>
    </row>
    <row r="18368" spans="1:2" x14ac:dyDescent="0.35">
      <c r="A18368" s="34">
        <v>93151601</v>
      </c>
      <c r="B18368" s="35" t="s">
        <v>10092</v>
      </c>
    </row>
    <row r="18369" spans="1:2" x14ac:dyDescent="0.35">
      <c r="A18369" s="34">
        <v>93151602</v>
      </c>
      <c r="B18369" s="35" t="s">
        <v>13452</v>
      </c>
    </row>
    <row r="18370" spans="1:2" x14ac:dyDescent="0.35">
      <c r="A18370" s="34">
        <v>93151603</v>
      </c>
      <c r="B18370" s="35" t="s">
        <v>6703</v>
      </c>
    </row>
    <row r="18371" spans="1:2" x14ac:dyDescent="0.35">
      <c r="A18371" s="34">
        <v>93151604</v>
      </c>
      <c r="B18371" s="35" t="s">
        <v>16240</v>
      </c>
    </row>
    <row r="18372" spans="1:2" x14ac:dyDescent="0.35">
      <c r="A18372" s="34">
        <v>93151605</v>
      </c>
      <c r="B18372" s="35" t="s">
        <v>6926</v>
      </c>
    </row>
    <row r="18373" spans="1:2" x14ac:dyDescent="0.35">
      <c r="A18373" s="34">
        <v>93151606</v>
      </c>
      <c r="B18373" s="35" t="s">
        <v>11823</v>
      </c>
    </row>
    <row r="18374" spans="1:2" x14ac:dyDescent="0.35">
      <c r="A18374" s="34">
        <v>93151607</v>
      </c>
      <c r="B18374" s="35" t="s">
        <v>15098</v>
      </c>
    </row>
    <row r="18375" spans="1:2" x14ac:dyDescent="0.35">
      <c r="A18375" s="34">
        <v>93151608</v>
      </c>
      <c r="B18375" s="35" t="s">
        <v>15382</v>
      </c>
    </row>
    <row r="18376" spans="1:2" x14ac:dyDescent="0.35">
      <c r="A18376" s="34">
        <v>93151609</v>
      </c>
      <c r="B18376" s="35" t="s">
        <v>4614</v>
      </c>
    </row>
    <row r="18377" spans="1:2" x14ac:dyDescent="0.35">
      <c r="A18377" s="34">
        <v>93151610</v>
      </c>
      <c r="B18377" s="35" t="s">
        <v>17641</v>
      </c>
    </row>
    <row r="18378" spans="1:2" x14ac:dyDescent="0.35">
      <c r="A18378" s="34">
        <v>93151611</v>
      </c>
      <c r="B18378" s="35" t="s">
        <v>1479</v>
      </c>
    </row>
    <row r="18379" spans="1:2" x14ac:dyDescent="0.35">
      <c r="A18379" s="34">
        <v>93151701</v>
      </c>
      <c r="B18379" s="35" t="s">
        <v>16785</v>
      </c>
    </row>
    <row r="18380" spans="1:2" x14ac:dyDescent="0.35">
      <c r="A18380" s="34">
        <v>93151702</v>
      </c>
      <c r="B18380" s="35" t="s">
        <v>17205</v>
      </c>
    </row>
    <row r="18381" spans="1:2" x14ac:dyDescent="0.35">
      <c r="A18381" s="34">
        <v>93161501</v>
      </c>
      <c r="B18381" s="35" t="s">
        <v>8270</v>
      </c>
    </row>
    <row r="18382" spans="1:2" x14ac:dyDescent="0.35">
      <c r="A18382" s="34">
        <v>93161502</v>
      </c>
      <c r="B18382" s="35" t="s">
        <v>5108</v>
      </c>
    </row>
    <row r="18383" spans="1:2" x14ac:dyDescent="0.35">
      <c r="A18383" s="34">
        <v>93161503</v>
      </c>
      <c r="B18383" s="35" t="s">
        <v>1793</v>
      </c>
    </row>
    <row r="18384" spans="1:2" x14ac:dyDescent="0.35">
      <c r="A18384" s="34">
        <v>93161504</v>
      </c>
      <c r="B18384" s="35" t="s">
        <v>11745</v>
      </c>
    </row>
    <row r="18385" spans="1:2" x14ac:dyDescent="0.35">
      <c r="A18385" s="34">
        <v>93161601</v>
      </c>
      <c r="B18385" s="35" t="s">
        <v>5985</v>
      </c>
    </row>
    <row r="18386" spans="1:2" x14ac:dyDescent="0.35">
      <c r="A18386" s="34">
        <v>93161602</v>
      </c>
      <c r="B18386" s="35" t="s">
        <v>7400</v>
      </c>
    </row>
    <row r="18387" spans="1:2" x14ac:dyDescent="0.35">
      <c r="A18387" s="34">
        <v>93161603</v>
      </c>
      <c r="B18387" s="35" t="s">
        <v>14298</v>
      </c>
    </row>
    <row r="18388" spans="1:2" x14ac:dyDescent="0.35">
      <c r="A18388" s="34">
        <v>93161604</v>
      </c>
      <c r="B18388" s="35" t="s">
        <v>12012</v>
      </c>
    </row>
    <row r="18389" spans="1:2" x14ac:dyDescent="0.35">
      <c r="A18389" s="34">
        <v>93161605</v>
      </c>
      <c r="B18389" s="35" t="s">
        <v>17329</v>
      </c>
    </row>
    <row r="18390" spans="1:2" x14ac:dyDescent="0.35">
      <c r="A18390" s="34">
        <v>93161606</v>
      </c>
      <c r="B18390" s="35" t="s">
        <v>7746</v>
      </c>
    </row>
    <row r="18391" spans="1:2" x14ac:dyDescent="0.35">
      <c r="A18391" s="34">
        <v>93161607</v>
      </c>
      <c r="B18391" s="35" t="s">
        <v>14328</v>
      </c>
    </row>
    <row r="18392" spans="1:2" x14ac:dyDescent="0.35">
      <c r="A18392" s="34">
        <v>93161701</v>
      </c>
      <c r="B18392" s="35" t="s">
        <v>17035</v>
      </c>
    </row>
    <row r="18393" spans="1:2" x14ac:dyDescent="0.35">
      <c r="A18393" s="34">
        <v>93161702</v>
      </c>
      <c r="B18393" s="35" t="s">
        <v>1313</v>
      </c>
    </row>
    <row r="18394" spans="1:2" x14ac:dyDescent="0.35">
      <c r="A18394" s="34">
        <v>93161703</v>
      </c>
      <c r="B18394" s="35" t="s">
        <v>2967</v>
      </c>
    </row>
    <row r="18395" spans="1:2" x14ac:dyDescent="0.35">
      <c r="A18395" s="34">
        <v>93161704</v>
      </c>
      <c r="B18395" s="35" t="s">
        <v>3225</v>
      </c>
    </row>
    <row r="18396" spans="1:2" x14ac:dyDescent="0.35">
      <c r="A18396" s="34">
        <v>93161801</v>
      </c>
      <c r="B18396" s="35" t="s">
        <v>3177</v>
      </c>
    </row>
    <row r="18397" spans="1:2" x14ac:dyDescent="0.35">
      <c r="A18397" s="34">
        <v>93161802</v>
      </c>
      <c r="B18397" s="35" t="s">
        <v>3914</v>
      </c>
    </row>
    <row r="18398" spans="1:2" x14ac:dyDescent="0.35">
      <c r="A18398" s="34">
        <v>93161803</v>
      </c>
      <c r="B18398" s="35" t="s">
        <v>9440</v>
      </c>
    </row>
    <row r="18399" spans="1:2" x14ac:dyDescent="0.35">
      <c r="A18399" s="34">
        <v>93161804</v>
      </c>
      <c r="B18399" s="35" t="s">
        <v>2752</v>
      </c>
    </row>
    <row r="18400" spans="1:2" x14ac:dyDescent="0.35">
      <c r="A18400" s="34">
        <v>93161805</v>
      </c>
      <c r="B18400" s="35" t="s">
        <v>4390</v>
      </c>
    </row>
    <row r="18401" spans="1:2" x14ac:dyDescent="0.35">
      <c r="A18401" s="34">
        <v>93161806</v>
      </c>
      <c r="B18401" s="35" t="s">
        <v>16459</v>
      </c>
    </row>
    <row r="18402" spans="1:2" x14ac:dyDescent="0.35">
      <c r="A18402" s="34">
        <v>93161807</v>
      </c>
      <c r="B18402" s="35" t="s">
        <v>6324</v>
      </c>
    </row>
    <row r="18403" spans="1:2" x14ac:dyDescent="0.35">
      <c r="A18403" s="34">
        <v>93161808</v>
      </c>
      <c r="B18403" s="35" t="s">
        <v>16965</v>
      </c>
    </row>
    <row r="18404" spans="1:2" x14ac:dyDescent="0.35">
      <c r="A18404" s="34">
        <v>93171501</v>
      </c>
      <c r="B18404" s="35" t="s">
        <v>7282</v>
      </c>
    </row>
    <row r="18405" spans="1:2" x14ac:dyDescent="0.35">
      <c r="A18405" s="34">
        <v>93171502</v>
      </c>
      <c r="B18405" s="35" t="s">
        <v>4784</v>
      </c>
    </row>
    <row r="18406" spans="1:2" x14ac:dyDescent="0.35">
      <c r="A18406" s="34">
        <v>93171503</v>
      </c>
      <c r="B18406" s="35" t="s">
        <v>4489</v>
      </c>
    </row>
    <row r="18407" spans="1:2" x14ac:dyDescent="0.35">
      <c r="A18407" s="34">
        <v>93171504</v>
      </c>
      <c r="B18407" s="35" t="s">
        <v>5424</v>
      </c>
    </row>
    <row r="18408" spans="1:2" x14ac:dyDescent="0.35">
      <c r="A18408" s="34">
        <v>93171601</v>
      </c>
      <c r="B18408" s="35" t="s">
        <v>2142</v>
      </c>
    </row>
    <row r="18409" spans="1:2" x14ac:dyDescent="0.35">
      <c r="A18409" s="34">
        <v>93171602</v>
      </c>
      <c r="B18409" s="35" t="s">
        <v>15110</v>
      </c>
    </row>
    <row r="18410" spans="1:2" x14ac:dyDescent="0.35">
      <c r="A18410" s="34">
        <v>93171603</v>
      </c>
      <c r="B18410" s="35" t="s">
        <v>18135</v>
      </c>
    </row>
    <row r="18411" spans="1:2" x14ac:dyDescent="0.35">
      <c r="A18411" s="34">
        <v>93171604</v>
      </c>
      <c r="B18411" s="35" t="s">
        <v>9508</v>
      </c>
    </row>
    <row r="18412" spans="1:2" x14ac:dyDescent="0.35">
      <c r="A18412" s="34">
        <v>93171701</v>
      </c>
      <c r="B18412" s="35" t="s">
        <v>17647</v>
      </c>
    </row>
    <row r="18413" spans="1:2" x14ac:dyDescent="0.35">
      <c r="A18413" s="34">
        <v>93171702</v>
      </c>
      <c r="B18413" s="35" t="s">
        <v>16590</v>
      </c>
    </row>
    <row r="18414" spans="1:2" x14ac:dyDescent="0.35">
      <c r="A18414" s="34">
        <v>93171703</v>
      </c>
      <c r="B18414" s="35" t="s">
        <v>14199</v>
      </c>
    </row>
    <row r="18415" spans="1:2" x14ac:dyDescent="0.35">
      <c r="A18415" s="34">
        <v>93171801</v>
      </c>
      <c r="B18415" s="35" t="s">
        <v>15853</v>
      </c>
    </row>
    <row r="18416" spans="1:2" x14ac:dyDescent="0.35">
      <c r="A18416" s="34">
        <v>93171802</v>
      </c>
      <c r="B18416" s="35" t="s">
        <v>2155</v>
      </c>
    </row>
    <row r="18417" spans="1:2" x14ac:dyDescent="0.35">
      <c r="A18417" s="34">
        <v>93171803</v>
      </c>
      <c r="B18417" s="35" t="s">
        <v>7194</v>
      </c>
    </row>
    <row r="18418" spans="1:2" x14ac:dyDescent="0.35">
      <c r="A18418" s="34">
        <v>94101501</v>
      </c>
      <c r="B18418" s="35" t="s">
        <v>11025</v>
      </c>
    </row>
    <row r="18419" spans="1:2" x14ac:dyDescent="0.35">
      <c r="A18419" s="34">
        <v>94101502</v>
      </c>
      <c r="B18419" s="35" t="s">
        <v>14679</v>
      </c>
    </row>
    <row r="18420" spans="1:2" x14ac:dyDescent="0.35">
      <c r="A18420" s="34">
        <v>94101503</v>
      </c>
      <c r="B18420" s="35" t="s">
        <v>2857</v>
      </c>
    </row>
    <row r="18421" spans="1:2" x14ac:dyDescent="0.35">
      <c r="A18421" s="34">
        <v>94101504</v>
      </c>
      <c r="B18421" s="35" t="s">
        <v>4778</v>
      </c>
    </row>
    <row r="18422" spans="1:2" x14ac:dyDescent="0.35">
      <c r="A18422" s="34">
        <v>94101505</v>
      </c>
      <c r="B18422" s="35" t="s">
        <v>16396</v>
      </c>
    </row>
    <row r="18423" spans="1:2" x14ac:dyDescent="0.35">
      <c r="A18423" s="34">
        <v>94101601</v>
      </c>
      <c r="B18423" s="35" t="s">
        <v>18148</v>
      </c>
    </row>
    <row r="18424" spans="1:2" x14ac:dyDescent="0.35">
      <c r="A18424" s="34">
        <v>94101602</v>
      </c>
      <c r="B18424" s="35" t="s">
        <v>1018</v>
      </c>
    </row>
    <row r="18425" spans="1:2" x14ac:dyDescent="0.35">
      <c r="A18425" s="34">
        <v>94101603</v>
      </c>
      <c r="B18425" s="35" t="s">
        <v>14456</v>
      </c>
    </row>
    <row r="18426" spans="1:2" x14ac:dyDescent="0.35">
      <c r="A18426" s="34">
        <v>94101604</v>
      </c>
      <c r="B18426" s="35" t="s">
        <v>11620</v>
      </c>
    </row>
    <row r="18427" spans="1:2" x14ac:dyDescent="0.35">
      <c r="A18427" s="34">
        <v>94101605</v>
      </c>
      <c r="B18427" s="35" t="s">
        <v>15753</v>
      </c>
    </row>
    <row r="18428" spans="1:2" x14ac:dyDescent="0.35">
      <c r="A18428" s="34">
        <v>94101606</v>
      </c>
      <c r="B18428" s="35" t="s">
        <v>15055</v>
      </c>
    </row>
    <row r="18429" spans="1:2" x14ac:dyDescent="0.35">
      <c r="A18429" s="34">
        <v>94101607</v>
      </c>
      <c r="B18429" s="35" t="s">
        <v>13954</v>
      </c>
    </row>
    <row r="18430" spans="1:2" x14ac:dyDescent="0.35">
      <c r="A18430" s="34">
        <v>94101608</v>
      </c>
      <c r="B18430" s="35" t="s">
        <v>4606</v>
      </c>
    </row>
    <row r="18431" spans="1:2" x14ac:dyDescent="0.35">
      <c r="A18431" s="34">
        <v>94101609</v>
      </c>
      <c r="B18431" s="35" t="s">
        <v>895</v>
      </c>
    </row>
    <row r="18432" spans="1:2" x14ac:dyDescent="0.35">
      <c r="A18432" s="34">
        <v>94101610</v>
      </c>
      <c r="B18432" s="35" t="s">
        <v>9592</v>
      </c>
    </row>
    <row r="18433" spans="1:2" x14ac:dyDescent="0.35">
      <c r="A18433" s="34">
        <v>94101701</v>
      </c>
      <c r="B18433" s="35" t="s">
        <v>18712</v>
      </c>
    </row>
    <row r="18434" spans="1:2" x14ac:dyDescent="0.35">
      <c r="A18434" s="34">
        <v>94101702</v>
      </c>
      <c r="B18434" s="35" t="s">
        <v>11243</v>
      </c>
    </row>
    <row r="18435" spans="1:2" x14ac:dyDescent="0.35">
      <c r="A18435" s="34">
        <v>94101703</v>
      </c>
      <c r="B18435" s="35" t="s">
        <v>5913</v>
      </c>
    </row>
    <row r="18436" spans="1:2" x14ac:dyDescent="0.35">
      <c r="A18436" s="34">
        <v>94101704</v>
      </c>
      <c r="B18436" s="35" t="s">
        <v>14343</v>
      </c>
    </row>
    <row r="18437" spans="1:2" x14ac:dyDescent="0.35">
      <c r="A18437" s="34">
        <v>94101705</v>
      </c>
      <c r="B18437" s="35" t="s">
        <v>18513</v>
      </c>
    </row>
    <row r="18438" spans="1:2" x14ac:dyDescent="0.35">
      <c r="A18438" s="34">
        <v>94101801</v>
      </c>
      <c r="B18438" s="35" t="s">
        <v>10709</v>
      </c>
    </row>
    <row r="18439" spans="1:2" x14ac:dyDescent="0.35">
      <c r="A18439" s="34">
        <v>94101802</v>
      </c>
      <c r="B18439" s="35" t="s">
        <v>18357</v>
      </c>
    </row>
    <row r="18440" spans="1:2" x14ac:dyDescent="0.35">
      <c r="A18440" s="34">
        <v>94101803</v>
      </c>
      <c r="B18440" s="35" t="s">
        <v>3592</v>
      </c>
    </row>
    <row r="18441" spans="1:2" x14ac:dyDescent="0.35">
      <c r="A18441" s="34">
        <v>94101804</v>
      </c>
      <c r="B18441" s="35" t="s">
        <v>15707</v>
      </c>
    </row>
    <row r="18442" spans="1:2" x14ac:dyDescent="0.35">
      <c r="A18442" s="34">
        <v>94101805</v>
      </c>
      <c r="B18442" s="35" t="s">
        <v>15376</v>
      </c>
    </row>
    <row r="18443" spans="1:2" x14ac:dyDescent="0.35">
      <c r="A18443" s="34">
        <v>94101806</v>
      </c>
      <c r="B18443" s="35" t="s">
        <v>537</v>
      </c>
    </row>
    <row r="18444" spans="1:2" x14ac:dyDescent="0.35">
      <c r="A18444" s="34">
        <v>94101807</v>
      </c>
      <c r="B18444" s="35" t="s">
        <v>1088</v>
      </c>
    </row>
    <row r="18445" spans="1:2" x14ac:dyDescent="0.35">
      <c r="A18445" s="34">
        <v>94101808</v>
      </c>
      <c r="B18445" s="35" t="s">
        <v>5825</v>
      </c>
    </row>
    <row r="18446" spans="1:2" x14ac:dyDescent="0.35">
      <c r="A18446" s="34">
        <v>94101809</v>
      </c>
      <c r="B18446" s="35" t="s">
        <v>14127</v>
      </c>
    </row>
    <row r="18447" spans="1:2" x14ac:dyDescent="0.35">
      <c r="A18447" s="34">
        <v>94101810</v>
      </c>
      <c r="B18447" s="35" t="s">
        <v>6383</v>
      </c>
    </row>
    <row r="18448" spans="1:2" x14ac:dyDescent="0.35">
      <c r="A18448" s="34">
        <v>94111701</v>
      </c>
      <c r="B18448" s="35" t="s">
        <v>166</v>
      </c>
    </row>
    <row r="18449" spans="1:2" x14ac:dyDescent="0.35">
      <c r="A18449" s="34">
        <v>94111702</v>
      </c>
      <c r="B18449" s="35" t="s">
        <v>5651</v>
      </c>
    </row>
    <row r="18450" spans="1:2" x14ac:dyDescent="0.35">
      <c r="A18450" s="34">
        <v>94111703</v>
      </c>
      <c r="B18450" s="35" t="s">
        <v>5475</v>
      </c>
    </row>
    <row r="18451" spans="1:2" x14ac:dyDescent="0.35">
      <c r="A18451" s="34">
        <v>94111704</v>
      </c>
      <c r="B18451" s="35" t="s">
        <v>226</v>
      </c>
    </row>
    <row r="18452" spans="1:2" x14ac:dyDescent="0.35">
      <c r="A18452" s="34">
        <v>94111801</v>
      </c>
      <c r="B18452" s="35" t="s">
        <v>11963</v>
      </c>
    </row>
    <row r="18453" spans="1:2" x14ac:dyDescent="0.35">
      <c r="A18453" s="34">
        <v>94111802</v>
      </c>
      <c r="B18453" s="35" t="s">
        <v>2638</v>
      </c>
    </row>
    <row r="18454" spans="1:2" x14ac:dyDescent="0.35">
      <c r="A18454" s="34">
        <v>94111803</v>
      </c>
      <c r="B18454" s="35" t="s">
        <v>14073</v>
      </c>
    </row>
    <row r="18455" spans="1:2" x14ac:dyDescent="0.35">
      <c r="A18455" s="34">
        <v>94111804</v>
      </c>
      <c r="B18455" s="35" t="s">
        <v>7892</v>
      </c>
    </row>
    <row r="18456" spans="1:2" x14ac:dyDescent="0.35">
      <c r="A18456" s="34">
        <v>94111901</v>
      </c>
      <c r="B18456" s="35" t="s">
        <v>12239</v>
      </c>
    </row>
    <row r="18457" spans="1:2" x14ac:dyDescent="0.35">
      <c r="A18457" s="34">
        <v>94111902</v>
      </c>
      <c r="B18457" s="35" t="s">
        <v>16917</v>
      </c>
    </row>
    <row r="18458" spans="1:2" x14ac:dyDescent="0.35">
      <c r="A18458" s="34">
        <v>94111903</v>
      </c>
      <c r="B18458" s="35" t="s">
        <v>13922</v>
      </c>
    </row>
    <row r="18459" spans="1:2" x14ac:dyDescent="0.35">
      <c r="A18459" s="34">
        <v>94112001</v>
      </c>
      <c r="B18459" s="35" t="s">
        <v>14219</v>
      </c>
    </row>
    <row r="18460" spans="1:2" x14ac:dyDescent="0.35">
      <c r="A18460" s="34">
        <v>94112002</v>
      </c>
      <c r="B18460" s="35" t="s">
        <v>5126</v>
      </c>
    </row>
    <row r="18461" spans="1:2" x14ac:dyDescent="0.35">
      <c r="A18461" s="34">
        <v>94112003</v>
      </c>
      <c r="B18461" s="35" t="s">
        <v>16650</v>
      </c>
    </row>
    <row r="18462" spans="1:2" x14ac:dyDescent="0.35">
      <c r="A18462" s="34">
        <v>94112004</v>
      </c>
      <c r="B18462" s="35" t="s">
        <v>13513</v>
      </c>
    </row>
    <row r="18463" spans="1:2" x14ac:dyDescent="0.35">
      <c r="A18463" s="34">
        <v>94112005</v>
      </c>
      <c r="B18463" s="35" t="s">
        <v>7374</v>
      </c>
    </row>
    <row r="18464" spans="1:2" x14ac:dyDescent="0.35">
      <c r="A18464" s="34">
        <v>94121501</v>
      </c>
      <c r="B18464" s="35" t="s">
        <v>2242</v>
      </c>
    </row>
    <row r="18465" spans="1:2" x14ac:dyDescent="0.35">
      <c r="A18465" s="34">
        <v>94121502</v>
      </c>
      <c r="B18465" s="35" t="s">
        <v>1840</v>
      </c>
    </row>
    <row r="18466" spans="1:2" x14ac:dyDescent="0.35">
      <c r="A18466" s="34">
        <v>94121503</v>
      </c>
      <c r="B18466" s="35" t="s">
        <v>12822</v>
      </c>
    </row>
    <row r="18467" spans="1:2" x14ac:dyDescent="0.35">
      <c r="A18467" s="34">
        <v>94121504</v>
      </c>
      <c r="B18467" s="35" t="s">
        <v>1624</v>
      </c>
    </row>
    <row r="18468" spans="1:2" x14ac:dyDescent="0.35">
      <c r="A18468" s="34">
        <v>94121505</v>
      </c>
      <c r="B18468" s="35" t="s">
        <v>5826</v>
      </c>
    </row>
    <row r="18469" spans="1:2" x14ac:dyDescent="0.35">
      <c r="A18469" s="34">
        <v>94121506</v>
      </c>
      <c r="B18469" s="35" t="s">
        <v>17461</v>
      </c>
    </row>
    <row r="18470" spans="1:2" x14ac:dyDescent="0.35">
      <c r="A18470" s="34">
        <v>94121507</v>
      </c>
      <c r="B18470" s="35" t="s">
        <v>9324</v>
      </c>
    </row>
    <row r="18471" spans="1:2" x14ac:dyDescent="0.35">
      <c r="A18471" s="34">
        <v>94121508</v>
      </c>
      <c r="B18471" s="35" t="s">
        <v>8615</v>
      </c>
    </row>
    <row r="18472" spans="1:2" x14ac:dyDescent="0.35">
      <c r="A18472" s="34">
        <v>94121509</v>
      </c>
      <c r="B18472" s="35" t="s">
        <v>4643</v>
      </c>
    </row>
    <row r="18473" spans="1:2" x14ac:dyDescent="0.35">
      <c r="A18473" s="34">
        <v>94121510</v>
      </c>
      <c r="B18473" s="35" t="s">
        <v>16923</v>
      </c>
    </row>
    <row r="18474" spans="1:2" x14ac:dyDescent="0.35">
      <c r="A18474" s="34">
        <v>94121511</v>
      </c>
      <c r="B18474" s="35" t="s">
        <v>8765</v>
      </c>
    </row>
    <row r="18475" spans="1:2" x14ac:dyDescent="0.35">
      <c r="A18475" s="34">
        <v>94121512</v>
      </c>
      <c r="B18475" s="35" t="s">
        <v>17313</v>
      </c>
    </row>
    <row r="18476" spans="1:2" x14ac:dyDescent="0.35">
      <c r="A18476" s="34">
        <v>94121513</v>
      </c>
      <c r="B18476" s="35" t="s">
        <v>3080</v>
      </c>
    </row>
    <row r="18477" spans="1:2" x14ac:dyDescent="0.35">
      <c r="A18477" s="34">
        <v>94121514</v>
      </c>
      <c r="B18477" s="35" t="s">
        <v>2135</v>
      </c>
    </row>
    <row r="18478" spans="1:2" x14ac:dyDescent="0.35">
      <c r="A18478" s="34">
        <v>94121601</v>
      </c>
      <c r="B18478" s="35" t="s">
        <v>2410</v>
      </c>
    </row>
    <row r="18479" spans="1:2" x14ac:dyDescent="0.35">
      <c r="A18479" s="34">
        <v>94121602</v>
      </c>
      <c r="B18479" s="35" t="s">
        <v>7882</v>
      </c>
    </row>
    <row r="18480" spans="1:2" x14ac:dyDescent="0.35">
      <c r="A18480" s="34">
        <v>94121603</v>
      </c>
      <c r="B18480" s="35" t="s">
        <v>14078</v>
      </c>
    </row>
    <row r="18481" spans="1:2" x14ac:dyDescent="0.35">
      <c r="A18481" s="34">
        <v>94121604</v>
      </c>
      <c r="B18481" s="35" t="s">
        <v>18836</v>
      </c>
    </row>
    <row r="18482" spans="1:2" x14ac:dyDescent="0.35">
      <c r="A18482" s="34">
        <v>94121605</v>
      </c>
      <c r="B18482" s="35" t="s">
        <v>8514</v>
      </c>
    </row>
    <row r="18483" spans="1:2" x14ac:dyDescent="0.35">
      <c r="A18483" s="34">
        <v>94121606</v>
      </c>
      <c r="B18483" s="35" t="s">
        <v>14635</v>
      </c>
    </row>
    <row r="18484" spans="1:2" x14ac:dyDescent="0.35">
      <c r="A18484" s="34">
        <v>94121607</v>
      </c>
      <c r="B18484" s="35" t="s">
        <v>7406</v>
      </c>
    </row>
    <row r="18485" spans="1:2" x14ac:dyDescent="0.35">
      <c r="A18485" s="34">
        <v>94121701</v>
      </c>
      <c r="B18485" s="35" t="s">
        <v>6204</v>
      </c>
    </row>
    <row r="18486" spans="1:2" x14ac:dyDescent="0.35">
      <c r="A18486" s="34">
        <v>94121702</v>
      </c>
      <c r="B18486" s="35" t="s">
        <v>10205</v>
      </c>
    </row>
    <row r="18487" spans="1:2" x14ac:dyDescent="0.35">
      <c r="A18487" s="34">
        <v>94121703</v>
      </c>
      <c r="B18487" s="35" t="s">
        <v>9340</v>
      </c>
    </row>
    <row r="18488" spans="1:2" x14ac:dyDescent="0.35">
      <c r="A18488" s="34">
        <v>94121704</v>
      </c>
      <c r="B18488" s="35" t="s">
        <v>17169</v>
      </c>
    </row>
    <row r="18489" spans="1:2" x14ac:dyDescent="0.35">
      <c r="A18489" s="34">
        <v>94121801</v>
      </c>
      <c r="B18489" s="35" t="s">
        <v>8747</v>
      </c>
    </row>
    <row r="18490" spans="1:2" x14ac:dyDescent="0.35">
      <c r="A18490" s="34">
        <v>94121802</v>
      </c>
      <c r="B18490" s="35" t="s">
        <v>14090</v>
      </c>
    </row>
    <row r="18491" spans="1:2" x14ac:dyDescent="0.35">
      <c r="A18491" s="34">
        <v>94121803</v>
      </c>
      <c r="B18491" s="35" t="s">
        <v>8008</v>
      </c>
    </row>
    <row r="18492" spans="1:2" x14ac:dyDescent="0.35">
      <c r="A18492" s="34">
        <v>94121804</v>
      </c>
      <c r="B18492" s="35" t="s">
        <v>11914</v>
      </c>
    </row>
    <row r="18493" spans="1:2" x14ac:dyDescent="0.35">
      <c r="A18493" s="34">
        <v>94121805</v>
      </c>
      <c r="B18493" s="35" t="s">
        <v>6845</v>
      </c>
    </row>
    <row r="18494" spans="1:2" x14ac:dyDescent="0.35">
      <c r="A18494" s="34">
        <v>94131501</v>
      </c>
      <c r="B18494" s="35" t="s">
        <v>1836</v>
      </c>
    </row>
    <row r="18495" spans="1:2" x14ac:dyDescent="0.35">
      <c r="A18495" s="34">
        <v>94131502</v>
      </c>
      <c r="B18495" s="35" t="s">
        <v>9238</v>
      </c>
    </row>
    <row r="18496" spans="1:2" x14ac:dyDescent="0.35">
      <c r="A18496" s="34">
        <v>94131503</v>
      </c>
      <c r="B18496" s="35" t="s">
        <v>17651</v>
      </c>
    </row>
    <row r="18497" spans="1:2" x14ac:dyDescent="0.35">
      <c r="A18497" s="34">
        <v>94131504</v>
      </c>
      <c r="B18497" s="35" t="s">
        <v>13814</v>
      </c>
    </row>
    <row r="18498" spans="1:2" x14ac:dyDescent="0.35">
      <c r="A18498" s="34">
        <v>94131601</v>
      </c>
      <c r="B18498" s="35" t="s">
        <v>2637</v>
      </c>
    </row>
    <row r="18499" spans="1:2" x14ac:dyDescent="0.35">
      <c r="A18499" s="34">
        <v>94131602</v>
      </c>
      <c r="B18499" s="35" t="s">
        <v>15275</v>
      </c>
    </row>
    <row r="18500" spans="1:2" x14ac:dyDescent="0.35">
      <c r="A18500" s="34">
        <v>94131603</v>
      </c>
      <c r="B18500" s="35" t="s">
        <v>6548</v>
      </c>
    </row>
    <row r="18501" spans="1:2" x14ac:dyDescent="0.35">
      <c r="A18501" s="34">
        <v>94131604</v>
      </c>
      <c r="B18501" s="35" t="s">
        <v>13064</v>
      </c>
    </row>
    <row r="18502" spans="1:2" x14ac:dyDescent="0.35">
      <c r="A18502" s="34">
        <v>94131605</v>
      </c>
      <c r="B18502" s="35" t="s">
        <v>13871</v>
      </c>
    </row>
    <row r="18503" spans="1:2" x14ac:dyDescent="0.35">
      <c r="A18503" s="34">
        <v>94131606</v>
      </c>
      <c r="B18503" s="35" t="s">
        <v>8058</v>
      </c>
    </row>
    <row r="18504" spans="1:2" x14ac:dyDescent="0.35">
      <c r="A18504" s="34">
        <v>94131607</v>
      </c>
      <c r="B18504" s="35" t="s">
        <v>7283</v>
      </c>
    </row>
    <row r="18505" spans="1:2" x14ac:dyDescent="0.35">
      <c r="A18505" s="34">
        <v>94131608</v>
      </c>
      <c r="B18505" s="35" t="s">
        <v>1062</v>
      </c>
    </row>
    <row r="18506" spans="1:2" x14ac:dyDescent="0.35">
      <c r="A18506" s="34">
        <v>94131701</v>
      </c>
      <c r="B18506" s="35" t="s">
        <v>1199</v>
      </c>
    </row>
    <row r="18507" spans="1:2" x14ac:dyDescent="0.35">
      <c r="A18507" s="34">
        <v>94131702</v>
      </c>
      <c r="B18507" s="35" t="s">
        <v>13551</v>
      </c>
    </row>
    <row r="18508" spans="1:2" x14ac:dyDescent="0.35">
      <c r="A18508" s="34">
        <v>94131703</v>
      </c>
      <c r="B18508" s="35" t="s">
        <v>5370</v>
      </c>
    </row>
    <row r="18509" spans="1:2" x14ac:dyDescent="0.35">
      <c r="A18509" s="34">
        <v>94131704</v>
      </c>
      <c r="B18509" s="35" t="s">
        <v>11050</v>
      </c>
    </row>
    <row r="18510" spans="1:2" x14ac:dyDescent="0.35">
      <c r="A18510" s="34">
        <v>94131801</v>
      </c>
      <c r="B18510" s="35" t="s">
        <v>10595</v>
      </c>
    </row>
    <row r="18511" spans="1:2" x14ac:dyDescent="0.35">
      <c r="A18511" s="34">
        <v>94131802</v>
      </c>
      <c r="B18511" s="35" t="s">
        <v>6857</v>
      </c>
    </row>
    <row r="18512" spans="1:2" x14ac:dyDescent="0.35">
      <c r="A18512" s="34">
        <v>94131803</v>
      </c>
      <c r="B18512" s="35" t="s">
        <v>13895</v>
      </c>
    </row>
    <row r="18513" spans="1:2" x14ac:dyDescent="0.35">
      <c r="A18513" s="34">
        <v>94131804</v>
      </c>
      <c r="B18513" s="35" t="s">
        <v>9053</v>
      </c>
    </row>
    <row r="18514" spans="1:2" x14ac:dyDescent="0.35">
      <c r="A18514" s="34">
        <v>94131805</v>
      </c>
      <c r="B18514" s="35" t="s">
        <v>12852</v>
      </c>
    </row>
    <row r="18515" spans="1:2" x14ac:dyDescent="0.35">
      <c r="A18515" s="34">
        <v>94131901</v>
      </c>
      <c r="B18515" s="35" t="s">
        <v>99</v>
      </c>
    </row>
    <row r="18516" spans="1:2" x14ac:dyDescent="0.35">
      <c r="A18516" s="34">
        <v>94131902</v>
      </c>
      <c r="B18516" s="35" t="s">
        <v>17038</v>
      </c>
    </row>
    <row r="18517" spans="1:2" x14ac:dyDescent="0.35">
      <c r="A18517" s="34">
        <v>94131903</v>
      </c>
      <c r="B18517" s="35" t="s">
        <v>17268</v>
      </c>
    </row>
    <row r="18518" spans="1:2" x14ac:dyDescent="0.35">
      <c r="A18518" s="34">
        <v>94132001</v>
      </c>
      <c r="B18518" s="35" t="s">
        <v>7934</v>
      </c>
    </row>
    <row r="18519" spans="1:2" x14ac:dyDescent="0.35">
      <c r="A18519" s="34">
        <v>94132002</v>
      </c>
      <c r="B18519" s="35" t="s">
        <v>9895</v>
      </c>
    </row>
    <row r="18520" spans="1:2" x14ac:dyDescent="0.35">
      <c r="A18520" s="34">
        <v>94132003</v>
      </c>
      <c r="B18520" s="35" t="s">
        <v>10047</v>
      </c>
    </row>
    <row r="18521" spans="1:2" x14ac:dyDescent="0.35">
      <c r="A18521" s="34">
        <v>94132004</v>
      </c>
      <c r="B18521" s="35" t="s">
        <v>1786</v>
      </c>
    </row>
    <row r="18522" spans="1:2" x14ac:dyDescent="0.35">
      <c r="A18522" s="34">
        <v>94132005</v>
      </c>
      <c r="B18522" s="35" t="s">
        <v>13270</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defaultColWidth="9.1796875" defaultRowHeight="10.5" x14ac:dyDescent="0.25"/>
  <cols>
    <col min="1" max="1" width="21.7265625" style="3" customWidth="1"/>
    <col min="2" max="2" width="33.54296875" style="3" customWidth="1"/>
    <col min="3" max="3" width="20.26953125" style="3" customWidth="1"/>
    <col min="4" max="4" width="20.81640625" style="3" customWidth="1"/>
    <col min="5" max="5" width="22.26953125" style="3" customWidth="1"/>
    <col min="6" max="6" width="20.54296875" style="3" customWidth="1"/>
    <col min="7" max="7" width="11.54296875" style="3" customWidth="1"/>
    <col min="8" max="8" width="6.81640625" style="3" customWidth="1"/>
    <col min="9" max="9" width="6.54296875" style="3" customWidth="1"/>
    <col min="10" max="10" width="7.81640625" style="3" customWidth="1"/>
    <col min="11" max="11" width="8" style="3" customWidth="1"/>
    <col min="12" max="12" width="12.7265625" style="3" customWidth="1"/>
    <col min="13" max="13" width="19.7265625" style="3" customWidth="1"/>
    <col min="14" max="14" width="9.1796875" style="3" customWidth="1"/>
    <col min="15" max="16384" width="9.1796875" style="3"/>
  </cols>
  <sheetData>
    <row r="1" spans="1:10" ht="34" customHeight="1" x14ac:dyDescent="0.25">
      <c r="A1" s="36" t="s">
        <v>17105</v>
      </c>
      <c r="B1" s="36" t="s">
        <v>167</v>
      </c>
      <c r="C1" s="36" t="s">
        <v>12252</v>
      </c>
      <c r="D1" s="36" t="s">
        <v>15021</v>
      </c>
      <c r="E1" s="36" t="s">
        <v>11455</v>
      </c>
      <c r="F1" s="36" t="s">
        <v>11595</v>
      </c>
    </row>
    <row r="2" spans="1:10" ht="11.25" customHeight="1" x14ac:dyDescent="0.25">
      <c r="A2" s="37"/>
      <c r="B2" s="37"/>
      <c r="C2" s="37"/>
      <c r="D2" s="37"/>
      <c r="E2" s="37"/>
      <c r="F2" s="37"/>
    </row>
    <row r="3" spans="1:10" ht="11.25" customHeight="1" x14ac:dyDescent="0.25">
      <c r="A3" s="75" t="s">
        <v>15490</v>
      </c>
      <c r="B3" s="38" t="s">
        <v>8918</v>
      </c>
      <c r="C3" s="47"/>
      <c r="D3" s="75" t="s">
        <v>9819</v>
      </c>
      <c r="E3" s="38" t="s">
        <v>13683</v>
      </c>
      <c r="F3" s="37"/>
    </row>
    <row r="4" spans="1:10" ht="11.25" customHeight="1" x14ac:dyDescent="0.25">
      <c r="A4" s="76"/>
      <c r="B4" s="38" t="s">
        <v>1858</v>
      </c>
      <c r="C4" s="1" t="str">
        <f>IF(C3="","",IF(AND(MONTH(C3)&gt;=1,MONTH(C3)&lt;=3),1,IF(AND(MONTH(C3)&gt;=4,MONTH(C3)&lt;=6),2,IF(AND(MONTH(C3)&gt;=7,MONTH(C3)&lt;=9),3,4))))</f>
        <v/>
      </c>
      <c r="D4" s="76"/>
      <c r="E4" s="38" t="s">
        <v>2509</v>
      </c>
      <c r="F4" s="37"/>
    </row>
    <row r="5" spans="1:10" ht="11.25" customHeight="1" x14ac:dyDescent="0.25">
      <c r="A5" s="76"/>
      <c r="B5" s="38" t="s">
        <v>13526</v>
      </c>
      <c r="C5" s="47"/>
      <c r="D5" s="76"/>
      <c r="E5" s="38" t="s">
        <v>3198</v>
      </c>
      <c r="F5" s="37"/>
    </row>
    <row r="6" spans="1:10" ht="11.25" customHeight="1" x14ac:dyDescent="0.25">
      <c r="A6" s="76"/>
      <c r="B6" s="38" t="s">
        <v>1858</v>
      </c>
      <c r="C6" s="1" t="str">
        <f>IF(C5="","",IF(AND(MONTH(C5)&gt;=1,MONTH(C5)&lt;=3),1,IF(AND(MONTH(C5)&gt;=4,MONTH(C5)&lt;=6),2,IF(AND(MONTH(C5)&gt;=7,MONTH(C5)&lt;=9),3,4))))</f>
        <v/>
      </c>
      <c r="D6" s="76"/>
      <c r="E6" s="38" t="s">
        <v>13785</v>
      </c>
      <c r="F6" s="37"/>
    </row>
    <row r="8" spans="1:10" ht="11.25" customHeight="1" x14ac:dyDescent="0.25">
      <c r="A8" s="43" t="s">
        <v>16424</v>
      </c>
      <c r="B8" s="43" t="s">
        <v>16856</v>
      </c>
      <c r="C8" s="43" t="s">
        <v>16326</v>
      </c>
      <c r="D8" s="43" t="s">
        <v>15925</v>
      </c>
      <c r="E8" s="43" t="s">
        <v>7248</v>
      </c>
      <c r="F8" s="43" t="s">
        <v>15955</v>
      </c>
    </row>
    <row r="9" spans="1:10" ht="11.25" customHeight="1" x14ac:dyDescent="0.25">
      <c r="A9" s="39"/>
      <c r="B9" s="40" t="str">
        <f ca="1">IFERROR(INDEX(UNSPSCDes,MATCH(INDIRECT(ADDRESS(ROW(),COLUMN()-1,4)),UNSPSCCode,0)),"")</f>
        <v/>
      </c>
      <c r="C9" s="39"/>
      <c r="D9" s="39"/>
      <c r="E9" s="42"/>
      <c r="F9" s="41">
        <f ca="1">INDIRECT(ADDRESS(ROW(),COLUMN()-2,4))*INDIRECT(ADDRESS(ROW(),COLUMN()-1,4))</f>
        <v>0</v>
      </c>
    </row>
    <row r="10" spans="1:10" ht="33.75" customHeight="1" x14ac:dyDescent="0.25">
      <c r="E10" s="44" t="s">
        <v>13122</v>
      </c>
      <c r="F10" s="45">
        <f ca="1">SUM(Table3[MONTO TOTAL ESTIMADO])</f>
        <v>0</v>
      </c>
      <c r="H10" s="3">
        <f>C2</f>
        <v>0</v>
      </c>
      <c r="I10" s="3">
        <f>E2</f>
        <v>0</v>
      </c>
      <c r="J10" s="3">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21508"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31750</xdr:rowOff>
                  </to>
                </anchor>
              </controlPr>
            </control>
          </mc:Choice>
        </mc:AlternateContent>
        <mc:AlternateContent xmlns:mc="http://schemas.openxmlformats.org/markup-compatibility/2006">
          <mc:Choice Requires="x14">
            <control shapeId="21507" r:id="rId4" name="Button 3">
              <controlPr defaultSize="0" autoFill="0" autoLine="0" autoPict="0" macro="[0]!Sheet1.deleteRow">
                <anchor moveWithCells="1" sizeWithCells="1">
                  <from>
                    <xdr:col>6</xdr:col>
                    <xdr:colOff>0</xdr:colOff>
                    <xdr:row>0</xdr:row>
                    <xdr:rowOff>222250</xdr:rowOff>
                  </from>
                  <to>
                    <xdr:col>7</xdr:col>
                    <xdr:colOff>0</xdr:colOff>
                    <xdr:row>1</xdr:row>
                    <xdr:rowOff>95250</xdr:rowOff>
                  </to>
                </anchor>
              </controlPr>
            </control>
          </mc:Choice>
        </mc:AlternateContent>
        <mc:AlternateContent xmlns:mc="http://schemas.openxmlformats.org/markup-compatibility/2006">
          <mc:Choice Requires="x14">
            <control shapeId="21506" r:id="rId5" name="Button 2">
              <controlPr defaultSize="0" autoFill="0" autoLine="0" autoPict="0" macro="[0]!Sheet1.CopyNewProcedure">
                <anchor moveWithCells="1" sizeWithCells="1">
                  <from>
                    <xdr:col>0</xdr:col>
                    <xdr:colOff>114300</xdr:colOff>
                    <xdr:row>19</xdr:row>
                    <xdr:rowOff>38100</xdr:rowOff>
                  </from>
                  <to>
                    <xdr:col>1</xdr:col>
                    <xdr:colOff>488950</xdr:colOff>
                    <xdr:row>22</xdr:row>
                    <xdr:rowOff>0</xdr:rowOff>
                  </to>
                </anchor>
              </controlPr>
            </control>
          </mc:Choice>
        </mc:AlternateContent>
        <mc:AlternateContent xmlns:mc="http://schemas.openxmlformats.org/markup-compatibility/2006">
          <mc:Choice Requires="x14">
            <control shapeId="21505"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2.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6A7678EF-896C-42FF-83BC-44B580AAD303}">
  <ds:schemaRef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purl.org/dc/term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5</vt:i4>
      </vt:variant>
      <vt:variant>
        <vt:lpstr>Named Ranges</vt:lpstr>
      </vt:variant>
      <vt:variant>
        <vt:i4>50</vt:i4>
      </vt:variant>
    </vt:vector>
  </HeadingPairs>
  <TitlesOfParts>
    <vt:vector size="55" baseType="lpstr">
      <vt:lpstr>RESUMEN</vt:lpstr>
      <vt:lpstr>PACC</vt:lpstr>
      <vt:lpstr>Informacion </vt:lpstr>
      <vt:lpstr>UNSPSC</vt:lpstr>
      <vt:lpstr>ProcedureTemplate</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PACC!Print_Area</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app</cp:lastModifiedBy>
  <dcterms:created xsi:type="dcterms:W3CDTF">2014-09-22T13:14:27Z</dcterms:created>
  <dcterms:modified xsi:type="dcterms:W3CDTF">2024-02-23T16:03:25Z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